
<file path=[Content_Types].xml><?xml version="1.0" encoding="utf-8"?>
<Types xmlns="http://schemas.openxmlformats.org/package/2006/content-types">
  <Override PartName="/xl/worksheets/sheet35.xml" ContentType="application/vnd.openxmlformats-officedocument.spreadsheetml.worksheet+xml"/>
  <Override PartName="/xl/worksheets/sheet82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82.xml" ContentType="application/vnd.openxmlformats-officedocument.spreadsheetml.worksheet+xml"/>
  <Override PartName="/xl/charts/chart189.xml" ContentType="application/vnd.openxmlformats-officedocument.drawingml.char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60.xml" ContentType="application/vnd.openxmlformats-officedocument.spreadsheetml.worksheet+xml"/>
  <Override PartName="/xl/worksheets/sheet358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39.xml" ContentType="application/vnd.openxmlformats-officedocument.drawing+xml"/>
  <Override PartName="/xl/drawings/drawing86.xml" ContentType="application/vnd.openxmlformats-officedocument.drawing+xml"/>
  <Override PartName="/xl/worksheets/sheet197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83.xml" ContentType="application/vnd.openxmlformats-officedocument.spreadsheetml.worksheet+xml"/>
  <Override PartName="/xl/drawings/drawing17.xml" ContentType="application/vnd.openxmlformats-officedocument.drawing+xml"/>
  <Override PartName="/xl/drawings/drawing64.xml" ContentType="application/vnd.openxmlformats-officedocument.drawing+xml"/>
  <Override PartName="/xl/charts/chart167.xml" ContentType="application/vnd.openxmlformats-officedocument.drawingml.char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charts/chart145.xml" ContentType="application/vnd.openxmlformats-officedocument.drawingml.chart+xml"/>
  <Override PartName="/xl/charts/chart192.xml" ContentType="application/vnd.openxmlformats-officedocument.drawingml.chart+xml"/>
  <Override PartName="/xl/worksheets/sheet98.xml" ContentType="application/vnd.openxmlformats-officedocument.spreadsheetml.worksheet+xml"/>
  <Override PartName="/xl/worksheets/sheet298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61.xml" ContentType="application/vnd.openxmlformats-officedocument.spreadsheetml.worksheet+xml"/>
  <Override PartName="/xl/charts/chart38.xml" ContentType="application/vnd.openxmlformats-officedocument.drawingml.chart+xml"/>
  <Override PartName="/xl/drawings/drawing42.xml" ContentType="application/vnd.openxmlformats-officedocument.drawing+xml"/>
  <Override PartName="/xl/charts/chart85.xml" ContentType="application/vnd.openxmlformats-officedocument.drawingml.char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charts/chart16.xml" ContentType="application/vnd.openxmlformats-officedocument.drawingml.chart+xml"/>
  <Override PartName="/xl/drawings/drawing20.xml" ContentType="application/vnd.openxmlformats-officedocument.drawingml.chartshapes+xml"/>
  <Override PartName="/xl/charts/chart63.xml" ContentType="application/vnd.openxmlformats-officedocument.drawingml.chart+xml"/>
  <Override PartName="/xl/charts/chart123.xml" ContentType="application/vnd.openxmlformats-officedocument.drawingml.chart+xml"/>
  <Override PartName="/xl/charts/chart170.xml" ContentType="application/vnd.openxmlformats-officedocument.drawingml.char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76.xml" ContentType="application/vnd.openxmlformats-officedocument.spreadsheetml.worksheet+xml"/>
  <Override PartName="/xl/charts/chart101.xml" ContentType="application/vnd.openxmlformats-officedocument.drawingml.chart+xml"/>
  <Override PartName="/xl/worksheets/sheet54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54.xml" ContentType="application/vnd.openxmlformats-officedocument.spreadsheetml.worksheet+xml"/>
  <Override PartName="/xl/charts/chart41.xml" ContentType="application/vnd.openxmlformats-officedocument.drawingml.chart+xml"/>
  <Default Extension="png" ContentType="image/png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377.xml" ContentType="application/vnd.openxmlformats-officedocument.spreadsheetml.worksheet+xml"/>
  <Override PartName="/xl/drawings/drawing7.xml" ContentType="application/vnd.openxmlformats-officedocument.drawing+xml"/>
  <Override PartName="/xl/drawings/drawing58.xml" ContentType="application/vnd.openxmlformats-officedocument.drawing+xml"/>
  <Override PartName="/xl/charts/chart139.xml" ContentType="application/vnd.openxmlformats-officedocument.drawingml.chart+xml"/>
  <Override PartName="/xl/charts/chart186.xml" ContentType="application/vnd.openxmlformats-officedocument.drawingml.chart+xml"/>
  <Override PartName="/xl/worksheets/sheet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55.xml" ContentType="application/vnd.openxmlformats-officedocument.spreadsheetml.worksheet+xml"/>
  <Override PartName="/xl/drawings/drawing36.xml" ContentType="application/vnd.openxmlformats-officedocument.drawing+xml"/>
  <Override PartName="/xl/charts/chart79.xml" ContentType="application/vnd.openxmlformats-officedocument.drawingml.chart+xml"/>
  <Override PartName="/xl/drawings/drawing83.xml" ContentType="application/vnd.openxmlformats-officedocument.drawing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xl/charts/chart1.xml" ContentType="application/vnd.openxmlformats-officedocument.drawingml.chart+xml"/>
  <Override PartName="/xl/charts/chart57.xml" ContentType="application/vnd.openxmlformats-officedocument.drawingml.chart+xml"/>
  <Override PartName="/xl/charts/chart117.xml" ContentType="application/vnd.openxmlformats-officedocument.drawingml.chart+xml"/>
  <Override PartName="/xl/charts/chart164.xml" ContentType="application/vnd.openxmlformats-officedocument.drawingml.chart+xml"/>
  <Override PartName="/xl/worksheets/sheet333.xml" ContentType="application/vnd.openxmlformats-officedocument.spreadsheetml.worksheet+xml"/>
  <Override PartName="/xl/worksheets/sheet380.xml" ContentType="application/vnd.openxmlformats-officedocument.spreadsheetml.worksheet+xml"/>
  <Override PartName="/xl/drawings/drawing14.xml" ContentType="application/vnd.openxmlformats-officedocument.drawing+xml"/>
  <Override PartName="/xl/drawings/drawing61.xml" ContentType="application/vnd.openxmlformats-officedocument.drawing+xml"/>
  <Override PartName="/xl/charts/chart142.xml" ContentType="application/vnd.openxmlformats-officedocument.drawingml.chart+xml"/>
  <Override PartName="/xl/worksheets/sheet125.xml" ContentType="application/vnd.openxmlformats-officedocument.spreadsheetml.worksheet+xml"/>
  <Override PartName="/xl/worksheets/sheet172.xml" ContentType="application/vnd.openxmlformats-officedocument.spreadsheetml.worksheet+xml"/>
  <Override PartName="/xl/worksheets/sheet311.xml" ContentType="application/vnd.openxmlformats-officedocument.spreadsheetml.worksheet+xml"/>
  <Override PartName="/xl/charts/chart35.xml" ContentType="application/vnd.openxmlformats-officedocument.drawingml.chart+xml"/>
  <Override PartName="/xl/charts/chart82.xml" ContentType="application/vnd.openxmlformats-officedocument.drawingml.chart+xml"/>
  <Override PartName="/xl/calcChain.xml" ContentType="application/vnd.openxmlformats-officedocument.spreadsheetml.calcChain+xml"/>
  <Override PartName="/xl/worksheets/sheet48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95.xml" ContentType="application/vnd.openxmlformats-officedocument.spreadsheetml.worksheet+xml"/>
  <Override PartName="/xl/charts/chart13.xml" ContentType="application/vnd.openxmlformats-officedocument.drawingml.chart+xml"/>
  <Override PartName="/xl/charts/chart120.xml" ContentType="application/vnd.openxmlformats-officedocument.drawingml.chart+xml"/>
  <Override PartName="/xl/worksheets/sheet26.xml" ContentType="application/vnd.openxmlformats-officedocument.spreadsheetml.worksheet+xml"/>
  <Override PartName="/xl/worksheets/sheet73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73.xml" ContentType="application/vnd.openxmlformats-officedocument.spreadsheetml.worksheet+xml"/>
  <Override PartName="/xl/charts/chart60.xml" ContentType="application/vnd.openxmlformats-officedocument.drawingml.chart+xml"/>
  <Override PartName="/xl/worksheets/sheet51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51.xml" ContentType="application/vnd.openxmlformats-officedocument.spreadsheetml.worksheet+xml"/>
  <Override PartName="/xl/worksheets/sheet349.xml" ContentType="application/vnd.openxmlformats-officedocument.spreadsheetml.worksheet+xml"/>
  <Override PartName="/xl/charts/chart158.xml" ContentType="application/vnd.openxmlformats-officedocument.drawingml.chart+xml"/>
  <Override PartName="/xl/drawings/drawing77.xml" ContentType="application/vnd.openxmlformats-officedocument.drawing+xml"/>
  <Override PartName="/xl/worksheets/sheet188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74.xml" ContentType="application/vnd.openxmlformats-officedocument.spreadsheetml.worksheet+xml"/>
  <Override PartName="/xl/drawings/drawing4.xml" ContentType="application/vnd.openxmlformats-officedocument.drawing+xml"/>
  <Override PartName="/xl/drawings/drawing55.xml" ContentType="application/vnd.openxmlformats-officedocument.drawing+xml"/>
  <Override PartName="/xl/charts/chart98.xml" ContentType="application/vnd.openxmlformats-officedocument.drawingml.chart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66.xml" ContentType="application/vnd.openxmlformats-officedocument.spreadsheetml.worksheet+xml"/>
  <Override PartName="/xl/charts/chart29.xml" ContentType="application/vnd.openxmlformats-officedocument.drawingml.chart+xml"/>
  <Override PartName="/xl/charts/chart76.xml" ContentType="application/vnd.openxmlformats-officedocument.drawingml.chart+xml"/>
  <Override PartName="/xl/charts/chart136.xml" ContentType="application/vnd.openxmlformats-officedocument.drawingml.chart+xml"/>
  <Override PartName="/xl/charts/chart183.xml" ContentType="application/vnd.openxmlformats-officedocument.drawingml.chart+xml"/>
  <Override PartName="/xl/worksheets/sheet89.xml" ContentType="application/vnd.openxmlformats-officedocument.spreadsheetml.worksheet+xml"/>
  <Override PartName="/xl/worksheets/sheet289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52.xml" ContentType="application/vnd.openxmlformats-officedocument.spreadsheetml.worksheet+xml"/>
  <Override PartName="/xl/drawings/drawing33.xml" ContentType="application/vnd.openxmlformats-officedocument.drawing+xml"/>
  <Override PartName="/xl/charts/chart114.xml" ContentType="application/vnd.openxmlformats-officedocument.drawingml.chart+xml"/>
  <Override PartName="/xl/charts/chart161.xml" ContentType="application/vnd.openxmlformats-officedocument.drawingml.chart+xml"/>
  <Override PartName="/xl/drawings/drawing80.xml" ContentType="application/vnd.openxmlformats-officedocument.drawing+xml"/>
  <Override PartName="/xl/worksheets/sheet144.xml" ContentType="application/vnd.openxmlformats-officedocument.spreadsheetml.worksheet+xml"/>
  <Override PartName="/xl/worksheets/sheet191.xml" ContentType="application/vnd.openxmlformats-officedocument.spreadsheetml.worksheet+xml"/>
  <Override PartName="/xl/worksheets/sheet330.xml" ContentType="application/vnd.openxmlformats-officedocument.spreadsheetml.worksheet+xml"/>
  <Override PartName="/xl/drawings/drawing11.xml" ContentType="application/vnd.openxmlformats-officedocument.drawing+xml"/>
  <Override PartName="/xl/charts/chart54.xml" ContentType="application/vnd.openxmlformats-officedocument.drawingml.chart+xml"/>
  <Override PartName="/xl/worksheets/sheet67.xml" ContentType="application/vnd.openxmlformats-officedocument.spreadsheetml.worksheet+xml"/>
  <Override PartName="/xl/worksheets/sheet122.xml" ContentType="application/vnd.openxmlformats-officedocument.spreadsheetml.worksheet+xml"/>
  <Override PartName="/xl/worksheets/sheet267.xml" ContentType="application/vnd.openxmlformats-officedocument.spreadsheetml.worksheet+xml"/>
  <Override PartName="/xl/charts/chart32.xml" ContentType="application/vnd.openxmlformats-officedocument.drawingml.chart+xml"/>
  <Override PartName="/xl/worksheets/sheet45.xml" ContentType="application/vnd.openxmlformats-officedocument.spreadsheetml.worksheet+xml"/>
  <Override PartName="/xl/worksheets/sheet92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92.xml" ContentType="application/vnd.openxmlformats-officedocument.spreadsheetml.worksheet+xml"/>
  <Override PartName="/xl/worksheets/sheet100.xml" ContentType="application/vnd.openxmlformats-officedocument.spreadsheetml.worksheet+xml"/>
  <Override PartName="/xl/worksheets/sheet368.xml" ContentType="application/vnd.openxmlformats-officedocument.spreadsheetml.worksheet+xml"/>
  <Override PartName="/xl/charts/chart10.xml" ContentType="application/vnd.openxmlformats-officedocument.drawingml.chart+xml"/>
  <Override PartName="/xl/worksheets/sheet23.xml" ContentType="application/vnd.openxmlformats-officedocument.spreadsheetml.worksheet+xml"/>
  <Override PartName="/xl/worksheets/sheet70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70.xml" ContentType="application/vnd.openxmlformats-officedocument.spreadsheetml.worksheet+xml"/>
  <Override PartName="/xl/drawings/drawing49.xml" ContentType="application/vnd.openxmlformats-officedocument.drawing+xml"/>
  <Override PartName="/xl/charts/chart177.xml" ContentType="application/vnd.openxmlformats-officedocument.drawingml.chart+xml"/>
  <Override PartName="/xl/worksheets/sheet201.xml" ContentType="application/vnd.openxmlformats-officedocument.spreadsheetml.worksheet+xml"/>
  <Override PartName="/xl/worksheets/sheet346.xml" ContentType="application/vnd.openxmlformats-officedocument.spreadsheetml.worksheet+xml"/>
  <Override PartName="/xl/drawings/drawing27.xml" ContentType="application/vnd.openxmlformats-officedocument.drawing+xml"/>
  <Override PartName="/xl/drawings/drawing74.xml" ContentType="application/vnd.openxmlformats-officedocument.drawing+xml"/>
  <Override PartName="/xl/worksheets/sheet138.xml" ContentType="application/vnd.openxmlformats-officedocument.spreadsheetml.worksheet+xml"/>
  <Override PartName="/xl/worksheets/sheet185.xml" ContentType="application/vnd.openxmlformats-officedocument.spreadsheetml.worksheet+xml"/>
  <Override PartName="/xl/charts/chart48.xml" ContentType="application/vnd.openxmlformats-officedocument.drawingml.chart+xml"/>
  <Override PartName="/xl/charts/chart95.xml" ContentType="application/vnd.openxmlformats-officedocument.drawingml.chart+xml"/>
  <Override PartName="/xl/charts/chart108.xml" ContentType="application/vnd.openxmlformats-officedocument.drawingml.chart+xml"/>
  <Override PartName="/xl/charts/chart155.xml" ContentType="application/vnd.openxmlformats-officedocument.drawingml.char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71.xml" ContentType="application/vnd.openxmlformats-officedocument.spreadsheetml.worksheet+xml"/>
  <Override PartName="/xl/drawings/drawing1.xml" ContentType="application/vnd.openxmlformats-officedocument.drawing+xml"/>
  <Override PartName="/xl/drawings/drawing52.xml" ContentType="application/vnd.openxmlformats-officedocument.drawing+xml"/>
  <Override PartName="/xl/charts/chart133.xml" ContentType="application/vnd.openxmlformats-officedocument.drawingml.chart+xml"/>
  <Override PartName="/xl/charts/chart180.xml" ContentType="application/vnd.openxmlformats-officedocument.drawingml.chart+xml"/>
  <Override PartName="/xl/worksheets/sheet163.xml" ContentType="application/vnd.openxmlformats-officedocument.spreadsheetml.worksheet+xml"/>
  <Override PartName="/xl/worksheets/sheet302.xml" ContentType="application/vnd.openxmlformats-officedocument.spreadsheetml.worksheet+xml"/>
  <Override PartName="/xl/charts/chart26.xml" ContentType="application/vnd.openxmlformats-officedocument.drawingml.chart+xml"/>
  <Override PartName="/xl/drawings/drawing30.xml" ContentType="application/vnd.openxmlformats-officedocument.drawing+xml"/>
  <Override PartName="/xl/charts/chart73.xml" ContentType="application/vnd.openxmlformats-officedocument.drawingml.chart+xml"/>
  <Override PartName="/xl/worksheets/sheet39.xml" ContentType="application/vnd.openxmlformats-officedocument.spreadsheetml.worksheet+xml"/>
  <Override PartName="/xl/worksheets/sheet86.xml" ContentType="application/vnd.openxmlformats-officedocument.spreadsheetml.worksheet+xml"/>
  <Override PartName="/xl/worksheets/sheet141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86.xml" ContentType="application/vnd.openxmlformats-officedocument.spreadsheetml.worksheet+xml"/>
  <Override PartName="/xl/charts/chart51.xml" ContentType="application/vnd.openxmlformats-officedocument.drawingml.chart+xml"/>
  <Override PartName="/xl/charts/chart111.xml" ContentType="application/vnd.openxmlformats-officedocument.drawingml.chart+xml"/>
  <Override PartName="/xl/worksheets/sheet17.xml" ContentType="application/vnd.openxmlformats-officedocument.spreadsheetml.worksheet+xml"/>
  <Override PartName="/xl/worksheets/sheet64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64.xml" ContentType="application/vnd.openxmlformats-officedocument.spreadsheetml.worksheet+xml"/>
  <Override PartName="/xl/charts/chart8.xml" ContentType="application/vnd.openxmlformats-officedocument.drawingml.chart+xml"/>
  <Override PartName="/xl/worksheets/sheet387.xml" ContentType="application/vnd.openxmlformats-officedocument.spreadsheetml.worksheet+xml"/>
  <Override PartName="/xl/drawings/drawing68.xml" ContentType="application/vnd.openxmlformats-officedocument.drawing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42.xml" ContentType="application/vnd.openxmlformats-officedocument.spreadsheetml.worksheet+xml"/>
  <Override PartName="/xl/charts/chart149.xml" ContentType="application/vnd.openxmlformats-officedocument.drawingml.chart+xml"/>
  <Override PartName="/xl/charts/chart196.xml" ContentType="application/vnd.openxmlformats-officedocument.drawingml.chart+xml"/>
  <Override PartName="/xl/worksheets/sheet20.xml" ContentType="application/vnd.openxmlformats-officedocument.spreadsheetml.worksheet+xml"/>
  <Override PartName="/xl/worksheets/sheet220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65.xml" ContentType="application/vnd.openxmlformats-officedocument.spreadsheetml.worksheet+xml"/>
  <Override PartName="/xl/drawings/drawing46.xml" ContentType="application/vnd.openxmlformats-officedocument.drawing+xml"/>
  <Override PartName="/xl/charts/chart89.xml" ContentType="application/vnd.openxmlformats-officedocument.drawingml.chart+xml"/>
  <Override PartName="/xl/worksheets/sheet157.xml" ContentType="application/vnd.openxmlformats-officedocument.spreadsheetml.worksheet+xml"/>
  <Override PartName="/xl/worksheets/sheet343.xml" ContentType="application/vnd.openxmlformats-officedocument.spreadsheetml.worksheet+xml"/>
  <Override PartName="/xl/charts/chart67.xml" ContentType="application/vnd.openxmlformats-officedocument.drawingml.chart+xml"/>
  <Override PartName="/xl/charts/chart127.xml" ContentType="application/vnd.openxmlformats-officedocument.drawingml.chart+xml"/>
  <Override PartName="/xl/charts/chart174.xml" ContentType="application/vnd.openxmlformats-officedocument.drawingml.chart+xml"/>
  <Override PartName="/xl/worksheets/sheet135.xml" ContentType="application/vnd.openxmlformats-officedocument.spreadsheetml.worksheet+xml"/>
  <Override PartName="/xl/worksheets/sheet182.xml" ContentType="application/vnd.openxmlformats-officedocument.spreadsheetml.worksheet+xml"/>
  <Override PartName="/xl/drawings/drawing24.xml" ContentType="application/vnd.openxmlformats-officedocument.drawing+xml"/>
  <Override PartName="/xl/charts/chart105.xml" ContentType="application/vnd.openxmlformats-officedocument.drawingml.chart+xml"/>
  <Override PartName="/xl/drawings/drawing71.xml" ContentType="application/vnd.openxmlformats-officedocument.drawing+xml"/>
  <Override PartName="/xl/charts/chart152.xml" ContentType="application/vnd.openxmlformats-officedocument.drawingml.chart+xml"/>
  <Override PartName="/xl/worksheets/sheet321.xml" ContentType="application/vnd.openxmlformats-officedocument.spreadsheetml.worksheet+xml"/>
  <Override PartName="/xl/externalLinks/externalLink1.xml" ContentType="application/vnd.openxmlformats-officedocument.spreadsheetml.externalLink+xml"/>
  <Override PartName="/xl/charts/chart45.xml" ContentType="application/vnd.openxmlformats-officedocument.drawingml.chart+xml"/>
  <Override PartName="/xl/charts/chart92.xml" ContentType="application/vnd.openxmlformats-officedocument.drawingml.chart+xml"/>
  <Override PartName="/xl/worksheets/sheet58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58.xml" ContentType="application/vnd.openxmlformats-officedocument.spreadsheetml.worksheet+xml"/>
  <Override PartName="/xl/charts/chart23.xml" ContentType="application/vnd.openxmlformats-officedocument.drawingml.chart+xml"/>
  <Override PartName="/xl/charts/chart70.xml" ContentType="application/vnd.openxmlformats-officedocument.drawingml.chart+xml"/>
  <Override PartName="/xl/charts/chart130.xml" ContentType="application/vnd.openxmlformats-officedocument.drawingml.chart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83.xml" ContentType="application/vnd.openxmlformats-officedocument.spreadsheetml.worksheet+xml"/>
  <Override PartName="/xl/worksheets/sheet359.xml" ContentType="application/vnd.openxmlformats-officedocument.spreadsheetml.worksheet+xml"/>
  <Default Extension="bin" ContentType="application/vnd.openxmlformats-officedocument.spreadsheetml.printerSettings"/>
  <Override PartName="/xl/drawings/drawing87.xml" ContentType="application/vnd.openxmlformats-officedocument.drawing+xml"/>
  <Override PartName="/xl/worksheets/sheet14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61.xml" ContentType="application/vnd.openxmlformats-officedocument.spreadsheetml.worksheet+xml"/>
  <Override PartName="/xl/charts/chart5.xml" ContentType="application/vnd.openxmlformats-officedocument.drawingml.chart+xml"/>
  <Override PartName="/xl/charts/chart168.xml" ContentType="application/vnd.openxmlformats-officedocument.drawingml.chart+xml"/>
  <Override PartName="/xl/worksheets/sheet337.xml" ContentType="application/vnd.openxmlformats-officedocument.spreadsheetml.worksheet+xml"/>
  <Override PartName="/xl/worksheets/sheet384.xml" ContentType="application/vnd.openxmlformats-officedocument.spreadsheetml.worksheet+xml"/>
  <Override PartName="/xl/drawings/drawing18.xml" ContentType="application/vnd.openxmlformats-officedocument.drawing+xml"/>
  <Override PartName="/xl/drawings/drawing65.xml" ContentType="application/vnd.openxmlformats-officedocument.drawing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62.xml" ContentType="application/vnd.openxmlformats-officedocument.spreadsheetml.worksheet+xml"/>
  <Override PartName="/xl/charts/chart39.xml" ContentType="application/vnd.openxmlformats-officedocument.drawingml.chart+xml"/>
  <Override PartName="/xl/drawings/drawing43.xml" ContentType="application/vnd.openxmlformats-officedocument.drawing+xml"/>
  <Override PartName="/xl/charts/chart86.xml" ContentType="application/vnd.openxmlformats-officedocument.drawingml.chart+xml"/>
  <Override PartName="/xl/charts/chart146.xml" ContentType="application/vnd.openxmlformats-officedocument.drawingml.chart+xml"/>
  <Override PartName="/xl/drawings/drawing90.xml" ContentType="application/vnd.openxmlformats-officedocument.drawing+xml"/>
  <Override PartName="/xl/charts/chart193.xml" ContentType="application/vnd.openxmlformats-officedocument.drawingml.char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54.xml" ContentType="application/vnd.openxmlformats-officedocument.spreadsheetml.worksheet+xml"/>
  <Override PartName="/xl/worksheets/sheet299.xml" ContentType="application/vnd.openxmlformats-officedocument.spreadsheetml.worksheet+xml"/>
  <Override PartName="/xl/charts/chart124.xml" ContentType="application/vnd.openxmlformats-officedocument.drawingml.chart+xml"/>
  <Override PartName="/xl/charts/chart171.xml" ContentType="application/vnd.openxmlformats-officedocument.drawingml.chart+xml"/>
  <Override PartName="/xl/worksheets/sheet77.xml" ContentType="application/vnd.openxmlformats-officedocument.spreadsheetml.worksheet+xml"/>
  <Override PartName="/xl/worksheets/sheet277.xml" ContentType="application/vnd.openxmlformats-officedocument.spreadsheetml.worksheet+xml"/>
  <Override PartName="/xl/worksheets/sheet340.xml" ContentType="application/vnd.openxmlformats-officedocument.spreadsheetml.worksheet+xml"/>
  <Override PartName="/xl/charts/chart17.xml" ContentType="application/vnd.openxmlformats-officedocument.drawingml.chart+xml"/>
  <Override PartName="/xl/drawings/drawing21.xml" ContentType="application/vnd.openxmlformats-officedocument.drawing+xml"/>
  <Override PartName="/xl/charts/chart64.xml" ContentType="application/vnd.openxmlformats-officedocument.drawingml.chart+xml"/>
  <Default Extension="gif" ContentType="image/gif"/>
  <Override PartName="/xl/worksheets/sheet132.xml" ContentType="application/vnd.openxmlformats-officedocument.spreadsheetml.worksheet+xml"/>
  <Override PartName="/xl/charts/chart42.xml" ContentType="application/vnd.openxmlformats-officedocument.drawingml.chart+xml"/>
  <Override PartName="/xl/charts/chart102.xml" ContentType="application/vnd.openxmlformats-officedocument.drawingml.chart+xml"/>
  <Override PartName="/xl/worksheets/sheet55.xml" ContentType="application/vnd.openxmlformats-officedocument.spreadsheetml.worksheet+xml"/>
  <Override PartName="/xl/worksheets/sheet110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55.xml" ContentType="application/vnd.openxmlformats-officedocument.spreadsheetml.worksheet+xml"/>
  <Override PartName="/xl/worksheets/sheet378.xml" ContentType="application/vnd.openxmlformats-officedocument.spreadsheetml.worksheet+xml"/>
  <Override PartName="/xl/charts/chart20.xml" ContentType="application/vnd.openxmlformats-officedocument.drawingml.chart+xml"/>
  <Override PartName="/xl/drawings/drawing59.xml" ContentType="application/vnd.openxmlformats-officedocument.drawing+xml"/>
  <Override PartName="/xl/worksheets/sheet9.xml" ContentType="application/vnd.openxmlformats-officedocument.spreadsheetml.worksheet+xml"/>
  <Override PartName="/xl/worksheets/sheet33.xml" ContentType="application/vnd.openxmlformats-officedocument.spreadsheetml.worksheet+xml"/>
  <Override PartName="/xl/worksheets/sheet80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80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charts/chart187.xml" ContentType="application/vnd.openxmlformats-officedocument.drawingml.chart+xml"/>
  <Override PartName="/xl/worksheets/sheet11.xml" ContentType="application/vnd.openxmlformats-officedocument.spreadsheetml.worksheet+xml"/>
  <Override PartName="/xl/worksheets/sheet211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56.xml" ContentType="application/vnd.openxmlformats-officedocument.spreadsheetml.worksheet+xml"/>
  <Override PartName="/xl/charts/chart2.xml" ContentType="application/vnd.openxmlformats-officedocument.drawingml.chart+xml"/>
  <Override PartName="/xl/drawings/drawing37.xml" ContentType="application/vnd.openxmlformats-officedocument.drawing+xml"/>
  <Override PartName="/xl/charts/chart118.xml" ContentType="application/vnd.openxmlformats-officedocument.drawingml.chart+xml"/>
  <Override PartName="/xl/charts/chart165.xml" ContentType="application/vnd.openxmlformats-officedocument.drawingml.chart+xml"/>
  <Override PartName="/xl/drawings/drawing84.xml" ContentType="application/vnd.openxmlformats-officedocument.drawing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81.xml" ContentType="application/vnd.openxmlformats-officedocument.spreadsheetml.worksheet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charts/chart58.xml" ContentType="application/vnd.openxmlformats-officedocument.drawingml.chart+xml"/>
  <Override PartName="/xl/charts/chart107.xml" ContentType="application/vnd.openxmlformats-officedocument.drawingml.chart+xml"/>
  <Override PartName="/xl/drawings/drawing62.xml" ContentType="application/vnd.openxmlformats-officedocument.drawing+xml"/>
  <Override PartName="/xl/charts/chart154.xml" ContentType="application/vnd.openxmlformats-officedocument.drawingml.chart+xml"/>
  <Override PartName="/xl/drawings/drawing73.xml" ContentType="application/vnd.openxmlformats-officedocument.drawing+xml"/>
  <Override PartName="/xl/worksheets/sheet126.xml" ContentType="application/vnd.openxmlformats-officedocument.spreadsheetml.worksheet+xml"/>
  <Override PartName="/xl/worksheets/sheet173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70.xml" ContentType="application/vnd.openxmlformats-officedocument.spreadsheetml.worksheet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charts/chart83.xml" ContentType="application/vnd.openxmlformats-officedocument.drawingml.chart+xml"/>
  <Override PartName="/xl/drawings/drawing51.xml" ContentType="application/vnd.openxmlformats-officedocument.drawing+xml"/>
  <Override PartName="/xl/charts/chart94.xml" ContentType="application/vnd.openxmlformats-officedocument.drawingml.chart+xml"/>
  <Override PartName="/xl/charts/chart143.xml" ContentType="application/vnd.openxmlformats-officedocument.drawingml.chart+xml"/>
  <Override PartName="/xl/charts/chart190.xml" ContentType="application/vnd.openxmlformats-officedocument.drawingml.char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62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96.xml" ContentType="application/vnd.openxmlformats-officedocument.spreadsheetml.worksheet+xml"/>
  <Override PartName="/xl/worksheets/sheet312.xml" ContentType="application/vnd.openxmlformats-officedocument.spreadsheetml.worksheet+xml"/>
  <Override PartName="/xl/charts/chart25.xml" ContentType="application/vnd.openxmlformats-officedocument.drawingml.chart+xml"/>
  <Override PartName="/xl/drawings/drawing40.xml" ContentType="application/vnd.openxmlformats-officedocument.drawing+xml"/>
  <Override PartName="/xl/charts/chart72.xml" ContentType="application/vnd.openxmlformats-officedocument.drawingml.chart+xml"/>
  <Override PartName="/xl/charts/chart132.xml" ContentType="application/vnd.openxmlformats-officedocument.drawingml.chart+xml"/>
  <Override PartName="/xl/worksheets/sheet38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85.xml" ContentType="application/vnd.openxmlformats-officedocument.spreadsheetml.worksheet+xml"/>
  <Override PartName="/xl/worksheets/sheet301.xml" ContentType="application/vnd.openxmlformats-officedocument.spreadsheetml.worksheet+xml"/>
  <Override PartName="/xl/charts/chart14.xml" ContentType="application/vnd.openxmlformats-officedocument.drawingml.chart+xml"/>
  <Override PartName="/xl/charts/chart61.xml" ContentType="application/vnd.openxmlformats-officedocument.drawingml.chart+xml"/>
  <Override PartName="/xl/charts/chart110.xml" ContentType="application/vnd.openxmlformats-officedocument.drawingml.chart+xml"/>
  <Override PartName="/xl/charts/chart121.xml" ContentType="application/vnd.openxmlformats-officedocument.drawingml.chart+xml"/>
  <Override PartName="/xl/worksheets/sheet27.xml" ContentType="application/vnd.openxmlformats-officedocument.spreadsheetml.worksheet+xml"/>
  <Override PartName="/xl/worksheets/sheet7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74.xml" ContentType="application/vnd.openxmlformats-officedocument.spreadsheetml.worksheet+xml"/>
  <Override PartName="/xl/charts/chart50.xml" ContentType="application/vnd.openxmlformats-officedocument.drawingml.chart+xml"/>
  <Override PartName="/xl/drawings/drawing89.xml" ContentType="application/vnd.openxmlformats-officedocument.drawing+xml"/>
  <Override PartName="/xl/worksheets/sheet16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63.xml" ContentType="application/vnd.openxmlformats-officedocument.spreadsheetml.worksheet+xml"/>
  <Override PartName="/xl/charts/chart7.xml" ContentType="application/vnd.openxmlformats-officedocument.drawingml.chart+xml"/>
  <Override PartName="/xl/drawings/drawing78.xml" ContentType="application/vnd.openxmlformats-officedocument.drawing+xml"/>
  <Override PartName="/xl/worksheets/sheet41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41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86.xml" ContentType="application/vnd.openxmlformats-officedocument.spreadsheetml.worksheet+xml"/>
  <Override PartName="/xl/charts/chart99.xml" ContentType="application/vnd.openxmlformats-officedocument.drawingml.chart+xml"/>
  <Override PartName="/xl/drawings/drawing67.xml" ContentType="application/vnd.openxmlformats-officedocument.drawing+xml"/>
  <Override PartName="/xl/charts/chart159.xml" ContentType="application/vnd.openxmlformats-officedocument.drawingml.chart+xml"/>
  <Override PartName="/xl/worksheets/sheet6.xml" ContentType="application/vnd.openxmlformats-officedocument.spreadsheetml.worksheet+xml"/>
  <Override PartName="/xl/worksheets/sheet30.xml" ContentType="application/vnd.openxmlformats-officedocument.spreadsheetml.worksheet+xml"/>
  <Override PartName="/xl/worksheets/sheet178.xml" ContentType="application/vnd.openxmlformats-officedocument.spreadsheetml.worksheet+xml"/>
  <Override PartName="/xl/worksheets/sheet230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75.xml" ContentType="application/vnd.openxmlformats-officedocument.spreadsheetml.worksheet+xml"/>
  <Override PartName="/xl/drawings/drawing5.xml" ContentType="application/vnd.openxmlformats-officedocument.drawing+xml"/>
  <Override PartName="/xl/drawings/drawing45.xml" ContentType="application/vnd.openxmlformats-officedocument.drawing+xml"/>
  <Override PartName="/xl/charts/chart88.xml" ContentType="application/vnd.openxmlformats-officedocument.drawingml.chart+xml"/>
  <Override PartName="/xl/drawings/drawing56.xml" ContentType="application/vnd.openxmlformats-officedocument.drawing+xml"/>
  <Override PartName="/xl/charts/chart137.xml" ContentType="application/vnd.openxmlformats-officedocument.drawingml.chart+xml"/>
  <Override PartName="/xl/charts/chart148.xml" ContentType="application/vnd.openxmlformats-officedocument.drawingml.chart+xml"/>
  <Override PartName="/xl/charts/chart184.xml" ContentType="application/vnd.openxmlformats-officedocument.drawingml.chart+xml"/>
  <Override PartName="/xl/charts/chart195.xml" ContentType="application/vnd.openxmlformats-officedocument.drawingml.chart+xml"/>
  <Override PartName="/xl/drawings/drawing92.xml" ContentType="application/vnd.openxmlformats-officedocument.drawing+xml"/>
  <Override PartName="/xl/worksheets/sheet109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53.xml" ContentType="application/vnd.openxmlformats-officedocument.spreadsheetml.worksheet+xml"/>
  <Override PartName="/xl/drawings/drawing34.xml" ContentType="application/vnd.openxmlformats-officedocument.drawing+xml"/>
  <Override PartName="/xl/charts/chart77.xml" ContentType="application/vnd.openxmlformats-officedocument.drawingml.chart+xml"/>
  <Override PartName="/xl/charts/chart126.xml" ContentType="application/vnd.openxmlformats-officedocument.drawingml.chart+xml"/>
  <Override PartName="/xl/charts/chart173.xml" ContentType="application/vnd.openxmlformats-officedocument.drawingml.chart+xml"/>
  <Override PartName="/xl/drawings/drawing81.xml" ContentType="application/vnd.openxmlformats-officedocument.drawing+xml"/>
  <Override PartName="/xl/worksheets/sheet145.xml" ContentType="application/vnd.openxmlformats-officedocument.spreadsheetml.worksheet+xml"/>
  <Override PartName="/xl/worksheets/sheet192.xml" ContentType="application/vnd.openxmlformats-officedocument.spreadsheetml.worksheet+xml"/>
  <Override PartName="/xl/worksheets/sheet342.xml" ContentType="application/vnd.openxmlformats-officedocument.spreadsheetml.worksheet+xml"/>
  <Override PartName="/xl/charts/chart19.xml" ContentType="application/vnd.openxmlformats-officedocument.drawingml.chart+xml"/>
  <Override PartName="/xl/drawings/drawing23.xml" ContentType="application/vnd.openxmlformats-officedocument.drawing+xml"/>
  <Override PartName="/xl/charts/chart55.xml" ContentType="application/vnd.openxmlformats-officedocument.drawingml.chart+xml"/>
  <Override PartName="/xl/charts/chart66.xml" ContentType="application/vnd.openxmlformats-officedocument.drawingml.chart+xml"/>
  <Override PartName="/xl/charts/chart115.xml" ContentType="application/vnd.openxmlformats-officedocument.drawingml.chart+xml"/>
  <Override PartName="/xl/drawings/drawing70.xml" ContentType="application/vnd.openxmlformats-officedocument.drawing+xml"/>
  <Override PartName="/xl/charts/chart162.xml" ContentType="application/vnd.openxmlformats-officedocument.drawingml.char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31.xml" ContentType="application/vnd.openxmlformats-officedocument.spreadsheetml.worksheet+xml"/>
  <Override PartName="/xl/drawings/drawing12.xml" ContentType="application/vnd.openxmlformats-officedocument.drawing+xml"/>
  <Override PartName="/xl/charts/chart44.xml" ContentType="application/vnd.openxmlformats-officedocument.drawingml.chart+xml"/>
  <Override PartName="/xl/charts/chart91.xml" ContentType="application/vnd.openxmlformats-officedocument.drawingml.chart+xml"/>
  <Override PartName="/xl/charts/chart104.xml" ContentType="application/vnd.openxmlformats-officedocument.drawingml.chart+xml"/>
  <Override PartName="/xl/charts/chart140.xml" ContentType="application/vnd.openxmlformats-officedocument.drawingml.chart+xml"/>
  <Override PartName="/xl/charts/chart151.xml" ContentType="application/vnd.openxmlformats-officedocument.drawingml.chart+xml"/>
  <Override PartName="/xl/worksheets/sheet57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57.xml" ContentType="application/vnd.openxmlformats-officedocument.spreadsheetml.worksheet+xml"/>
  <Override PartName="/xl/charts/chart33.xml" ContentType="application/vnd.openxmlformats-officedocument.drawingml.chart+xml"/>
  <Override PartName="/xl/charts/chart80.xml" ContentType="application/vnd.openxmlformats-officedocument.drawingml.chart+xml"/>
  <Override PartName="/xl/worksheets/sheet46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93.xml" ContentType="application/vnd.openxmlformats-officedocument.spreadsheetml.workshee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worksheets/sheet24.xml" ContentType="application/vnd.openxmlformats-officedocument.spreadsheetml.worksheet+xml"/>
  <Override PartName="/xl/worksheets/sheet71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71.xml" ContentType="application/vnd.openxmlformats-officedocument.spreadsheetml.worksheet+xml"/>
  <Override PartName="/xl/worksheets/sheet369.xml" ContentType="application/vnd.openxmlformats-officedocument.spreadsheetml.worksheet+xml"/>
  <Override PartName="/xl/charts/chart178.xml" ContentType="application/vnd.openxmlformats-officedocument.drawingml.chart+xml"/>
  <Override PartName="/xl/worksheets/sheet139.xml" ContentType="application/vnd.openxmlformats-officedocument.spreadsheetml.worksheet+xml"/>
  <Override PartName="/xl/worksheets/sheet202.xml" ContentType="application/vnd.openxmlformats-officedocument.spreadsheetml.worksheet+xml"/>
  <Override PartName="/xl/worksheets/sheet347.xml" ContentType="application/vnd.openxmlformats-officedocument.spreadsheetml.worksheet+xml"/>
  <Override PartName="/xl/drawings/drawing28.xml" ContentType="application/vnd.openxmlformats-officedocument.drawing+xml"/>
  <Override PartName="/xl/charts/chart109.xml" ContentType="application/vnd.openxmlformats-officedocument.drawingml.chart+xml"/>
  <Override PartName="/xl/charts/chart156.xml" ContentType="application/vnd.openxmlformats-officedocument.drawingml.chart+xml"/>
  <Override PartName="/xl/drawings/drawing75.xml" ContentType="application/vnd.openxmlformats-officedocument.drawing+xml"/>
  <Override PartName="/xl/worksheets/sheet186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72.xml" ContentType="application/vnd.openxmlformats-officedocument.spreadsheetml.worksheet+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drawings/drawing53.xml" ContentType="application/vnd.openxmlformats-officedocument.drawing+xml"/>
  <Override PartName="/xl/charts/chart96.xml" ContentType="application/vnd.openxmlformats-officedocument.drawingml.chart+xml"/>
  <Override PartName="/xl/worksheets/sheet3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charts/chart27.xml" ContentType="application/vnd.openxmlformats-officedocument.drawingml.chart+xml"/>
  <Override PartName="/xl/charts/chart74.xml" ContentType="application/vnd.openxmlformats-officedocument.drawingml.chart+xml"/>
  <Override PartName="/xl/charts/chart134.xml" ContentType="application/vnd.openxmlformats-officedocument.drawingml.chart+xml"/>
  <Override PartName="/xl/charts/chart181.xml" ContentType="application/vnd.openxmlformats-officedocument.drawingml.chart+xml"/>
  <Override PartName="/xl/worksheets/sheet87.xml" ContentType="application/vnd.openxmlformats-officedocument.spreadsheetml.worksheet+xml"/>
  <Override PartName="/xl/worksheets/sheet287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50.xml" ContentType="application/vnd.openxmlformats-officedocument.spreadsheetml.worksheet+xml"/>
  <Override PartName="/xl/drawings/drawing31.xml" ContentType="application/vnd.openxmlformats-officedocument.drawing+xml"/>
  <Override PartName="/xl/charts/chart112.xml" ContentType="application/vnd.openxmlformats-officedocument.drawingml.chart+xml"/>
  <Override PartName="/xl/worksheets/sheet142.xml" ContentType="application/vnd.openxmlformats-officedocument.spreadsheetml.worksheet+xml"/>
  <Override PartName="/xl/charts/chart52.xml" ContentType="application/vnd.openxmlformats-officedocument.drawingml.chart+xml"/>
  <Override PartName="/xl/worksheets/sheet18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65.xml" ContentType="application/vnd.openxmlformats-officedocument.spreadsheetml.worksheet+xml"/>
  <Override PartName="/xl/charts/chart9.xml" ContentType="application/vnd.openxmlformats-officedocument.drawingml.chart+xml"/>
  <Override PartName="/xl/charts/chart30.xml" ContentType="application/vnd.openxmlformats-officedocument.drawingml.char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90.xml" ContentType="application/vnd.openxmlformats-officedocument.spreadsheetml.worksheet+xml"/>
  <Override PartName="/xl/worksheets/sheet388.xml" ContentType="application/vnd.openxmlformats-officedocument.spreadsheetml.worksheet+xml"/>
  <Override PartName="/xl/drawings/drawing69.xml" ContentType="application/vnd.openxmlformats-officedocument.drawing+xml"/>
  <Override PartName="/xl/worksheets/sheet319.xml" ContentType="application/vnd.openxmlformats-officedocument.spreadsheetml.worksheet+xml"/>
  <Override PartName="/xl/worksheets/sheet366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221.xml" ContentType="application/vnd.openxmlformats-officedocument.spreadsheetml.worksheet+xml"/>
  <Override PartName="/xl/drawings/drawing47.xml" ContentType="application/vnd.openxmlformats-officedocument.drawing+xml"/>
  <Override PartName="/xl/charts/chart128.xml" ContentType="application/vnd.openxmlformats-officedocument.drawingml.chart+xml"/>
  <Override PartName="/xl/charts/chart175.xml" ContentType="application/vnd.openxmlformats-officedocument.drawingml.chart+xml"/>
  <Override PartName="/xl/worksheets/sheet344.xml" ContentType="application/vnd.openxmlformats-officedocument.spreadsheetml.worksheet+xml"/>
  <Override PartName="/xl/drawings/drawing25.xml" ContentType="application/vnd.openxmlformats-officedocument.drawing+xml"/>
  <Override PartName="/xl/charts/chart68.xml" ContentType="application/vnd.openxmlformats-officedocument.drawingml.chart+xml"/>
  <Override PartName="/xl/drawings/drawing72.xml" ContentType="application/vnd.openxmlformats-officedocument.drawing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worksheets/sheet322.xml" ContentType="application/vnd.openxmlformats-officedocument.spreadsheetml.worksheet+xml"/>
  <Override PartName="/xl/charts/chart46.xml" ContentType="application/vnd.openxmlformats-officedocument.drawingml.chart+xml"/>
  <Override PartName="/xl/charts/chart93.xml" ContentType="application/vnd.openxmlformats-officedocument.drawingml.chart+xml"/>
  <Override PartName="/xl/charts/chart106.xml" ContentType="application/vnd.openxmlformats-officedocument.drawingml.chart+xml"/>
  <Override PartName="/xl/charts/chart153.xml" ContentType="application/vnd.openxmlformats-officedocument.drawingml.chart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61.xml" ContentType="application/vnd.openxmlformats-officedocument.spreadsheetml.worksheet+xml"/>
  <Override PartName="/xl/worksheets/sheet259.xml" ContentType="application/vnd.openxmlformats-officedocument.spreadsheetml.worksheet+xml"/>
  <Override PartName="/xl/drawings/drawing50.xml" ContentType="application/vnd.openxmlformats-officedocument.drawing+xml"/>
  <Override PartName="/xl/charts/chart131.xml" ContentType="application/vnd.openxmlformats-officedocument.drawingml.chart+xml"/>
  <Override PartName="/xl/worksheets/sheet300.xml" ContentType="application/vnd.openxmlformats-officedocument.spreadsheetml.worksheet+xml"/>
  <Override PartName="/xl/charts/chart24.xml" ContentType="application/vnd.openxmlformats-officedocument.drawingml.chart+xml"/>
  <Override PartName="/xl/charts/chart71.xml" ContentType="application/vnd.openxmlformats-officedocument.drawingml.chart+xml"/>
  <Override PartName="/xl/worksheets/sheet37.xml" ContentType="application/vnd.openxmlformats-officedocument.spreadsheetml.worksheet+xml"/>
  <Override PartName="/xl/worksheets/sheet84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84.xml" ContentType="application/vnd.openxmlformats-officedocument.spreadsheetml.worksheet+xml"/>
  <Override PartName="/xl/worksheets/sheet15.xml" ContentType="application/vnd.openxmlformats-officedocument.spreadsheetml.worksheet+xml"/>
  <Override PartName="/xl/worksheets/sheet62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62.xml" ContentType="application/vnd.openxmlformats-officedocument.spreadsheetml.worksheet+xml"/>
  <Override PartName="/xl/charts/chart6.xml" ContentType="application/vnd.openxmlformats-officedocument.drawingml.chart+xml"/>
  <Override PartName="/xl/drawings/drawing88.xml" ContentType="application/vnd.openxmlformats-officedocument.drawing+xml"/>
  <Override PartName="/xl/worksheets/sheet199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85.xml" ContentType="application/vnd.openxmlformats-officedocument.spreadsheetml.worksheet+xml"/>
  <Override PartName="/xl/drawings/drawing19.xml" ContentType="application/vnd.openxmlformats-officedocument.drawing+xml"/>
  <Override PartName="/xl/drawings/drawing66.xml" ContentType="application/vnd.openxmlformats-officedocument.drawing+xml"/>
  <Override PartName="/xl/charts/chart169.xml" ContentType="application/vnd.openxmlformats-officedocument.drawingml.chart+xml"/>
  <Override PartName="/xl/worksheets/sheet40.xml" ContentType="application/vnd.openxmlformats-officedocument.spreadsheetml.worksheet+xml"/>
  <Override PartName="/xl/worksheets/sheet177.xml" ContentType="application/vnd.openxmlformats-officedocument.spreadsheetml.worksheet+xml"/>
  <Override PartName="/xl/worksheets/sheet240.xml" ContentType="application/vnd.openxmlformats-officedocument.spreadsheetml.worksheet+xml"/>
  <Override PartName="/xl/charts/chart147.xml" ContentType="application/vnd.openxmlformats-officedocument.drawingml.chart+xml"/>
  <Override PartName="/xl/charts/chart194.xml" ContentType="application/vnd.openxmlformats-officedocument.drawingml.chart+xml"/>
  <Override PartName="/xl/worksheets/sheet316.xml" ContentType="application/vnd.openxmlformats-officedocument.spreadsheetml.worksheet+xml"/>
  <Override PartName="/xl/worksheets/sheet363.xml" ContentType="application/vnd.openxmlformats-officedocument.spreadsheetml.worksheet+xml"/>
  <Override PartName="/xl/drawings/drawing44.xml" ContentType="application/vnd.openxmlformats-officedocument.drawing+xml"/>
  <Override PartName="/xl/charts/chart87.xml" ContentType="application/vnd.openxmlformats-officedocument.drawingml.chart+xml"/>
  <Override PartName="/xl/drawings/drawing91.xml" ContentType="application/vnd.openxmlformats-officedocument.drawing+xml"/>
  <Override PartName="/xl/worksheets/sheet108.xml" ContentType="application/vnd.openxmlformats-officedocument.spreadsheetml.worksheet+xml"/>
  <Override PartName="/xl/worksheets/sheet155.xml" ContentType="application/vnd.openxmlformats-officedocument.spreadsheetml.worksheet+xml"/>
  <Override PartName="/xl/worksheets/sheet341.xml" ContentType="application/vnd.openxmlformats-officedocument.spreadsheetml.worksheet+xml"/>
  <Override PartName="/xl/charts/chart18.xml" ContentType="application/vnd.openxmlformats-officedocument.drawingml.chart+xml"/>
  <Override PartName="/xl/drawings/drawing22.xml" ContentType="application/vnd.openxmlformats-officedocument.drawing+xml"/>
  <Override PartName="/xl/charts/chart65.xml" ContentType="application/vnd.openxmlformats-officedocument.drawingml.chart+xml"/>
  <Override PartName="/xl/charts/chart125.xml" ContentType="application/vnd.openxmlformats-officedocument.drawingml.chart+xml"/>
  <Override PartName="/xl/charts/chart172.xml" ContentType="application/vnd.openxmlformats-officedocument.drawingml.chart+xml"/>
  <Override PartName="/xl/worksheets/sheet78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80.xml" ContentType="application/vnd.openxmlformats-officedocument.spreadsheetml.worksheet+xml"/>
  <Override PartName="/xl/worksheets/sheet278.xml" ContentType="application/vnd.openxmlformats-officedocument.spreadsheetml.worksheet+xml"/>
  <Override PartName="/xl/charts/chart103.xml" ContentType="application/vnd.openxmlformats-officedocument.drawingml.chart+xml"/>
  <Override PartName="/xl/charts/chart150.xml" ContentType="application/vnd.openxmlformats-officedocument.drawingml.chart+xml"/>
  <Override PartName="/xl/charts/chart43.xml" ContentType="application/vnd.openxmlformats-officedocument.drawingml.chart+xml"/>
  <Override PartName="/xl/charts/chart90.xml" ContentType="application/vnd.openxmlformats-officedocument.drawingml.chart+xml"/>
  <Override PartName="/xl/worksheets/sheet56.xml" ContentType="application/vnd.openxmlformats-officedocument.spreadsheetml.worksheet+xml"/>
  <Override PartName="/xl/worksheets/sheet111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56.xml" ContentType="application/vnd.openxmlformats-officedocument.spreadsheetml.worksheet+xml"/>
  <Override PartName="/xl/charts/chart21.xml" ContentType="application/vnd.openxmlformats-officedocument.drawingml.chart+xml"/>
  <Override PartName="/xl/worksheets/sheet34.xml" ContentType="application/vnd.openxmlformats-officedocument.spreadsheetml.worksheet+xml"/>
  <Override PartName="/xl/worksheets/sheet81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81.xml" ContentType="application/vnd.openxmlformats-officedocument.spreadsheetml.worksheet+xml"/>
  <Override PartName="/xl/worksheets/sheet379.xml" ContentType="application/vnd.openxmlformats-officedocument.spreadsheetml.worksheet+xml"/>
  <Override PartName="/xl/drawings/drawing9.xml" ContentType="application/vnd.openxmlformats-officedocument.drawing+xml"/>
  <Override PartName="/xl/charts/chart188.xml" ContentType="application/vnd.openxmlformats-officedocument.drawingml.chart+xml"/>
  <Override PartName="/xl/worksheets/sheet357.xml" ContentType="application/vnd.openxmlformats-officedocument.spreadsheetml.worksheet+xml"/>
  <Override PartName="/xl/drawings/drawing38.xml" ContentType="application/vnd.openxmlformats-officedocument.drawing+xml"/>
  <Override PartName="/xl/drawings/drawing85.xml" ContentType="application/vnd.openxmlformats-officedocument.drawing+xml"/>
  <Override PartName="/xl/worksheets/sheet12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12.xml" ContentType="application/vnd.openxmlformats-officedocument.spreadsheetml.worksheet+xml"/>
  <Override PartName="/xl/charts/chart3.xml" ContentType="application/vnd.openxmlformats-officedocument.drawingml.chart+xml"/>
  <Override PartName="/xl/charts/chart59.xml" ContentType="application/vnd.openxmlformats-officedocument.drawingml.chart+xml"/>
  <Override PartName="/xl/charts/chart119.xml" ContentType="application/vnd.openxmlformats-officedocument.drawingml.chart+xml"/>
  <Override PartName="/xl/charts/chart166.xml" ContentType="application/vnd.openxmlformats-officedocument.drawingml.chart+xml"/>
  <Override PartName="/xl/worksheets/sheet335.xml" ContentType="application/vnd.openxmlformats-officedocument.spreadsheetml.worksheet+xml"/>
  <Override PartName="/xl/worksheets/sheet382.xml" ContentType="application/vnd.openxmlformats-officedocument.spreadsheetml.worksheet+xml"/>
  <Override PartName="/xl/drawings/drawing16.xml" ContentType="application/vnd.openxmlformats-officedocument.drawing+xml"/>
  <Override PartName="/xl/drawings/drawing63.xml" ContentType="application/vnd.openxmlformats-officedocument.drawing+xml"/>
  <Override PartName="/xl/worksheets/sheet127.xml" ContentType="application/vnd.openxmlformats-officedocument.spreadsheetml.worksheet+xml"/>
  <Override PartName="/xl/worksheets/sheet174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60.xml" ContentType="application/vnd.openxmlformats-officedocument.spreadsheetml.worksheet+xml"/>
  <Override PartName="/xl/charts/chart37.xml" ContentType="application/vnd.openxmlformats-officedocument.drawingml.chart+xml"/>
  <Override PartName="/xl/drawings/drawing41.xml" ContentType="application/vnd.openxmlformats-officedocument.drawing+xml"/>
  <Override PartName="/xl/charts/chart84.xml" ContentType="application/vnd.openxmlformats-officedocument.drawingml.chart+xml"/>
  <Override PartName="/xl/charts/chart144.xml" ContentType="application/vnd.openxmlformats-officedocument.drawingml.chart+xml"/>
  <Override PartName="/xl/charts/chart191.xml" ContentType="application/vnd.openxmlformats-officedocument.drawingml.char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52.xml" ContentType="application/vnd.openxmlformats-officedocument.spreadsheetml.worksheet+xml"/>
  <Override PartName="/xl/worksheets/sheet297.xml" ContentType="application/vnd.openxmlformats-officedocument.spreadsheetml.worksheet+xml"/>
  <Override PartName="/xl/charts/chart122.xml" ContentType="application/vnd.openxmlformats-officedocument.drawingml.chart+xml"/>
  <Override PartName="/xl/worksheets/sheet28.xml" ContentType="application/vnd.openxmlformats-officedocument.spreadsheetml.worksheet+xml"/>
  <Override PartName="/xl/worksheets/sheet75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75.xml" ContentType="application/vnd.openxmlformats-officedocument.spreadsheetml.worksheet+xml"/>
  <Override PartName="/xl/charts/chart15.xml" ContentType="application/vnd.openxmlformats-officedocument.drawingml.chart+xml"/>
  <Override PartName="/xl/charts/chart62.xml" ContentType="application/vnd.openxmlformats-officedocument.drawingml.chart+xml"/>
  <Override PartName="/xl/worksheets/sheet130.xml" ContentType="application/vnd.openxmlformats-officedocument.spreadsheetml.worksheet+xml"/>
  <Override PartName="/xl/charts/chart40.xml" ContentType="application/vnd.openxmlformats-officedocument.drawingml.chart+xml"/>
  <Override PartName="/xl/charts/chart100.xml" ContentType="application/vnd.openxmlformats-officedocument.drawingml.char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drawings/drawing79.xml" ContentType="application/vnd.openxmlformats-officedocument.drawing+xml"/>
  <Override PartName="/xl/worksheets/sheet231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76.xml" ContentType="application/vnd.openxmlformats-officedocument.spreadsheetml.worksheet+xml"/>
  <Override PartName="/xl/drawings/drawing6.xml" ContentType="application/vnd.openxmlformats-officedocument.drawing+xml"/>
  <Override PartName="/xl/drawings/drawing57.xml" ContentType="application/vnd.openxmlformats-officedocument.drawing+xml"/>
  <Override PartName="/xl/worksheets/sheet7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charts/chart78.xml" ContentType="application/vnd.openxmlformats-officedocument.drawingml.chart+xml"/>
  <Override PartName="/xl/charts/chart138.xml" ContentType="application/vnd.openxmlformats-officedocument.drawingml.chart+xml"/>
  <Override PartName="/xl/charts/chart185.xml" ContentType="application/vnd.openxmlformats-officedocument.drawingml.chart+xml"/>
  <Override PartName="/xl/worksheets/sheet307.xml" ContentType="application/vnd.openxmlformats-officedocument.spreadsheetml.worksheet+xml"/>
  <Override PartName="/xl/worksheets/sheet354.xml" ContentType="application/vnd.openxmlformats-officedocument.spreadsheetml.worksheet+xml"/>
  <Override PartName="/xl/drawings/drawing35.xml" ContentType="application/vnd.openxmlformats-officedocument.drawing+xml"/>
  <Override PartName="/xl/charts/chart116.xml" ContentType="application/vnd.openxmlformats-officedocument.drawingml.chart+xml"/>
  <Override PartName="/xl/charts/chart163.xml" ContentType="application/vnd.openxmlformats-officedocument.drawingml.chart+xml"/>
  <Override PartName="/xl/drawings/drawing82.xml" ContentType="application/vnd.openxmlformats-officedocument.drawing+xml"/>
  <Override PartName="/xl/worksheets/sheet146.xml" ContentType="application/vnd.openxmlformats-officedocument.spreadsheetml.worksheet+xml"/>
  <Override PartName="/xl/worksheets/sheet193.xml" ContentType="application/vnd.openxmlformats-officedocument.spreadsheetml.worksheet+xml"/>
  <Override PartName="/xl/worksheets/sheet332.xml" ContentType="application/vnd.openxmlformats-officedocument.spreadsheetml.worksheet+xml"/>
  <Override PartName="/xl/drawings/drawing13.xml" ContentType="application/vnd.openxmlformats-officedocument.drawing+xml"/>
  <Override PartName="/xl/charts/chart56.xml" ContentType="application/vnd.openxmlformats-officedocument.drawingml.chart+xml"/>
  <Override PartName="/xl/drawings/drawing60.xml" ContentType="application/vnd.openxmlformats-officedocument.drawing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269.xml" ContentType="application/vnd.openxmlformats-officedocument.spreadsheetml.worksheet+xml"/>
  <Override PartName="/xl/charts/chart34.xml" ContentType="application/vnd.openxmlformats-officedocument.drawingml.chart+xml"/>
  <Override PartName="/xl/charts/chart81.xml" ContentType="application/vnd.openxmlformats-officedocument.drawingml.chart+xml"/>
  <Override PartName="/xl/charts/chart141.xml" ContentType="application/vnd.openxmlformats-officedocument.drawingml.chart+xml"/>
  <Override PartName="/xl/worksheets/sheet47.xml" ContentType="application/vnd.openxmlformats-officedocument.spreadsheetml.worksheet+xml"/>
  <Override PartName="/xl/worksheets/sheet94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94.xml" ContentType="application/vnd.openxmlformats-officedocument.spreadsheetml.worksheet+xml"/>
  <Override PartName="/xl/worksheets/sheet310.xml" ContentType="application/vnd.openxmlformats-officedocument.spreadsheetml.worksheet+xml"/>
  <Override PartName="/xl/sharedStrings.xml" ContentType="application/vnd.openxmlformats-officedocument.spreadsheetml.sharedStrings+xml"/>
  <Override PartName="/xl/worksheets/sheet102.xml" ContentType="application/vnd.openxmlformats-officedocument.spreadsheetml.worksheet+xml"/>
  <Override PartName="/xl/charts/chart12.xml" ContentType="application/vnd.openxmlformats-officedocument.drawingml.char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72.xml" ContentType="application/vnd.openxmlformats-officedocument.spreadsheetml.worksheet+xml"/>
  <Override PartName="/xl/charts/chart179.xml" ContentType="application/vnd.openxmlformats-officedocument.drawingml.chart+xml"/>
  <Override PartName="/xl/worksheets/sheet50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50.xml" ContentType="application/vnd.openxmlformats-officedocument.spreadsheetml.worksheet+xml"/>
  <Override PartName="/xl/worksheets/sheet348.xml" ContentType="application/vnd.openxmlformats-officedocument.spreadsheetml.worksheet+xml"/>
  <Override PartName="/xl/drawings/drawing29.xml" ContentType="application/vnd.openxmlformats-officedocument.drawing+xml"/>
  <Override PartName="/xl/drawings/drawing76.xml" ContentType="application/vnd.openxmlformats-officedocument.drawing+xml"/>
  <Override PartName="/xl/worksheets/sheet187.xml" ContentType="application/vnd.openxmlformats-officedocument.spreadsheetml.worksheet+xml"/>
  <Override PartName="/xl/charts/chart97.xml" ContentType="application/vnd.openxmlformats-officedocument.drawingml.chart+xml"/>
  <Override PartName="/xl/charts/chart157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73.xml" ContentType="application/vnd.openxmlformats-officedocument.spreadsheetml.worksheet+xml"/>
  <Override PartName="/xl/drawings/drawing3.xml" ContentType="application/vnd.openxmlformats-officedocument.drawing+xml"/>
  <Override PartName="/xl/drawings/drawing54.xml" ContentType="application/vnd.openxmlformats-officedocument.drawing+xml"/>
  <Override PartName="/xl/charts/chart135.xml" ContentType="application/vnd.openxmlformats-officedocument.drawingml.chart+xml"/>
  <Override PartName="/xl/charts/chart182.xml" ContentType="application/vnd.openxmlformats-officedocument.drawingml.chart+xml"/>
  <Override PartName="/xl/worksheets/sheet118.xml" ContentType="application/vnd.openxmlformats-officedocument.spreadsheetml.worksheet+xml"/>
  <Override PartName="/xl/worksheets/sheet165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51.xml" ContentType="application/vnd.openxmlformats-officedocument.spreadsheetml.worksheet+xml"/>
  <Override PartName="/xl/charts/chart28.xml" ContentType="application/vnd.openxmlformats-officedocument.drawingml.chart+xml"/>
  <Override PartName="/xl/drawings/drawing32.xml" ContentType="application/vnd.openxmlformats-officedocument.drawing+xml"/>
  <Override PartName="/xl/charts/chart75.xml" ContentType="application/vnd.openxmlformats-officedocument.drawingml.chart+xml"/>
  <Override PartName="/xl/worksheets/sheet88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90.xml" ContentType="application/vnd.openxmlformats-officedocument.spreadsheetml.worksheet+xml"/>
  <Override PartName="/xl/worksheets/sheet288.xml" ContentType="application/vnd.openxmlformats-officedocument.spreadsheetml.worksheet+xml"/>
  <Override PartName="/xl/charts/chart53.xml" ContentType="application/vnd.openxmlformats-officedocument.drawingml.chart+xml"/>
  <Override PartName="/xl/charts/chart113.xml" ContentType="application/vnd.openxmlformats-officedocument.drawingml.chart+xml"/>
  <Override PartName="/xl/charts/chart160.xml" ContentType="application/vnd.openxmlformats-officedocument.drawingml.chart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66.xml" ContentType="application/vnd.openxmlformats-officedocument.spreadsheetml.worksheet+xml"/>
  <Override PartName="/xl/drawings/drawing10.xml" ContentType="application/vnd.openxmlformats-officedocument.drawing+xml"/>
  <Override PartName="/xl/worksheets/sheet121.xml" ContentType="application/vnd.openxmlformats-officedocument.spreadsheetml.worksheet+xml"/>
  <Override PartName="/xl/worksheets/sheet389.xml" ContentType="application/vnd.openxmlformats-officedocument.spreadsheetml.worksheet+xml"/>
  <Override PartName="/xl/charts/chart31.xml" ContentType="application/vnd.openxmlformats-officedocument.drawingml.chart+xml"/>
  <Override PartName="/docProps/core.xml" ContentType="application/vnd.openxmlformats-package.core-properties+xml"/>
  <Override PartName="/xl/worksheets/sheet44.xml" ContentType="application/vnd.openxmlformats-officedocument.spreadsheetml.worksheet+xml"/>
  <Override PartName="/xl/worksheets/sheet91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2.xml" ContentType="application/vnd.openxmlformats-officedocument.spreadsheetml.worksheet+xml"/>
  <Override PartName="/xl/worksheets/sheet367.xml" ContentType="application/vnd.openxmlformats-officedocument.spreadsheetml.worksheet+xml"/>
  <Override PartName="/xl/drawings/drawing48.xml" ContentType="application/vnd.openxmlformats-officedocument.drawing+xml"/>
  <Override PartName="/xl/worksheets/sheet159.xml" ContentType="application/vnd.openxmlformats-officedocument.spreadsheetml.worksheet+xml"/>
  <Override PartName="/xl/worksheets/sheet345.xml" ContentType="application/vnd.openxmlformats-officedocument.spreadsheetml.worksheet+xml"/>
  <Override PartName="/xl/charts/chart69.xml" ContentType="application/vnd.openxmlformats-officedocument.drawingml.chart+xml"/>
  <Override PartName="/xl/charts/chart129.xml" ContentType="application/vnd.openxmlformats-officedocument.drawingml.chart+xml"/>
  <Override PartName="/xl/charts/chart176.xml" ContentType="application/vnd.openxmlformats-officedocument.drawingml.chart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9468" yWindow="3684" windowWidth="15192" windowHeight="6564" tabRatio="805" firstSheet="184" activeTab="194"/>
  </bookViews>
  <sheets>
    <sheet name="TOC0" sheetId="405" r:id="rId1"/>
    <sheet name="TOC" sheetId="1" r:id="rId2"/>
    <sheet name="Bar Chart" sheetId="2" r:id="rId3"/>
    <sheet name="Line Chart" sheetId="4" r:id="rId4"/>
    <sheet name="Line Chart 2" sheetId="481" r:id="rId5"/>
    <sheet name="Array Formula" sheetId="3" r:id="rId6"/>
    <sheet name="Array Function" sheetId="5" r:id="rId7"/>
    <sheet name="Sort Filter" sheetId="488" r:id="rId8"/>
    <sheet name="Seek" sheetId="557" r:id="rId9"/>
    <sheet name="Prob 0" sheetId="377" r:id="rId10"/>
    <sheet name="Prob 1" sheetId="6" r:id="rId11"/>
    <sheet name="Prob 2" sheetId="7" r:id="rId12"/>
    <sheet name="Central" sheetId="482" r:id="rId13"/>
    <sheet name="Geo Mean" sheetId="8" r:id="rId14"/>
    <sheet name="Var" sheetId="483" r:id="rId15"/>
    <sheet name="Combined" sheetId="9" r:id="rId16"/>
    <sheet name="SKEW" sheetId="485" r:id="rId17"/>
    <sheet name="Rank 0" sheetId="484" r:id="rId18"/>
    <sheet name="Rank 1" sheetId="10" r:id="rId19"/>
    <sheet name="Desc 1" sheetId="11" r:id="rId20"/>
    <sheet name="Desc 2" sheetId="12" r:id="rId21"/>
    <sheet name="Freq" sheetId="13" r:id="rId22"/>
    <sheet name="Freq 2" sheetId="368" r:id="rId23"/>
    <sheet name="Histogram" sheetId="15" r:id="rId24"/>
    <sheet name="Box Plot 1" sheetId="21" r:id="rId25"/>
    <sheet name="Box Plot 2" sheetId="22" r:id="rId26"/>
    <sheet name="Box Plot 3" sheetId="239" r:id="rId27"/>
    <sheet name="Reformat 1" sheetId="555" r:id="rId28"/>
    <sheet name="Reformat 2" sheetId="556" r:id="rId29"/>
    <sheet name="Power" sheetId="16" r:id="rId30"/>
    <sheet name="Normal 1" sheetId="17" r:id="rId31"/>
    <sheet name="Normal 2" sheetId="315" r:id="rId32"/>
    <sheet name="1 Sample Z 1" sheetId="319" r:id="rId33"/>
    <sheet name="1 Sample Z 2" sheetId="320" r:id="rId34"/>
    <sheet name="2 Sample Z" sheetId="325" r:id="rId35"/>
    <sheet name="Uniform Sample" sheetId="332" r:id="rId36"/>
    <sheet name="Poisson Sample" sheetId="331" r:id="rId37"/>
    <sheet name="Simulation 1" sheetId="333" r:id="rId38"/>
    <sheet name="Simulation 2" sheetId="334" r:id="rId39"/>
    <sheet name="Sampling 1" sheetId="328" r:id="rId40"/>
    <sheet name="Sampling 2" sheetId="330" r:id="rId41"/>
    <sheet name="Norm Power 1" sheetId="233" r:id="rId42"/>
    <sheet name="Norm Power 2" sheetId="566" r:id="rId43"/>
    <sheet name="Norm Power 3" sheetId="567" r:id="rId44"/>
    <sheet name="Norm Power 4" sheetId="568" r:id="rId45"/>
    <sheet name="Norm Power 5" sheetId="569" r:id="rId46"/>
    <sheet name="Outlier" sheetId="421" r:id="rId47"/>
    <sheet name="Grubbs" sheetId="609" r:id="rId48"/>
    <sheet name="ESD" sheetId="610" r:id="rId49"/>
    <sheet name="Binomial 1" sheetId="23" r:id="rId50"/>
    <sheet name="Binomial 2" sheetId="307" r:id="rId51"/>
    <sheet name="Binomial 3" sheetId="363" r:id="rId52"/>
    <sheet name="Prop" sheetId="366" r:id="rId53"/>
    <sheet name="NegBinom" sheetId="562" r:id="rId54"/>
    <sheet name="Hypgeom" sheetId="563" r:id="rId55"/>
    <sheet name="Beta" sheetId="365" r:id="rId56"/>
    <sheet name="Multinom" sheetId="316" r:id="rId57"/>
    <sheet name="Poisson 1" sheetId="317" r:id="rId58"/>
    <sheet name="Poisson 2" sheetId="318" r:id="rId59"/>
    <sheet name="Runs" sheetId="480" r:id="rId60"/>
    <sheet name="Bin Power 1" sheetId="564" r:id="rId61"/>
    <sheet name="Bin Power 2" sheetId="565" r:id="rId62"/>
    <sheet name="Bin Power 3" sheetId="570" r:id="rId63"/>
    <sheet name="Gamma" sheetId="561" r:id="rId64"/>
    <sheet name="Expon" sheetId="560" r:id="rId65"/>
    <sheet name="Uniform" sheetId="559" r:id="rId66"/>
    <sheet name="Weibull" sheetId="364" r:id="rId67"/>
    <sheet name="T Dist" sheetId="24" r:id="rId68"/>
    <sheet name="T Dist 2" sheetId="571" r:id="rId69"/>
    <sheet name="1 Sample T 1" sheetId="25" r:id="rId70"/>
    <sheet name="1 Sample T 2" sheetId="26" r:id="rId71"/>
    <sheet name="2 Sample T 1" sheetId="28" r:id="rId72"/>
    <sheet name="2 Sample T 2" sheetId="29" r:id="rId73"/>
    <sheet name="2 Sample T 3" sheetId="30" r:id="rId74"/>
    <sheet name="2P Sample T 1" sheetId="31" r:id="rId75"/>
    <sheet name="2P Sample T 2" sheetId="32" r:id="rId76"/>
    <sheet name="Chi-Sq" sheetId="44" r:id="rId77"/>
    <sheet name="1 Sample Var" sheetId="46" r:id="rId78"/>
    <sheet name="Good Fit 0" sheetId="376" r:id="rId79"/>
    <sheet name="Good Fit 1" sheetId="48" r:id="rId80"/>
    <sheet name="Good Fit 2" sheetId="45" r:id="rId81"/>
    <sheet name="Good Fit 3" sheetId="47" r:id="rId82"/>
    <sheet name="Chi-Sq 1" sheetId="50" r:id="rId83"/>
    <sheet name="Chi-Sq 2" sheetId="49" r:id="rId84"/>
    <sheet name="Chi-Sq 3" sheetId="52" r:id="rId85"/>
    <sheet name="Chi-Sq 4" sheetId="498" r:id="rId86"/>
    <sheet name="Fisher" sheetId="343" r:id="rId87"/>
    <sheet name="F Test" sheetId="183" r:id="rId88"/>
    <sheet name="Norm Histogram" sheetId="372" r:id="rId89"/>
    <sheet name="Norm QQ Plot 1" sheetId="374" r:id="rId90"/>
    <sheet name="Norm QQ Plot 2" sheetId="373" r:id="rId91"/>
    <sheet name="Norm Box Plot" sheetId="375" r:id="rId92"/>
    <sheet name="Log Trans" sheetId="79" r:id="rId93"/>
    <sheet name="Norm Chi-sq 1" sheetId="77" r:id="rId94"/>
    <sheet name="Norm Chi-sq 2" sheetId="78" r:id="rId95"/>
    <sheet name="KS 1" sheetId="74" r:id="rId96"/>
    <sheet name="KS 2" sheetId="75" r:id="rId97"/>
    <sheet name="KS 3" sheetId="543" r:id="rId98"/>
    <sheet name="KS 4" sheetId="552" r:id="rId99"/>
    <sheet name="SW 1" sheetId="73" r:id="rId100"/>
    <sheet name="SW 2" sheetId="76" r:id="rId101"/>
    <sheet name="SW 3" sheetId="420" r:id="rId102"/>
    <sheet name="SW 4" sheetId="422" r:id="rId103"/>
    <sheet name="Sign Test" sheetId="338" r:id="rId104"/>
    <sheet name="Moods" sheetId="575" r:id="rId105"/>
    <sheet name="Wilcoxon 1" sheetId="346" r:id="rId106"/>
    <sheet name="Wilcoxon 2" sheetId="348" r:id="rId107"/>
    <sheet name="Wilcoxon 3" sheetId="347" r:id="rId108"/>
    <sheet name="Wilcoxon 4" sheetId="349" r:id="rId109"/>
    <sheet name="Wil Exact" sheetId="604" r:id="rId110"/>
    <sheet name="Wil Exact 1" sheetId="603" r:id="rId111"/>
    <sheet name="Wil Exact 2" sheetId="611" r:id="rId112"/>
    <sheet name="Mann 1" sheetId="350" r:id="rId113"/>
    <sheet name="Mann 2" sheetId="351" r:id="rId114"/>
    <sheet name="Mann Exact" sheetId="612" r:id="rId115"/>
    <sheet name="Mann Exact 1" sheetId="613" r:id="rId116"/>
    <sheet name="Wilcox Pair 1" sheetId="352" r:id="rId117"/>
    <sheet name="Wilcox Pair 2" sheetId="353" r:id="rId118"/>
    <sheet name="Wilcox Pair 3" sheetId="406" r:id="rId119"/>
    <sheet name="Signed Rank" sheetId="356" r:id="rId120"/>
    <sheet name="Signed Rank 1" sheetId="587" r:id="rId121"/>
    <sheet name="Signed Rank 2" sheetId="602" r:id="rId122"/>
    <sheet name="McNemar" sheetId="354" r:id="rId123"/>
    <sheet name="Runs Test 0" sheetId="583" r:id="rId124"/>
    <sheet name="Runs Test 1" sheetId="360" r:id="rId125"/>
    <sheet name="Runs Test 2" sheetId="588" r:id="rId126"/>
    <sheet name="Resamp 1" sheetId="357" r:id="rId127"/>
    <sheet name="Resamp 2" sheetId="358" r:id="rId128"/>
    <sheet name="Resamp 3" sheetId="359" r:id="rId129"/>
    <sheet name="ANOVA 1" sheetId="186" r:id="rId130"/>
    <sheet name="ANOVA 2" sheetId="187" r:id="rId131"/>
    <sheet name="ANOVA 3" sheetId="188" r:id="rId132"/>
    <sheet name="ANOVA 4" sheetId="189" r:id="rId133"/>
    <sheet name="ANOVA 5" sheetId="190" r:id="rId134"/>
    <sheet name="ANOVA 6" sheetId="451" r:id="rId135"/>
    <sheet name="Contrast 1" sheetId="196" r:id="rId136"/>
    <sheet name="Contrast 2" sheetId="197" r:id="rId137"/>
    <sheet name="Contrast 3" sheetId="198" r:id="rId138"/>
    <sheet name="Tukey 1" sheetId="203" r:id="rId139"/>
    <sheet name="Tukey 2" sheetId="404" r:id="rId140"/>
    <sheet name="Tuk-Kra" sheetId="423" r:id="rId141"/>
    <sheet name="Gam-How" sheetId="424" r:id="rId142"/>
    <sheet name="REGWQ" sheetId="200" r:id="rId143"/>
    <sheet name="Scheffe" sheetId="206" r:id="rId144"/>
    <sheet name="Levene 1" sheetId="192" r:id="rId145"/>
    <sheet name="Levene 2" sheetId="193" r:id="rId146"/>
    <sheet name="Bartlett" sheetId="194" r:id="rId147"/>
    <sheet name="Log Transform" sheetId="214" r:id="rId148"/>
    <sheet name="Outliers" sheetId="195" r:id="rId149"/>
    <sheet name="Kruskal" sheetId="387" r:id="rId150"/>
    <sheet name="Brown F 1" sheetId="210" r:id="rId151"/>
    <sheet name="Brown F 2" sheetId="211" r:id="rId152"/>
    <sheet name="Welch 1" sheetId="584" r:id="rId153"/>
    <sheet name="Welch 1a" sheetId="586" r:id="rId154"/>
    <sheet name="Welch 2" sheetId="585" r:id="rId155"/>
    <sheet name="Moods 2" sheetId="576" r:id="rId156"/>
    <sheet name="ANOVA 2.1" sheetId="215" r:id="rId157"/>
    <sheet name="ANOVA 2.2" sheetId="216" r:id="rId158"/>
    <sheet name="ANOVA 2.2A" sheetId="449" r:id="rId159"/>
    <sheet name="ANOVA 2.3" sheetId="217" r:id="rId160"/>
    <sheet name="ANOVA 2.4" sheetId="450" r:id="rId161"/>
    <sheet name="ANOVA 3.1" sheetId="218" r:id="rId162"/>
    <sheet name="ANOVA 3.2" sheetId="454" r:id="rId163"/>
    <sheet name="ANOVA 3.2a" sheetId="455" r:id="rId164"/>
    <sheet name="ANOVA 3.3" sheetId="456" r:id="rId165"/>
    <sheet name="Contrasts 2.1" sheetId="220" r:id="rId166"/>
    <sheet name="Corr" sheetId="487" r:id="rId167"/>
    <sheet name="Corr Scatter" sheetId="54" r:id="rId168"/>
    <sheet name="Corr 0" sheetId="64" r:id="rId169"/>
    <sheet name="Corr 0a" sheetId="580" r:id="rId170"/>
    <sheet name="Corr 1" sheetId="56" r:id="rId171"/>
    <sheet name="Corr 1a" sheetId="572" r:id="rId172"/>
    <sheet name="Corr 2" sheetId="55" r:id="rId173"/>
    <sheet name="Corr 3" sheetId="57" r:id="rId174"/>
    <sheet name="Corr 4" sheetId="379" r:id="rId175"/>
    <sheet name="Corr 5" sheetId="486" r:id="rId176"/>
    <sheet name="Corr Power" sheetId="383" r:id="rId177"/>
    <sheet name="2 Corr" sheetId="60" r:id="rId178"/>
    <sheet name="2 Corr Dependent" sheetId="72" r:id="rId179"/>
    <sheet name="Corr and T" sheetId="53" r:id="rId180"/>
    <sheet name="Corr and Chi-sq" sheetId="80" r:id="rId181"/>
    <sheet name="Spearman Rho 1" sheetId="59" r:id="rId182"/>
    <sheet name="Spearman Rho 1a" sheetId="582" r:id="rId183"/>
    <sheet name="Spearman Rho 2" sheetId="71" r:id="rId184"/>
    <sheet name="Kendall's Tau" sheetId="581" r:id="rId185"/>
    <sheet name="Kendall Tau 1" sheetId="489" r:id="rId186"/>
    <sheet name="Kendall Tau 2" sheetId="62" r:id="rId187"/>
    <sheet name="Kendall Tau 3" sheetId="494" r:id="rId188"/>
    <sheet name="Reg 1" sheetId="81" r:id="rId189"/>
    <sheet name="Reg 2" sheetId="83" r:id="rId190"/>
    <sheet name="Reg 3" sheetId="84" r:id="rId191"/>
    <sheet name="Reg 4" sheetId="85" r:id="rId192"/>
    <sheet name="Reg 5" sheetId="86" r:id="rId193"/>
    <sheet name="Reg 6" sheetId="88" r:id="rId194"/>
    <sheet name="Exp Reg" sheetId="89" r:id="rId195"/>
    <sheet name="Pow Reg" sheetId="426" r:id="rId196"/>
    <sheet name="Reg T 1" sheetId="91" r:id="rId197"/>
    <sheet name="Reg T 1A" sheetId="92" r:id="rId198"/>
    <sheet name="Reg T 2" sheetId="94" r:id="rId199"/>
    <sheet name="Reg T 2A" sheetId="95" r:id="rId200"/>
    <sheet name="Mult Reg 1" sheetId="98" r:id="rId201"/>
    <sheet name="Mult Reg 2" sheetId="99" r:id="rId202"/>
    <sheet name="Mult Reg 2A" sheetId="341" r:id="rId203"/>
    <sheet name="Mult Reg 2B" sheetId="395" r:id="rId204"/>
    <sheet name="Mult Reg 3" sheetId="100" r:id="rId205"/>
    <sheet name="Mult Reg 4" sheetId="101" r:id="rId206"/>
    <sheet name="Mult 4A" sheetId="102" r:id="rId207"/>
    <sheet name="Mult Reg 5" sheetId="105" r:id="rId208"/>
    <sheet name="Mult Reg 5A" sheetId="103" r:id="rId209"/>
    <sheet name="Mult Reg 5B" sheetId="104" r:id="rId210"/>
    <sheet name="Mult Reg 5C" sheetId="106" r:id="rId211"/>
    <sheet name="Mult Reg 6" sheetId="107" r:id="rId212"/>
    <sheet name="Mult Reg 6A" sheetId="342" r:id="rId213"/>
    <sheet name="Mult Reg 6B" sheetId="427" r:id="rId214"/>
    <sheet name="Mult Reg 7" sheetId="108" r:id="rId215"/>
    <sheet name="Mult Reg 8" sheetId="606" r:id="rId216"/>
    <sheet name="Mult Reg 8a" sheetId="607" r:id="rId217"/>
    <sheet name="Poly Reg" sheetId="109" r:id="rId218"/>
    <sheet name="Poly Reg 1" sheetId="118" r:id="rId219"/>
    <sheet name="Poly Reg 2" sheetId="120" r:id="rId220"/>
    <sheet name="Log Reg" sheetId="431" r:id="rId221"/>
    <sheet name="Interaction Reg" sheetId="156" r:id="rId222"/>
    <sheet name="Reg Anova 1" sheetId="208" r:id="rId223"/>
    <sheet name="Reg Anova 2" sheetId="209" r:id="rId224"/>
    <sheet name="Reg Anova 3" sheetId="219" r:id="rId225"/>
    <sheet name="Reg Anova 4" sheetId="221" r:id="rId226"/>
    <sheet name="Reg Anova 5" sheetId="448" r:id="rId227"/>
    <sheet name="Reg An3.1" sheetId="458" r:id="rId228"/>
    <sheet name="Reg An3.2" sheetId="459" r:id="rId229"/>
    <sheet name="Res 1" sheetId="223" r:id="rId230"/>
    <sheet name="Res 2" sheetId="224" r:id="rId231"/>
    <sheet name="Res 3" sheetId="225" r:id="rId232"/>
    <sheet name="Cooks 1" sheetId="252" r:id="rId233"/>
    <sheet name="Cooks 2" sheetId="251" r:id="rId234"/>
    <sheet name="Durbin" sheetId="473" r:id="rId235"/>
    <sheet name="Collinearity" sheetId="179" r:id="rId236"/>
    <sheet name="VIF" sheetId="392" r:id="rId237"/>
    <sheet name="Logit 1" sheetId="385" r:id="rId238"/>
    <sheet name="Logit 2" sheetId="384" r:id="rId239"/>
    <sheet name="Logit 3" sheetId="400" r:id="rId240"/>
    <sheet name="Logit 3a" sheetId="460" r:id="rId241"/>
    <sheet name="Logit 4" sheetId="401" r:id="rId242"/>
    <sheet name="Logit 4a" sheetId="461" r:id="rId243"/>
    <sheet name="Logit 5" sheetId="462" r:id="rId244"/>
    <sheet name="Logit 5a" sheetId="534" r:id="rId245"/>
    <sheet name="Logit 6" sheetId="463" r:id="rId246"/>
    <sheet name="Logit 6a" sheetId="472" r:id="rId247"/>
    <sheet name="Hosmer" sheetId="442" r:id="rId248"/>
    <sheet name="MLogit 1" sheetId="465" r:id="rId249"/>
    <sheet name="MLogit 2" sheetId="466" r:id="rId250"/>
    <sheet name="MLogit 3" sheetId="468" r:id="rId251"/>
    <sheet name="MLogit 3a" sheetId="471" r:id="rId252"/>
    <sheet name="MLogit 4" sheetId="467" r:id="rId253"/>
    <sheet name="MLogit 5" sheetId="470" r:id="rId254"/>
    <sheet name="MLogit 6" sheetId="474" r:id="rId255"/>
    <sheet name="OLogit 1" sheetId="477" r:id="rId256"/>
    <sheet name="OLogit 2" sheetId="476" r:id="rId257"/>
    <sheet name="OLogit 3" sheetId="475" r:id="rId258"/>
    <sheet name="Log Lin 1.1" sheetId="269" r:id="rId259"/>
    <sheet name="Log Lin 1.2" sheetId="253" r:id="rId260"/>
    <sheet name="Log Lin 1.3" sheetId="270" r:id="rId261"/>
    <sheet name="Log Lin 1.4" sheetId="256" r:id="rId262"/>
    <sheet name="Log Lin 2.1" sheetId="272" r:id="rId263"/>
    <sheet name="Log Lin 2.2" sheetId="273" r:id="rId264"/>
    <sheet name="Log Lin 2.3" sheetId="276" r:id="rId265"/>
    <sheet name="Log Lin 2.4" sheetId="275" r:id="rId266"/>
    <sheet name="Log Lin 2.5" sheetId="277" r:id="rId267"/>
    <sheet name="Rand Anova" sheetId="595" r:id="rId268"/>
    <sheet name="Mixed" sheetId="592" r:id="rId269"/>
    <sheet name="Mixed 2" sheetId="600" r:id="rId270"/>
    <sheet name="Nested" sheetId="591" r:id="rId271"/>
    <sheet name="Nested 1 " sheetId="601" r:id="rId272"/>
    <sheet name="Nested 1a" sheetId="599" r:id="rId273"/>
    <sheet name="Nested 2" sheetId="597" r:id="rId274"/>
    <sheet name="ANOVA Match 1.1" sheetId="294" r:id="rId275"/>
    <sheet name="ANOVA Match 1.2" sheetId="296" r:id="rId276"/>
    <sheet name="ANOVA Match 1.3" sheetId="297" r:id="rId277"/>
    <sheet name="ANOVA Match 1.3a" sheetId="589" r:id="rId278"/>
    <sheet name="ANOVA Match 1.4" sheetId="298" r:id="rId279"/>
    <sheet name="ANOVA Match 1.5" sheetId="299" r:id="rId280"/>
    <sheet name="ANOVA Match 2.1" sheetId="300" r:id="rId281"/>
    <sheet name="ANOVA Match 2.2" sheetId="301" r:id="rId282"/>
    <sheet name="ANOVA Match 2.3" sheetId="302" r:id="rId283"/>
    <sheet name="ANOVA Match 2.3A" sheetId="304" r:id="rId284"/>
    <sheet name="ANOVA Match 2.3B" sheetId="590" r:id="rId285"/>
    <sheet name="ANOVA Match 2.4" sheetId="303" r:id="rId286"/>
    <sheet name="Friedman" sheetId="388" r:id="rId287"/>
    <sheet name="ANCOVA 1" sheetId="309" r:id="rId288"/>
    <sheet name="ANCOVA 2" sheetId="308" r:id="rId289"/>
    <sheet name="ANCOVA 3" sheetId="313" r:id="rId290"/>
    <sheet name="ANCOVA 4" sheetId="594" r:id="rId291"/>
    <sheet name="ANCOVA Contrasts" sheetId="312" r:id="rId292"/>
    <sheet name="Split-half" sheetId="286" r:id="rId293"/>
    <sheet name="Spli-half 1" sheetId="578" r:id="rId294"/>
    <sheet name="KRF20" sheetId="287" r:id="rId295"/>
    <sheet name="Cronbach" sheetId="288" r:id="rId296"/>
    <sheet name="Cronbach 1" sheetId="418" r:id="rId297"/>
    <sheet name="Cronbach 2" sheetId="577" r:id="rId298"/>
    <sheet name="Kappa" sheetId="289" r:id="rId299"/>
    <sheet name="Kappa 0" sheetId="452" r:id="rId300"/>
    <sheet name="Kappa 1" sheetId="440" r:id="rId301"/>
    <sheet name="ICC1" sheetId="478" r:id="rId302"/>
    <sheet name="ICC2" sheetId="290" r:id="rId303"/>
    <sheet name="ICC3" sheetId="479" r:id="rId304"/>
    <sheet name="Kendall W" sheetId="496" r:id="rId305"/>
    <sheet name="Kendall W 1" sheetId="495" r:id="rId306"/>
    <sheet name="Item" sheetId="447" r:id="rId307"/>
    <sheet name="Graph" sheetId="362" r:id="rId308"/>
    <sheet name="SUMIF" sheetId="367" r:id="rId309"/>
    <sheet name="Conversion 1" sheetId="573" r:id="rId310"/>
    <sheet name="Conversion 2" sheetId="369" r:id="rId311"/>
    <sheet name="Cat Code" sheetId="497" r:id="rId312"/>
    <sheet name="Table Lookup" sheetId="370" r:id="rId313"/>
    <sheet name="Chart s.e." sheetId="371" r:id="rId314"/>
    <sheet name="Length" sheetId="335" r:id="rId315"/>
    <sheet name="Inverse" sheetId="336" r:id="rId316"/>
    <sheet name="Diag" sheetId="226" r:id="rId317"/>
    <sheet name="Det 1" sheetId="337" r:id="rId318"/>
    <sheet name="Det 2" sheetId="228" r:id="rId319"/>
    <sheet name="Cramer Rule" sheetId="227" r:id="rId320"/>
    <sheet name="Gauss Elim 1" sheetId="255" r:id="rId321"/>
    <sheet name="Gauss Elim 2" sheetId="339" r:id="rId322"/>
    <sheet name="Newton" sheetId="391" r:id="rId323"/>
    <sheet name="Goal Seek" sheetId="340" r:id="rId324"/>
    <sheet name="IPFP 2.1" sheetId="278" r:id="rId325"/>
    <sheet name="IPFP 2.2 " sheetId="281" r:id="rId326"/>
    <sheet name="IPFP 3.1" sheetId="279" r:id="rId327"/>
    <sheet name="IPFP 3.2" sheetId="282" r:id="rId328"/>
    <sheet name="T Power 1" sheetId="538" r:id="rId329"/>
    <sheet name="T Power 2" sheetId="248" r:id="rId330"/>
    <sheet name="T Power 3" sheetId="246" r:id="rId331"/>
    <sheet name="T Power 4" sheetId="541" r:id="rId332"/>
    <sheet name="T Power 5" sheetId="542" r:id="rId333"/>
    <sheet name="T Power 6" sheetId="540" r:id="rId334"/>
    <sheet name="Wilcoxon Table" sheetId="35" r:id="rId335"/>
    <sheet name="Mann Table" sheetId="36" r:id="rId336"/>
    <sheet name="Signed Rank Table" sheetId="37" r:id="rId337"/>
    <sheet name="Signed Rank Table Formatted" sheetId="558" r:id="rId338"/>
    <sheet name="Runs Table" sheetId="38" r:id="rId339"/>
    <sheet name="KS Table" sheetId="39" r:id="rId340"/>
    <sheet name="KS Table 1" sheetId="545" r:id="rId341"/>
    <sheet name="SW Table" sheetId="40" r:id="rId342"/>
    <sheet name="SW Table Formatted" sheetId="389" r:id="rId343"/>
    <sheet name="Stud. Q Table" sheetId="41" r:id="rId344"/>
    <sheet name="Stud. Q Table 2" sheetId="204" r:id="rId345"/>
    <sheet name="Sp Rho Table" sheetId="42" r:id="rId346"/>
    <sheet name="Ken Tau Table" sheetId="43" r:id="rId347"/>
    <sheet name="DW Table 1" sheetId="615" r:id="rId348"/>
    <sheet name="DW Table 2" sheetId="614" r:id="rId349"/>
    <sheet name="Count" sheetId="407" r:id="rId350"/>
    <sheet name="Reformat" sheetId="414" r:id="rId351"/>
    <sheet name="Sort" sheetId="419" r:id="rId352"/>
    <sheet name="Winsor" sheetId="553" r:id="rId353"/>
    <sheet name="Missing" sheetId="415" r:id="rId354"/>
    <sheet name="Extract" sheetId="413" r:id="rId355"/>
    <sheet name="Sort Rows" sheetId="457" r:id="rId356"/>
    <sheet name="Select Col" sheetId="464" r:id="rId357"/>
    <sheet name="Matrix" sheetId="417" r:id="rId358"/>
    <sheet name="Miss 1" sheetId="499" r:id="rId359"/>
    <sheet name="Miss 2" sheetId="500" r:id="rId360"/>
    <sheet name="Miss 3" sheetId="501" r:id="rId361"/>
    <sheet name="Miss 4" sheetId="502" r:id="rId362"/>
    <sheet name="MI 1" sheetId="504" r:id="rId363"/>
    <sheet name="MI 2" sheetId="505" r:id="rId364"/>
    <sheet name="MI 3a" sheetId="514" r:id="rId365"/>
    <sheet name="MI 3" sheetId="506" r:id="rId366"/>
    <sheet name="MI 4" sheetId="507" r:id="rId367"/>
    <sheet name="MI 5" sheetId="509" r:id="rId368"/>
    <sheet name="MI 6" sheetId="510" r:id="rId369"/>
    <sheet name="MI 7" sheetId="508" r:id="rId370"/>
    <sheet name="MI 8" sheetId="511" r:id="rId371"/>
    <sheet name="MI 8a" sheetId="523" r:id="rId372"/>
    <sheet name="MI 9" sheetId="530" r:id="rId373"/>
    <sheet name="MI 9a" sheetId="531" r:id="rId374"/>
    <sheet name="FIML 1" sheetId="515" r:id="rId375"/>
    <sheet name="FIML 2" sheetId="516" r:id="rId376"/>
    <sheet name="FIML 2a" sheetId="517" r:id="rId377"/>
    <sheet name="FIML 2b" sheetId="527" r:id="rId378"/>
    <sheet name="FIML 2c" sheetId="529" r:id="rId379"/>
    <sheet name="FIML 3" sheetId="518" r:id="rId380"/>
    <sheet name="FIML 3a" sheetId="522" r:id="rId381"/>
    <sheet name="FIML 3b" sheetId="528" r:id="rId382"/>
    <sheet name="NT 1" sheetId="535" r:id="rId383"/>
    <sheet name="NCHI 1" sheetId="546" r:id="rId384"/>
    <sheet name="NCHI 2" sheetId="547" r:id="rId385"/>
    <sheet name="NCHI 3" sheetId="548" r:id="rId386"/>
    <sheet name="NF 1" sheetId="536" r:id="rId387"/>
    <sheet name="NF 2" sheetId="550" r:id="rId388"/>
    <sheet name="NF 3" sheetId="549" r:id="rId389"/>
  </sheets>
  <externalReferences>
    <externalReference r:id="rId390"/>
  </externalReferences>
  <definedNames>
    <definedName name="_xlnm._FilterDatabase" localSheetId="7" hidden="1">'Sort Filter'!$A$16:$D$25</definedName>
    <definedName name="solver_adj" localSheetId="376" hidden="1">'FIML 2a'!$L$4:$L$17</definedName>
    <definedName name="solver_adj" localSheetId="378" hidden="1">'FIML 2c'!$W$4:$W$17</definedName>
    <definedName name="solver_adj" localSheetId="380" hidden="1">'FIML 3a'!$L$4:$L$17</definedName>
    <definedName name="solver_adj" localSheetId="381" hidden="1">'FIML 3b'!$W$4:$W$17</definedName>
    <definedName name="solver_adj" localSheetId="239" hidden="1">'Logit 3'!$O$5:$O$6</definedName>
    <definedName name="solver_adj" localSheetId="240" hidden="1">'Logit 3a'!$Q$34:$Q$35</definedName>
    <definedName name="solver_adj" localSheetId="249" hidden="1">'MLogit 2'!$X$6:$Y$8</definedName>
    <definedName name="solver_adj" localSheetId="252" hidden="1">'MLogit 4'!#REF!</definedName>
    <definedName name="solver_adj" localSheetId="203" hidden="1">'Mult Reg 2B'!$F$4:$F$6</definedName>
    <definedName name="solver_adj" localSheetId="256" hidden="1">'OLogit 2'!$AG$5:$AI$7</definedName>
    <definedName name="solver_adj" localSheetId="257" hidden="1">'OLogit 3'!$AG$9:$AG$13</definedName>
    <definedName name="solver_cvg" localSheetId="376" hidden="1">0.0001</definedName>
    <definedName name="solver_cvg" localSheetId="378" hidden="1">0.0001</definedName>
    <definedName name="solver_cvg" localSheetId="380" hidden="1">0.0001</definedName>
    <definedName name="solver_cvg" localSheetId="381" hidden="1">0.0001</definedName>
    <definedName name="solver_cvg" localSheetId="239" hidden="1">0.0001</definedName>
    <definedName name="solver_cvg" localSheetId="240" hidden="1">0.0001</definedName>
    <definedName name="solver_cvg" localSheetId="249" hidden="1">0.0001</definedName>
    <definedName name="solver_cvg" localSheetId="252" hidden="1">0.0001</definedName>
    <definedName name="solver_cvg" localSheetId="203" hidden="1">0.0001</definedName>
    <definedName name="solver_cvg" localSheetId="256" hidden="1">0.0001</definedName>
    <definedName name="solver_cvg" localSheetId="257" hidden="1">0.0001</definedName>
    <definedName name="solver_drv" localSheetId="376" hidden="1">1</definedName>
    <definedName name="solver_drv" localSheetId="378" hidden="1">1</definedName>
    <definedName name="solver_drv" localSheetId="380" hidden="1">1</definedName>
    <definedName name="solver_drv" localSheetId="381" hidden="1">1</definedName>
    <definedName name="solver_drv" localSheetId="239" hidden="1">1</definedName>
    <definedName name="solver_drv" localSheetId="240" hidden="1">1</definedName>
    <definedName name="solver_drv" localSheetId="249" hidden="1">1</definedName>
    <definedName name="solver_drv" localSheetId="252" hidden="1">1</definedName>
    <definedName name="solver_drv" localSheetId="203" hidden="1">1</definedName>
    <definedName name="solver_drv" localSheetId="256" hidden="1">1</definedName>
    <definedName name="solver_drv" localSheetId="257" hidden="1">1</definedName>
    <definedName name="solver_eng" localSheetId="172" hidden="1">1</definedName>
    <definedName name="solver_eng" localSheetId="376" hidden="1">1</definedName>
    <definedName name="solver_eng" localSheetId="378" hidden="1">1</definedName>
    <definedName name="solver_eng" localSheetId="380" hidden="1">1</definedName>
    <definedName name="solver_eng" localSheetId="381" hidden="1">1</definedName>
    <definedName name="solver_eng" localSheetId="239" hidden="1">1</definedName>
    <definedName name="solver_eng" localSheetId="240" hidden="1">1</definedName>
    <definedName name="solver_eng" localSheetId="249" hidden="1">1</definedName>
    <definedName name="solver_eng" localSheetId="252" hidden="1">1</definedName>
    <definedName name="solver_eng" localSheetId="203" hidden="1">1</definedName>
    <definedName name="solver_eng" localSheetId="256" hidden="1">1</definedName>
    <definedName name="solver_eng" localSheetId="257" hidden="1">1</definedName>
    <definedName name="solver_est" localSheetId="376" hidden="1">1</definedName>
    <definedName name="solver_est" localSheetId="378" hidden="1">1</definedName>
    <definedName name="solver_est" localSheetId="380" hidden="1">1</definedName>
    <definedName name="solver_est" localSheetId="381" hidden="1">1</definedName>
    <definedName name="solver_est" localSheetId="239" hidden="1">1</definedName>
    <definedName name="solver_est" localSheetId="240" hidden="1">1</definedName>
    <definedName name="solver_est" localSheetId="249" hidden="1">1</definedName>
    <definedName name="solver_est" localSheetId="252" hidden="1">1</definedName>
    <definedName name="solver_est" localSheetId="203" hidden="1">1</definedName>
    <definedName name="solver_est" localSheetId="256" hidden="1">1</definedName>
    <definedName name="solver_est" localSheetId="257" hidden="1">1</definedName>
    <definedName name="solver_itr" localSheetId="376" hidden="1">2147483647</definedName>
    <definedName name="solver_itr" localSheetId="378" hidden="1">2147483647</definedName>
    <definedName name="solver_itr" localSheetId="380" hidden="1">2147483647</definedName>
    <definedName name="solver_itr" localSheetId="381" hidden="1">2147483647</definedName>
    <definedName name="solver_itr" localSheetId="239" hidden="1">2147483647</definedName>
    <definedName name="solver_itr" localSheetId="240" hidden="1">2147483647</definedName>
    <definedName name="solver_itr" localSheetId="249" hidden="1">2147483647</definedName>
    <definedName name="solver_itr" localSheetId="252" hidden="1">2147483647</definedName>
    <definedName name="solver_itr" localSheetId="203" hidden="1">2147483647</definedName>
    <definedName name="solver_itr" localSheetId="256" hidden="1">2147483647</definedName>
    <definedName name="solver_itr" localSheetId="257" hidden="1">2147483647</definedName>
    <definedName name="solver_lhs1" localSheetId="376" hidden="1">'FIML 2a'!$M$10</definedName>
    <definedName name="solver_lhs1" localSheetId="239" hidden="1">'Logit 3'!$K$10</definedName>
    <definedName name="solver_lhs1" localSheetId="257" hidden="1">'OLogit 3'!$AG$15</definedName>
    <definedName name="solver_lhs10" localSheetId="376" hidden="1">'FIML 2a'!$M$9</definedName>
    <definedName name="solver_lhs10" localSheetId="239" hidden="1">'Logit 3'!$K$4</definedName>
    <definedName name="solver_lhs11" localSheetId="239" hidden="1">'Logit 3'!$K$5</definedName>
    <definedName name="solver_lhs12" localSheetId="239" hidden="1">'Logit 3'!$K$5</definedName>
    <definedName name="solver_lhs13" localSheetId="239" hidden="1">'Logit 3'!$K$6</definedName>
    <definedName name="solver_lhs14" localSheetId="239" hidden="1">'Logit 3'!$K$6</definedName>
    <definedName name="solver_lhs15" localSheetId="239" hidden="1">'Logit 3'!$K$7</definedName>
    <definedName name="solver_lhs16" localSheetId="239" hidden="1">'Logit 3'!$K$7</definedName>
    <definedName name="solver_lhs17" localSheetId="239" hidden="1">'Logit 3'!$K$8</definedName>
    <definedName name="solver_lhs18" localSheetId="239" hidden="1">'Logit 3'!$K$8</definedName>
    <definedName name="solver_lhs19" localSheetId="239" hidden="1">'Logit 3'!$K$9</definedName>
    <definedName name="solver_lhs2" localSheetId="376" hidden="1">'FIML 2a'!$M$11</definedName>
    <definedName name="solver_lhs2" localSheetId="239" hidden="1">'Logit 3'!$K$10</definedName>
    <definedName name="solver_lhs20" localSheetId="239" hidden="1">'Logit 3'!$K$9</definedName>
    <definedName name="solver_lhs3" localSheetId="376" hidden="1">'FIML 2a'!$M$12</definedName>
    <definedName name="solver_lhs3" localSheetId="239" hidden="1">'Logit 3'!$K$11</definedName>
    <definedName name="solver_lhs4" localSheetId="376" hidden="1">'FIML 2a'!$M$13</definedName>
    <definedName name="solver_lhs4" localSheetId="239" hidden="1">'Logit 3'!$K$11</definedName>
    <definedName name="solver_lhs5" localSheetId="376" hidden="1">'FIML 2a'!$M$4</definedName>
    <definedName name="solver_lhs5" localSheetId="239" hidden="1">'Logit 3'!$K$12</definedName>
    <definedName name="solver_lhs6" localSheetId="376" hidden="1">'FIML 2a'!$M$5</definedName>
    <definedName name="solver_lhs6" localSheetId="239" hidden="1">'Logit 3'!$K$12</definedName>
    <definedName name="solver_lhs7" localSheetId="376" hidden="1">'FIML 2a'!$M$6</definedName>
    <definedName name="solver_lhs7" localSheetId="239" hidden="1">'Logit 3'!$K$13</definedName>
    <definedName name="solver_lhs8" localSheetId="376" hidden="1">'FIML 2a'!$M$7</definedName>
    <definedName name="solver_lhs8" localSheetId="239" hidden="1">'Logit 3'!$K$13</definedName>
    <definedName name="solver_lhs9" localSheetId="376" hidden="1">'FIML 2a'!$M$8</definedName>
    <definedName name="solver_lhs9" localSheetId="239" hidden="1">'Logit 3'!$K$4</definedName>
    <definedName name="solver_mip" localSheetId="376" hidden="1">2147483647</definedName>
    <definedName name="solver_mip" localSheetId="378" hidden="1">2147483647</definedName>
    <definedName name="solver_mip" localSheetId="380" hidden="1">2147483647</definedName>
    <definedName name="solver_mip" localSheetId="381" hidden="1">2147483647</definedName>
    <definedName name="solver_mip" localSheetId="239" hidden="1">2147483647</definedName>
    <definedName name="solver_mip" localSheetId="240" hidden="1">2147483647</definedName>
    <definedName name="solver_mip" localSheetId="249" hidden="1">2147483647</definedName>
    <definedName name="solver_mip" localSheetId="252" hidden="1">2147483647</definedName>
    <definedName name="solver_mip" localSheetId="203" hidden="1">2147483647</definedName>
    <definedName name="solver_mip" localSheetId="256" hidden="1">2147483647</definedName>
    <definedName name="solver_mip" localSheetId="257" hidden="1">2147483647</definedName>
    <definedName name="solver_mni" localSheetId="376" hidden="1">30</definedName>
    <definedName name="solver_mni" localSheetId="378" hidden="1">30</definedName>
    <definedName name="solver_mni" localSheetId="380" hidden="1">30</definedName>
    <definedName name="solver_mni" localSheetId="381" hidden="1">30</definedName>
    <definedName name="solver_mni" localSheetId="239" hidden="1">30</definedName>
    <definedName name="solver_mni" localSheetId="240" hidden="1">30</definedName>
    <definedName name="solver_mni" localSheetId="249" hidden="1">30</definedName>
    <definedName name="solver_mni" localSheetId="252" hidden="1">30</definedName>
    <definedName name="solver_mni" localSheetId="203" hidden="1">30</definedName>
    <definedName name="solver_mni" localSheetId="256" hidden="1">30</definedName>
    <definedName name="solver_mni" localSheetId="257" hidden="1">30</definedName>
    <definedName name="solver_mrt" localSheetId="376" hidden="1">0.075</definedName>
    <definedName name="solver_mrt" localSheetId="378" hidden="1">0.075</definedName>
    <definedName name="solver_mrt" localSheetId="380" hidden="1">0.075</definedName>
    <definedName name="solver_mrt" localSheetId="381" hidden="1">0.075</definedName>
    <definedName name="solver_mrt" localSheetId="239" hidden="1">0.075</definedName>
    <definedName name="solver_mrt" localSheetId="240" hidden="1">0.075</definedName>
    <definedName name="solver_mrt" localSheetId="249" hidden="1">0.075</definedName>
    <definedName name="solver_mrt" localSheetId="252" hidden="1">0.075</definedName>
    <definedName name="solver_mrt" localSheetId="203" hidden="1">0.075</definedName>
    <definedName name="solver_mrt" localSheetId="256" hidden="1">0.075</definedName>
    <definedName name="solver_mrt" localSheetId="257" hidden="1">0.075</definedName>
    <definedName name="solver_msl" localSheetId="376" hidden="1">2</definedName>
    <definedName name="solver_msl" localSheetId="378" hidden="1">2</definedName>
    <definedName name="solver_msl" localSheetId="380" hidden="1">2</definedName>
    <definedName name="solver_msl" localSheetId="381" hidden="1">2</definedName>
    <definedName name="solver_msl" localSheetId="239" hidden="1">2</definedName>
    <definedName name="solver_msl" localSheetId="240" hidden="1">2</definedName>
    <definedName name="solver_msl" localSheetId="249" hidden="1">2</definedName>
    <definedName name="solver_msl" localSheetId="252" hidden="1">2</definedName>
    <definedName name="solver_msl" localSheetId="203" hidden="1">2</definedName>
    <definedName name="solver_msl" localSheetId="256" hidden="1">2</definedName>
    <definedName name="solver_msl" localSheetId="257" hidden="1">2</definedName>
    <definedName name="solver_neg" localSheetId="172" hidden="1">1</definedName>
    <definedName name="solver_neg" localSheetId="376" hidden="1">2</definedName>
    <definedName name="solver_neg" localSheetId="378" hidden="1">2</definedName>
    <definedName name="solver_neg" localSheetId="380" hidden="1">2</definedName>
    <definedName name="solver_neg" localSheetId="381" hidden="1">2</definedName>
    <definedName name="solver_neg" localSheetId="239" hidden="1">2</definedName>
    <definedName name="solver_neg" localSheetId="240" hidden="1">2</definedName>
    <definedName name="solver_neg" localSheetId="249" hidden="1">2</definedName>
    <definedName name="solver_neg" localSheetId="252" hidden="1">2</definedName>
    <definedName name="solver_neg" localSheetId="203" hidden="1">1</definedName>
    <definedName name="solver_neg" localSheetId="256" hidden="1">2</definedName>
    <definedName name="solver_neg" localSheetId="257" hidden="1">2</definedName>
    <definedName name="solver_nod" localSheetId="376" hidden="1">2147483647</definedName>
    <definedName name="solver_nod" localSheetId="378" hidden="1">2147483647</definedName>
    <definedName name="solver_nod" localSheetId="380" hidden="1">2147483647</definedName>
    <definedName name="solver_nod" localSheetId="381" hidden="1">2147483647</definedName>
    <definedName name="solver_nod" localSheetId="239" hidden="1">2147483647</definedName>
    <definedName name="solver_nod" localSheetId="240" hidden="1">2147483647</definedName>
    <definedName name="solver_nod" localSheetId="249" hidden="1">2147483647</definedName>
    <definedName name="solver_nod" localSheetId="252" hidden="1">2147483647</definedName>
    <definedName name="solver_nod" localSheetId="203" hidden="1">2147483647</definedName>
    <definedName name="solver_nod" localSheetId="256" hidden="1">2147483647</definedName>
    <definedName name="solver_nod" localSheetId="257" hidden="1">2147483647</definedName>
    <definedName name="solver_num" localSheetId="172" hidden="1">0</definedName>
    <definedName name="solver_num" localSheetId="376" hidden="1">10</definedName>
    <definedName name="solver_num" localSheetId="378" hidden="1">0</definedName>
    <definedName name="solver_num" localSheetId="380" hidden="1">0</definedName>
    <definedName name="solver_num" localSheetId="381" hidden="1">0</definedName>
    <definedName name="solver_num" localSheetId="239" hidden="1">0</definedName>
    <definedName name="solver_num" localSheetId="240" hidden="1">0</definedName>
    <definedName name="solver_num" localSheetId="249" hidden="1">0</definedName>
    <definedName name="solver_num" localSheetId="252" hidden="1">0</definedName>
    <definedName name="solver_num" localSheetId="203" hidden="1">0</definedName>
    <definedName name="solver_num" localSheetId="256" hidden="1">0</definedName>
    <definedName name="solver_num" localSheetId="257" hidden="1">0</definedName>
    <definedName name="solver_nwt" localSheetId="376" hidden="1">1</definedName>
    <definedName name="solver_nwt" localSheetId="378" hidden="1">1</definedName>
    <definedName name="solver_nwt" localSheetId="380" hidden="1">1</definedName>
    <definedName name="solver_nwt" localSheetId="381" hidden="1">1</definedName>
    <definedName name="solver_nwt" localSheetId="239" hidden="1">1</definedName>
    <definedName name="solver_nwt" localSheetId="240" hidden="1">1</definedName>
    <definedName name="solver_nwt" localSheetId="249" hidden="1">1</definedName>
    <definedName name="solver_nwt" localSheetId="252" hidden="1">1</definedName>
    <definedName name="solver_nwt" localSheetId="203" hidden="1">1</definedName>
    <definedName name="solver_nwt" localSheetId="256" hidden="1">1</definedName>
    <definedName name="solver_nwt" localSheetId="257" hidden="1">1</definedName>
    <definedName name="solver_opt" localSheetId="172" hidden="1">'Corr 2'!$T$37</definedName>
    <definedName name="solver_opt" localSheetId="376" hidden="1">'FIML 2a'!$E$24</definedName>
    <definedName name="solver_opt" localSheetId="378" hidden="1">'FIML 2c'!$P$24</definedName>
    <definedName name="solver_opt" localSheetId="380" hidden="1">'FIML 3a'!$E$24</definedName>
    <definedName name="solver_opt" localSheetId="381" hidden="1">'FIML 3b'!$P$24</definedName>
    <definedName name="solver_opt" localSheetId="239" hidden="1">'Logit 3'!$L$14</definedName>
    <definedName name="solver_opt" localSheetId="240" hidden="1">'Logit 3a'!$M$43</definedName>
    <definedName name="solver_opt" localSheetId="249" hidden="1">'MLogit 2'!$U$17</definedName>
    <definedName name="solver_opt" localSheetId="252" hidden="1">'MLogit 4'!#REF!</definedName>
    <definedName name="solver_opt" localSheetId="203" hidden="1">'Mult Reg 2B'!$F$8</definedName>
    <definedName name="solver_opt" localSheetId="256" hidden="1">'OLogit 2'!$AD$13</definedName>
    <definedName name="solver_opt" localSheetId="257" hidden="1">'OLogit 3'!$AD$13</definedName>
    <definedName name="solver_pre" localSheetId="376" hidden="1">0.000001</definedName>
    <definedName name="solver_pre" localSheetId="378" hidden="1">0.000001</definedName>
    <definedName name="solver_pre" localSheetId="380" hidden="1">0.000001</definedName>
    <definedName name="solver_pre" localSheetId="381" hidden="1">0.000001</definedName>
    <definedName name="solver_pre" localSheetId="239" hidden="1">0.000001</definedName>
    <definedName name="solver_pre" localSheetId="240" hidden="1">0.000001</definedName>
    <definedName name="solver_pre" localSheetId="249" hidden="1">0.000001</definedName>
    <definedName name="solver_pre" localSheetId="252" hidden="1">0.000001</definedName>
    <definedName name="solver_pre" localSheetId="203" hidden="1">0.000001</definedName>
    <definedName name="solver_pre" localSheetId="256" hidden="1">0.000001</definedName>
    <definedName name="solver_pre" localSheetId="257" hidden="1">0.000001</definedName>
    <definedName name="solver_rbv" localSheetId="376" hidden="1">1</definedName>
    <definedName name="solver_rbv" localSheetId="378" hidden="1">1</definedName>
    <definedName name="solver_rbv" localSheetId="380" hidden="1">1</definedName>
    <definedName name="solver_rbv" localSheetId="381" hidden="1">1</definedName>
    <definedName name="solver_rbv" localSheetId="239" hidden="1">1</definedName>
    <definedName name="solver_rbv" localSheetId="240" hidden="1">1</definedName>
    <definedName name="solver_rbv" localSheetId="249" hidden="1">1</definedName>
    <definedName name="solver_rbv" localSheetId="252" hidden="1">1</definedName>
    <definedName name="solver_rbv" localSheetId="203" hidden="1">1</definedName>
    <definedName name="solver_rbv" localSheetId="256" hidden="1">1</definedName>
    <definedName name="solver_rbv" localSheetId="257" hidden="1">1</definedName>
    <definedName name="solver_rel1" localSheetId="376" hidden="1">3</definedName>
    <definedName name="solver_rel1" localSheetId="239" hidden="1">1</definedName>
    <definedName name="solver_rel1" localSheetId="257" hidden="1">3</definedName>
    <definedName name="solver_rel10" localSheetId="376" hidden="1">3</definedName>
    <definedName name="solver_rel10" localSheetId="239" hidden="1">3</definedName>
    <definedName name="solver_rel11" localSheetId="239" hidden="1">1</definedName>
    <definedName name="solver_rel12" localSheetId="239" hidden="1">3</definedName>
    <definedName name="solver_rel13" localSheetId="239" hidden="1">1</definedName>
    <definedName name="solver_rel14" localSheetId="239" hidden="1">3</definedName>
    <definedName name="solver_rel15" localSheetId="239" hidden="1">1</definedName>
    <definedName name="solver_rel16" localSheetId="239" hidden="1">3</definedName>
    <definedName name="solver_rel17" localSheetId="239" hidden="1">1</definedName>
    <definedName name="solver_rel18" localSheetId="239" hidden="1">3</definedName>
    <definedName name="solver_rel19" localSheetId="239" hidden="1">1</definedName>
    <definedName name="solver_rel2" localSheetId="376" hidden="1">3</definedName>
    <definedName name="solver_rel2" localSheetId="239" hidden="1">3</definedName>
    <definedName name="solver_rel20" localSheetId="239" hidden="1">3</definedName>
    <definedName name="solver_rel3" localSheetId="376" hidden="1">3</definedName>
    <definedName name="solver_rel3" localSheetId="239" hidden="1">1</definedName>
    <definedName name="solver_rel4" localSheetId="376" hidden="1">3</definedName>
    <definedName name="solver_rel4" localSheetId="239" hidden="1">3</definedName>
    <definedName name="solver_rel5" localSheetId="376" hidden="1">3</definedName>
    <definedName name="solver_rel5" localSheetId="239" hidden="1">1</definedName>
    <definedName name="solver_rel6" localSheetId="376" hidden="1">3</definedName>
    <definedName name="solver_rel6" localSheetId="239" hidden="1">3</definedName>
    <definedName name="solver_rel7" localSheetId="376" hidden="1">3</definedName>
    <definedName name="solver_rel7" localSheetId="239" hidden="1">1</definedName>
    <definedName name="solver_rel8" localSheetId="376" hidden="1">3</definedName>
    <definedName name="solver_rel8" localSheetId="239" hidden="1">3</definedName>
    <definedName name="solver_rel9" localSheetId="376" hidden="1">3</definedName>
    <definedName name="solver_rel9" localSheetId="239" hidden="1">1</definedName>
    <definedName name="solver_rhs1" localSheetId="376" hidden="1">0</definedName>
    <definedName name="solver_rhs1" localSheetId="239" hidden="1">1</definedName>
    <definedName name="solver_rhs1" localSheetId="257" hidden="1">0.0000001</definedName>
    <definedName name="solver_rhs10" localSheetId="376" hidden="1">0</definedName>
    <definedName name="solver_rhs10" localSheetId="239" hidden="1">0</definedName>
    <definedName name="solver_rhs11" localSheetId="239" hidden="1">1</definedName>
    <definedName name="solver_rhs12" localSheetId="239" hidden="1">0</definedName>
    <definedName name="solver_rhs13" localSheetId="239" hidden="1">1</definedName>
    <definedName name="solver_rhs14" localSheetId="239" hidden="1">0</definedName>
    <definedName name="solver_rhs15" localSheetId="239" hidden="1">1</definedName>
    <definedName name="solver_rhs16" localSheetId="239" hidden="1">0</definedName>
    <definedName name="solver_rhs17" localSheetId="239" hidden="1">1</definedName>
    <definedName name="solver_rhs18" localSheetId="239" hidden="1">0</definedName>
    <definedName name="solver_rhs19" localSheetId="239" hidden="1">1</definedName>
    <definedName name="solver_rhs2" localSheetId="376" hidden="1">0</definedName>
    <definedName name="solver_rhs2" localSheetId="239" hidden="1">0</definedName>
    <definedName name="solver_rhs20" localSheetId="239" hidden="1">0</definedName>
    <definedName name="solver_rhs3" localSheetId="376" hidden="1">0</definedName>
    <definedName name="solver_rhs3" localSheetId="239" hidden="1">1</definedName>
    <definedName name="solver_rhs4" localSheetId="376" hidden="1">0</definedName>
    <definedName name="solver_rhs4" localSheetId="239" hidden="1">0</definedName>
    <definedName name="solver_rhs5" localSheetId="376" hidden="1">0</definedName>
    <definedName name="solver_rhs5" localSheetId="239" hidden="1">1</definedName>
    <definedName name="solver_rhs6" localSheetId="376" hidden="1">0</definedName>
    <definedName name="solver_rhs6" localSheetId="239" hidden="1">0</definedName>
    <definedName name="solver_rhs7" localSheetId="376" hidden="1">0</definedName>
    <definedName name="solver_rhs7" localSheetId="239" hidden="1">1</definedName>
    <definedName name="solver_rhs8" localSheetId="376" hidden="1">0</definedName>
    <definedName name="solver_rhs8" localSheetId="239" hidden="1">0</definedName>
    <definedName name="solver_rhs9" localSheetId="376" hidden="1">0</definedName>
    <definedName name="solver_rhs9" localSheetId="239" hidden="1">1</definedName>
    <definedName name="solver_rlx" localSheetId="376" hidden="1">2</definedName>
    <definedName name="solver_rlx" localSheetId="378" hidden="1">2</definedName>
    <definedName name="solver_rlx" localSheetId="380" hidden="1">2</definedName>
    <definedName name="solver_rlx" localSheetId="381" hidden="1">2</definedName>
    <definedName name="solver_rlx" localSheetId="239" hidden="1">2</definedName>
    <definedName name="solver_rlx" localSheetId="240" hidden="1">2</definedName>
    <definedName name="solver_rlx" localSheetId="249" hidden="1">2</definedName>
    <definedName name="solver_rlx" localSheetId="252" hidden="1">2</definedName>
    <definedName name="solver_rlx" localSheetId="203" hidden="1">2</definedName>
    <definedName name="solver_rlx" localSheetId="256" hidden="1">2</definedName>
    <definedName name="solver_rlx" localSheetId="257" hidden="1">2</definedName>
    <definedName name="solver_rsd" localSheetId="376" hidden="1">0</definedName>
    <definedName name="solver_rsd" localSheetId="378" hidden="1">0</definedName>
    <definedName name="solver_rsd" localSheetId="380" hidden="1">0</definedName>
    <definedName name="solver_rsd" localSheetId="381" hidden="1">0</definedName>
    <definedName name="solver_rsd" localSheetId="239" hidden="1">0</definedName>
    <definedName name="solver_rsd" localSheetId="240" hidden="1">0</definedName>
    <definedName name="solver_rsd" localSheetId="249" hidden="1">0</definedName>
    <definedName name="solver_rsd" localSheetId="252" hidden="1">0</definedName>
    <definedName name="solver_rsd" localSheetId="203" hidden="1">0</definedName>
    <definedName name="solver_rsd" localSheetId="256" hidden="1">0</definedName>
    <definedName name="solver_rsd" localSheetId="257" hidden="1">0</definedName>
    <definedName name="solver_scl" localSheetId="376" hidden="1">1</definedName>
    <definedName name="solver_scl" localSheetId="378" hidden="1">1</definedName>
    <definedName name="solver_scl" localSheetId="380" hidden="1">1</definedName>
    <definedName name="solver_scl" localSheetId="381" hidden="1">1</definedName>
    <definedName name="solver_scl" localSheetId="239" hidden="1">1</definedName>
    <definedName name="solver_scl" localSheetId="240" hidden="1">1</definedName>
    <definedName name="solver_scl" localSheetId="249" hidden="1">1</definedName>
    <definedName name="solver_scl" localSheetId="252" hidden="1">1</definedName>
    <definedName name="solver_scl" localSheetId="203" hidden="1">1</definedName>
    <definedName name="solver_scl" localSheetId="256" hidden="1">1</definedName>
    <definedName name="solver_scl" localSheetId="257" hidden="1">1</definedName>
    <definedName name="solver_sho" localSheetId="376" hidden="1">2</definedName>
    <definedName name="solver_sho" localSheetId="378" hidden="1">2</definedName>
    <definedName name="solver_sho" localSheetId="380" hidden="1">2</definedName>
    <definedName name="solver_sho" localSheetId="381" hidden="1">2</definedName>
    <definedName name="solver_sho" localSheetId="239" hidden="1">2</definedName>
    <definedName name="solver_sho" localSheetId="240" hidden="1">2</definedName>
    <definedName name="solver_sho" localSheetId="249" hidden="1">2</definedName>
    <definedName name="solver_sho" localSheetId="252" hidden="1">2</definedName>
    <definedName name="solver_sho" localSheetId="203" hidden="1">2</definedName>
    <definedName name="solver_sho" localSheetId="256" hidden="1">2</definedName>
    <definedName name="solver_sho" localSheetId="257" hidden="1">2</definedName>
    <definedName name="solver_ssz" localSheetId="376" hidden="1">100</definedName>
    <definedName name="solver_ssz" localSheetId="378" hidden="1">100</definedName>
    <definedName name="solver_ssz" localSheetId="380" hidden="1">100</definedName>
    <definedName name="solver_ssz" localSheetId="381" hidden="1">100</definedName>
    <definedName name="solver_ssz" localSheetId="239" hidden="1">100</definedName>
    <definedName name="solver_ssz" localSheetId="240" hidden="1">100</definedName>
    <definedName name="solver_ssz" localSheetId="249" hidden="1">100</definedName>
    <definedName name="solver_ssz" localSheetId="252" hidden="1">100</definedName>
    <definedName name="solver_ssz" localSheetId="203" hidden="1">100</definedName>
    <definedName name="solver_ssz" localSheetId="256" hidden="1">100</definedName>
    <definedName name="solver_ssz" localSheetId="257" hidden="1">100</definedName>
    <definedName name="solver_tim" localSheetId="376" hidden="1">2147483647</definedName>
    <definedName name="solver_tim" localSheetId="378" hidden="1">2147483647</definedName>
    <definedName name="solver_tim" localSheetId="380" hidden="1">2147483647</definedName>
    <definedName name="solver_tim" localSheetId="381" hidden="1">2147483647</definedName>
    <definedName name="solver_tim" localSheetId="239" hidden="1">2147483647</definedName>
    <definedName name="solver_tim" localSheetId="240" hidden="1">2147483647</definedName>
    <definedName name="solver_tim" localSheetId="249" hidden="1">2147483647</definedName>
    <definedName name="solver_tim" localSheetId="252" hidden="1">2147483647</definedName>
    <definedName name="solver_tim" localSheetId="203" hidden="1">2147483647</definedName>
    <definedName name="solver_tim" localSheetId="256" hidden="1">2147483647</definedName>
    <definedName name="solver_tim" localSheetId="257" hidden="1">2147483647</definedName>
    <definedName name="solver_tol" localSheetId="376" hidden="1">0.01</definedName>
    <definedName name="solver_tol" localSheetId="378" hidden="1">0.01</definedName>
    <definedName name="solver_tol" localSheetId="380" hidden="1">0.01</definedName>
    <definedName name="solver_tol" localSheetId="381" hidden="1">0.01</definedName>
    <definedName name="solver_tol" localSheetId="239" hidden="1">0.01</definedName>
    <definedName name="solver_tol" localSheetId="240" hidden="1">0.01</definedName>
    <definedName name="solver_tol" localSheetId="249" hidden="1">0.01</definedName>
    <definedName name="solver_tol" localSheetId="252" hidden="1">0.01</definedName>
    <definedName name="solver_tol" localSheetId="203" hidden="1">0.01</definedName>
    <definedName name="solver_tol" localSheetId="256" hidden="1">0.01</definedName>
    <definedName name="solver_tol" localSheetId="257" hidden="1">0.01</definedName>
    <definedName name="solver_typ" localSheetId="172" hidden="1">1</definedName>
    <definedName name="solver_typ" localSheetId="376" hidden="1">2</definedName>
    <definedName name="solver_typ" localSheetId="378" hidden="1">2</definedName>
    <definedName name="solver_typ" localSheetId="380" hidden="1">2</definedName>
    <definedName name="solver_typ" localSheetId="381" hidden="1">2</definedName>
    <definedName name="solver_typ" localSheetId="239" hidden="1">1</definedName>
    <definedName name="solver_typ" localSheetId="240" hidden="1">1</definedName>
    <definedName name="solver_typ" localSheetId="249" hidden="1">1</definedName>
    <definedName name="solver_typ" localSheetId="252" hidden="1">1</definedName>
    <definedName name="solver_typ" localSheetId="203" hidden="1">2</definedName>
    <definedName name="solver_typ" localSheetId="256" hidden="1">1</definedName>
    <definedName name="solver_typ" localSheetId="257" hidden="1">1</definedName>
    <definedName name="solver_val" localSheetId="172" hidden="1">0</definedName>
    <definedName name="solver_val" localSheetId="376" hidden="1">0</definedName>
    <definedName name="solver_val" localSheetId="378" hidden="1">0</definedName>
    <definedName name="solver_val" localSheetId="380" hidden="1">0</definedName>
    <definedName name="solver_val" localSheetId="381" hidden="1">0</definedName>
    <definedName name="solver_val" localSheetId="239" hidden="1">0</definedName>
    <definedName name="solver_val" localSheetId="240" hidden="1">0</definedName>
    <definedName name="solver_val" localSheetId="249" hidden="1">0</definedName>
    <definedName name="solver_val" localSheetId="252" hidden="1">0</definedName>
    <definedName name="solver_val" localSheetId="203" hidden="1">0</definedName>
    <definedName name="solver_val" localSheetId="256" hidden="1">0</definedName>
    <definedName name="solver_val" localSheetId="257" hidden="1">0</definedName>
    <definedName name="solver_ver" localSheetId="172" hidden="1">3</definedName>
    <definedName name="solver_ver" localSheetId="376" hidden="1">3</definedName>
    <definedName name="solver_ver" localSheetId="378" hidden="1">3</definedName>
    <definedName name="solver_ver" localSheetId="380" hidden="1">3</definedName>
    <definedName name="solver_ver" localSheetId="381" hidden="1">3</definedName>
    <definedName name="solver_ver" localSheetId="239" hidden="1">3</definedName>
    <definedName name="solver_ver" localSheetId="240" hidden="1">3</definedName>
    <definedName name="solver_ver" localSheetId="249" hidden="1">3</definedName>
    <definedName name="solver_ver" localSheetId="252" hidden="1">3</definedName>
    <definedName name="solver_ver" localSheetId="203" hidden="1">3</definedName>
    <definedName name="solver_ver" localSheetId="256" hidden="1">3</definedName>
    <definedName name="solver_ver" localSheetId="257" hidden="1">3</definedName>
  </definedNames>
  <calcPr calcId="125725"/>
</workbook>
</file>

<file path=xl/calcChain.xml><?xml version="1.0" encoding="utf-8"?>
<calcChain xmlns="http://schemas.openxmlformats.org/spreadsheetml/2006/main">
  <c r="I14" i="387"/>
  <c r="H14"/>
  <c r="I13"/>
  <c r="F9" i="602"/>
  <c r="O15" i="356"/>
  <c r="I14" i="406"/>
  <c r="I7"/>
  <c r="F14" i="353"/>
  <c r="F7"/>
  <c r="F5" i="352"/>
  <c r="E29" i="613"/>
  <c r="AA8" i="351"/>
  <c r="Q15"/>
  <c r="Q14"/>
  <c r="E17" i="350"/>
  <c r="E29" i="604"/>
  <c r="Q15" i="349"/>
  <c r="Q14"/>
  <c r="L17" i="347"/>
  <c r="E17"/>
  <c r="B45" i="613" l="1"/>
  <c r="A45"/>
  <c r="I40"/>
  <c r="H40"/>
  <c r="B30"/>
  <c r="A30"/>
  <c r="I22"/>
  <c r="H22"/>
  <c r="B13"/>
  <c r="A13"/>
  <c r="I5"/>
  <c r="H5"/>
  <c r="C94" i="612"/>
  <c r="D94" s="1"/>
  <c r="A83"/>
  <c r="A84" s="1"/>
  <c r="A85" s="1"/>
  <c r="C82"/>
  <c r="D82" s="1"/>
  <c r="E82" s="1"/>
  <c r="F82" s="1"/>
  <c r="E80"/>
  <c r="K80" s="1"/>
  <c r="B80"/>
  <c r="H78"/>
  <c r="H80" s="1"/>
  <c r="C71"/>
  <c r="D71" s="1"/>
  <c r="A59"/>
  <c r="A60" s="1"/>
  <c r="A61" s="1"/>
  <c r="A62" s="1"/>
  <c r="A63" s="1"/>
  <c r="A64" s="1"/>
  <c r="C58"/>
  <c r="D58" s="1"/>
  <c r="E58" s="1"/>
  <c r="F58" s="1"/>
  <c r="G58" s="1"/>
  <c r="H58" s="1"/>
  <c r="I58" s="1"/>
  <c r="J58" s="1"/>
  <c r="K58" s="1"/>
  <c r="L58" s="1"/>
  <c r="M58" s="1"/>
  <c r="N58" s="1"/>
  <c r="O58" s="1"/>
  <c r="P58" s="1"/>
  <c r="E56"/>
  <c r="B56"/>
  <c r="H54"/>
  <c r="H56" s="1"/>
  <c r="C47"/>
  <c r="D47" s="1"/>
  <c r="A35"/>
  <c r="A36" s="1"/>
  <c r="A34"/>
  <c r="C33"/>
  <c r="D33" s="1"/>
  <c r="E33" s="1"/>
  <c r="F33" s="1"/>
  <c r="G33" s="1"/>
  <c r="H33" s="1"/>
  <c r="I33" s="1"/>
  <c r="J33" s="1"/>
  <c r="K33" s="1"/>
  <c r="L33" s="1"/>
  <c r="M33" s="1"/>
  <c r="N33" s="1"/>
  <c r="O33" s="1"/>
  <c r="P33" s="1"/>
  <c r="Q33" s="1"/>
  <c r="R33" s="1"/>
  <c r="S33" s="1"/>
  <c r="T33" s="1"/>
  <c r="U33" s="1"/>
  <c r="V33" s="1"/>
  <c r="W33" s="1"/>
  <c r="X33" s="1"/>
  <c r="Y33" s="1"/>
  <c r="Z33" s="1"/>
  <c r="AA33" s="1"/>
  <c r="AB33" s="1"/>
  <c r="AC33" s="1"/>
  <c r="AD33" s="1"/>
  <c r="AE33" s="1"/>
  <c r="AF33" s="1"/>
  <c r="AG33" s="1"/>
  <c r="AH33" s="1"/>
  <c r="AI33" s="1"/>
  <c r="AJ33" s="1"/>
  <c r="H31"/>
  <c r="E31"/>
  <c r="B31"/>
  <c r="H29"/>
  <c r="N31" s="1"/>
  <c r="C22"/>
  <c r="D22" s="1"/>
  <c r="E22" s="1"/>
  <c r="A8"/>
  <c r="A9" s="1"/>
  <c r="C7"/>
  <c r="D7" s="1"/>
  <c r="E7" s="1"/>
  <c r="F7" s="1"/>
  <c r="G7" s="1"/>
  <c r="H7" s="1"/>
  <c r="I7" s="1"/>
  <c r="J7" s="1"/>
  <c r="K7" s="1"/>
  <c r="L7" s="1"/>
  <c r="M7" s="1"/>
  <c r="N7" s="1"/>
  <c r="O7" s="1"/>
  <c r="P7" s="1"/>
  <c r="Q7" s="1"/>
  <c r="R7" s="1"/>
  <c r="S7" s="1"/>
  <c r="T7" s="1"/>
  <c r="U7" s="1"/>
  <c r="V7" s="1"/>
  <c r="W7" s="1"/>
  <c r="X7" s="1"/>
  <c r="Y7" s="1"/>
  <c r="Z7" s="1"/>
  <c r="AA7" s="1"/>
  <c r="AB7" s="1"/>
  <c r="AC7" s="1"/>
  <c r="AD7" s="1"/>
  <c r="AE7" s="1"/>
  <c r="AF7" s="1"/>
  <c r="AG7" s="1"/>
  <c r="AH7" s="1"/>
  <c r="AI7" s="1"/>
  <c r="AJ7" s="1"/>
  <c r="AK7" s="1"/>
  <c r="AL7" s="1"/>
  <c r="AM7" s="1"/>
  <c r="AN7" s="1"/>
  <c r="AO7" s="1"/>
  <c r="AP7" s="1"/>
  <c r="AQ7" s="1"/>
  <c r="AR7" s="1"/>
  <c r="AS7" s="1"/>
  <c r="AT7" s="1"/>
  <c r="AU7" s="1"/>
  <c r="AV7" s="1"/>
  <c r="AW7" s="1"/>
  <c r="AX7" s="1"/>
  <c r="AY7" s="1"/>
  <c r="AZ7" s="1"/>
  <c r="BA7" s="1"/>
  <c r="BB7" s="1"/>
  <c r="BC7" s="1"/>
  <c r="BD7" s="1"/>
  <c r="BE7" s="1"/>
  <c r="BF7" s="1"/>
  <c r="BG7" s="1"/>
  <c r="BH7" s="1"/>
  <c r="BI7" s="1"/>
  <c r="BJ7" s="1"/>
  <c r="BK7" s="1"/>
  <c r="BL7" s="1"/>
  <c r="BM7" s="1"/>
  <c r="BN7" s="1"/>
  <c r="BO7" s="1"/>
  <c r="BP7" s="1"/>
  <c r="BQ7" s="1"/>
  <c r="BR7" s="1"/>
  <c r="BS7" s="1"/>
  <c r="H5"/>
  <c r="E5"/>
  <c r="B5"/>
  <c r="H3"/>
  <c r="N5" s="1"/>
  <c r="A71" i="603"/>
  <c r="F70"/>
  <c r="C70"/>
  <c r="D70" s="1"/>
  <c r="E70" s="1"/>
  <c r="E68"/>
  <c r="B68"/>
  <c r="B78" s="1"/>
  <c r="H66"/>
  <c r="H68" s="1"/>
  <c r="A51"/>
  <c r="C50"/>
  <c r="D50" s="1"/>
  <c r="E50" s="1"/>
  <c r="F50" s="1"/>
  <c r="G50" s="1"/>
  <c r="H50" s="1"/>
  <c r="I50" s="1"/>
  <c r="J50" s="1"/>
  <c r="K50" s="1"/>
  <c r="L50" s="1"/>
  <c r="M50" s="1"/>
  <c r="N50" s="1"/>
  <c r="O50" s="1"/>
  <c r="P50" s="1"/>
  <c r="E48"/>
  <c r="B48"/>
  <c r="B59" s="1"/>
  <c r="H46"/>
  <c r="N48" s="1"/>
  <c r="A30"/>
  <c r="A31" s="1"/>
  <c r="A32" s="1"/>
  <c r="A33" s="1"/>
  <c r="A34" s="1"/>
  <c r="A35" s="1"/>
  <c r="A36" s="1"/>
  <c r="C29"/>
  <c r="D29" s="1"/>
  <c r="E29" s="1"/>
  <c r="F29" s="1"/>
  <c r="G29" s="1"/>
  <c r="H29" s="1"/>
  <c r="I29" s="1"/>
  <c r="J29" s="1"/>
  <c r="K29" s="1"/>
  <c r="L29" s="1"/>
  <c r="M29" s="1"/>
  <c r="N29" s="1"/>
  <c r="O29" s="1"/>
  <c r="P29" s="1"/>
  <c r="Q29" s="1"/>
  <c r="E27"/>
  <c r="B27"/>
  <c r="B39" s="1"/>
  <c r="C39" s="1"/>
  <c r="H25"/>
  <c r="H27" s="1"/>
  <c r="K27" s="1"/>
  <c r="C18"/>
  <c r="D18" s="1"/>
  <c r="E18" s="1"/>
  <c r="F18" s="1"/>
  <c r="A8"/>
  <c r="C7"/>
  <c r="D7" s="1"/>
  <c r="E7" s="1"/>
  <c r="F7" s="1"/>
  <c r="G7" s="1"/>
  <c r="H7" s="1"/>
  <c r="I7" s="1"/>
  <c r="J7" s="1"/>
  <c r="K7" s="1"/>
  <c r="L7" s="1"/>
  <c r="M7" s="1"/>
  <c r="N7" s="1"/>
  <c r="O7" s="1"/>
  <c r="P7" s="1"/>
  <c r="Q7" s="1"/>
  <c r="R7" s="1"/>
  <c r="S7" s="1"/>
  <c r="T7" s="1"/>
  <c r="U7" s="1"/>
  <c r="V7" s="1"/>
  <c r="W7" s="1"/>
  <c r="X7" s="1"/>
  <c r="Y7" s="1"/>
  <c r="Z7" s="1"/>
  <c r="AA7" s="1"/>
  <c r="AB7" s="1"/>
  <c r="AC7" s="1"/>
  <c r="AD7" s="1"/>
  <c r="AE7" s="1"/>
  <c r="AF7" s="1"/>
  <c r="AG7" s="1"/>
  <c r="AH7" s="1"/>
  <c r="AI7" s="1"/>
  <c r="AJ7" s="1"/>
  <c r="AK7" s="1"/>
  <c r="AL7" s="1"/>
  <c r="AM7" s="1"/>
  <c r="AN7" s="1"/>
  <c r="AO7" s="1"/>
  <c r="AP7" s="1"/>
  <c r="AQ7" s="1"/>
  <c r="AR7" s="1"/>
  <c r="AS7" s="1"/>
  <c r="AT7" s="1"/>
  <c r="AU7" s="1"/>
  <c r="AV7" s="1"/>
  <c r="AW7" s="1"/>
  <c r="AX7" s="1"/>
  <c r="AY7" s="1"/>
  <c r="AZ7" s="1"/>
  <c r="BA7" s="1"/>
  <c r="BB7" s="1"/>
  <c r="BC7" s="1"/>
  <c r="BD7" s="1"/>
  <c r="BE7" s="1"/>
  <c r="BF7" s="1"/>
  <c r="BG7" s="1"/>
  <c r="BH7" s="1"/>
  <c r="BI7" s="1"/>
  <c r="BJ7" s="1"/>
  <c r="BK7" s="1"/>
  <c r="BL7" s="1"/>
  <c r="BM7" s="1"/>
  <c r="BN7" s="1"/>
  <c r="BO7" s="1"/>
  <c r="BP7" s="1"/>
  <c r="BQ7" s="1"/>
  <c r="BR7" s="1"/>
  <c r="BS7" s="1"/>
  <c r="H5"/>
  <c r="E5"/>
  <c r="B5"/>
  <c r="H3"/>
  <c r="N5" s="1"/>
  <c r="N27" l="1"/>
  <c r="I37"/>
  <c r="N56" i="612"/>
  <c r="H48" i="603"/>
  <c r="K48" s="1"/>
  <c r="N68"/>
  <c r="A37" i="612"/>
  <c r="E71"/>
  <c r="B89"/>
  <c r="A86"/>
  <c r="A87" s="1"/>
  <c r="A10"/>
  <c r="A11" s="1"/>
  <c r="A12" s="1"/>
  <c r="A13" s="1"/>
  <c r="A14" s="1"/>
  <c r="A15" s="1"/>
  <c r="K5"/>
  <c r="BR16"/>
  <c r="F65"/>
  <c r="F67" s="1"/>
  <c r="F68" s="1"/>
  <c r="I65"/>
  <c r="I67" s="1"/>
  <c r="I68" s="1"/>
  <c r="E47"/>
  <c r="N80"/>
  <c r="E16"/>
  <c r="E18" s="1"/>
  <c r="AK16"/>
  <c r="AK18" s="1"/>
  <c r="F22"/>
  <c r="K31"/>
  <c r="M65"/>
  <c r="M67" s="1"/>
  <c r="M68" s="1"/>
  <c r="J16"/>
  <c r="J18" s="1"/>
  <c r="AP16"/>
  <c r="AP18" s="1"/>
  <c r="N65"/>
  <c r="P65"/>
  <c r="P67" s="1"/>
  <c r="P68" s="1"/>
  <c r="B65"/>
  <c r="B67" s="1"/>
  <c r="B68" s="1"/>
  <c r="J65"/>
  <c r="J67" s="1"/>
  <c r="J68" s="1"/>
  <c r="N67"/>
  <c r="N68" s="1"/>
  <c r="K56"/>
  <c r="E67"/>
  <c r="E68" s="1"/>
  <c r="E65"/>
  <c r="C65"/>
  <c r="C67" s="1"/>
  <c r="C68" s="1"/>
  <c r="G65"/>
  <c r="G67" s="1"/>
  <c r="G68" s="1"/>
  <c r="K65"/>
  <c r="K67" s="1"/>
  <c r="K68" s="1"/>
  <c r="O65"/>
  <c r="O67" s="1"/>
  <c r="O68" s="1"/>
  <c r="D65"/>
  <c r="D67" s="1"/>
  <c r="D68" s="1"/>
  <c r="H65"/>
  <c r="H67" s="1"/>
  <c r="H68" s="1"/>
  <c r="L65"/>
  <c r="L67" s="1"/>
  <c r="L68" s="1"/>
  <c r="B88"/>
  <c r="B90" s="1"/>
  <c r="B91" s="1"/>
  <c r="R29" i="603"/>
  <c r="S29" s="1"/>
  <c r="T29" s="1"/>
  <c r="U29" s="1"/>
  <c r="V29" s="1"/>
  <c r="W29" s="1"/>
  <c r="X29" s="1"/>
  <c r="Y29" s="1"/>
  <c r="Q37"/>
  <c r="K5"/>
  <c r="C78"/>
  <c r="G18"/>
  <c r="R37"/>
  <c r="J37"/>
  <c r="B37"/>
  <c r="A72"/>
  <c r="A9"/>
  <c r="E37"/>
  <c r="M37"/>
  <c r="U37"/>
  <c r="C59"/>
  <c r="A52"/>
  <c r="H37"/>
  <c r="F37"/>
  <c r="N37"/>
  <c r="D39"/>
  <c r="K68"/>
  <c r="C37"/>
  <c r="G37"/>
  <c r="K37"/>
  <c r="O37"/>
  <c r="S37"/>
  <c r="W37"/>
  <c r="D37"/>
  <c r="L37"/>
  <c r="P37"/>
  <c r="T37"/>
  <c r="X37"/>
  <c r="E38" i="611"/>
  <c r="B38"/>
  <c r="B40" s="1"/>
  <c r="H36"/>
  <c r="H38" s="1"/>
  <c r="E27"/>
  <c r="B27"/>
  <c r="B29" s="1"/>
  <c r="C29" s="1"/>
  <c r="D29" s="1"/>
  <c r="E29" s="1"/>
  <c r="H25"/>
  <c r="N27" s="1"/>
  <c r="E16"/>
  <c r="B16"/>
  <c r="B18" s="1"/>
  <c r="H14"/>
  <c r="N16" s="1"/>
  <c r="C7"/>
  <c r="D7" s="1"/>
  <c r="E7" s="1"/>
  <c r="F7" s="1"/>
  <c r="E5"/>
  <c r="B5"/>
  <c r="H3"/>
  <c r="N5" s="1"/>
  <c r="AB16" i="356"/>
  <c r="T82" i="535"/>
  <c r="B87" i="536"/>
  <c r="S3" i="509" a="1"/>
  <c r="E44" i="604"/>
  <c r="R39" i="535"/>
  <c r="Y17" i="349"/>
  <c r="T144" i="535"/>
  <c r="E121"/>
  <c r="T131"/>
  <c r="F87" i="536"/>
  <c r="B20" i="535"/>
  <c r="I32" i="406"/>
  <c r="E23" i="483"/>
  <c r="D40" i="546"/>
  <c r="O4" i="511" a="1"/>
  <c r="O17" i="341"/>
  <c r="C24" i="536"/>
  <c r="E186" i="535"/>
  <c r="T12" i="585" a="1"/>
  <c r="E68" i="536"/>
  <c r="Q7" i="64"/>
  <c r="E23" i="518" a="1"/>
  <c r="R157" i="535"/>
  <c r="U120"/>
  <c r="L5" i="530" a="1"/>
  <c r="K6" i="604"/>
  <c r="U178" i="535"/>
  <c r="D75" i="546"/>
  <c r="B104"/>
  <c r="I22" i="471" a="1"/>
  <c r="T33" i="535"/>
  <c r="G26" i="98" a="1"/>
  <c r="E11" i="518" a="1"/>
  <c r="B24" i="535"/>
  <c r="D136"/>
  <c r="C106" i="546"/>
  <c r="C35" i="535"/>
  <c r="F9" i="575"/>
  <c r="J15" i="440"/>
  <c r="Q3" i="333" a="1"/>
  <c r="B81" i="546"/>
  <c r="E47" i="569"/>
  <c r="C75" i="535"/>
  <c r="V4" i="458" a="1"/>
  <c r="R152" i="535"/>
  <c r="E9" i="546"/>
  <c r="U75" i="535"/>
  <c r="N16" i="580"/>
  <c r="B21" i="535"/>
  <c r="D161"/>
  <c r="U195"/>
  <c r="D56"/>
  <c r="T189"/>
  <c r="AC4" i="341" a="1"/>
  <c r="B163" i="535"/>
  <c r="C28" i="477" a="1"/>
  <c r="D72" i="535"/>
  <c r="G21" i="484"/>
  <c r="D47" i="535"/>
  <c r="E38" i="536"/>
  <c r="D4" i="489" a="1"/>
  <c r="F13" i="536"/>
  <c r="C77"/>
  <c r="B58" i="535"/>
  <c r="C79" i="546"/>
  <c r="G12" i="472" a="1"/>
  <c r="S12" i="543"/>
  <c r="I7" i="562"/>
  <c r="T27" i="535"/>
  <c r="D108" i="546"/>
  <c r="V21" i="573"/>
  <c r="H25" i="589"/>
  <c r="S110" i="535"/>
  <c r="C14"/>
  <c r="T7" i="595"/>
  <c r="O21" i="210"/>
  <c r="J21" i="549"/>
  <c r="Q18" i="215"/>
  <c r="D175" i="535"/>
  <c r="T95"/>
  <c r="C69" i="546"/>
  <c r="P6" i="420"/>
  <c r="B103" i="535"/>
  <c r="I5" i="387"/>
  <c r="E100" i="463"/>
  <c r="Q10" i="473"/>
  <c r="U139" i="535"/>
  <c r="U7" i="595"/>
  <c r="S84" i="535"/>
  <c r="J6" i="440"/>
  <c r="L27" i="64"/>
  <c r="G24" i="552"/>
  <c r="AW5" i="351" a="1"/>
  <c r="E12" i="527" a="1"/>
  <c r="Q7" i="351"/>
  <c r="D179" i="535"/>
  <c r="C31"/>
  <c r="J20" i="548"/>
  <c r="O7" i="349"/>
  <c r="I6" i="582"/>
  <c r="P22" i="529" a="1"/>
  <c r="AD18" i="290"/>
  <c r="F5" i="457" a="1"/>
  <c r="P38" i="462"/>
  <c r="B194" i="535"/>
  <c r="T148"/>
  <c r="R51"/>
  <c r="D89"/>
  <c r="M14" i="320"/>
  <c r="O8" i="62"/>
  <c r="C24" i="546"/>
  <c r="T67" i="535"/>
  <c r="G11" i="388"/>
  <c r="U87" i="535"/>
  <c r="C12" i="59"/>
  <c r="F105" i="536"/>
  <c r="D100" i="546"/>
  <c r="D13" i="360"/>
  <c r="E88" i="535"/>
  <c r="D90" i="536"/>
  <c r="T71" i="535"/>
  <c r="D10" i="546"/>
  <c r="C35"/>
  <c r="R112" i="535"/>
  <c r="U121"/>
  <c r="AB24" i="447"/>
  <c r="E10" i="536"/>
  <c r="U31" i="216"/>
  <c r="O4" i="341" a="1"/>
  <c r="B38" i="536"/>
  <c r="S72" i="535"/>
  <c r="R97"/>
  <c r="C32" i="536"/>
  <c r="F23" i="484"/>
  <c r="C85" i="535"/>
  <c r="S51"/>
  <c r="U148"/>
  <c r="D14" i="348"/>
  <c r="G46" i="460" a="1"/>
  <c r="R102" i="535"/>
  <c r="T170"/>
  <c r="C161"/>
  <c r="G3" i="511" a="1"/>
  <c r="E37" i="536"/>
  <c r="B107" i="535"/>
  <c r="L5" i="64"/>
  <c r="C109" i="546"/>
  <c r="E11" i="522"/>
  <c r="S32" i="535"/>
  <c r="C25" i="536"/>
  <c r="B93" i="535"/>
  <c r="R37"/>
  <c r="O7" i="73"/>
  <c r="F18" i="352"/>
  <c r="C35" i="536"/>
  <c r="E123" i="535"/>
  <c r="AA25" i="447"/>
  <c r="L11" i="64"/>
  <c r="Q5" i="420"/>
  <c r="D45" i="546"/>
  <c r="P44" i="462"/>
  <c r="E22" i="516" a="1"/>
  <c r="J11" i="583"/>
  <c r="D202" i="535"/>
  <c r="H14" i="470" a="1"/>
  <c r="R190" i="535"/>
  <c r="U199"/>
  <c r="P15" i="351"/>
  <c r="E194" i="535"/>
  <c r="E84" i="536"/>
  <c r="D207" i="535"/>
  <c r="G20" i="392"/>
  <c r="D33" i="546"/>
  <c r="D16" i="71"/>
  <c r="J31" i="611"/>
  <c r="B101" i="536"/>
  <c r="U83" i="535"/>
  <c r="M52" i="339"/>
  <c r="C175" i="535"/>
  <c r="B19" i="546"/>
  <c r="H22" i="422"/>
  <c r="D58" i="536"/>
  <c r="R182" i="535"/>
  <c r="S39"/>
  <c r="D71" i="546"/>
  <c r="U126" i="535"/>
  <c r="D10" i="604"/>
  <c r="R13" i="535"/>
  <c r="E200"/>
  <c r="S109"/>
  <c r="E85" i="536"/>
  <c r="E163" i="535"/>
  <c r="B44" i="546"/>
  <c r="C123" i="535"/>
  <c r="K20" i="566"/>
  <c r="E174" i="535"/>
  <c r="K12" i="339" a="1"/>
  <c r="B96" i="535"/>
  <c r="D95"/>
  <c r="C19" i="536"/>
  <c r="C75"/>
  <c r="I17" i="562"/>
  <c r="U110" i="535"/>
  <c r="C21" i="611"/>
  <c r="U116" i="535"/>
  <c r="E42" i="546"/>
  <c r="L12" i="349"/>
  <c r="G13" i="527" a="1"/>
  <c r="D11" i="350"/>
  <c r="AA4" i="494" a="1"/>
  <c r="M20" i="611"/>
  <c r="C98" i="546"/>
  <c r="L3" i="298" a="1"/>
  <c r="F12" i="536"/>
  <c r="M4" i="341" a="1"/>
  <c r="O12" i="356"/>
  <c r="F22" i="422"/>
  <c r="H23" i="75"/>
  <c r="C67" i="535"/>
  <c r="D130"/>
  <c r="O17" i="343"/>
  <c r="J33" i="584"/>
  <c r="N20" i="611"/>
  <c r="L26" i="64"/>
  <c r="E77" i="536"/>
  <c r="U112" i="535"/>
  <c r="E25" i="536"/>
  <c r="D49"/>
  <c r="B36" i="75" a="1"/>
  <c r="C14" i="546"/>
  <c r="K15" i="349"/>
  <c r="T76" i="535"/>
  <c r="E100"/>
  <c r="B32" i="611"/>
  <c r="C140" i="535"/>
  <c r="B164"/>
  <c r="F37" i="536"/>
  <c r="R209" i="535"/>
  <c r="G35" i="467" a="1"/>
  <c r="D9" i="535"/>
  <c r="F103" i="536"/>
  <c r="K4" i="489"/>
  <c r="B43" i="536"/>
  <c r="S63" i="26"/>
  <c r="F40" i="536"/>
  <c r="E16" i="517" a="1"/>
  <c r="C87" i="536"/>
  <c r="T58" i="535"/>
  <c r="U12"/>
  <c r="P13" i="351"/>
  <c r="S166" i="535"/>
  <c r="B30" i="440" a="1"/>
  <c r="O23" i="211"/>
  <c r="C4" i="59"/>
  <c r="E78" i="546"/>
  <c r="T196" i="535"/>
  <c r="C8" i="536"/>
  <c r="I19" i="406"/>
  <c r="C153" i="535"/>
  <c r="E5" i="518" a="1"/>
  <c r="C109" i="536"/>
  <c r="O10" i="351"/>
  <c r="N11"/>
  <c r="K8" i="583"/>
  <c r="F3" i="448" a="1"/>
  <c r="D7" i="59"/>
  <c r="T150" i="535"/>
  <c r="E17" i="527" a="1"/>
  <c r="C15" i="546"/>
  <c r="E9" i="527" a="1"/>
  <c r="G4" i="534" a="1"/>
  <c r="K15" i="347"/>
  <c r="E47" i="30"/>
  <c r="E52" i="536"/>
  <c r="U85" i="535"/>
  <c r="E83" i="546"/>
  <c r="S182" i="535"/>
  <c r="C79" i="536"/>
  <c r="C110" i="535"/>
  <c r="T110"/>
  <c r="B198"/>
  <c r="C143"/>
  <c r="C60" i="536"/>
  <c r="D115" i="535"/>
  <c r="B48"/>
  <c r="K19" i="472"/>
  <c r="B47" i="546"/>
  <c r="D158" i="535"/>
  <c r="B159"/>
  <c r="W33" i="256"/>
  <c r="F18" i="536"/>
  <c r="T75" i="535"/>
  <c r="S8" i="192"/>
  <c r="D9" i="59"/>
  <c r="B100" i="546"/>
  <c r="M7" i="420"/>
  <c r="W49" i="256"/>
  <c r="T20" i="535"/>
  <c r="S22"/>
  <c r="H15" i="467" a="1"/>
  <c r="C90" i="546"/>
  <c r="K16" i="352"/>
  <c r="T18" i="535"/>
  <c r="D127"/>
  <c r="J16" i="483" a="1"/>
  <c r="B98" i="546"/>
  <c r="F84" i="536"/>
  <c r="C95"/>
  <c r="E77" i="546"/>
  <c r="R69" i="535"/>
  <c r="AA20" i="466" a="1"/>
  <c r="C72" i="536"/>
  <c r="I7" i="582"/>
  <c r="M8" i="538"/>
  <c r="S104" i="535"/>
  <c r="D91"/>
  <c r="R45"/>
  <c r="B182"/>
  <c r="D16" i="546"/>
  <c r="M14" i="538"/>
  <c r="D24" i="535"/>
  <c r="S118"/>
  <c r="C68" i="546"/>
  <c r="X8" i="458" a="1"/>
  <c r="F98" i="536"/>
  <c r="E105" i="546"/>
  <c r="K56" i="479"/>
  <c r="AI7" i="463" a="1"/>
  <c r="E158" i="535"/>
  <c r="G16" i="64"/>
  <c r="M15" i="320"/>
  <c r="B84" i="546"/>
  <c r="E17" i="348"/>
  <c r="F26" i="353"/>
  <c r="T137" i="535"/>
  <c r="T13"/>
  <c r="AA20" i="56"/>
  <c r="E116" i="535"/>
  <c r="E30" i="440" a="1"/>
  <c r="D201" i="535"/>
  <c r="U100"/>
  <c r="N10" i="420"/>
  <c r="G13" i="516" a="1"/>
  <c r="G31" i="64"/>
  <c r="B52" i="546"/>
  <c r="I4" i="582"/>
  <c r="F10" i="536"/>
  <c r="R86" i="535"/>
  <c r="D187"/>
  <c r="T205"/>
  <c r="N14" i="420"/>
  <c r="K29" i="613"/>
  <c r="D8" i="59"/>
  <c r="F51" i="536"/>
  <c r="B94" i="546"/>
  <c r="L8" i="347"/>
  <c r="B38" i="535"/>
  <c r="I6" i="387"/>
  <c r="S140" i="535"/>
  <c r="D48" i="536"/>
  <c r="G7" i="388"/>
  <c r="D40" i="535"/>
  <c r="I8" i="582"/>
  <c r="T160" i="535"/>
  <c r="L6" i="473"/>
  <c r="H4" i="388"/>
  <c r="H58" i="339" a="1"/>
  <c r="T141" i="535"/>
  <c r="E6" i="580"/>
  <c r="T143" i="535"/>
  <c r="P11" i="351"/>
  <c r="G12" i="547"/>
  <c r="E195" i="535"/>
  <c r="M16" i="538"/>
  <c r="H8" i="387"/>
  <c r="U25" i="406"/>
  <c r="AA22" i="56"/>
  <c r="E81" i="535"/>
  <c r="E55" i="30"/>
  <c r="K13" i="583"/>
  <c r="S105" i="535"/>
  <c r="P12" i="478"/>
  <c r="P16" i="528"/>
  <c r="F13" i="575"/>
  <c r="C74" i="535"/>
  <c r="G8" i="388"/>
  <c r="D152" i="535"/>
  <c r="Q8" i="473"/>
  <c r="S30" i="535"/>
  <c r="D22" i="536"/>
  <c r="U22" i="350"/>
  <c r="D30" i="440" a="1"/>
  <c r="G13" i="518" a="1"/>
  <c r="R8" i="467" a="1"/>
  <c r="R20" i="535"/>
  <c r="AS12"/>
  <c r="D43" i="611"/>
  <c r="N10" i="351"/>
  <c r="M5" i="420"/>
  <c r="D106" i="535"/>
  <c r="I12" i="387"/>
  <c r="B20" i="546"/>
  <c r="C84" i="536"/>
  <c r="F28"/>
  <c r="T111" i="535"/>
  <c r="B30"/>
  <c r="C21"/>
  <c r="R65"/>
  <c r="U9" i="56"/>
  <c r="E5" i="470" a="1"/>
  <c r="F61" i="536"/>
  <c r="S19" i="535"/>
  <c r="B68"/>
  <c r="C89" i="546"/>
  <c r="M9" i="538"/>
  <c r="E15" i="516" a="1"/>
  <c r="B76" i="535"/>
  <c r="R48"/>
  <c r="E20" i="518" a="1"/>
  <c r="E88" i="546"/>
  <c r="J9" i="583"/>
  <c r="F10" i="353"/>
  <c r="R161" i="535"/>
  <c r="C31" i="546"/>
  <c r="C6" i="582"/>
  <c r="Q8" i="64"/>
  <c r="E56" i="535"/>
  <c r="D81" i="546"/>
  <c r="AA9" i="56"/>
  <c r="N15" i="351"/>
  <c r="G12" i="388"/>
  <c r="D54" i="31"/>
  <c r="D172" i="535"/>
  <c r="AM5" i="350"/>
  <c r="C126" i="535"/>
  <c r="AK5" i="356"/>
  <c r="U169" i="535"/>
  <c r="O10" i="356"/>
  <c r="K52" i="613"/>
  <c r="C108" i="536"/>
  <c r="U36" i="535"/>
  <c r="T98"/>
  <c r="F21" i="353"/>
  <c r="K5" i="613"/>
  <c r="C28" i="535"/>
  <c r="E76"/>
  <c r="C24"/>
  <c r="K13" i="351"/>
  <c r="H47" i="604"/>
  <c r="P22" i="528"/>
  <c r="S15" i="543"/>
  <c r="D6" i="498" a="1"/>
  <c r="C149" i="535"/>
  <c r="D108"/>
  <c r="F68" i="536"/>
  <c r="E192" i="535"/>
  <c r="K6" i="580"/>
  <c r="E18" i="536"/>
  <c r="D85"/>
  <c r="S69" i="535"/>
  <c r="G6" i="388"/>
  <c r="B31" i="611"/>
  <c r="D12" i="348"/>
  <c r="U192" i="535"/>
  <c r="K26" i="107" a="1"/>
  <c r="L13" i="349"/>
  <c r="O5" i="62"/>
  <c r="O5" i="73"/>
  <c r="D134" i="535"/>
  <c r="E65" i="546"/>
  <c r="B87"/>
  <c r="J19" i="568"/>
  <c r="K12" i="349"/>
  <c r="E35" i="536"/>
  <c r="F101"/>
  <c r="K25" i="339" a="1"/>
  <c r="B199" i="535"/>
  <c r="E180"/>
  <c r="H8" i="388"/>
  <c r="V4" i="459" a="1"/>
  <c r="P50" i="462"/>
  <c r="W5" i="368" a="1"/>
  <c r="F28" i="353"/>
  <c r="N8" i="289"/>
  <c r="L15" i="351"/>
  <c r="S161" i="535"/>
  <c r="C80"/>
  <c r="H96" i="463" a="1"/>
  <c r="B137" i="535"/>
  <c r="C30" i="536"/>
  <c r="E87" i="546"/>
  <c r="C50" i="535"/>
  <c r="E97" i="546"/>
  <c r="E10" i="516" a="1"/>
  <c r="H35" i="486" a="1"/>
  <c r="C26" i="546"/>
  <c r="S153" i="535"/>
  <c r="K8" i="581"/>
  <c r="E5" i="527" a="1"/>
  <c r="H20" i="555"/>
  <c r="U201" i="535"/>
  <c r="U57"/>
  <c r="S114"/>
  <c r="T126"/>
  <c r="C59" i="546"/>
  <c r="Y18" i="349"/>
  <c r="E155" i="535"/>
  <c r="O7" i="356"/>
  <c r="E65" i="536"/>
  <c r="B90"/>
  <c r="I25" i="476" a="1"/>
  <c r="E26" i="613"/>
  <c r="E23" i="535"/>
  <c r="D101" i="546"/>
  <c r="R32" i="535"/>
  <c r="G7" i="610"/>
  <c r="E10" i="569"/>
  <c r="R77" i="535"/>
  <c r="I17" i="417" a="1"/>
  <c r="D51" i="546"/>
  <c r="F72" i="536"/>
  <c r="U114" i="535"/>
  <c r="G33" i="569"/>
  <c r="V72" i="463" a="1"/>
  <c r="I8" i="387"/>
  <c r="C204" i="535"/>
  <c r="R193"/>
  <c r="D31" i="611"/>
  <c r="S3" i="450" a="1"/>
  <c r="F7" i="342"/>
  <c r="L13" i="482" a="1"/>
  <c r="T112" i="535"/>
  <c r="E11"/>
  <c r="C9" i="71"/>
  <c r="E23" i="527" a="1"/>
  <c r="U205" i="535"/>
  <c r="S85"/>
  <c r="D10" i="350"/>
  <c r="D198" i="535"/>
  <c r="I22" i="406"/>
  <c r="F22" i="536"/>
  <c r="L9" i="351"/>
  <c r="R18" i="215"/>
  <c r="I8" i="567"/>
  <c r="R125" i="535"/>
  <c r="K17" i="347"/>
  <c r="K9"/>
  <c r="R143" i="535"/>
  <c r="E80"/>
  <c r="D86"/>
  <c r="Q3" i="458" a="1"/>
  <c r="K12" i="583"/>
  <c r="D96" i="546"/>
  <c r="E25" i="613"/>
  <c r="K24"/>
  <c r="S120" i="535"/>
  <c r="C64" i="546"/>
  <c r="E64"/>
  <c r="T44" i="535"/>
  <c r="E45" i="536"/>
  <c r="E152" i="535"/>
  <c r="K51" i="613"/>
  <c r="H13" i="515" a="1"/>
  <c r="N7" i="420"/>
  <c r="C11" i="582"/>
  <c r="C83" i="535"/>
  <c r="Q12" i="64"/>
  <c r="D27" i="76"/>
  <c r="C17" i="535"/>
  <c r="K9" i="583"/>
  <c r="S157" i="535"/>
  <c r="AM5" i="300" a="1"/>
  <c r="G5" i="387"/>
  <c r="D10" i="572"/>
  <c r="C37" i="546"/>
  <c r="S52" i="535"/>
  <c r="E16" i="527" a="1"/>
  <c r="F5" i="528" a="1"/>
  <c r="C17" i="546"/>
  <c r="C32" i="535"/>
  <c r="D118"/>
  <c r="E27" i="536"/>
  <c r="T5" i="489"/>
  <c r="D162" i="535"/>
  <c r="B62"/>
  <c r="C27" i="546"/>
  <c r="M12" i="538"/>
  <c r="I3" i="575"/>
  <c r="T96" i="535"/>
  <c r="E38" i="546"/>
  <c r="E101" i="535"/>
  <c r="AA23" i="56"/>
  <c r="U29"/>
  <c r="G15" i="342"/>
  <c r="S68" i="535"/>
  <c r="U9"/>
  <c r="B54" i="536"/>
  <c r="E13" i="527" a="1"/>
  <c r="B50" i="535"/>
  <c r="S175"/>
  <c r="E10" i="518" a="1"/>
  <c r="I12" i="388"/>
  <c r="I19" i="46"/>
  <c r="D169" i="535"/>
  <c r="E47" i="546"/>
  <c r="E179" i="535"/>
  <c r="A25" i="523" a="1"/>
  <c r="L33" i="64"/>
  <c r="D43" i="613"/>
  <c r="G15" i="388"/>
  <c r="D10" i="347"/>
  <c r="C25" i="535"/>
  <c r="J22" i="440"/>
  <c r="R169" i="535"/>
  <c r="E28" i="546"/>
  <c r="E19" i="536"/>
  <c r="W66" i="256"/>
  <c r="B63" i="536"/>
  <c r="E43" i="611"/>
  <c r="AB15" i="64"/>
  <c r="S79" i="535"/>
  <c r="E9" i="518" a="1"/>
  <c r="R107" i="535"/>
  <c r="O17" i="62"/>
  <c r="R200" i="535"/>
  <c r="I11" i="609"/>
  <c r="P5" i="192"/>
  <c r="U161" i="535"/>
  <c r="J14" i="483" a="1"/>
  <c r="S8" i="454" a="1"/>
  <c r="E98" i="463"/>
  <c r="D70" i="546"/>
  <c r="E95" i="536"/>
  <c r="E55"/>
  <c r="D104" i="546"/>
  <c r="R20" i="215"/>
  <c r="I13" i="582"/>
  <c r="N9" i="349"/>
  <c r="E8" i="535"/>
  <c r="H52" i="613"/>
  <c r="H30" i="297" a="1"/>
  <c r="S19" i="215"/>
  <c r="R14" i="467" a="1"/>
  <c r="E21" i="518" a="1"/>
  <c r="T11" i="50"/>
  <c r="M9" i="349"/>
  <c r="S115" i="535"/>
  <c r="E17" i="546"/>
  <c r="U7" i="368"/>
  <c r="E70" i="535"/>
  <c r="M9" i="611"/>
  <c r="C190" i="535"/>
  <c r="F39" i="536"/>
  <c r="J20" i="392"/>
  <c r="E34" i="546"/>
  <c r="AF5" i="356" a="1"/>
  <c r="I13" i="575"/>
  <c r="C102" i="546"/>
  <c r="F104" i="536"/>
  <c r="R15" i="535"/>
  <c r="R116"/>
  <c r="U47"/>
  <c r="D13" i="570"/>
  <c r="B25" i="536"/>
  <c r="J6" i="369" a="1"/>
  <c r="D154" i="535"/>
  <c r="G12" i="484"/>
  <c r="X18" i="349"/>
  <c r="X17"/>
  <c r="B36" i="535"/>
  <c r="D24" i="536"/>
  <c r="E14" i="470" a="1"/>
  <c r="E11" i="546"/>
  <c r="D51" i="536"/>
  <c r="AD38" i="290"/>
  <c r="T24" i="447"/>
  <c r="L10" i="349"/>
  <c r="M6" i="339"/>
  <c r="S132" i="535"/>
  <c r="D26" i="536"/>
  <c r="F107"/>
  <c r="B46" i="546"/>
  <c r="J19" i="392"/>
  <c r="A3" i="531" a="1"/>
  <c r="E209" i="535"/>
  <c r="B90"/>
  <c r="H43" i="478" a="1"/>
  <c r="H47" a="1"/>
  <c r="O4" i="420"/>
  <c r="M11" i="486" a="1"/>
  <c r="B13" i="535"/>
  <c r="E22" i="522"/>
  <c r="O9" i="351"/>
  <c r="B157" i="535"/>
  <c r="E74"/>
  <c r="O11" i="356"/>
  <c r="T163" i="535"/>
  <c r="I12" i="582"/>
  <c r="G4" i="388"/>
  <c r="F9" i="536"/>
  <c r="C41" i="535"/>
  <c r="R145"/>
  <c r="D41" i="536"/>
  <c r="S181" i="535"/>
  <c r="R111"/>
  <c r="D81" i="536"/>
  <c r="AI17" i="64"/>
  <c r="E187" i="535"/>
  <c r="L3" i="591" a="1"/>
  <c r="H7" i="387"/>
  <c r="J15" i="483" a="1"/>
  <c r="B186" i="535"/>
  <c r="B8" i="546"/>
  <c r="B122" i="535"/>
  <c r="C206"/>
  <c r="M8" i="48"/>
  <c r="P13" i="420"/>
  <c r="D59" i="536"/>
  <c r="K33" i="604"/>
  <c r="D16" i="580" a="1"/>
  <c r="T81" i="535"/>
  <c r="I30" i="471" a="1"/>
  <c r="E63" i="546"/>
  <c r="R118" i="535"/>
  <c r="B86"/>
  <c r="J6" i="576"/>
  <c r="F11" i="484"/>
  <c r="S163" i="535"/>
  <c r="Q6" i="422"/>
  <c r="E22" i="527" a="1"/>
  <c r="E63" i="536"/>
  <c r="B12"/>
  <c r="E6" i="517" a="1"/>
  <c r="C121" i="535"/>
  <c r="E5" i="522"/>
  <c r="X22" i="203"/>
  <c r="P16" i="529" a="1"/>
  <c r="O5" i="420"/>
  <c r="B131" i="535"/>
  <c r="B106" i="536"/>
  <c r="D48" i="546"/>
  <c r="D99" i="535"/>
  <c r="C5" i="59"/>
  <c r="Q6" i="351"/>
  <c r="S171" i="535"/>
  <c r="D83"/>
  <c r="S33" i="216"/>
  <c r="D67" i="546"/>
  <c r="C65" i="535"/>
  <c r="S199"/>
  <c r="J36" i="584"/>
  <c r="AB14" i="64"/>
  <c r="S7" i="494"/>
  <c r="B79" i="535"/>
  <c r="D176"/>
  <c r="D47" i="536"/>
  <c r="F12" i="575"/>
  <c r="E201" i="535"/>
  <c r="F3" i="523" a="1"/>
  <c r="U167" i="535"/>
  <c r="C103" i="546"/>
  <c r="E14" i="527" a="1"/>
  <c r="J16" i="370"/>
  <c r="T140" i="535"/>
  <c r="K25" i="472"/>
  <c r="F19" i="484"/>
  <c r="F15" i="536"/>
  <c r="D25"/>
  <c r="I49" i="569"/>
  <c r="E146" i="535"/>
  <c r="T8"/>
  <c r="B138"/>
  <c r="E54" i="536"/>
  <c r="D20" i="316"/>
  <c r="C65" i="546"/>
  <c r="C26" i="536"/>
  <c r="E62" i="535"/>
  <c r="F65" i="536"/>
  <c r="B38" i="546"/>
  <c r="E26" i="553"/>
  <c r="D14" i="570"/>
  <c r="U39" i="535"/>
  <c r="U177"/>
  <c r="U56"/>
  <c r="D4" i="582"/>
  <c r="T21" i="535"/>
  <c r="M10" i="611"/>
  <c r="AH7" i="462" a="1"/>
  <c r="D13" i="546"/>
  <c r="M17" i="580" a="1"/>
  <c r="E91" i="535"/>
  <c r="D42" i="611"/>
  <c r="E51" i="546"/>
  <c r="D7" i="613"/>
  <c r="E17" i="450" a="1"/>
  <c r="L13" i="540"/>
  <c r="C7" i="59"/>
  <c r="E19" i="535"/>
  <c r="R28"/>
  <c r="D33" i="76"/>
  <c r="C10" i="535"/>
  <c r="B34"/>
  <c r="C84" i="546"/>
  <c r="C181" i="535"/>
  <c r="S113"/>
  <c r="P7" i="422"/>
  <c r="D15" i="536"/>
  <c r="D6" i="376"/>
  <c r="S95" i="535"/>
  <c r="I13" i="388"/>
  <c r="D82" i="535"/>
  <c r="C42" i="546"/>
  <c r="D68" i="535"/>
  <c r="J18" i="440"/>
  <c r="O15" i="349"/>
  <c r="E93" i="546"/>
  <c r="B102"/>
  <c r="B139" i="535"/>
  <c r="K20" i="611"/>
  <c r="E63" i="535"/>
  <c r="C130"/>
  <c r="T195"/>
  <c r="Q9" i="611"/>
  <c r="J21" i="440"/>
  <c r="T142" i="535"/>
  <c r="U147"/>
  <c r="D62" i="546"/>
  <c r="C98" i="535"/>
  <c r="C9" i="59"/>
  <c r="D77" i="536"/>
  <c r="AF10" i="56"/>
  <c r="S45" i="535"/>
  <c r="F10" i="576"/>
  <c r="E118" i="535"/>
  <c r="R92"/>
  <c r="R183"/>
  <c r="C19" i="392"/>
  <c r="K51" i="604"/>
  <c r="J20" i="440"/>
  <c r="AC5" i="459" a="1"/>
  <c r="F63" i="536"/>
  <c r="N7" i="609"/>
  <c r="H10" i="611"/>
  <c r="AT25" i="531" a="1"/>
  <c r="E10" i="613"/>
  <c r="S130" i="535"/>
  <c r="C30"/>
  <c r="C45" i="536"/>
  <c r="AI6" i="356"/>
  <c r="D185" i="535"/>
  <c r="L9" i="349"/>
  <c r="T115" i="535"/>
  <c r="R42"/>
  <c r="D65"/>
  <c r="C84"/>
  <c r="P11" i="420"/>
  <c r="E157" i="535"/>
  <c r="T17"/>
  <c r="C51"/>
  <c r="C34"/>
  <c r="B37" i="546"/>
  <c r="D57"/>
  <c r="C22" i="536"/>
  <c r="C39" i="546"/>
  <c r="E98"/>
  <c r="T164" i="535"/>
  <c r="D4" i="494" a="1"/>
  <c r="D168" i="535"/>
  <c r="P14" i="528"/>
  <c r="AB19" i="522" a="1"/>
  <c r="M12" i="509" a="1"/>
  <c r="AD10" i="256"/>
  <c r="AD31" i="290"/>
  <c r="L21" i="611"/>
  <c r="N19" i="514" a="1"/>
  <c r="E168" i="535"/>
  <c r="D189"/>
  <c r="F3" i="531" a="1"/>
  <c r="E16" i="516" a="1"/>
  <c r="R150" i="535"/>
  <c r="T62"/>
  <c r="E19" i="546"/>
  <c r="M13" i="339"/>
  <c r="B84" i="535"/>
  <c r="C147"/>
  <c r="R80"/>
  <c r="J12" i="576"/>
  <c r="N13" i="494"/>
  <c r="C69" i="535"/>
  <c r="S142"/>
  <c r="I15" i="388"/>
  <c r="D40" i="76"/>
  <c r="F20" i="47"/>
  <c r="Q13" i="351"/>
  <c r="AI10" i="256"/>
  <c r="S28" i="535"/>
  <c r="B12" i="541"/>
  <c r="D12" i="535"/>
  <c r="T162"/>
  <c r="Q21" i="211" a="1"/>
  <c r="T8" a="1"/>
  <c r="E17" i="517" a="1"/>
  <c r="D41" i="76"/>
  <c r="E96" i="535"/>
  <c r="D45"/>
  <c r="D190"/>
  <c r="X6" i="471" a="1"/>
  <c r="B88" i="536"/>
  <c r="U52" i="535"/>
  <c r="E57" i="536"/>
  <c r="K11" i="349"/>
  <c r="S173" i="535"/>
  <c r="P22" i="215"/>
  <c r="S164" i="535"/>
  <c r="U130"/>
  <c r="C75" i="546"/>
  <c r="F10" i="602"/>
  <c r="M15" i="351"/>
  <c r="E11" i="613"/>
  <c r="E19" i="522"/>
  <c r="I14" i="388"/>
  <c r="U62" i="535"/>
  <c r="D156"/>
  <c r="K12" i="347"/>
  <c r="AF7" i="461" a="1"/>
  <c r="C55" i="535"/>
  <c r="B144"/>
  <c r="O25" i="350"/>
  <c r="E181" i="535"/>
  <c r="T138"/>
  <c r="K6" i="349"/>
  <c r="F16" i="536"/>
  <c r="C36" i="535"/>
  <c r="H17" i="604"/>
  <c r="U153" i="535"/>
  <c r="D123"/>
  <c r="C205"/>
  <c r="AD29" i="290"/>
  <c r="Q7" i="473"/>
  <c r="V13" i="489" a="1"/>
  <c r="B84" i="536"/>
  <c r="B45" i="535"/>
  <c r="R81"/>
  <c r="E73" i="546"/>
  <c r="J11" i="350"/>
  <c r="C71" i="535"/>
  <c r="N8" i="351"/>
  <c r="D24" i="613"/>
  <c r="B78" i="535"/>
  <c r="AK9" i="447"/>
  <c r="B108" i="536"/>
  <c r="G20" i="611"/>
  <c r="B153" i="535"/>
  <c r="R130"/>
  <c r="F70" i="536"/>
  <c r="B81" i="535"/>
  <c r="P8" i="529" a="1"/>
  <c r="C11" i="536"/>
  <c r="T108" i="535"/>
  <c r="B177"/>
  <c r="D6" i="613"/>
  <c r="F80" i="536"/>
  <c r="F99"/>
  <c r="C98"/>
  <c r="N11" i="347"/>
  <c r="D42" i="604"/>
  <c r="D197" i="535"/>
  <c r="R141"/>
  <c r="J13" i="483" a="1"/>
  <c r="E122" i="535"/>
  <c r="F66" i="536"/>
  <c r="K7" i="489"/>
  <c r="I10" i="611"/>
  <c r="R29" i="535"/>
  <c r="C72" i="546"/>
  <c r="D16" i="562"/>
  <c r="N25" i="461" a="1"/>
  <c r="B207" i="535"/>
  <c r="F32" i="611"/>
  <c r="E15" i="350"/>
  <c r="Y9" i="351"/>
  <c r="AL12" i="101"/>
  <c r="R196" i="535"/>
  <c r="E46" i="30"/>
  <c r="AF11" i="64" a="1"/>
  <c r="F88" i="536"/>
  <c r="E105" i="535"/>
  <c r="E109" i="536"/>
  <c r="J15" i="349"/>
  <c r="B184" i="535"/>
  <c r="T154"/>
  <c r="D71"/>
  <c r="Q11" i="351"/>
  <c r="E117" i="535"/>
  <c r="S46"/>
  <c r="E49" i="546"/>
  <c r="F64" i="536"/>
  <c r="C76" i="535"/>
  <c r="J4" i="60" a="1"/>
  <c r="AI8" i="447"/>
  <c r="H16" i="580"/>
  <c r="C30" i="546"/>
  <c r="P9" i="611"/>
  <c r="S4" i="60" a="1"/>
  <c r="C73" i="535"/>
  <c r="I4" i="406"/>
  <c r="I10" i="562"/>
  <c r="I11" i="582"/>
  <c r="AO25" i="523" a="1"/>
  <c r="M21" i="368"/>
  <c r="U156" i="535"/>
  <c r="B61" i="536"/>
  <c r="P15" i="349"/>
  <c r="C201" i="535"/>
  <c r="E75" i="546"/>
  <c r="C155" i="535"/>
  <c r="O7" i="351"/>
  <c r="U44" i="535"/>
  <c r="F17" i="536"/>
  <c r="F36"/>
  <c r="O19" i="514" a="1"/>
  <c r="S78" i="535"/>
  <c r="U115"/>
  <c r="K9" i="611"/>
  <c r="D10"/>
  <c r="P9" i="528"/>
  <c r="E5" i="555" a="1"/>
  <c r="B90" i="546"/>
  <c r="AK10" i="356"/>
  <c r="D14" i="347"/>
  <c r="T199" i="535"/>
  <c r="K23" i="12"/>
  <c r="S186" i="535"/>
  <c r="U138"/>
  <c r="O15" i="62"/>
  <c r="N5" i="414" a="1"/>
  <c r="T23" i="447"/>
  <c r="O4" i="62"/>
  <c r="C90" i="535"/>
  <c r="U111"/>
  <c r="C95"/>
  <c r="D11" i="59"/>
  <c r="D8" i="535"/>
  <c r="U181"/>
  <c r="E45" i="28"/>
  <c r="M33" i="339"/>
  <c r="C160" i="535"/>
  <c r="K52" i="604"/>
  <c r="T43" i="535"/>
  <c r="C112"/>
  <c r="D122"/>
  <c r="L11" i="347"/>
  <c r="K33" i="476" a="1"/>
  <c r="U73" i="535"/>
  <c r="N13" i="351"/>
  <c r="D103" i="546"/>
  <c r="P6" i="349"/>
  <c r="C27" i="535"/>
  <c r="E40"/>
  <c r="J13" i="351"/>
  <c r="N6" i="349"/>
  <c r="K51" i="431" a="1"/>
  <c r="C12" i="582"/>
  <c r="H21" i="463" a="1"/>
  <c r="J6" i="606" a="1"/>
  <c r="O13" i="356"/>
  <c r="F25" i="339" a="1"/>
  <c r="B58" i="546"/>
  <c r="R172" i="535"/>
  <c r="P18" i="529" a="1"/>
  <c r="E6" i="522"/>
  <c r="R26" i="578"/>
  <c r="C104" i="546"/>
  <c r="C209" i="535"/>
  <c r="B105" i="463" a="1"/>
  <c r="H11" i="388"/>
  <c r="D105" i="535"/>
  <c r="O12" i="351"/>
  <c r="E92" i="535"/>
  <c r="E8" i="546"/>
  <c r="N15" i="494"/>
  <c r="R26" i="535"/>
  <c r="D206"/>
  <c r="D38" i="536"/>
  <c r="K8" i="347"/>
  <c r="E31" i="535"/>
  <c r="C189"/>
  <c r="F24" i="536"/>
  <c r="Q3" i="459" a="1"/>
  <c r="E41" i="535"/>
  <c r="B29" i="338"/>
  <c r="C38" i="536"/>
  <c r="D128" i="535"/>
  <c r="F32" i="461"/>
  <c r="K5" i="555" a="1"/>
  <c r="F56" i="536"/>
  <c r="T156" i="535"/>
  <c r="E9" i="348"/>
  <c r="B166" i="535"/>
  <c r="U3" i="531" a="1"/>
  <c r="G6" i="610"/>
  <c r="S83" i="535"/>
  <c r="S96"/>
  <c r="F90" i="536"/>
  <c r="E15" i="527" a="1"/>
  <c r="D60" i="535"/>
  <c r="E21" i="527" a="1"/>
  <c r="AF5" i="300" a="1"/>
  <c r="C34" i="546"/>
  <c r="I4" i="609"/>
  <c r="F14" i="536"/>
  <c r="T183" i="535"/>
  <c r="T15"/>
  <c r="N3" i="420"/>
  <c r="P6" i="348"/>
  <c r="E170" i="535"/>
  <c r="D14" i="536"/>
  <c r="S60" i="535"/>
  <c r="J31" i="584"/>
  <c r="B65" i="535"/>
  <c r="C25" i="546"/>
  <c r="C106" i="535"/>
  <c r="E32" i="546"/>
  <c r="AD12" i="352"/>
  <c r="H21" i="611"/>
  <c r="C145" i="535"/>
  <c r="B109"/>
  <c r="F5" i="529" a="1"/>
  <c r="Q7" i="461" a="1"/>
  <c r="D6" i="609"/>
  <c r="B27" i="546"/>
  <c r="K48" i="604"/>
  <c r="E12" i="536"/>
  <c r="F95"/>
  <c r="E54" i="546"/>
  <c r="E29" i="536"/>
  <c r="F17" i="457" a="1"/>
  <c r="D41" i="613"/>
  <c r="O13" i="420"/>
  <c r="L35" i="584"/>
  <c r="B46" i="536"/>
  <c r="D142" i="535"/>
  <c r="J10" i="583"/>
  <c r="D125" i="535"/>
  <c r="U103"/>
  <c r="C40"/>
  <c r="N4" i="474" a="1"/>
  <c r="E46" i="536"/>
  <c r="S204" i="535"/>
  <c r="O14" i="349"/>
  <c r="C56" i="546"/>
  <c r="T69" i="535"/>
  <c r="E30" i="569"/>
  <c r="J15" i="583"/>
  <c r="S27" i="535"/>
  <c r="J5" i="440"/>
  <c r="T152" i="535"/>
  <c r="U15"/>
  <c r="D50" i="536"/>
  <c r="O7" i="62"/>
  <c r="AD11" i="352"/>
  <c r="G17" i="580" a="1"/>
  <c r="F15" i="353"/>
  <c r="K52" i="479"/>
  <c r="R19" i="215"/>
  <c r="E55" i="535"/>
  <c r="M9" i="320"/>
  <c r="M18" i="383"/>
  <c r="B143" i="535"/>
  <c r="AX6" i="610"/>
  <c r="S20" i="535"/>
  <c r="G23" i="388"/>
  <c r="B89" i="546"/>
  <c r="H25" i="508" a="1"/>
  <c r="T165" i="535"/>
  <c r="R66"/>
  <c r="I31" i="290"/>
  <c r="B95" i="535"/>
  <c r="G19" i="342" a="1"/>
  <c r="D62" i="536"/>
  <c r="E15" i="569"/>
  <c r="L14" i="482" a="1"/>
  <c r="B99" i="535"/>
  <c r="E136"/>
  <c r="E92" i="546"/>
  <c r="H4" i="507" a="1"/>
  <c r="S124" i="535"/>
  <c r="E107" i="546"/>
  <c r="B48"/>
  <c r="E62"/>
  <c r="R166" i="535"/>
  <c r="I27"/>
  <c r="C8" i="582"/>
  <c r="C99" i="535"/>
  <c r="N15" i="349"/>
  <c r="J14" i="351"/>
  <c r="E104" i="535"/>
  <c r="B97"/>
  <c r="C176"/>
  <c r="I38" i="566"/>
  <c r="B73" i="535"/>
  <c r="C47"/>
  <c r="F14" i="352"/>
  <c r="E5" i="516" a="1"/>
  <c r="E7" i="348"/>
  <c r="T174" i="535"/>
  <c r="E17" i="536"/>
  <c r="E101"/>
  <c r="T84" i="535"/>
  <c r="T19" i="215"/>
  <c r="N8" i="494"/>
  <c r="D6" i="348"/>
  <c r="K19" i="353"/>
  <c r="E13" i="522"/>
  <c r="S160" i="535"/>
  <c r="P5" i="529" a="1"/>
  <c r="S198" i="535"/>
  <c r="T28"/>
  <c r="E48" i="30"/>
  <c r="N13" i="57" a="1"/>
  <c r="U61" i="535"/>
  <c r="B17"/>
  <c r="E43" i="569"/>
  <c r="C57" i="535"/>
  <c r="C74" i="546"/>
  <c r="U59" i="535"/>
  <c r="C33" i="370"/>
  <c r="E15" i="535"/>
  <c r="C169"/>
  <c r="R23" i="75"/>
  <c r="S127" i="535"/>
  <c r="P5" i="609" a="1"/>
  <c r="B72" i="535"/>
  <c r="S21"/>
  <c r="L15" i="347"/>
  <c r="D35" i="76"/>
  <c r="M6" i="349"/>
  <c r="E12" i="522"/>
  <c r="U125" i="535"/>
  <c r="H29" i="465" a="1"/>
  <c r="F18" i="339" a="1"/>
  <c r="E31" i="546"/>
  <c r="C54" i="535"/>
  <c r="B102"/>
  <c r="E72"/>
  <c r="E36"/>
  <c r="P19" i="528"/>
  <c r="J41" i="584"/>
  <c r="B191" i="535"/>
  <c r="R148"/>
  <c r="AX11"/>
  <c r="O9" i="73"/>
  <c r="B51" i="546"/>
  <c r="E39" i="535"/>
  <c r="D22" i="572"/>
  <c r="F9" i="576"/>
  <c r="E16" i="522"/>
  <c r="S102" i="535"/>
  <c r="D12" i="604"/>
  <c r="F86" i="536"/>
  <c r="J21" i="431" a="1"/>
  <c r="P17" i="528"/>
  <c r="J13" i="576"/>
  <c r="P8" i="349"/>
  <c r="S24" i="535"/>
  <c r="U91"/>
  <c r="R132"/>
  <c r="C43" i="611"/>
  <c r="T57" i="535"/>
  <c r="H43" i="467" a="1"/>
  <c r="C198" i="535"/>
  <c r="D54" i="546"/>
  <c r="E4" i="341" a="1"/>
  <c r="K4" i="448" a="1"/>
  <c r="R202" i="535"/>
  <c r="C62" i="546"/>
  <c r="B58" i="536"/>
  <c r="G13" i="484"/>
  <c r="M12" i="349"/>
  <c r="S98" i="535"/>
  <c r="U159"/>
  <c r="B96" i="546"/>
  <c r="S189" i="535"/>
  <c r="D36" i="76"/>
  <c r="W6" i="459" a="1"/>
  <c r="F22" i="484"/>
  <c r="C87" i="546"/>
  <c r="C106" i="536"/>
  <c r="K9" i="489"/>
  <c r="I20" i="566"/>
  <c r="L7" i="351"/>
  <c r="D151" i="535"/>
  <c r="C42"/>
  <c r="B77" i="536"/>
  <c r="P13" i="353"/>
  <c r="F23" i="536"/>
  <c r="L20" i="530" a="1"/>
  <c r="K10" i="349"/>
  <c r="E177" i="535"/>
  <c r="S133"/>
  <c r="E54"/>
  <c r="E18"/>
  <c r="C89"/>
  <c r="B176"/>
  <c r="E41" i="613"/>
  <c r="S7" i="463" a="1"/>
  <c r="T87" i="535"/>
  <c r="B29" i="536"/>
  <c r="C47"/>
  <c r="D29" i="604"/>
  <c r="D9" i="71"/>
  <c r="S154" i="535"/>
  <c r="D5" i="71"/>
  <c r="E206" i="535"/>
  <c r="D32" i="536"/>
  <c r="B12" i="246"/>
  <c r="B106" i="546"/>
  <c r="E81" i="536"/>
  <c r="C46" i="535"/>
  <c r="S6" i="192"/>
  <c r="Q7" i="420"/>
  <c r="T66" i="535"/>
  <c r="D32" i="611"/>
  <c r="E48" i="569"/>
  <c r="J20" i="611"/>
  <c r="I21"/>
  <c r="T173" i="535"/>
  <c r="P25" i="531" a="1"/>
  <c r="F33" i="370"/>
  <c r="S137" i="535"/>
  <c r="P11" i="349"/>
  <c r="F40" i="442" a="1"/>
  <c r="D28" i="546"/>
  <c r="I54" i="462" a="1"/>
  <c r="D38" i="76"/>
  <c r="M70" i="339"/>
  <c r="C19" i="535"/>
  <c r="E205"/>
  <c r="G6" i="286"/>
  <c r="D160" i="535"/>
  <c r="E141"/>
  <c r="T166"/>
  <c r="D147"/>
  <c r="O9" i="420"/>
  <c r="L12" i="64"/>
  <c r="G11" i="484"/>
  <c r="B150" i="535"/>
  <c r="P15" i="529" a="1"/>
  <c r="D208" i="535"/>
  <c r="U19"/>
  <c r="R87"/>
  <c r="E7" i="604"/>
  <c r="C13" i="71"/>
  <c r="D9" i="611"/>
  <c r="G22" i="74"/>
  <c r="B180" i="535"/>
  <c r="L7" i="64"/>
  <c r="B128" i="535"/>
  <c r="B104" i="536"/>
  <c r="R6" i="467" a="1"/>
  <c r="I14" i="342"/>
  <c r="U71" i="535"/>
  <c r="T191"/>
  <c r="E193"/>
  <c r="R6" i="422"/>
  <c r="U191" i="535"/>
  <c r="D43" i="546"/>
  <c r="B101" i="535"/>
  <c r="D48"/>
  <c r="S29"/>
  <c r="I18" i="406"/>
  <c r="C183" i="535"/>
  <c r="G3" i="7" a="1"/>
  <c r="M39" i="339"/>
  <c r="F16" i="450" a="1"/>
  <c r="U22" i="535"/>
  <c r="J17" i="440"/>
  <c r="S147" i="535"/>
  <c r="AA7" i="56"/>
  <c r="D11" i="604"/>
  <c r="M6" i="420"/>
  <c r="K8" i="567"/>
  <c r="J19" i="583"/>
  <c r="R68" i="535"/>
  <c r="D173"/>
  <c r="D6" i="582"/>
  <c r="D34" i="536"/>
  <c r="E18" i="516" a="1"/>
  <c r="E4" i="527" a="1"/>
  <c r="D72" i="536"/>
  <c r="G25" i="64"/>
  <c r="L16" i="347"/>
  <c r="M22" i="368"/>
  <c r="E28" i="536"/>
  <c r="E60" i="546"/>
  <c r="P7" i="528"/>
  <c r="F81" i="536"/>
  <c r="E22" i="517" a="1"/>
  <c r="B72" i="546"/>
  <c r="C122" i="535"/>
  <c r="C12" i="71"/>
  <c r="M17" i="538"/>
  <c r="J5" i="473"/>
  <c r="J11" i="348"/>
  <c r="M11" i="420"/>
  <c r="E20" i="527" a="1"/>
  <c r="E7" i="516" a="1"/>
  <c r="C40" i="536"/>
  <c r="E19" i="527" a="1"/>
  <c r="D9" i="613"/>
  <c r="E114" i="535"/>
  <c r="R126"/>
  <c r="B14" i="536"/>
  <c r="U68" i="535"/>
  <c r="S6" i="606" a="1"/>
  <c r="F46" i="339" a="1"/>
  <c r="F25" i="523" a="1"/>
  <c r="T46" i="535"/>
  <c r="O6" i="351"/>
  <c r="H11" i="387"/>
  <c r="B208" i="535"/>
  <c r="E9" i="613"/>
  <c r="S195" i="535"/>
  <c r="G26" i="64"/>
  <c r="M13" i="420"/>
  <c r="X8" i="459" a="1"/>
  <c r="R94" i="535"/>
  <c r="B17" i="546"/>
  <c r="P3" i="523" a="1"/>
  <c r="A22" i="298" a="1"/>
  <c r="A3" i="455" a="1"/>
  <c r="F22" i="353"/>
  <c r="T47" i="535"/>
  <c r="R134"/>
  <c r="H10" i="388"/>
  <c r="C44" i="535"/>
  <c r="C33" i="546"/>
  <c r="K12" i="351"/>
  <c r="R13" i="529" a="1"/>
  <c r="D17" i="71"/>
  <c r="B100" i="535"/>
  <c r="J5" i="71" a="1"/>
  <c r="H13" i="388"/>
  <c r="N8" i="349"/>
  <c r="S15" i="535"/>
  <c r="F47" i="536"/>
  <c r="U173" i="535"/>
  <c r="E190"/>
  <c r="F53" i="536"/>
  <c r="B116" i="535"/>
  <c r="AG9" i="447"/>
  <c r="T190" i="535"/>
  <c r="C95" i="546"/>
  <c r="D18" i="536"/>
  <c r="T99" i="535"/>
  <c r="L22" i="11"/>
  <c r="E22" i="546"/>
  <c r="B40"/>
  <c r="E46"/>
  <c r="D41" i="604"/>
  <c r="S93" i="535"/>
  <c r="M46" i="339"/>
  <c r="K30" i="613"/>
  <c r="K11" i="581"/>
  <c r="E145" i="535"/>
  <c r="E171"/>
  <c r="L8" i="349"/>
  <c r="S82" i="535"/>
  <c r="K17" i="613"/>
  <c r="U21" i="50"/>
  <c r="U17" i="535"/>
  <c r="D149"/>
  <c r="Q17" i="550"/>
  <c r="S176" i="535"/>
  <c r="I5" i="388"/>
  <c r="D14" i="535"/>
  <c r="R100"/>
  <c r="I5" i="226" a="1"/>
  <c r="T86" i="535"/>
  <c r="AD12" i="64"/>
  <c r="T193" i="535"/>
  <c r="N3" i="494"/>
  <c r="H34" i="613"/>
  <c r="E23" i="516" a="1"/>
  <c r="U197" i="535"/>
  <c r="A13" i="303" a="1"/>
  <c r="T130" i="535"/>
  <c r="V22" i="369" a="1"/>
  <c r="D205" i="535"/>
  <c r="S80"/>
  <c r="B20" i="611"/>
  <c r="C70" i="536"/>
  <c r="T159" i="535"/>
  <c r="D17" i="562"/>
  <c r="R75" i="535"/>
  <c r="T180"/>
  <c r="S41"/>
  <c r="AF9" i="56"/>
  <c r="AD23" i="290"/>
  <c r="B100" i="536"/>
  <c r="M5" i="455" a="1"/>
  <c r="R185" i="535"/>
  <c r="AC24" i="447"/>
  <c r="O14" i="351"/>
  <c r="I11" i="417" a="1"/>
  <c r="E43" i="535"/>
  <c r="E87"/>
  <c r="C66"/>
  <c r="I30" i="406"/>
  <c r="E9" i="604"/>
  <c r="R149" i="535"/>
  <c r="L9" i="568"/>
  <c r="S149" i="535"/>
  <c r="M18" i="339"/>
  <c r="R44" i="535"/>
  <c r="U23" i="56"/>
  <c r="Q10" i="64"/>
  <c r="G7"/>
  <c r="E7" i="613"/>
  <c r="B111" i="535"/>
  <c r="D7" i="562"/>
  <c r="O9" i="356"/>
  <c r="I26" i="406"/>
  <c r="G27" i="64"/>
  <c r="S148" i="535"/>
  <c r="S49"/>
  <c r="D199"/>
  <c r="T107"/>
  <c r="R124"/>
  <c r="E12" i="516" a="1"/>
  <c r="C38" i="535"/>
  <c r="C57" i="536"/>
  <c r="R22" i="535"/>
  <c r="B125"/>
  <c r="T106"/>
  <c r="E94"/>
  <c r="B105" i="546"/>
  <c r="U89" i="535"/>
  <c r="T6" i="530" a="1"/>
  <c r="L12" i="347"/>
  <c r="E62" i="536"/>
  <c r="U155" i="535"/>
  <c r="C52" i="546"/>
  <c r="T16" i="535"/>
  <c r="E144"/>
  <c r="D157"/>
  <c r="L24" i="64"/>
  <c r="T184" i="535"/>
  <c r="B94" i="536"/>
  <c r="Q6" i="349"/>
  <c r="L34" i="584"/>
  <c r="R136" i="535"/>
  <c r="S17"/>
  <c r="AA12" i="200"/>
  <c r="AA20" i="468" a="1"/>
  <c r="I41" i="478"/>
  <c r="S141" i="535"/>
  <c r="E9" i="517" a="1"/>
  <c r="J40" i="584"/>
  <c r="R30" i="535"/>
  <c r="W23" i="356"/>
  <c r="O5" i="585" a="1"/>
  <c r="S131" i="535"/>
  <c r="B18" i="420"/>
  <c r="K15" i="583"/>
  <c r="E198" i="535"/>
  <c r="C48"/>
  <c r="B43" i="546"/>
  <c r="E15"/>
  <c r="L13" i="351"/>
  <c r="I12" i="424"/>
  <c r="D164" i="535"/>
  <c r="R74"/>
  <c r="D10" i="59"/>
  <c r="F19" i="427" a="1"/>
  <c r="K4" i="341" a="1"/>
  <c r="T30" i="216"/>
  <c r="F57" i="536"/>
  <c r="I32" i="611"/>
  <c r="R188" i="535"/>
  <c r="B20" i="536"/>
  <c r="Q10" i="611"/>
  <c r="C13" i="535"/>
  <c r="C148"/>
  <c r="G18" i="74"/>
  <c r="E104" i="546"/>
  <c r="B15" i="535"/>
  <c r="H29" i="604"/>
  <c r="E43" i="613"/>
  <c r="E30" i="546"/>
  <c r="B73"/>
  <c r="AA24" i="56"/>
  <c r="E33" i="536"/>
  <c r="T194" i="535"/>
  <c r="B99" i="546"/>
  <c r="M11" i="417" a="1"/>
  <c r="I10" i="609"/>
  <c r="E199" i="535"/>
  <c r="U203"/>
  <c r="R58"/>
  <c r="E26" i="536"/>
  <c r="D14" i="71"/>
  <c r="T186" i="535"/>
  <c r="D11"/>
  <c r="I23" i="406"/>
  <c r="S8" i="494"/>
  <c r="T185" i="535"/>
  <c r="E9" i="536"/>
  <c r="N12" i="349"/>
  <c r="C97" i="535"/>
  <c r="B45" i="536"/>
  <c r="O5" i="383"/>
  <c r="H31" i="611"/>
  <c r="E51" i="536"/>
  <c r="D78" i="546"/>
  <c r="R127" i="535"/>
  <c r="S107"/>
  <c r="E48" i="536"/>
  <c r="B43" i="535"/>
  <c r="N22" i="573"/>
  <c r="O14" i="73"/>
  <c r="I50" i="479"/>
  <c r="U202" i="535"/>
  <c r="S87"/>
  <c r="H26" i="189"/>
  <c r="C6" i="59"/>
  <c r="C45" i="546"/>
  <c r="D37" i="535"/>
  <c r="R104"/>
  <c r="E26" i="604"/>
  <c r="R179" i="535"/>
  <c r="I10" i="388"/>
  <c r="AR15" i="302" a="1"/>
  <c r="E83" i="535"/>
  <c r="D209"/>
  <c r="O9" i="62"/>
  <c r="B86" i="546"/>
  <c r="AE23" i="510" a="1"/>
  <c r="Q31" i="216"/>
  <c r="E164" i="535"/>
  <c r="B209"/>
  <c r="K8" i="351"/>
  <c r="G23" i="484"/>
  <c r="E58" i="546"/>
  <c r="S180" i="535"/>
  <c r="D10" i="71"/>
  <c r="O22" i="11"/>
  <c r="T116" i="535"/>
  <c r="U164"/>
  <c r="T207"/>
  <c r="G10" i="610"/>
  <c r="G21" i="74"/>
  <c r="V7" i="573"/>
  <c r="B97" i="536"/>
  <c r="R21" i="75"/>
  <c r="J16" i="580" a="1"/>
  <c r="D90" i="535"/>
  <c r="D39" i="76"/>
  <c r="E204" i="535"/>
  <c r="J7" i="351"/>
  <c r="D14" i="350"/>
  <c r="B205" i="535"/>
  <c r="H7" i="388"/>
  <c r="D112" i="535"/>
  <c r="E14" i="517" a="1"/>
  <c r="J11" i="448" a="1"/>
  <c r="G14" i="484"/>
  <c r="V15" i="550"/>
  <c r="O40" i="442" a="1"/>
  <c r="C76" i="536"/>
  <c r="O14" i="420"/>
  <c r="O22" i="211"/>
  <c r="L22" i="64"/>
  <c r="E5" i="383"/>
  <c r="H20" i="392"/>
  <c r="D74" i="536"/>
  <c r="S35" i="535"/>
  <c r="T121"/>
  <c r="B19"/>
  <c r="P13" i="529" a="1"/>
  <c r="R184" i="535"/>
  <c r="D68" i="536"/>
  <c r="T129" i="535"/>
  <c r="T93"/>
  <c r="T20" i="50"/>
  <c r="R6" i="454" a="1"/>
  <c r="D83" i="536"/>
  <c r="U70" i="535"/>
  <c r="AD3" i="457" a="1"/>
  <c r="C5" i="71"/>
  <c r="S5" i="494"/>
  <c r="D67" i="535"/>
  <c r="F43" i="611"/>
  <c r="J6" i="351"/>
  <c r="B35" i="546"/>
  <c r="E17" i="535"/>
  <c r="D42" i="536"/>
  <c r="T14" i="535"/>
  <c r="P14" i="420"/>
  <c r="F27" i="536"/>
  <c r="H32" i="611"/>
  <c r="B120" i="535"/>
  <c r="D113"/>
  <c r="M10" i="351"/>
  <c r="D20" i="546"/>
  <c r="U63" i="535"/>
  <c r="G18" i="484"/>
  <c r="T12" i="535"/>
  <c r="D49"/>
  <c r="E27"/>
  <c r="G8" i="64"/>
  <c r="C139" i="535"/>
  <c r="R8" i="595"/>
  <c r="E16" i="350"/>
  <c r="S50" i="535"/>
  <c r="K6" i="351"/>
  <c r="O5" i="457" a="1"/>
  <c r="S155" i="535"/>
  <c r="T178"/>
  <c r="E103"/>
  <c r="AM3" i="350"/>
  <c r="U66" i="535"/>
  <c r="D13" i="46"/>
  <c r="H8" i="455" a="1"/>
  <c r="G40" i="440"/>
  <c r="B149" i="535"/>
  <c r="U124"/>
  <c r="E188"/>
  <c r="U176"/>
  <c r="AI14"/>
  <c r="AD7" i="460" a="1"/>
  <c r="C124" i="535"/>
  <c r="AD6" i="352"/>
  <c r="Q7" i="590"/>
  <c r="D141" i="535"/>
  <c r="E120"/>
  <c r="G10" i="387"/>
  <c r="J12" i="583"/>
  <c r="N15" i="473" a="1"/>
  <c r="T48" i="535"/>
  <c r="AF8" i="56"/>
  <c r="B11" i="547"/>
  <c r="E8" i="527" a="1"/>
  <c r="F26" i="457"/>
  <c r="AC23" i="356"/>
  <c r="D19" i="71"/>
  <c r="E43" i="604"/>
  <c r="F29" i="353"/>
  <c r="S169" i="535"/>
  <c r="B12"/>
  <c r="F16" i="342"/>
  <c r="R192" i="535"/>
  <c r="B63"/>
  <c r="AF25" i="508" a="1"/>
  <c r="I15" i="562"/>
  <c r="B61" i="535"/>
  <c r="V25" i="406"/>
  <c r="D9" i="350"/>
  <c r="D92" i="546"/>
  <c r="C114" i="535"/>
  <c r="D35" i="546"/>
  <c r="C17" i="536"/>
  <c r="U21" i="535"/>
  <c r="E184"/>
  <c r="G30" i="452"/>
  <c r="AD30" i="290"/>
  <c r="G12" i="610"/>
  <c r="B49" i="535"/>
  <c r="T94"/>
  <c r="B28" i="536"/>
  <c r="P9" i="529" a="1"/>
  <c r="AF12" i="56"/>
  <c r="B161" i="535"/>
  <c r="Q14" i="71" a="1"/>
  <c r="C171" i="535"/>
  <c r="C59" i="536"/>
  <c r="E191" i="535"/>
  <c r="U40"/>
  <c r="D13" i="536"/>
  <c r="F14" i="342"/>
  <c r="D29" i="546"/>
  <c r="C14" i="71"/>
  <c r="T74" i="535"/>
  <c r="U8" i="56"/>
  <c r="J4" i="440"/>
  <c r="E94" i="536"/>
  <c r="C129" i="535"/>
  <c r="O6" i="473"/>
  <c r="B65" i="536"/>
  <c r="B101" i="546"/>
  <c r="K7" i="347"/>
  <c r="G5" i="388"/>
  <c r="H51" i="604"/>
  <c r="E109" i="535"/>
  <c r="E71" i="546"/>
  <c r="AB13" i="308"/>
  <c r="T175" i="535"/>
  <c r="U30" i="216"/>
  <c r="T91" i="535"/>
  <c r="D55" i="536"/>
  <c r="E33" i="569"/>
  <c r="K41" i="613"/>
  <c r="E26" i="535"/>
  <c r="D70" i="536"/>
  <c r="B32"/>
  <c r="D45"/>
  <c r="D41" i="546"/>
  <c r="C92" i="536"/>
  <c r="B16" i="535"/>
  <c r="J20" i="350"/>
  <c r="B74" i="546"/>
  <c r="T146" i="535"/>
  <c r="AT3" i="531" a="1"/>
  <c r="O18" i="62"/>
  <c r="N29" i="496"/>
  <c r="J3" i="602" a="1"/>
  <c r="D91" i="536"/>
  <c r="O18" i="356"/>
  <c r="Q28" i="477" a="1"/>
  <c r="AA4" i="467" a="1"/>
  <c r="D8" i="360"/>
  <c r="C20" i="546"/>
  <c r="C88" i="535"/>
  <c r="P12" i="420"/>
  <c r="I44" i="462" a="1"/>
  <c r="S88" i="535"/>
  <c r="B41" i="546"/>
  <c r="I20" i="406"/>
  <c r="Q6" i="7" a="1"/>
  <c r="R96" i="535"/>
  <c r="I5" i="417" a="1"/>
  <c r="D28" i="76"/>
  <c r="G41" i="26"/>
  <c r="D61" i="535"/>
  <c r="T147"/>
  <c r="D11" i="613"/>
  <c r="O11" i="349"/>
  <c r="B109" i="536"/>
  <c r="D100" i="535"/>
  <c r="P17" i="478"/>
  <c r="B67" i="535"/>
  <c r="U13" i="406"/>
  <c r="E69" i="536"/>
  <c r="B73"/>
  <c r="F16" i="352"/>
  <c r="K27" i="604"/>
  <c r="C202" i="535"/>
  <c r="T192"/>
  <c r="D63"/>
  <c r="M10" i="349"/>
  <c r="D65" i="536"/>
  <c r="F60"/>
  <c r="E107" i="535"/>
  <c r="U7" i="56"/>
  <c r="K41" i="604"/>
  <c r="R21" i="535"/>
  <c r="F85" i="536"/>
  <c r="F19" i="607" a="1"/>
  <c r="Q18" i="406"/>
  <c r="E31" i="569"/>
  <c r="B113" i="535"/>
  <c r="I8" i="562"/>
  <c r="N21" i="59" a="1"/>
  <c r="I9" i="406"/>
  <c r="F3" i="464" a="1"/>
  <c r="D104" i="536"/>
  <c r="G11" i="387"/>
  <c r="E47" i="535"/>
  <c r="O15" i="73"/>
  <c r="S81" i="535"/>
  <c r="E14"/>
  <c r="B78" i="536"/>
  <c r="C99"/>
  <c r="AL13" i="101"/>
  <c r="T60" i="535"/>
  <c r="W11" i="356"/>
  <c r="U136" i="535"/>
  <c r="T145"/>
  <c r="AI5" i="64"/>
  <c r="D119" i="535"/>
  <c r="F20" i="536"/>
  <c r="D19" i="392"/>
  <c r="D81" i="535"/>
  <c r="C150"/>
  <c r="G11" i="610"/>
  <c r="E23" i="517" a="1"/>
  <c r="R33" i="216"/>
  <c r="F21" i="543" a="1"/>
  <c r="B98" i="535"/>
  <c r="U76"/>
  <c r="O17" i="356"/>
  <c r="T29" i="535"/>
  <c r="E26" i="546"/>
  <c r="K16" i="347"/>
  <c r="I12" i="46"/>
  <c r="C21" i="546"/>
  <c r="R173" i="535"/>
  <c r="B83"/>
  <c r="J23" i="548"/>
  <c r="H12" i="604"/>
  <c r="R52" i="535"/>
  <c r="H52" i="604"/>
  <c r="C55" i="546"/>
  <c r="R46" i="535"/>
  <c r="O10" i="73"/>
  <c r="B200" i="535"/>
  <c r="U204"/>
  <c r="E86" i="546"/>
  <c r="C20" i="535"/>
  <c r="E10" i="527" a="1"/>
  <c r="C108" i="546"/>
  <c r="E66"/>
  <c r="B30" i="536"/>
  <c r="Q15" i="473"/>
  <c r="D52" i="536"/>
  <c r="R82" i="535"/>
  <c r="E61" i="546"/>
  <c r="G23" i="356"/>
  <c r="K11" i="604"/>
  <c r="O13" i="351"/>
  <c r="I22" i="468" a="1"/>
  <c r="G15" i="610"/>
  <c r="Q24" i="564"/>
  <c r="U149" i="535"/>
  <c r="D63" i="546"/>
  <c r="E101"/>
  <c r="C19"/>
  <c r="D17" i="535"/>
  <c r="K38" i="566"/>
  <c r="T34" i="535"/>
  <c r="E93" i="536"/>
  <c r="C100"/>
  <c r="D4" i="59"/>
  <c r="U25" i="353"/>
  <c r="E110" i="535"/>
  <c r="K34" i="604"/>
  <c r="F14" i="528" a="1"/>
  <c r="K70" i="339" a="1"/>
  <c r="B171" i="535"/>
  <c r="B117"/>
  <c r="S136"/>
  <c r="E11" i="350"/>
  <c r="B45" i="546"/>
  <c r="M3" i="591" a="1"/>
  <c r="D6" i="71"/>
  <c r="B30" i="546"/>
  <c r="E106" i="536"/>
  <c r="N22" i="12"/>
  <c r="D15" i="71"/>
  <c r="E50" i="535"/>
  <c r="S134"/>
  <c r="E124"/>
  <c r="E5" i="556" a="1"/>
  <c r="J12" i="350"/>
  <c r="S158" i="535"/>
  <c r="AD34" i="460" a="1"/>
  <c r="E11" i="527" a="1"/>
  <c r="C31" i="536"/>
  <c r="C93" i="546"/>
  <c r="F12" i="576"/>
  <c r="C61" i="546"/>
  <c r="F92" i="536"/>
  <c r="E137" i="535"/>
  <c r="D10" i="348"/>
  <c r="N14" i="494"/>
  <c r="R163" i="535"/>
  <c r="AX7" i="610"/>
  <c r="R207" i="535"/>
  <c r="D50"/>
  <c r="C36" i="536"/>
  <c r="H56" i="479" a="1"/>
  <c r="M47" i="339"/>
  <c r="S90" i="535"/>
  <c r="E4" i="553" a="1"/>
  <c r="C51" i="546"/>
  <c r="AI5" i="356"/>
  <c r="D87" i="546"/>
  <c r="E25" i="535"/>
  <c r="F21" i="583"/>
  <c r="L10" i="568"/>
  <c r="B192" i="535"/>
  <c r="AA25" i="56"/>
  <c r="E12" i="348"/>
  <c r="G49" i="569"/>
  <c r="G12" i="387"/>
  <c r="U142" i="535"/>
  <c r="P44" i="288"/>
  <c r="J19" i="548"/>
  <c r="C134" i="535"/>
  <c r="B204"/>
  <c r="AK8" i="447"/>
  <c r="H64" i="339" a="1"/>
  <c r="C91" i="536"/>
  <c r="E147" i="535"/>
  <c r="O12" i="62"/>
  <c r="F38" i="536"/>
  <c r="R105" i="535"/>
  <c r="D11" i="71"/>
  <c r="S13" i="535"/>
  <c r="M12" i="48"/>
  <c r="U188" i="535"/>
  <c r="I9" i="609"/>
  <c r="AD17" i="290"/>
  <c r="D10" i="536"/>
  <c r="P8" i="351"/>
  <c r="B146" i="535"/>
  <c r="D166"/>
  <c r="B11" i="546"/>
  <c r="D98"/>
  <c r="C58" i="535"/>
  <c r="H19" i="606" a="1"/>
  <c r="T68" i="535"/>
  <c r="M4" i="497" a="1"/>
  <c r="J32" i="584"/>
  <c r="D76" i="546"/>
  <c r="M9" i="351"/>
  <c r="R70" i="535"/>
  <c r="AV23" i="610" a="1"/>
  <c r="B31" i="546"/>
  <c r="E48" i="535"/>
  <c r="S12"/>
  <c r="S86"/>
  <c r="B181"/>
  <c r="F49" i="536"/>
  <c r="J22" i="12"/>
  <c r="R9" i="611"/>
  <c r="F29" i="536"/>
  <c r="K16" i="604"/>
  <c r="M85" i="339"/>
  <c r="H23" i="452"/>
  <c r="H14" i="342"/>
  <c r="B203" i="535"/>
  <c r="D83" i="546"/>
  <c r="N7" i="573"/>
  <c r="J11" i="440"/>
  <c r="T41" i="535"/>
  <c r="B108" i="546"/>
  <c r="D8" i="582"/>
  <c r="F15" i="352"/>
  <c r="C208" i="535"/>
  <c r="D66" i="546"/>
  <c r="C20" i="611"/>
  <c r="M17" i="417" a="1"/>
  <c r="K48" i="613"/>
  <c r="C163" i="535"/>
  <c r="AD5" i="64"/>
  <c r="D144" i="535"/>
  <c r="E106"/>
  <c r="D46" i="546"/>
  <c r="B53" i="536"/>
  <c r="G4" i="60"/>
  <c r="R41" i="535"/>
  <c r="D167"/>
  <c r="C43" i="536"/>
  <c r="T119" i="535"/>
  <c r="W6" i="489"/>
  <c r="B60" i="546"/>
  <c r="C77"/>
  <c r="S66" i="535"/>
  <c r="AI11" i="64"/>
  <c r="R180" i="535"/>
  <c r="D43" i="536"/>
  <c r="AK3" i="350"/>
  <c r="E21" i="517" a="1"/>
  <c r="P59" i="192"/>
  <c r="C18" i="536"/>
  <c r="K45" i="604"/>
  <c r="F74" i="536"/>
  <c r="C23" i="546"/>
  <c r="N4" i="494"/>
  <c r="AK11" i="356"/>
  <c r="P12" i="528"/>
  <c r="O22" i="350"/>
  <c r="K33" i="339" a="1"/>
  <c r="B118" i="535"/>
  <c r="R138"/>
  <c r="I31" i="611"/>
  <c r="D44" i="536"/>
  <c r="U55" i="535"/>
  <c r="R205"/>
  <c r="AA38" i="290" a="1"/>
  <c r="J22" i="549"/>
  <c r="D18" i="535"/>
  <c r="D19"/>
  <c r="AG51" i="463" a="1"/>
  <c r="C33" i="536"/>
  <c r="E17" i="341" a="1"/>
  <c r="U82" i="535"/>
  <c r="E54" i="30"/>
  <c r="E8" i="613"/>
  <c r="AF9" i="290" a="1"/>
  <c r="D105" i="546"/>
  <c r="E95" i="535"/>
  <c r="N6" i="609"/>
  <c r="J23" i="12"/>
  <c r="F8" i="602"/>
  <c r="G13" i="388"/>
  <c r="F33" i="536"/>
  <c r="F12" i="484"/>
  <c r="D58" i="535"/>
  <c r="E90" i="546"/>
  <c r="AI10" i="356"/>
  <c r="O23" i="210"/>
  <c r="R55" i="535"/>
  <c r="R165"/>
  <c r="N14" i="349"/>
  <c r="R6" i="347"/>
  <c r="C18" i="546"/>
  <c r="L12" i="540"/>
  <c r="D7" i="348"/>
  <c r="Q6" i="64"/>
  <c r="N9" i="351"/>
  <c r="B57" i="536"/>
  <c r="C131" i="535"/>
  <c r="AN23" i="610" a="1"/>
  <c r="B108" i="535"/>
  <c r="E8" i="518" a="1"/>
  <c r="T90" i="535"/>
  <c r="U34"/>
  <c r="O6" i="356"/>
  <c r="I10" i="46"/>
  <c r="F5" i="602"/>
  <c r="E10" i="522"/>
  <c r="E6" i="462" a="1"/>
  <c r="D148" i="535"/>
  <c r="AE15" i="510" a="1"/>
  <c r="E85" i="546"/>
  <c r="AA6" i="56"/>
  <c r="B26" i="546"/>
  <c r="P11" i="528"/>
  <c r="D7" i="350"/>
  <c r="R27" i="535"/>
  <c r="B39" i="536"/>
  <c r="T177" i="535"/>
  <c r="K40" i="604"/>
  <c r="AE25" i="523" a="1"/>
  <c r="E7" i="569"/>
  <c r="D7" i="347"/>
  <c r="J42" i="584"/>
  <c r="R10" i="611"/>
  <c r="D61" i="536"/>
  <c r="N7" i="71"/>
  <c r="M20" i="538"/>
  <c r="B32" i="546"/>
  <c r="AJ25" i="523" a="1"/>
  <c r="E42" i="613"/>
  <c r="C94" i="536"/>
  <c r="R19" i="535"/>
  <c r="D12" i="350"/>
  <c r="U163" i="535"/>
  <c r="AA21" i="56"/>
  <c r="C113" i="535"/>
  <c r="K7" i="351"/>
  <c r="R61" i="535"/>
  <c r="D38" i="566"/>
  <c r="AB6" i="64"/>
  <c r="R162" i="535"/>
  <c r="B22" i="546"/>
  <c r="E21" i="535"/>
  <c r="E22" i="518" a="1"/>
  <c r="Q19" i="406"/>
  <c r="O5" i="356"/>
  <c r="P14" i="349"/>
  <c r="B9" i="611"/>
  <c r="B28" i="546"/>
  <c r="D102" i="535"/>
  <c r="D28"/>
  <c r="F10" i="450" a="1"/>
  <c r="C8" i="546"/>
  <c r="D39" i="536"/>
  <c r="Y24" i="447"/>
  <c r="K22" i="12"/>
  <c r="D44" i="613"/>
  <c r="T6" i="347"/>
  <c r="F9" i="342"/>
  <c r="F5" i="353"/>
  <c r="E32" i="536"/>
  <c r="AB6" i="352"/>
  <c r="E11" i="348"/>
  <c r="V6" i="460" a="1"/>
  <c r="E33" i="535"/>
  <c r="E10"/>
  <c r="J9" i="611"/>
  <c r="N17" i="186"/>
  <c r="E135" i="535"/>
  <c r="E19" i="607" a="1"/>
  <c r="C41" i="546"/>
  <c r="E83" i="536"/>
  <c r="K46" i="613"/>
  <c r="F23" i="353"/>
  <c r="B156" i="535"/>
  <c r="T114"/>
  <c r="E79"/>
  <c r="C105" i="546"/>
  <c r="S187" i="535"/>
  <c r="R117"/>
  <c r="E14" i="518" a="1"/>
  <c r="X23" i="356"/>
  <c r="E32" i="611"/>
  <c r="E131" i="535"/>
  <c r="U186"/>
  <c r="M19" i="339"/>
  <c r="K14" i="352"/>
  <c r="E24" i="535"/>
  <c r="F34" i="536"/>
  <c r="I7" i="387"/>
  <c r="C94" i="535"/>
  <c r="AA24" i="447"/>
  <c r="D79" i="546"/>
  <c r="E14" i="516" a="1"/>
  <c r="K7" i="613"/>
  <c r="E162" i="535"/>
  <c r="H12" i="387"/>
  <c r="E13" i="348"/>
  <c r="B169" i="535"/>
  <c r="H6" i="388"/>
  <c r="D53" i="535"/>
  <c r="K11" i="347"/>
  <c r="F23" i="422"/>
  <c r="E64" i="535"/>
  <c r="D121"/>
  <c r="K13" i="613"/>
  <c r="P3" i="531" a="1"/>
  <c r="B81" i="536"/>
  <c r="R16" i="467" a="1"/>
  <c r="F16" i="353"/>
  <c r="K26" i="472"/>
  <c r="R160" i="535"/>
  <c r="M18" i="73"/>
  <c r="K6" i="76"/>
  <c r="M7" i="583"/>
  <c r="D15" i="546"/>
  <c r="I30" i="468" a="1"/>
  <c r="B48" i="536"/>
  <c r="AB11" i="64"/>
  <c r="I15" i="406"/>
  <c r="G18" i="543"/>
  <c r="B10" i="536"/>
  <c r="S197" i="535"/>
  <c r="D88"/>
  <c r="E8" i="604"/>
  <c r="AA5" i="56"/>
  <c r="K18" i="583"/>
  <c r="K3" i="591" a="1"/>
  <c r="C10" i="611"/>
  <c r="AA11" i="467" a="1"/>
  <c r="E183" i="535"/>
  <c r="D133"/>
  <c r="K5" i="604"/>
  <c r="C9" i="582"/>
  <c r="C78" i="546"/>
  <c r="S128" i="535"/>
  <c r="D165"/>
  <c r="B42" i="546"/>
  <c r="L18" i="568"/>
  <c r="U101" i="535"/>
  <c r="B22"/>
  <c r="B28"/>
  <c r="F46" i="536"/>
  <c r="C120" i="535"/>
  <c r="O15" i="351"/>
  <c r="M24" i="415"/>
  <c r="E4" i="516" a="1"/>
  <c r="E13" i="517" a="1"/>
  <c r="E56" i="546"/>
  <c r="C11" i="71"/>
  <c r="B98" i="536"/>
  <c r="H33" i="604"/>
  <c r="E23" i="522"/>
  <c r="B24" i="546"/>
  <c r="D99"/>
  <c r="AM7" i="350"/>
  <c r="AK5"/>
  <c r="D32" i="546"/>
  <c r="E71" i="535"/>
  <c r="P14" i="351"/>
  <c r="D16" i="348"/>
  <c r="P12" i="349"/>
  <c r="N12" i="420"/>
  <c r="J7" i="360"/>
  <c r="C29" i="535"/>
  <c r="T38"/>
  <c r="B168"/>
  <c r="S43"/>
  <c r="F13" i="353"/>
  <c r="C10" i="71"/>
  <c r="I9" i="387"/>
  <c r="U96" i="535"/>
  <c r="C23"/>
  <c r="B33" i="546"/>
  <c r="K7" i="349"/>
  <c r="B36" i="546"/>
  <c r="O6" i="349"/>
  <c r="T55" i="535"/>
  <c r="E5" i="450" a="1"/>
  <c r="U78" i="535"/>
  <c r="E4" i="522"/>
  <c r="B42" i="535"/>
  <c r="R186"/>
  <c r="R47"/>
  <c r="D49" i="546"/>
  <c r="C77" i="535"/>
  <c r="M30" i="509" a="1"/>
  <c r="R103" i="535"/>
  <c r="D12" i="536"/>
  <c r="H38" i="463" a="1"/>
  <c r="D77" i="535"/>
  <c r="D9" i="347"/>
  <c r="E22" i="536"/>
  <c r="P23" i="528"/>
  <c r="C93" i="536"/>
  <c r="C136" i="535"/>
  <c r="O24" i="564"/>
  <c r="C203" i="535"/>
  <c r="G16" i="610"/>
  <c r="G5" i="504" a="1"/>
  <c r="I6" i="575"/>
  <c r="U13" i="353"/>
  <c r="AJ3" i="523" a="1"/>
  <c r="P12" i="424"/>
  <c r="J37" i="584"/>
  <c r="Z25" i="510" a="1"/>
  <c r="F13" i="352"/>
  <c r="R187" i="535"/>
  <c r="D77" i="546"/>
  <c r="T78" i="535"/>
  <c r="U182"/>
  <c r="V25" i="353"/>
  <c r="B70" i="535"/>
  <c r="C192"/>
  <c r="R67"/>
  <c r="B52"/>
  <c r="C32" i="611"/>
  <c r="H25" i="510" a="1"/>
  <c r="K5" i="339" a="1"/>
  <c r="T202" i="535"/>
  <c r="T3" i="456" a="1"/>
  <c r="AD20" i="290"/>
  <c r="D131" i="535"/>
  <c r="M11" i="351"/>
  <c r="P16" i="478"/>
  <c r="H9" i="387"/>
  <c r="C81" i="536"/>
  <c r="D194" i="535"/>
  <c r="M25" i="387"/>
  <c r="F31" i="536"/>
  <c r="W5" i="489"/>
  <c r="S122" i="535"/>
  <c r="U157"/>
  <c r="E76" i="536"/>
  <c r="E14" i="569"/>
  <c r="AD8" i="64"/>
  <c r="E75" i="536"/>
  <c r="I6" i="406"/>
  <c r="J17" i="583"/>
  <c r="D31" i="546"/>
  <c r="B136" i="535"/>
  <c r="F4" i="450" a="1"/>
  <c r="U3" i="523" a="1"/>
  <c r="B14" i="570"/>
  <c r="C28" i="546"/>
  <c r="E140" i="535"/>
  <c r="E9" i="522"/>
  <c r="D73" i="546"/>
  <c r="E23" i="536"/>
  <c r="U10" i="56"/>
  <c r="F94" i="536"/>
  <c r="D36" i="535"/>
  <c r="P14" i="529" a="1"/>
  <c r="D16" i="535"/>
  <c r="E12"/>
  <c r="D60" i="536"/>
  <c r="S203" i="535"/>
  <c r="D85"/>
  <c r="F91" i="536"/>
  <c r="O8" i="351"/>
  <c r="P13" i="528"/>
  <c r="D52" i="546"/>
  <c r="C11" i="535"/>
  <c r="C168"/>
  <c r="T136"/>
  <c r="H15" i="342"/>
  <c r="C43" i="546"/>
  <c r="R60" i="535"/>
  <c r="E178"/>
  <c r="B62" i="536"/>
  <c r="F25"/>
  <c r="E7" i="350"/>
  <c r="B60" i="535"/>
  <c r="Q7" i="349"/>
  <c r="B107" i="546"/>
  <c r="D25"/>
  <c r="D79" i="536"/>
  <c r="I25" i="406"/>
  <c r="P9" i="349"/>
  <c r="J19" i="499" a="1"/>
  <c r="M77" i="339"/>
  <c r="C89" i="536"/>
  <c r="B82" i="546"/>
  <c r="D93" i="535"/>
  <c r="N12" i="347"/>
  <c r="E138" i="535"/>
  <c r="H3" i="505" a="1"/>
  <c r="S190" i="535"/>
  <c r="R156"/>
  <c r="K9" i="349"/>
  <c r="S8" i="535"/>
  <c r="E17" i="522"/>
  <c r="F8" i="352"/>
  <c r="D192" i="535"/>
  <c r="U196"/>
  <c r="J13" i="349"/>
  <c r="N3" i="507" a="1"/>
  <c r="T204" i="535"/>
  <c r="C20" i="392"/>
  <c r="G19" i="74"/>
  <c r="Q8" i="420"/>
  <c r="B21" i="611"/>
  <c r="T31" i="535"/>
  <c r="G5" i="60"/>
  <c r="I31" i="406"/>
  <c r="R78" i="535"/>
  <c r="U95"/>
  <c r="C17" i="71"/>
  <c r="T25" i="510" a="1"/>
  <c r="C115" i="535"/>
  <c r="H4" i="510" a="1"/>
  <c r="E45" i="535"/>
  <c r="E76" i="546"/>
  <c r="M8" i="577" a="1"/>
  <c r="C104" i="535"/>
  <c r="AN15"/>
  <c r="C64" i="536"/>
  <c r="C105" i="535"/>
  <c r="C207"/>
  <c r="K9" i="581"/>
  <c r="F77" i="536"/>
  <c r="D4" i="62" a="1"/>
  <c r="E50" i="536"/>
  <c r="E52" i="30"/>
  <c r="E25" i="604"/>
  <c r="R11" i="535"/>
  <c r="D174"/>
  <c r="G6" i="356"/>
  <c r="E14" i="348"/>
  <c r="T208" i="535"/>
  <c r="C85" i="546"/>
  <c r="B12"/>
  <c r="Q3" i="420"/>
  <c r="E60" i="535"/>
  <c r="F21" i="536"/>
  <c r="J11" i="349"/>
  <c r="T125" i="535"/>
  <c r="C38" i="546"/>
  <c r="R5" i="472" a="1"/>
  <c r="I10" i="406"/>
  <c r="D139" i="535"/>
  <c r="M12" i="420"/>
  <c r="G18" i="472" a="1"/>
  <c r="R114" i="535"/>
  <c r="E43" i="462" a="1"/>
  <c r="U154" i="535"/>
  <c r="E8" i="536"/>
  <c r="E70"/>
  <c r="G13" i="517" a="1"/>
  <c r="T63" i="535"/>
  <c r="T88"/>
  <c r="P34" i="75" a="1"/>
  <c r="N7" i="349"/>
  <c r="M25" i="15" a="1"/>
  <c r="K11" i="351"/>
  <c r="E18" i="522"/>
  <c r="B92" i="546"/>
  <c r="T179" i="535"/>
  <c r="AT3" i="523" a="1"/>
  <c r="U119" i="535"/>
  <c r="D106" i="536"/>
  <c r="B71" i="535"/>
  <c r="B8" i="536"/>
  <c r="AO8" i="351"/>
  <c r="F10" i="484"/>
  <c r="C177" i="535"/>
  <c r="L5" i="360" a="1"/>
  <c r="C180" i="535"/>
  <c r="D13" i="71"/>
  <c r="Y16" i="349"/>
  <c r="AD11" i="64"/>
  <c r="N10" i="473" a="1"/>
  <c r="B56" i="546"/>
  <c r="M14" i="420"/>
  <c r="T54" i="535"/>
  <c r="E202"/>
  <c r="E105" i="536"/>
  <c r="G6" i="387"/>
  <c r="D33" i="370"/>
  <c r="G21" i="552"/>
  <c r="D96" i="535"/>
  <c r="P4" i="489" a="1"/>
  <c r="U21" i="368"/>
  <c r="C128" i="535"/>
  <c r="J4" i="467" a="1"/>
  <c r="S37" i="535"/>
  <c r="B126"/>
  <c r="R85"/>
  <c r="G9" i="387"/>
  <c r="K5" i="76"/>
  <c r="M10" i="420"/>
  <c r="P6" i="528"/>
  <c r="I5" i="406"/>
  <c r="E16" i="536"/>
  <c r="G13" i="387"/>
  <c r="E107" i="536"/>
  <c r="J3" i="576"/>
  <c r="T39" i="535"/>
  <c r="N6" i="348"/>
  <c r="D30" i="76"/>
  <c r="F31" i="611"/>
  <c r="E20"/>
  <c r="D155" i="535"/>
  <c r="I13" i="406"/>
  <c r="S143" i="535"/>
  <c r="E128"/>
  <c r="D24" i="604"/>
  <c r="K19" i="499" a="1"/>
  <c r="R174" i="535"/>
  <c r="R25"/>
  <c r="P25" i="350"/>
  <c r="D13" i="348"/>
  <c r="D31" i="76"/>
  <c r="S6" i="494"/>
  <c r="I8" i="46"/>
  <c r="F18" i="484"/>
  <c r="AF23" i="64" a="1"/>
  <c r="G23" i="552"/>
  <c r="N8" i="420"/>
  <c r="I7" i="388"/>
  <c r="F12" i="339" a="1"/>
  <c r="B89" i="536"/>
  <c r="C26" i="535"/>
  <c r="F67" i="536"/>
  <c r="B83" i="546"/>
  <c r="E150" i="535"/>
  <c r="T9"/>
  <c r="AA27" i="56"/>
  <c r="D143" i="535"/>
  <c r="E189"/>
  <c r="AX24"/>
  <c r="K12" i="613"/>
  <c r="U64" i="535"/>
  <c r="L4" i="473"/>
  <c r="D66" i="535"/>
  <c r="P25" i="523" a="1"/>
  <c r="D38" i="546"/>
  <c r="B53" i="535"/>
  <c r="R89"/>
  <c r="D129"/>
  <c r="C51" i="536"/>
  <c r="D17" i="347"/>
  <c r="S70" i="535"/>
  <c r="E9" i="350"/>
  <c r="D29" i="76"/>
  <c r="J8" i="576"/>
  <c r="C135" i="535"/>
  <c r="F79" i="536"/>
  <c r="S145" i="535"/>
  <c r="D126"/>
  <c r="E108"/>
  <c r="D7" i="609"/>
  <c r="B23" i="546"/>
  <c r="O16" i="356"/>
  <c r="D120" i="535"/>
  <c r="M6" i="538"/>
  <c r="D100" i="536"/>
  <c r="M17" i="73"/>
  <c r="B60" i="536"/>
  <c r="I4" i="388"/>
  <c r="D22" i="562"/>
  <c r="B195" i="535"/>
  <c r="B170"/>
  <c r="L9" i="347"/>
  <c r="D101" i="535"/>
  <c r="R121"/>
  <c r="U5" i="56"/>
  <c r="R57" i="535"/>
  <c r="G13" i="414" a="1"/>
  <c r="D53" i="546"/>
  <c r="K6" i="347"/>
  <c r="M3" i="577"/>
  <c r="G19" i="460" a="1"/>
  <c r="E46" i="535"/>
  <c r="D11" i="360"/>
  <c r="I11" i="406"/>
  <c r="E18" i="518" a="1"/>
  <c r="M71" i="339"/>
  <c r="U88" i="535"/>
  <c r="H22" i="465" a="1"/>
  <c r="D200" i="535"/>
  <c r="P10" i="529" a="1"/>
  <c r="K17" i="489"/>
  <c r="R14" i="535"/>
  <c r="R51" i="463" a="1"/>
  <c r="H47" i="613"/>
  <c r="B148" i="535"/>
  <c r="K34" i="613"/>
  <c r="E39" i="546"/>
  <c r="S92" i="535"/>
  <c r="R181"/>
  <c r="T161"/>
  <c r="R40"/>
  <c r="U24" i="56"/>
  <c r="AT25" i="523" a="1"/>
  <c r="G10" i="64"/>
  <c r="U81" i="535"/>
  <c r="R119"/>
  <c r="F16" i="477" a="1"/>
  <c r="AK12" i="101"/>
  <c r="E95" i="546"/>
  <c r="E40" i="536"/>
  <c r="I24" i="406"/>
  <c r="O12" i="349"/>
  <c r="AC19" i="522" a="1"/>
  <c r="D76" i="535"/>
  <c r="D9" i="348"/>
  <c r="K15" i="489"/>
  <c r="I8" i="406"/>
  <c r="D17" i="536"/>
  <c r="AB35" i="290"/>
  <c r="E44" i="535"/>
  <c r="C49" i="546"/>
  <c r="AA16" i="56"/>
  <c r="E21" i="611"/>
  <c r="I29" i="466" a="1"/>
  <c r="B51" i="535"/>
  <c r="M24" i="538"/>
  <c r="D16" i="536"/>
  <c r="K12" i="489"/>
  <c r="R7" i="422"/>
  <c r="J15" i="351"/>
  <c r="D35" i="535"/>
  <c r="B37" i="536"/>
  <c r="K3" i="531" a="1"/>
  <c r="S13" i="440"/>
  <c r="E28" i="535"/>
  <c r="U207"/>
  <c r="C87"/>
  <c r="B68" i="546"/>
  <c r="D109" i="535"/>
  <c r="D20" i="611"/>
  <c r="U26" i="535"/>
  <c r="E13" i="516" a="1"/>
  <c r="I20" i="611"/>
  <c r="E165" i="535"/>
  <c r="B88"/>
  <c r="W15" i="256"/>
  <c r="K4" i="470" a="1"/>
  <c r="AJ8" i="447"/>
  <c r="E11" i="517" a="1"/>
  <c r="N3" i="509" a="1"/>
  <c r="N4" i="510" a="1"/>
  <c r="G7" i="387"/>
  <c r="D7" i="582"/>
  <c r="AF11" i="56"/>
  <c r="U67" i="535"/>
  <c r="E143"/>
  <c r="X20" i="468" a="1"/>
  <c r="D42" i="613"/>
  <c r="H55" i="463" a="1"/>
  <c r="D15" i="347"/>
  <c r="I5" i="562"/>
  <c r="B105" i="536"/>
  <c r="T72" i="535"/>
  <c r="O5" i="472" a="1"/>
  <c r="J18" i="568"/>
  <c r="O6" i="62"/>
  <c r="P43" i="462"/>
  <c r="F15" i="342"/>
  <c r="S111" i="535"/>
  <c r="R13" i="528" a="1"/>
  <c r="R16" i="535"/>
  <c r="C186"/>
  <c r="N13" i="349"/>
  <c r="B70" i="546"/>
  <c r="E175" i="535"/>
  <c r="B26" i="536"/>
  <c r="R177" i="535"/>
  <c r="O11" i="498"/>
  <c r="AC25" i="447"/>
  <c r="D31" i="536"/>
  <c r="N9" i="420"/>
  <c r="B17"/>
  <c r="D29" i="613"/>
  <c r="D25" i="604"/>
  <c r="D42" i="535"/>
  <c r="E86" i="536"/>
  <c r="B75" i="546"/>
  <c r="E12" i="518" a="1"/>
  <c r="D101" i="536"/>
  <c r="AX23" i="535"/>
  <c r="C61" i="536"/>
  <c r="B40"/>
  <c r="E203" i="535"/>
  <c r="I6" i="609"/>
  <c r="G3" i="420" a="1"/>
  <c r="N11" i="349"/>
  <c r="R7" i="595"/>
  <c r="U162" i="535"/>
  <c r="E65"/>
  <c r="C48" i="546"/>
  <c r="T132" i="535"/>
  <c r="E55" i="546"/>
  <c r="L14" i="351"/>
  <c r="U4" i="514" a="1"/>
  <c r="D66" i="536"/>
  <c r="E84" i="535"/>
  <c r="E91" i="536"/>
  <c r="D5" i="59"/>
  <c r="R164" i="535"/>
  <c r="G32" i="569"/>
  <c r="T158" i="535"/>
  <c r="C102" i="536"/>
  <c r="N3" i="505" a="1"/>
  <c r="C96" i="536"/>
  <c r="C62" i="535"/>
  <c r="M7" i="351"/>
  <c r="E52" i="546"/>
  <c r="B183" i="535"/>
  <c r="D8" i="347"/>
  <c r="E9"/>
  <c r="T49" i="535"/>
  <c r="D25"/>
  <c r="Y19" i="351"/>
  <c r="G24" i="538"/>
  <c r="R170" i="535"/>
  <c r="F7" i="352"/>
  <c r="T124" i="535"/>
  <c r="Q6" i="473"/>
  <c r="I13" i="609"/>
  <c r="B52" i="536"/>
  <c r="B167" i="535"/>
  <c r="R167"/>
  <c r="S63"/>
  <c r="E67"/>
  <c r="B187"/>
  <c r="E38"/>
  <c r="B70" i="536"/>
  <c r="P5" i="420"/>
  <c r="I14" i="562"/>
  <c r="C33" i="535"/>
  <c r="R5" i="414" a="1"/>
  <c r="C73" i="536"/>
  <c r="D37" i="546"/>
  <c r="J21" i="611"/>
  <c r="O13" i="349"/>
  <c r="J8" i="440"/>
  <c r="D18" i="546"/>
  <c r="E169" i="535"/>
  <c r="G17" i="64"/>
  <c r="C11" i="59"/>
  <c r="U74" i="535"/>
  <c r="C158"/>
  <c r="K10" i="611"/>
  <c r="F11" i="352"/>
  <c r="F25" i="531" a="1"/>
  <c r="K23" i="613"/>
  <c r="D8" i="546"/>
  <c r="R53" i="535"/>
  <c r="R18"/>
  <c r="O11" i="420"/>
  <c r="J25" i="189"/>
  <c r="B21" i="546"/>
  <c r="E23" i="613"/>
  <c r="T109" i="535"/>
  <c r="U118"/>
  <c r="D107"/>
  <c r="S100"/>
  <c r="D193"/>
  <c r="E53"/>
  <c r="T153"/>
  <c r="C86" i="536"/>
  <c r="H5" i="388"/>
  <c r="T73" i="535"/>
  <c r="E67" i="546"/>
  <c r="J22" i="548"/>
  <c r="E36" i="546"/>
  <c r="B64" i="535"/>
  <c r="AB25" i="447"/>
  <c r="S126" i="535"/>
  <c r="N6" i="420"/>
  <c r="F4" i="602"/>
  <c r="E112" i="535"/>
  <c r="D26" i="546"/>
  <c r="U152" i="535"/>
  <c r="D13" i="582"/>
  <c r="N9" i="611"/>
  <c r="I6" i="388"/>
  <c r="P32" i="192"/>
  <c r="E207" i="535"/>
  <c r="D8" i="604"/>
  <c r="AF21" i="101"/>
  <c r="S25" i="535"/>
  <c r="U113"/>
  <c r="O4" i="73"/>
  <c r="C78" i="535"/>
  <c r="B19" i="536"/>
  <c r="U33" i="535"/>
  <c r="B71" i="536"/>
  <c r="G12" i="511" a="1"/>
  <c r="B64" i="546"/>
  <c r="U141" i="535"/>
  <c r="K32" i="476" a="1"/>
  <c r="U198" i="535"/>
  <c r="M3" i="420"/>
  <c r="Z3" i="523" a="1"/>
  <c r="D36" i="536"/>
  <c r="D64" i="546"/>
  <c r="S38" i="535"/>
  <c r="D26" i="567"/>
  <c r="E49" i="536"/>
  <c r="K17" i="583"/>
  <c r="G24" i="64"/>
  <c r="AO3" i="523" a="1"/>
  <c r="AI23" i="64"/>
  <c r="D153" i="535"/>
  <c r="F52" i="536"/>
  <c r="D22" i="546"/>
  <c r="B129" i="535"/>
  <c r="B41"/>
  <c r="C27" i="76" a="1"/>
  <c r="D171" i="535"/>
  <c r="S31" i="216"/>
  <c r="D21" i="611"/>
  <c r="E48" i="546"/>
  <c r="J5" i="457" a="1"/>
  <c r="C116" i="535"/>
  <c r="B10" i="611"/>
  <c r="Q5" i="64"/>
  <c r="E8" i="522"/>
  <c r="H16" i="604"/>
  <c r="E72" i="546"/>
  <c r="G13" i="522" a="1"/>
  <c r="G14" i="342"/>
  <c r="R18" i="543" a="1"/>
  <c r="G40" i="26"/>
  <c r="N10" i="349"/>
  <c r="C82" i="536"/>
  <c r="V7" i="595"/>
  <c r="Q4" i="420"/>
  <c r="E42" i="604"/>
  <c r="T181" i="535"/>
  <c r="G9" i="611"/>
  <c r="O22" i="210"/>
  <c r="Q12" i="349"/>
  <c r="U16" i="535"/>
  <c r="U54"/>
  <c r="AD15" i="64"/>
  <c r="U208" i="535"/>
  <c r="C53"/>
  <c r="AA12" i="56"/>
  <c r="D29" i="566"/>
  <c r="F8" i="353"/>
  <c r="C88" i="536"/>
  <c r="T134" i="535"/>
  <c r="U131"/>
  <c r="M19" i="538"/>
  <c r="E32" i="569"/>
  <c r="M9" i="420"/>
  <c r="R191" i="535"/>
  <c r="D26" i="613"/>
  <c r="I27" i="590"/>
  <c r="G8" i="60"/>
  <c r="Q5" i="442" a="1"/>
  <c r="S165" i="535"/>
  <c r="N5" i="420"/>
  <c r="T96" i="463" a="1"/>
  <c r="O10" i="611"/>
  <c r="L6" i="347"/>
  <c r="O27" i="474" a="1"/>
  <c r="U106" i="535"/>
  <c r="F25" i="353"/>
  <c r="B23" i="486" a="1"/>
  <c r="C67" i="546"/>
  <c r="G18" i="511" a="1"/>
  <c r="AH9" i="447"/>
  <c r="C36" i="546"/>
  <c r="U174" i="535"/>
  <c r="U5" i="555" a="1"/>
  <c r="E61" i="536"/>
  <c r="D11"/>
  <c r="Q13" i="349"/>
  <c r="J18" i="583"/>
  <c r="J9" i="351"/>
  <c r="E15" i="536"/>
  <c r="L14" i="349"/>
  <c r="F12" i="353"/>
  <c r="B96" i="536"/>
  <c r="G11" i="60"/>
  <c r="K8" i="349"/>
  <c r="O8" i="73"/>
  <c r="E154" i="535"/>
  <c r="T118"/>
  <c r="K47" i="478"/>
  <c r="A5" i="303" a="1"/>
  <c r="S7" i="193"/>
  <c r="M13" i="538"/>
  <c r="E9" i="611"/>
  <c r="D63" i="536"/>
  <c r="D20" i="47"/>
  <c r="D80" i="536"/>
  <c r="O12" i="474" a="1"/>
  <c r="B95" i="536"/>
  <c r="D30" i="535"/>
  <c r="O23" i="12"/>
  <c r="T188" i="535"/>
  <c r="E9"/>
  <c r="E60" i="536"/>
  <c r="C10" i="582"/>
  <c r="E25" i="569"/>
  <c r="C57" i="546"/>
  <c r="G6" i="607" a="1"/>
  <c r="E7" i="347"/>
  <c r="E149" i="535"/>
  <c r="E21" i="522"/>
  <c r="B59" i="535"/>
  <c r="D140"/>
  <c r="R154"/>
  <c r="D94" i="536"/>
  <c r="B92"/>
  <c r="L8" i="64"/>
  <c r="T2" i="28"/>
  <c r="R91" i="535"/>
  <c r="AD7" i="352"/>
  <c r="C9" i="611"/>
  <c r="D27" i="535"/>
  <c r="G28" i="467" a="1"/>
  <c r="E10" i="347"/>
  <c r="C63" i="546"/>
  <c r="L9" i="611"/>
  <c r="O3" i="420"/>
  <c r="N10" i="611"/>
  <c r="P6" i="422"/>
  <c r="U10" i="535"/>
  <c r="E44" i="613"/>
  <c r="P37" i="462"/>
  <c r="F26" i="536"/>
  <c r="R59" i="535"/>
  <c r="S56"/>
  <c r="U172"/>
  <c r="N6" i="71"/>
  <c r="I12" i="406"/>
  <c r="B9" i="536"/>
  <c r="B10" i="546"/>
  <c r="F9" i="611"/>
  <c r="F31" i="353"/>
  <c r="AF5" i="64" a="1"/>
  <c r="O6" i="420"/>
  <c r="E50" i="546"/>
  <c r="D26" i="535"/>
  <c r="S191"/>
  <c r="K30" i="604"/>
  <c r="D11" i="546"/>
  <c r="C59" i="535"/>
  <c r="I6" i="562"/>
  <c r="Z25" i="531" a="1"/>
  <c r="S103" i="535"/>
  <c r="AI11"/>
  <c r="R36"/>
  <c r="M7" i="538"/>
  <c r="R24" i="535"/>
  <c r="F41" i="536"/>
  <c r="D72" i="546"/>
  <c r="R122" i="535"/>
  <c r="R50"/>
  <c r="R76"/>
  <c r="U117"/>
  <c r="H23" i="422"/>
  <c r="T16" i="477" a="1"/>
  <c r="K14" i="583"/>
  <c r="E5" i="517" a="1"/>
  <c r="K9" i="351"/>
  <c r="Z6" i="353" a="1"/>
  <c r="P22" i="350"/>
  <c r="C42" i="611"/>
  <c r="U8" i="350"/>
  <c r="S201" i="535"/>
  <c r="E32"/>
  <c r="N18" i="494"/>
  <c r="D73" i="536"/>
  <c r="C29"/>
  <c r="E103" i="546"/>
  <c r="D21"/>
  <c r="D107" i="536"/>
  <c r="T26" i="535"/>
  <c r="C52"/>
  <c r="G14" i="64"/>
  <c r="J32" i="611"/>
  <c r="E100" i="536"/>
  <c r="U77" i="535"/>
  <c r="R155"/>
  <c r="F58" i="536"/>
  <c r="D124" i="535"/>
  <c r="I10" i="387"/>
  <c r="L11" i="349"/>
  <c r="S10" i="535"/>
  <c r="X6" i="465" a="1"/>
  <c r="Q33" i="216"/>
  <c r="L10" i="351"/>
  <c r="G28" i="522" a="1"/>
  <c r="P15" i="528"/>
  <c r="C193" i="535"/>
  <c r="O46" i="418"/>
  <c r="P4" i="528"/>
  <c r="E28" i="604"/>
  <c r="E27"/>
  <c r="C81" i="535"/>
  <c r="H5" i="387"/>
  <c r="E58" i="536"/>
  <c r="R203" i="535"/>
  <c r="S77"/>
  <c r="N12" i="351"/>
  <c r="B31" i="536"/>
  <c r="C34"/>
  <c r="S18" i="535"/>
  <c r="B99" i="536"/>
  <c r="E161" i="535"/>
  <c r="B175"/>
  <c r="E15" i="522"/>
  <c r="F39" i="339" a="1"/>
  <c r="C74" i="536"/>
  <c r="I4" i="497" a="1"/>
  <c r="D33" i="536"/>
  <c r="D12" i="347"/>
  <c r="N19" i="474" a="1"/>
  <c r="B76" i="546"/>
  <c r="N4" i="420"/>
  <c r="C82" i="535"/>
  <c r="K28" i="613"/>
  <c r="B3" i="299" a="1"/>
  <c r="S125" i="535"/>
  <c r="B80" i="546"/>
  <c r="B22" i="536"/>
  <c r="W84" i="256"/>
  <c r="D16" i="350"/>
  <c r="E16" i="535"/>
  <c r="J8" i="360"/>
  <c r="Q9" i="351"/>
  <c r="B41" i="536"/>
  <c r="F96"/>
  <c r="D55" i="535"/>
  <c r="E41" i="536"/>
  <c r="M4" i="467" a="1"/>
  <c r="P12" i="351"/>
  <c r="H11" i="57"/>
  <c r="T52" i="535"/>
  <c r="J7" i="583"/>
  <c r="C187" i="535"/>
  <c r="E35" i="546"/>
  <c r="E7" i="517" a="1"/>
  <c r="T169" i="535"/>
  <c r="C156"/>
  <c r="D92"/>
  <c r="Q61" i="26"/>
  <c r="D74" i="535"/>
  <c r="R73"/>
  <c r="F4" i="497" a="1"/>
  <c r="H12" i="388"/>
  <c r="D74" i="546"/>
  <c r="B31" i="535"/>
  <c r="I5" i="609"/>
  <c r="T30" i="535"/>
  <c r="E42" i="611"/>
  <c r="P6" i="607" a="1"/>
  <c r="P49" i="462"/>
  <c r="J19" i="440"/>
  <c r="E5" i="597" a="1"/>
  <c r="E82" i="535"/>
  <c r="C173"/>
  <c r="E46" i="28"/>
  <c r="D36" i="546"/>
  <c r="D54" i="536"/>
  <c r="F73"/>
  <c r="D188" i="535"/>
  <c r="E6" i="348"/>
  <c r="F54" i="536"/>
  <c r="C80" i="546"/>
  <c r="AD19" i="290"/>
  <c r="D106" i="546"/>
  <c r="AD14" i="64"/>
  <c r="P11" i="529" a="1"/>
  <c r="M8" i="420"/>
  <c r="O13" i="472" a="1"/>
  <c r="B57" i="535"/>
  <c r="T31" i="216"/>
  <c r="C96" i="535"/>
  <c r="C66" i="536"/>
  <c r="C108" i="535"/>
  <c r="B25"/>
  <c r="D103" i="536"/>
  <c r="C118" i="535"/>
  <c r="E176"/>
  <c r="B42" i="611"/>
  <c r="S19" i="499" a="1"/>
  <c r="G22" i="64"/>
  <c r="F48" i="536"/>
  <c r="D132" i="535"/>
  <c r="I25" i="189"/>
  <c r="M21" i="509" a="1"/>
  <c r="S9" i="535"/>
  <c r="B29" i="546"/>
  <c r="C10"/>
  <c r="S200" i="535"/>
  <c r="D21"/>
  <c r="C125"/>
  <c r="D6" i="562"/>
  <c r="F19" i="342" a="1"/>
  <c r="H4" i="486" a="1"/>
  <c r="E10" i="546"/>
  <c r="E25" i="461" a="1"/>
  <c r="K28" i="604"/>
  <c r="D16" i="347"/>
  <c r="S23" i="452"/>
  <c r="H19" i="392"/>
  <c r="E67" i="536"/>
  <c r="D34" i="76"/>
  <c r="B151" i="535"/>
  <c r="J12" i="348"/>
  <c r="B196" i="535"/>
  <c r="E59"/>
  <c r="E59" i="546"/>
  <c r="S97" i="535"/>
  <c r="F83" i="536"/>
  <c r="H4" i="506" a="1"/>
  <c r="R99" i="535"/>
  <c r="K19" i="352"/>
  <c r="AD24" i="290"/>
  <c r="D31" i="535"/>
  <c r="R175"/>
  <c r="B69"/>
  <c r="F108" i="536"/>
  <c r="E18" i="483"/>
  <c r="C6" i="71"/>
  <c r="E20" i="536"/>
  <c r="R56" i="535"/>
  <c r="S25" i="461" a="1"/>
  <c r="T120" i="535"/>
  <c r="D40" i="536"/>
  <c r="E33" i="546"/>
  <c r="B47" i="536"/>
  <c r="B66" i="546"/>
  <c r="P5" i="528"/>
  <c r="C97" i="536"/>
  <c r="Z25" i="447"/>
  <c r="D55" i="546"/>
  <c r="Q19" i="215"/>
  <c r="T21" i="86" a="1"/>
  <c r="U129" i="535"/>
  <c r="F10" i="611"/>
  <c r="H22" i="467" a="1"/>
  <c r="D33" i="535"/>
  <c r="G22" i="422"/>
  <c r="U25" i="535"/>
  <c r="R106"/>
  <c r="E15" i="518" a="1"/>
  <c r="M5" i="383"/>
  <c r="AM5" i="356" a="1"/>
  <c r="K9" i="341" a="1"/>
  <c r="G24" i="356"/>
  <c r="G77" i="339" a="1"/>
  <c r="AG30" i="463" a="1"/>
  <c r="N14" i="351"/>
  <c r="C25" i="565"/>
  <c r="D97" i="546"/>
  <c r="B91" i="535"/>
  <c r="AP8" i="351"/>
  <c r="D44" i="604"/>
  <c r="K22" i="613"/>
  <c r="C99" i="546"/>
  <c r="C103" i="535"/>
  <c r="C18"/>
  <c r="T70"/>
  <c r="B50" i="536"/>
  <c r="K39" i="339" a="1"/>
  <c r="B18" i="536"/>
  <c r="E10" i="604"/>
  <c r="S8" i="595"/>
  <c r="E100" i="546"/>
  <c r="B102" i="536"/>
  <c r="E80" i="546"/>
  <c r="B127" i="535"/>
  <c r="E12" i="350"/>
  <c r="K10" i="583"/>
  <c r="J17" i="448" a="1"/>
  <c r="H34" i="604"/>
  <c r="C137" i="535"/>
  <c r="AJ9" i="447"/>
  <c r="U13" i="535"/>
  <c r="P20" i="215"/>
  <c r="D54" i="535"/>
  <c r="D34"/>
  <c r="U14" i="56"/>
  <c r="F33" i="461"/>
  <c r="G9" i="64"/>
  <c r="I7" i="575"/>
  <c r="U132" i="535"/>
  <c r="G19" i="392"/>
  <c r="I11" i="581"/>
  <c r="AF6" i="56"/>
  <c r="U58" i="535"/>
  <c r="C7" i="71"/>
  <c r="K5" i="489"/>
  <c r="U8" i="535"/>
  <c r="P7" i="351"/>
  <c r="O12" i="73"/>
  <c r="K21" i="611"/>
  <c r="D170" i="535"/>
  <c r="U84"/>
  <c r="C179"/>
  <c r="D28" i="604"/>
  <c r="S34" i="216"/>
  <c r="D24" i="546"/>
  <c r="F14" i="529" a="1"/>
  <c r="W6" i="458" a="1"/>
  <c r="Q8" i="349"/>
  <c r="J9" i="440"/>
  <c r="D10" i="407"/>
  <c r="K20" i="583"/>
  <c r="P7" i="349"/>
  <c r="T127" i="535"/>
  <c r="F17" i="353"/>
  <c r="B142" i="535"/>
  <c r="D64" i="536"/>
  <c r="D97"/>
  <c r="D46"/>
  <c r="C37"/>
  <c r="G14" i="387"/>
  <c r="G11" i="504" a="1"/>
  <c r="G19" i="427" a="1"/>
  <c r="R98" i="535"/>
  <c r="F10" i="575"/>
  <c r="S99" i="535"/>
  <c r="E139"/>
  <c r="C71" i="536"/>
  <c r="G20" i="515" a="1"/>
  <c r="C96" i="546"/>
  <c r="C22"/>
  <c r="V18" i="550"/>
  <c r="L37" i="584"/>
  <c r="B56" i="535"/>
  <c r="B9"/>
  <c r="O7" i="420"/>
  <c r="R5" i="467" a="1"/>
  <c r="E33" i="370"/>
  <c r="E13" i="535"/>
  <c r="E44" i="536"/>
  <c r="E3" i="588" a="1"/>
  <c r="R198" i="535"/>
  <c r="E30" i="536"/>
  <c r="F28" i="463" a="1"/>
  <c r="P10" i="351"/>
  <c r="E56" i="536"/>
  <c r="U38" i="535"/>
  <c r="R15" i="467" a="1"/>
  <c r="J28" i="477" a="1"/>
  <c r="J3" i="464" a="1"/>
  <c r="R33" i="535"/>
  <c r="G8" i="610"/>
  <c r="H26" i="578"/>
  <c r="B59" i="546"/>
  <c r="R194" i="535"/>
  <c r="E17" i="516" a="1"/>
  <c r="F13" i="484"/>
  <c r="B147" i="535"/>
  <c r="F4" i="456" a="1"/>
  <c r="B107" i="536"/>
  <c r="N3" i="506" a="1"/>
  <c r="L14" i="530" a="1"/>
  <c r="D13" i="350"/>
  <c r="B78" i="546"/>
  <c r="M16" i="477" a="1"/>
  <c r="D21" i="536"/>
  <c r="E160" i="535"/>
  <c r="G84" i="339" a="1"/>
  <c r="M7" i="349"/>
  <c r="AJ3" i="531" a="1"/>
  <c r="S121" i="535"/>
  <c r="S23"/>
  <c r="S192"/>
  <c r="E18" i="383"/>
  <c r="U32" i="535"/>
  <c r="AE3" i="523" a="1"/>
  <c r="Y6" i="465" a="1"/>
  <c r="S26" i="535"/>
  <c r="H19" i="555"/>
  <c r="U133" i="535"/>
  <c r="C49"/>
  <c r="S144"/>
  <c r="D65" i="546"/>
  <c r="AB5" i="64"/>
  <c r="K12" i="48"/>
  <c r="B51" i="536"/>
  <c r="S159" i="535"/>
  <c r="K7" i="583"/>
  <c r="F30" i="440" a="1"/>
  <c r="U127" i="535"/>
  <c r="S18" i="215"/>
  <c r="D39" i="546"/>
  <c r="C13" i="59"/>
  <c r="M8" i="349"/>
  <c r="E11" i="347"/>
  <c r="C61" i="535"/>
  <c r="D58" i="546"/>
  <c r="E24" i="536"/>
  <c r="D47" i="546"/>
  <c r="D11" i="348"/>
  <c r="S116" i="535"/>
  <c r="E98"/>
  <c r="E45" i="569"/>
  <c r="D5" i="586" a="1"/>
  <c r="E134" i="535"/>
  <c r="S32" i="216"/>
  <c r="D62" i="535"/>
  <c r="G18" i="383"/>
  <c r="D7" i="71"/>
  <c r="C200" i="535"/>
  <c r="V8" i="350"/>
  <c r="U41" i="535"/>
  <c r="E84" i="546"/>
  <c r="H14" i="388"/>
  <c r="M4" i="489" a="1"/>
  <c r="O11" i="73"/>
  <c r="D9" i="582"/>
  <c r="H29" i="613"/>
  <c r="J10" i="351"/>
  <c r="I22" i="466" a="1"/>
  <c r="K14" i="349"/>
  <c r="O9" i="611"/>
  <c r="E64" i="536"/>
  <c r="E37" i="535"/>
  <c r="O18" i="343"/>
  <c r="B34" i="536"/>
  <c r="R95" i="535"/>
  <c r="G8" i="318"/>
  <c r="B33" i="535"/>
  <c r="R178"/>
  <c r="N28" i="522" a="1"/>
  <c r="D102" i="536"/>
  <c r="G5" i="610"/>
  <c r="S34" i="535"/>
  <c r="S119"/>
  <c r="G10" i="611"/>
  <c r="F30" i="353"/>
  <c r="A3" i="523" a="1"/>
  <c r="F50" i="536"/>
  <c r="E133" i="535"/>
  <c r="W83" i="256"/>
  <c r="M8" i="351"/>
  <c r="U170" i="535"/>
  <c r="J7" i="576"/>
  <c r="AA26" i="56"/>
  <c r="D27" i="536"/>
  <c r="C20"/>
  <c r="K3" i="523" a="1"/>
  <c r="D12" i="582"/>
  <c r="G4" i="474" a="1"/>
  <c r="G39" i="440"/>
  <c r="G19" i="610"/>
  <c r="L5" i="473"/>
  <c r="S14" i="535"/>
  <c r="F19" i="536"/>
  <c r="T113" i="535"/>
  <c r="C15" i="71"/>
  <c r="B72" i="536"/>
  <c r="S42" i="535"/>
  <c r="T97"/>
  <c r="P28" i="478"/>
  <c r="B21" i="536"/>
  <c r="M15" i="538"/>
  <c r="S11" i="535"/>
  <c r="F14" i="484"/>
  <c r="C10" i="536"/>
  <c r="D107" i="546"/>
  <c r="H15" i="388"/>
  <c r="R6" i="76"/>
  <c r="E153" i="535"/>
  <c r="G5" i="555" a="1"/>
  <c r="R8" i="535"/>
  <c r="B123"/>
  <c r="D195"/>
  <c r="E18" i="546"/>
  <c r="O8" i="420"/>
  <c r="D109" i="536"/>
  <c r="G7" i="60"/>
  <c r="M34" i="339"/>
  <c r="AD24" i="447"/>
  <c r="B85" i="546"/>
  <c r="B178" i="535"/>
  <c r="F4" i="353"/>
  <c r="P10" i="528"/>
  <c r="D21" i="572"/>
  <c r="S196" i="535"/>
  <c r="E159"/>
  <c r="N6" i="351"/>
  <c r="B14" i="546"/>
  <c r="G27" i="189"/>
  <c r="R64" i="535"/>
  <c r="I33" i="406"/>
  <c r="S135" i="535"/>
  <c r="K47" i="613"/>
  <c r="D5" i="360"/>
  <c r="G5" i="64"/>
  <c r="C117" i="535"/>
  <c r="N25" i="476" a="1"/>
  <c r="E79" i="536"/>
  <c r="E68" i="546"/>
  <c r="K25" i="189"/>
  <c r="E41" i="604"/>
  <c r="R30" i="216"/>
  <c r="B66" i="535"/>
  <c r="D80"/>
  <c r="AK6" i="251" a="1"/>
  <c r="C43" i="535"/>
  <c r="S74"/>
  <c r="Q3" i="415" a="1"/>
  <c r="B114" i="535"/>
  <c r="D44" i="76"/>
  <c r="P5" i="348"/>
  <c r="B45" i="76"/>
  <c r="E6" i="347"/>
  <c r="T176" i="535"/>
  <c r="D150"/>
  <c r="Q7" i="422"/>
  <c r="B14" i="547"/>
  <c r="C13" i="546"/>
  <c r="S30" i="216"/>
  <c r="D28" i="536"/>
  <c r="E18" i="527" a="1"/>
  <c r="B50" i="546"/>
  <c r="T45" i="535"/>
  <c r="R49"/>
  <c r="H12" i="613"/>
  <c r="D9" i="604"/>
  <c r="E16" i="518" a="1"/>
  <c r="S76" i="535"/>
  <c r="C41" i="536"/>
  <c r="G19" i="461" a="1"/>
  <c r="L3" i="473"/>
  <c r="E87" i="536"/>
  <c r="S188" i="535"/>
  <c r="G20" i="484"/>
  <c r="Q22" i="550"/>
  <c r="B75" i="536"/>
  <c r="C13" i="582"/>
  <c r="F13" i="576"/>
  <c r="D51" i="535"/>
  <c r="E14" i="347"/>
  <c r="S48" i="535"/>
  <c r="C138"/>
  <c r="B103" i="546"/>
  <c r="E98" i="536"/>
  <c r="D14" i="360"/>
  <c r="D111" i="535"/>
  <c r="E4" i="517" a="1"/>
  <c r="D11" i="582"/>
  <c r="U135" i="535"/>
  <c r="D85" i="546"/>
  <c r="E91"/>
  <c r="D10" i="535"/>
  <c r="C85" i="536"/>
  <c r="E47"/>
  <c r="D34" i="546"/>
  <c r="P6" i="529" a="1"/>
  <c r="AX15" i="535"/>
  <c r="G17" i="484"/>
  <c r="B173" i="535"/>
  <c r="K13" i="349"/>
  <c r="F8" i="342"/>
  <c r="N6" i="494"/>
  <c r="V22" i="573"/>
  <c r="T5" i="347"/>
  <c r="AC5" i="458" a="1"/>
  <c r="I19" i="392"/>
  <c r="U180" i="535"/>
  <c r="B18" i="546"/>
  <c r="F55" i="536"/>
  <c r="T151" i="535"/>
  <c r="L7" i="347"/>
  <c r="AD6" i="64"/>
  <c r="AA8" i="56"/>
  <c r="E173" i="535"/>
  <c r="B26"/>
  <c r="C5" i="582"/>
  <c r="J9" i="407"/>
  <c r="B29" i="535"/>
  <c r="F21" i="484"/>
  <c r="F23" i="483"/>
  <c r="E27" i="613"/>
  <c r="U29" i="535"/>
  <c r="U93"/>
  <c r="T79"/>
  <c r="O21" i="211"/>
  <c r="B172" i="535"/>
  <c r="D180"/>
  <c r="C119"/>
  <c r="T182"/>
  <c r="K6" i="613"/>
  <c r="B46" i="535"/>
  <c r="K19" i="583"/>
  <c r="F17" i="484"/>
  <c r="R147" i="535"/>
  <c r="T40"/>
  <c r="M5" i="339"/>
  <c r="V8" i="595"/>
  <c r="K10" i="351"/>
  <c r="C16" i="546"/>
  <c r="K15" i="351"/>
  <c r="C8" i="71"/>
  <c r="F19" i="392"/>
  <c r="D88" i="536"/>
  <c r="M21" i="611"/>
  <c r="E182" i="535"/>
  <c r="M78" i="339"/>
  <c r="F9" i="352"/>
  <c r="S64" i="535"/>
  <c r="E43" i="536"/>
  <c r="D12" i="613"/>
  <c r="B80" i="535"/>
  <c r="Q10" i="351"/>
  <c r="AX19" i="535"/>
  <c r="N21" i="611"/>
  <c r="E10" i="517" a="1"/>
  <c r="W7" i="584" a="1"/>
  <c r="E172" i="535"/>
  <c r="D44" i="546"/>
  <c r="F42" i="611"/>
  <c r="B14" i="535"/>
  <c r="F20" i="611"/>
  <c r="M15" i="594"/>
  <c r="J9" i="401" a="1"/>
  <c r="B59" i="536"/>
  <c r="E12" i="604"/>
  <c r="C53" i="536"/>
  <c r="B109" i="546"/>
  <c r="M30" i="86" a="1"/>
  <c r="AB18" i="467" a="1"/>
  <c r="R128" i="535"/>
  <c r="E61"/>
  <c r="K23" i="604"/>
  <c r="B22" i="316"/>
  <c r="K21" i="353"/>
  <c r="S123" i="535"/>
  <c r="AI9" i="447"/>
  <c r="D97" i="535"/>
  <c r="E29"/>
  <c r="C141"/>
  <c r="O7" i="473"/>
  <c r="R7" i="71"/>
  <c r="B15" i="536"/>
  <c r="AD16" i="290"/>
  <c r="B165" i="535"/>
  <c r="E185"/>
  <c r="V22" i="350"/>
  <c r="F19" i="353"/>
  <c r="Q12" i="351"/>
  <c r="D8" i="348"/>
  <c r="U72" i="535"/>
  <c r="D69" i="546"/>
  <c r="R79" i="535"/>
  <c r="C100"/>
  <c r="B12" i="542"/>
  <c r="B67" i="546"/>
  <c r="U145" i="535"/>
  <c r="G19" i="484"/>
  <c r="D102" i="546"/>
  <c r="AJ42" i="300" a="1"/>
  <c r="M5" i="48"/>
  <c r="I20" i="392"/>
  <c r="B55" i="535"/>
  <c r="W14" i="256"/>
  <c r="N4" i="73" a="1"/>
  <c r="X5" i="414" a="1"/>
  <c r="T133" i="535"/>
  <c r="D39"/>
  <c r="U98"/>
  <c r="F20" i="484"/>
  <c r="S61" i="26"/>
  <c r="C100" i="546"/>
  <c r="Z4" i="510" a="1"/>
  <c r="R109" i="535"/>
  <c r="S25" i="486"/>
  <c r="P7" i="420"/>
  <c r="C195" i="535"/>
  <c r="M5" i="584"/>
  <c r="C40" i="546"/>
  <c r="R129" i="535"/>
  <c r="C56" i="536"/>
  <c r="B71" i="546"/>
  <c r="R110" i="535"/>
  <c r="R12"/>
  <c r="T51"/>
  <c r="O14" i="62"/>
  <c r="B93" i="536"/>
  <c r="B53" i="546"/>
  <c r="AF3" i="590" a="1"/>
  <c r="S61" i="535"/>
  <c r="E92" i="536"/>
  <c r="B112" i="535"/>
  <c r="B185"/>
  <c r="J24" i="549"/>
  <c r="S138" i="535"/>
  <c r="G10" i="484"/>
  <c r="R204" i="535"/>
  <c r="C146"/>
  <c r="E16" i="347"/>
  <c r="G22" i="388"/>
  <c r="P22" i="11"/>
  <c r="E69" i="546"/>
  <c r="B33" i="536"/>
  <c r="G4" i="515" a="1"/>
  <c r="K84" i="339" a="1"/>
  <c r="U46" i="535"/>
  <c r="B134"/>
  <c r="B39" i="440" a="1"/>
  <c r="U128" i="535"/>
  <c r="D17" i="567"/>
  <c r="S183" i="535"/>
  <c r="Q5" i="448" a="1"/>
  <c r="U11" i="535"/>
  <c r="E39" i="536"/>
  <c r="E7" i="522"/>
  <c r="O10" i="349"/>
  <c r="F32" i="536"/>
  <c r="C31" i="611"/>
  <c r="F100" i="536"/>
  <c r="U8" i="595"/>
  <c r="U60" i="535"/>
  <c r="D35" i="536"/>
  <c r="Q25" i="353"/>
  <c r="C60" i="546"/>
  <c r="AB36" i="290"/>
  <c r="E13" i="518" a="1"/>
  <c r="E73" i="536"/>
  <c r="B25" i="546"/>
  <c r="D182" i="535"/>
  <c r="K14" i="489"/>
  <c r="M4" i="543" a="1"/>
  <c r="H52" i="479" a="1"/>
  <c r="T209" i="535"/>
  <c r="U25" i="523" a="1"/>
  <c r="E6" i="527" a="1"/>
  <c r="R10" i="535"/>
  <c r="U187"/>
  <c r="AF7" i="56"/>
  <c r="B82" i="535"/>
  <c r="B154"/>
  <c r="T37"/>
  <c r="F21" i="611"/>
  <c r="B106" i="535"/>
  <c r="E21" i="536"/>
  <c r="K25" i="523" a="1"/>
  <c r="M84" i="339"/>
  <c r="D13" i="535"/>
  <c r="M4" i="7" a="1"/>
  <c r="B39" i="546"/>
  <c r="S67" i="535"/>
  <c r="AB7" i="352"/>
  <c r="I12" i="575"/>
  <c r="S156" i="535"/>
  <c r="D114"/>
  <c r="E109" i="546"/>
  <c r="B162" i="535"/>
  <c r="T197"/>
  <c r="D28" i="613"/>
  <c r="D92" i="536"/>
  <c r="L36" i="584"/>
  <c r="D6" i="59"/>
  <c r="U122" i="535"/>
  <c r="C16" i="71"/>
  <c r="D108" i="536"/>
  <c r="R176" i="535"/>
  <c r="C83" i="546"/>
  <c r="C65" i="536"/>
  <c r="E44" i="28"/>
  <c r="S207" i="535"/>
  <c r="B82" i="536"/>
  <c r="C12"/>
  <c r="D159" i="535"/>
  <c r="S167"/>
  <c r="L16" i="64"/>
  <c r="E71" i="536"/>
  <c r="S151" i="535"/>
  <c r="T139"/>
  <c r="B135"/>
  <c r="D8" i="613"/>
  <c r="S184" i="535"/>
  <c r="B64" i="536"/>
  <c r="D37" i="76"/>
  <c r="C54" i="546"/>
  <c r="B89" i="535"/>
  <c r="C14" i="536"/>
  <c r="C13"/>
  <c r="I26" i="567"/>
  <c r="S65" i="535"/>
  <c r="U108"/>
  <c r="U15" i="350"/>
  <c r="C73" i="546"/>
  <c r="P4" i="529" a="1"/>
  <c r="R30" i="463" a="1"/>
  <c r="D6" i="604"/>
  <c r="D203" i="535"/>
  <c r="E7" i="527" a="1"/>
  <c r="C157" i="535"/>
  <c r="P3" i="420"/>
  <c r="F75" i="536"/>
  <c r="AB9" i="64"/>
  <c r="K16" i="613"/>
  <c r="B201" i="535"/>
  <c r="M26" i="538"/>
  <c r="U151" i="535"/>
  <c r="D110"/>
  <c r="C71" i="546"/>
  <c r="E89"/>
  <c r="C44"/>
  <c r="B197" i="535"/>
  <c r="E44" i="546"/>
  <c r="Z5" i="414" a="1"/>
  <c r="C45" i="535"/>
  <c r="U109"/>
  <c r="F5" i="472" a="1"/>
  <c r="I4" i="562"/>
  <c r="S57" i="535"/>
  <c r="P3" i="287"/>
  <c r="M11" i="349"/>
  <c r="I9" i="388"/>
  <c r="D37" i="536"/>
  <c r="F42"/>
  <c r="AA23" i="466" a="1"/>
  <c r="K7" i="580"/>
  <c r="R34" i="216"/>
  <c r="D86" i="546"/>
  <c r="B95"/>
  <c r="E19" i="517" a="1"/>
  <c r="D69" i="535"/>
  <c r="R171"/>
  <c r="E19" i="518" a="1"/>
  <c r="C70" i="535"/>
  <c r="S202"/>
  <c r="S5" i="451" a="1"/>
  <c r="B24" i="536"/>
  <c r="D43" i="535"/>
  <c r="U80"/>
  <c r="S7" i="192"/>
  <c r="U92" i="535"/>
  <c r="R63"/>
  <c r="D12" i="546"/>
  <c r="B42" i="536"/>
  <c r="M10" i="538"/>
  <c r="P20" i="528"/>
  <c r="D9" i="572"/>
  <c r="D23" i="613"/>
  <c r="E151" i="535"/>
  <c r="U10" i="514" a="1"/>
  <c r="D79" i="535"/>
  <c r="L12" i="351"/>
  <c r="K16" i="583"/>
  <c r="C107" i="546"/>
  <c r="P4" i="420"/>
  <c r="D46" i="535"/>
  <c r="E119"/>
  <c r="E127"/>
  <c r="U160"/>
  <c r="C18" i="71"/>
  <c r="Z25" i="508" a="1"/>
  <c r="D184" i="535"/>
  <c r="E97"/>
  <c r="K18" i="489"/>
  <c r="E12" i="347"/>
  <c r="D19" i="536"/>
  <c r="U185" i="535"/>
  <c r="E68"/>
  <c r="B132"/>
  <c r="AA23" i="468" a="1"/>
  <c r="D96" i="536"/>
  <c r="D7" i="604"/>
  <c r="Q30" i="216"/>
  <c r="T149" i="535"/>
  <c r="P28" i="353"/>
  <c r="D191" i="535"/>
  <c r="AB11" i="356"/>
  <c r="D56" i="536"/>
  <c r="G22" i="484"/>
  <c r="E89" i="535"/>
  <c r="E106" i="546"/>
  <c r="E59" i="536"/>
  <c r="W50" i="256"/>
  <c r="C58" i="546"/>
  <c r="E14" i="483"/>
  <c r="U175" i="535"/>
  <c r="AR7" i="610"/>
  <c r="E75" i="535"/>
  <c r="C167"/>
  <c r="R83"/>
  <c r="L6" i="351"/>
  <c r="R133" i="535"/>
  <c r="T77"/>
  <c r="M15" i="349"/>
  <c r="I45" i="479"/>
  <c r="I49"/>
  <c r="T104" i="535"/>
  <c r="C144"/>
  <c r="U23"/>
  <c r="S101"/>
  <c r="R158"/>
  <c r="P23" i="529" a="1"/>
  <c r="U9" i="387"/>
  <c r="O18" i="383"/>
  <c r="P7" i="529" a="1"/>
  <c r="AG8" i="447"/>
  <c r="E90" i="536"/>
  <c r="C48"/>
  <c r="U20" i="535"/>
  <c r="R144"/>
  <c r="C101"/>
  <c r="F18" i="353"/>
  <c r="AD26" i="290"/>
  <c r="R17" i="486" a="1"/>
  <c r="F4" i="455" a="1"/>
  <c r="M16" i="496" a="1"/>
  <c r="AA10" i="56"/>
  <c r="E53" i="546"/>
  <c r="G10" i="388"/>
  <c r="E148" i="535"/>
  <c r="S44"/>
  <c r="H21" i="75"/>
  <c r="D87" i="535"/>
  <c r="I28"/>
  <c r="P10" i="611"/>
  <c r="C19" i="71"/>
  <c r="E11" i="569"/>
  <c r="I14" i="609"/>
  <c r="P21" i="529" a="1"/>
  <c r="C92" i="546"/>
  <c r="Q10" i="420"/>
  <c r="B79" i="546"/>
  <c r="B16" i="536"/>
  <c r="N13" i="577"/>
  <c r="L16" i="370"/>
  <c r="E13" i="569"/>
  <c r="N12" i="494"/>
  <c r="E88" i="536"/>
  <c r="D163" i="535"/>
  <c r="T102"/>
  <c r="E73"/>
  <c r="F62" i="536"/>
  <c r="AF17" i="64" a="1"/>
  <c r="E19" i="516" a="1"/>
  <c r="L15" i="349"/>
  <c r="T83" i="535"/>
  <c r="F97" i="536"/>
  <c r="E125" i="535"/>
  <c r="D84"/>
  <c r="S94"/>
  <c r="U16" i="56"/>
  <c r="C82" i="546"/>
  <c r="E14"/>
  <c r="S162" i="535"/>
  <c r="O4" i="473"/>
  <c r="B121" i="535"/>
  <c r="E28" i="569"/>
  <c r="D29" i="535"/>
  <c r="R120"/>
  <c r="D50" i="546"/>
  <c r="C91" i="535"/>
  <c r="O6" i="73"/>
  <c r="E97" i="536"/>
  <c r="J14" i="440"/>
  <c r="D23" i="546"/>
  <c r="D78" i="535"/>
  <c r="D109" i="546"/>
  <c r="L20" i="611"/>
  <c r="D73" i="535"/>
  <c r="T171"/>
  <c r="Q9" i="420"/>
  <c r="C68" i="536"/>
  <c r="T13" i="585" a="1"/>
  <c r="U179" i="535"/>
  <c r="Q28" i="353"/>
  <c r="E78" i="536"/>
  <c r="G30" i="440" a="1"/>
  <c r="S7" i="595"/>
  <c r="J25" i="549"/>
  <c r="M14" i="351"/>
  <c r="E53" i="30"/>
  <c r="D9" i="360"/>
  <c r="S108" i="535"/>
  <c r="F10" i="352"/>
  <c r="S40" i="535"/>
  <c r="D88" i="546"/>
  <c r="S91" i="535"/>
  <c r="M19" i="555" a="1"/>
  <c r="B16" i="335"/>
  <c r="D26" i="383"/>
  <c r="Q4" i="341" a="1"/>
  <c r="E64" i="462" a="1"/>
  <c r="N7" i="351"/>
  <c r="L10" i="611"/>
  <c r="E66" i="535"/>
  <c r="E4" i="518" a="1"/>
  <c r="U200" i="535"/>
  <c r="G21" i="611"/>
  <c r="T100" i="535"/>
  <c r="T6" i="489" a="1"/>
  <c r="Y5" i="585" a="1"/>
  <c r="E126" i="535"/>
  <c r="E25" i="565"/>
  <c r="G25" i="189"/>
  <c r="AB12" i="64"/>
  <c r="B66" i="536"/>
  <c r="F6" i="352"/>
  <c r="L10" i="64"/>
  <c r="U146" i="535"/>
  <c r="N12" i="577"/>
  <c r="M13" i="349"/>
  <c r="C197" i="535"/>
  <c r="D10" i="582"/>
  <c r="C133" i="535"/>
  <c r="L19" i="568"/>
  <c r="C60" i="535"/>
  <c r="B13" i="536"/>
  <c r="E40" i="546"/>
  <c r="J86" i="463" a="1"/>
  <c r="D64" i="535"/>
  <c r="Q11" i="349"/>
  <c r="C107" i="536"/>
  <c r="H9" i="586" a="1"/>
  <c r="T65" i="535"/>
  <c r="E96" i="546"/>
  <c r="AR6" i="610"/>
  <c r="C78" i="536"/>
  <c r="L9" i="64"/>
  <c r="R195" i="535"/>
  <c r="S170"/>
  <c r="Q11" i="64"/>
  <c r="C64" i="535"/>
  <c r="I48" i="569"/>
  <c r="U69" i="535"/>
  <c r="K77" i="339" a="1"/>
  <c r="U22" i="56"/>
  <c r="K42" i="613"/>
  <c r="Z3" i="531" a="1"/>
  <c r="C109" i="535"/>
  <c r="E86"/>
  <c r="X4" i="352" a="1"/>
  <c r="R35" i="535"/>
  <c r="C172"/>
  <c r="C72"/>
  <c r="J12" i="349"/>
  <c r="E6" i="613"/>
  <c r="I11" i="387"/>
  <c r="U27" i="535"/>
  <c r="R71"/>
  <c r="T23"/>
  <c r="U165"/>
  <c r="F24" i="353"/>
  <c r="E6" i="518" a="1"/>
  <c r="E99" i="536"/>
  <c r="AT5" i="351" a="1"/>
  <c r="P25" i="353"/>
  <c r="P8" i="528"/>
  <c r="D117" i="535"/>
  <c r="B67" i="536"/>
  <c r="U48" i="535"/>
  <c r="M22" i="538"/>
  <c r="N18" i="186"/>
  <c r="B11" i="536"/>
  <c r="B18" i="535"/>
  <c r="K7" i="581"/>
  <c r="B141" i="535"/>
  <c r="R123"/>
  <c r="P19" i="529" a="1"/>
  <c r="R54" i="535"/>
  <c r="S205"/>
  <c r="U168"/>
  <c r="B160"/>
  <c r="I8" i="388"/>
  <c r="S54" i="535"/>
  <c r="B32"/>
  <c r="B35" i="536"/>
  <c r="P10" i="349"/>
  <c r="B40" i="535"/>
  <c r="R43"/>
  <c r="K11" i="583"/>
  <c r="B55" i="546"/>
  <c r="T172" i="535"/>
  <c r="E13" i="536"/>
  <c r="R72" i="535"/>
  <c r="D23" i="572"/>
  <c r="T8" i="595"/>
  <c r="T80" i="535"/>
  <c r="V4" i="369" a="1"/>
  <c r="D9" i="546"/>
  <c r="U97" i="535"/>
  <c r="AB11" i="352"/>
  <c r="B110" i="535"/>
  <c r="E13" i="546"/>
  <c r="K13" i="347"/>
  <c r="J16" i="583"/>
  <c r="G32" i="611"/>
  <c r="G3" i="356"/>
  <c r="L6" i="64"/>
  <c r="C16" i="536"/>
  <c r="E20" i="392"/>
  <c r="C22" i="535"/>
  <c r="D94" i="546"/>
  <c r="J10" i="349"/>
  <c r="D61" i="546"/>
  <c r="R199" i="535"/>
  <c r="N13" i="420"/>
  <c r="S139" i="535"/>
  <c r="U183"/>
  <c r="C63"/>
  <c r="F93" i="536"/>
  <c r="D75" i="535"/>
  <c r="B193"/>
  <c r="S6" i="193"/>
  <c r="S209" i="535"/>
  <c r="O8" i="350"/>
  <c r="D23" i="536"/>
  <c r="C39"/>
  <c r="S179" i="535"/>
  <c r="V33" i="460" a="1"/>
  <c r="T4" i="73" a="1"/>
  <c r="R93" i="535"/>
  <c r="AR24" i="302" a="1"/>
  <c r="F71" i="536"/>
  <c r="C39" i="535"/>
  <c r="O22" i="12"/>
  <c r="E8" i="350"/>
  <c r="P12" i="529" a="1"/>
  <c r="G16" i="57" a="1"/>
  <c r="D32" i="535"/>
  <c r="E102" i="536"/>
  <c r="D15" i="535"/>
  <c r="B17" i="570"/>
  <c r="D84" i="546"/>
  <c r="Z25" i="523" a="1"/>
  <c r="D146" i="535"/>
  <c r="B44"/>
  <c r="G5" i="303" a="1"/>
  <c r="M4" i="420"/>
  <c r="AB23" i="356"/>
  <c r="C132" i="535"/>
  <c r="AA11" i="56"/>
  <c r="E15" i="347"/>
  <c r="R84" i="535"/>
  <c r="D6" i="350"/>
  <c r="C37" i="535"/>
  <c r="AA42" i="290" a="1"/>
  <c r="U6" i="495" a="1"/>
  <c r="G6" i="455" a="1"/>
  <c r="U65" i="535"/>
  <c r="W67" i="256"/>
  <c r="E85" i="535"/>
  <c r="F5" i="339" a="1"/>
  <c r="R208" i="535"/>
  <c r="I9" i="582"/>
  <c r="C142" i="535"/>
  <c r="AX16"/>
  <c r="S5" i="555" a="1"/>
  <c r="J20" i="583"/>
  <c r="D25" i="613"/>
  <c r="B190" i="535"/>
  <c r="T53"/>
  <c r="B79" i="536"/>
  <c r="U20" i="50"/>
  <c r="R139" i="535"/>
  <c r="R113"/>
  <c r="V9" i="387"/>
  <c r="AF5" i="56"/>
  <c r="S53" i="535"/>
  <c r="F33" i="353"/>
  <c r="R88" i="535"/>
  <c r="K4" i="330" a="1"/>
  <c r="D43" i="604"/>
  <c r="T25" i="535"/>
  <c r="C185"/>
  <c r="E70" i="546"/>
  <c r="Q4" i="454" a="1"/>
  <c r="F45" i="536"/>
  <c r="R206" i="535"/>
  <c r="D14" i="546"/>
  <c r="E99" i="535"/>
  <c r="G31" i="611"/>
  <c r="B49" i="536"/>
  <c r="B39" i="535"/>
  <c r="M21" i="538"/>
  <c r="U194" i="535"/>
  <c r="I29" i="406"/>
  <c r="R201" i="535"/>
  <c r="C92"/>
  <c r="C21" i="536"/>
  <c r="F4" i="352"/>
  <c r="D90" i="546"/>
  <c r="C184" i="535"/>
  <c r="J4" i="473"/>
  <c r="T123" i="535"/>
  <c r="D30" i="546"/>
  <c r="F102" i="536"/>
  <c r="R13" i="467" a="1"/>
  <c r="T35" i="535"/>
  <c r="D12" i="59"/>
  <c r="U22" i="368"/>
  <c r="E108" i="536"/>
  <c r="M14" i="349"/>
  <c r="F12" i="352"/>
  <c r="M13" i="351"/>
  <c r="I26" i="590"/>
  <c r="AL5" i="297" a="1"/>
  <c r="B133" i="535"/>
  <c r="C101" i="536"/>
  <c r="B54" i="546"/>
  <c r="B43" i="611"/>
  <c r="M25" i="538"/>
  <c r="I33" i="569"/>
  <c r="R115" i="535"/>
  <c r="E52"/>
  <c r="E17" i="417" a="1"/>
  <c r="C102" i="535"/>
  <c r="B83" i="536"/>
  <c r="E45" i="30"/>
  <c r="E10" i="348"/>
  <c r="D11" i="347"/>
  <c r="E102" i="535"/>
  <c r="B56" i="536"/>
  <c r="T61" i="535"/>
  <c r="E80" i="536"/>
  <c r="U90" i="535"/>
  <c r="E25" i="546"/>
  <c r="E69" i="535"/>
  <c r="D42" i="546"/>
  <c r="AE25" i="531" a="1"/>
  <c r="U107" i="535"/>
  <c r="S89"/>
  <c r="D98"/>
  <c r="K22" i="604"/>
  <c r="I12" i="609"/>
  <c r="C83" i="536"/>
  <c r="E16" i="546"/>
  <c r="R17" i="535"/>
  <c r="W32" i="256"/>
  <c r="D57" i="535"/>
  <c r="H8" i="456" a="1"/>
  <c r="C111" i="535"/>
  <c r="O4" i="356"/>
  <c r="X5" i="573" a="1"/>
  <c r="R197" i="535"/>
  <c r="B88" i="546"/>
  <c r="M11" i="538"/>
  <c r="E14" i="350"/>
  <c r="J7" i="349"/>
  <c r="O18" i="341" a="1"/>
  <c r="E15" i="517" a="1"/>
  <c r="U51" i="535"/>
  <c r="M14" i="71" a="1"/>
  <c r="AD9" i="64"/>
  <c r="P8" i="420"/>
  <c r="J8" i="583"/>
  <c r="S8" i="193"/>
  <c r="C88" i="546"/>
  <c r="I3" i="415" a="1"/>
  <c r="H24" i="75"/>
  <c r="D15" i="360"/>
  <c r="U209" i="535"/>
  <c r="C4" i="582"/>
  <c r="U50" i="535"/>
  <c r="U35"/>
  <c r="G6" i="60"/>
  <c r="C127" i="535"/>
  <c r="T50"/>
  <c r="AD42" i="290"/>
  <c r="E78" i="535"/>
  <c r="M6" i="351"/>
  <c r="V4" i="467" a="1"/>
  <c r="E58" i="535"/>
  <c r="D86" i="536"/>
  <c r="F20" i="353"/>
  <c r="B140" i="535"/>
  <c r="E20" i="546"/>
  <c r="B92" i="535"/>
  <c r="D17" i="546"/>
  <c r="U49" i="535"/>
  <c r="T32" i="216"/>
  <c r="N25" i="510" a="1"/>
  <c r="E111" i="535"/>
  <c r="Q20" i="215"/>
  <c r="D178" i="535"/>
  <c r="H25" i="189"/>
  <c r="U24" i="535"/>
  <c r="D59"/>
  <c r="K6" i="581"/>
  <c r="J14" i="349"/>
  <c r="AM72" i="463" a="1"/>
  <c r="D60" i="546"/>
  <c r="U189" i="535"/>
  <c r="B65" i="546"/>
  <c r="J12" i="351"/>
  <c r="R15" i="44"/>
  <c r="D44" i="535"/>
  <c r="J10" i="440"/>
  <c r="O30" i="86" a="1"/>
  <c r="J43" i="584"/>
  <c r="D80" i="546"/>
  <c r="T103" i="535"/>
  <c r="D27" i="546"/>
  <c r="E24"/>
  <c r="U37" i="535"/>
  <c r="L26" i="383"/>
  <c r="E34" i="536"/>
  <c r="T203" i="535"/>
  <c r="Q11" i="420"/>
  <c r="M25" i="339"/>
  <c r="T117" i="535"/>
  <c r="M23" i="538"/>
  <c r="F7" i="602"/>
  <c r="K5" i="414" a="1"/>
  <c r="C66" i="546"/>
  <c r="C47"/>
  <c r="V40" i="369" a="1"/>
  <c r="D104" i="535"/>
  <c r="M10" i="48"/>
  <c r="B155" i="535"/>
  <c r="S62" i="26"/>
  <c r="Y25" i="447"/>
  <c r="E42" i="535"/>
  <c r="B85"/>
  <c r="B16" i="546"/>
  <c r="G25" i="356"/>
  <c r="F30" i="536"/>
  <c r="U23" i="75"/>
  <c r="B158" i="535"/>
  <c r="D10" i="376"/>
  <c r="R189" i="535"/>
  <c r="D13" i="59"/>
  <c r="E6" i="516" a="1"/>
  <c r="B105" i="535"/>
  <c r="S13" i="489" a="1"/>
  <c r="C58" i="536"/>
  <c r="K20" i="472"/>
  <c r="E30" i="535"/>
  <c r="AK7" i="350"/>
  <c r="O3" i="473"/>
  <c r="G70" i="339" a="1"/>
  <c r="E15" i="348"/>
  <c r="L6" i="349"/>
  <c r="T10" i="535"/>
  <c r="B80" i="536"/>
  <c r="J35" i="584"/>
  <c r="B27" i="536"/>
  <c r="S16" i="535"/>
  <c r="L23" i="64"/>
  <c r="I9" i="562"/>
  <c r="E37" i="546"/>
  <c r="L13" i="347"/>
  <c r="K10" i="604"/>
  <c r="C188" i="535"/>
  <c r="F44" i="536"/>
  <c r="E19" i="392"/>
  <c r="U28" i="535"/>
  <c r="B27"/>
  <c r="G9" i="610"/>
  <c r="I16" i="406"/>
  <c r="D20" i="535"/>
  <c r="B54"/>
  <c r="E31" i="536"/>
  <c r="P21" i="528"/>
  <c r="AD22" i="290"/>
  <c r="L21" i="11"/>
  <c r="Q22" i="215"/>
  <c r="D93" i="536"/>
  <c r="D15" i="348"/>
  <c r="C93" i="535"/>
  <c r="S168"/>
  <c r="B17" i="536"/>
  <c r="E57" i="535"/>
  <c r="C165"/>
  <c r="M40" i="339"/>
  <c r="B94" i="535"/>
  <c r="D56" i="546"/>
  <c r="J6" i="349"/>
  <c r="J10" i="348"/>
  <c r="Q9" i="64"/>
  <c r="B57" i="546"/>
  <c r="E81"/>
  <c r="E7" i="518" a="1"/>
  <c r="Q21" i="550"/>
  <c r="Q6" i="420"/>
  <c r="E79" i="546"/>
  <c r="D20" i="392"/>
  <c r="O27" i="527" a="1"/>
  <c r="K12" i="581"/>
  <c r="E82" i="546"/>
  <c r="C151" i="535"/>
  <c r="U25" i="531" a="1"/>
  <c r="I26" i="189"/>
  <c r="I32" i="569"/>
  <c r="I3" i="609"/>
  <c r="C16" i="535"/>
  <c r="O12" i="498"/>
  <c r="D69" i="536"/>
  <c r="F11"/>
  <c r="F5" i="584" a="1"/>
  <c r="L28" i="64"/>
  <c r="R19" i="499" a="1"/>
  <c r="E115" i="535"/>
  <c r="D95" i="536"/>
  <c r="AS15" i="535"/>
  <c r="R38"/>
  <c r="F8" i="536"/>
  <c r="S59" i="535"/>
  <c r="J51" i="431" a="1"/>
  <c r="C50" i="536"/>
  <c r="C174" i="535"/>
  <c r="E24" i="604"/>
  <c r="Y8" i="494"/>
  <c r="D14" i="572"/>
  <c r="P8" i="350"/>
  <c r="AK13" i="101"/>
  <c r="O13" i="73"/>
  <c r="R6" i="71"/>
  <c r="D57" i="536"/>
  <c r="B15" i="546"/>
  <c r="J11" i="351"/>
  <c r="K43" i="478"/>
  <c r="E14" i="522"/>
  <c r="N23" i="12"/>
  <c r="E49" i="569"/>
  <c r="E24" i="613"/>
  <c r="B124" i="535"/>
  <c r="C191"/>
  <c r="F49" i="463" a="1"/>
  <c r="O8" i="356"/>
  <c r="B152" i="535"/>
  <c r="D5" i="451" a="1"/>
  <c r="E8" i="516" a="1"/>
  <c r="C194" i="535"/>
  <c r="B103" i="536"/>
  <c r="E99" i="546"/>
  <c r="B206" i="535"/>
  <c r="E90"/>
  <c r="D82" i="536"/>
  <c r="B74" i="535"/>
  <c r="T11"/>
  <c r="D99" i="536"/>
  <c r="R62" i="535"/>
  <c r="R159"/>
  <c r="D27" i="613"/>
  <c r="D93" i="546"/>
  <c r="E104" i="536"/>
  <c r="E10" i="350"/>
  <c r="C164" i="535"/>
  <c r="O10" i="420"/>
  <c r="C68" i="535"/>
  <c r="I21" i="406"/>
  <c r="R146" i="535"/>
  <c r="B77" i="546"/>
  <c r="I18" i="562"/>
  <c r="S75" i="535"/>
  <c r="U18"/>
  <c r="U15" i="56"/>
  <c r="D103" i="535"/>
  <c r="K14" i="351"/>
  <c r="D9" i="536"/>
  <c r="S47" i="535"/>
  <c r="B174"/>
  <c r="C170"/>
  <c r="B86" i="536"/>
  <c r="T32" i="535"/>
  <c r="B115"/>
  <c r="E53" i="536"/>
  <c r="D116" i="535"/>
  <c r="O19" i="341"/>
  <c r="Q12" i="420"/>
  <c r="X16" i="349"/>
  <c r="AJ25" i="531" a="1"/>
  <c r="D186" i="535"/>
  <c r="F76" i="536"/>
  <c r="D84"/>
  <c r="H13" i="387"/>
  <c r="R131" i="535"/>
  <c r="K14" i="470" a="1"/>
  <c r="G14" i="610"/>
  <c r="E99" i="463"/>
  <c r="AK6" i="356"/>
  <c r="M16" i="370"/>
  <c r="D70" i="535"/>
  <c r="D95" i="546"/>
  <c r="S58" i="535"/>
  <c r="N11" i="420"/>
  <c r="E77" i="535"/>
  <c r="C79"/>
  <c r="E21" i="546"/>
  <c r="D38" i="535"/>
  <c r="D6" i="347"/>
  <c r="Z12" i="200"/>
  <c r="D94" i="535"/>
  <c r="T198"/>
  <c r="B68" i="536"/>
  <c r="S150" i="535"/>
  <c r="Q9" i="349"/>
  <c r="F6" i="353"/>
  <c r="U190" i="535"/>
  <c r="O13" i="62"/>
  <c r="S178" i="535"/>
  <c r="D20" i="536"/>
  <c r="T206" i="535"/>
  <c r="B85" i="536"/>
  <c r="K25" i="531" a="1"/>
  <c r="E21" i="516" a="1"/>
  <c r="K10" i="581"/>
  <c r="P19" i="215"/>
  <c r="N21" i="86" a="1"/>
  <c r="C86" i="535"/>
  <c r="B37"/>
  <c r="H9" i="611"/>
  <c r="G15" i="462" a="1"/>
  <c r="I19" i="606" a="1"/>
  <c r="D105" i="536"/>
  <c r="T12" i="50"/>
  <c r="AR6" i="302" a="1"/>
  <c r="B97" i="546"/>
  <c r="U53" i="535"/>
  <c r="D53" i="536"/>
  <c r="G14" i="388"/>
  <c r="C49" i="536"/>
  <c r="B179" i="535"/>
  <c r="K6" i="489"/>
  <c r="Q34" i="216"/>
  <c r="E130" i="535"/>
  <c r="E23" i="546"/>
  <c r="AD21" i="290"/>
  <c r="H27" i="189"/>
  <c r="U104" i="535"/>
  <c r="M53" i="339"/>
  <c r="E197" i="535"/>
  <c r="B87"/>
  <c r="S112"/>
  <c r="D17" i="348"/>
  <c r="D4" i="581" a="1"/>
  <c r="T64" i="535"/>
  <c r="T25" i="508" a="1"/>
  <c r="E20" i="535"/>
  <c r="T59"/>
  <c r="C63" i="536"/>
  <c r="F6" i="342"/>
  <c r="B62" i="546"/>
  <c r="C42" i="536"/>
  <c r="T36" i="535"/>
  <c r="B13" i="570"/>
  <c r="C97" i="546"/>
  <c r="M12" i="339"/>
  <c r="C162" i="535"/>
  <c r="F69" i="536"/>
  <c r="I9" i="611"/>
  <c r="G15" i="543"/>
  <c r="M7" i="368"/>
  <c r="C29" i="546"/>
  <c r="R31" i="535"/>
  <c r="D98" i="536"/>
  <c r="E23" i="604"/>
  <c r="E97" i="463"/>
  <c r="G9" i="388"/>
  <c r="T85" i="535"/>
  <c r="F52" i="339" a="1"/>
  <c r="C12" i="546"/>
  <c r="G17" i="610"/>
  <c r="B76" i="536"/>
  <c r="E96"/>
  <c r="U105" i="535"/>
  <c r="C81" i="546"/>
  <c r="AX22" i="535"/>
  <c r="E20" i="516" a="1"/>
  <c r="R140" i="535"/>
  <c r="E45" i="546"/>
  <c r="D138" i="535"/>
  <c r="P4" i="330" a="1"/>
  <c r="AF15" i="508" a="1"/>
  <c r="T105" i="535"/>
  <c r="M5" i="555" a="1"/>
  <c r="K52" i="339" a="1"/>
  <c r="B22" i="562"/>
  <c r="I4" i="330" a="1"/>
  <c r="K18" i="339" a="1"/>
  <c r="F109" i="536"/>
  <c r="T42" i="535"/>
  <c r="E82" i="536"/>
  <c r="D67"/>
  <c r="C4" i="553" a="1"/>
  <c r="G5" i="383"/>
  <c r="D183" i="535"/>
  <c r="Q14" i="420"/>
  <c r="D196" i="535"/>
  <c r="K7" i="76"/>
  <c r="G16" i="342"/>
  <c r="B119" i="535"/>
  <c r="M18" i="538"/>
  <c r="C76" i="546"/>
  <c r="S33" i="535"/>
  <c r="M26" i="387"/>
  <c r="AO25" i="531" a="1"/>
  <c r="S71" i="535"/>
  <c r="R108"/>
  <c r="AJ26" i="300" a="1"/>
  <c r="S185" i="535"/>
  <c r="T187"/>
  <c r="L25" i="64"/>
  <c r="AA6" i="468" a="1"/>
  <c r="P13" i="349"/>
  <c r="E132" i="535"/>
  <c r="E20" i="517" a="1"/>
  <c r="J7" i="440"/>
  <c r="T135" i="535"/>
  <c r="D29" i="536"/>
  <c r="AR33" i="302" a="1"/>
  <c r="H9" i="388"/>
  <c r="H10" i="289"/>
  <c r="E94" i="546"/>
  <c r="AX14" i="535"/>
  <c r="B69" i="546"/>
  <c r="K16" i="370"/>
  <c r="D135" i="535"/>
  <c r="E10" i="611"/>
  <c r="B30" i="338"/>
  <c r="C10" i="59"/>
  <c r="N21" i="573"/>
  <c r="D204" i="535"/>
  <c r="U86"/>
  <c r="D17" i="350"/>
  <c r="E31" i="611"/>
  <c r="I16" i="562"/>
  <c r="AB6" i="468" a="1"/>
  <c r="E11" i="536"/>
  <c r="E51" i="535"/>
  <c r="B16" i="570"/>
  <c r="C103" i="536"/>
  <c r="S146" i="535"/>
  <c r="U31"/>
  <c r="C90" i="536"/>
  <c r="B36"/>
  <c r="L7" i="349"/>
  <c r="F35" i="536"/>
  <c r="F89"/>
  <c r="F23" i="583"/>
  <c r="B75" i="535"/>
  <c r="C44" i="536"/>
  <c r="U42" i="535"/>
  <c r="D9" i="407"/>
  <c r="B91" i="546"/>
  <c r="C101"/>
  <c r="S206" i="535"/>
  <c r="B91" i="536"/>
  <c r="AJ13" i="440"/>
  <c r="R135" i="535"/>
  <c r="B202"/>
  <c r="S208"/>
  <c r="Y6" i="494"/>
  <c r="N9"/>
  <c r="E14" i="536"/>
  <c r="U45" i="535"/>
  <c r="I6" i="46"/>
  <c r="B23" i="536"/>
  <c r="Q96" i="463" a="1"/>
  <c r="G18" i="610"/>
  <c r="AE3" i="531" a="1"/>
  <c r="B34" i="546"/>
  <c r="C53"/>
  <c r="K16" i="448" a="1"/>
  <c r="E102" i="546"/>
  <c r="B4" i="73" a="1"/>
  <c r="G5" i="467" a="1"/>
  <c r="R101" i="535"/>
  <c r="I11" i="388"/>
  <c r="E12" i="613"/>
  <c r="D91" i="546"/>
  <c r="C182" i="535"/>
  <c r="T201"/>
  <c r="G6" i="456" a="1"/>
  <c r="B9" i="546"/>
  <c r="F59" i="536"/>
  <c r="I28" i="406"/>
  <c r="S12" i="423"/>
  <c r="F82" i="536"/>
  <c r="R142" i="535"/>
  <c r="F20" i="392"/>
  <c r="E42" i="536"/>
  <c r="K11" i="613"/>
  <c r="C32" i="546"/>
  <c r="I40" i="478"/>
  <c r="D12" i="71"/>
  <c r="I27" i="406"/>
  <c r="U43" i="535"/>
  <c r="AB12" i="200"/>
  <c r="B11" i="535"/>
  <c r="K26" i="567"/>
  <c r="E11" i="450" a="1"/>
  <c r="J10" i="407"/>
  <c r="K40" i="613"/>
  <c r="R24" i="75"/>
  <c r="L8" i="351"/>
  <c r="E17" i="518" a="1"/>
  <c r="R151" i="535"/>
  <c r="Q32" i="216"/>
  <c r="B104" i="535"/>
  <c r="I25" i="356"/>
  <c r="D82" i="546"/>
  <c r="C46" i="536"/>
  <c r="D87"/>
  <c r="E196" i="535"/>
  <c r="P17" i="529" a="1"/>
  <c r="T24" i="535"/>
  <c r="F33" i="339" a="1"/>
  <c r="N5" i="348"/>
  <c r="S174" i="535"/>
  <c r="M13" i="320"/>
  <c r="K14" i="347"/>
  <c r="D15" i="350"/>
  <c r="U24" i="75"/>
  <c r="I23" i="356"/>
  <c r="S24" i="486"/>
  <c r="B188" i="535"/>
  <c r="F16" i="582" a="1"/>
  <c r="S129" i="535"/>
  <c r="C54" i="536"/>
  <c r="B93" i="546"/>
  <c r="E108"/>
  <c r="I12" i="404"/>
  <c r="K8" i="489"/>
  <c r="C152" i="535"/>
  <c r="A5" i="298" a="1"/>
  <c r="U99" i="535"/>
  <c r="Y6" i="495" a="1"/>
  <c r="S73" i="535"/>
  <c r="C62" i="536"/>
  <c r="T18" i="215"/>
  <c r="J14" i="342"/>
  <c r="C52" i="536"/>
  <c r="S55" i="535"/>
  <c r="U32" i="216"/>
  <c r="S106" i="535"/>
  <c r="E49"/>
  <c r="D89" i="536"/>
  <c r="AN10" i="256"/>
  <c r="D10" i="613"/>
  <c r="J8" i="349"/>
  <c r="K21" i="431" a="1"/>
  <c r="J13" i="583"/>
  <c r="N7" i="494"/>
  <c r="H14" i="57"/>
  <c r="L11" i="568"/>
  <c r="H20" i="611"/>
  <c r="D71" i="536"/>
  <c r="R168" i="535"/>
  <c r="D8" i="572"/>
  <c r="B35" i="535"/>
  <c r="F11" i="353"/>
  <c r="Q13" i="420"/>
  <c r="R9" i="535"/>
  <c r="F43" i="536"/>
  <c r="B69"/>
  <c r="E27" i="546"/>
  <c r="C104" i="536"/>
  <c r="S117" i="535"/>
  <c r="G48" i="569"/>
  <c r="C46" i="546"/>
  <c r="B61"/>
  <c r="Y18" i="351"/>
  <c r="R34" i="535"/>
  <c r="U150"/>
  <c r="AD27" i="290"/>
  <c r="L11" i="351"/>
  <c r="C22" i="392"/>
  <c r="U79" i="535"/>
  <c r="Z24" i="447"/>
  <c r="K20" i="353"/>
  <c r="D23" i="535"/>
  <c r="K46" i="604"/>
  <c r="T122" i="535"/>
  <c r="E20" i="522"/>
  <c r="C91" i="546"/>
  <c r="L29" i="64"/>
  <c r="L14" i="347"/>
  <c r="D22" i="535"/>
  <c r="D137"/>
  <c r="Q20" i="550"/>
  <c r="B12" i="248"/>
  <c r="R23" i="535"/>
  <c r="D32" i="76"/>
  <c r="C23" i="536"/>
  <c r="E16" i="348"/>
  <c r="T92" i="535"/>
  <c r="T168"/>
  <c r="F6" i="602"/>
  <c r="K46" i="339" a="1"/>
  <c r="U14" i="535"/>
  <c r="D181"/>
  <c r="U158"/>
  <c r="D89" i="546"/>
  <c r="D177" i="535"/>
  <c r="AA17" i="56"/>
  <c r="T89" i="535"/>
  <c r="T157"/>
  <c r="C8" i="59"/>
  <c r="B44" i="536"/>
  <c r="T101" i="535"/>
  <c r="F32" i="353"/>
  <c r="X20" i="466" a="1"/>
  <c r="D75" i="536"/>
  <c r="M26" i="339"/>
  <c r="E7" i="580"/>
  <c r="E13" i="350"/>
  <c r="I20" i="46"/>
  <c r="C107" i="535"/>
  <c r="C28" i="536"/>
  <c r="C86" i="546"/>
  <c r="U144" i="535"/>
  <c r="E36" i="536"/>
  <c r="K13" i="489"/>
  <c r="K33" i="613"/>
  <c r="I24" i="356"/>
  <c r="T22" i="535"/>
  <c r="W25" i="297" a="1"/>
  <c r="D18" i="71"/>
  <c r="E5" i="498" a="1"/>
  <c r="P18" i="215"/>
  <c r="U123" i="535"/>
  <c r="Q20" i="406"/>
  <c r="F9" i="353"/>
  <c r="D145" i="535"/>
  <c r="C56"/>
  <c r="I17" i="341" a="1"/>
  <c r="P20" i="529" a="1"/>
  <c r="N5" i="494"/>
  <c r="S177" i="535"/>
  <c r="C15"/>
  <c r="H13" i="57"/>
  <c r="K17" i="604"/>
  <c r="D23"/>
  <c r="D78" i="536"/>
  <c r="T19" i="535"/>
  <c r="B23"/>
  <c r="R90"/>
  <c r="E89" i="536"/>
  <c r="E129" i="535"/>
  <c r="B74" i="536"/>
  <c r="O8" i="349"/>
  <c r="E11" i="516" a="1"/>
  <c r="H17" i="613"/>
  <c r="E8" i="347"/>
  <c r="P9" i="351"/>
  <c r="B145" i="535"/>
  <c r="D8" i="536"/>
  <c r="E35" i="535"/>
  <c r="T155"/>
  <c r="E12" i="546"/>
  <c r="F106" i="536"/>
  <c r="U20" i="56"/>
  <c r="E41" i="546"/>
  <c r="E5" i="414" a="1"/>
  <c r="AN13" i="535"/>
  <c r="U94"/>
  <c r="K6" i="289"/>
  <c r="C67" i="536"/>
  <c r="J8" i="351"/>
  <c r="AH8" i="447"/>
  <c r="P18" i="528"/>
  <c r="C105" i="536"/>
  <c r="U18" i="353"/>
  <c r="D12" i="46"/>
  <c r="D5" i="582"/>
  <c r="E6" i="604"/>
  <c r="S193" i="535"/>
  <c r="R153"/>
  <c r="D30" i="536"/>
  <c r="W9" i="387"/>
  <c r="U184" i="535"/>
  <c r="C50" i="546"/>
  <c r="C27" i="536"/>
  <c r="R137" i="535"/>
  <c r="G5" i="414" a="1"/>
  <c r="E113" i="535"/>
  <c r="H18" i="316"/>
  <c r="C15" i="536"/>
  <c r="H10" i="387"/>
  <c r="P6" i="351"/>
  <c r="E18" i="517" a="1"/>
  <c r="J34" i="584"/>
  <c r="J14" i="583"/>
  <c r="B13" i="546"/>
  <c r="E93" i="535"/>
  <c r="AO3" i="531" a="1"/>
  <c r="B77" i="535"/>
  <c r="G23" i="422"/>
  <c r="C9" i="535"/>
  <c r="D76" i="536"/>
  <c r="U25" i="56"/>
  <c r="O14" i="356"/>
  <c r="C178" i="535"/>
  <c r="D59" i="546"/>
  <c r="K21" i="470" a="1"/>
  <c r="E28" i="613"/>
  <c r="E103" i="536"/>
  <c r="U30" i="535"/>
  <c r="R31" i="216"/>
  <c r="B10" i="535"/>
  <c r="I5" i="46"/>
  <c r="E6" i="350"/>
  <c r="C196" i="535"/>
  <c r="C166"/>
  <c r="P10" i="420"/>
  <c r="U143" i="535"/>
  <c r="C94" i="546"/>
  <c r="K10" i="347"/>
  <c r="R7" i="462" a="1"/>
  <c r="U166" i="535"/>
  <c r="T56"/>
  <c r="E167"/>
  <c r="T128"/>
  <c r="O9" i="563"/>
  <c r="AB8" i="64"/>
  <c r="N25" i="508" a="1"/>
  <c r="E142" i="535"/>
  <c r="M4" i="15" a="1"/>
  <c r="R5" i="76"/>
  <c r="M12" i="351"/>
  <c r="E57" i="546"/>
  <c r="D41" i="535"/>
  <c r="U102"/>
  <c r="F78" i="536"/>
  <c r="E208" i="535"/>
  <c r="B55" i="536"/>
  <c r="H12" i="559"/>
  <c r="R32" i="216"/>
  <c r="C154" i="535"/>
  <c r="H24" i="589"/>
  <c r="F17" i="352"/>
  <c r="D17" i="360"/>
  <c r="U140" i="535"/>
  <c r="J5" i="448" a="1"/>
  <c r="AD4" i="494" a="1"/>
  <c r="G10" i="547"/>
  <c r="S3" i="420" a="1"/>
  <c r="D8" i="350"/>
  <c r="B63" i="546"/>
  <c r="O11" i="351"/>
  <c r="D26" i="604"/>
  <c r="C9" i="536"/>
  <c r="J9" i="349"/>
  <c r="S62" i="535"/>
  <c r="T21" i="50"/>
  <c r="O9" i="349"/>
  <c r="E36" i="462" a="1"/>
  <c r="D7" i="360"/>
  <c r="C80" i="536"/>
  <c r="B47" i="535"/>
  <c r="C199"/>
  <c r="T200"/>
  <c r="I17" i="406"/>
  <c r="D52" i="535"/>
  <c r="E13" i="347"/>
  <c r="E8" i="348"/>
  <c r="S31" i="535"/>
  <c r="R14" i="44"/>
  <c r="Y3" i="457" a="1"/>
  <c r="D27" i="604"/>
  <c r="D68" i="546"/>
  <c r="C20" i="476" a="1"/>
  <c r="E43" i="546"/>
  <c r="J10" i="611"/>
  <c r="AA31" i="56"/>
  <c r="C55" i="536"/>
  <c r="E22" i="535"/>
  <c r="E74" i="536"/>
  <c r="Q8" i="351"/>
  <c r="E9" i="516" a="1"/>
  <c r="S17" i="486" a="1"/>
  <c r="K10" i="448" a="1"/>
  <c r="J39" i="584"/>
  <c r="F27" i="353"/>
  <c r="E166" i="535"/>
  <c r="D19" i="546"/>
  <c r="U137" i="535"/>
  <c r="P9" i="420"/>
  <c r="C12" i="535"/>
  <c r="U193"/>
  <c r="G8" i="387"/>
  <c r="L10" i="347"/>
  <c r="H6" i="387"/>
  <c r="T167" i="535"/>
  <c r="O12" i="420"/>
  <c r="K13" i="604"/>
  <c r="E34" i="535"/>
  <c r="B189"/>
  <c r="D14" i="46"/>
  <c r="A25" i="531" a="1"/>
  <c r="Y7" i="494"/>
  <c r="I21" i="417" a="1"/>
  <c r="C8" i="535"/>
  <c r="E29" i="546"/>
  <c r="C70"/>
  <c r="D8" i="71"/>
  <c r="P5" i="414" a="1"/>
  <c r="E72" i="536"/>
  <c r="E8" i="517" a="1"/>
  <c r="Q10" i="349"/>
  <c r="T4" i="510" a="1"/>
  <c r="R7" i="467" a="1"/>
  <c r="E66" i="536"/>
  <c r="C11" i="546"/>
  <c r="C159" i="535"/>
  <c r="C69" i="536"/>
  <c r="E12" i="517" a="1"/>
  <c r="G26" i="189"/>
  <c r="B130" i="535"/>
  <c r="S194"/>
  <c r="S36"/>
  <c r="E156"/>
  <c r="C7" i="582"/>
  <c r="N17" i="494"/>
  <c r="D27" i="572"/>
  <c r="S172" i="535"/>
  <c r="E74" i="546"/>
  <c r="C9"/>
  <c r="B8" i="535"/>
  <c r="D13" i="347"/>
  <c r="U134" i="535"/>
  <c r="C19" i="476" a="1"/>
  <c r="C23" i="496"/>
  <c r="B49" i="546"/>
  <c r="U206" i="535"/>
  <c r="S152"/>
  <c r="E11" i="604"/>
  <c r="K15" i="352"/>
  <c r="U171" i="535"/>
  <c r="S9" i="494"/>
  <c r="K23" i="470" l="1"/>
  <c r="L21"/>
  <c r="M24"/>
  <c r="K22"/>
  <c r="L24"/>
  <c r="K24"/>
  <c r="M23"/>
  <c r="L22"/>
  <c r="M22"/>
  <c r="L23"/>
  <c r="K21"/>
  <c r="M21"/>
  <c r="G72" i="339"/>
  <c r="I73"/>
  <c r="I72"/>
  <c r="H72"/>
  <c r="H71"/>
  <c r="H73"/>
  <c r="G70"/>
  <c r="I71"/>
  <c r="H70"/>
  <c r="I70"/>
  <c r="G73"/>
  <c r="G71"/>
  <c r="P6" i="607"/>
  <c r="Q12"/>
  <c r="P8"/>
  <c r="P9"/>
  <c r="Q8"/>
  <c r="Q6"/>
  <c r="P11"/>
  <c r="P10"/>
  <c r="Q9"/>
  <c r="Q10"/>
  <c r="P7"/>
  <c r="Q7"/>
  <c r="Q11"/>
  <c r="P12"/>
  <c r="AF11" i="460"/>
  <c r="AF14"/>
  <c r="AF10"/>
  <c r="AE8"/>
  <c r="AD7"/>
  <c r="AE15"/>
  <c r="AE11"/>
  <c r="AD10"/>
  <c r="AD12"/>
  <c r="AE14"/>
  <c r="AE12"/>
  <c r="AD8"/>
  <c r="AE7"/>
  <c r="AF16"/>
  <c r="AD16"/>
  <c r="AE16"/>
  <c r="AF9"/>
  <c r="AE10"/>
  <c r="AD9"/>
  <c r="AD14"/>
  <c r="AF13"/>
  <c r="AF8"/>
  <c r="AF7"/>
  <c r="AD15"/>
  <c r="AD11"/>
  <c r="AF12"/>
  <c r="AE13"/>
  <c r="AD13"/>
  <c r="AF15"/>
  <c r="AE9"/>
  <c r="E21" i="517"/>
  <c r="K23" i="431"/>
  <c r="K21"/>
  <c r="K22"/>
  <c r="D11" i="62"/>
  <c r="E10"/>
  <c r="D7"/>
  <c r="E5"/>
  <c r="D10"/>
  <c r="D12"/>
  <c r="E8"/>
  <c r="E15"/>
  <c r="D4"/>
  <c r="D13"/>
  <c r="E4"/>
  <c r="E18"/>
  <c r="E9"/>
  <c r="D8"/>
  <c r="D15"/>
  <c r="D14"/>
  <c r="E11"/>
  <c r="E17"/>
  <c r="E12"/>
  <c r="D16"/>
  <c r="E16"/>
  <c r="D5"/>
  <c r="D6"/>
  <c r="E7"/>
  <c r="E6"/>
  <c r="D9"/>
  <c r="D18"/>
  <c r="D17"/>
  <c r="E13"/>
  <c r="E14"/>
  <c r="AJ8" i="523"/>
  <c r="AJ9"/>
  <c r="AM21"/>
  <c r="AJ7"/>
  <c r="AJ18"/>
  <c r="AJ13"/>
  <c r="AJ19"/>
  <c r="AJ11"/>
  <c r="AM13"/>
  <c r="AL13"/>
  <c r="AM14"/>
  <c r="AK10"/>
  <c r="AK19"/>
  <c r="AM22"/>
  <c r="AK23"/>
  <c r="AL19"/>
  <c r="AL15"/>
  <c r="AK17"/>
  <c r="AJ6"/>
  <c r="AJ10"/>
  <c r="AJ5"/>
  <c r="AK7"/>
  <c r="AM19"/>
  <c r="AJ14"/>
  <c r="AL18"/>
  <c r="AL14"/>
  <c r="AL12"/>
  <c r="AL4"/>
  <c r="AL8"/>
  <c r="AL6"/>
  <c r="AK11"/>
  <c r="AL20"/>
  <c r="AM12"/>
  <c r="AJ4"/>
  <c r="AM10"/>
  <c r="AJ12"/>
  <c r="AJ23"/>
  <c r="AK6"/>
  <c r="AK9"/>
  <c r="AL11"/>
  <c r="AM3"/>
  <c r="AK14"/>
  <c r="AL17"/>
  <c r="AK20"/>
  <c r="AM20"/>
  <c r="AK12"/>
  <c r="AL21"/>
  <c r="AM16"/>
  <c r="AK22"/>
  <c r="AK8"/>
  <c r="AM15"/>
  <c r="AJ17"/>
  <c r="AM18"/>
  <c r="AK13"/>
  <c r="AJ3"/>
  <c r="AM9"/>
  <c r="AL5"/>
  <c r="AM11"/>
  <c r="AL10"/>
  <c r="AL22"/>
  <c r="AM23"/>
  <c r="AM8"/>
  <c r="AK3"/>
  <c r="AK21"/>
  <c r="AL3"/>
  <c r="AK16"/>
  <c r="AL7"/>
  <c r="AK18"/>
  <c r="AK15"/>
  <c r="AJ22"/>
  <c r="AK4"/>
  <c r="AL16"/>
  <c r="AM17"/>
  <c r="AL9"/>
  <c r="AM7"/>
  <c r="AJ16"/>
  <c r="AJ21"/>
  <c r="AM6"/>
  <c r="AM4"/>
  <c r="AJ15"/>
  <c r="AM5"/>
  <c r="AK5"/>
  <c r="AJ20"/>
  <c r="AL23"/>
  <c r="E10" i="518"/>
  <c r="AB12" i="467"/>
  <c r="AA11"/>
  <c r="AA12"/>
  <c r="AB13"/>
  <c r="AC14"/>
  <c r="AC11"/>
  <c r="AB11"/>
  <c r="AC12"/>
  <c r="AA14"/>
  <c r="AA13"/>
  <c r="AC13"/>
  <c r="AB14"/>
  <c r="Q96" i="463"/>
  <c r="Q100"/>
  <c r="R101"/>
  <c r="R98"/>
  <c r="Q99"/>
  <c r="R96"/>
  <c r="R102"/>
  <c r="Q98"/>
  <c r="R97"/>
  <c r="R99"/>
  <c r="Q97"/>
  <c r="Q102"/>
  <c r="Q101"/>
  <c r="R100"/>
  <c r="F50"/>
  <c r="H49"/>
  <c r="F49"/>
  <c r="G50"/>
  <c r="F51"/>
  <c r="H50"/>
  <c r="G49"/>
  <c r="H51"/>
  <c r="G51"/>
  <c r="K18" i="339"/>
  <c r="K19"/>
  <c r="K20"/>
  <c r="H22" i="606"/>
  <c r="H21"/>
  <c r="H19"/>
  <c r="H20"/>
  <c r="D19" i="476"/>
  <c r="C19"/>
  <c r="F19"/>
  <c r="E19"/>
  <c r="N5" i="505"/>
  <c r="Q3"/>
  <c r="P17"/>
  <c r="Q8"/>
  <c r="O4"/>
  <c r="P19"/>
  <c r="N17"/>
  <c r="Q21"/>
  <c r="P15"/>
  <c r="Q10"/>
  <c r="Q18"/>
  <c r="O11"/>
  <c r="Q23"/>
  <c r="Q17"/>
  <c r="Q9"/>
  <c r="Q22"/>
  <c r="Q16"/>
  <c r="O13"/>
  <c r="N22"/>
  <c r="O22"/>
  <c r="N13"/>
  <c r="Q7"/>
  <c r="N12"/>
  <c r="P6"/>
  <c r="O23"/>
  <c r="O9"/>
  <c r="O19"/>
  <c r="N8"/>
  <c r="O20"/>
  <c r="O7"/>
  <c r="O8"/>
  <c r="N20"/>
  <c r="Q5"/>
  <c r="O3"/>
  <c r="N10"/>
  <c r="O14"/>
  <c r="Q12"/>
  <c r="Q13"/>
  <c r="P23"/>
  <c r="P16"/>
  <c r="N9"/>
  <c r="N7"/>
  <c r="P18"/>
  <c r="N21"/>
  <c r="P3"/>
  <c r="P21"/>
  <c r="O21"/>
  <c r="Q14"/>
  <c r="Q20"/>
  <c r="P10"/>
  <c r="N19"/>
  <c r="P14"/>
  <c r="P12"/>
  <c r="N15"/>
  <c r="O6"/>
  <c r="O15"/>
  <c r="N16"/>
  <c r="N18"/>
  <c r="O18"/>
  <c r="O5"/>
  <c r="N11"/>
  <c r="Q6"/>
  <c r="P4"/>
  <c r="N6"/>
  <c r="O12"/>
  <c r="N3"/>
  <c r="O17"/>
  <c r="N4"/>
  <c r="P13"/>
  <c r="Q19"/>
  <c r="P20"/>
  <c r="P7"/>
  <c r="O16"/>
  <c r="N23"/>
  <c r="Q15"/>
  <c r="P9"/>
  <c r="Q11"/>
  <c r="P11"/>
  <c r="N14"/>
  <c r="P8"/>
  <c r="P5"/>
  <c r="P22"/>
  <c r="Q4"/>
  <c r="O10"/>
  <c r="J5" i="504"/>
  <c r="G7"/>
  <c r="I7"/>
  <c r="K5"/>
  <c r="L6"/>
  <c r="K7"/>
  <c r="L5"/>
  <c r="K6"/>
  <c r="H6"/>
  <c r="I6"/>
  <c r="G6"/>
  <c r="J6"/>
  <c r="L7"/>
  <c r="G5"/>
  <c r="H7"/>
  <c r="I5"/>
  <c r="J7"/>
  <c r="H5"/>
  <c r="G6" i="467"/>
  <c r="H5"/>
  <c r="G7"/>
  <c r="H6"/>
  <c r="G5"/>
  <c r="H7"/>
  <c r="U6" i="555"/>
  <c r="U8"/>
  <c r="U9"/>
  <c r="U7"/>
  <c r="U5"/>
  <c r="U10"/>
  <c r="C40" i="440"/>
  <c r="B43"/>
  <c r="C44"/>
  <c r="B41"/>
  <c r="B42"/>
  <c r="C39"/>
  <c r="B40"/>
  <c r="C41"/>
  <c r="B39"/>
  <c r="B44"/>
  <c r="C43"/>
  <c r="C42"/>
  <c r="S5" i="467"/>
  <c r="T5"/>
  <c r="R5"/>
  <c r="K18" i="341"/>
  <c r="I19"/>
  <c r="J17"/>
  <c r="I17"/>
  <c r="I18"/>
  <c r="K19"/>
  <c r="J19"/>
  <c r="J18"/>
  <c r="K17"/>
  <c r="B34" i="440"/>
  <c r="C34"/>
  <c r="B32"/>
  <c r="C30"/>
  <c r="C35"/>
  <c r="B30"/>
  <c r="B33"/>
  <c r="B31"/>
  <c r="C31"/>
  <c r="C33"/>
  <c r="B35"/>
  <c r="C32"/>
  <c r="J65" i="339"/>
  <c r="J64"/>
  <c r="H65"/>
  <c r="M66"/>
  <c r="H64"/>
  <c r="M65"/>
  <c r="I64"/>
  <c r="L65"/>
  <c r="L66"/>
  <c r="I65"/>
  <c r="J66"/>
  <c r="K65"/>
  <c r="H66"/>
  <c r="M64"/>
  <c r="I66"/>
  <c r="K66"/>
  <c r="K64"/>
  <c r="L64"/>
  <c r="V5" i="514"/>
  <c r="U5"/>
  <c r="X6"/>
  <c r="V7"/>
  <c r="U4"/>
  <c r="V4"/>
  <c r="U6"/>
  <c r="U7"/>
  <c r="X5"/>
  <c r="V6"/>
  <c r="W5"/>
  <c r="X4"/>
  <c r="W7"/>
  <c r="W4"/>
  <c r="X7"/>
  <c r="W6"/>
  <c r="P18" i="529"/>
  <c r="P11"/>
  <c r="O17" i="473"/>
  <c r="N18"/>
  <c r="N15"/>
  <c r="N17"/>
  <c r="O18"/>
  <c r="N16"/>
  <c r="O16"/>
  <c r="O15"/>
  <c r="L59" i="339"/>
  <c r="I59"/>
  <c r="I60"/>
  <c r="M60"/>
  <c r="H60"/>
  <c r="K58"/>
  <c r="L60"/>
  <c r="K60"/>
  <c r="H58"/>
  <c r="H59"/>
  <c r="M58"/>
  <c r="J59"/>
  <c r="J58"/>
  <c r="L58"/>
  <c r="I58"/>
  <c r="K59"/>
  <c r="J60"/>
  <c r="M59"/>
  <c r="K7" i="420"/>
  <c r="K3"/>
  <c r="G13"/>
  <c r="G6"/>
  <c r="K14"/>
  <c r="G14"/>
  <c r="H14"/>
  <c r="G3"/>
  <c r="H11"/>
  <c r="G4"/>
  <c r="H10"/>
  <c r="G8"/>
  <c r="K6"/>
  <c r="K8"/>
  <c r="H3"/>
  <c r="J10"/>
  <c r="H9"/>
  <c r="J9"/>
  <c r="I7"/>
  <c r="G11"/>
  <c r="I12"/>
  <c r="K10"/>
  <c r="J6"/>
  <c r="J7"/>
  <c r="H12"/>
  <c r="K4"/>
  <c r="H13"/>
  <c r="H6"/>
  <c r="J12"/>
  <c r="K9"/>
  <c r="G5"/>
  <c r="H8"/>
  <c r="J11"/>
  <c r="I13"/>
  <c r="J8"/>
  <c r="K5"/>
  <c r="I4"/>
  <c r="J14"/>
  <c r="I11"/>
  <c r="I8"/>
  <c r="G12"/>
  <c r="J3"/>
  <c r="H7"/>
  <c r="I5"/>
  <c r="I10"/>
  <c r="K12"/>
  <c r="K13"/>
  <c r="G10"/>
  <c r="H5"/>
  <c r="K11"/>
  <c r="J5"/>
  <c r="G9"/>
  <c r="H4"/>
  <c r="J4"/>
  <c r="I6"/>
  <c r="J13"/>
  <c r="I9"/>
  <c r="I3"/>
  <c r="I14"/>
  <c r="G7"/>
  <c r="F7" i="556"/>
  <c r="F6"/>
  <c r="E7"/>
  <c r="F8"/>
  <c r="E9"/>
  <c r="E10"/>
  <c r="E5"/>
  <c r="E8"/>
  <c r="F9"/>
  <c r="F5"/>
  <c r="F10"/>
  <c r="E6"/>
  <c r="D30" i="613"/>
  <c r="H23" s="1"/>
  <c r="H24" s="1"/>
  <c r="H28" s="1"/>
  <c r="S19" i="499"/>
  <c r="S20"/>
  <c r="I6" i="303"/>
  <c r="I9"/>
  <c r="J9"/>
  <c r="G7"/>
  <c r="H6"/>
  <c r="K7"/>
  <c r="K6"/>
  <c r="J6"/>
  <c r="G6"/>
  <c r="K8"/>
  <c r="I8"/>
  <c r="J8"/>
  <c r="G8"/>
  <c r="K9"/>
  <c r="I7"/>
  <c r="J7"/>
  <c r="H9"/>
  <c r="H8"/>
  <c r="G5"/>
  <c r="H7"/>
  <c r="G9"/>
  <c r="K5"/>
  <c r="J5"/>
  <c r="I5"/>
  <c r="H5"/>
  <c r="S17" i="489"/>
  <c r="T16"/>
  <c r="S13"/>
  <c r="T13"/>
  <c r="T15"/>
  <c r="T14"/>
  <c r="T18"/>
  <c r="S14"/>
  <c r="S16"/>
  <c r="T17"/>
  <c r="S15"/>
  <c r="S19"/>
  <c r="T19"/>
  <c r="S18"/>
  <c r="AE10" i="531"/>
  <c r="AE3"/>
  <c r="AH16"/>
  <c r="AF17"/>
  <c r="AF13"/>
  <c r="AF11"/>
  <c r="AF3"/>
  <c r="AG18"/>
  <c r="AE11"/>
  <c r="AE22"/>
  <c r="AE23"/>
  <c r="AG14"/>
  <c r="AF15"/>
  <c r="AG17"/>
  <c r="AG13"/>
  <c r="AG11"/>
  <c r="AG3"/>
  <c r="AH12"/>
  <c r="AH8"/>
  <c r="AH10"/>
  <c r="AH18"/>
  <c r="AG15"/>
  <c r="AE16"/>
  <c r="AH22"/>
  <c r="AG6"/>
  <c r="AE17"/>
  <c r="AG10"/>
  <c r="AF6"/>
  <c r="AH6"/>
  <c r="AE19"/>
  <c r="AE5"/>
  <c r="AH9"/>
  <c r="AF9"/>
  <c r="AF8"/>
  <c r="AE14"/>
  <c r="AF20"/>
  <c r="AG9"/>
  <c r="AH7"/>
  <c r="AF16"/>
  <c r="AH21"/>
  <c r="AG21"/>
  <c r="AE15"/>
  <c r="AH20"/>
  <c r="AE8"/>
  <c r="AF21"/>
  <c r="AG12"/>
  <c r="AH14"/>
  <c r="AE18"/>
  <c r="AE7"/>
  <c r="AH3"/>
  <c r="AF10"/>
  <c r="AG23"/>
  <c r="AH4"/>
  <c r="AG8"/>
  <c r="AE4"/>
  <c r="AH23"/>
  <c r="AG22"/>
  <c r="AE6"/>
  <c r="AE12"/>
  <c r="AG19"/>
  <c r="AG5"/>
  <c r="AE20"/>
  <c r="AH5"/>
  <c r="AH17"/>
  <c r="AE13"/>
  <c r="AG7"/>
  <c r="AH13"/>
  <c r="AF7"/>
  <c r="AF14"/>
  <c r="AF19"/>
  <c r="AF22"/>
  <c r="AH11"/>
  <c r="AG4"/>
  <c r="AF18"/>
  <c r="AG20"/>
  <c r="AE9"/>
  <c r="AH15"/>
  <c r="AF4"/>
  <c r="AF12"/>
  <c r="AG16"/>
  <c r="AE21"/>
  <c r="AF23"/>
  <c r="AF5"/>
  <c r="AH19"/>
  <c r="N12" i="509"/>
  <c r="O17"/>
  <c r="P15"/>
  <c r="O15"/>
  <c r="M13"/>
  <c r="Q17"/>
  <c r="Q13"/>
  <c r="P12"/>
  <c r="O14"/>
  <c r="N15"/>
  <c r="Q14"/>
  <c r="O12"/>
  <c r="N13"/>
  <c r="M15"/>
  <c r="M17"/>
  <c r="M12"/>
  <c r="P16"/>
  <c r="O13"/>
  <c r="P17"/>
  <c r="Q16"/>
  <c r="M14"/>
  <c r="O16"/>
  <c r="N16"/>
  <c r="Q12"/>
  <c r="N17"/>
  <c r="P13"/>
  <c r="P14"/>
  <c r="Q15"/>
  <c r="N14"/>
  <c r="M16"/>
  <c r="AE7" i="494"/>
  <c r="AD5"/>
  <c r="AE5"/>
  <c r="AE4"/>
  <c r="AE6"/>
  <c r="AD8"/>
  <c r="AE9"/>
  <c r="AD10"/>
  <c r="AD9"/>
  <c r="AD7"/>
  <c r="AE8"/>
  <c r="AE10"/>
  <c r="AD6"/>
  <c r="AD4"/>
  <c r="R52" i="463"/>
  <c r="R51"/>
  <c r="AM13" i="356"/>
  <c r="AM10"/>
  <c r="AN9"/>
  <c r="AN10"/>
  <c r="AM7"/>
  <c r="AM12"/>
  <c r="AN12"/>
  <c r="AN7"/>
  <c r="AN5"/>
  <c r="AM9"/>
  <c r="AM11"/>
  <c r="AN11"/>
  <c r="AM8"/>
  <c r="AN8"/>
  <c r="AM5"/>
  <c r="AM6"/>
  <c r="AN13"/>
  <c r="AN6"/>
  <c r="G21" i="427"/>
  <c r="G19"/>
  <c r="G20"/>
  <c r="F17" i="477"/>
  <c r="F18"/>
  <c r="F16"/>
  <c r="Q26" i="509"/>
  <c r="P22"/>
  <c r="O21"/>
  <c r="P23"/>
  <c r="M23"/>
  <c r="Q23"/>
  <c r="Q24"/>
  <c r="N24"/>
  <c r="P26"/>
  <c r="P24"/>
  <c r="N21"/>
  <c r="M24"/>
  <c r="O26"/>
  <c r="N22"/>
  <c r="M25"/>
  <c r="O24"/>
  <c r="O23"/>
  <c r="N23"/>
  <c r="N26"/>
  <c r="Q25"/>
  <c r="Q21"/>
  <c r="M22"/>
  <c r="P21"/>
  <c r="Q22"/>
  <c r="N25"/>
  <c r="P25"/>
  <c r="O25"/>
  <c r="O22"/>
  <c r="M26"/>
  <c r="M21"/>
  <c r="P10" i="414"/>
  <c r="P8"/>
  <c r="P11"/>
  <c r="P12"/>
  <c r="P16"/>
  <c r="P9"/>
  <c r="P13"/>
  <c r="P7"/>
  <c r="P15"/>
  <c r="P14"/>
  <c r="P5"/>
  <c r="P6"/>
  <c r="T7" i="450"/>
  <c r="T5"/>
  <c r="V11"/>
  <c r="T10"/>
  <c r="S6"/>
  <c r="S4"/>
  <c r="V10"/>
  <c r="S10"/>
  <c r="S7"/>
  <c r="T11"/>
  <c r="V7"/>
  <c r="V9"/>
  <c r="V4"/>
  <c r="U5"/>
  <c r="S11"/>
  <c r="S5"/>
  <c r="V8"/>
  <c r="T6"/>
  <c r="U9"/>
  <c r="T9"/>
  <c r="U4"/>
  <c r="U10"/>
  <c r="T3"/>
  <c r="U6"/>
  <c r="S3"/>
  <c r="V3"/>
  <c r="V5"/>
  <c r="T8"/>
  <c r="V6"/>
  <c r="U11"/>
  <c r="U7"/>
  <c r="U8"/>
  <c r="U3"/>
  <c r="T4"/>
  <c r="S8"/>
  <c r="S9"/>
  <c r="C20" i="476"/>
  <c r="F20"/>
  <c r="D20"/>
  <c r="E20"/>
  <c r="G6" i="455"/>
  <c r="G7"/>
  <c r="E6" i="527"/>
  <c r="I14" i="515"/>
  <c r="I15"/>
  <c r="I13"/>
  <c r="K13"/>
  <c r="J15"/>
  <c r="H15"/>
  <c r="J16"/>
  <c r="H14"/>
  <c r="K15"/>
  <c r="K14"/>
  <c r="K16"/>
  <c r="I16"/>
  <c r="H16"/>
  <c r="H13"/>
  <c r="J14"/>
  <c r="J13"/>
  <c r="Z5" i="414"/>
  <c r="Z7"/>
  <c r="Z10"/>
  <c r="Z6"/>
  <c r="Z8"/>
  <c r="Z9"/>
  <c r="E23" i="518"/>
  <c r="Y8" i="585"/>
  <c r="Y6"/>
  <c r="Y7"/>
  <c r="Z6"/>
  <c r="Y5"/>
  <c r="Z5"/>
  <c r="Z7"/>
  <c r="Z8"/>
  <c r="R4" i="330"/>
  <c r="S5"/>
  <c r="P8"/>
  <c r="S6"/>
  <c r="P5"/>
  <c r="R9"/>
  <c r="R7"/>
  <c r="R6"/>
  <c r="Q9"/>
  <c r="Q6"/>
  <c r="S4"/>
  <c r="R8"/>
  <c r="P4"/>
  <c r="R5"/>
  <c r="S7"/>
  <c r="Q8"/>
  <c r="Q7"/>
  <c r="Q5"/>
  <c r="P9"/>
  <c r="S9"/>
  <c r="Q4"/>
  <c r="P7"/>
  <c r="S8"/>
  <c r="P6"/>
  <c r="P12" i="529"/>
  <c r="D16" i="580"/>
  <c r="E18"/>
  <c r="E16"/>
  <c r="D18"/>
  <c r="D19"/>
  <c r="D17"/>
  <c r="E19"/>
  <c r="E17"/>
  <c r="F5" i="498"/>
  <c r="E5"/>
  <c r="T8" i="211"/>
  <c r="U9"/>
  <c r="U10"/>
  <c r="T10"/>
  <c r="U11"/>
  <c r="T9"/>
  <c r="T11"/>
  <c r="U8"/>
  <c r="O6" i="472"/>
  <c r="P9"/>
  <c r="P8"/>
  <c r="O8"/>
  <c r="P6"/>
  <c r="P5"/>
  <c r="O7"/>
  <c r="O9"/>
  <c r="O5"/>
  <c r="P7"/>
  <c r="E4" i="517"/>
  <c r="Q28" i="531"/>
  <c r="S25"/>
  <c r="R25"/>
  <c r="P28"/>
  <c r="R27"/>
  <c r="Q29"/>
  <c r="P26"/>
  <c r="P29"/>
  <c r="P27"/>
  <c r="S26"/>
  <c r="Q27"/>
  <c r="S29"/>
  <c r="R26"/>
  <c r="S27"/>
  <c r="P25"/>
  <c r="Q25"/>
  <c r="R29"/>
  <c r="R28"/>
  <c r="S28"/>
  <c r="Q26"/>
  <c r="E10" i="414"/>
  <c r="E11"/>
  <c r="E13"/>
  <c r="E12"/>
  <c r="E6"/>
  <c r="E8"/>
  <c r="E9"/>
  <c r="E5"/>
  <c r="E15"/>
  <c r="E16"/>
  <c r="E7"/>
  <c r="E14"/>
  <c r="E16" i="516"/>
  <c r="C38" i="76"/>
  <c r="C35"/>
  <c r="C29"/>
  <c r="C36"/>
  <c r="C32"/>
  <c r="C39"/>
  <c r="C30"/>
  <c r="C27"/>
  <c r="C33"/>
  <c r="C31"/>
  <c r="C41"/>
  <c r="C28"/>
  <c r="C40"/>
  <c r="C34"/>
  <c r="C37"/>
  <c r="Q27" i="510"/>
  <c r="P28"/>
  <c r="Q29"/>
  <c r="O25"/>
  <c r="O29"/>
  <c r="N26"/>
  <c r="Q26"/>
  <c r="N25"/>
  <c r="O28"/>
  <c r="N29"/>
  <c r="P27"/>
  <c r="P25"/>
  <c r="P26"/>
  <c r="Q28"/>
  <c r="N28"/>
  <c r="O27"/>
  <c r="N27"/>
  <c r="O26"/>
  <c r="P29"/>
  <c r="Q25"/>
  <c r="V19" i="489"/>
  <c r="V17"/>
  <c r="W13"/>
  <c r="V18"/>
  <c r="V16"/>
  <c r="W17"/>
  <c r="W19"/>
  <c r="V14"/>
  <c r="W16"/>
  <c r="V15"/>
  <c r="W18"/>
  <c r="W15"/>
  <c r="V13"/>
  <c r="W14"/>
  <c r="H47" i="478"/>
  <c r="I48"/>
  <c r="H49"/>
  <c r="I49"/>
  <c r="I47"/>
  <c r="H48"/>
  <c r="P4" i="507"/>
  <c r="P9"/>
  <c r="P3"/>
  <c r="O15"/>
  <c r="Q5"/>
  <c r="O12"/>
  <c r="N18"/>
  <c r="N13"/>
  <c r="Q22"/>
  <c r="N22"/>
  <c r="Q23"/>
  <c r="N14"/>
  <c r="P7"/>
  <c r="O20"/>
  <c r="Q20"/>
  <c r="N10"/>
  <c r="P20"/>
  <c r="Q8"/>
  <c r="P16"/>
  <c r="P15"/>
  <c r="N20"/>
  <c r="P17"/>
  <c r="O14"/>
  <c r="P22"/>
  <c r="O5"/>
  <c r="O7"/>
  <c r="Q3"/>
  <c r="Q9"/>
  <c r="O19"/>
  <c r="Q15"/>
  <c r="Q13"/>
  <c r="Q11"/>
  <c r="O9"/>
  <c r="O13"/>
  <c r="O11"/>
  <c r="Q7"/>
  <c r="N17"/>
  <c r="Q14"/>
  <c r="O23"/>
  <c r="P21"/>
  <c r="P8"/>
  <c r="O21"/>
  <c r="N5"/>
  <c r="P12"/>
  <c r="O3"/>
  <c r="Q16"/>
  <c r="N8"/>
  <c r="P6"/>
  <c r="P18"/>
  <c r="N16"/>
  <c r="Q18"/>
  <c r="N6"/>
  <c r="N3"/>
  <c r="O10"/>
  <c r="Q17"/>
  <c r="Q6"/>
  <c r="N15"/>
  <c r="P11"/>
  <c r="N9"/>
  <c r="P10"/>
  <c r="N19"/>
  <c r="P23"/>
  <c r="N12"/>
  <c r="Q10"/>
  <c r="Q19"/>
  <c r="N21"/>
  <c r="P5"/>
  <c r="O18"/>
  <c r="O6"/>
  <c r="P13"/>
  <c r="O22"/>
  <c r="Q12"/>
  <c r="P14"/>
  <c r="N23"/>
  <c r="O17"/>
  <c r="N7"/>
  <c r="N11"/>
  <c r="N4"/>
  <c r="O4"/>
  <c r="O16"/>
  <c r="Q21"/>
  <c r="P19"/>
  <c r="Q4"/>
  <c r="O8"/>
  <c r="U28" i="523"/>
  <c r="X27"/>
  <c r="V26"/>
  <c r="U27"/>
  <c r="U25"/>
  <c r="X25"/>
  <c r="X26"/>
  <c r="V25"/>
  <c r="W27"/>
  <c r="V28"/>
  <c r="W26"/>
  <c r="U29"/>
  <c r="V27"/>
  <c r="W29"/>
  <c r="U26"/>
  <c r="W25"/>
  <c r="X29"/>
  <c r="V29"/>
  <c r="W28"/>
  <c r="X28"/>
  <c r="M12" i="486"/>
  <c r="M13"/>
  <c r="M14"/>
  <c r="M11"/>
  <c r="AC8" i="341"/>
  <c r="AC13"/>
  <c r="AC5"/>
  <c r="AC14"/>
  <c r="AC6"/>
  <c r="AC9"/>
  <c r="AC10"/>
  <c r="AC11"/>
  <c r="AC12"/>
  <c r="AC4"/>
  <c r="AC7"/>
  <c r="R31" i="463"/>
  <c r="R30"/>
  <c r="E9" i="516"/>
  <c r="K26" i="461"/>
  <c r="K25"/>
  <c r="H25"/>
  <c r="E27"/>
  <c r="L25"/>
  <c r="J25"/>
  <c r="I25"/>
  <c r="J26"/>
  <c r="E26"/>
  <c r="F27"/>
  <c r="I26"/>
  <c r="L26"/>
  <c r="E25"/>
  <c r="G26"/>
  <c r="G27"/>
  <c r="F25"/>
  <c r="G25"/>
  <c r="J27"/>
  <c r="I27"/>
  <c r="H27"/>
  <c r="F26"/>
  <c r="H26"/>
  <c r="L27"/>
  <c r="K27"/>
  <c r="V5" i="459"/>
  <c r="V4"/>
  <c r="S9" i="509"/>
  <c r="S10"/>
  <c r="V23"/>
  <c r="S22"/>
  <c r="V18"/>
  <c r="V7"/>
  <c r="S12"/>
  <c r="V12"/>
  <c r="S16"/>
  <c r="U12"/>
  <c r="U18"/>
  <c r="U15"/>
  <c r="V20"/>
  <c r="S18"/>
  <c r="V9"/>
  <c r="T3"/>
  <c r="V15"/>
  <c r="V14"/>
  <c r="S7"/>
  <c r="S11"/>
  <c r="U11"/>
  <c r="T16"/>
  <c r="T22"/>
  <c r="S15"/>
  <c r="S20"/>
  <c r="V21"/>
  <c r="V8"/>
  <c r="U13"/>
  <c r="S19"/>
  <c r="S17"/>
  <c r="U17"/>
  <c r="U9"/>
  <c r="S14"/>
  <c r="T15"/>
  <c r="S23"/>
  <c r="S13"/>
  <c r="T20"/>
  <c r="T21"/>
  <c r="T4"/>
  <c r="T8"/>
  <c r="T10"/>
  <c r="S3"/>
  <c r="V13"/>
  <c r="V6"/>
  <c r="U16"/>
  <c r="U19"/>
  <c r="U21"/>
  <c r="U6"/>
  <c r="U23"/>
  <c r="T14"/>
  <c r="T18"/>
  <c r="S8"/>
  <c r="T12"/>
  <c r="S21"/>
  <c r="T13"/>
  <c r="T5"/>
  <c r="T6"/>
  <c r="S4"/>
  <c r="V4"/>
  <c r="U8"/>
  <c r="U20"/>
  <c r="T17"/>
  <c r="U14"/>
  <c r="V5"/>
  <c r="V16"/>
  <c r="S6"/>
  <c r="S5"/>
  <c r="T9"/>
  <c r="T11"/>
  <c r="U22"/>
  <c r="V3"/>
  <c r="V17"/>
  <c r="V10"/>
  <c r="U5"/>
  <c r="V19"/>
  <c r="U4"/>
  <c r="V22"/>
  <c r="U3"/>
  <c r="U10"/>
  <c r="U7"/>
  <c r="T23"/>
  <c r="V11"/>
  <c r="T7"/>
  <c r="T19"/>
  <c r="E4" i="516"/>
  <c r="E21"/>
  <c r="G28" i="522"/>
  <c r="I30"/>
  <c r="G29"/>
  <c r="G31"/>
  <c r="J28"/>
  <c r="J30"/>
  <c r="I28"/>
  <c r="H28"/>
  <c r="H29"/>
  <c r="I31"/>
  <c r="J31"/>
  <c r="G30"/>
  <c r="I29"/>
  <c r="J29"/>
  <c r="H31"/>
  <c r="H30"/>
  <c r="H14" i="529"/>
  <c r="I15"/>
  <c r="H15"/>
  <c r="F15"/>
  <c r="H17"/>
  <c r="J16"/>
  <c r="F18"/>
  <c r="J17"/>
  <c r="G18"/>
  <c r="I18"/>
  <c r="H16"/>
  <c r="G15"/>
  <c r="J14"/>
  <c r="J18"/>
  <c r="I17"/>
  <c r="G14"/>
  <c r="G17"/>
  <c r="F16"/>
  <c r="I14"/>
  <c r="F17"/>
  <c r="F14"/>
  <c r="J15"/>
  <c r="G16"/>
  <c r="H18"/>
  <c r="I16"/>
  <c r="L3" i="298"/>
  <c r="G6" i="7"/>
  <c r="G14"/>
  <c r="G11"/>
  <c r="G4"/>
  <c r="G8"/>
  <c r="G13"/>
  <c r="G12"/>
  <c r="G3"/>
  <c r="G10"/>
  <c r="G7"/>
  <c r="G9"/>
  <c r="G5"/>
  <c r="F13" i="597"/>
  <c r="F15"/>
  <c r="E11"/>
  <c r="F20"/>
  <c r="G10"/>
  <c r="F8"/>
  <c r="E7"/>
  <c r="H12"/>
  <c r="G13"/>
  <c r="G11"/>
  <c r="G6"/>
  <c r="F10"/>
  <c r="G17"/>
  <c r="H16"/>
  <c r="G5"/>
  <c r="E14"/>
  <c r="H8"/>
  <c r="E6"/>
  <c r="E16"/>
  <c r="G12"/>
  <c r="E10"/>
  <c r="E8"/>
  <c r="H20"/>
  <c r="G20"/>
  <c r="H9"/>
  <c r="H15"/>
  <c r="H14"/>
  <c r="E19"/>
  <c r="F18"/>
  <c r="E18"/>
  <c r="E13"/>
  <c r="H7"/>
  <c r="G9"/>
  <c r="G8"/>
  <c r="H13"/>
  <c r="E17"/>
  <c r="H11"/>
  <c r="F17"/>
  <c r="F19"/>
  <c r="G18"/>
  <c r="F6"/>
  <c r="E9"/>
  <c r="E20"/>
  <c r="F5"/>
  <c r="F16"/>
  <c r="G19"/>
  <c r="G7"/>
  <c r="H5"/>
  <c r="G16"/>
  <c r="F11"/>
  <c r="F7"/>
  <c r="E12"/>
  <c r="H6"/>
  <c r="E15"/>
  <c r="E5"/>
  <c r="F12"/>
  <c r="G14"/>
  <c r="H19"/>
  <c r="H10"/>
  <c r="F9"/>
  <c r="G15"/>
  <c r="F14"/>
  <c r="H17"/>
  <c r="H18"/>
  <c r="AA22" i="468"/>
  <c r="AB21"/>
  <c r="AA21"/>
  <c r="AA20"/>
  <c r="AB20"/>
  <c r="AC22"/>
  <c r="AB22"/>
  <c r="AC20"/>
  <c r="AC21"/>
  <c r="N20" i="580"/>
  <c r="N19"/>
  <c r="M18"/>
  <c r="N18"/>
  <c r="M20"/>
  <c r="N17"/>
  <c r="M17"/>
  <c r="M19"/>
  <c r="H56" i="463"/>
  <c r="H55"/>
  <c r="M10" i="543"/>
  <c r="M4"/>
  <c r="M9"/>
  <c r="M7"/>
  <c r="M5"/>
  <c r="M6"/>
  <c r="M8"/>
  <c r="E12" i="450"/>
  <c r="E11"/>
  <c r="D45" i="613"/>
  <c r="H41" s="1"/>
  <c r="H42" s="1"/>
  <c r="F30" i="440"/>
  <c r="F32"/>
  <c r="F35"/>
  <c r="F33"/>
  <c r="F34"/>
  <c r="F31"/>
  <c r="E11" i="527"/>
  <c r="X8" i="465"/>
  <c r="X6"/>
  <c r="X7"/>
  <c r="AM73" i="463"/>
  <c r="AO79"/>
  <c r="AO80"/>
  <c r="AM77"/>
  <c r="AN79"/>
  <c r="AN73"/>
  <c r="AO77"/>
  <c r="AM74"/>
  <c r="AM79"/>
  <c r="AO73"/>
  <c r="AO82"/>
  <c r="AM72"/>
  <c r="AM82"/>
  <c r="AN75"/>
  <c r="AM75"/>
  <c r="AN80"/>
  <c r="AO83"/>
  <c r="AM81"/>
  <c r="AO72"/>
  <c r="AN77"/>
  <c r="AO75"/>
  <c r="AN82"/>
  <c r="AO76"/>
  <c r="AO74"/>
  <c r="AN83"/>
  <c r="AM76"/>
  <c r="AN78"/>
  <c r="AM83"/>
  <c r="AO81"/>
  <c r="AN74"/>
  <c r="AM78"/>
  <c r="AO78"/>
  <c r="AN76"/>
  <c r="AM80"/>
  <c r="AN81"/>
  <c r="AN72"/>
  <c r="E19" i="607"/>
  <c r="E20"/>
  <c r="AC6" i="459"/>
  <c r="AC12"/>
  <c r="AC7"/>
  <c r="AC10"/>
  <c r="AC8"/>
  <c r="AC11"/>
  <c r="AC5"/>
  <c r="AC9"/>
  <c r="E17" i="517"/>
  <c r="J53" i="431"/>
  <c r="J52"/>
  <c r="J51"/>
  <c r="AA29" i="531"/>
  <c r="AB28"/>
  <c r="AC27"/>
  <c r="AA25"/>
  <c r="AB29"/>
  <c r="Z29"/>
  <c r="Z28"/>
  <c r="AC28"/>
  <c r="AC29"/>
  <c r="AB27"/>
  <c r="Z25"/>
  <c r="AA27"/>
  <c r="AB26"/>
  <c r="AB25"/>
  <c r="AA26"/>
  <c r="Z27"/>
  <c r="AC26"/>
  <c r="AC25"/>
  <c r="AA28"/>
  <c r="Z26"/>
  <c r="AU14"/>
  <c r="AU4"/>
  <c r="AT15"/>
  <c r="AU17"/>
  <c r="AV13"/>
  <c r="AW3"/>
  <c r="AW16"/>
  <c r="AV22"/>
  <c r="AT21"/>
  <c r="AW8"/>
  <c r="AU16"/>
  <c r="AT17"/>
  <c r="AU19"/>
  <c r="AV19"/>
  <c r="AW17"/>
  <c r="AT10"/>
  <c r="AU8"/>
  <c r="AU12"/>
  <c r="AU7"/>
  <c r="AW14"/>
  <c r="AV21"/>
  <c r="AW9"/>
  <c r="AW22"/>
  <c r="AW10"/>
  <c r="AT12"/>
  <c r="AT23"/>
  <c r="AT8"/>
  <c r="AT4"/>
  <c r="AV8"/>
  <c r="AW13"/>
  <c r="AU13"/>
  <c r="AV10"/>
  <c r="AV23"/>
  <c r="AT6"/>
  <c r="AV17"/>
  <c r="AV11"/>
  <c r="AW12"/>
  <c r="AU10"/>
  <c r="AV3"/>
  <c r="AV16"/>
  <c r="AU6"/>
  <c r="AV18"/>
  <c r="AW20"/>
  <c r="AV5"/>
  <c r="AU21"/>
  <c r="AV14"/>
  <c r="AU9"/>
  <c r="AV9"/>
  <c r="AU11"/>
  <c r="AW6"/>
  <c r="AU18"/>
  <c r="AT22"/>
  <c r="AT7"/>
  <c r="AW18"/>
  <c r="AT13"/>
  <c r="AU5"/>
  <c r="AV7"/>
  <c r="AW4"/>
  <c r="AV4"/>
  <c r="AT11"/>
  <c r="AT20"/>
  <c r="AT18"/>
  <c r="AV15"/>
  <c r="AT19"/>
  <c r="AU3"/>
  <c r="AU23"/>
  <c r="AW23"/>
  <c r="AW15"/>
  <c r="AW5"/>
  <c r="AT9"/>
  <c r="AT16"/>
  <c r="AV6"/>
  <c r="AT14"/>
  <c r="AU15"/>
  <c r="AV20"/>
  <c r="AU20"/>
  <c r="AW19"/>
  <c r="AW21"/>
  <c r="AW11"/>
  <c r="AW7"/>
  <c r="AT5"/>
  <c r="AT3"/>
  <c r="AV12"/>
  <c r="AU22"/>
  <c r="K9" i="505"/>
  <c r="I8"/>
  <c r="J20"/>
  <c r="H13"/>
  <c r="H5"/>
  <c r="J21"/>
  <c r="J4"/>
  <c r="K19"/>
  <c r="K22"/>
  <c r="I21"/>
  <c r="K8"/>
  <c r="J10"/>
  <c r="I12"/>
  <c r="J18"/>
  <c r="I22"/>
  <c r="K3"/>
  <c r="J13"/>
  <c r="I20"/>
  <c r="H22"/>
  <c r="K7"/>
  <c r="H19"/>
  <c r="H9"/>
  <c r="H11"/>
  <c r="J19"/>
  <c r="J22"/>
  <c r="I7"/>
  <c r="J9"/>
  <c r="I16"/>
  <c r="J14"/>
  <c r="I19"/>
  <c r="K15"/>
  <c r="H16"/>
  <c r="K13"/>
  <c r="I11"/>
  <c r="J5"/>
  <c r="K18"/>
  <c r="I14"/>
  <c r="H18"/>
  <c r="H20"/>
  <c r="K16"/>
  <c r="K10"/>
  <c r="J3"/>
  <c r="K6"/>
  <c r="J8"/>
  <c r="H10"/>
  <c r="H23"/>
  <c r="J17"/>
  <c r="H7"/>
  <c r="K21"/>
  <c r="J15"/>
  <c r="H6"/>
  <c r="H4"/>
  <c r="I15"/>
  <c r="K11"/>
  <c r="H8"/>
  <c r="K5"/>
  <c r="J16"/>
  <c r="K17"/>
  <c r="I18"/>
  <c r="J7"/>
  <c r="I10"/>
  <c r="I4"/>
  <c r="H17"/>
  <c r="K12"/>
  <c r="I17"/>
  <c r="I3"/>
  <c r="K20"/>
  <c r="I13"/>
  <c r="K23"/>
  <c r="I6"/>
  <c r="J23"/>
  <c r="H14"/>
  <c r="K4"/>
  <c r="H12"/>
  <c r="J11"/>
  <c r="H15"/>
  <c r="H21"/>
  <c r="I9"/>
  <c r="J6"/>
  <c r="H3"/>
  <c r="I5"/>
  <c r="J12"/>
  <c r="K14"/>
  <c r="I23"/>
  <c r="D15" i="303"/>
  <c r="B16"/>
  <c r="C15"/>
  <c r="A16"/>
  <c r="E17"/>
  <c r="D14"/>
  <c r="C17"/>
  <c r="A17"/>
  <c r="A14"/>
  <c r="C13"/>
  <c r="B14"/>
  <c r="A15"/>
  <c r="B13"/>
  <c r="D17"/>
  <c r="D16"/>
  <c r="D13"/>
  <c r="A13"/>
  <c r="C14"/>
  <c r="B17"/>
  <c r="E15"/>
  <c r="E16"/>
  <c r="E13"/>
  <c r="B15"/>
  <c r="E14"/>
  <c r="C16"/>
  <c r="F17" i="470"/>
  <c r="F16"/>
  <c r="F15"/>
  <c r="F14"/>
  <c r="E16"/>
  <c r="E18"/>
  <c r="E17"/>
  <c r="F18"/>
  <c r="E14"/>
  <c r="E15"/>
  <c r="AG10" i="290"/>
  <c r="AF10"/>
  <c r="AF11"/>
  <c r="AG9"/>
  <c r="AG11"/>
  <c r="AF9"/>
  <c r="S26" i="461"/>
  <c r="S25"/>
  <c r="S27"/>
  <c r="T25"/>
  <c r="T26"/>
  <c r="T27"/>
  <c r="S28"/>
  <c r="T29"/>
  <c r="T28"/>
  <c r="S29"/>
  <c r="K53" i="431"/>
  <c r="K51"/>
  <c r="K52"/>
  <c r="K26" i="339"/>
  <c r="K27"/>
  <c r="K25"/>
  <c r="K4" i="486"/>
  <c r="K6"/>
  <c r="H4"/>
  <c r="H6"/>
  <c r="I4"/>
  <c r="I6"/>
  <c r="H7"/>
  <c r="I7"/>
  <c r="K7"/>
  <c r="J5"/>
  <c r="J7"/>
  <c r="K5"/>
  <c r="H5"/>
  <c r="J6"/>
  <c r="I5"/>
  <c r="J4"/>
  <c r="G9" i="534"/>
  <c r="G4"/>
  <c r="H7"/>
  <c r="G5"/>
  <c r="G6"/>
  <c r="H5"/>
  <c r="H4"/>
  <c r="H6"/>
  <c r="H9"/>
  <c r="G8"/>
  <c r="H8"/>
  <c r="G7"/>
  <c r="I35" i="486"/>
  <c r="H36"/>
  <c r="I37"/>
  <c r="J36"/>
  <c r="K38"/>
  <c r="I38"/>
  <c r="I36"/>
  <c r="H35"/>
  <c r="J37"/>
  <c r="J38"/>
  <c r="H38"/>
  <c r="K36"/>
  <c r="K37"/>
  <c r="K35"/>
  <c r="H37"/>
  <c r="J35"/>
  <c r="AQ25" i="531"/>
  <c r="AP25"/>
  <c r="AO27"/>
  <c r="AR26"/>
  <c r="AO29"/>
  <c r="AR29"/>
  <c r="AP29"/>
  <c r="AP28"/>
  <c r="AR28"/>
  <c r="AR27"/>
  <c r="AQ26"/>
  <c r="AO26"/>
  <c r="AQ29"/>
  <c r="AO25"/>
  <c r="AP27"/>
  <c r="AP26"/>
  <c r="AQ27"/>
  <c r="AR25"/>
  <c r="AO28"/>
  <c r="AQ28"/>
  <c r="E30" i="613"/>
  <c r="I23" s="1"/>
  <c r="I24" s="1"/>
  <c r="AC8" i="458"/>
  <c r="AC6"/>
  <c r="AC12"/>
  <c r="AC7"/>
  <c r="AC10"/>
  <c r="AC9"/>
  <c r="AC5"/>
  <c r="AC11"/>
  <c r="R16" i="531"/>
  <c r="R9"/>
  <c r="P16"/>
  <c r="P12"/>
  <c r="P10"/>
  <c r="S3"/>
  <c r="P13"/>
  <c r="P9"/>
  <c r="R8"/>
  <c r="S12"/>
  <c r="R19"/>
  <c r="S15"/>
  <c r="S17"/>
  <c r="R13"/>
  <c r="P17"/>
  <c r="Q19"/>
  <c r="P3"/>
  <c r="P6"/>
  <c r="S19"/>
  <c r="R3"/>
  <c r="P20"/>
  <c r="Q14"/>
  <c r="S13"/>
  <c r="R11"/>
  <c r="R4"/>
  <c r="P7"/>
  <c r="R22"/>
  <c r="Q16"/>
  <c r="P19"/>
  <c r="S14"/>
  <c r="Q21"/>
  <c r="Q17"/>
  <c r="Q15"/>
  <c r="S7"/>
  <c r="Q11"/>
  <c r="Q20"/>
  <c r="R12"/>
  <c r="P4"/>
  <c r="P23"/>
  <c r="R20"/>
  <c r="P18"/>
  <c r="P11"/>
  <c r="R15"/>
  <c r="Q6"/>
  <c r="S22"/>
  <c r="R18"/>
  <c r="Q23"/>
  <c r="Q8"/>
  <c r="S8"/>
  <c r="S11"/>
  <c r="S18"/>
  <c r="R5"/>
  <c r="P8"/>
  <c r="R10"/>
  <c r="Q10"/>
  <c r="R14"/>
  <c r="R7"/>
  <c r="R6"/>
  <c r="Q13"/>
  <c r="R21"/>
  <c r="S9"/>
  <c r="Q3"/>
  <c r="P21"/>
  <c r="S23"/>
  <c r="S5"/>
  <c r="Q5"/>
  <c r="P14"/>
  <c r="S16"/>
  <c r="Q12"/>
  <c r="Q22"/>
  <c r="Q4"/>
  <c r="S20"/>
  <c r="Q18"/>
  <c r="P5"/>
  <c r="Q9"/>
  <c r="S10"/>
  <c r="R17"/>
  <c r="S21"/>
  <c r="Q7"/>
  <c r="P15"/>
  <c r="S4"/>
  <c r="S6"/>
  <c r="P22"/>
  <c r="R23"/>
  <c r="Q8" i="609"/>
  <c r="Q5"/>
  <c r="P6"/>
  <c r="Q6"/>
  <c r="P8"/>
  <c r="P5"/>
  <c r="Q7"/>
  <c r="P7"/>
  <c r="K20" i="499"/>
  <c r="K19"/>
  <c r="N22" i="514"/>
  <c r="N21"/>
  <c r="N20"/>
  <c r="N19"/>
  <c r="H28" i="463"/>
  <c r="H33"/>
  <c r="G32"/>
  <c r="G29"/>
  <c r="F32"/>
  <c r="G31"/>
  <c r="F33"/>
  <c r="H30"/>
  <c r="F28"/>
  <c r="F34"/>
  <c r="G28"/>
  <c r="F31"/>
  <c r="F30"/>
  <c r="H29"/>
  <c r="H32"/>
  <c r="G30"/>
  <c r="H34"/>
  <c r="G34"/>
  <c r="F29"/>
  <c r="G33"/>
  <c r="H31"/>
  <c r="Q5" i="448"/>
  <c r="Q7"/>
  <c r="Q8"/>
  <c r="Q6"/>
  <c r="F10" i="450"/>
  <c r="G10"/>
  <c r="H10"/>
  <c r="AC20" i="522"/>
  <c r="AC22"/>
  <c r="AC21"/>
  <c r="AC19"/>
  <c r="I31" i="468"/>
  <c r="I32"/>
  <c r="I30"/>
  <c r="P27" i="527"/>
  <c r="O27"/>
  <c r="Q27"/>
  <c r="T12" i="585"/>
  <c r="V12"/>
  <c r="W12"/>
  <c r="U12"/>
  <c r="W10" i="530"/>
  <c r="W7"/>
  <c r="U6"/>
  <c r="W6"/>
  <c r="W8"/>
  <c r="U7"/>
  <c r="T8"/>
  <c r="V10"/>
  <c r="V9"/>
  <c r="T6"/>
  <c r="V7"/>
  <c r="V6"/>
  <c r="U9"/>
  <c r="U10"/>
  <c r="T9"/>
  <c r="V8"/>
  <c r="T7"/>
  <c r="U8"/>
  <c r="W9"/>
  <c r="T10"/>
  <c r="AA22" i="510"/>
  <c r="AC14"/>
  <c r="AB22"/>
  <c r="AB6"/>
  <c r="AA21"/>
  <c r="AA23"/>
  <c r="AA14"/>
  <c r="AB11"/>
  <c r="AB4"/>
  <c r="Z7"/>
  <c r="AC10"/>
  <c r="Z13"/>
  <c r="AC12"/>
  <c r="AC8"/>
  <c r="AC20"/>
  <c r="AC5"/>
  <c r="AA20"/>
  <c r="AC21"/>
  <c r="Z5"/>
  <c r="AB23"/>
  <c r="AA19"/>
  <c r="Z23"/>
  <c r="Z10"/>
  <c r="AC6"/>
  <c r="AC4"/>
  <c r="AC22"/>
  <c r="AC13"/>
  <c r="Z22"/>
  <c r="AB12"/>
  <c r="AA9"/>
  <c r="Z6"/>
  <c r="AB5"/>
  <c r="Z16"/>
  <c r="AA16"/>
  <c r="AC15"/>
  <c r="Z21"/>
  <c r="AA6"/>
  <c r="AB10"/>
  <c r="AC7"/>
  <c r="AB16"/>
  <c r="Z19"/>
  <c r="AB9"/>
  <c r="AB7"/>
  <c r="Z9"/>
  <c r="AA12"/>
  <c r="AA5"/>
  <c r="AB21"/>
  <c r="AA8"/>
  <c r="AB19"/>
  <c r="AB8"/>
  <c r="AC16"/>
  <c r="AC11"/>
  <c r="AB14"/>
  <c r="AA13"/>
  <c r="AA7"/>
  <c r="AC17"/>
  <c r="AA11"/>
  <c r="AB13"/>
  <c r="AC9"/>
  <c r="AA17"/>
  <c r="AB15"/>
  <c r="AB17"/>
  <c r="AA4"/>
  <c r="Z8"/>
  <c r="AA10"/>
  <c r="Z4"/>
  <c r="Z15"/>
  <c r="Z18"/>
  <c r="AC23"/>
  <c r="AC19"/>
  <c r="AB20"/>
  <c r="AA15"/>
  <c r="Z12"/>
  <c r="Z20"/>
  <c r="Z11"/>
  <c r="Z14"/>
  <c r="Z17"/>
  <c r="AA18"/>
  <c r="AC18"/>
  <c r="AB18"/>
  <c r="M26" i="531"/>
  <c r="M27"/>
  <c r="K28"/>
  <c r="K27"/>
  <c r="N28"/>
  <c r="N26"/>
  <c r="M29"/>
  <c r="K25"/>
  <c r="K29"/>
  <c r="M25"/>
  <c r="L26"/>
  <c r="N25"/>
  <c r="L25"/>
  <c r="L29"/>
  <c r="K26"/>
  <c r="M28"/>
  <c r="L27"/>
  <c r="N27"/>
  <c r="N29"/>
  <c r="L28"/>
  <c r="Y7" i="495"/>
  <c r="Y8"/>
  <c r="Y10"/>
  <c r="Y9"/>
  <c r="Y6"/>
  <c r="G17" i="57"/>
  <c r="H18"/>
  <c r="G18"/>
  <c r="H17"/>
  <c r="H19"/>
  <c r="G19"/>
  <c r="G16"/>
  <c r="H16"/>
  <c r="J14" i="483"/>
  <c r="K14"/>
  <c r="L14"/>
  <c r="K5" i="339"/>
  <c r="K6"/>
  <c r="K7"/>
  <c r="AF3" i="457"/>
  <c r="AE8"/>
  <c r="AE11"/>
  <c r="AD14"/>
  <c r="AE14"/>
  <c r="AF7"/>
  <c r="AF13"/>
  <c r="AD11"/>
  <c r="AD8"/>
  <c r="AG3"/>
  <c r="AF11"/>
  <c r="AF14"/>
  <c r="AD3"/>
  <c r="AG5"/>
  <c r="AE7"/>
  <c r="AG11"/>
  <c r="AF8"/>
  <c r="AF5"/>
  <c r="AE12"/>
  <c r="AE5"/>
  <c r="AG6"/>
  <c r="AG4"/>
  <c r="AG8"/>
  <c r="AF10"/>
  <c r="AE9"/>
  <c r="AG10"/>
  <c r="AG14"/>
  <c r="AG13"/>
  <c r="AE10"/>
  <c r="AF9"/>
  <c r="AD12"/>
  <c r="AG9"/>
  <c r="AG12"/>
  <c r="AF6"/>
  <c r="AD13"/>
  <c r="AD10"/>
  <c r="AD6"/>
  <c r="AF12"/>
  <c r="AD9"/>
  <c r="AD4"/>
  <c r="AE4"/>
  <c r="AD5"/>
  <c r="AE6"/>
  <c r="AF4"/>
  <c r="AD7"/>
  <c r="AG7"/>
  <c r="AE3"/>
  <c r="AE13"/>
  <c r="K12" i="339"/>
  <c r="K13"/>
  <c r="K14"/>
  <c r="H54" i="479"/>
  <c r="H52"/>
  <c r="I54"/>
  <c r="H53"/>
  <c r="I53"/>
  <c r="I52"/>
  <c r="AF19" i="508"/>
  <c r="AG15"/>
  <c r="AF16"/>
  <c r="AI19"/>
  <c r="AF20"/>
  <c r="AH17"/>
  <c r="AI18"/>
  <c r="AF17"/>
  <c r="AI15"/>
  <c r="AF15"/>
  <c r="AH18"/>
  <c r="AG16"/>
  <c r="AH16"/>
  <c r="AG18"/>
  <c r="AG20"/>
  <c r="AI16"/>
  <c r="AH15"/>
  <c r="AG17"/>
  <c r="AI20"/>
  <c r="AH20"/>
  <c r="AF18"/>
  <c r="AG19"/>
  <c r="AI17"/>
  <c r="AH19"/>
  <c r="E11" i="518"/>
  <c r="G13" i="531"/>
  <c r="H5"/>
  <c r="H4"/>
  <c r="F22"/>
  <c r="G8"/>
  <c r="F4"/>
  <c r="G5"/>
  <c r="H8"/>
  <c r="I14"/>
  <c r="I6"/>
  <c r="F17"/>
  <c r="H22"/>
  <c r="F8"/>
  <c r="I4"/>
  <c r="G12"/>
  <c r="I5"/>
  <c r="I3"/>
  <c r="H15"/>
  <c r="F5"/>
  <c r="I7"/>
  <c r="F14"/>
  <c r="I10"/>
  <c r="H14"/>
  <c r="H11"/>
  <c r="G6"/>
  <c r="I8"/>
  <c r="F9"/>
  <c r="H17"/>
  <c r="F23"/>
  <c r="G20"/>
  <c r="G4"/>
  <c r="F12"/>
  <c r="G17"/>
  <c r="H20"/>
  <c r="H9"/>
  <c r="F15"/>
  <c r="G23"/>
  <c r="I19"/>
  <c r="H23"/>
  <c r="G19"/>
  <c r="I17"/>
  <c r="H10"/>
  <c r="I21"/>
  <c r="H7"/>
  <c r="F20"/>
  <c r="F21"/>
  <c r="F11"/>
  <c r="G15"/>
  <c r="I23"/>
  <c r="F7"/>
  <c r="G21"/>
  <c r="G11"/>
  <c r="H18"/>
  <c r="H12"/>
  <c r="H13"/>
  <c r="F3"/>
  <c r="H21"/>
  <c r="F18"/>
  <c r="G22"/>
  <c r="G3"/>
  <c r="I9"/>
  <c r="G18"/>
  <c r="G14"/>
  <c r="H16"/>
  <c r="H19"/>
  <c r="I22"/>
  <c r="F6"/>
  <c r="G7"/>
  <c r="F19"/>
  <c r="G9"/>
  <c r="F16"/>
  <c r="H3"/>
  <c r="G10"/>
  <c r="I13"/>
  <c r="F13"/>
  <c r="I16"/>
  <c r="I18"/>
  <c r="G16"/>
  <c r="H6"/>
  <c r="I20"/>
  <c r="I15"/>
  <c r="F10"/>
  <c r="I12"/>
  <c r="I11"/>
  <c r="K71" i="339"/>
  <c r="K70"/>
  <c r="AB39" i="290"/>
  <c r="AA40"/>
  <c r="AA38"/>
  <c r="AB40"/>
  <c r="AB38"/>
  <c r="AA39"/>
  <c r="L10" i="414"/>
  <c r="K7"/>
  <c r="K8"/>
  <c r="K6"/>
  <c r="L7"/>
  <c r="K5"/>
  <c r="L9"/>
  <c r="L6"/>
  <c r="K9"/>
  <c r="L8"/>
  <c r="K10"/>
  <c r="L5"/>
  <c r="O20" i="514"/>
  <c r="O21"/>
  <c r="O19"/>
  <c r="O22"/>
  <c r="K10" i="448"/>
  <c r="M10"/>
  <c r="L10"/>
  <c r="P20" i="529"/>
  <c r="R15" i="467"/>
  <c r="S15"/>
  <c r="T15"/>
  <c r="M18" i="477"/>
  <c r="M16"/>
  <c r="M17"/>
  <c r="X11" i="467"/>
  <c r="Y16"/>
  <c r="X4"/>
  <c r="V15"/>
  <c r="X14"/>
  <c r="Y10"/>
  <c r="Y14"/>
  <c r="X13"/>
  <c r="X7"/>
  <c r="Y15"/>
  <c r="W11"/>
  <c r="Y5"/>
  <c r="Y12"/>
  <c r="V8"/>
  <c r="V6"/>
  <c r="W16"/>
  <c r="V7"/>
  <c r="W4"/>
  <c r="W15"/>
  <c r="X9"/>
  <c r="V16"/>
  <c r="Y13"/>
  <c r="X15"/>
  <c r="V11"/>
  <c r="Y11"/>
  <c r="Y6"/>
  <c r="W14"/>
  <c r="Y7"/>
  <c r="V9"/>
  <c r="W8"/>
  <c r="V4"/>
  <c r="Y9"/>
  <c r="V5"/>
  <c r="Y4"/>
  <c r="V12"/>
  <c r="V10"/>
  <c r="X12"/>
  <c r="X6"/>
  <c r="V13"/>
  <c r="W5"/>
  <c r="W9"/>
  <c r="W10"/>
  <c r="X16"/>
  <c r="W13"/>
  <c r="X5"/>
  <c r="X8"/>
  <c r="W7"/>
  <c r="X10"/>
  <c r="W12"/>
  <c r="V14"/>
  <c r="Y8"/>
  <c r="W6"/>
  <c r="X12" i="573"/>
  <c r="X15"/>
  <c r="X18"/>
  <c r="X17"/>
  <c r="X5"/>
  <c r="X19"/>
  <c r="X8"/>
  <c r="X10"/>
  <c r="X13"/>
  <c r="X6"/>
  <c r="X14"/>
  <c r="X16"/>
  <c r="X11"/>
  <c r="X9"/>
  <c r="X7"/>
  <c r="N24" i="86"/>
  <c r="N21"/>
  <c r="N23"/>
  <c r="N22"/>
  <c r="G5" i="472"/>
  <c r="L6"/>
  <c r="K6"/>
  <c r="G7"/>
  <c r="J8"/>
  <c r="H7"/>
  <c r="I7"/>
  <c r="K8"/>
  <c r="J5"/>
  <c r="L5"/>
  <c r="I6"/>
  <c r="F6"/>
  <c r="L7"/>
  <c r="M5"/>
  <c r="I5"/>
  <c r="J7"/>
  <c r="G8"/>
  <c r="F7"/>
  <c r="H8"/>
  <c r="F8"/>
  <c r="I8"/>
  <c r="M7"/>
  <c r="M8"/>
  <c r="J6"/>
  <c r="L8"/>
  <c r="M6"/>
  <c r="F5"/>
  <c r="K5"/>
  <c r="H6"/>
  <c r="K7"/>
  <c r="G6"/>
  <c r="H5"/>
  <c r="M5" i="341"/>
  <c r="M4"/>
  <c r="M11"/>
  <c r="M14"/>
  <c r="M8"/>
  <c r="M6"/>
  <c r="M13"/>
  <c r="M12"/>
  <c r="M10"/>
  <c r="M9"/>
  <c r="M7"/>
  <c r="W27" i="297"/>
  <c r="Y27"/>
  <c r="Z25"/>
  <c r="Z27"/>
  <c r="W25"/>
  <c r="Y28"/>
  <c r="Y26"/>
  <c r="Z26"/>
  <c r="X28"/>
  <c r="Y25"/>
  <c r="Z28"/>
  <c r="X25"/>
  <c r="X26"/>
  <c r="W28"/>
  <c r="X27"/>
  <c r="W26"/>
  <c r="K11" i="417"/>
  <c r="J13"/>
  <c r="K12"/>
  <c r="I13"/>
  <c r="J11"/>
  <c r="J12"/>
  <c r="I12"/>
  <c r="K13"/>
  <c r="I11"/>
  <c r="J6" i="448"/>
  <c r="J5"/>
  <c r="N4" i="531"/>
  <c r="K6"/>
  <c r="L7"/>
  <c r="N19"/>
  <c r="K4"/>
  <c r="N21"/>
  <c r="M11"/>
  <c r="M7"/>
  <c r="M3"/>
  <c r="N3"/>
  <c r="N18"/>
  <c r="N20"/>
  <c r="K15"/>
  <c r="L21"/>
  <c r="K5"/>
  <c r="N7"/>
  <c r="M18"/>
  <c r="L16"/>
  <c r="L19"/>
  <c r="M9"/>
  <c r="N11"/>
  <c r="L18"/>
  <c r="L15"/>
  <c r="K23"/>
  <c r="N16"/>
  <c r="L23"/>
  <c r="M17"/>
  <c r="K10"/>
  <c r="L12"/>
  <c r="M22"/>
  <c r="L10"/>
  <c r="K3"/>
  <c r="K17"/>
  <c r="M14"/>
  <c r="K22"/>
  <c r="M20"/>
  <c r="L17"/>
  <c r="K14"/>
  <c r="N6"/>
  <c r="N17"/>
  <c r="M21"/>
  <c r="K11"/>
  <c r="K19"/>
  <c r="K18"/>
  <c r="M19"/>
  <c r="N8"/>
  <c r="L3"/>
  <c r="N14"/>
  <c r="M15"/>
  <c r="M16"/>
  <c r="K7"/>
  <c r="L6"/>
  <c r="K13"/>
  <c r="M23"/>
  <c r="N10"/>
  <c r="K16"/>
  <c r="M4"/>
  <c r="N12"/>
  <c r="N22"/>
  <c r="M13"/>
  <c r="N9"/>
  <c r="L11"/>
  <c r="N13"/>
  <c r="K8"/>
  <c r="K9"/>
  <c r="K20"/>
  <c r="K21"/>
  <c r="L8"/>
  <c r="M10"/>
  <c r="N15"/>
  <c r="L14"/>
  <c r="M12"/>
  <c r="L9"/>
  <c r="L5"/>
  <c r="N23"/>
  <c r="L13"/>
  <c r="L4"/>
  <c r="M6"/>
  <c r="L20"/>
  <c r="K12"/>
  <c r="N5"/>
  <c r="M8"/>
  <c r="L22"/>
  <c r="M5"/>
  <c r="J19" i="580"/>
  <c r="K16"/>
  <c r="J17"/>
  <c r="K18"/>
  <c r="J18"/>
  <c r="J16"/>
  <c r="K17"/>
  <c r="K19"/>
  <c r="I28" i="98"/>
  <c r="I26"/>
  <c r="H28"/>
  <c r="H27"/>
  <c r="G27"/>
  <c r="G28"/>
  <c r="G26"/>
  <c r="H26"/>
  <c r="I27"/>
  <c r="I6" i="497"/>
  <c r="I8"/>
  <c r="K11"/>
  <c r="I13"/>
  <c r="I9"/>
  <c r="J12"/>
  <c r="J13"/>
  <c r="J9"/>
  <c r="J5"/>
  <c r="J8"/>
  <c r="K4"/>
  <c r="J7"/>
  <c r="K6"/>
  <c r="I5"/>
  <c r="K10"/>
  <c r="J6"/>
  <c r="J11"/>
  <c r="J10"/>
  <c r="K7"/>
  <c r="I7"/>
  <c r="K5"/>
  <c r="J4"/>
  <c r="I4"/>
  <c r="I12"/>
  <c r="K9"/>
  <c r="K8"/>
  <c r="I10"/>
  <c r="I11"/>
  <c r="K13"/>
  <c r="K12"/>
  <c r="N28" i="476"/>
  <c r="O28"/>
  <c r="O27"/>
  <c r="O26"/>
  <c r="N27"/>
  <c r="N25"/>
  <c r="N26"/>
  <c r="N29"/>
  <c r="O25"/>
  <c r="O29"/>
  <c r="W18" i="368"/>
  <c r="W6"/>
  <c r="W8"/>
  <c r="W17"/>
  <c r="W5"/>
  <c r="W11"/>
  <c r="W13"/>
  <c r="W9"/>
  <c r="W10"/>
  <c r="W15"/>
  <c r="W19"/>
  <c r="W7"/>
  <c r="W12"/>
  <c r="W14"/>
  <c r="W16"/>
  <c r="B46" i="75"/>
  <c r="B48"/>
  <c r="B47"/>
  <c r="B41"/>
  <c r="B38"/>
  <c r="B45"/>
  <c r="B40"/>
  <c r="B44"/>
  <c r="B43"/>
  <c r="B50"/>
  <c r="B37"/>
  <c r="B49"/>
  <c r="B36"/>
  <c r="B42"/>
  <c r="B39"/>
  <c r="AP23" i="523"/>
  <c r="AQ9"/>
  <c r="AR11"/>
  <c r="AP22"/>
  <c r="AR20"/>
  <c r="AP14"/>
  <c r="AP9"/>
  <c r="AQ14"/>
  <c r="AR16"/>
  <c r="AO7"/>
  <c r="AR19"/>
  <c r="AP18"/>
  <c r="AO17"/>
  <c r="AR9"/>
  <c r="AR21"/>
  <c r="AQ3"/>
  <c r="AR23"/>
  <c r="AO22"/>
  <c r="AO18"/>
  <c r="AP8"/>
  <c r="AR3"/>
  <c r="AO8"/>
  <c r="AR18"/>
  <c r="AO12"/>
  <c r="AP6"/>
  <c r="AQ12"/>
  <c r="AO5"/>
  <c r="AQ8"/>
  <c r="AQ22"/>
  <c r="AR7"/>
  <c r="AO4"/>
  <c r="AP4"/>
  <c r="AP21"/>
  <c r="AP19"/>
  <c r="AO14"/>
  <c r="AP12"/>
  <c r="AQ4"/>
  <c r="AO11"/>
  <c r="AR8"/>
  <c r="AP7"/>
  <c r="AR14"/>
  <c r="AO23"/>
  <c r="AP17"/>
  <c r="AP11"/>
  <c r="AO19"/>
  <c r="AQ5"/>
  <c r="AR22"/>
  <c r="AP5"/>
  <c r="AO20"/>
  <c r="AQ15"/>
  <c r="AQ13"/>
  <c r="AP16"/>
  <c r="AQ23"/>
  <c r="AO15"/>
  <c r="AR17"/>
  <c r="AQ11"/>
  <c r="AP10"/>
  <c r="AO6"/>
  <c r="AQ10"/>
  <c r="AO9"/>
  <c r="AP15"/>
  <c r="AQ18"/>
  <c r="AR6"/>
  <c r="AQ17"/>
  <c r="AO13"/>
  <c r="AQ19"/>
  <c r="AQ21"/>
  <c r="AO16"/>
  <c r="AP3"/>
  <c r="AR4"/>
  <c r="AR15"/>
  <c r="AR5"/>
  <c r="AP20"/>
  <c r="AQ6"/>
  <c r="AQ7"/>
  <c r="AO10"/>
  <c r="AO3"/>
  <c r="AQ16"/>
  <c r="AO21"/>
  <c r="AP13"/>
  <c r="AR10"/>
  <c r="AR12"/>
  <c r="AR13"/>
  <c r="AQ20"/>
  <c r="H26" i="339"/>
  <c r="G28"/>
  <c r="G27"/>
  <c r="G26"/>
  <c r="H28"/>
  <c r="F27"/>
  <c r="F28"/>
  <c r="G25"/>
  <c r="F25"/>
  <c r="H27"/>
  <c r="I28"/>
  <c r="I25"/>
  <c r="F26"/>
  <c r="I27"/>
  <c r="I26"/>
  <c r="H25"/>
  <c r="E23" i="516"/>
  <c r="AW7" i="351"/>
  <c r="AW9"/>
  <c r="AW10"/>
  <c r="AW5"/>
  <c r="AX7"/>
  <c r="AX9"/>
  <c r="AX10"/>
  <c r="AW6"/>
  <c r="AX11"/>
  <c r="AW8"/>
  <c r="AX6"/>
  <c r="AW11"/>
  <c r="AX8"/>
  <c r="AX5"/>
  <c r="O18" i="341"/>
  <c r="E12" i="517"/>
  <c r="AO29" i="523"/>
  <c r="AR27"/>
  <c r="AO25"/>
  <c r="AO26"/>
  <c r="AP28"/>
  <c r="AP27"/>
  <c r="AQ28"/>
  <c r="AQ27"/>
  <c r="AO27"/>
  <c r="AO28"/>
  <c r="AP29"/>
  <c r="AQ26"/>
  <c r="AQ25"/>
  <c r="AR29"/>
  <c r="AQ29"/>
  <c r="AR28"/>
  <c r="AP26"/>
  <c r="AR25"/>
  <c r="AR26"/>
  <c r="AP25"/>
  <c r="K30" i="477"/>
  <c r="J35"/>
  <c r="K34"/>
  <c r="J31"/>
  <c r="K31"/>
  <c r="K29"/>
  <c r="J28"/>
  <c r="K28"/>
  <c r="J33"/>
  <c r="K33"/>
  <c r="K32"/>
  <c r="J34"/>
  <c r="J30"/>
  <c r="K35"/>
  <c r="J29"/>
  <c r="J32"/>
  <c r="H19" i="580"/>
  <c r="G20"/>
  <c r="H20"/>
  <c r="H18"/>
  <c r="G18"/>
  <c r="G19"/>
  <c r="G17"/>
  <c r="H17"/>
  <c r="L7" i="360"/>
  <c r="L8"/>
  <c r="M8"/>
  <c r="M5"/>
  <c r="L13"/>
  <c r="L11"/>
  <c r="M9"/>
  <c r="L10"/>
  <c r="L9"/>
  <c r="M11"/>
  <c r="M7"/>
  <c r="M10"/>
  <c r="M12"/>
  <c r="L12"/>
  <c r="M6"/>
  <c r="L5"/>
  <c r="L6"/>
  <c r="M13"/>
  <c r="E5" i="516"/>
  <c r="E5" i="518"/>
  <c r="P33" i="509"/>
  <c r="M32"/>
  <c r="P35"/>
  <c r="O34"/>
  <c r="Q31"/>
  <c r="Q35"/>
  <c r="N31"/>
  <c r="Q30"/>
  <c r="O32"/>
  <c r="O30"/>
  <c r="N32"/>
  <c r="M35"/>
  <c r="O31"/>
  <c r="N34"/>
  <c r="Q32"/>
  <c r="P30"/>
  <c r="O33"/>
  <c r="M31"/>
  <c r="O35"/>
  <c r="P31"/>
  <c r="P34"/>
  <c r="M30"/>
  <c r="N33"/>
  <c r="P32"/>
  <c r="Q33"/>
  <c r="N30"/>
  <c r="M33"/>
  <c r="Q34"/>
  <c r="M34"/>
  <c r="N35"/>
  <c r="E5" i="517"/>
  <c r="F19" i="427"/>
  <c r="F21"/>
  <c r="F20"/>
  <c r="C4" i="553"/>
  <c r="C5"/>
  <c r="C14"/>
  <c r="C13"/>
  <c r="C19"/>
  <c r="C7"/>
  <c r="C23"/>
  <c r="C15"/>
  <c r="C8"/>
  <c r="C10"/>
  <c r="C9"/>
  <c r="C12"/>
  <c r="C18"/>
  <c r="C6"/>
  <c r="C11"/>
  <c r="C17"/>
  <c r="C21"/>
  <c r="C22"/>
  <c r="C20"/>
  <c r="C16"/>
  <c r="P4" i="529"/>
  <c r="E15" i="518"/>
  <c r="U26" i="510"/>
  <c r="T28"/>
  <c r="V29"/>
  <c r="V28"/>
  <c r="T25"/>
  <c r="U27"/>
  <c r="T29"/>
  <c r="W25"/>
  <c r="W26"/>
  <c r="W27"/>
  <c r="V27"/>
  <c r="U28"/>
  <c r="V26"/>
  <c r="U25"/>
  <c r="W29"/>
  <c r="T27"/>
  <c r="W28"/>
  <c r="U29"/>
  <c r="V25"/>
  <c r="T26"/>
  <c r="F21" i="342"/>
  <c r="F19"/>
  <c r="F20"/>
  <c r="W6" i="459"/>
  <c r="W7"/>
  <c r="Q24" i="211"/>
  <c r="R23"/>
  <c r="Q21"/>
  <c r="Q23"/>
  <c r="R24"/>
  <c r="R21"/>
  <c r="Q22"/>
  <c r="R22"/>
  <c r="U100" i="463"/>
  <c r="T97"/>
  <c r="U98"/>
  <c r="U97"/>
  <c r="T98"/>
  <c r="T96"/>
  <c r="U99"/>
  <c r="U96"/>
  <c r="T99"/>
  <c r="T100"/>
  <c r="K35" i="339"/>
  <c r="K34"/>
  <c r="K33"/>
  <c r="AN42" i="300"/>
  <c r="AJ42"/>
  <c r="AL42"/>
  <c r="AM42"/>
  <c r="AK42"/>
  <c r="W6" i="458"/>
  <c r="W7"/>
  <c r="AV27" i="531"/>
  <c r="AT25"/>
  <c r="AU26"/>
  <c r="AT26"/>
  <c r="AW28"/>
  <c r="AU27"/>
  <c r="AU25"/>
  <c r="AU28"/>
  <c r="AW27"/>
  <c r="AV26"/>
  <c r="AW29"/>
  <c r="AW25"/>
  <c r="AT29"/>
  <c r="AW26"/>
  <c r="AV28"/>
  <c r="AU29"/>
  <c r="AV29"/>
  <c r="AT28"/>
  <c r="AT27"/>
  <c r="AV25"/>
  <c r="E17" i="581"/>
  <c r="D13"/>
  <c r="D17"/>
  <c r="E14"/>
  <c r="D12"/>
  <c r="E4"/>
  <c r="E7"/>
  <c r="D7"/>
  <c r="E13"/>
  <c r="E16"/>
  <c r="D14"/>
  <c r="E15"/>
  <c r="E6"/>
  <c r="E12"/>
  <c r="D5"/>
  <c r="E11"/>
  <c r="D8"/>
  <c r="D9"/>
  <c r="D10"/>
  <c r="D18"/>
  <c r="E8"/>
  <c r="E5"/>
  <c r="D4"/>
  <c r="D16"/>
  <c r="D11"/>
  <c r="E10"/>
  <c r="E9"/>
  <c r="D6"/>
  <c r="E18"/>
  <c r="D15"/>
  <c r="R6" i="454"/>
  <c r="R7"/>
  <c r="N26" i="523"/>
  <c r="N29"/>
  <c r="K26"/>
  <c r="M28"/>
  <c r="M26"/>
  <c r="L28"/>
  <c r="K25"/>
  <c r="K29"/>
  <c r="N25"/>
  <c r="K27"/>
  <c r="M29"/>
  <c r="L26"/>
  <c r="L29"/>
  <c r="L25"/>
  <c r="N27"/>
  <c r="K28"/>
  <c r="L27"/>
  <c r="N28"/>
  <c r="M27"/>
  <c r="M25"/>
  <c r="I17" i="330"/>
  <c r="I9"/>
  <c r="I14"/>
  <c r="I18"/>
  <c r="I4"/>
  <c r="I21"/>
  <c r="I11"/>
  <c r="I10"/>
  <c r="I12"/>
  <c r="I13"/>
  <c r="I19"/>
  <c r="I6"/>
  <c r="I16"/>
  <c r="I15"/>
  <c r="I22"/>
  <c r="I7"/>
  <c r="I8"/>
  <c r="I23"/>
  <c r="I20"/>
  <c r="I5"/>
  <c r="F29" i="531"/>
  <c r="I29"/>
  <c r="I27"/>
  <c r="F26"/>
  <c r="G25"/>
  <c r="G29"/>
  <c r="G26"/>
  <c r="G28"/>
  <c r="H28"/>
  <c r="F25"/>
  <c r="H27"/>
  <c r="F28"/>
  <c r="G27"/>
  <c r="I25"/>
  <c r="H25"/>
  <c r="I26"/>
  <c r="I28"/>
  <c r="F27"/>
  <c r="H26"/>
  <c r="H29"/>
  <c r="N25" i="15"/>
  <c r="O29"/>
  <c r="N27"/>
  <c r="O26"/>
  <c r="N28"/>
  <c r="O28"/>
  <c r="O30"/>
  <c r="O32"/>
  <c r="M30"/>
  <c r="N26"/>
  <c r="M29"/>
  <c r="M26"/>
  <c r="M32"/>
  <c r="O27"/>
  <c r="N29"/>
  <c r="M31"/>
  <c r="M28"/>
  <c r="O31"/>
  <c r="N32"/>
  <c r="O25"/>
  <c r="M25"/>
  <c r="N30"/>
  <c r="M27"/>
  <c r="N31"/>
  <c r="E10" i="516"/>
  <c r="D7" i="498"/>
  <c r="D6"/>
  <c r="D8"/>
  <c r="G8" i="584"/>
  <c r="F6"/>
  <c r="F8"/>
  <c r="G7"/>
  <c r="F5"/>
  <c r="G6"/>
  <c r="G5"/>
  <c r="F7"/>
  <c r="E8" i="527"/>
  <c r="T6" i="489"/>
  <c r="I8" i="528"/>
  <c r="G8"/>
  <c r="F6"/>
  <c r="H10"/>
  <c r="G5"/>
  <c r="I7"/>
  <c r="G9"/>
  <c r="F9"/>
  <c r="G7"/>
  <c r="J8"/>
  <c r="J7"/>
  <c r="F10"/>
  <c r="F5"/>
  <c r="H7"/>
  <c r="G10"/>
  <c r="F7"/>
  <c r="J6"/>
  <c r="H9"/>
  <c r="F8"/>
  <c r="J5"/>
  <c r="I5"/>
  <c r="I9"/>
  <c r="I6"/>
  <c r="I10"/>
  <c r="H8"/>
  <c r="J10"/>
  <c r="J9"/>
  <c r="H6"/>
  <c r="H5"/>
  <c r="G6"/>
  <c r="L25" i="591"/>
  <c r="L18"/>
  <c r="L17"/>
  <c r="L14"/>
  <c r="L20"/>
  <c r="L28"/>
  <c r="L8"/>
  <c r="L31"/>
  <c r="L22"/>
  <c r="L16"/>
  <c r="L23"/>
  <c r="L6"/>
  <c r="L13"/>
  <c r="L29"/>
  <c r="L15"/>
  <c r="L24"/>
  <c r="L7"/>
  <c r="L21"/>
  <c r="L10"/>
  <c r="L5"/>
  <c r="L12"/>
  <c r="L9"/>
  <c r="L32"/>
  <c r="L3"/>
  <c r="L27"/>
  <c r="L19"/>
  <c r="L11"/>
  <c r="L26"/>
  <c r="L30"/>
  <c r="L4"/>
  <c r="V5" i="458"/>
  <c r="V4"/>
  <c r="AA23" i="466"/>
  <c r="AC25"/>
  <c r="AC24"/>
  <c r="AB24"/>
  <c r="AA25"/>
  <c r="AB23"/>
  <c r="AA24"/>
  <c r="AB25"/>
  <c r="AC23"/>
  <c r="AL18" i="510"/>
  <c r="AI16"/>
  <c r="AG19"/>
  <c r="AI15"/>
  <c r="AO16"/>
  <c r="AH15"/>
  <c r="AG18"/>
  <c r="AM17"/>
  <c r="AL19"/>
  <c r="AJ16"/>
  <c r="AF18"/>
  <c r="AK19"/>
  <c r="AE19"/>
  <c r="AH19"/>
  <c r="AL17"/>
  <c r="AG15"/>
  <c r="AN15"/>
  <c r="AG16"/>
  <c r="AE18"/>
  <c r="AO17"/>
  <c r="AJ18"/>
  <c r="AH18"/>
  <c r="AM16"/>
  <c r="AI17"/>
  <c r="AF15"/>
  <c r="AN18"/>
  <c r="AE15"/>
  <c r="AM18"/>
  <c r="AE17"/>
  <c r="AJ15"/>
  <c r="AJ19"/>
  <c r="AN17"/>
  <c r="AM19"/>
  <c r="AI19"/>
  <c r="AK18"/>
  <c r="AK15"/>
  <c r="AL15"/>
  <c r="AO19"/>
  <c r="AI18"/>
  <c r="AO18"/>
  <c r="AH16"/>
  <c r="AF19"/>
  <c r="AM15"/>
  <c r="AK17"/>
  <c r="AH17"/>
  <c r="AE16"/>
  <c r="AN19"/>
  <c r="AN16"/>
  <c r="AF16"/>
  <c r="AO15"/>
  <c r="AF17"/>
  <c r="AK16"/>
  <c r="AJ17"/>
  <c r="AG17"/>
  <c r="AL16"/>
  <c r="F13" i="586"/>
  <c r="F10"/>
  <c r="E13"/>
  <c r="D8"/>
  <c r="E11"/>
  <c r="F8"/>
  <c r="E8"/>
  <c r="E12"/>
  <c r="D12"/>
  <c r="D15"/>
  <c r="E14"/>
  <c r="E9"/>
  <c r="D13"/>
  <c r="D11"/>
  <c r="D10"/>
  <c r="D14"/>
  <c r="E6"/>
  <c r="F7"/>
  <c r="F6"/>
  <c r="F12"/>
  <c r="E7"/>
  <c r="F5"/>
  <c r="E15"/>
  <c r="D5"/>
  <c r="D9"/>
  <c r="F11"/>
  <c r="F14"/>
  <c r="D6"/>
  <c r="F9"/>
  <c r="D7"/>
  <c r="E10"/>
  <c r="F15"/>
  <c r="E5"/>
  <c r="G46" i="460"/>
  <c r="G47"/>
  <c r="AB44" i="290"/>
  <c r="AA43"/>
  <c r="AB43"/>
  <c r="AA42"/>
  <c r="AB42"/>
  <c r="AA44"/>
  <c r="G25" i="543"/>
  <c r="F23"/>
  <c r="F22"/>
  <c r="G22"/>
  <c r="G24"/>
  <c r="F24"/>
  <c r="F25"/>
  <c r="G21"/>
  <c r="G23"/>
  <c r="F21"/>
  <c r="Q15" i="71"/>
  <c r="R16"/>
  <c r="R14"/>
  <c r="Q14"/>
  <c r="R15"/>
  <c r="Q16"/>
  <c r="R6" i="467"/>
  <c r="S6"/>
  <c r="T6"/>
  <c r="E17" i="516"/>
  <c r="P23" i="529"/>
  <c r="E19" i="527"/>
  <c r="F8" i="457"/>
  <c r="F10"/>
  <c r="H12"/>
  <c r="H13"/>
  <c r="F13"/>
  <c r="F5"/>
  <c r="G5"/>
  <c r="G11"/>
  <c r="F12"/>
  <c r="G13"/>
  <c r="G9"/>
  <c r="G10"/>
  <c r="H8"/>
  <c r="H10"/>
  <c r="G12"/>
  <c r="G7"/>
  <c r="H5"/>
  <c r="H6"/>
  <c r="H9"/>
  <c r="F9"/>
  <c r="H11"/>
  <c r="F7"/>
  <c r="G8"/>
  <c r="F11"/>
  <c r="F6"/>
  <c r="G6"/>
  <c r="H7"/>
  <c r="T8" i="467"/>
  <c r="S8"/>
  <c r="R8"/>
  <c r="E21" i="527"/>
  <c r="N28" i="461"/>
  <c r="O26"/>
  <c r="N25"/>
  <c r="O29"/>
  <c r="O27"/>
  <c r="O30"/>
  <c r="N27"/>
  <c r="N31"/>
  <c r="O25"/>
  <c r="N29"/>
  <c r="O28"/>
  <c r="O31"/>
  <c r="N26"/>
  <c r="N30"/>
  <c r="Q4" i="509"/>
  <c r="Q3"/>
  <c r="P4"/>
  <c r="P5"/>
  <c r="P3"/>
  <c r="P6"/>
  <c r="O5"/>
  <c r="N6"/>
  <c r="O3"/>
  <c r="O6"/>
  <c r="P7"/>
  <c r="O7"/>
  <c r="Q6"/>
  <c r="N8"/>
  <c r="O4"/>
  <c r="N5"/>
  <c r="P8"/>
  <c r="N7"/>
  <c r="O8"/>
  <c r="N4"/>
  <c r="Q5"/>
  <c r="N3"/>
  <c r="Q8"/>
  <c r="Q7"/>
  <c r="K54" i="339"/>
  <c r="K52"/>
  <c r="K53"/>
  <c r="F17" i="523"/>
  <c r="G15"/>
  <c r="G5"/>
  <c r="I23"/>
  <c r="I18"/>
  <c r="F8"/>
  <c r="F22"/>
  <c r="H23"/>
  <c r="I4"/>
  <c r="I11"/>
  <c r="G13"/>
  <c r="G21"/>
  <c r="H15"/>
  <c r="H20"/>
  <c r="F23"/>
  <c r="I9"/>
  <c r="I20"/>
  <c r="F4"/>
  <c r="G18"/>
  <c r="H13"/>
  <c r="I6"/>
  <c r="G4"/>
  <c r="H6"/>
  <c r="I17"/>
  <c r="G10"/>
  <c r="G16"/>
  <c r="G20"/>
  <c r="F3"/>
  <c r="I16"/>
  <c r="I21"/>
  <c r="H10"/>
  <c r="H18"/>
  <c r="I12"/>
  <c r="I3"/>
  <c r="F12"/>
  <c r="G14"/>
  <c r="I14"/>
  <c r="H16"/>
  <c r="G6"/>
  <c r="H4"/>
  <c r="H19"/>
  <c r="I15"/>
  <c r="H21"/>
  <c r="F14"/>
  <c r="G11"/>
  <c r="H22"/>
  <c r="G3"/>
  <c r="G17"/>
  <c r="F18"/>
  <c r="G9"/>
  <c r="F10"/>
  <c r="F15"/>
  <c r="G19"/>
  <c r="F19"/>
  <c r="I8"/>
  <c r="F9"/>
  <c r="I13"/>
  <c r="H9"/>
  <c r="I10"/>
  <c r="F7"/>
  <c r="H7"/>
  <c r="H17"/>
  <c r="F21"/>
  <c r="G23"/>
  <c r="G7"/>
  <c r="G8"/>
  <c r="H11"/>
  <c r="I22"/>
  <c r="G12"/>
  <c r="F20"/>
  <c r="H5"/>
  <c r="H8"/>
  <c r="F6"/>
  <c r="F16"/>
  <c r="F11"/>
  <c r="I7"/>
  <c r="I19"/>
  <c r="H3"/>
  <c r="F5"/>
  <c r="G22"/>
  <c r="H12"/>
  <c r="I5"/>
  <c r="H14"/>
  <c r="F13"/>
  <c r="AI5" i="590"/>
  <c r="AF23"/>
  <c r="AF3"/>
  <c r="AH16"/>
  <c r="AF4"/>
  <c r="AI16"/>
  <c r="AF17"/>
  <c r="AF10"/>
  <c r="AK10"/>
  <c r="AH8"/>
  <c r="AI7"/>
  <c r="AG21"/>
  <c r="AK5"/>
  <c r="AI3"/>
  <c r="AK3"/>
  <c r="AG16"/>
  <c r="AF6"/>
  <c r="AF22"/>
  <c r="AG13"/>
  <c r="AG8"/>
  <c r="AH5"/>
  <c r="AJ5"/>
  <c r="AG15"/>
  <c r="AF14"/>
  <c r="AG5"/>
  <c r="AH24"/>
  <c r="AJ17"/>
  <c r="AK15"/>
  <c r="AK16"/>
  <c r="AH18"/>
  <c r="AJ23"/>
  <c r="AH12"/>
  <c r="AF5"/>
  <c r="AI8"/>
  <c r="AJ11"/>
  <c r="AH9"/>
  <c r="AI4"/>
  <c r="AJ9"/>
  <c r="AK8"/>
  <c r="AJ6"/>
  <c r="AG18"/>
  <c r="AJ22"/>
  <c r="AI18"/>
  <c r="AK6"/>
  <c r="AG3"/>
  <c r="AH10"/>
  <c r="AG23"/>
  <c r="AH3"/>
  <c r="AI6"/>
  <c r="AH11"/>
  <c r="AG10"/>
  <c r="AF7"/>
  <c r="AJ14"/>
  <c r="AI17"/>
  <c r="AG12"/>
  <c r="AJ12"/>
  <c r="AH13"/>
  <c r="AH22"/>
  <c r="AG4"/>
  <c r="AJ21"/>
  <c r="AF21"/>
  <c r="AK23"/>
  <c r="AH6"/>
  <c r="AI22"/>
  <c r="AK12"/>
  <c r="AF20"/>
  <c r="AK4"/>
  <c r="AG11"/>
  <c r="AJ20"/>
  <c r="AK19"/>
  <c r="AJ10"/>
  <c r="AH15"/>
  <c r="AK7"/>
  <c r="AF13"/>
  <c r="AI20"/>
  <c r="AJ19"/>
  <c r="AK20"/>
  <c r="AF15"/>
  <c r="AK21"/>
  <c r="AJ4"/>
  <c r="AJ13"/>
  <c r="AH19"/>
  <c r="AH4"/>
  <c r="AG19"/>
  <c r="AI23"/>
  <c r="AH7"/>
  <c r="AI13"/>
  <c r="AI21"/>
  <c r="AG17"/>
  <c r="AF16"/>
  <c r="AJ7"/>
  <c r="AJ16"/>
  <c r="AG20"/>
  <c r="AG22"/>
  <c r="AJ18"/>
  <c r="AF18"/>
  <c r="AI10"/>
  <c r="AG14"/>
  <c r="AF11"/>
  <c r="AH14"/>
  <c r="AF24"/>
  <c r="AG6"/>
  <c r="AJ3"/>
  <c r="AH20"/>
  <c r="AH23"/>
  <c r="AK24"/>
  <c r="AH21"/>
  <c r="AJ15"/>
  <c r="AI11"/>
  <c r="AK22"/>
  <c r="AK17"/>
  <c r="AK14"/>
  <c r="AJ8"/>
  <c r="AF8"/>
  <c r="AK13"/>
  <c r="AI15"/>
  <c r="AI14"/>
  <c r="AI9"/>
  <c r="AG9"/>
  <c r="AI24"/>
  <c r="AK11"/>
  <c r="AF19"/>
  <c r="AF9"/>
  <c r="AI12"/>
  <c r="AG24"/>
  <c r="AG7"/>
  <c r="AI19"/>
  <c r="AJ24"/>
  <c r="AK9"/>
  <c r="AF12"/>
  <c r="AH17"/>
  <c r="AK18"/>
  <c r="N6" i="474"/>
  <c r="P5"/>
  <c r="O8"/>
  <c r="O5"/>
  <c r="N8"/>
  <c r="O7"/>
  <c r="N7"/>
  <c r="O4"/>
  <c r="O6"/>
  <c r="P6"/>
  <c r="P7"/>
  <c r="P4"/>
  <c r="P8"/>
  <c r="N5"/>
  <c r="N4"/>
  <c r="AV18" i="302"/>
  <c r="AR15"/>
  <c r="AR17"/>
  <c r="AV19"/>
  <c r="AT19"/>
  <c r="AT16"/>
  <c r="AV17"/>
  <c r="AS15"/>
  <c r="AR19"/>
  <c r="AT18"/>
  <c r="AT15"/>
  <c r="AS17"/>
  <c r="AS19"/>
  <c r="AU17"/>
  <c r="AS18"/>
  <c r="AV15"/>
  <c r="AS16"/>
  <c r="AT17"/>
  <c r="AU18"/>
  <c r="AR18"/>
  <c r="AR16"/>
  <c r="AV16"/>
  <c r="AU15"/>
  <c r="AU19"/>
  <c r="AU16"/>
  <c r="L12" i="504"/>
  <c r="I16"/>
  <c r="G18"/>
  <c r="K14"/>
  <c r="G17"/>
  <c r="G15"/>
  <c r="I12"/>
  <c r="J11"/>
  <c r="K13"/>
  <c r="G13"/>
  <c r="J18"/>
  <c r="H13"/>
  <c r="H14"/>
  <c r="K18"/>
  <c r="G16"/>
  <c r="L11"/>
  <c r="L14"/>
  <c r="H18"/>
  <c r="G19"/>
  <c r="H15"/>
  <c r="I18"/>
  <c r="L13"/>
  <c r="H12"/>
  <c r="H17"/>
  <c r="J13"/>
  <c r="H16"/>
  <c r="G11"/>
  <c r="I13"/>
  <c r="G12"/>
  <c r="J17"/>
  <c r="K16"/>
  <c r="K12"/>
  <c r="K17"/>
  <c r="L17"/>
  <c r="H11"/>
  <c r="L18"/>
  <c r="I15"/>
  <c r="K11"/>
  <c r="I17"/>
  <c r="K15"/>
  <c r="G14"/>
  <c r="I11"/>
  <c r="J12"/>
  <c r="I19"/>
  <c r="K19"/>
  <c r="I14"/>
  <c r="L16"/>
  <c r="J14"/>
  <c r="L15"/>
  <c r="J16"/>
  <c r="H19"/>
  <c r="L19"/>
  <c r="J19"/>
  <c r="J15"/>
  <c r="Z25" i="523"/>
  <c r="AC25"/>
  <c r="AA26"/>
  <c r="AA28"/>
  <c r="AA27"/>
  <c r="AC29"/>
  <c r="AB26"/>
  <c r="Z28"/>
  <c r="AB29"/>
  <c r="AC26"/>
  <c r="AA25"/>
  <c r="Z29"/>
  <c r="AC28"/>
  <c r="AB27"/>
  <c r="Z26"/>
  <c r="AB28"/>
  <c r="AB25"/>
  <c r="AC27"/>
  <c r="AA29"/>
  <c r="Z27"/>
  <c r="K9" i="555"/>
  <c r="K14"/>
  <c r="K13"/>
  <c r="K8"/>
  <c r="K15"/>
  <c r="K12"/>
  <c r="K6"/>
  <c r="K11"/>
  <c r="K7"/>
  <c r="K10"/>
  <c r="K5"/>
  <c r="K16"/>
  <c r="I29" i="465"/>
  <c r="H29"/>
  <c r="M31"/>
  <c r="M30"/>
  <c r="N30"/>
  <c r="H31"/>
  <c r="H30"/>
  <c r="L29"/>
  <c r="J29"/>
  <c r="K31"/>
  <c r="J31"/>
  <c r="N29"/>
  <c r="L31"/>
  <c r="J30"/>
  <c r="K29"/>
  <c r="K30"/>
  <c r="I31"/>
  <c r="I30"/>
  <c r="M29"/>
  <c r="N31"/>
  <c r="L30"/>
  <c r="H33" i="297"/>
  <c r="K32"/>
  <c r="I32"/>
  <c r="J31"/>
  <c r="K31"/>
  <c r="J32"/>
  <c r="H30"/>
  <c r="J33"/>
  <c r="I30"/>
  <c r="J30"/>
  <c r="K33"/>
  <c r="H32"/>
  <c r="K30"/>
  <c r="I33"/>
  <c r="H31"/>
  <c r="I31"/>
  <c r="E8" i="516"/>
  <c r="AN26" i="300"/>
  <c r="AL31"/>
  <c r="AN27"/>
  <c r="AM26"/>
  <c r="AM27"/>
  <c r="AN29"/>
  <c r="AK26"/>
  <c r="AL27"/>
  <c r="AN31"/>
  <c r="AJ30"/>
  <c r="AN30"/>
  <c r="AL28"/>
  <c r="AO28"/>
  <c r="AM31"/>
  <c r="AJ26"/>
  <c r="AM28"/>
  <c r="AO26"/>
  <c r="AL30"/>
  <c r="AM30"/>
  <c r="AO31"/>
  <c r="AO27"/>
  <c r="AO29"/>
  <c r="AL26"/>
  <c r="AJ29"/>
  <c r="AK27"/>
  <c r="AK31"/>
  <c r="AO30"/>
  <c r="AJ27"/>
  <c r="AN28"/>
  <c r="AK29"/>
  <c r="AJ31"/>
  <c r="AK28"/>
  <c r="AM29"/>
  <c r="AK30"/>
  <c r="AL29"/>
  <c r="AJ28"/>
  <c r="E10" i="527"/>
  <c r="B13" i="531"/>
  <c r="C12"/>
  <c r="A12"/>
  <c r="D16"/>
  <c r="A14"/>
  <c r="B19"/>
  <c r="D15"/>
  <c r="D10"/>
  <c r="A20"/>
  <c r="C21"/>
  <c r="C15"/>
  <c r="D13"/>
  <c r="B16"/>
  <c r="A13"/>
  <c r="A11"/>
  <c r="C20"/>
  <c r="B4"/>
  <c r="A19"/>
  <c r="B14"/>
  <c r="B5"/>
  <c r="A22"/>
  <c r="D6"/>
  <c r="B3"/>
  <c r="D8"/>
  <c r="D21"/>
  <c r="C4"/>
  <c r="C10"/>
  <c r="B20"/>
  <c r="A9"/>
  <c r="C19"/>
  <c r="B23"/>
  <c r="B6"/>
  <c r="D7"/>
  <c r="C14"/>
  <c r="D11"/>
  <c r="C17"/>
  <c r="A3"/>
  <c r="B17"/>
  <c r="C16"/>
  <c r="B21"/>
  <c r="A8"/>
  <c r="B15"/>
  <c r="C8"/>
  <c r="D17"/>
  <c r="C18"/>
  <c r="C9"/>
  <c r="A15"/>
  <c r="B8"/>
  <c r="B11"/>
  <c r="A4"/>
  <c r="D4"/>
  <c r="C23"/>
  <c r="A17"/>
  <c r="A21"/>
  <c r="A18"/>
  <c r="A16"/>
  <c r="C11"/>
  <c r="C6"/>
  <c r="D18"/>
  <c r="D23"/>
  <c r="B9"/>
  <c r="D3"/>
  <c r="D14"/>
  <c r="D5"/>
  <c r="D20"/>
  <c r="C22"/>
  <c r="A5"/>
  <c r="D19"/>
  <c r="A23"/>
  <c r="C3"/>
  <c r="B12"/>
  <c r="D9"/>
  <c r="C13"/>
  <c r="B18"/>
  <c r="A6"/>
  <c r="D12"/>
  <c r="B7"/>
  <c r="C7"/>
  <c r="A10"/>
  <c r="C5"/>
  <c r="A7"/>
  <c r="D22"/>
  <c r="B22"/>
  <c r="B10"/>
  <c r="J55" i="462"/>
  <c r="I57"/>
  <c r="K59"/>
  <c r="I56"/>
  <c r="K60"/>
  <c r="J57"/>
  <c r="J56"/>
  <c r="I55"/>
  <c r="I58"/>
  <c r="L58"/>
  <c r="I54"/>
  <c r="K55"/>
  <c r="J54"/>
  <c r="J59"/>
  <c r="J58"/>
  <c r="K54"/>
  <c r="L55"/>
  <c r="J60"/>
  <c r="L59"/>
  <c r="K57"/>
  <c r="I60"/>
  <c r="L57"/>
  <c r="L54"/>
  <c r="K56"/>
  <c r="I59"/>
  <c r="L56"/>
  <c r="L60"/>
  <c r="K58"/>
  <c r="I7" i="417"/>
  <c r="I6"/>
  <c r="K7"/>
  <c r="J5"/>
  <c r="J6"/>
  <c r="I5"/>
  <c r="J7"/>
  <c r="K5"/>
  <c r="K6"/>
  <c r="O10" i="15"/>
  <c r="O8"/>
  <c r="M6"/>
  <c r="O5"/>
  <c r="O6"/>
  <c r="O7"/>
  <c r="N7"/>
  <c r="M4"/>
  <c r="N8"/>
  <c r="N6"/>
  <c r="N9"/>
  <c r="O11"/>
  <c r="M11"/>
  <c r="O9"/>
  <c r="M10"/>
  <c r="M8"/>
  <c r="N10"/>
  <c r="O4"/>
  <c r="N4"/>
  <c r="M5"/>
  <c r="N11"/>
  <c r="N5"/>
  <c r="M9"/>
  <c r="M7"/>
  <c r="P4" i="489"/>
  <c r="Q9"/>
  <c r="P9"/>
  <c r="P10"/>
  <c r="Q4"/>
  <c r="Q7"/>
  <c r="P6"/>
  <c r="P8"/>
  <c r="Q5"/>
  <c r="P7"/>
  <c r="P5"/>
  <c r="Q6"/>
  <c r="Q10"/>
  <c r="Q8"/>
  <c r="O10" i="457"/>
  <c r="P7"/>
  <c r="Q12"/>
  <c r="R12"/>
  <c r="O13"/>
  <c r="P8"/>
  <c r="Q9"/>
  <c r="R5"/>
  <c r="R10"/>
  <c r="P5"/>
  <c r="O9"/>
  <c r="O11"/>
  <c r="P13"/>
  <c r="O5"/>
  <c r="R8"/>
  <c r="R9"/>
  <c r="Q13"/>
  <c r="R11"/>
  <c r="P6"/>
  <c r="Q10"/>
  <c r="Q7"/>
  <c r="R6"/>
  <c r="Q6"/>
  <c r="Q5"/>
  <c r="P11"/>
  <c r="P12"/>
  <c r="R13"/>
  <c r="R7"/>
  <c r="O6"/>
  <c r="O8"/>
  <c r="P9"/>
  <c r="O12"/>
  <c r="O7"/>
  <c r="Q11"/>
  <c r="Q8"/>
  <c r="P10"/>
  <c r="O8" i="585"/>
  <c r="P7"/>
  <c r="O5"/>
  <c r="P8"/>
  <c r="O6"/>
  <c r="O7"/>
  <c r="P6"/>
  <c r="P5"/>
  <c r="E6" i="518"/>
  <c r="G8" i="414"/>
  <c r="I7"/>
  <c r="I6"/>
  <c r="H5"/>
  <c r="G6"/>
  <c r="H6"/>
  <c r="I8"/>
  <c r="G7"/>
  <c r="H8"/>
  <c r="I5"/>
  <c r="G5"/>
  <c r="H7"/>
  <c r="P15" i="529"/>
  <c r="O5" i="341"/>
  <c r="O6"/>
  <c r="O11"/>
  <c r="O4"/>
  <c r="O7"/>
  <c r="O13"/>
  <c r="O8"/>
  <c r="O10"/>
  <c r="O14"/>
  <c r="O12"/>
  <c r="O9"/>
  <c r="F16" i="450"/>
  <c r="G16"/>
  <c r="H16"/>
  <c r="AR26" i="610"/>
  <c r="AN24"/>
  <c r="AR24"/>
  <c r="AO23"/>
  <c r="AP25"/>
  <c r="AO25"/>
  <c r="AQ24"/>
  <c r="AR25"/>
  <c r="AN25"/>
  <c r="AP26"/>
  <c r="AS24"/>
  <c r="AO24"/>
  <c r="AT23"/>
  <c r="AQ26"/>
  <c r="AQ25"/>
  <c r="AT25"/>
  <c r="AT24"/>
  <c r="AS23"/>
  <c r="AR23"/>
  <c r="AP23"/>
  <c r="AP24"/>
  <c r="AQ23"/>
  <c r="AO26"/>
  <c r="AS25"/>
  <c r="AN23"/>
  <c r="AT26"/>
  <c r="AN26"/>
  <c r="AS26"/>
  <c r="S18" i="486"/>
  <c r="S20"/>
  <c r="S19"/>
  <c r="S17"/>
  <c r="H25" i="523"/>
  <c r="I25"/>
  <c r="H28"/>
  <c r="G25"/>
  <c r="I26"/>
  <c r="F27"/>
  <c r="H27"/>
  <c r="G28"/>
  <c r="F25"/>
  <c r="F26"/>
  <c r="H26"/>
  <c r="F29"/>
  <c r="I27"/>
  <c r="I28"/>
  <c r="H29"/>
  <c r="G27"/>
  <c r="G29"/>
  <c r="G26"/>
  <c r="I29"/>
  <c r="F28"/>
  <c r="AA9" i="353"/>
  <c r="Z7"/>
  <c r="Z12"/>
  <c r="Z9"/>
  <c r="AA11"/>
  <c r="Z11"/>
  <c r="AA10"/>
  <c r="Z6"/>
  <c r="AA8"/>
  <c r="AA7"/>
  <c r="Z10"/>
  <c r="Z8"/>
  <c r="AA6"/>
  <c r="AA12"/>
  <c r="J5" i="71"/>
  <c r="K6"/>
  <c r="K5"/>
  <c r="J7"/>
  <c r="K7"/>
  <c r="J6"/>
  <c r="I29" i="466"/>
  <c r="I30"/>
  <c r="I31"/>
  <c r="M33" i="86"/>
  <c r="M30"/>
  <c r="M31"/>
  <c r="N30"/>
  <c r="N31"/>
  <c r="M32"/>
  <c r="N32"/>
  <c r="N33"/>
  <c r="T11" i="451"/>
  <c r="T35"/>
  <c r="S10"/>
  <c r="T20"/>
  <c r="S19"/>
  <c r="T15"/>
  <c r="S12"/>
  <c r="S8"/>
  <c r="T5"/>
  <c r="T29"/>
  <c r="T9"/>
  <c r="S5"/>
  <c r="T30"/>
  <c r="S6"/>
  <c r="S28"/>
  <c r="S21"/>
  <c r="S13"/>
  <c r="S25"/>
  <c r="S17"/>
  <c r="T10"/>
  <c r="T19"/>
  <c r="T12"/>
  <c r="T25"/>
  <c r="S7"/>
  <c r="S34"/>
  <c r="T13"/>
  <c r="S18"/>
  <c r="S29"/>
  <c r="T17"/>
  <c r="T7"/>
  <c r="T14"/>
  <c r="S22"/>
  <c r="T8"/>
  <c r="T21"/>
  <c r="T34"/>
  <c r="S30"/>
  <c r="T33"/>
  <c r="S27"/>
  <c r="T28"/>
  <c r="S15"/>
  <c r="S24"/>
  <c r="T24"/>
  <c r="T16"/>
  <c r="S14"/>
  <c r="S26"/>
  <c r="T22"/>
  <c r="T27"/>
  <c r="T26"/>
  <c r="S20"/>
  <c r="T23"/>
  <c r="S9"/>
  <c r="T32"/>
  <c r="S23"/>
  <c r="S16"/>
  <c r="S35"/>
  <c r="T31"/>
  <c r="S33"/>
  <c r="S31"/>
  <c r="S32"/>
  <c r="T6"/>
  <c r="T18"/>
  <c r="S11"/>
  <c r="P27" i="474"/>
  <c r="O27"/>
  <c r="O29"/>
  <c r="O30"/>
  <c r="O28"/>
  <c r="P29"/>
  <c r="P28"/>
  <c r="P30"/>
  <c r="O14" i="506"/>
  <c r="P8"/>
  <c r="P5"/>
  <c r="P11"/>
  <c r="N15"/>
  <c r="O8"/>
  <c r="Q11"/>
  <c r="N14"/>
  <c r="O11"/>
  <c r="N17"/>
  <c r="O23"/>
  <c r="N13"/>
  <c r="Q5"/>
  <c r="Q13"/>
  <c r="P7"/>
  <c r="Q22"/>
  <c r="O12"/>
  <c r="Q10"/>
  <c r="P15"/>
  <c r="Q8"/>
  <c r="P13"/>
  <c r="N16"/>
  <c r="Q4"/>
  <c r="O7"/>
  <c r="O19"/>
  <c r="O5"/>
  <c r="N5"/>
  <c r="O15"/>
  <c r="O13"/>
  <c r="P6"/>
  <c r="P10"/>
  <c r="P18"/>
  <c r="O17"/>
  <c r="N11"/>
  <c r="N9"/>
  <c r="N21"/>
  <c r="O20"/>
  <c r="Q17"/>
  <c r="Q3"/>
  <c r="P3"/>
  <c r="P4"/>
  <c r="N20"/>
  <c r="P14"/>
  <c r="P9"/>
  <c r="Q7"/>
  <c r="N7"/>
  <c r="N22"/>
  <c r="O16"/>
  <c r="O9"/>
  <c r="N8"/>
  <c r="Q19"/>
  <c r="Q14"/>
  <c r="O22"/>
  <c r="Q18"/>
  <c r="Q6"/>
  <c r="O21"/>
  <c r="O6"/>
  <c r="Q23"/>
  <c r="N6"/>
  <c r="N19"/>
  <c r="N18"/>
  <c r="P17"/>
  <c r="Q20"/>
  <c r="N3"/>
  <c r="Q21"/>
  <c r="O18"/>
  <c r="Q9"/>
  <c r="P20"/>
  <c r="P22"/>
  <c r="N10"/>
  <c r="P12"/>
  <c r="P23"/>
  <c r="N12"/>
  <c r="O10"/>
  <c r="P16"/>
  <c r="O4"/>
  <c r="N4"/>
  <c r="O3"/>
  <c r="Q15"/>
  <c r="P19"/>
  <c r="P21"/>
  <c r="N23"/>
  <c r="Q12"/>
  <c r="Q16"/>
  <c r="O97" i="463"/>
  <c r="I100"/>
  <c r="L100"/>
  <c r="H99"/>
  <c r="L99"/>
  <c r="I97"/>
  <c r="H97"/>
  <c r="J97"/>
  <c r="K97"/>
  <c r="K100"/>
  <c r="K96"/>
  <c r="N97"/>
  <c r="N98"/>
  <c r="M100"/>
  <c r="L96"/>
  <c r="L97"/>
  <c r="J99"/>
  <c r="I96"/>
  <c r="N100"/>
  <c r="M97"/>
  <c r="H100"/>
  <c r="M99"/>
  <c r="J100"/>
  <c r="O96"/>
  <c r="J96"/>
  <c r="H96"/>
  <c r="O98"/>
  <c r="O99"/>
  <c r="M98"/>
  <c r="H98"/>
  <c r="N99"/>
  <c r="O100"/>
  <c r="L98"/>
  <c r="K99"/>
  <c r="J98"/>
  <c r="M96"/>
  <c r="K98"/>
  <c r="I99"/>
  <c r="N96"/>
  <c r="I98"/>
  <c r="H16" i="522"/>
  <c r="H15"/>
  <c r="J16"/>
  <c r="H14"/>
  <c r="J13"/>
  <c r="I13"/>
  <c r="G15"/>
  <c r="H13"/>
  <c r="J14"/>
  <c r="G16"/>
  <c r="I14"/>
  <c r="I16"/>
  <c r="G14"/>
  <c r="G13"/>
  <c r="J15"/>
  <c r="I15"/>
  <c r="J11" i="369"/>
  <c r="J8"/>
  <c r="J12"/>
  <c r="J7"/>
  <c r="J10"/>
  <c r="J6"/>
  <c r="J9"/>
  <c r="V74" i="463"/>
  <c r="V73"/>
  <c r="V72"/>
  <c r="V75"/>
  <c r="L8" i="606"/>
  <c r="L7"/>
  <c r="J8"/>
  <c r="J7"/>
  <c r="M9"/>
  <c r="K6"/>
  <c r="K7"/>
  <c r="K9"/>
  <c r="K8"/>
  <c r="M6"/>
  <c r="J6"/>
  <c r="M8"/>
  <c r="L6"/>
  <c r="L9"/>
  <c r="J9"/>
  <c r="M7"/>
  <c r="P10" i="529"/>
  <c r="M17" i="470"/>
  <c r="L17"/>
  <c r="M14"/>
  <c r="K14"/>
  <c r="L14"/>
  <c r="M15"/>
  <c r="M16"/>
  <c r="L16"/>
  <c r="K15"/>
  <c r="K16"/>
  <c r="K17"/>
  <c r="L15"/>
  <c r="T26" i="508"/>
  <c r="T27"/>
  <c r="V25"/>
  <c r="V27"/>
  <c r="U25"/>
  <c r="U27"/>
  <c r="W29"/>
  <c r="U28"/>
  <c r="T28"/>
  <c r="U26"/>
  <c r="V28"/>
  <c r="T25"/>
  <c r="V26"/>
  <c r="W26"/>
  <c r="T29"/>
  <c r="W28"/>
  <c r="V29"/>
  <c r="U29"/>
  <c r="W27"/>
  <c r="W25"/>
  <c r="Q5" i="510"/>
  <c r="Q20"/>
  <c r="P14"/>
  <c r="P11"/>
  <c r="N5"/>
  <c r="Q6"/>
  <c r="N19"/>
  <c r="N10"/>
  <c r="O23"/>
  <c r="O15"/>
  <c r="P5"/>
  <c r="Q4"/>
  <c r="P18"/>
  <c r="N17"/>
  <c r="Q8"/>
  <c r="N20"/>
  <c r="N21"/>
  <c r="P17"/>
  <c r="O16"/>
  <c r="O14"/>
  <c r="O9"/>
  <c r="O21"/>
  <c r="O5"/>
  <c r="N23"/>
  <c r="O18"/>
  <c r="P21"/>
  <c r="N16"/>
  <c r="Q11"/>
  <c r="Q23"/>
  <c r="N14"/>
  <c r="Q19"/>
  <c r="P12"/>
  <c r="O17"/>
  <c r="P13"/>
  <c r="P10"/>
  <c r="N12"/>
  <c r="P23"/>
  <c r="P9"/>
  <c r="Q18"/>
  <c r="P4"/>
  <c r="Q22"/>
  <c r="O11"/>
  <c r="O22"/>
  <c r="O6"/>
  <c r="N9"/>
  <c r="Q16"/>
  <c r="Q13"/>
  <c r="O4"/>
  <c r="N18"/>
  <c r="O19"/>
  <c r="O13"/>
  <c r="O12"/>
  <c r="O10"/>
  <c r="P22"/>
  <c r="Q9"/>
  <c r="Q15"/>
  <c r="P20"/>
  <c r="P6"/>
  <c r="Q10"/>
  <c r="N22"/>
  <c r="Q21"/>
  <c r="N8"/>
  <c r="O20"/>
  <c r="P19"/>
  <c r="O8"/>
  <c r="P16"/>
  <c r="N15"/>
  <c r="N7"/>
  <c r="Q7"/>
  <c r="Q12"/>
  <c r="P7"/>
  <c r="Q14"/>
  <c r="N13"/>
  <c r="N6"/>
  <c r="O7"/>
  <c r="N4"/>
  <c r="P8"/>
  <c r="P15"/>
  <c r="N11"/>
  <c r="Q17"/>
  <c r="X9" i="414"/>
  <c r="X10"/>
  <c r="X6"/>
  <c r="X7"/>
  <c r="X8"/>
  <c r="X5"/>
  <c r="I20" i="511"/>
  <c r="L26"/>
  <c r="J19"/>
  <c r="K25"/>
  <c r="G26"/>
  <c r="I23"/>
  <c r="G21"/>
  <c r="H21"/>
  <c r="I25"/>
  <c r="I21"/>
  <c r="G20"/>
  <c r="J20"/>
  <c r="G18"/>
  <c r="H25"/>
  <c r="H20"/>
  <c r="L23"/>
  <c r="K24"/>
  <c r="K23"/>
  <c r="H18"/>
  <c r="L22"/>
  <c r="I26"/>
  <c r="L18"/>
  <c r="G25"/>
  <c r="L21"/>
  <c r="L25"/>
  <c r="L20"/>
  <c r="G19"/>
  <c r="K21"/>
  <c r="I19"/>
  <c r="K18"/>
  <c r="H26"/>
  <c r="G23"/>
  <c r="H19"/>
  <c r="H23"/>
  <c r="H24"/>
  <c r="H22"/>
  <c r="I18"/>
  <c r="I22"/>
  <c r="K19"/>
  <c r="K22"/>
  <c r="J26"/>
  <c r="K26"/>
  <c r="L19"/>
  <c r="J23"/>
  <c r="J22"/>
  <c r="K20"/>
  <c r="G24"/>
  <c r="J18"/>
  <c r="J25"/>
  <c r="L24"/>
  <c r="J24"/>
  <c r="I24"/>
  <c r="G22"/>
  <c r="J21"/>
  <c r="T9" i="73"/>
  <c r="T8"/>
  <c r="T10"/>
  <c r="T12"/>
  <c r="T4"/>
  <c r="T15"/>
  <c r="T11"/>
  <c r="T13"/>
  <c r="T7"/>
  <c r="T6"/>
  <c r="T14"/>
  <c r="T5"/>
  <c r="S7" i="60"/>
  <c r="S6"/>
  <c r="T7"/>
  <c r="S4"/>
  <c r="T6"/>
  <c r="T5"/>
  <c r="T4"/>
  <c r="S5"/>
  <c r="G87" i="339"/>
  <c r="I86"/>
  <c r="H86"/>
  <c r="G86"/>
  <c r="H84"/>
  <c r="I85"/>
  <c r="H85"/>
  <c r="I87"/>
  <c r="G85"/>
  <c r="I84"/>
  <c r="H87"/>
  <c r="G84"/>
  <c r="G17" i="582"/>
  <c r="G18"/>
  <c r="G16"/>
  <c r="F17"/>
  <c r="F16"/>
  <c r="F18"/>
  <c r="I20" i="606"/>
  <c r="I19"/>
  <c r="I22"/>
  <c r="I21"/>
  <c r="Q8" i="511"/>
  <c r="O4"/>
  <c r="O6"/>
  <c r="P7"/>
  <c r="P4"/>
  <c r="P5"/>
  <c r="R5"/>
  <c r="R7"/>
  <c r="R8"/>
  <c r="P8"/>
  <c r="Q5"/>
  <c r="Q4"/>
  <c r="R6"/>
  <c r="O5"/>
  <c r="P6"/>
  <c r="R4"/>
  <c r="Q7"/>
  <c r="O8"/>
  <c r="O7"/>
  <c r="Q6"/>
  <c r="S8" i="454"/>
  <c r="S9"/>
  <c r="E15" i="527"/>
  <c r="M16" i="496"/>
  <c r="N19"/>
  <c r="N16"/>
  <c r="M18"/>
  <c r="N17"/>
  <c r="M19"/>
  <c r="M17"/>
  <c r="M20"/>
  <c r="N20"/>
  <c r="N18"/>
  <c r="E18" i="527"/>
  <c r="S9" i="463"/>
  <c r="S7"/>
  <c r="S8"/>
  <c r="H20" i="506"/>
  <c r="K17"/>
  <c r="I10"/>
  <c r="I8"/>
  <c r="K7"/>
  <c r="K21"/>
  <c r="H11"/>
  <c r="H15"/>
  <c r="K19"/>
  <c r="K22"/>
  <c r="I14"/>
  <c r="I4"/>
  <c r="K10"/>
  <c r="K9"/>
  <c r="J19"/>
  <c r="J18"/>
  <c r="H19"/>
  <c r="K23"/>
  <c r="J17"/>
  <c r="K18"/>
  <c r="K8"/>
  <c r="H9"/>
  <c r="K6"/>
  <c r="J12"/>
  <c r="H22"/>
  <c r="J13"/>
  <c r="K20"/>
  <c r="H10"/>
  <c r="H14"/>
  <c r="J15"/>
  <c r="H6"/>
  <c r="J14"/>
  <c r="H17"/>
  <c r="J11"/>
  <c r="I13"/>
  <c r="H18"/>
  <c r="H7"/>
  <c r="J20"/>
  <c r="H5"/>
  <c r="K16"/>
  <c r="I22"/>
  <c r="K12"/>
  <c r="H13"/>
  <c r="J6"/>
  <c r="K14"/>
  <c r="H4"/>
  <c r="I11"/>
  <c r="I20"/>
  <c r="I21"/>
  <c r="I19"/>
  <c r="H8"/>
  <c r="I17"/>
  <c r="J5"/>
  <c r="I12"/>
  <c r="J9"/>
  <c r="I6"/>
  <c r="I15"/>
  <c r="J8"/>
  <c r="I5"/>
  <c r="I9"/>
  <c r="H21"/>
  <c r="H12"/>
  <c r="I23"/>
  <c r="K11"/>
  <c r="J21"/>
  <c r="J23"/>
  <c r="H16"/>
  <c r="I16"/>
  <c r="J4"/>
  <c r="H23"/>
  <c r="I7"/>
  <c r="J16"/>
  <c r="I18"/>
  <c r="J7"/>
  <c r="K15"/>
  <c r="K13"/>
  <c r="J22"/>
  <c r="J10"/>
  <c r="K5"/>
  <c r="K4"/>
  <c r="I21" i="417"/>
  <c r="K23"/>
  <c r="I23"/>
  <c r="I22"/>
  <c r="J23"/>
  <c r="J22"/>
  <c r="K24"/>
  <c r="J21"/>
  <c r="I24"/>
  <c r="J24"/>
  <c r="K21"/>
  <c r="K22"/>
  <c r="H26" i="508"/>
  <c r="J28"/>
  <c r="H28"/>
  <c r="K28"/>
  <c r="J27"/>
  <c r="I25"/>
  <c r="H27"/>
  <c r="I28"/>
  <c r="I26"/>
  <c r="K25"/>
  <c r="H25"/>
  <c r="J25"/>
  <c r="H29"/>
  <c r="I27"/>
  <c r="K27"/>
  <c r="K29"/>
  <c r="K26"/>
  <c r="J26"/>
  <c r="I29"/>
  <c r="J29"/>
  <c r="I65" i="462"/>
  <c r="G65"/>
  <c r="H64"/>
  <c r="I64"/>
  <c r="L65"/>
  <c r="G67"/>
  <c r="H66"/>
  <c r="F65"/>
  <c r="K65"/>
  <c r="J64"/>
  <c r="E67"/>
  <c r="I67"/>
  <c r="G66"/>
  <c r="H65"/>
  <c r="K66"/>
  <c r="K64"/>
  <c r="E66"/>
  <c r="J65"/>
  <c r="K67"/>
  <c r="J67"/>
  <c r="I66"/>
  <c r="H67"/>
  <c r="L66"/>
  <c r="E64"/>
  <c r="L67"/>
  <c r="F67"/>
  <c r="J66"/>
  <c r="F64"/>
  <c r="F66"/>
  <c r="G64"/>
  <c r="L64"/>
  <c r="E65"/>
  <c r="P5" i="529"/>
  <c r="K4" i="60"/>
  <c r="J6"/>
  <c r="K5"/>
  <c r="J5"/>
  <c r="J4"/>
  <c r="J7"/>
  <c r="K6"/>
  <c r="K7"/>
  <c r="F20" i="339"/>
  <c r="F19"/>
  <c r="G18"/>
  <c r="H19"/>
  <c r="I20"/>
  <c r="G20"/>
  <c r="G19"/>
  <c r="H20"/>
  <c r="H18"/>
  <c r="I18"/>
  <c r="I19"/>
  <c r="F18"/>
  <c r="R7" i="467"/>
  <c r="T7"/>
  <c r="S7"/>
  <c r="F11" i="497"/>
  <c r="F4"/>
  <c r="F8"/>
  <c r="F9"/>
  <c r="F7"/>
  <c r="F5"/>
  <c r="F13"/>
  <c r="F10"/>
  <c r="F6"/>
  <c r="F12"/>
  <c r="R19" i="499"/>
  <c r="R20"/>
  <c r="H57" i="479"/>
  <c r="H56"/>
  <c r="H58"/>
  <c r="I58"/>
  <c r="I56"/>
  <c r="I57"/>
  <c r="F4" i="450"/>
  <c r="H4"/>
  <c r="G4"/>
  <c r="AB21" i="522"/>
  <c r="AB22"/>
  <c r="AB20"/>
  <c r="AB19"/>
  <c r="E11" i="517"/>
  <c r="Y12" i="352"/>
  <c r="Y7"/>
  <c r="X11"/>
  <c r="Y11"/>
  <c r="X5"/>
  <c r="Y8"/>
  <c r="Y5"/>
  <c r="X8"/>
  <c r="X4"/>
  <c r="Y6"/>
  <c r="X6"/>
  <c r="X10"/>
  <c r="Y9"/>
  <c r="X9"/>
  <c r="X12"/>
  <c r="Y4"/>
  <c r="Y10"/>
  <c r="X7"/>
  <c r="E12" i="555"/>
  <c r="E10"/>
  <c r="E8"/>
  <c r="E13"/>
  <c r="E15"/>
  <c r="E16"/>
  <c r="E5"/>
  <c r="E9"/>
  <c r="E6"/>
  <c r="E7"/>
  <c r="E11"/>
  <c r="E14"/>
  <c r="E19" i="516"/>
  <c r="S9" i="333"/>
  <c r="W7"/>
  <c r="Z12"/>
  <c r="R11"/>
  <c r="W11"/>
  <c r="Q10"/>
  <c r="U8"/>
  <c r="S5"/>
  <c r="T7"/>
  <c r="V6"/>
  <c r="Q8"/>
  <c r="Z7"/>
  <c r="X4"/>
  <c r="R4"/>
  <c r="Q3"/>
  <c r="V3"/>
  <c r="Y3"/>
  <c r="W3"/>
  <c r="Z10"/>
  <c r="T9"/>
  <c r="X7"/>
  <c r="U9"/>
  <c r="U10"/>
  <c r="R7"/>
  <c r="R8"/>
  <c r="Z3"/>
  <c r="Q9"/>
  <c r="W10"/>
  <c r="U3"/>
  <c r="V8"/>
  <c r="Z11"/>
  <c r="T10"/>
  <c r="V9"/>
  <c r="V5"/>
  <c r="Q12"/>
  <c r="W5"/>
  <c r="Z6"/>
  <c r="S6"/>
  <c r="R3"/>
  <c r="Y5"/>
  <c r="S10"/>
  <c r="R9"/>
  <c r="T11"/>
  <c r="S4"/>
  <c r="S3"/>
  <c r="R5"/>
  <c r="T8"/>
  <c r="U11"/>
  <c r="S11"/>
  <c r="S7"/>
  <c r="U4"/>
  <c r="W9"/>
  <c r="Y11"/>
  <c r="T12"/>
  <c r="Z4"/>
  <c r="Z8"/>
  <c r="Z9"/>
  <c r="Y12"/>
  <c r="U7"/>
  <c r="X6"/>
  <c r="T3"/>
  <c r="Y8"/>
  <c r="X10"/>
  <c r="U6"/>
  <c r="R10"/>
  <c r="Y7"/>
  <c r="X8"/>
  <c r="V10"/>
  <c r="Q7"/>
  <c r="W6"/>
  <c r="V12"/>
  <c r="Z5"/>
  <c r="Y10"/>
  <c r="Y9"/>
  <c r="X11"/>
  <c r="V11"/>
  <c r="Q11"/>
  <c r="R12"/>
  <c r="W12"/>
  <c r="U5"/>
  <c r="W8"/>
  <c r="X5"/>
  <c r="Y4"/>
  <c r="Q5"/>
  <c r="U12"/>
  <c r="T6"/>
  <c r="T4"/>
  <c r="S8"/>
  <c r="X3"/>
  <c r="Q6"/>
  <c r="Q4"/>
  <c r="X9"/>
  <c r="W4"/>
  <c r="R6"/>
  <c r="X12"/>
  <c r="T5"/>
  <c r="S12"/>
  <c r="V4"/>
  <c r="V7"/>
  <c r="Y6"/>
  <c r="I15" i="470"/>
  <c r="H18"/>
  <c r="I18"/>
  <c r="I14"/>
  <c r="I16"/>
  <c r="I17"/>
  <c r="H15"/>
  <c r="H17"/>
  <c r="H16"/>
  <c r="H14"/>
  <c r="D7" i="494"/>
  <c r="D13"/>
  <c r="E14"/>
  <c r="D16"/>
  <c r="E12"/>
  <c r="D8"/>
  <c r="E5"/>
  <c r="D5"/>
  <c r="E6"/>
  <c r="E9"/>
  <c r="E7"/>
  <c r="E16"/>
  <c r="E13"/>
  <c r="D15"/>
  <c r="D17"/>
  <c r="D10"/>
  <c r="E15"/>
  <c r="E17"/>
  <c r="D14"/>
  <c r="E8"/>
  <c r="D4"/>
  <c r="D18"/>
  <c r="E18"/>
  <c r="E11"/>
  <c r="D9"/>
  <c r="D12"/>
  <c r="D11"/>
  <c r="E4"/>
  <c r="E10"/>
  <c r="D6"/>
  <c r="D10" i="489"/>
  <c r="D17"/>
  <c r="E12"/>
  <c r="E11"/>
  <c r="D14"/>
  <c r="D12"/>
  <c r="E7"/>
  <c r="D15"/>
  <c r="E14"/>
  <c r="D4"/>
  <c r="E16"/>
  <c r="D6"/>
  <c r="E10"/>
  <c r="D11"/>
  <c r="D9"/>
  <c r="E18"/>
  <c r="E6"/>
  <c r="E8"/>
  <c r="E13"/>
  <c r="E17"/>
  <c r="E15"/>
  <c r="E5"/>
  <c r="D18"/>
  <c r="D16"/>
  <c r="E4"/>
  <c r="D8"/>
  <c r="D13"/>
  <c r="D5"/>
  <c r="E9"/>
  <c r="D7"/>
  <c r="AO5" i="297"/>
  <c r="AM8"/>
  <c r="AO6"/>
  <c r="AN5"/>
  <c r="AM7"/>
  <c r="AL7"/>
  <c r="AN6"/>
  <c r="AL5"/>
  <c r="AO8"/>
  <c r="AL8"/>
  <c r="AM5"/>
  <c r="AM6"/>
  <c r="AN8"/>
  <c r="AL6"/>
  <c r="AO7"/>
  <c r="AN7"/>
  <c r="S14" i="467"/>
  <c r="T14"/>
  <c r="R14"/>
  <c r="E21" i="553"/>
  <c r="E4"/>
  <c r="E8"/>
  <c r="E23"/>
  <c r="E12"/>
  <c r="E11"/>
  <c r="E6"/>
  <c r="E9"/>
  <c r="E14"/>
  <c r="E5"/>
  <c r="E18"/>
  <c r="E20"/>
  <c r="E13"/>
  <c r="E16"/>
  <c r="E19"/>
  <c r="E15"/>
  <c r="E22"/>
  <c r="E10"/>
  <c r="E7"/>
  <c r="E17"/>
  <c r="E13" i="516"/>
  <c r="I32" i="471"/>
  <c r="I31"/>
  <c r="I30"/>
  <c r="L13" i="482"/>
  <c r="M13"/>
  <c r="N13"/>
  <c r="M45" i="467"/>
  <c r="H44"/>
  <c r="H43"/>
  <c r="M44"/>
  <c r="L43"/>
  <c r="I43"/>
  <c r="K43"/>
  <c r="H45"/>
  <c r="N44"/>
  <c r="K45"/>
  <c r="M43"/>
  <c r="I44"/>
  <c r="L44"/>
  <c r="K44"/>
  <c r="J44"/>
  <c r="J45"/>
  <c r="N45"/>
  <c r="N43"/>
  <c r="J43"/>
  <c r="I45"/>
  <c r="L45"/>
  <c r="J12" i="448"/>
  <c r="J11"/>
  <c r="S13" i="467"/>
  <c r="T13"/>
  <c r="R13"/>
  <c r="G8" i="464"/>
  <c r="F3"/>
  <c r="H3"/>
  <c r="F13"/>
  <c r="H8"/>
  <c r="G11"/>
  <c r="G6"/>
  <c r="F12"/>
  <c r="G12"/>
  <c r="F7"/>
  <c r="G14"/>
  <c r="F8"/>
  <c r="H4"/>
  <c r="G4"/>
  <c r="H5"/>
  <c r="H9"/>
  <c r="G5"/>
  <c r="H10"/>
  <c r="H11"/>
  <c r="G3"/>
  <c r="F9"/>
  <c r="F4"/>
  <c r="G9"/>
  <c r="H6"/>
  <c r="H14"/>
  <c r="F11"/>
  <c r="H7"/>
  <c r="F10"/>
  <c r="G7"/>
  <c r="G13"/>
  <c r="H13"/>
  <c r="F5"/>
  <c r="G10"/>
  <c r="F14"/>
  <c r="H12"/>
  <c r="F6"/>
  <c r="O7" i="470"/>
  <c r="L7"/>
  <c r="N6"/>
  <c r="N5"/>
  <c r="M6"/>
  <c r="L9"/>
  <c r="N8"/>
  <c r="L8"/>
  <c r="K8"/>
  <c r="K10"/>
  <c r="M9"/>
  <c r="K4"/>
  <c r="M7"/>
  <c r="O6"/>
  <c r="M10"/>
  <c r="M5"/>
  <c r="L5"/>
  <c r="K6"/>
  <c r="M8"/>
  <c r="K5"/>
  <c r="O10"/>
  <c r="N7"/>
  <c r="L4"/>
  <c r="L10"/>
  <c r="O8"/>
  <c r="N10"/>
  <c r="N9"/>
  <c r="O5"/>
  <c r="N4"/>
  <c r="O4"/>
  <c r="M4"/>
  <c r="L6"/>
  <c r="K7"/>
  <c r="K9"/>
  <c r="O9"/>
  <c r="W34" i="460"/>
  <c r="W33"/>
  <c r="V34"/>
  <c r="V33"/>
  <c r="I24" i="466"/>
  <c r="I22"/>
  <c r="I23"/>
  <c r="R19" i="486"/>
  <c r="R17"/>
  <c r="R20"/>
  <c r="R18"/>
  <c r="G7" i="456"/>
  <c r="G6"/>
  <c r="C34" i="477"/>
  <c r="D34"/>
  <c r="C35"/>
  <c r="D35"/>
  <c r="D32"/>
  <c r="D28"/>
  <c r="C30"/>
  <c r="C28"/>
  <c r="D29"/>
  <c r="C32"/>
  <c r="C33"/>
  <c r="D31"/>
  <c r="D30"/>
  <c r="D33"/>
  <c r="C29"/>
  <c r="C31"/>
  <c r="K38" i="467"/>
  <c r="J36"/>
  <c r="K37"/>
  <c r="I36"/>
  <c r="J37"/>
  <c r="J35"/>
  <c r="I38"/>
  <c r="L37"/>
  <c r="M37"/>
  <c r="I35"/>
  <c r="N36"/>
  <c r="N35"/>
  <c r="K36"/>
  <c r="N38"/>
  <c r="M38"/>
  <c r="H38"/>
  <c r="H35"/>
  <c r="J38"/>
  <c r="H37"/>
  <c r="N37"/>
  <c r="I37"/>
  <c r="G38"/>
  <c r="K35"/>
  <c r="G36"/>
  <c r="M35"/>
  <c r="G35"/>
  <c r="M36"/>
  <c r="G37"/>
  <c r="H36"/>
  <c r="L35"/>
  <c r="L36"/>
  <c r="L38"/>
  <c r="R6" i="414"/>
  <c r="R14"/>
  <c r="R13"/>
  <c r="R5"/>
  <c r="R9"/>
  <c r="R16"/>
  <c r="R10"/>
  <c r="R12"/>
  <c r="R15"/>
  <c r="R11"/>
  <c r="R7"/>
  <c r="R8"/>
  <c r="I4" i="515"/>
  <c r="H5"/>
  <c r="K8"/>
  <c r="G5"/>
  <c r="K4"/>
  <c r="J8"/>
  <c r="J5"/>
  <c r="G6"/>
  <c r="H8"/>
  <c r="K6"/>
  <c r="H4"/>
  <c r="G8"/>
  <c r="I6"/>
  <c r="I5"/>
  <c r="I7"/>
  <c r="G7"/>
  <c r="I8"/>
  <c r="G4"/>
  <c r="J4"/>
  <c r="K5"/>
  <c r="H6"/>
  <c r="H7"/>
  <c r="J7"/>
  <c r="K7"/>
  <c r="J6"/>
  <c r="AL13" i="531"/>
  <c r="AL6"/>
  <c r="AJ3"/>
  <c r="AM22"/>
  <c r="AL3"/>
  <c r="AM12"/>
  <c r="AM8"/>
  <c r="AM6"/>
  <c r="AJ13"/>
  <c r="AM16"/>
  <c r="AJ22"/>
  <c r="AM10"/>
  <c r="AK3"/>
  <c r="AK23"/>
  <c r="AM21"/>
  <c r="AJ11"/>
  <c r="AJ7"/>
  <c r="AJ5"/>
  <c r="AL23"/>
  <c r="AM11"/>
  <c r="AJ9"/>
  <c r="AK18"/>
  <c r="AM3"/>
  <c r="AJ10"/>
  <c r="AM23"/>
  <c r="AJ21"/>
  <c r="AK10"/>
  <c r="AL21"/>
  <c r="AL17"/>
  <c r="AM17"/>
  <c r="AJ12"/>
  <c r="AK5"/>
  <c r="AJ23"/>
  <c r="AJ19"/>
  <c r="AM5"/>
  <c r="AK7"/>
  <c r="AK13"/>
  <c r="AL19"/>
  <c r="AK16"/>
  <c r="AK19"/>
  <c r="AL12"/>
  <c r="AK20"/>
  <c r="AK17"/>
  <c r="AM4"/>
  <c r="AL22"/>
  <c r="AK22"/>
  <c r="AJ4"/>
  <c r="AK9"/>
  <c r="AK14"/>
  <c r="AL15"/>
  <c r="AM20"/>
  <c r="AL4"/>
  <c r="AM18"/>
  <c r="AJ14"/>
  <c r="AK4"/>
  <c r="AK15"/>
  <c r="AL11"/>
  <c r="AL5"/>
  <c r="AL8"/>
  <c r="AL18"/>
  <c r="AK21"/>
  <c r="AJ6"/>
  <c r="AJ8"/>
  <c r="AJ16"/>
  <c r="AM15"/>
  <c r="AM19"/>
  <c r="AL7"/>
  <c r="AJ20"/>
  <c r="AJ15"/>
  <c r="AK11"/>
  <c r="AL14"/>
  <c r="AL20"/>
  <c r="AL9"/>
  <c r="AM14"/>
  <c r="AL16"/>
  <c r="AL10"/>
  <c r="AK6"/>
  <c r="AM9"/>
  <c r="AJ18"/>
  <c r="AK12"/>
  <c r="AJ17"/>
  <c r="AM7"/>
  <c r="AM13"/>
  <c r="AK8"/>
  <c r="O11" i="473"/>
  <c r="N13"/>
  <c r="O12"/>
  <c r="N12"/>
  <c r="O10"/>
  <c r="N10"/>
  <c r="N11"/>
  <c r="O13"/>
  <c r="G18" i="457"/>
  <c r="F18"/>
  <c r="G22"/>
  <c r="G21"/>
  <c r="G19"/>
  <c r="F21"/>
  <c r="F20"/>
  <c r="F19"/>
  <c r="F17"/>
  <c r="G20"/>
  <c r="F22"/>
  <c r="G17"/>
  <c r="AR28" i="302"/>
  <c r="AR26"/>
  <c r="AT28"/>
  <c r="AU25"/>
  <c r="AT26"/>
  <c r="AS25"/>
  <c r="AV28"/>
  <c r="AS26"/>
  <c r="AU26"/>
  <c r="AV26"/>
  <c r="AT25"/>
  <c r="AS28"/>
  <c r="AT27"/>
  <c r="AV24"/>
  <c r="AT24"/>
  <c r="AR24"/>
  <c r="AS27"/>
  <c r="AR27"/>
  <c r="AU27"/>
  <c r="AR25"/>
  <c r="AS24"/>
  <c r="AV25"/>
  <c r="AU28"/>
  <c r="AV27"/>
  <c r="AU24"/>
  <c r="X10" i="523"/>
  <c r="U8"/>
  <c r="W18"/>
  <c r="V5"/>
  <c r="V23"/>
  <c r="V7"/>
  <c r="W4"/>
  <c r="V13"/>
  <c r="X17"/>
  <c r="X12"/>
  <c r="V10"/>
  <c r="X7"/>
  <c r="X22"/>
  <c r="X11"/>
  <c r="X19"/>
  <c r="U9"/>
  <c r="W8"/>
  <c r="V20"/>
  <c r="W15"/>
  <c r="X15"/>
  <c r="X21"/>
  <c r="V18"/>
  <c r="X8"/>
  <c r="U16"/>
  <c r="V8"/>
  <c r="X4"/>
  <c r="W19"/>
  <c r="W9"/>
  <c r="X23"/>
  <c r="V4"/>
  <c r="X5"/>
  <c r="X20"/>
  <c r="V15"/>
  <c r="U14"/>
  <c r="V3"/>
  <c r="U10"/>
  <c r="X18"/>
  <c r="W16"/>
  <c r="U23"/>
  <c r="V9"/>
  <c r="U15"/>
  <c r="W13"/>
  <c r="U20"/>
  <c r="U7"/>
  <c r="V22"/>
  <c r="W3"/>
  <c r="U5"/>
  <c r="U19"/>
  <c r="W17"/>
  <c r="U18"/>
  <c r="W21"/>
  <c r="U13"/>
  <c r="X13"/>
  <c r="X3"/>
  <c r="U12"/>
  <c r="V14"/>
  <c r="W10"/>
  <c r="V17"/>
  <c r="W6"/>
  <c r="V16"/>
  <c r="W12"/>
  <c r="U3"/>
  <c r="W11"/>
  <c r="U22"/>
  <c r="W5"/>
  <c r="W20"/>
  <c r="X16"/>
  <c r="W7"/>
  <c r="X9"/>
  <c r="W23"/>
  <c r="V19"/>
  <c r="U21"/>
  <c r="U17"/>
  <c r="W14"/>
  <c r="V12"/>
  <c r="V6"/>
  <c r="U11"/>
  <c r="X14"/>
  <c r="W22"/>
  <c r="V11"/>
  <c r="V21"/>
  <c r="U4"/>
  <c r="X6"/>
  <c r="U6"/>
  <c r="AP15" i="531"/>
  <c r="AP22"/>
  <c r="AQ8"/>
  <c r="AR16"/>
  <c r="AO3"/>
  <c r="AO11"/>
  <c r="AQ15"/>
  <c r="AP23"/>
  <c r="AQ16"/>
  <c r="AR6"/>
  <c r="AO23"/>
  <c r="AP11"/>
  <c r="AO16"/>
  <c r="AP14"/>
  <c r="AQ6"/>
  <c r="AO22"/>
  <c r="AR3"/>
  <c r="AO8"/>
  <c r="AO14"/>
  <c r="AO4"/>
  <c r="AP6"/>
  <c r="AP20"/>
  <c r="AO10"/>
  <c r="AR9"/>
  <c r="AR7"/>
  <c r="AO12"/>
  <c r="AO6"/>
  <c r="AP8"/>
  <c r="AQ10"/>
  <c r="AP4"/>
  <c r="AQ18"/>
  <c r="AP18"/>
  <c r="AQ4"/>
  <c r="AQ20"/>
  <c r="AQ14"/>
  <c r="AQ17"/>
  <c r="AR12"/>
  <c r="AO15"/>
  <c r="AR14"/>
  <c r="AP16"/>
  <c r="AO5"/>
  <c r="AQ23"/>
  <c r="AQ22"/>
  <c r="AO18"/>
  <c r="AP21"/>
  <c r="AR4"/>
  <c r="AR20"/>
  <c r="AO9"/>
  <c r="AR13"/>
  <c r="AP5"/>
  <c r="AP9"/>
  <c r="AQ11"/>
  <c r="AQ13"/>
  <c r="AO20"/>
  <c r="AQ5"/>
  <c r="AR21"/>
  <c r="AP19"/>
  <c r="AR19"/>
  <c r="AQ12"/>
  <c r="AQ21"/>
  <c r="AR5"/>
  <c r="AP10"/>
  <c r="AR18"/>
  <c r="AP3"/>
  <c r="AQ19"/>
  <c r="AO17"/>
  <c r="AR17"/>
  <c r="AP17"/>
  <c r="AR23"/>
  <c r="AR8"/>
  <c r="AQ9"/>
  <c r="AO21"/>
  <c r="AR15"/>
  <c r="AR10"/>
  <c r="AO13"/>
  <c r="AP7"/>
  <c r="AR11"/>
  <c r="AQ3"/>
  <c r="AQ7"/>
  <c r="AO7"/>
  <c r="AO19"/>
  <c r="AP13"/>
  <c r="AR22"/>
  <c r="AP12"/>
  <c r="I35" i="339"/>
  <c r="I34"/>
  <c r="G35"/>
  <c r="G33"/>
  <c r="I33"/>
  <c r="F33"/>
  <c r="F35"/>
  <c r="H34"/>
  <c r="F34"/>
  <c r="H35"/>
  <c r="G34"/>
  <c r="H33"/>
  <c r="AH35" i="463"/>
  <c r="AG34"/>
  <c r="AH31"/>
  <c r="AI32"/>
  <c r="AH30"/>
  <c r="AG32"/>
  <c r="AG35"/>
  <c r="AI34"/>
  <c r="AI33"/>
  <c r="AH32"/>
  <c r="AH33"/>
  <c r="AG30"/>
  <c r="AH34"/>
  <c r="AI31"/>
  <c r="AG31"/>
  <c r="AI35"/>
  <c r="AI30"/>
  <c r="AG33"/>
  <c r="L23" i="465"/>
  <c r="J23"/>
  <c r="M22"/>
  <c r="N24"/>
  <c r="L22"/>
  <c r="M24"/>
  <c r="H23"/>
  <c r="I23"/>
  <c r="H24"/>
  <c r="K22"/>
  <c r="J22"/>
  <c r="I24"/>
  <c r="L24"/>
  <c r="N22"/>
  <c r="H22"/>
  <c r="I22"/>
  <c r="K23"/>
  <c r="J24"/>
  <c r="K24"/>
  <c r="N23"/>
  <c r="M23"/>
  <c r="E12" i="527"/>
  <c r="J6" i="511"/>
  <c r="I4"/>
  <c r="I8"/>
  <c r="H4"/>
  <c r="K8"/>
  <c r="I3"/>
  <c r="H5"/>
  <c r="G3"/>
  <c r="K6"/>
  <c r="G6"/>
  <c r="I6"/>
  <c r="H7"/>
  <c r="I5"/>
  <c r="J3"/>
  <c r="I7"/>
  <c r="H6"/>
  <c r="J4"/>
  <c r="K7"/>
  <c r="J8"/>
  <c r="G7"/>
  <c r="K3"/>
  <c r="G5"/>
  <c r="J5"/>
  <c r="K5"/>
  <c r="H8"/>
  <c r="G8"/>
  <c r="H3"/>
  <c r="G4"/>
  <c r="K4"/>
  <c r="J7"/>
  <c r="E6" i="516"/>
  <c r="F53" i="339"/>
  <c r="I54"/>
  <c r="F54"/>
  <c r="H52"/>
  <c r="G53"/>
  <c r="G54"/>
  <c r="G52"/>
  <c r="I53"/>
  <c r="H53"/>
  <c r="H54"/>
  <c r="F52"/>
  <c r="I52"/>
  <c r="X25" i="531"/>
  <c r="V26"/>
  <c r="V28"/>
  <c r="V25"/>
  <c r="U29"/>
  <c r="V27"/>
  <c r="U26"/>
  <c r="X26"/>
  <c r="X27"/>
  <c r="X29"/>
  <c r="W27"/>
  <c r="U25"/>
  <c r="W25"/>
  <c r="W28"/>
  <c r="W26"/>
  <c r="U27"/>
  <c r="W29"/>
  <c r="U28"/>
  <c r="V29"/>
  <c r="X28"/>
  <c r="E6" i="517"/>
  <c r="K5" i="474"/>
  <c r="J5"/>
  <c r="H12"/>
  <c r="H16"/>
  <c r="L12"/>
  <c r="H11"/>
  <c r="I11"/>
  <c r="H9"/>
  <c r="K13"/>
  <c r="J11"/>
  <c r="K7"/>
  <c r="J7"/>
  <c r="L16"/>
  <c r="I12"/>
  <c r="H6"/>
  <c r="J10"/>
  <c r="G9"/>
  <c r="I6"/>
  <c r="K15"/>
  <c r="L7"/>
  <c r="I14"/>
  <c r="K6"/>
  <c r="G5"/>
  <c r="G7"/>
  <c r="L13"/>
  <c r="J9"/>
  <c r="J16"/>
  <c r="J12"/>
  <c r="G4"/>
  <c r="L6"/>
  <c r="I15"/>
  <c r="J6"/>
  <c r="I7"/>
  <c r="L9"/>
  <c r="L4"/>
  <c r="J14"/>
  <c r="G16"/>
  <c r="L10"/>
  <c r="G13"/>
  <c r="H15"/>
  <c r="G6"/>
  <c r="K14"/>
  <c r="J8"/>
  <c r="L5"/>
  <c r="I8"/>
  <c r="K11"/>
  <c r="H4"/>
  <c r="J4"/>
  <c r="K16"/>
  <c r="G11"/>
  <c r="I9"/>
  <c r="I13"/>
  <c r="H14"/>
  <c r="L8"/>
  <c r="I16"/>
  <c r="G10"/>
  <c r="K4"/>
  <c r="K10"/>
  <c r="H7"/>
  <c r="K9"/>
  <c r="H5"/>
  <c r="L11"/>
  <c r="G14"/>
  <c r="L15"/>
  <c r="I5"/>
  <c r="I4"/>
  <c r="H10"/>
  <c r="J15"/>
  <c r="J13"/>
  <c r="I10"/>
  <c r="K12"/>
  <c r="H13"/>
  <c r="K8"/>
  <c r="G15"/>
  <c r="L14"/>
  <c r="G12"/>
  <c r="H8"/>
  <c r="G8"/>
  <c r="I13" i="518"/>
  <c r="I14"/>
  <c r="G13"/>
  <c r="H16"/>
  <c r="H15"/>
  <c r="G15"/>
  <c r="I15"/>
  <c r="J14"/>
  <c r="G16"/>
  <c r="I16"/>
  <c r="J15"/>
  <c r="J16"/>
  <c r="H14"/>
  <c r="G14"/>
  <c r="J13"/>
  <c r="H13"/>
  <c r="E17"/>
  <c r="U13" i="529"/>
  <c r="T14"/>
  <c r="R14"/>
  <c r="R15"/>
  <c r="R16"/>
  <c r="S13"/>
  <c r="R13"/>
  <c r="S16"/>
  <c r="T16"/>
  <c r="T15"/>
  <c r="U14"/>
  <c r="U16"/>
  <c r="T13"/>
  <c r="S15"/>
  <c r="S14"/>
  <c r="U15"/>
  <c r="E7" i="517"/>
  <c r="P13" i="529"/>
  <c r="M33" i="476"/>
  <c r="K33"/>
  <c r="N33"/>
  <c r="L33"/>
  <c r="I46" i="442"/>
  <c r="I50"/>
  <c r="F40"/>
  <c r="G50"/>
  <c r="G42"/>
  <c r="I48"/>
  <c r="G47"/>
  <c r="F49"/>
  <c r="K50"/>
  <c r="F44"/>
  <c r="K41"/>
  <c r="K46"/>
  <c r="H49"/>
  <c r="J41"/>
  <c r="J44"/>
  <c r="J45"/>
  <c r="H45"/>
  <c r="G44"/>
  <c r="J42"/>
  <c r="I45"/>
  <c r="H41"/>
  <c r="K40"/>
  <c r="J43"/>
  <c r="H47"/>
  <c r="J50"/>
  <c r="G48"/>
  <c r="K47"/>
  <c r="H43"/>
  <c r="K42"/>
  <c r="I41"/>
  <c r="J46"/>
  <c r="K44"/>
  <c r="H50"/>
  <c r="I42"/>
  <c r="J47"/>
  <c r="K43"/>
  <c r="H48"/>
  <c r="F43"/>
  <c r="G45"/>
  <c r="J49"/>
  <c r="I47"/>
  <c r="I43"/>
  <c r="I49"/>
  <c r="K49"/>
  <c r="G49"/>
  <c r="F47"/>
  <c r="G40"/>
  <c r="H40"/>
  <c r="G46"/>
  <c r="F42"/>
  <c r="J48"/>
  <c r="H46"/>
  <c r="K48"/>
  <c r="F45"/>
  <c r="F41"/>
  <c r="F50"/>
  <c r="F48"/>
  <c r="I40"/>
  <c r="F46"/>
  <c r="G41"/>
  <c r="J40"/>
  <c r="G43"/>
  <c r="I44"/>
  <c r="H44"/>
  <c r="H42"/>
  <c r="K45"/>
  <c r="H9" i="456"/>
  <c r="H10"/>
  <c r="H8"/>
  <c r="I45" i="478"/>
  <c r="I44"/>
  <c r="H45"/>
  <c r="I43"/>
  <c r="H44"/>
  <c r="H43"/>
  <c r="L14" i="482"/>
  <c r="N14"/>
  <c r="M14"/>
  <c r="AE36" i="460"/>
  <c r="AD42"/>
  <c r="AE35"/>
  <c r="AD39"/>
  <c r="AD34"/>
  <c r="AE34"/>
  <c r="AF40"/>
  <c r="AF38"/>
  <c r="AF36"/>
  <c r="AE42"/>
  <c r="AD37"/>
  <c r="AE41"/>
  <c r="AF35"/>
  <c r="AE43"/>
  <c r="AE38"/>
  <c r="AF37"/>
  <c r="AD41"/>
  <c r="AD40"/>
  <c r="AF41"/>
  <c r="AE40"/>
  <c r="AD43"/>
  <c r="AD36"/>
  <c r="AE37"/>
  <c r="AD38"/>
  <c r="AF42"/>
  <c r="AF34"/>
  <c r="AD35"/>
  <c r="AE39"/>
  <c r="AF43"/>
  <c r="AF39"/>
  <c r="D114" i="463"/>
  <c r="D111"/>
  <c r="D106"/>
  <c r="E105"/>
  <c r="F106"/>
  <c r="D105"/>
  <c r="B117"/>
  <c r="B112"/>
  <c r="F112"/>
  <c r="F113"/>
  <c r="F111"/>
  <c r="B114"/>
  <c r="B107"/>
  <c r="B110"/>
  <c r="B115"/>
  <c r="D117"/>
  <c r="F110"/>
  <c r="C107"/>
  <c r="B105"/>
  <c r="E115"/>
  <c r="B116"/>
  <c r="E107"/>
  <c r="F108"/>
  <c r="D113"/>
  <c r="C117"/>
  <c r="C115"/>
  <c r="C114"/>
  <c r="E111"/>
  <c r="F117"/>
  <c r="D108"/>
  <c r="C108"/>
  <c r="D107"/>
  <c r="D115"/>
  <c r="E110"/>
  <c r="E112"/>
  <c r="E114"/>
  <c r="B111"/>
  <c r="E108"/>
  <c r="F114"/>
  <c r="C111"/>
  <c r="F107"/>
  <c r="C112"/>
  <c r="E117"/>
  <c r="D112"/>
  <c r="B109"/>
  <c r="F109"/>
  <c r="E116"/>
  <c r="D110"/>
  <c r="C113"/>
  <c r="E106"/>
  <c r="E109"/>
  <c r="F116"/>
  <c r="C116"/>
  <c r="C110"/>
  <c r="B113"/>
  <c r="C109"/>
  <c r="D109"/>
  <c r="B106"/>
  <c r="F115"/>
  <c r="C105"/>
  <c r="C106"/>
  <c r="D116"/>
  <c r="B108"/>
  <c r="E113"/>
  <c r="F105"/>
  <c r="C3" i="299"/>
  <c r="B3"/>
  <c r="D3"/>
  <c r="U10" i="495"/>
  <c r="U6"/>
  <c r="V7"/>
  <c r="V6"/>
  <c r="U7"/>
  <c r="U8"/>
  <c r="V9"/>
  <c r="U9"/>
  <c r="V10"/>
  <c r="V8"/>
  <c r="N16" i="467"/>
  <c r="M16"/>
  <c r="K17"/>
  <c r="J16"/>
  <c r="N17"/>
  <c r="M15"/>
  <c r="N15"/>
  <c r="J15"/>
  <c r="K15"/>
  <c r="H16"/>
  <c r="I17"/>
  <c r="L16"/>
  <c r="M17"/>
  <c r="K16"/>
  <c r="I15"/>
  <c r="H15"/>
  <c r="J17"/>
  <c r="L15"/>
  <c r="I16"/>
  <c r="H17"/>
  <c r="L17"/>
  <c r="J18" i="448"/>
  <c r="J17"/>
  <c r="E9" i="518"/>
  <c r="P14" i="472"/>
  <c r="O16"/>
  <c r="O14"/>
  <c r="P17"/>
  <c r="P18"/>
  <c r="O15"/>
  <c r="P19"/>
  <c r="P15"/>
  <c r="O17"/>
  <c r="P13"/>
  <c r="P16"/>
  <c r="O19"/>
  <c r="O18"/>
  <c r="O13"/>
  <c r="AG8" i="356"/>
  <c r="AG11"/>
  <c r="AF10"/>
  <c r="AF6"/>
  <c r="AF9"/>
  <c r="AF7"/>
  <c r="AF8"/>
  <c r="AG6"/>
  <c r="AG9"/>
  <c r="AF5"/>
  <c r="AG7"/>
  <c r="AF11"/>
  <c r="AG10"/>
  <c r="AG5"/>
  <c r="G21" i="342"/>
  <c r="G19"/>
  <c r="G20"/>
  <c r="P35" i="75"/>
  <c r="P44"/>
  <c r="P47"/>
  <c r="P42"/>
  <c r="P36"/>
  <c r="P43"/>
  <c r="P48"/>
  <c r="P46"/>
  <c r="P34"/>
  <c r="P45"/>
  <c r="P41"/>
  <c r="P40"/>
  <c r="P38"/>
  <c r="P39"/>
  <c r="P37"/>
  <c r="E14" i="516"/>
  <c r="E19" i="517"/>
  <c r="E11" i="516"/>
  <c r="U12" i="341"/>
  <c r="S14"/>
  <c r="S9"/>
  <c r="R14"/>
  <c r="Q9"/>
  <c r="V9"/>
  <c r="X9"/>
  <c r="X12"/>
  <c r="Y12"/>
  <c r="V10"/>
  <c r="Q12"/>
  <c r="X14"/>
  <c r="Y14"/>
  <c r="Z11"/>
  <c r="Y13"/>
  <c r="Y11"/>
  <c r="U14"/>
  <c r="Q5"/>
  <c r="W12"/>
  <c r="W11"/>
  <c r="S6"/>
  <c r="Y4"/>
  <c r="Z14"/>
  <c r="R6"/>
  <c r="Q4"/>
  <c r="AA14"/>
  <c r="V5"/>
  <c r="U10"/>
  <c r="AA5"/>
  <c r="U13"/>
  <c r="W14"/>
  <c r="W4"/>
  <c r="AA12"/>
  <c r="Z7"/>
  <c r="U9"/>
  <c r="AA7"/>
  <c r="V6"/>
  <c r="T9"/>
  <c r="R12"/>
  <c r="Y10"/>
  <c r="Z9"/>
  <c r="Z12"/>
  <c r="T13"/>
  <c r="V13"/>
  <c r="Z13"/>
  <c r="V4"/>
  <c r="X8"/>
  <c r="AA8"/>
  <c r="Y6"/>
  <c r="Q14"/>
  <c r="U4"/>
  <c r="AA9"/>
  <c r="S5"/>
  <c r="V8"/>
  <c r="T5"/>
  <c r="V7"/>
  <c r="U5"/>
  <c r="V12"/>
  <c r="W8"/>
  <c r="R5"/>
  <c r="Q6"/>
  <c r="R13"/>
  <c r="AA10"/>
  <c r="T4"/>
  <c r="AA6"/>
  <c r="S8"/>
  <c r="Y7"/>
  <c r="X6"/>
  <c r="V14"/>
  <c r="Y9"/>
  <c r="V11"/>
  <c r="Q7"/>
  <c r="Y8"/>
  <c r="X10"/>
  <c r="S4"/>
  <c r="T7"/>
  <c r="S7"/>
  <c r="T8"/>
  <c r="S12"/>
  <c r="AA13"/>
  <c r="Q13"/>
  <c r="T6"/>
  <c r="T14"/>
  <c r="R4"/>
  <c r="R8"/>
  <c r="X4"/>
  <c r="U7"/>
  <c r="U11"/>
  <c r="AA4"/>
  <c r="W6"/>
  <c r="R7"/>
  <c r="U8"/>
  <c r="Z4"/>
  <c r="Q11"/>
  <c r="Q10"/>
  <c r="U6"/>
  <c r="Q8"/>
  <c r="R10"/>
  <c r="R9"/>
  <c r="Z8"/>
  <c r="W7"/>
  <c r="Z5"/>
  <c r="Z6"/>
  <c r="X7"/>
  <c r="W9"/>
  <c r="X5"/>
  <c r="T10"/>
  <c r="W13"/>
  <c r="S11"/>
  <c r="AA11"/>
  <c r="W5"/>
  <c r="S10"/>
  <c r="Z10"/>
  <c r="W10"/>
  <c r="X13"/>
  <c r="X11"/>
  <c r="T12"/>
  <c r="S13"/>
  <c r="R11"/>
  <c r="T11"/>
  <c r="Y5"/>
  <c r="Q5" i="454"/>
  <c r="Q4"/>
  <c r="J17" i="417"/>
  <c r="K17"/>
  <c r="I17"/>
  <c r="N14" i="530"/>
  <c r="M16"/>
  <c r="P16"/>
  <c r="L14"/>
  <c r="O16"/>
  <c r="M14"/>
  <c r="O14"/>
  <c r="N15"/>
  <c r="M15"/>
  <c r="N16"/>
  <c r="L16"/>
  <c r="P15"/>
  <c r="L15"/>
  <c r="Q16"/>
  <c r="P14"/>
  <c r="O15"/>
  <c r="Q14"/>
  <c r="Q15"/>
  <c r="G19" i="461"/>
  <c r="G20"/>
  <c r="F20" i="607"/>
  <c r="F19"/>
  <c r="G5" i="555"/>
  <c r="I5"/>
  <c r="H6"/>
  <c r="G8"/>
  <c r="H8"/>
  <c r="G7"/>
  <c r="I7"/>
  <c r="I6"/>
  <c r="H7"/>
  <c r="I8"/>
  <c r="G6"/>
  <c r="H5"/>
  <c r="K10" i="401"/>
  <c r="K9"/>
  <c r="J10"/>
  <c r="J9"/>
  <c r="E22" i="518"/>
  <c r="O6" i="415"/>
  <c r="N18"/>
  <c r="L18"/>
  <c r="O3"/>
  <c r="K16"/>
  <c r="J14"/>
  <c r="N5"/>
  <c r="K22"/>
  <c r="M22"/>
  <c r="M9"/>
  <c r="I19"/>
  <c r="M14"/>
  <c r="O21"/>
  <c r="L21"/>
  <c r="O13"/>
  <c r="O17"/>
  <c r="M6"/>
  <c r="M13"/>
  <c r="K8"/>
  <c r="L19"/>
  <c r="J20"/>
  <c r="N13"/>
  <c r="L17"/>
  <c r="M21"/>
  <c r="K5"/>
  <c r="N19"/>
  <c r="L16"/>
  <c r="J3"/>
  <c r="M4"/>
  <c r="N16"/>
  <c r="K19"/>
  <c r="J12"/>
  <c r="N7"/>
  <c r="I15"/>
  <c r="L12"/>
  <c r="L7"/>
  <c r="I13"/>
  <c r="J18"/>
  <c r="J10"/>
  <c r="K11"/>
  <c r="K4"/>
  <c r="N6"/>
  <c r="N21"/>
  <c r="J9"/>
  <c r="N11"/>
  <c r="M16"/>
  <c r="N9"/>
  <c r="N20"/>
  <c r="O10"/>
  <c r="L5"/>
  <c r="M5"/>
  <c r="K18"/>
  <c r="O14"/>
  <c r="I9"/>
  <c r="L11"/>
  <c r="I14"/>
  <c r="L9"/>
  <c r="N3"/>
  <c r="I11"/>
  <c r="I10"/>
  <c r="I21"/>
  <c r="N22"/>
  <c r="N4"/>
  <c r="J15"/>
  <c r="J13"/>
  <c r="M17"/>
  <c r="I3"/>
  <c r="O12"/>
  <c r="L22"/>
  <c r="L8"/>
  <c r="I6"/>
  <c r="K7"/>
  <c r="M7"/>
  <c r="M20"/>
  <c r="K20"/>
  <c r="N17"/>
  <c r="M19"/>
  <c r="M11"/>
  <c r="I18"/>
  <c r="I20"/>
  <c r="N14"/>
  <c r="O18"/>
  <c r="I17"/>
  <c r="O19"/>
  <c r="K12"/>
  <c r="M8"/>
  <c r="I16"/>
  <c r="N8"/>
  <c r="N12"/>
  <c r="I8"/>
  <c r="J17"/>
  <c r="K17"/>
  <c r="O20"/>
  <c r="J11"/>
  <c r="J22"/>
  <c r="J7"/>
  <c r="K6"/>
  <c r="J16"/>
  <c r="L6"/>
  <c r="L3"/>
  <c r="O16"/>
  <c r="L4"/>
  <c r="J21"/>
  <c r="L14"/>
  <c r="N10"/>
  <c r="I22"/>
  <c r="O7"/>
  <c r="M18"/>
  <c r="O15"/>
  <c r="I5"/>
  <c r="O8"/>
  <c r="O9"/>
  <c r="K9"/>
  <c r="K21"/>
  <c r="O4"/>
  <c r="J5"/>
  <c r="J19"/>
  <c r="M3"/>
  <c r="O11"/>
  <c r="N15"/>
  <c r="J4"/>
  <c r="J8"/>
  <c r="L10"/>
  <c r="J6"/>
  <c r="M12"/>
  <c r="M10"/>
  <c r="L20"/>
  <c r="O22"/>
  <c r="M15"/>
  <c r="K13"/>
  <c r="K14"/>
  <c r="L13"/>
  <c r="I7"/>
  <c r="K15"/>
  <c r="I12"/>
  <c r="L15"/>
  <c r="K3"/>
  <c r="K10"/>
  <c r="I4"/>
  <c r="O5"/>
  <c r="AK7" i="463"/>
  <c r="AJ13"/>
  <c r="AI18"/>
  <c r="AJ14"/>
  <c r="AI9"/>
  <c r="AI13"/>
  <c r="AK10"/>
  <c r="AI10"/>
  <c r="AJ11"/>
  <c r="AK11"/>
  <c r="AJ10"/>
  <c r="AI14"/>
  <c r="AJ16"/>
  <c r="AI16"/>
  <c r="AI15"/>
  <c r="AJ15"/>
  <c r="AK12"/>
  <c r="AI8"/>
  <c r="AJ9"/>
  <c r="AK9"/>
  <c r="AK13"/>
  <c r="AI12"/>
  <c r="AK8"/>
  <c r="AK14"/>
  <c r="AI7"/>
  <c r="AI17"/>
  <c r="AI11"/>
  <c r="AJ18"/>
  <c r="AJ7"/>
  <c r="AJ17"/>
  <c r="AJ12"/>
  <c r="AK15"/>
  <c r="AJ8"/>
  <c r="AK17"/>
  <c r="AK16"/>
  <c r="AK18"/>
  <c r="E23" i="527"/>
  <c r="AN6" i="300"/>
  <c r="AM5"/>
  <c r="AO6"/>
  <c r="AM6"/>
  <c r="AN7"/>
  <c r="AN5"/>
  <c r="AM7"/>
  <c r="AO5"/>
  <c r="AO7"/>
  <c r="O22" i="59"/>
  <c r="O21"/>
  <c r="O23"/>
  <c r="N23"/>
  <c r="N22"/>
  <c r="N21"/>
  <c r="D7" i="303"/>
  <c r="E8"/>
  <c r="A8"/>
  <c r="A6"/>
  <c r="B9"/>
  <c r="D9"/>
  <c r="B5"/>
  <c r="E9"/>
  <c r="D5"/>
  <c r="C9"/>
  <c r="B7"/>
  <c r="A7"/>
  <c r="E6"/>
  <c r="C6"/>
  <c r="B6"/>
  <c r="A9"/>
  <c r="C8"/>
  <c r="E5"/>
  <c r="E7"/>
  <c r="A5"/>
  <c r="C5"/>
  <c r="C7"/>
  <c r="D8"/>
  <c r="D6"/>
  <c r="B8"/>
  <c r="I14" i="517"/>
  <c r="G13"/>
  <c r="J15"/>
  <c r="G14"/>
  <c r="H13"/>
  <c r="I15"/>
  <c r="H16"/>
  <c r="G16"/>
  <c r="H15"/>
  <c r="J16"/>
  <c r="G15"/>
  <c r="J13"/>
  <c r="J14"/>
  <c r="H14"/>
  <c r="I16"/>
  <c r="I13"/>
  <c r="Y22" i="468"/>
  <c r="X22"/>
  <c r="Y20"/>
  <c r="Z20"/>
  <c r="X20"/>
  <c r="Z22"/>
  <c r="Z21"/>
  <c r="X21"/>
  <c r="Y21"/>
  <c r="E7" i="527"/>
  <c r="P6" i="529"/>
  <c r="Z8" i="523"/>
  <c r="Z17"/>
  <c r="AC4"/>
  <c r="AC8"/>
  <c r="AB22"/>
  <c r="AB6"/>
  <c r="AC14"/>
  <c r="AC23"/>
  <c r="AA6"/>
  <c r="AC5"/>
  <c r="AB8"/>
  <c r="AC20"/>
  <c r="Z19"/>
  <c r="Z5"/>
  <c r="AA3"/>
  <c r="AB12"/>
  <c r="AA5"/>
  <c r="AB23"/>
  <c r="AC13"/>
  <c r="AB11"/>
  <c r="AC19"/>
  <c r="AC9"/>
  <c r="AC21"/>
  <c r="AB14"/>
  <c r="AB16"/>
  <c r="AC16"/>
  <c r="AC17"/>
  <c r="Z3"/>
  <c r="AC3"/>
  <c r="Z14"/>
  <c r="Z20"/>
  <c r="AB15"/>
  <c r="AB4"/>
  <c r="AA10"/>
  <c r="Z7"/>
  <c r="AA4"/>
  <c r="Z15"/>
  <c r="AA15"/>
  <c r="AC6"/>
  <c r="Z6"/>
  <c r="AA12"/>
  <c r="AB20"/>
  <c r="AB18"/>
  <c r="AA23"/>
  <c r="AB13"/>
  <c r="AA19"/>
  <c r="AA22"/>
  <c r="AB5"/>
  <c r="AA11"/>
  <c r="AA13"/>
  <c r="AA7"/>
  <c r="Z12"/>
  <c r="Z22"/>
  <c r="Z4"/>
  <c r="Z13"/>
  <c r="AC18"/>
  <c r="AA21"/>
  <c r="AA18"/>
  <c r="AC22"/>
  <c r="AA20"/>
  <c r="AB21"/>
  <c r="AB7"/>
  <c r="AA16"/>
  <c r="AA8"/>
  <c r="AB19"/>
  <c r="Z23"/>
  <c r="Z9"/>
  <c r="AC10"/>
  <c r="AB17"/>
  <c r="AA9"/>
  <c r="AA17"/>
  <c r="AB10"/>
  <c r="AB3"/>
  <c r="AB9"/>
  <c r="AC12"/>
  <c r="Z18"/>
  <c r="AC7"/>
  <c r="Z16"/>
  <c r="Z11"/>
  <c r="Z21"/>
  <c r="AC11"/>
  <c r="AA14"/>
  <c r="Z10"/>
  <c r="AC15"/>
  <c r="E22" i="527"/>
  <c r="E8" i="517"/>
  <c r="R7" i="462"/>
  <c r="R8"/>
  <c r="R9"/>
  <c r="E14" i="527"/>
  <c r="P9" i="529"/>
  <c r="E21" i="518"/>
  <c r="P19" i="417"/>
  <c r="P17"/>
  <c r="N17"/>
  <c r="N18"/>
  <c r="O17"/>
  <c r="N20"/>
  <c r="M17"/>
  <c r="M19"/>
  <c r="O20"/>
  <c r="O19"/>
  <c r="O18"/>
  <c r="M18"/>
  <c r="M20"/>
  <c r="P18"/>
  <c r="N19"/>
  <c r="P20"/>
  <c r="L9" i="464"/>
  <c r="K9"/>
  <c r="K13"/>
  <c r="J14"/>
  <c r="M9"/>
  <c r="K6"/>
  <c r="K12"/>
  <c r="M10"/>
  <c r="L13"/>
  <c r="K10"/>
  <c r="J10"/>
  <c r="J11"/>
  <c r="J13"/>
  <c r="J4"/>
  <c r="K5"/>
  <c r="L4"/>
  <c r="M7"/>
  <c r="K7"/>
  <c r="K8"/>
  <c r="J8"/>
  <c r="M8"/>
  <c r="J12"/>
  <c r="J6"/>
  <c r="J9"/>
  <c r="L14"/>
  <c r="L10"/>
  <c r="M5"/>
  <c r="L11"/>
  <c r="L5"/>
  <c r="J3"/>
  <c r="K4"/>
  <c r="J7"/>
  <c r="J5"/>
  <c r="K3"/>
  <c r="L12"/>
  <c r="L3"/>
  <c r="K14"/>
  <c r="M6"/>
  <c r="K11"/>
  <c r="M4"/>
  <c r="L7"/>
  <c r="L8"/>
  <c r="M12"/>
  <c r="M13"/>
  <c r="M11"/>
  <c r="L6"/>
  <c r="M14"/>
  <c r="M3"/>
  <c r="E23" i="517"/>
  <c r="F3" i="448"/>
  <c r="G25"/>
  <c r="G23"/>
  <c r="G26"/>
  <c r="H15"/>
  <c r="H27"/>
  <c r="F9"/>
  <c r="F20"/>
  <c r="H11"/>
  <c r="H24"/>
  <c r="F17"/>
  <c r="F25"/>
  <c r="H10"/>
  <c r="F10"/>
  <c r="F18"/>
  <c r="H7"/>
  <c r="H17"/>
  <c r="F19"/>
  <c r="H21"/>
  <c r="F28"/>
  <c r="F24"/>
  <c r="G20"/>
  <c r="F11"/>
  <c r="F27"/>
  <c r="G22"/>
  <c r="H29"/>
  <c r="H4"/>
  <c r="H9"/>
  <c r="F15"/>
  <c r="H6"/>
  <c r="F26"/>
  <c r="F6"/>
  <c r="F14"/>
  <c r="H8"/>
  <c r="G8"/>
  <c r="H5"/>
  <c r="F22"/>
  <c r="H3"/>
  <c r="G6"/>
  <c r="H26"/>
  <c r="G13"/>
  <c r="F8"/>
  <c r="F29"/>
  <c r="F16"/>
  <c r="G16"/>
  <c r="H18"/>
  <c r="G24"/>
  <c r="G21"/>
  <c r="H14"/>
  <c r="G19"/>
  <c r="G28"/>
  <c r="H12"/>
  <c r="F7"/>
  <c r="H20"/>
  <c r="G3"/>
  <c r="F13"/>
  <c r="G9"/>
  <c r="G5"/>
  <c r="F23"/>
  <c r="G4"/>
  <c r="F5"/>
  <c r="H23"/>
  <c r="G29"/>
  <c r="F4"/>
  <c r="H22"/>
  <c r="F21"/>
  <c r="G7"/>
  <c r="G11"/>
  <c r="H16"/>
  <c r="H19"/>
  <c r="G10"/>
  <c r="F12"/>
  <c r="H28"/>
  <c r="G27"/>
  <c r="H13"/>
  <c r="G17"/>
  <c r="G14"/>
  <c r="G12"/>
  <c r="H25"/>
  <c r="G18"/>
  <c r="G15"/>
  <c r="E13" i="517"/>
  <c r="AL26" i="510"/>
  <c r="AH27"/>
  <c r="AI26"/>
  <c r="AE26"/>
  <c r="AG24"/>
  <c r="AL23"/>
  <c r="AL27"/>
  <c r="AF25"/>
  <c r="AK26"/>
  <c r="AL25"/>
  <c r="AH26"/>
  <c r="AF24"/>
  <c r="AJ23"/>
  <c r="AJ25"/>
  <c r="AE24"/>
  <c r="AE25"/>
  <c r="AK27"/>
  <c r="AK23"/>
  <c r="AJ26"/>
  <c r="AK25"/>
  <c r="AG27"/>
  <c r="AH23"/>
  <c r="AI27"/>
  <c r="AF23"/>
  <c r="AG23"/>
  <c r="AG25"/>
  <c r="AK24"/>
  <c r="AE23"/>
  <c r="AL24"/>
  <c r="AI25"/>
  <c r="AF26"/>
  <c r="AJ27"/>
  <c r="AF27"/>
  <c r="AJ24"/>
  <c r="AE27"/>
  <c r="AH24"/>
  <c r="AI23"/>
  <c r="AH25"/>
  <c r="AG26"/>
  <c r="AI24"/>
  <c r="M9" i="489"/>
  <c r="M7"/>
  <c r="M10"/>
  <c r="N5"/>
  <c r="M5"/>
  <c r="M8"/>
  <c r="M4"/>
  <c r="N10"/>
  <c r="N4"/>
  <c r="M6"/>
  <c r="N6"/>
  <c r="N7"/>
  <c r="N8"/>
  <c r="N9"/>
  <c r="E12" i="518"/>
  <c r="L32" i="476"/>
  <c r="M32"/>
  <c r="N32"/>
  <c r="K32"/>
  <c r="M8" i="455"/>
  <c r="M12"/>
  <c r="M6"/>
  <c r="M10"/>
  <c r="M5"/>
  <c r="M9"/>
  <c r="M11"/>
  <c r="M7"/>
  <c r="A6" i="298"/>
  <c r="B6"/>
  <c r="C5"/>
  <c r="D6"/>
  <c r="D5"/>
  <c r="A7"/>
  <c r="D8"/>
  <c r="D7"/>
  <c r="B5"/>
  <c r="C7"/>
  <c r="B7"/>
  <c r="B8"/>
  <c r="C6"/>
  <c r="A5"/>
  <c r="C8"/>
  <c r="A8"/>
  <c r="P40" i="442"/>
  <c r="O42"/>
  <c r="O41"/>
  <c r="P41"/>
  <c r="P42"/>
  <c r="O40"/>
  <c r="AV6" i="302"/>
  <c r="AT6"/>
  <c r="AV8"/>
  <c r="AS10"/>
  <c r="AV9"/>
  <c r="AU9"/>
  <c r="AU7"/>
  <c r="AV10"/>
  <c r="AS8"/>
  <c r="AR7"/>
  <c r="AS7"/>
  <c r="AS6"/>
  <c r="AV7"/>
  <c r="AT9"/>
  <c r="AU6"/>
  <c r="AT8"/>
  <c r="AR8"/>
  <c r="AU10"/>
  <c r="AR6"/>
  <c r="AR10"/>
  <c r="AT7"/>
  <c r="AS9"/>
  <c r="AR9"/>
  <c r="AT10"/>
  <c r="AU8"/>
  <c r="K33" i="107"/>
  <c r="K32"/>
  <c r="K27"/>
  <c r="K35"/>
  <c r="K29"/>
  <c r="K36"/>
  <c r="K30"/>
  <c r="K34"/>
  <c r="K31"/>
  <c r="K26"/>
  <c r="K28"/>
  <c r="AH26" i="523"/>
  <c r="AH25"/>
  <c r="AG29"/>
  <c r="AE25"/>
  <c r="AE27"/>
  <c r="AG25"/>
  <c r="AF29"/>
  <c r="AF28"/>
  <c r="AG27"/>
  <c r="AE26"/>
  <c r="AF27"/>
  <c r="AH27"/>
  <c r="AH28"/>
  <c r="AF26"/>
  <c r="AF25"/>
  <c r="AG28"/>
  <c r="AH29"/>
  <c r="AE29"/>
  <c r="AE28"/>
  <c r="AG26"/>
  <c r="J13" i="483"/>
  <c r="K13"/>
  <c r="L13"/>
  <c r="I6" i="226"/>
  <c r="I7"/>
  <c r="I8"/>
  <c r="I5"/>
  <c r="E14" i="517"/>
  <c r="E22" i="516"/>
  <c r="E13" i="613"/>
  <c r="I6" s="1"/>
  <c r="I7" s="1"/>
  <c r="AA26" i="510"/>
  <c r="AC29"/>
  <c r="Z25"/>
  <c r="AB28"/>
  <c r="AB27"/>
  <c r="Z28"/>
  <c r="Z29"/>
  <c r="AC27"/>
  <c r="AA29"/>
  <c r="AA25"/>
  <c r="AB26"/>
  <c r="AC28"/>
  <c r="AB29"/>
  <c r="AB25"/>
  <c r="AC26"/>
  <c r="AC25"/>
  <c r="AA27"/>
  <c r="Z27"/>
  <c r="Z26"/>
  <c r="AA28"/>
  <c r="E16" i="527"/>
  <c r="AE4" i="523"/>
  <c r="AF20"/>
  <c r="AE17"/>
  <c r="AF22"/>
  <c r="AG19"/>
  <c r="AF13"/>
  <c r="AH5"/>
  <c r="AE13"/>
  <c r="AF14"/>
  <c r="AF6"/>
  <c r="AE6"/>
  <c r="AG14"/>
  <c r="AF23"/>
  <c r="AG3"/>
  <c r="AH21"/>
  <c r="AH17"/>
  <c r="AG10"/>
  <c r="AF3"/>
  <c r="AG6"/>
  <c r="AF5"/>
  <c r="AE21"/>
  <c r="AE19"/>
  <c r="AG23"/>
  <c r="AG17"/>
  <c r="AH6"/>
  <c r="AF21"/>
  <c r="AG11"/>
  <c r="AH4"/>
  <c r="AE8"/>
  <c r="AH18"/>
  <c r="AF8"/>
  <c r="AF11"/>
  <c r="AE3"/>
  <c r="AH11"/>
  <c r="AE10"/>
  <c r="AE20"/>
  <c r="AG5"/>
  <c r="AG9"/>
  <c r="AF9"/>
  <c r="AH12"/>
  <c r="AH7"/>
  <c r="AG21"/>
  <c r="AG8"/>
  <c r="AH3"/>
  <c r="AE18"/>
  <c r="AG20"/>
  <c r="AF18"/>
  <c r="AH10"/>
  <c r="AG7"/>
  <c r="AE9"/>
  <c r="AF16"/>
  <c r="AH14"/>
  <c r="AE11"/>
  <c r="AH8"/>
  <c r="AE7"/>
  <c r="AG16"/>
  <c r="AF17"/>
  <c r="AF19"/>
  <c r="AF12"/>
  <c r="AE5"/>
  <c r="AE22"/>
  <c r="AG4"/>
  <c r="AE16"/>
  <c r="AE15"/>
  <c r="AG22"/>
  <c r="AF10"/>
  <c r="AG12"/>
  <c r="AH9"/>
  <c r="AE14"/>
  <c r="AG15"/>
  <c r="AH19"/>
  <c r="AF4"/>
  <c r="AH15"/>
  <c r="AF7"/>
  <c r="AH20"/>
  <c r="AE23"/>
  <c r="AG18"/>
  <c r="AE12"/>
  <c r="AF15"/>
  <c r="AH22"/>
  <c r="AG13"/>
  <c r="AH13"/>
  <c r="AH23"/>
  <c r="AH16"/>
  <c r="X22" i="466"/>
  <c r="Z22"/>
  <c r="X21"/>
  <c r="Y22"/>
  <c r="Y20"/>
  <c r="Z21"/>
  <c r="Z20"/>
  <c r="X20"/>
  <c r="Y21"/>
  <c r="L26" i="476"/>
  <c r="K26"/>
  <c r="I28"/>
  <c r="L27"/>
  <c r="J27"/>
  <c r="L25"/>
  <c r="L28"/>
  <c r="K28"/>
  <c r="I26"/>
  <c r="I27"/>
  <c r="J28"/>
  <c r="J26"/>
  <c r="K27"/>
  <c r="I25"/>
  <c r="J25"/>
  <c r="K25"/>
  <c r="R16" i="467"/>
  <c r="T16"/>
  <c r="S16"/>
  <c r="P14" i="523"/>
  <c r="S5"/>
  <c r="Q11"/>
  <c r="Q7"/>
  <c r="Q5"/>
  <c r="Q19"/>
  <c r="Q23"/>
  <c r="Q14"/>
  <c r="S3"/>
  <c r="S13"/>
  <c r="S6"/>
  <c r="P9"/>
  <c r="R11"/>
  <c r="R9"/>
  <c r="R7"/>
  <c r="R19"/>
  <c r="R3"/>
  <c r="Q21"/>
  <c r="P21"/>
  <c r="P13"/>
  <c r="Q9"/>
  <c r="P10"/>
  <c r="S12"/>
  <c r="Q10"/>
  <c r="P4"/>
  <c r="R20"/>
  <c r="S22"/>
  <c r="Q13"/>
  <c r="R4"/>
  <c r="P15"/>
  <c r="Q3"/>
  <c r="S16"/>
  <c r="S15"/>
  <c r="P12"/>
  <c r="R14"/>
  <c r="Q18"/>
  <c r="S11"/>
  <c r="S8"/>
  <c r="S21"/>
  <c r="R10"/>
  <c r="P7"/>
  <c r="P16"/>
  <c r="P6"/>
  <c r="R23"/>
  <c r="P22"/>
  <c r="R21"/>
  <c r="S14"/>
  <c r="R12"/>
  <c r="Q12"/>
  <c r="Q22"/>
  <c r="Q16"/>
  <c r="Q15"/>
  <c r="Q8"/>
  <c r="S9"/>
  <c r="P20"/>
  <c r="R5"/>
  <c r="R22"/>
  <c r="S4"/>
  <c r="R17"/>
  <c r="R15"/>
  <c r="Q4"/>
  <c r="R8"/>
  <c r="Q20"/>
  <c r="P23"/>
  <c r="R18"/>
  <c r="S23"/>
  <c r="P11"/>
  <c r="S17"/>
  <c r="P19"/>
  <c r="P5"/>
  <c r="S19"/>
  <c r="P3"/>
  <c r="P8"/>
  <c r="P17"/>
  <c r="R16"/>
  <c r="R13"/>
  <c r="S10"/>
  <c r="R6"/>
  <c r="P18"/>
  <c r="Q17"/>
  <c r="S18"/>
  <c r="S20"/>
  <c r="S7"/>
  <c r="Q6"/>
  <c r="G15" i="462"/>
  <c r="G16"/>
  <c r="G17"/>
  <c r="T7" i="510"/>
  <c r="T5"/>
  <c r="T18"/>
  <c r="V17"/>
  <c r="W4"/>
  <c r="U11"/>
  <c r="U5"/>
  <c r="V20"/>
  <c r="U16"/>
  <c r="V13"/>
  <c r="T21"/>
  <c r="V9"/>
  <c r="V18"/>
  <c r="T16"/>
  <c r="V15"/>
  <c r="V7"/>
  <c r="W13"/>
  <c r="U15"/>
  <c r="U10"/>
  <c r="W22"/>
  <c r="V10"/>
  <c r="W11"/>
  <c r="U22"/>
  <c r="U6"/>
  <c r="W6"/>
  <c r="W10"/>
  <c r="W9"/>
  <c r="U4"/>
  <c r="W15"/>
  <c r="W18"/>
  <c r="T6"/>
  <c r="T11"/>
  <c r="W21"/>
  <c r="U20"/>
  <c r="W17"/>
  <c r="T17"/>
  <c r="U13"/>
  <c r="W12"/>
  <c r="T15"/>
  <c r="V12"/>
  <c r="U21"/>
  <c r="U8"/>
  <c r="V8"/>
  <c r="V19"/>
  <c r="T9"/>
  <c r="U23"/>
  <c r="T19"/>
  <c r="V22"/>
  <c r="W5"/>
  <c r="V16"/>
  <c r="U19"/>
  <c r="W8"/>
  <c r="U9"/>
  <c r="V5"/>
  <c r="U12"/>
  <c r="V4"/>
  <c r="V6"/>
  <c r="W16"/>
  <c r="W19"/>
  <c r="U7"/>
  <c r="T22"/>
  <c r="V14"/>
  <c r="T10"/>
  <c r="T20"/>
  <c r="U14"/>
  <c r="W23"/>
  <c r="W20"/>
  <c r="T14"/>
  <c r="W7"/>
  <c r="U17"/>
  <c r="V11"/>
  <c r="W14"/>
  <c r="T23"/>
  <c r="V21"/>
  <c r="T12"/>
  <c r="U18"/>
  <c r="T8"/>
  <c r="T13"/>
  <c r="V23"/>
  <c r="T4"/>
  <c r="E20" i="516"/>
  <c r="AH52" i="463"/>
  <c r="AI52"/>
  <c r="AG51"/>
  <c r="AI51"/>
  <c r="AH51"/>
  <c r="AG52"/>
  <c r="Y4" i="456"/>
  <c r="T13"/>
  <c r="Y7"/>
  <c r="X13"/>
  <c r="Y12"/>
  <c r="Y11"/>
  <c r="T4"/>
  <c r="U8"/>
  <c r="X4"/>
  <c r="W12"/>
  <c r="V5"/>
  <c r="X10"/>
  <c r="W13"/>
  <c r="V13"/>
  <c r="U4"/>
  <c r="X11"/>
  <c r="V8"/>
  <c r="T14"/>
  <c r="V4"/>
  <c r="V14"/>
  <c r="X14"/>
  <c r="V9"/>
  <c r="U5"/>
  <c r="T11"/>
  <c r="V3"/>
  <c r="Y5"/>
  <c r="U12"/>
  <c r="U7"/>
  <c r="U3"/>
  <c r="T8"/>
  <c r="X12"/>
  <c r="W14"/>
  <c r="V10"/>
  <c r="Y13"/>
  <c r="W11"/>
  <c r="X8"/>
  <c r="T10"/>
  <c r="V12"/>
  <c r="T9"/>
  <c r="X7"/>
  <c r="W5"/>
  <c r="Y3"/>
  <c r="Y14"/>
  <c r="U9"/>
  <c r="W10"/>
  <c r="Y9"/>
  <c r="Y6"/>
  <c r="W8"/>
  <c r="W4"/>
  <c r="X6"/>
  <c r="X9"/>
  <c r="T12"/>
  <c r="T6"/>
  <c r="T3"/>
  <c r="U6"/>
  <c r="U14"/>
  <c r="V7"/>
  <c r="W6"/>
  <c r="U13"/>
  <c r="X3"/>
  <c r="T5"/>
  <c r="Y8"/>
  <c r="W7"/>
  <c r="Y10"/>
  <c r="V6"/>
  <c r="T7"/>
  <c r="V11"/>
  <c r="W9"/>
  <c r="U10"/>
  <c r="U11"/>
  <c r="W3"/>
  <c r="X5"/>
  <c r="E18" i="516"/>
  <c r="K46" i="339"/>
  <c r="K47"/>
  <c r="K48"/>
  <c r="K41"/>
  <c r="K40"/>
  <c r="K39"/>
  <c r="E20" i="527"/>
  <c r="E9"/>
  <c r="AA6" i="468"/>
  <c r="AA7"/>
  <c r="AA8"/>
  <c r="E8" i="518"/>
  <c r="P7" i="529"/>
  <c r="AC4" i="467"/>
  <c r="AA5"/>
  <c r="AA4"/>
  <c r="AB6"/>
  <c r="AB4"/>
  <c r="AB5"/>
  <c r="AC7"/>
  <c r="AC5"/>
  <c r="AC6"/>
  <c r="AA7"/>
  <c r="AA6"/>
  <c r="AB7"/>
  <c r="H22" i="463"/>
  <c r="H23"/>
  <c r="H21"/>
  <c r="F48" i="339"/>
  <c r="I46"/>
  <c r="G46"/>
  <c r="I48"/>
  <c r="G48"/>
  <c r="I47"/>
  <c r="F47"/>
  <c r="H48"/>
  <c r="F46"/>
  <c r="H46"/>
  <c r="H47"/>
  <c r="G47"/>
  <c r="X9" i="369"/>
  <c r="W8"/>
  <c r="V11"/>
  <c r="W7"/>
  <c r="X4"/>
  <c r="V8"/>
  <c r="V7"/>
  <c r="W4"/>
  <c r="W9"/>
  <c r="W11"/>
  <c r="V4"/>
  <c r="V9"/>
  <c r="V5"/>
  <c r="W5"/>
  <c r="X11"/>
  <c r="X10"/>
  <c r="V10"/>
  <c r="V6"/>
  <c r="W6"/>
  <c r="X7"/>
  <c r="W10"/>
  <c r="X8"/>
  <c r="X6"/>
  <c r="X5"/>
  <c r="E15" i="517"/>
  <c r="F10" i="462"/>
  <c r="F7"/>
  <c r="E7"/>
  <c r="F9"/>
  <c r="G6"/>
  <c r="F8"/>
  <c r="G11"/>
  <c r="G7"/>
  <c r="E10"/>
  <c r="F11"/>
  <c r="E11"/>
  <c r="G8"/>
  <c r="H6"/>
  <c r="H7"/>
  <c r="E6"/>
  <c r="E9"/>
  <c r="H10"/>
  <c r="E8"/>
  <c r="H8"/>
  <c r="H9"/>
  <c r="F6"/>
  <c r="G10"/>
  <c r="H11"/>
  <c r="G9"/>
  <c r="J6" i="602"/>
  <c r="J4"/>
  <c r="K6"/>
  <c r="K3"/>
  <c r="J5"/>
  <c r="K5"/>
  <c r="K4"/>
  <c r="K7"/>
  <c r="J8"/>
  <c r="J9"/>
  <c r="J3"/>
  <c r="K9"/>
  <c r="J7"/>
  <c r="K8"/>
  <c r="AV30" i="610"/>
  <c r="AV29"/>
  <c r="AV28"/>
  <c r="AV31"/>
  <c r="AV26"/>
  <c r="AV25"/>
  <c r="AV23"/>
  <c r="AV24"/>
  <c r="AV27"/>
  <c r="AR33" i="302"/>
  <c r="AS33"/>
  <c r="AR34"/>
  <c r="AT36"/>
  <c r="AT35"/>
  <c r="AV35"/>
  <c r="AT34"/>
  <c r="AR35"/>
  <c r="AS36"/>
  <c r="AS35"/>
  <c r="AT37"/>
  <c r="AR37"/>
  <c r="AR36"/>
  <c r="AU34"/>
  <c r="AV34"/>
  <c r="AV37"/>
  <c r="AS34"/>
  <c r="AU37"/>
  <c r="AU35"/>
  <c r="AV33"/>
  <c r="AU36"/>
  <c r="AS37"/>
  <c r="AU33"/>
  <c r="AT33"/>
  <c r="AV36"/>
  <c r="AK29" i="531"/>
  <c r="AJ26"/>
  <c r="AJ27"/>
  <c r="AL25"/>
  <c r="AL28"/>
  <c r="AJ28"/>
  <c r="AM28"/>
  <c r="AK26"/>
  <c r="AM29"/>
  <c r="AK27"/>
  <c r="AJ25"/>
  <c r="AM27"/>
  <c r="AM25"/>
  <c r="AL27"/>
  <c r="AM26"/>
  <c r="AJ29"/>
  <c r="AK25"/>
  <c r="AL26"/>
  <c r="AK28"/>
  <c r="AL29"/>
  <c r="AB25" i="508"/>
  <c r="AA26"/>
  <c r="AA27"/>
  <c r="AC25"/>
  <c r="AB27"/>
  <c r="AC28"/>
  <c r="AB29"/>
  <c r="AB26"/>
  <c r="AA28"/>
  <c r="AC27"/>
  <c r="Z27"/>
  <c r="AC29"/>
  <c r="AC26"/>
  <c r="Z25"/>
  <c r="AA29"/>
  <c r="Z28"/>
  <c r="AA25"/>
  <c r="Z26"/>
  <c r="AB28"/>
  <c r="Z29"/>
  <c r="K4" i="448"/>
  <c r="M4"/>
  <c r="L4"/>
  <c r="K14" i="511"/>
  <c r="G14"/>
  <c r="H14"/>
  <c r="G13"/>
  <c r="I12"/>
  <c r="L14"/>
  <c r="K13"/>
  <c r="I13"/>
  <c r="J14"/>
  <c r="H13"/>
  <c r="J13"/>
  <c r="I14"/>
  <c r="J12"/>
  <c r="L13"/>
  <c r="K12"/>
  <c r="H12"/>
  <c r="G12"/>
  <c r="L12"/>
  <c r="S25" i="523"/>
  <c r="Q25"/>
  <c r="P27"/>
  <c r="Q27"/>
  <c r="R28"/>
  <c r="P29"/>
  <c r="R25"/>
  <c r="R27"/>
  <c r="R26"/>
  <c r="Q26"/>
  <c r="P26"/>
  <c r="S28"/>
  <c r="S26"/>
  <c r="P28"/>
  <c r="Q29"/>
  <c r="R29"/>
  <c r="S27"/>
  <c r="P25"/>
  <c r="S29"/>
  <c r="Q28"/>
  <c r="G7" i="339"/>
  <c r="G5"/>
  <c r="G6"/>
  <c r="H5"/>
  <c r="I7"/>
  <c r="F5"/>
  <c r="H7"/>
  <c r="F6"/>
  <c r="F7"/>
  <c r="H6"/>
  <c r="I6"/>
  <c r="I5"/>
  <c r="AT28" i="523"/>
  <c r="AV28"/>
  <c r="AT27"/>
  <c r="AT25"/>
  <c r="AV25"/>
  <c r="AU28"/>
  <c r="AW28"/>
  <c r="AU27"/>
  <c r="AT29"/>
  <c r="AW29"/>
  <c r="AV27"/>
  <c r="AW26"/>
  <c r="AV26"/>
  <c r="AW25"/>
  <c r="AU29"/>
  <c r="AT26"/>
  <c r="AU26"/>
  <c r="AU25"/>
  <c r="AW27"/>
  <c r="AV29"/>
  <c r="E20" i="518"/>
  <c r="B10" i="73"/>
  <c r="B14"/>
  <c r="B15"/>
  <c r="B6"/>
  <c r="B11"/>
  <c r="B8"/>
  <c r="B9"/>
  <c r="B5"/>
  <c r="B4"/>
  <c r="B12"/>
  <c r="B7"/>
  <c r="B13"/>
  <c r="H38" i="463"/>
  <c r="H39"/>
  <c r="P17" i="529"/>
  <c r="P14"/>
  <c r="F5" i="456"/>
  <c r="F4"/>
  <c r="F17" i="417"/>
  <c r="F18"/>
  <c r="E18"/>
  <c r="F19"/>
  <c r="E19"/>
  <c r="E17"/>
  <c r="G19"/>
  <c r="G17"/>
  <c r="G18"/>
  <c r="P21" i="529"/>
  <c r="N24" i="467"/>
  <c r="I23"/>
  <c r="K23"/>
  <c r="K22"/>
  <c r="H22"/>
  <c r="N22"/>
  <c r="N23"/>
  <c r="L24"/>
  <c r="L22"/>
  <c r="M22"/>
  <c r="H24"/>
  <c r="L23"/>
  <c r="M24"/>
  <c r="K24"/>
  <c r="J23"/>
  <c r="H23"/>
  <c r="J22"/>
  <c r="J24"/>
  <c r="M23"/>
  <c r="I24"/>
  <c r="I22"/>
  <c r="E17" i="527"/>
  <c r="S51" i="420"/>
  <c r="S10"/>
  <c r="S9"/>
  <c r="S21"/>
  <c r="S56"/>
  <c r="S36"/>
  <c r="S62"/>
  <c r="S60"/>
  <c r="S50"/>
  <c r="S46"/>
  <c r="S23"/>
  <c r="S54"/>
  <c r="S6"/>
  <c r="S18"/>
  <c r="S33"/>
  <c r="S8"/>
  <c r="S31"/>
  <c r="S53"/>
  <c r="S17"/>
  <c r="S22"/>
  <c r="S38"/>
  <c r="S40"/>
  <c r="S13"/>
  <c r="S34"/>
  <c r="S14"/>
  <c r="S35"/>
  <c r="S3"/>
  <c r="S55"/>
  <c r="S52"/>
  <c r="S45"/>
  <c r="S12"/>
  <c r="S19"/>
  <c r="S20"/>
  <c r="S4"/>
  <c r="S59"/>
  <c r="S47"/>
  <c r="S58"/>
  <c r="S5"/>
  <c r="S11"/>
  <c r="S25"/>
  <c r="S30"/>
  <c r="S28"/>
  <c r="S48"/>
  <c r="S37"/>
  <c r="S7"/>
  <c r="S24"/>
  <c r="S15"/>
  <c r="S42"/>
  <c r="S29"/>
  <c r="S26"/>
  <c r="S41"/>
  <c r="S32"/>
  <c r="S16"/>
  <c r="S61"/>
  <c r="S27"/>
  <c r="S49"/>
  <c r="S57"/>
  <c r="S44"/>
  <c r="S39"/>
  <c r="S43"/>
  <c r="AG5" i="300"/>
  <c r="AF6"/>
  <c r="AG6"/>
  <c r="AF5"/>
  <c r="J27" i="510"/>
  <c r="H26"/>
  <c r="I26"/>
  <c r="H25"/>
  <c r="H29"/>
  <c r="H28"/>
  <c r="J29"/>
  <c r="K25"/>
  <c r="K27"/>
  <c r="I25"/>
  <c r="J28"/>
  <c r="I27"/>
  <c r="K26"/>
  <c r="K28"/>
  <c r="H27"/>
  <c r="K29"/>
  <c r="I28"/>
  <c r="J26"/>
  <c r="J25"/>
  <c r="I29"/>
  <c r="I5" i="507"/>
  <c r="H10"/>
  <c r="H9"/>
  <c r="H17"/>
  <c r="J12"/>
  <c r="K22"/>
  <c r="J22"/>
  <c r="J7"/>
  <c r="H21"/>
  <c r="K23"/>
  <c r="K16"/>
  <c r="K4"/>
  <c r="I11"/>
  <c r="K12"/>
  <c r="I21"/>
  <c r="I15"/>
  <c r="H6"/>
  <c r="H11"/>
  <c r="H4"/>
  <c r="K8"/>
  <c r="I18"/>
  <c r="I10"/>
  <c r="I14"/>
  <c r="J9"/>
  <c r="J20"/>
  <c r="J5"/>
  <c r="J8"/>
  <c r="J14"/>
  <c r="H12"/>
  <c r="K6"/>
  <c r="H16"/>
  <c r="J23"/>
  <c r="I19"/>
  <c r="H7"/>
  <c r="I16"/>
  <c r="K15"/>
  <c r="K5"/>
  <c r="I4"/>
  <c r="K17"/>
  <c r="I13"/>
  <c r="J21"/>
  <c r="H23"/>
  <c r="K10"/>
  <c r="J10"/>
  <c r="J17"/>
  <c r="I6"/>
  <c r="K11"/>
  <c r="H20"/>
  <c r="K18"/>
  <c r="H22"/>
  <c r="H15"/>
  <c r="I22"/>
  <c r="H19"/>
  <c r="J18"/>
  <c r="J4"/>
  <c r="I12"/>
  <c r="I8"/>
  <c r="K21"/>
  <c r="J13"/>
  <c r="J6"/>
  <c r="J16"/>
  <c r="I7"/>
  <c r="H13"/>
  <c r="H5"/>
  <c r="I9"/>
  <c r="K9"/>
  <c r="H8"/>
  <c r="J11"/>
  <c r="I17"/>
  <c r="H18"/>
  <c r="K13"/>
  <c r="K7"/>
  <c r="I20"/>
  <c r="J19"/>
  <c r="K14"/>
  <c r="H14"/>
  <c r="J15"/>
  <c r="K20"/>
  <c r="I23"/>
  <c r="K19"/>
  <c r="D28" i="531"/>
  <c r="C28"/>
  <c r="A26"/>
  <c r="D29"/>
  <c r="B26"/>
  <c r="A28"/>
  <c r="C29"/>
  <c r="B25"/>
  <c r="C25"/>
  <c r="B29"/>
  <c r="B28"/>
  <c r="A27"/>
  <c r="D25"/>
  <c r="D27"/>
  <c r="C27"/>
  <c r="B27"/>
  <c r="A29"/>
  <c r="C26"/>
  <c r="A25"/>
  <c r="D26"/>
  <c r="X8" i="458"/>
  <c r="X9"/>
  <c r="G14" i="414"/>
  <c r="H16"/>
  <c r="H13"/>
  <c r="G15"/>
  <c r="H15"/>
  <c r="I16"/>
  <c r="I13"/>
  <c r="I15"/>
  <c r="G16"/>
  <c r="I14"/>
  <c r="G13"/>
  <c r="H14"/>
  <c r="AJ8" i="462"/>
  <c r="AH11"/>
  <c r="AH10"/>
  <c r="AJ12"/>
  <c r="AH9"/>
  <c r="AJ10"/>
  <c r="AI10"/>
  <c r="AH7"/>
  <c r="AJ7"/>
  <c r="AH12"/>
  <c r="AI9"/>
  <c r="AI8"/>
  <c r="AI7"/>
  <c r="AH8"/>
  <c r="AJ11"/>
  <c r="AI11"/>
  <c r="AJ9"/>
  <c r="AI12"/>
  <c r="AA4" i="531"/>
  <c r="AC18"/>
  <c r="AC9"/>
  <c r="AC21"/>
  <c r="AC6"/>
  <c r="AA8"/>
  <c r="AC23"/>
  <c r="AA21"/>
  <c r="AC4"/>
  <c r="AB21"/>
  <c r="AA6"/>
  <c r="AB8"/>
  <c r="AC19"/>
  <c r="AB17"/>
  <c r="Z23"/>
  <c r="AC15"/>
  <c r="Z17"/>
  <c r="AA5"/>
  <c r="Z13"/>
  <c r="AC11"/>
  <c r="AA11"/>
  <c r="Z7"/>
  <c r="AB19"/>
  <c r="Z6"/>
  <c r="AB12"/>
  <c r="AA12"/>
  <c r="AB15"/>
  <c r="AB20"/>
  <c r="AB18"/>
  <c r="Z18"/>
  <c r="AA16"/>
  <c r="AA9"/>
  <c r="AC17"/>
  <c r="AC10"/>
  <c r="Z19"/>
  <c r="AA22"/>
  <c r="Z21"/>
  <c r="AA23"/>
  <c r="Z16"/>
  <c r="Z12"/>
  <c r="Z20"/>
  <c r="AC13"/>
  <c r="AA20"/>
  <c r="AC8"/>
  <c r="AA18"/>
  <c r="AB7"/>
  <c r="Z3"/>
  <c r="Z5"/>
  <c r="AB23"/>
  <c r="AC20"/>
  <c r="AA15"/>
  <c r="AA13"/>
  <c r="AA17"/>
  <c r="Z15"/>
  <c r="AC5"/>
  <c r="AB5"/>
  <c r="AA7"/>
  <c r="AB10"/>
  <c r="Z4"/>
  <c r="AA10"/>
  <c r="AA3"/>
  <c r="Z11"/>
  <c r="AB13"/>
  <c r="AC14"/>
  <c r="AB11"/>
  <c r="AB14"/>
  <c r="Z14"/>
  <c r="Z10"/>
  <c r="AA19"/>
  <c r="AC3"/>
  <c r="AB16"/>
  <c r="Z9"/>
  <c r="AA14"/>
  <c r="AB6"/>
  <c r="AB3"/>
  <c r="AC22"/>
  <c r="AB22"/>
  <c r="Z8"/>
  <c r="Z22"/>
  <c r="AB4"/>
  <c r="AC16"/>
  <c r="AB9"/>
  <c r="AC7"/>
  <c r="AC12"/>
  <c r="E20" i="517"/>
  <c r="G33" i="440"/>
  <c r="G31"/>
  <c r="G30"/>
  <c r="G35"/>
  <c r="G32"/>
  <c r="G34"/>
  <c r="P16" i="529"/>
  <c r="Y8" i="465"/>
  <c r="Y7"/>
  <c r="Y6"/>
  <c r="AG25" i="64"/>
  <c r="AF25"/>
  <c r="AF26"/>
  <c r="AF24"/>
  <c r="AG24"/>
  <c r="AG26"/>
  <c r="AG23"/>
  <c r="AF23"/>
  <c r="G80" i="339"/>
  <c r="G79"/>
  <c r="G78"/>
  <c r="I79"/>
  <c r="I78"/>
  <c r="G77"/>
  <c r="I77"/>
  <c r="H79"/>
  <c r="H77"/>
  <c r="H80"/>
  <c r="I80"/>
  <c r="H78"/>
  <c r="E14" i="518"/>
  <c r="I17" i="528"/>
  <c r="H17"/>
  <c r="F15"/>
  <c r="F16"/>
  <c r="H16"/>
  <c r="J18"/>
  <c r="H14"/>
  <c r="I18"/>
  <c r="J15"/>
  <c r="F14"/>
  <c r="H15"/>
  <c r="G14"/>
  <c r="I14"/>
  <c r="F17"/>
  <c r="F18"/>
  <c r="J17"/>
  <c r="I16"/>
  <c r="G16"/>
  <c r="G15"/>
  <c r="G17"/>
  <c r="H18"/>
  <c r="J16"/>
  <c r="J14"/>
  <c r="G18"/>
  <c r="I15"/>
  <c r="O7" i="7"/>
  <c r="O6"/>
  <c r="O4"/>
  <c r="O8"/>
  <c r="N6"/>
  <c r="N8"/>
  <c r="N5"/>
  <c r="N4"/>
  <c r="N7"/>
  <c r="M6"/>
  <c r="M5"/>
  <c r="O5"/>
  <c r="M4"/>
  <c r="M7"/>
  <c r="M8"/>
  <c r="N16" i="71"/>
  <c r="M14"/>
  <c r="M16"/>
  <c r="N14"/>
  <c r="M15"/>
  <c r="N15"/>
  <c r="E22" i="517"/>
  <c r="E34" i="440"/>
  <c r="E30"/>
  <c r="E33"/>
  <c r="E31"/>
  <c r="E32"/>
  <c r="E35"/>
  <c r="J86" i="463"/>
  <c r="J88"/>
  <c r="J87"/>
  <c r="J89"/>
  <c r="E12" i="516"/>
  <c r="L9" i="530"/>
  <c r="L6"/>
  <c r="O7"/>
  <c r="N10"/>
  <c r="N6"/>
  <c r="P10"/>
  <c r="P7"/>
  <c r="L8"/>
  <c r="M7"/>
  <c r="O6"/>
  <c r="N9"/>
  <c r="O5"/>
  <c r="P9"/>
  <c r="P8"/>
  <c r="P5"/>
  <c r="M9"/>
  <c r="O8"/>
  <c r="P6"/>
  <c r="M6"/>
  <c r="L10"/>
  <c r="M5"/>
  <c r="O10"/>
  <c r="L7"/>
  <c r="N7"/>
  <c r="N5"/>
  <c r="M8"/>
  <c r="O9"/>
  <c r="L5"/>
  <c r="N8"/>
  <c r="M10"/>
  <c r="X9" i="459"/>
  <c r="X8"/>
  <c r="H11" i="586"/>
  <c r="I9"/>
  <c r="I11"/>
  <c r="H10"/>
  <c r="H12"/>
  <c r="I10"/>
  <c r="H9"/>
  <c r="I12"/>
  <c r="K15" i="483"/>
  <c r="L15"/>
  <c r="J15"/>
  <c r="AK28" i="523"/>
  <c r="AJ26"/>
  <c r="AM29"/>
  <c r="AM27"/>
  <c r="AK27"/>
  <c r="AM26"/>
  <c r="AM28"/>
  <c r="AK25"/>
  <c r="AJ27"/>
  <c r="AJ28"/>
  <c r="AM25"/>
  <c r="AL26"/>
  <c r="AL27"/>
  <c r="AL25"/>
  <c r="AJ25"/>
  <c r="AK26"/>
  <c r="AK29"/>
  <c r="AJ29"/>
  <c r="AL28"/>
  <c r="AL29"/>
  <c r="E18" i="450"/>
  <c r="E17"/>
  <c r="J20" i="499"/>
  <c r="J19"/>
  <c r="Q7" i="7"/>
  <c r="Q6"/>
  <c r="Q8"/>
  <c r="Q10"/>
  <c r="Q9"/>
  <c r="M28" i="555"/>
  <c r="M26"/>
  <c r="M31"/>
  <c r="M25"/>
  <c r="M30"/>
  <c r="M23"/>
  <c r="M24"/>
  <c r="M21"/>
  <c r="M29"/>
  <c r="M22"/>
  <c r="M27"/>
  <c r="M20"/>
  <c r="M19"/>
  <c r="M21" i="530"/>
  <c r="L27"/>
  <c r="L22"/>
  <c r="P26"/>
  <c r="O23"/>
  <c r="Q26"/>
  <c r="O21"/>
  <c r="O26"/>
  <c r="O20"/>
  <c r="Q23"/>
  <c r="M22"/>
  <c r="M20"/>
  <c r="Q22"/>
  <c r="N24"/>
  <c r="M25"/>
  <c r="O22"/>
  <c r="M23"/>
  <c r="L21"/>
  <c r="Q25"/>
  <c r="Q28"/>
  <c r="Q20"/>
  <c r="M27"/>
  <c r="N26"/>
  <c r="P24"/>
  <c r="P20"/>
  <c r="N23"/>
  <c r="N20"/>
  <c r="P23"/>
  <c r="M26"/>
  <c r="O24"/>
  <c r="P21"/>
  <c r="N28"/>
  <c r="L25"/>
  <c r="N27"/>
  <c r="Q24"/>
  <c r="Q27"/>
  <c r="N21"/>
  <c r="P27"/>
  <c r="O27"/>
  <c r="P25"/>
  <c r="N25"/>
  <c r="M28"/>
  <c r="M24"/>
  <c r="N22"/>
  <c r="L23"/>
  <c r="Q21"/>
  <c r="O25"/>
  <c r="L24"/>
  <c r="L28"/>
  <c r="L20"/>
  <c r="L26"/>
  <c r="P22"/>
  <c r="O28"/>
  <c r="P28"/>
  <c r="AA23" i="468"/>
  <c r="AA24"/>
  <c r="AA25"/>
  <c r="AC23"/>
  <c r="AC25"/>
  <c r="AB25"/>
  <c r="AB23"/>
  <c r="AB24"/>
  <c r="AC24"/>
  <c r="K16" i="483"/>
  <c r="J16"/>
  <c r="L16"/>
  <c r="J8" i="467"/>
  <c r="J9"/>
  <c r="J7"/>
  <c r="K5"/>
  <c r="K10"/>
  <c r="K8"/>
  <c r="K9"/>
  <c r="K7"/>
  <c r="J10"/>
  <c r="K6"/>
  <c r="K4"/>
  <c r="J6"/>
  <c r="J4"/>
  <c r="J5"/>
  <c r="E4" i="588"/>
  <c r="E7"/>
  <c r="F3"/>
  <c r="F5"/>
  <c r="F9"/>
  <c r="F7"/>
  <c r="F11"/>
  <c r="E10"/>
  <c r="F6"/>
  <c r="F4"/>
  <c r="E5"/>
  <c r="E9"/>
  <c r="F8"/>
  <c r="E11"/>
  <c r="E6"/>
  <c r="E3"/>
  <c r="E8"/>
  <c r="F10"/>
  <c r="M4" i="467"/>
  <c r="M6"/>
  <c r="N7"/>
  <c r="M7"/>
  <c r="N8"/>
  <c r="M5"/>
  <c r="N6"/>
  <c r="M8"/>
  <c r="N5"/>
  <c r="N4"/>
  <c r="AW22" i="523"/>
  <c r="AV5"/>
  <c r="AU3"/>
  <c r="AW20"/>
  <c r="AW18"/>
  <c r="AV16"/>
  <c r="AT22"/>
  <c r="AW8"/>
  <c r="AW4"/>
  <c r="AT23"/>
  <c r="AW11"/>
  <c r="AU19"/>
  <c r="AV8"/>
  <c r="AT21"/>
  <c r="AT19"/>
  <c r="AW16"/>
  <c r="AV14"/>
  <c r="AT7"/>
  <c r="AT5"/>
  <c r="AT3"/>
  <c r="AU20"/>
  <c r="AW13"/>
  <c r="AU10"/>
  <c r="AV11"/>
  <c r="AW19"/>
  <c r="AW3"/>
  <c r="AU23"/>
  <c r="AU8"/>
  <c r="AW21"/>
  <c r="AU18"/>
  <c r="AT9"/>
  <c r="AV18"/>
  <c r="AV17"/>
  <c r="AT12"/>
  <c r="AT13"/>
  <c r="AU12"/>
  <c r="AU11"/>
  <c r="AV23"/>
  <c r="AW6"/>
  <c r="AU15"/>
  <c r="AV3"/>
  <c r="AW17"/>
  <c r="AV10"/>
  <c r="AU16"/>
  <c r="AV12"/>
  <c r="AU4"/>
  <c r="AV22"/>
  <c r="AT10"/>
  <c r="AT4"/>
  <c r="AU21"/>
  <c r="AU22"/>
  <c r="AV19"/>
  <c r="AW9"/>
  <c r="AV6"/>
  <c r="AU6"/>
  <c r="AT15"/>
  <c r="AV13"/>
  <c r="AW12"/>
  <c r="AW5"/>
  <c r="AU7"/>
  <c r="AU13"/>
  <c r="AV21"/>
  <c r="AW23"/>
  <c r="AW15"/>
  <c r="AU9"/>
  <c r="AT16"/>
  <c r="AT20"/>
  <c r="AW7"/>
  <c r="AT17"/>
  <c r="AT6"/>
  <c r="AT14"/>
  <c r="AU14"/>
  <c r="AV7"/>
  <c r="AV4"/>
  <c r="AU17"/>
  <c r="AT8"/>
  <c r="AT18"/>
  <c r="AU5"/>
  <c r="AT11"/>
  <c r="AV15"/>
  <c r="AW14"/>
  <c r="AV9"/>
  <c r="AW10"/>
  <c r="AV20"/>
  <c r="E18" i="518"/>
  <c r="F14" i="339"/>
  <c r="H13"/>
  <c r="G12"/>
  <c r="H14"/>
  <c r="F13"/>
  <c r="I13"/>
  <c r="I14"/>
  <c r="H12"/>
  <c r="F12"/>
  <c r="G13"/>
  <c r="I12"/>
  <c r="G14"/>
  <c r="AA10" i="494"/>
  <c r="AA7"/>
  <c r="AA5"/>
  <c r="AB6"/>
  <c r="AB8"/>
  <c r="AB4"/>
  <c r="AB7"/>
  <c r="AB5"/>
  <c r="AA9"/>
  <c r="AA8"/>
  <c r="AB9"/>
  <c r="AA4"/>
  <c r="AB10"/>
  <c r="AA6"/>
  <c r="E13" i="518"/>
  <c r="E5" i="527"/>
  <c r="G7" i="607"/>
  <c r="H7"/>
  <c r="H6"/>
  <c r="G6"/>
  <c r="R9" i="415"/>
  <c r="S9"/>
  <c r="Q7"/>
  <c r="T5"/>
  <c r="S14"/>
  <c r="S10"/>
  <c r="U4"/>
  <c r="V11"/>
  <c r="W16"/>
  <c r="R12"/>
  <c r="T4"/>
  <c r="R7"/>
  <c r="V8"/>
  <c r="U9"/>
  <c r="V3"/>
  <c r="U15"/>
  <c r="T3"/>
  <c r="S12"/>
  <c r="V10"/>
  <c r="T6"/>
  <c r="V15"/>
  <c r="R11"/>
  <c r="V17"/>
  <c r="W12"/>
  <c r="R16"/>
  <c r="T8"/>
  <c r="T17"/>
  <c r="T13"/>
  <c r="W18"/>
  <c r="U7"/>
  <c r="Q18"/>
  <c r="Q12"/>
  <c r="U8"/>
  <c r="T7"/>
  <c r="Q17"/>
  <c r="Q6"/>
  <c r="W9"/>
  <c r="S17"/>
  <c r="U14"/>
  <c r="S18"/>
  <c r="U12"/>
  <c r="U13"/>
  <c r="U11"/>
  <c r="U18"/>
  <c r="S8"/>
  <c r="T9"/>
  <c r="Q14"/>
  <c r="S7"/>
  <c r="V16"/>
  <c r="V18"/>
  <c r="R5"/>
  <c r="T18"/>
  <c r="W17"/>
  <c r="W11"/>
  <c r="S15"/>
  <c r="W13"/>
  <c r="W3"/>
  <c r="T10"/>
  <c r="W10"/>
  <c r="W6"/>
  <c r="T11"/>
  <c r="S6"/>
  <c r="R18"/>
  <c r="Q13"/>
  <c r="Q4"/>
  <c r="S11"/>
  <c r="S3"/>
  <c r="W8"/>
  <c r="Q5"/>
  <c r="Q9"/>
  <c r="U3"/>
  <c r="R17"/>
  <c r="S5"/>
  <c r="T15"/>
  <c r="T14"/>
  <c r="U10"/>
  <c r="U6"/>
  <c r="R13"/>
  <c r="Q16"/>
  <c r="W4"/>
  <c r="R6"/>
  <c r="Q15"/>
  <c r="V9"/>
  <c r="Q8"/>
  <c r="U17"/>
  <c r="V5"/>
  <c r="R14"/>
  <c r="U16"/>
  <c r="V7"/>
  <c r="W5"/>
  <c r="W15"/>
  <c r="V4"/>
  <c r="R10"/>
  <c r="R4"/>
  <c r="S13"/>
  <c r="V13"/>
  <c r="Q11"/>
  <c r="V6"/>
  <c r="T16"/>
  <c r="R8"/>
  <c r="R15"/>
  <c r="W14"/>
  <c r="S16"/>
  <c r="V12"/>
  <c r="S4"/>
  <c r="T12"/>
  <c r="Q10"/>
  <c r="V14"/>
  <c r="R3"/>
  <c r="Q3"/>
  <c r="W7"/>
  <c r="U5"/>
  <c r="E16" i="518"/>
  <c r="M30" i="591"/>
  <c r="M21"/>
  <c r="M6"/>
  <c r="M14"/>
  <c r="M13"/>
  <c r="M18"/>
  <c r="M11"/>
  <c r="M28"/>
  <c r="M16"/>
  <c r="M26"/>
  <c r="M17"/>
  <c r="M15"/>
  <c r="M9"/>
  <c r="M25"/>
  <c r="M31"/>
  <c r="M4"/>
  <c r="M29"/>
  <c r="M12"/>
  <c r="M22"/>
  <c r="M27"/>
  <c r="M20"/>
  <c r="M8"/>
  <c r="M5"/>
  <c r="M19"/>
  <c r="M10"/>
  <c r="M24"/>
  <c r="M7"/>
  <c r="M3"/>
  <c r="M32"/>
  <c r="M23"/>
  <c r="X11" i="514"/>
  <c r="W13"/>
  <c r="X13"/>
  <c r="V13"/>
  <c r="U13"/>
  <c r="U11"/>
  <c r="V12"/>
  <c r="W11"/>
  <c r="W10"/>
  <c r="W12"/>
  <c r="V10"/>
  <c r="U10"/>
  <c r="X12"/>
  <c r="U12"/>
  <c r="V11"/>
  <c r="X10"/>
  <c r="V13" i="531"/>
  <c r="W20"/>
  <c r="W10"/>
  <c r="V14"/>
  <c r="V10"/>
  <c r="X11"/>
  <c r="X9"/>
  <c r="V12"/>
  <c r="W6"/>
  <c r="V20"/>
  <c r="X19"/>
  <c r="W19"/>
  <c r="X15"/>
  <c r="U18"/>
  <c r="X6"/>
  <c r="X4"/>
  <c r="W8"/>
  <c r="W12"/>
  <c r="V16"/>
  <c r="U4"/>
  <c r="X21"/>
  <c r="V4"/>
  <c r="X18"/>
  <c r="V19"/>
  <c r="W16"/>
  <c r="U12"/>
  <c r="W23"/>
  <c r="U19"/>
  <c r="V15"/>
  <c r="V11"/>
  <c r="V9"/>
  <c r="X16"/>
  <c r="X17"/>
  <c r="X7"/>
  <c r="U3"/>
  <c r="X20"/>
  <c r="W18"/>
  <c r="X10"/>
  <c r="U23"/>
  <c r="W5"/>
  <c r="X14"/>
  <c r="W17"/>
  <c r="X8"/>
  <c r="U15"/>
  <c r="V17"/>
  <c r="U6"/>
  <c r="W14"/>
  <c r="V5"/>
  <c r="V21"/>
  <c r="U10"/>
  <c r="U9"/>
  <c r="X23"/>
  <c r="V6"/>
  <c r="W21"/>
  <c r="W11"/>
  <c r="U7"/>
  <c r="U8"/>
  <c r="W4"/>
  <c r="V3"/>
  <c r="U5"/>
  <c r="U21"/>
  <c r="V23"/>
  <c r="X12"/>
  <c r="U14"/>
  <c r="W9"/>
  <c r="V7"/>
  <c r="U20"/>
  <c r="X3"/>
  <c r="U11"/>
  <c r="V8"/>
  <c r="U16"/>
  <c r="W7"/>
  <c r="W22"/>
  <c r="U22"/>
  <c r="W13"/>
  <c r="V18"/>
  <c r="X5"/>
  <c r="V22"/>
  <c r="W15"/>
  <c r="X22"/>
  <c r="X13"/>
  <c r="U13"/>
  <c r="W3"/>
  <c r="U17"/>
  <c r="F5" i="455"/>
  <c r="F4"/>
  <c r="S8" i="555"/>
  <c r="S9"/>
  <c r="S10"/>
  <c r="S7"/>
  <c r="S5"/>
  <c r="S6"/>
  <c r="Q28" i="522"/>
  <c r="Q29"/>
  <c r="Q31"/>
  <c r="Q30"/>
  <c r="P29"/>
  <c r="N28"/>
  <c r="N29"/>
  <c r="O28"/>
  <c r="N31"/>
  <c r="P28"/>
  <c r="P30"/>
  <c r="P31"/>
  <c r="O31"/>
  <c r="O30"/>
  <c r="O29"/>
  <c r="N30"/>
  <c r="H9" i="455"/>
  <c r="H8"/>
  <c r="I24" i="471"/>
  <c r="I22"/>
  <c r="I23"/>
  <c r="P8" i="529"/>
  <c r="K5" i="510"/>
  <c r="H11"/>
  <c r="H20"/>
  <c r="J7"/>
  <c r="J17"/>
  <c r="K4"/>
  <c r="H16"/>
  <c r="J19"/>
  <c r="H22"/>
  <c r="K10"/>
  <c r="K16"/>
  <c r="K20"/>
  <c r="J10"/>
  <c r="K7"/>
  <c r="J13"/>
  <c r="J22"/>
  <c r="K17"/>
  <c r="I14"/>
  <c r="I12"/>
  <c r="H12"/>
  <c r="H18"/>
  <c r="J21"/>
  <c r="I8"/>
  <c r="H4"/>
  <c r="H7"/>
  <c r="H13"/>
  <c r="I10"/>
  <c r="I16"/>
  <c r="I13"/>
  <c r="K15"/>
  <c r="K19"/>
  <c r="K11"/>
  <c r="K14"/>
  <c r="K18"/>
  <c r="H21"/>
  <c r="I15"/>
  <c r="K23"/>
  <c r="H8"/>
  <c r="J8"/>
  <c r="K22"/>
  <c r="I4"/>
  <c r="J5"/>
  <c r="H5"/>
  <c r="I21"/>
  <c r="I6"/>
  <c r="I22"/>
  <c r="K8"/>
  <c r="J9"/>
  <c r="J16"/>
  <c r="J6"/>
  <c r="K21"/>
  <c r="I19"/>
  <c r="K9"/>
  <c r="K6"/>
  <c r="H19"/>
  <c r="H15"/>
  <c r="J12"/>
  <c r="I17"/>
  <c r="J18"/>
  <c r="J4"/>
  <c r="K12"/>
  <c r="H10"/>
  <c r="I23"/>
  <c r="J23"/>
  <c r="I20"/>
  <c r="I7"/>
  <c r="H9"/>
  <c r="K13"/>
  <c r="H6"/>
  <c r="H23"/>
  <c r="H17"/>
  <c r="I9"/>
  <c r="J11"/>
  <c r="J15"/>
  <c r="I18"/>
  <c r="J20"/>
  <c r="I11"/>
  <c r="J14"/>
  <c r="H14"/>
  <c r="I5"/>
  <c r="T18" i="477"/>
  <c r="T16"/>
  <c r="T17"/>
  <c r="Q5" i="442"/>
  <c r="Q7"/>
  <c r="Q6"/>
  <c r="G18" i="472"/>
  <c r="G19"/>
  <c r="G20"/>
  <c r="K11" i="341"/>
  <c r="K10"/>
  <c r="K9"/>
  <c r="E13" i="527"/>
  <c r="D33" i="440"/>
  <c r="D30"/>
  <c r="D31"/>
  <c r="D35"/>
  <c r="D32"/>
  <c r="D34"/>
  <c r="E15" i="516"/>
  <c r="W27" i="369"/>
  <c r="W31"/>
  <c r="X30"/>
  <c r="V24"/>
  <c r="W30"/>
  <c r="V26"/>
  <c r="V30"/>
  <c r="W28"/>
  <c r="V29"/>
  <c r="V27"/>
  <c r="V22"/>
  <c r="V31"/>
  <c r="X25"/>
  <c r="X27"/>
  <c r="V25"/>
  <c r="W25"/>
  <c r="X31"/>
  <c r="W29"/>
  <c r="W26"/>
  <c r="W22"/>
  <c r="W23"/>
  <c r="X24"/>
  <c r="X28"/>
  <c r="V23"/>
  <c r="X23"/>
  <c r="X26"/>
  <c r="V28"/>
  <c r="X22"/>
  <c r="W24"/>
  <c r="X29"/>
  <c r="G20" i="460"/>
  <c r="G19"/>
  <c r="E7" i="518"/>
  <c r="P22" i="529"/>
  <c r="E5" i="450"/>
  <c r="E6"/>
  <c r="E16" i="517"/>
  <c r="O13" i="57"/>
  <c r="O15"/>
  <c r="N14"/>
  <c r="O16"/>
  <c r="N15"/>
  <c r="N16"/>
  <c r="O14"/>
  <c r="N13"/>
  <c r="E4" i="527"/>
  <c r="K77" i="339"/>
  <c r="K78"/>
  <c r="P19" i="529"/>
  <c r="AB8" i="468"/>
  <c r="AB7"/>
  <c r="AB6"/>
  <c r="H15" i="516"/>
  <c r="J14"/>
  <c r="J16"/>
  <c r="G15"/>
  <c r="G16"/>
  <c r="G13"/>
  <c r="I15"/>
  <c r="G14"/>
  <c r="J13"/>
  <c r="I14"/>
  <c r="J15"/>
  <c r="H14"/>
  <c r="I16"/>
  <c r="I13"/>
  <c r="H16"/>
  <c r="H13"/>
  <c r="I23" i="468"/>
  <c r="I22"/>
  <c r="I24"/>
  <c r="N6" i="497"/>
  <c r="O10"/>
  <c r="N13"/>
  <c r="O6"/>
  <c r="O12"/>
  <c r="O11"/>
  <c r="M9"/>
  <c r="O8"/>
  <c r="N11"/>
  <c r="N12"/>
  <c r="M5"/>
  <c r="N4"/>
  <c r="M11"/>
  <c r="N5"/>
  <c r="N7"/>
  <c r="O13"/>
  <c r="M13"/>
  <c r="O7"/>
  <c r="M4"/>
  <c r="N10"/>
  <c r="O9"/>
  <c r="M7"/>
  <c r="N9"/>
  <c r="O5"/>
  <c r="N8"/>
  <c r="O4"/>
  <c r="M6"/>
  <c r="M10"/>
  <c r="M8"/>
  <c r="M12"/>
  <c r="L49" i="462"/>
  <c r="I46"/>
  <c r="J49"/>
  <c r="L48"/>
  <c r="K45"/>
  <c r="L45"/>
  <c r="J47"/>
  <c r="K49"/>
  <c r="L47"/>
  <c r="J45"/>
  <c r="K44"/>
  <c r="K46"/>
  <c r="I47"/>
  <c r="K48"/>
  <c r="K47"/>
  <c r="I45"/>
  <c r="J44"/>
  <c r="J46"/>
  <c r="L46"/>
  <c r="J48"/>
  <c r="I48"/>
  <c r="I44"/>
  <c r="L44"/>
  <c r="I49"/>
  <c r="AG18" i="64"/>
  <c r="AF18"/>
  <c r="AG17"/>
  <c r="AF19"/>
  <c r="AG20"/>
  <c r="AF17"/>
  <c r="AF20"/>
  <c r="AG19"/>
  <c r="AU8" i="351"/>
  <c r="AU9"/>
  <c r="AU7"/>
  <c r="AT5"/>
  <c r="AT7"/>
  <c r="AT9"/>
  <c r="AU11"/>
  <c r="AU6"/>
  <c r="AT8"/>
  <c r="AT6"/>
  <c r="AT11"/>
  <c r="AU5"/>
  <c r="AU10"/>
  <c r="AT10"/>
  <c r="B22" i="298"/>
  <c r="C22"/>
  <c r="A22"/>
  <c r="L13" i="523"/>
  <c r="M16"/>
  <c r="K4"/>
  <c r="N20"/>
  <c r="L7"/>
  <c r="N10"/>
  <c r="M12"/>
  <c r="L4"/>
  <c r="L11"/>
  <c r="M23"/>
  <c r="K11"/>
  <c r="M7"/>
  <c r="K13"/>
  <c r="N9"/>
  <c r="N13"/>
  <c r="L20"/>
  <c r="L23"/>
  <c r="L21"/>
  <c r="K21"/>
  <c r="K5"/>
  <c r="M21"/>
  <c r="N15"/>
  <c r="K14"/>
  <c r="L22"/>
  <c r="L5"/>
  <c r="M5"/>
  <c r="N23"/>
  <c r="K15"/>
  <c r="K8"/>
  <c r="L10"/>
  <c r="M13"/>
  <c r="K23"/>
  <c r="N14"/>
  <c r="L14"/>
  <c r="M14"/>
  <c r="M17"/>
  <c r="N21"/>
  <c r="L6"/>
  <c r="L12"/>
  <c r="N17"/>
  <c r="M20"/>
  <c r="L15"/>
  <c r="L16"/>
  <c r="K10"/>
  <c r="K22"/>
  <c r="K3"/>
  <c r="N8"/>
  <c r="M15"/>
  <c r="M22"/>
  <c r="L19"/>
  <c r="K19"/>
  <c r="L3"/>
  <c r="N22"/>
  <c r="N6"/>
  <c r="L9"/>
  <c r="K6"/>
  <c r="K9"/>
  <c r="N7"/>
  <c r="K18"/>
  <c r="N11"/>
  <c r="N19"/>
  <c r="M18"/>
  <c r="N5"/>
  <c r="M11"/>
  <c r="L18"/>
  <c r="N12"/>
  <c r="M9"/>
  <c r="K17"/>
  <c r="M19"/>
  <c r="N16"/>
  <c r="N18"/>
  <c r="M8"/>
  <c r="K20"/>
  <c r="L8"/>
  <c r="L17"/>
  <c r="M3"/>
  <c r="K7"/>
  <c r="M4"/>
  <c r="M10"/>
  <c r="M6"/>
  <c r="N4"/>
  <c r="K16"/>
  <c r="N3"/>
  <c r="K12"/>
  <c r="AB12" i="457"/>
  <c r="AA13"/>
  <c r="AA12"/>
  <c r="AA5"/>
  <c r="AA6"/>
  <c r="Z5"/>
  <c r="AB6"/>
  <c r="AB9"/>
  <c r="AA14"/>
  <c r="Y12"/>
  <c r="Y10"/>
  <c r="Z11"/>
  <c r="Y9"/>
  <c r="Z13"/>
  <c r="Z12"/>
  <c r="Z14"/>
  <c r="AA7"/>
  <c r="AA11"/>
  <c r="Z7"/>
  <c r="AB14"/>
  <c r="Z10"/>
  <c r="Y6"/>
  <c r="Z9"/>
  <c r="AA3"/>
  <c r="Z6"/>
  <c r="Y4"/>
  <c r="Y5"/>
  <c r="Y11"/>
  <c r="Y7"/>
  <c r="AA9"/>
  <c r="AB13"/>
  <c r="AB7"/>
  <c r="Y8"/>
  <c r="AB8"/>
  <c r="AB5"/>
  <c r="AA8"/>
  <c r="AB3"/>
  <c r="Z8"/>
  <c r="AA10"/>
  <c r="Z3"/>
  <c r="Y14"/>
  <c r="Z4"/>
  <c r="AB11"/>
  <c r="AA4"/>
  <c r="AB4"/>
  <c r="Y3"/>
  <c r="Y13"/>
  <c r="AB10"/>
  <c r="K84" i="339"/>
  <c r="K85"/>
  <c r="Q52" i="459"/>
  <c r="T91"/>
  <c r="T40"/>
  <c r="Q69"/>
  <c r="R23"/>
  <c r="R60"/>
  <c r="T17"/>
  <c r="S55"/>
  <c r="R9"/>
  <c r="S88"/>
  <c r="R46"/>
  <c r="Q38"/>
  <c r="S29"/>
  <c r="R45"/>
  <c r="R56"/>
  <c r="Q14"/>
  <c r="S5"/>
  <c r="Q54"/>
  <c r="S45"/>
  <c r="R77"/>
  <c r="Q88"/>
  <c r="S79"/>
  <c r="Q57"/>
  <c r="S46"/>
  <c r="T5"/>
  <c r="Q21"/>
  <c r="S18"/>
  <c r="S41"/>
  <c r="Q27"/>
  <c r="Q44"/>
  <c r="R21"/>
  <c r="R30"/>
  <c r="S19"/>
  <c r="Q3"/>
  <c r="Q40"/>
  <c r="S86"/>
  <c r="Q11"/>
  <c r="T82"/>
  <c r="S63"/>
  <c r="T15"/>
  <c r="Q43"/>
  <c r="S57"/>
  <c r="R52"/>
  <c r="S4"/>
  <c r="S72"/>
  <c r="T43"/>
  <c r="T8"/>
  <c r="Q37"/>
  <c r="R87"/>
  <c r="Q10"/>
  <c r="T65"/>
  <c r="T30"/>
  <c r="Q81"/>
  <c r="R54"/>
  <c r="Q16"/>
  <c r="S51"/>
  <c r="Q41"/>
  <c r="R22"/>
  <c r="T9"/>
  <c r="T22"/>
  <c r="S3"/>
  <c r="R33"/>
  <c r="T21"/>
  <c r="T34"/>
  <c r="Q7"/>
  <c r="R20"/>
  <c r="T38"/>
  <c r="S22"/>
  <c r="T87"/>
  <c r="Q87"/>
  <c r="T39"/>
  <c r="S48"/>
  <c r="Q28"/>
  <c r="R65"/>
  <c r="S58"/>
  <c r="R80"/>
  <c r="R64"/>
  <c r="S84"/>
  <c r="S32"/>
  <c r="S26"/>
  <c r="Q71"/>
  <c r="S40"/>
  <c r="T44"/>
  <c r="T27"/>
  <c r="S81"/>
  <c r="Q5"/>
  <c r="R48"/>
  <c r="R76"/>
  <c r="T49"/>
  <c r="T14"/>
  <c r="Q49"/>
  <c r="R47"/>
  <c r="R74"/>
  <c r="S9"/>
  <c r="R85"/>
  <c r="S14"/>
  <c r="Q78"/>
  <c r="S91"/>
  <c r="T71"/>
  <c r="T84"/>
  <c r="Q66"/>
  <c r="T12"/>
  <c r="S52"/>
  <c r="S66"/>
  <c r="S85"/>
  <c r="R31"/>
  <c r="T45"/>
  <c r="S60"/>
  <c r="Q86"/>
  <c r="Q65"/>
  <c r="R82"/>
  <c r="T86"/>
  <c r="R27"/>
  <c r="Q15"/>
  <c r="Q53"/>
  <c r="Q33"/>
  <c r="R69"/>
  <c r="R24"/>
  <c r="R81"/>
  <c r="T60"/>
  <c r="T57"/>
  <c r="S38"/>
  <c r="Q36"/>
  <c r="S17"/>
  <c r="T72"/>
  <c r="S76"/>
  <c r="R11"/>
  <c r="Q58"/>
  <c r="S23"/>
  <c r="T78"/>
  <c r="Q31"/>
  <c r="S10"/>
  <c r="T13"/>
  <c r="T26"/>
  <c r="S80"/>
  <c r="R58"/>
  <c r="T73"/>
  <c r="Q76"/>
  <c r="S89"/>
  <c r="S28"/>
  <c r="T85"/>
  <c r="R17"/>
  <c r="R88"/>
  <c r="Q50"/>
  <c r="Q89"/>
  <c r="R10"/>
  <c r="T70"/>
  <c r="R62"/>
  <c r="S77"/>
  <c r="R7"/>
  <c r="T67"/>
  <c r="Q59"/>
  <c r="S31"/>
  <c r="T25"/>
  <c r="Q22"/>
  <c r="S42"/>
  <c r="R51"/>
  <c r="R49"/>
  <c r="R53"/>
  <c r="T50"/>
  <c r="T80"/>
  <c r="S33"/>
  <c r="S12"/>
  <c r="S50"/>
  <c r="S7"/>
  <c r="Q17"/>
  <c r="S74"/>
  <c r="S73"/>
  <c r="Q75"/>
  <c r="T53"/>
  <c r="T51"/>
  <c r="S68"/>
  <c r="T54"/>
  <c r="R70"/>
  <c r="R37"/>
  <c r="T3"/>
  <c r="R91"/>
  <c r="Q23"/>
  <c r="T16"/>
  <c r="T37"/>
  <c r="R5"/>
  <c r="Q72"/>
  <c r="Q62"/>
  <c r="R19"/>
  <c r="R90"/>
  <c r="T75"/>
  <c r="R61"/>
  <c r="R75"/>
  <c r="T81"/>
  <c r="R73"/>
  <c r="R35"/>
  <c r="T77"/>
  <c r="Q35"/>
  <c r="T31"/>
  <c r="T29"/>
  <c r="Q73"/>
  <c r="S59"/>
  <c r="R79"/>
  <c r="T74"/>
  <c r="Q48"/>
  <c r="S6"/>
  <c r="R89"/>
  <c r="S61"/>
  <c r="R28"/>
  <c r="T18"/>
  <c r="S62"/>
  <c r="Q25"/>
  <c r="Q55"/>
  <c r="R39"/>
  <c r="Q68"/>
  <c r="T24"/>
  <c r="Q51"/>
  <c r="Q42"/>
  <c r="S87"/>
  <c r="Q63"/>
  <c r="Q60"/>
  <c r="T68"/>
  <c r="S34"/>
  <c r="S69"/>
  <c r="T20"/>
  <c r="T41"/>
  <c r="Q13"/>
  <c r="Q8"/>
  <c r="R16"/>
  <c r="R25"/>
  <c r="T83"/>
  <c r="R83"/>
  <c r="S20"/>
  <c r="Q61"/>
  <c r="T19"/>
  <c r="Q67"/>
  <c r="Q82"/>
  <c r="T61"/>
  <c r="R42"/>
  <c r="Q20"/>
  <c r="S65"/>
  <c r="Q19"/>
  <c r="Q26"/>
  <c r="S71"/>
  <c r="S56"/>
  <c r="R18"/>
  <c r="T48"/>
  <c r="R43"/>
  <c r="S47"/>
  <c r="S67"/>
  <c r="Q46"/>
  <c r="R57"/>
  <c r="R44"/>
  <c r="Q39"/>
  <c r="T36"/>
  <c r="R12"/>
  <c r="R78"/>
  <c r="Q45"/>
  <c r="R13"/>
  <c r="S82"/>
  <c r="T58"/>
  <c r="R3"/>
  <c r="R38"/>
  <c r="T59"/>
  <c r="R6"/>
  <c r="R41"/>
  <c r="T55"/>
  <c r="Q56"/>
  <c r="Q29"/>
  <c r="Q91"/>
  <c r="Q6"/>
  <c r="T66"/>
  <c r="S70"/>
  <c r="R32"/>
  <c r="Q64"/>
  <c r="Q84"/>
  <c r="T46"/>
  <c r="R50"/>
  <c r="S8"/>
  <c r="S35"/>
  <c r="S13"/>
  <c r="Q18"/>
  <c r="Q4"/>
  <c r="S39"/>
  <c r="R55"/>
  <c r="T76"/>
  <c r="R36"/>
  <c r="T52"/>
  <c r="S53"/>
  <c r="T33"/>
  <c r="T7"/>
  <c r="T23"/>
  <c r="R84"/>
  <c r="T11"/>
  <c r="S30"/>
  <c r="T62"/>
  <c r="T35"/>
  <c r="Q34"/>
  <c r="T64"/>
  <c r="Q47"/>
  <c r="R34"/>
  <c r="T32"/>
  <c r="R71"/>
  <c r="T10"/>
  <c r="R59"/>
  <c r="Q83"/>
  <c r="Q80"/>
  <c r="T42"/>
  <c r="R86"/>
  <c r="R40"/>
  <c r="S75"/>
  <c r="S44"/>
  <c r="R66"/>
  <c r="S25"/>
  <c r="S64"/>
  <c r="S78"/>
  <c r="S11"/>
  <c r="R29"/>
  <c r="S36"/>
  <c r="S37"/>
  <c r="R15"/>
  <c r="T6"/>
  <c r="T88"/>
  <c r="Q90"/>
  <c r="R72"/>
  <c r="Q85"/>
  <c r="Q32"/>
  <c r="S15"/>
  <c r="T89"/>
  <c r="Q77"/>
  <c r="Q70"/>
  <c r="Q30"/>
  <c r="R26"/>
  <c r="R63"/>
  <c r="T56"/>
  <c r="Q74"/>
  <c r="R8"/>
  <c r="T90"/>
  <c r="Q12"/>
  <c r="T63"/>
  <c r="T47"/>
  <c r="Q9"/>
  <c r="R4"/>
  <c r="S90"/>
  <c r="R14"/>
  <c r="S16"/>
  <c r="S49"/>
  <c r="R68"/>
  <c r="S24"/>
  <c r="T4"/>
  <c r="S27"/>
  <c r="Q24"/>
  <c r="R67"/>
  <c r="S83"/>
  <c r="Q79"/>
  <c r="T28"/>
  <c r="T69"/>
  <c r="T79"/>
  <c r="S54"/>
  <c r="S43"/>
  <c r="S21"/>
  <c r="W49" i="369"/>
  <c r="X40"/>
  <c r="V40"/>
  <c r="W48"/>
  <c r="X45"/>
  <c r="X49"/>
  <c r="V48"/>
  <c r="V49"/>
  <c r="X48"/>
  <c r="X43"/>
  <c r="V46"/>
  <c r="W40"/>
  <c r="X44"/>
  <c r="W42"/>
  <c r="X41"/>
  <c r="X46"/>
  <c r="V42"/>
  <c r="V44"/>
  <c r="X47"/>
  <c r="V45"/>
  <c r="W47"/>
  <c r="W46"/>
  <c r="W44"/>
  <c r="W41"/>
  <c r="V47"/>
  <c r="V41"/>
  <c r="W43"/>
  <c r="X42"/>
  <c r="V43"/>
  <c r="W45"/>
  <c r="L16" i="448"/>
  <c r="M16"/>
  <c r="K16"/>
  <c r="J5" i="457"/>
  <c r="M8"/>
  <c r="J11"/>
  <c r="M9"/>
  <c r="L10"/>
  <c r="L12"/>
  <c r="L11"/>
  <c r="M6"/>
  <c r="K7"/>
  <c r="M12"/>
  <c r="L7"/>
  <c r="L8"/>
  <c r="L6"/>
  <c r="K10"/>
  <c r="J6"/>
  <c r="M7"/>
  <c r="M11"/>
  <c r="K5"/>
  <c r="J12"/>
  <c r="M5"/>
  <c r="J9"/>
  <c r="K12"/>
  <c r="K8"/>
  <c r="K9"/>
  <c r="L5"/>
  <c r="K6"/>
  <c r="M10"/>
  <c r="J8"/>
  <c r="L9"/>
  <c r="J7"/>
  <c r="J10"/>
  <c r="K11"/>
  <c r="A55" i="455"/>
  <c r="D88"/>
  <c r="D23"/>
  <c r="A14"/>
  <c r="B61"/>
  <c r="B75"/>
  <c r="A61"/>
  <c r="D94"/>
  <c r="D29"/>
  <c r="A26"/>
  <c r="B81"/>
  <c r="B4"/>
  <c r="A73"/>
  <c r="C52"/>
  <c r="B62"/>
  <c r="A16"/>
  <c r="B80"/>
  <c r="D60"/>
  <c r="D37"/>
  <c r="B93"/>
  <c r="C83"/>
  <c r="A67"/>
  <c r="C48"/>
  <c r="B50"/>
  <c r="A4"/>
  <c r="B48"/>
  <c r="D70"/>
  <c r="D49"/>
  <c r="C21"/>
  <c r="B28"/>
  <c r="D54"/>
  <c r="B65"/>
  <c r="A63"/>
  <c r="B38"/>
  <c r="B83"/>
  <c r="D25"/>
  <c r="C59"/>
  <c r="C64"/>
  <c r="A36"/>
  <c r="C76"/>
  <c r="C66"/>
  <c r="D68"/>
  <c r="A43"/>
  <c r="B55"/>
  <c r="C7"/>
  <c r="C15"/>
  <c r="D89"/>
  <c r="B96"/>
  <c r="A39"/>
  <c r="D72"/>
  <c r="D7"/>
  <c r="B78"/>
  <c r="B17"/>
  <c r="B44"/>
  <c r="A45"/>
  <c r="D78"/>
  <c r="D13"/>
  <c r="B90"/>
  <c r="B33"/>
  <c r="B92"/>
  <c r="A51"/>
  <c r="C32"/>
  <c r="B18"/>
  <c r="B49"/>
  <c r="B3"/>
  <c r="D38"/>
  <c r="D17"/>
  <c r="A86"/>
  <c r="C39"/>
  <c r="A47"/>
  <c r="C26"/>
  <c r="B6"/>
  <c r="B37"/>
  <c r="B87"/>
  <c r="D50"/>
  <c r="D27"/>
  <c r="B21"/>
  <c r="C63"/>
  <c r="D12"/>
  <c r="A34"/>
  <c r="A19"/>
  <c r="D73"/>
  <c r="B36"/>
  <c r="C80"/>
  <c r="A68"/>
  <c r="C20"/>
  <c r="B25"/>
  <c r="D86"/>
  <c r="D76"/>
  <c r="A79"/>
  <c r="B31"/>
  <c r="C31"/>
  <c r="A54"/>
  <c r="A62"/>
  <c r="C16"/>
  <c r="B56"/>
  <c r="D8"/>
  <c r="C40"/>
  <c r="D71"/>
  <c r="B41"/>
  <c r="A76"/>
  <c r="B67"/>
  <c r="D14"/>
  <c r="C46"/>
  <c r="D77"/>
  <c r="B77"/>
  <c r="A88"/>
  <c r="B32"/>
  <c r="D42"/>
  <c r="D19"/>
  <c r="A94"/>
  <c r="C47"/>
  <c r="A49"/>
  <c r="C28"/>
  <c r="B10"/>
  <c r="B45"/>
  <c r="B20"/>
  <c r="D36"/>
  <c r="D15"/>
  <c r="A82"/>
  <c r="C35"/>
  <c r="A59"/>
  <c r="C38"/>
  <c r="B34"/>
  <c r="B73"/>
  <c r="B51"/>
  <c r="C86"/>
  <c r="A84"/>
  <c r="D96"/>
  <c r="C69"/>
  <c r="D4"/>
  <c r="A18"/>
  <c r="A41"/>
  <c r="D95"/>
  <c r="B23"/>
  <c r="C53"/>
  <c r="C33"/>
  <c r="B70"/>
  <c r="D11"/>
  <c r="C9"/>
  <c r="A98"/>
  <c r="B22"/>
  <c r="A33"/>
  <c r="C54"/>
  <c r="D56"/>
  <c r="D87"/>
  <c r="A12"/>
  <c r="A13"/>
  <c r="C30"/>
  <c r="B58"/>
  <c r="C23"/>
  <c r="A95"/>
  <c r="D63"/>
  <c r="C3"/>
  <c r="D18"/>
  <c r="B54"/>
  <c r="B27"/>
  <c r="D80"/>
  <c r="A38"/>
  <c r="B84"/>
  <c r="C60"/>
  <c r="C65"/>
  <c r="A21"/>
  <c r="B97"/>
  <c r="D31"/>
  <c r="D48"/>
  <c r="B91"/>
  <c r="A70"/>
  <c r="A10"/>
  <c r="B95"/>
  <c r="D97"/>
  <c r="D44"/>
  <c r="B19"/>
  <c r="B66"/>
  <c r="D39"/>
  <c r="B71"/>
  <c r="D93"/>
  <c r="A9"/>
  <c r="C93"/>
  <c r="D59"/>
  <c r="D16"/>
  <c r="C79"/>
  <c r="A22"/>
  <c r="B42"/>
  <c r="A15"/>
  <c r="D51"/>
  <c r="D34"/>
  <c r="C97"/>
  <c r="C88"/>
  <c r="B24"/>
  <c r="D61"/>
  <c r="B63"/>
  <c r="C49"/>
  <c r="C92"/>
  <c r="A89"/>
  <c r="A92"/>
  <c r="B74"/>
  <c r="D75"/>
  <c r="C67"/>
  <c r="D9"/>
  <c r="B86"/>
  <c r="C95"/>
  <c r="D85"/>
  <c r="D40"/>
  <c r="D55"/>
  <c r="C77"/>
  <c r="B15"/>
  <c r="C14"/>
  <c r="B26"/>
  <c r="A56"/>
  <c r="A31"/>
  <c r="D41"/>
  <c r="A60"/>
  <c r="A91"/>
  <c r="D81"/>
  <c r="A96"/>
  <c r="D58"/>
  <c r="B94"/>
  <c r="B11"/>
  <c r="C18"/>
  <c r="A66"/>
  <c r="B47"/>
  <c r="C73"/>
  <c r="C84"/>
  <c r="A57"/>
  <c r="B69"/>
  <c r="B82"/>
  <c r="D65"/>
  <c r="B76"/>
  <c r="C22"/>
  <c r="C98"/>
  <c r="B57"/>
  <c r="A20"/>
  <c r="D24"/>
  <c r="C45"/>
  <c r="D62"/>
  <c r="A24"/>
  <c r="C96"/>
  <c r="A69"/>
  <c r="A52"/>
  <c r="D79"/>
  <c r="D92"/>
  <c r="B7"/>
  <c r="C42"/>
  <c r="C61"/>
  <c r="A97"/>
  <c r="A40"/>
  <c r="D22"/>
  <c r="C34"/>
  <c r="A87"/>
  <c r="C13"/>
  <c r="D46"/>
  <c r="C89"/>
  <c r="C74"/>
  <c r="A27"/>
  <c r="A8"/>
  <c r="D57"/>
  <c r="D28"/>
  <c r="B39"/>
  <c r="D52"/>
  <c r="B5"/>
  <c r="A11"/>
  <c r="B12"/>
  <c r="A53"/>
  <c r="A23"/>
  <c r="C56"/>
  <c r="A46"/>
  <c r="C43"/>
  <c r="A93"/>
  <c r="C94"/>
  <c r="C25"/>
  <c r="B72"/>
  <c r="D84"/>
  <c r="A50"/>
  <c r="B40"/>
  <c r="C50"/>
  <c r="C41"/>
  <c r="A3"/>
  <c r="C90"/>
  <c r="C81"/>
  <c r="A81"/>
  <c r="D69"/>
  <c r="A72"/>
  <c r="C44"/>
  <c r="B16"/>
  <c r="B89"/>
  <c r="D67"/>
  <c r="D32"/>
  <c r="B60"/>
  <c r="A85"/>
  <c r="C17"/>
  <c r="D66"/>
  <c r="D26"/>
  <c r="B88"/>
  <c r="A7"/>
  <c r="C24"/>
  <c r="B46"/>
  <c r="C11"/>
  <c r="A77"/>
  <c r="C78"/>
  <c r="A90"/>
  <c r="C87"/>
  <c r="D64"/>
  <c r="A6"/>
  <c r="B43"/>
  <c r="C6"/>
  <c r="A42"/>
  <c r="B64"/>
  <c r="C68"/>
  <c r="C37"/>
  <c r="A37"/>
  <c r="D5"/>
  <c r="A32"/>
  <c r="D98"/>
  <c r="B68"/>
  <c r="B53"/>
  <c r="C36"/>
  <c r="A83"/>
  <c r="C27"/>
  <c r="B59"/>
  <c r="D47"/>
  <c r="B29"/>
  <c r="C51"/>
  <c r="B9"/>
  <c r="C8"/>
  <c r="B14"/>
  <c r="A44"/>
  <c r="A29"/>
  <c r="C62"/>
  <c r="A58"/>
  <c r="C55"/>
  <c r="D20"/>
  <c r="D83"/>
  <c r="C91"/>
  <c r="D82"/>
  <c r="B98"/>
  <c r="B8"/>
  <c r="C4"/>
  <c r="B85"/>
  <c r="A17"/>
  <c r="C82"/>
  <c r="B13"/>
  <c r="A65"/>
  <c r="C71"/>
  <c r="A30"/>
  <c r="D90"/>
  <c r="B35"/>
  <c r="C29"/>
  <c r="A64"/>
  <c r="C58"/>
  <c r="A74"/>
  <c r="D21"/>
  <c r="A35"/>
  <c r="A75"/>
  <c r="A71"/>
  <c r="C10"/>
  <c r="D6"/>
  <c r="B79"/>
  <c r="C85"/>
  <c r="D3"/>
  <c r="C75"/>
  <c r="D33"/>
  <c r="A78"/>
  <c r="A28"/>
  <c r="C72"/>
  <c r="D91"/>
  <c r="B52"/>
  <c r="A48"/>
  <c r="D74"/>
  <c r="C57"/>
  <c r="D35"/>
  <c r="B30"/>
  <c r="D45"/>
  <c r="A25"/>
  <c r="A80"/>
  <c r="C12"/>
  <c r="D30"/>
  <c r="D10"/>
  <c r="C70"/>
  <c r="D43"/>
  <c r="A5"/>
  <c r="C19"/>
  <c r="C5"/>
  <c r="D53"/>
  <c r="AH26" i="531"/>
  <c r="AH27"/>
  <c r="AF26"/>
  <c r="AF25"/>
  <c r="AE25"/>
  <c r="AE29"/>
  <c r="AE26"/>
  <c r="AG26"/>
  <c r="AF28"/>
  <c r="AE27"/>
  <c r="AH28"/>
  <c r="AH25"/>
  <c r="AE28"/>
  <c r="AG25"/>
  <c r="AG27"/>
  <c r="AG29"/>
  <c r="AH29"/>
  <c r="AF29"/>
  <c r="AF27"/>
  <c r="AG28"/>
  <c r="K39" i="462"/>
  <c r="J39"/>
  <c r="E36"/>
  <c r="F36"/>
  <c r="E39"/>
  <c r="L36"/>
  <c r="L39"/>
  <c r="L37"/>
  <c r="H37"/>
  <c r="F38"/>
  <c r="J38"/>
  <c r="K36"/>
  <c r="H38"/>
  <c r="H36"/>
  <c r="J36"/>
  <c r="H39"/>
  <c r="I38"/>
  <c r="K38"/>
  <c r="G36"/>
  <c r="K37"/>
  <c r="J37"/>
  <c r="I39"/>
  <c r="E37"/>
  <c r="G37"/>
  <c r="I37"/>
  <c r="G39"/>
  <c r="F39"/>
  <c r="L38"/>
  <c r="I36"/>
  <c r="G38"/>
  <c r="E38"/>
  <c r="F37"/>
  <c r="J23" i="431"/>
  <c r="J21"/>
  <c r="J22"/>
  <c r="Q28" i="477"/>
  <c r="R34"/>
  <c r="Q35"/>
  <c r="R33"/>
  <c r="R28"/>
  <c r="Q31"/>
  <c r="R31"/>
  <c r="R35"/>
  <c r="R32"/>
  <c r="Q29"/>
  <c r="Q32"/>
  <c r="Q33"/>
  <c r="Q34"/>
  <c r="Q30"/>
  <c r="R29"/>
  <c r="R30"/>
  <c r="U8" i="577"/>
  <c r="T8"/>
  <c r="N8"/>
  <c r="O8"/>
  <c r="R8"/>
  <c r="P8"/>
  <c r="S8"/>
  <c r="M8"/>
  <c r="V8"/>
  <c r="Q8"/>
  <c r="R86" i="458"/>
  <c r="T21"/>
  <c r="Q53"/>
  <c r="R71"/>
  <c r="S82"/>
  <c r="S38"/>
  <c r="R92"/>
  <c r="T27"/>
  <c r="Q59"/>
  <c r="R52"/>
  <c r="T31"/>
  <c r="S15"/>
  <c r="R33"/>
  <c r="S69"/>
  <c r="R82"/>
  <c r="T61"/>
  <c r="S75"/>
  <c r="R85"/>
  <c r="T76"/>
  <c r="Q58"/>
  <c r="Q95"/>
  <c r="S34"/>
  <c r="R8"/>
  <c r="T45"/>
  <c r="R51"/>
  <c r="T64"/>
  <c r="R90"/>
  <c r="Q31"/>
  <c r="T98"/>
  <c r="S6"/>
  <c r="Q98"/>
  <c r="S67"/>
  <c r="S65"/>
  <c r="Q18"/>
  <c r="R45"/>
  <c r="T33"/>
  <c r="T40"/>
  <c r="Q45"/>
  <c r="S54"/>
  <c r="S79"/>
  <c r="Q4"/>
  <c r="T7"/>
  <c r="Q15"/>
  <c r="Q81"/>
  <c r="Q34"/>
  <c r="Q73"/>
  <c r="T55"/>
  <c r="Q13"/>
  <c r="Q22"/>
  <c r="T69"/>
  <c r="S39"/>
  <c r="R41"/>
  <c r="S77"/>
  <c r="R76"/>
  <c r="T43"/>
  <c r="Q91"/>
  <c r="Q20"/>
  <c r="Q19"/>
  <c r="T22"/>
  <c r="T72"/>
  <c r="R62"/>
  <c r="T81"/>
  <c r="R55"/>
  <c r="S97"/>
  <c r="R42"/>
  <c r="Q9"/>
  <c r="R17"/>
  <c r="S52"/>
  <c r="T71"/>
  <c r="T54"/>
  <c r="S70"/>
  <c r="T13"/>
  <c r="R47"/>
  <c r="S5"/>
  <c r="Q68"/>
  <c r="R27"/>
  <c r="S40"/>
  <c r="T93"/>
  <c r="S28"/>
  <c r="T38"/>
  <c r="T25"/>
  <c r="S53"/>
  <c r="R83"/>
  <c r="Q39"/>
  <c r="T90"/>
  <c r="T60"/>
  <c r="Q90"/>
  <c r="S42"/>
  <c r="R20"/>
  <c r="T66"/>
  <c r="Q6"/>
  <c r="T85"/>
  <c r="R7"/>
  <c r="S49"/>
  <c r="R12"/>
  <c r="Q76"/>
  <c r="Q43"/>
  <c r="R96"/>
  <c r="Q41"/>
  <c r="T94"/>
  <c r="S4"/>
  <c r="Q72"/>
  <c r="Q93"/>
  <c r="S50"/>
  <c r="R14"/>
  <c r="Q35"/>
  <c r="S33"/>
  <c r="R94"/>
  <c r="Q89"/>
  <c r="S48"/>
  <c r="Q52"/>
  <c r="S91"/>
  <c r="T12"/>
  <c r="T57"/>
  <c r="T82"/>
  <c r="S78"/>
  <c r="S90"/>
  <c r="S23"/>
  <c r="Q66"/>
  <c r="R26"/>
  <c r="R89"/>
  <c r="S80"/>
  <c r="Q96"/>
  <c r="R93"/>
  <c r="Q62"/>
  <c r="S45"/>
  <c r="R72"/>
  <c r="R70"/>
  <c r="T53"/>
  <c r="S71"/>
  <c r="S18"/>
  <c r="S84"/>
  <c r="Q60"/>
  <c r="Q27"/>
  <c r="R74"/>
  <c r="T95"/>
  <c r="T58"/>
  <c r="T52"/>
  <c r="Q50"/>
  <c r="Q71"/>
  <c r="R49"/>
  <c r="S20"/>
  <c r="T77"/>
  <c r="R61"/>
  <c r="R66"/>
  <c r="Q61"/>
  <c r="S17"/>
  <c r="Q24"/>
  <c r="S35"/>
  <c r="T56"/>
  <c r="T29"/>
  <c r="T30"/>
  <c r="S30"/>
  <c r="T46"/>
  <c r="Q51"/>
  <c r="Q10"/>
  <c r="T8"/>
  <c r="T86"/>
  <c r="R21"/>
  <c r="R78"/>
  <c r="R87"/>
  <c r="S14"/>
  <c r="T18"/>
  <c r="T36"/>
  <c r="R6"/>
  <c r="Q70"/>
  <c r="Q37"/>
  <c r="T42"/>
  <c r="T96"/>
  <c r="R60"/>
  <c r="T59"/>
  <c r="S51"/>
  <c r="Q84"/>
  <c r="S59"/>
  <c r="S98"/>
  <c r="R18"/>
  <c r="T39"/>
  <c r="R91"/>
  <c r="S8"/>
  <c r="Q32"/>
  <c r="R11"/>
  <c r="S37"/>
  <c r="Q82"/>
  <c r="T6"/>
  <c r="S86"/>
  <c r="T67"/>
  <c r="R53"/>
  <c r="R50"/>
  <c r="Q47"/>
  <c r="S66"/>
  <c r="T35"/>
  <c r="R56"/>
  <c r="S74"/>
  <c r="R23"/>
  <c r="T3"/>
  <c r="T84"/>
  <c r="Q25"/>
  <c r="S57"/>
  <c r="S55"/>
  <c r="R77"/>
  <c r="R16"/>
  <c r="T5"/>
  <c r="T10"/>
  <c r="S62"/>
  <c r="T75"/>
  <c r="Q42"/>
  <c r="R43"/>
  <c r="S12"/>
  <c r="Q49"/>
  <c r="S29"/>
  <c r="Q65"/>
  <c r="S36"/>
  <c r="S95"/>
  <c r="R64"/>
  <c r="R97"/>
  <c r="T87"/>
  <c r="S61"/>
  <c r="S93"/>
  <c r="R48"/>
  <c r="T63"/>
  <c r="S68"/>
  <c r="Q48"/>
  <c r="Q36"/>
  <c r="T88"/>
  <c r="Q86"/>
  <c r="R39"/>
  <c r="T44"/>
  <c r="T11"/>
  <c r="R32"/>
  <c r="R3"/>
  <c r="S92"/>
  <c r="Q29"/>
  <c r="T24"/>
  <c r="T47"/>
  <c r="T28"/>
  <c r="S43"/>
  <c r="R34"/>
  <c r="T50"/>
  <c r="Q40"/>
  <c r="T16"/>
  <c r="T48"/>
  <c r="S94"/>
  <c r="Q46"/>
  <c r="R15"/>
  <c r="R30"/>
  <c r="Q97"/>
  <c r="R63"/>
  <c r="R38"/>
  <c r="Q21"/>
  <c r="R73"/>
  <c r="Q12"/>
  <c r="Q75"/>
  <c r="T51"/>
  <c r="S26"/>
  <c r="Q30"/>
  <c r="T34"/>
  <c r="R68"/>
  <c r="T14"/>
  <c r="Q56"/>
  <c r="S10"/>
  <c r="T97"/>
  <c r="S22"/>
  <c r="S11"/>
  <c r="Q78"/>
  <c r="T89"/>
  <c r="T26"/>
  <c r="S81"/>
  <c r="S89"/>
  <c r="S76"/>
  <c r="T79"/>
  <c r="R22"/>
  <c r="Q5"/>
  <c r="R9"/>
  <c r="R44"/>
  <c r="Q11"/>
  <c r="T9"/>
  <c r="R69"/>
  <c r="Q8"/>
  <c r="R19"/>
  <c r="S60"/>
  <c r="R59"/>
  <c r="Q26"/>
  <c r="R57"/>
  <c r="T41"/>
  <c r="S16"/>
  <c r="Q77"/>
  <c r="R58"/>
  <c r="Q74"/>
  <c r="S3"/>
  <c r="Q79"/>
  <c r="S87"/>
  <c r="S72"/>
  <c r="R46"/>
  <c r="Q54"/>
  <c r="S13"/>
  <c r="R10"/>
  <c r="S88"/>
  <c r="S25"/>
  <c r="T80"/>
  <c r="R4"/>
  <c r="Q14"/>
  <c r="R35"/>
  <c r="R84"/>
  <c r="T78"/>
  <c r="T49"/>
  <c r="R54"/>
  <c r="S19"/>
  <c r="T70"/>
  <c r="S21"/>
  <c r="Q55"/>
  <c r="T92"/>
  <c r="T74"/>
  <c r="R79"/>
  <c r="S47"/>
  <c r="S9"/>
  <c r="T83"/>
  <c r="S46"/>
  <c r="Q92"/>
  <c r="T19"/>
  <c r="R81"/>
  <c r="R65"/>
  <c r="Q38"/>
  <c r="T32"/>
  <c r="S83"/>
  <c r="S96"/>
  <c r="R13"/>
  <c r="S64"/>
  <c r="T20"/>
  <c r="R80"/>
  <c r="S27"/>
  <c r="S58"/>
  <c r="S63"/>
  <c r="S24"/>
  <c r="S32"/>
  <c r="S73"/>
  <c r="T62"/>
  <c r="R24"/>
  <c r="R25"/>
  <c r="R67"/>
  <c r="T91"/>
  <c r="S31"/>
  <c r="R5"/>
  <c r="T68"/>
  <c r="R88"/>
  <c r="Q83"/>
  <c r="Q33"/>
  <c r="S85"/>
  <c r="Q85"/>
  <c r="Q44"/>
  <c r="Q63"/>
  <c r="T17"/>
  <c r="Q88"/>
  <c r="Q3"/>
  <c r="Q87"/>
  <c r="R29"/>
  <c r="R37"/>
  <c r="S44"/>
  <c r="Q67"/>
  <c r="Q69"/>
  <c r="Q28"/>
  <c r="T73"/>
  <c r="Q94"/>
  <c r="R98"/>
  <c r="T15"/>
  <c r="Q57"/>
  <c r="R75"/>
  <c r="R31"/>
  <c r="S56"/>
  <c r="S41"/>
  <c r="T37"/>
  <c r="R28"/>
  <c r="Q64"/>
  <c r="R40"/>
  <c r="T4"/>
  <c r="R36"/>
  <c r="Q80"/>
  <c r="Q17"/>
  <c r="Q16"/>
  <c r="Q23"/>
  <c r="T65"/>
  <c r="S7"/>
  <c r="Q7"/>
  <c r="R95"/>
  <c r="T23"/>
  <c r="B23" i="486"/>
  <c r="E45" i="613"/>
  <c r="I41" s="1"/>
  <c r="I42" s="1"/>
  <c r="N10" i="73"/>
  <c r="N13"/>
  <c r="N7"/>
  <c r="N9"/>
  <c r="N5"/>
  <c r="N4"/>
  <c r="N15"/>
  <c r="N6"/>
  <c r="N12"/>
  <c r="N8"/>
  <c r="N14"/>
  <c r="N11"/>
  <c r="M7" i="555"/>
  <c r="M14"/>
  <c r="M6"/>
  <c r="M16"/>
  <c r="M15"/>
  <c r="M12"/>
  <c r="M5"/>
  <c r="M13"/>
  <c r="M11"/>
  <c r="M9"/>
  <c r="M8"/>
  <c r="M10"/>
  <c r="D13" i="613"/>
  <c r="H6" s="1"/>
  <c r="H7" s="1"/>
  <c r="H11" s="1"/>
  <c r="N4" i="330"/>
  <c r="N5"/>
  <c r="K5"/>
  <c r="M6"/>
  <c r="L6"/>
  <c r="K4"/>
  <c r="N6"/>
  <c r="N9"/>
  <c r="L4"/>
  <c r="N8"/>
  <c r="L7"/>
  <c r="L8"/>
  <c r="M7"/>
  <c r="M4"/>
  <c r="N7"/>
  <c r="K6"/>
  <c r="M9"/>
  <c r="K8"/>
  <c r="M5"/>
  <c r="L9"/>
  <c r="L5"/>
  <c r="K9"/>
  <c r="M8"/>
  <c r="K7"/>
  <c r="E9" i="517"/>
  <c r="X6" i="471"/>
  <c r="X8"/>
  <c r="Y6"/>
  <c r="Y8"/>
  <c r="X7"/>
  <c r="Y7"/>
  <c r="AF29" i="508"/>
  <c r="AH29"/>
  <c r="AF25"/>
  <c r="AH25"/>
  <c r="AG26"/>
  <c r="AF27"/>
  <c r="AG29"/>
  <c r="AI27"/>
  <c r="AG25"/>
  <c r="AH27"/>
  <c r="AG27"/>
  <c r="AI26"/>
  <c r="AH26"/>
  <c r="AF26"/>
  <c r="AI28"/>
  <c r="AI29"/>
  <c r="AG28"/>
  <c r="AF28"/>
  <c r="AI25"/>
  <c r="AH28"/>
  <c r="G31" i="467"/>
  <c r="L28"/>
  <c r="M29"/>
  <c r="J31"/>
  <c r="I31"/>
  <c r="M28"/>
  <c r="N28"/>
  <c r="H31"/>
  <c r="N30"/>
  <c r="L30"/>
  <c r="J29"/>
  <c r="J28"/>
  <c r="L31"/>
  <c r="H30"/>
  <c r="G28"/>
  <c r="I30"/>
  <c r="H29"/>
  <c r="N29"/>
  <c r="M30"/>
  <c r="K30"/>
  <c r="K29"/>
  <c r="I29"/>
  <c r="I28"/>
  <c r="H28"/>
  <c r="K31"/>
  <c r="M31"/>
  <c r="K28"/>
  <c r="J30"/>
  <c r="G30"/>
  <c r="G29"/>
  <c r="N31"/>
  <c r="L29"/>
  <c r="G9" i="529"/>
  <c r="J6"/>
  <c r="J5"/>
  <c r="G5"/>
  <c r="G8"/>
  <c r="I10"/>
  <c r="F5"/>
  <c r="I7"/>
  <c r="J8"/>
  <c r="H8"/>
  <c r="F8"/>
  <c r="I9"/>
  <c r="G10"/>
  <c r="F7"/>
  <c r="H10"/>
  <c r="I5"/>
  <c r="J9"/>
  <c r="H7"/>
  <c r="H9"/>
  <c r="I6"/>
  <c r="F6"/>
  <c r="H5"/>
  <c r="H6"/>
  <c r="F9"/>
  <c r="G6"/>
  <c r="I8"/>
  <c r="G7"/>
  <c r="J10"/>
  <c r="F10"/>
  <c r="J7"/>
  <c r="F6" i="341"/>
  <c r="F10"/>
  <c r="E14"/>
  <c r="G6"/>
  <c r="F13"/>
  <c r="G14"/>
  <c r="F8"/>
  <c r="G11"/>
  <c r="G13"/>
  <c r="G7"/>
  <c r="F14"/>
  <c r="F5"/>
  <c r="F7"/>
  <c r="F12"/>
  <c r="F11"/>
  <c r="G10"/>
  <c r="E13"/>
  <c r="E7"/>
  <c r="E9"/>
  <c r="G9"/>
  <c r="G5"/>
  <c r="E11"/>
  <c r="F4"/>
  <c r="E10"/>
  <c r="G8"/>
  <c r="E12"/>
  <c r="G4"/>
  <c r="F9"/>
  <c r="E8"/>
  <c r="E4"/>
  <c r="E6"/>
  <c r="G12"/>
  <c r="E5"/>
  <c r="G22" i="515"/>
  <c r="J21"/>
  <c r="K24"/>
  <c r="I22"/>
  <c r="G23"/>
  <c r="I24"/>
  <c r="J20"/>
  <c r="H21"/>
  <c r="I25"/>
  <c r="H22"/>
  <c r="K22"/>
  <c r="G21"/>
  <c r="K23"/>
  <c r="G20"/>
  <c r="H25"/>
  <c r="I23"/>
  <c r="G25"/>
  <c r="K20"/>
  <c r="H23"/>
  <c r="J22"/>
  <c r="I21"/>
  <c r="H24"/>
  <c r="J25"/>
  <c r="J23"/>
  <c r="J24"/>
  <c r="K21"/>
  <c r="I20"/>
  <c r="H20"/>
  <c r="K25"/>
  <c r="G24"/>
  <c r="AC20" i="467"/>
  <c r="AC19"/>
  <c r="AB20"/>
  <c r="AB19"/>
  <c r="AB18"/>
  <c r="AC18"/>
  <c r="T23" i="86"/>
  <c r="T24"/>
  <c r="T22"/>
  <c r="T21"/>
  <c r="N16" i="414"/>
  <c r="N6"/>
  <c r="N10"/>
  <c r="N12"/>
  <c r="N13"/>
  <c r="N15"/>
  <c r="N8"/>
  <c r="N5"/>
  <c r="N14"/>
  <c r="N7"/>
  <c r="N9"/>
  <c r="N11"/>
  <c r="L13" i="472"/>
  <c r="L14"/>
  <c r="G13"/>
  <c r="M13"/>
  <c r="J13"/>
  <c r="H14"/>
  <c r="L12"/>
  <c r="M12"/>
  <c r="J14"/>
  <c r="M14"/>
  <c r="G14"/>
  <c r="I12"/>
  <c r="K14"/>
  <c r="I14"/>
  <c r="K13"/>
  <c r="H13"/>
  <c r="I13"/>
  <c r="H12"/>
  <c r="J12"/>
  <c r="K12"/>
  <c r="G12"/>
  <c r="G18" i="341"/>
  <c r="G17"/>
  <c r="F17"/>
  <c r="G19"/>
  <c r="E19"/>
  <c r="E18"/>
  <c r="F18"/>
  <c r="E17"/>
  <c r="F19"/>
  <c r="F5" i="470"/>
  <c r="E7"/>
  <c r="E9"/>
  <c r="I8"/>
  <c r="G10"/>
  <c r="G6"/>
  <c r="E8"/>
  <c r="E5"/>
  <c r="H5"/>
  <c r="H8"/>
  <c r="H9"/>
  <c r="F10"/>
  <c r="I6"/>
  <c r="I5"/>
  <c r="H10"/>
  <c r="G5"/>
  <c r="E10"/>
  <c r="I10"/>
  <c r="F6"/>
  <c r="F8"/>
  <c r="F9"/>
  <c r="F7"/>
  <c r="I9"/>
  <c r="I7"/>
  <c r="G8"/>
  <c r="G9"/>
  <c r="H7"/>
  <c r="G7"/>
  <c r="H6"/>
  <c r="E6"/>
  <c r="AA21" i="466"/>
  <c r="AB20"/>
  <c r="AC22"/>
  <c r="AB21"/>
  <c r="AC20"/>
  <c r="AA22"/>
  <c r="AC21"/>
  <c r="AA20"/>
  <c r="AB22"/>
  <c r="E19" i="518"/>
  <c r="AF8" i="461"/>
  <c r="AH9"/>
  <c r="AH15"/>
  <c r="AH8"/>
  <c r="AF15"/>
  <c r="AF10"/>
  <c r="AG9"/>
  <c r="AG15"/>
  <c r="AH11"/>
  <c r="AG11"/>
  <c r="AF13"/>
  <c r="AH16"/>
  <c r="AF12"/>
  <c r="AG14"/>
  <c r="AG12"/>
  <c r="AG16"/>
  <c r="AH13"/>
  <c r="AF11"/>
  <c r="AF9"/>
  <c r="AF7"/>
  <c r="AG8"/>
  <c r="AH14"/>
  <c r="AG13"/>
  <c r="AH10"/>
  <c r="AH7"/>
  <c r="AH12"/>
  <c r="AG10"/>
  <c r="AF14"/>
  <c r="AG7"/>
  <c r="AF16"/>
  <c r="T6" i="606"/>
  <c r="T7"/>
  <c r="T11"/>
  <c r="S7"/>
  <c r="S9"/>
  <c r="S11"/>
  <c r="T12"/>
  <c r="S6"/>
  <c r="T10"/>
  <c r="T9"/>
  <c r="S12"/>
  <c r="S8"/>
  <c r="S10"/>
  <c r="T8"/>
  <c r="C6" i="523"/>
  <c r="D4"/>
  <c r="B7"/>
  <c r="B13"/>
  <c r="B12"/>
  <c r="D14"/>
  <c r="C3"/>
  <c r="B16"/>
  <c r="A12"/>
  <c r="D21"/>
  <c r="D20"/>
  <c r="B21"/>
  <c r="C7"/>
  <c r="C15"/>
  <c r="C23"/>
  <c r="A14"/>
  <c r="A9"/>
  <c r="B19"/>
  <c r="B9"/>
  <c r="D18"/>
  <c r="C5"/>
  <c r="C12"/>
  <c r="A20"/>
  <c r="B6"/>
  <c r="A21"/>
  <c r="A8"/>
  <c r="C17"/>
  <c r="C16"/>
  <c r="D6"/>
  <c r="C14"/>
  <c r="D22"/>
  <c r="B15"/>
  <c r="B22"/>
  <c r="D15"/>
  <c r="D13"/>
  <c r="B11"/>
  <c r="B17"/>
  <c r="C8"/>
  <c r="C21"/>
  <c r="C10"/>
  <c r="B10"/>
  <c r="A3"/>
  <c r="A10"/>
  <c r="D3"/>
  <c r="C18"/>
  <c r="A5"/>
  <c r="D7"/>
  <c r="A4"/>
  <c r="A19"/>
  <c r="B18"/>
  <c r="C9"/>
  <c r="C11"/>
  <c r="D16"/>
  <c r="A7"/>
  <c r="D12"/>
  <c r="D17"/>
  <c r="A22"/>
  <c r="B23"/>
  <c r="A17"/>
  <c r="C20"/>
  <c r="B20"/>
  <c r="D5"/>
  <c r="A18"/>
  <c r="B5"/>
  <c r="A6"/>
  <c r="B8"/>
  <c r="C4"/>
  <c r="C19"/>
  <c r="D23"/>
  <c r="B4"/>
  <c r="A16"/>
  <c r="B14"/>
  <c r="A23"/>
  <c r="A15"/>
  <c r="B3"/>
  <c r="C22"/>
  <c r="A13"/>
  <c r="C13"/>
  <c r="A11"/>
  <c r="D19"/>
  <c r="D8"/>
  <c r="D9"/>
  <c r="D11"/>
  <c r="D10"/>
  <c r="Q8" i="461"/>
  <c r="Q7"/>
  <c r="AK11" i="251"/>
  <c r="AK12"/>
  <c r="AK10"/>
  <c r="AK9"/>
  <c r="AK7"/>
  <c r="AK15"/>
  <c r="AK13"/>
  <c r="AK8"/>
  <c r="AK14"/>
  <c r="AK16"/>
  <c r="AK6"/>
  <c r="J15" i="527"/>
  <c r="I15"/>
  <c r="I13"/>
  <c r="I14"/>
  <c r="H15"/>
  <c r="J16"/>
  <c r="H13"/>
  <c r="J13"/>
  <c r="G13"/>
  <c r="H16"/>
  <c r="G14"/>
  <c r="J14"/>
  <c r="G15"/>
  <c r="I16"/>
  <c r="H14"/>
  <c r="G16"/>
  <c r="E10" i="517"/>
  <c r="R21" i="543"/>
  <c r="S19"/>
  <c r="R19"/>
  <c r="S20"/>
  <c r="S18"/>
  <c r="S21"/>
  <c r="R20"/>
  <c r="S22"/>
  <c r="R18"/>
  <c r="R22"/>
  <c r="K6" i="341"/>
  <c r="K5"/>
  <c r="K4"/>
  <c r="N12" i="417"/>
  <c r="N11"/>
  <c r="M12"/>
  <c r="N13"/>
  <c r="O12"/>
  <c r="M13"/>
  <c r="O11"/>
  <c r="O13"/>
  <c r="M11"/>
  <c r="X10" i="584"/>
  <c r="W10"/>
  <c r="X8"/>
  <c r="X9"/>
  <c r="W7"/>
  <c r="W8"/>
  <c r="W9"/>
  <c r="X7"/>
  <c r="V13" i="585"/>
  <c r="T13"/>
  <c r="U13"/>
  <c r="W13"/>
  <c r="F44" i="462"/>
  <c r="F43"/>
  <c r="E43"/>
  <c r="E46"/>
  <c r="E45"/>
  <c r="F46"/>
  <c r="F47"/>
  <c r="E44"/>
  <c r="E47"/>
  <c r="F45"/>
  <c r="R16" i="528"/>
  <c r="T13"/>
  <c r="U15"/>
  <c r="S13"/>
  <c r="S16"/>
  <c r="U16"/>
  <c r="T14"/>
  <c r="U13"/>
  <c r="U14"/>
  <c r="R15"/>
  <c r="R14"/>
  <c r="S15"/>
  <c r="R13"/>
  <c r="S14"/>
  <c r="T15"/>
  <c r="T16"/>
  <c r="AF11" i="64"/>
  <c r="AG11"/>
  <c r="AF13"/>
  <c r="AG13"/>
  <c r="AF12"/>
  <c r="AF14"/>
  <c r="AG12"/>
  <c r="AG14"/>
  <c r="E7" i="516"/>
  <c r="AG6" i="64"/>
  <c r="AF7"/>
  <c r="AG5"/>
  <c r="AF5"/>
  <c r="AG8"/>
  <c r="AF8"/>
  <c r="AG7"/>
  <c r="AF6"/>
  <c r="P29" i="508"/>
  <c r="P26"/>
  <c r="Q27"/>
  <c r="Q26"/>
  <c r="N27"/>
  <c r="O28"/>
  <c r="Q25"/>
  <c r="P28"/>
  <c r="O27"/>
  <c r="Q29"/>
  <c r="P25"/>
  <c r="N28"/>
  <c r="N25"/>
  <c r="Q28"/>
  <c r="N29"/>
  <c r="O26"/>
  <c r="P27"/>
  <c r="O25"/>
  <c r="O29"/>
  <c r="N26"/>
  <c r="K27" i="591"/>
  <c r="K11"/>
  <c r="K19"/>
  <c r="K6"/>
  <c r="K8"/>
  <c r="K25"/>
  <c r="K5"/>
  <c r="K12"/>
  <c r="K13"/>
  <c r="K16"/>
  <c r="K3"/>
  <c r="K20"/>
  <c r="K26"/>
  <c r="K22"/>
  <c r="K21"/>
  <c r="K18"/>
  <c r="K30"/>
  <c r="K32"/>
  <c r="K9"/>
  <c r="K23"/>
  <c r="K7"/>
  <c r="K24"/>
  <c r="K15"/>
  <c r="K17"/>
  <c r="K4"/>
  <c r="K28"/>
  <c r="K29"/>
  <c r="K14"/>
  <c r="K10"/>
  <c r="K31"/>
  <c r="E18" i="517"/>
  <c r="D27" i="523"/>
  <c r="C25"/>
  <c r="C28"/>
  <c r="B28"/>
  <c r="B25"/>
  <c r="A29"/>
  <c r="B26"/>
  <c r="C29"/>
  <c r="B29"/>
  <c r="A25"/>
  <c r="A26"/>
  <c r="B27"/>
  <c r="C27"/>
  <c r="A27"/>
  <c r="D28"/>
  <c r="D29"/>
  <c r="D26"/>
  <c r="C26"/>
  <c r="D25"/>
  <c r="A28"/>
  <c r="O32" i="86"/>
  <c r="O30"/>
  <c r="O31"/>
  <c r="O33"/>
  <c r="P22" i="474"/>
  <c r="P21"/>
  <c r="N22"/>
  <c r="O21"/>
  <c r="O19"/>
  <c r="N19"/>
  <c r="O20"/>
  <c r="P19"/>
  <c r="N20"/>
  <c r="N23"/>
  <c r="P23"/>
  <c r="N21"/>
  <c r="P20"/>
  <c r="O22"/>
  <c r="O23"/>
  <c r="D11" i="451"/>
  <c r="G11"/>
  <c r="E6"/>
  <c r="F6"/>
  <c r="D8"/>
  <c r="D10"/>
  <c r="G12"/>
  <c r="F10"/>
  <c r="F8"/>
  <c r="G8"/>
  <c r="F9"/>
  <c r="F11"/>
  <c r="E11"/>
  <c r="G10"/>
  <c r="D9"/>
  <c r="E9"/>
  <c r="D7"/>
  <c r="E12"/>
  <c r="E10"/>
  <c r="D12"/>
  <c r="E8"/>
  <c r="F5"/>
  <c r="E13"/>
  <c r="F13"/>
  <c r="D5"/>
  <c r="F12"/>
  <c r="D13"/>
  <c r="E5"/>
  <c r="D6"/>
  <c r="G13"/>
  <c r="G5"/>
  <c r="F7"/>
  <c r="G6"/>
  <c r="E7"/>
  <c r="G7"/>
  <c r="G9"/>
  <c r="E4" i="518"/>
  <c r="F41" i="339"/>
  <c r="G39"/>
  <c r="H40"/>
  <c r="I39"/>
  <c r="F42"/>
  <c r="H41"/>
  <c r="I40"/>
  <c r="I41"/>
  <c r="H39"/>
  <c r="H42"/>
  <c r="F40"/>
  <c r="G40"/>
  <c r="F39"/>
  <c r="G41"/>
  <c r="G42"/>
  <c r="I42"/>
  <c r="O14" i="474"/>
  <c r="P12"/>
  <c r="O13"/>
  <c r="P15"/>
  <c r="P14"/>
  <c r="O15"/>
  <c r="O12"/>
  <c r="P13"/>
  <c r="W6" i="460"/>
  <c r="V7"/>
  <c r="W7"/>
  <c r="V6"/>
  <c r="U8" i="472"/>
  <c r="R7"/>
  <c r="W8"/>
  <c r="T5"/>
  <c r="S6"/>
  <c r="T6"/>
  <c r="T7"/>
  <c r="X5"/>
  <c r="W5"/>
  <c r="Y6"/>
  <c r="R6"/>
  <c r="Y7"/>
  <c r="S5"/>
  <c r="R5"/>
  <c r="U6"/>
  <c r="V8"/>
  <c r="Y5"/>
  <c r="V5"/>
  <c r="U7"/>
  <c r="Y8"/>
  <c r="S7"/>
  <c r="X6"/>
  <c r="X8"/>
  <c r="W6"/>
  <c r="X7"/>
  <c r="W7"/>
  <c r="V7"/>
  <c r="U5"/>
  <c r="S8"/>
  <c r="T8"/>
  <c r="V6"/>
  <c r="R8"/>
  <c r="H46" i="613"/>
  <c r="V37" i="603"/>
  <c r="Z16" i="612"/>
  <c r="Z18" s="1"/>
  <c r="Z19" s="1"/>
  <c r="BA16"/>
  <c r="BA18" s="1"/>
  <c r="AM16"/>
  <c r="AM18" s="1"/>
  <c r="BF16"/>
  <c r="BF18" s="1"/>
  <c r="U16"/>
  <c r="U17" s="1"/>
  <c r="AM17"/>
  <c r="AQ17"/>
  <c r="J17"/>
  <c r="AP17"/>
  <c r="BN17"/>
  <c r="BR17"/>
  <c r="AV17"/>
  <c r="E17"/>
  <c r="M17"/>
  <c r="Q17"/>
  <c r="AK17"/>
  <c r="BE17"/>
  <c r="BO16"/>
  <c r="BO17" s="1"/>
  <c r="D16"/>
  <c r="D17" s="1"/>
  <c r="AF16"/>
  <c r="AF17" s="1"/>
  <c r="AZ16"/>
  <c r="AZ17" s="1"/>
  <c r="BS16"/>
  <c r="BS17" s="1"/>
  <c r="AL16"/>
  <c r="AL17" s="1"/>
  <c r="F16"/>
  <c r="F17" s="1"/>
  <c r="BM16"/>
  <c r="BM17" s="1"/>
  <c r="AG16"/>
  <c r="AG17" s="1"/>
  <c r="F47"/>
  <c r="X16"/>
  <c r="X17" s="1"/>
  <c r="BG16"/>
  <c r="BG17" s="1"/>
  <c r="AY16"/>
  <c r="AY17" s="1"/>
  <c r="BK16"/>
  <c r="BK17" s="1"/>
  <c r="AQ16"/>
  <c r="AR16"/>
  <c r="AR17" s="1"/>
  <c r="AB16"/>
  <c r="AB17" s="1"/>
  <c r="BH16"/>
  <c r="BH17" s="1"/>
  <c r="BN16"/>
  <c r="AX16"/>
  <c r="AX17" s="1"/>
  <c r="AH16"/>
  <c r="AH17" s="1"/>
  <c r="R16"/>
  <c r="R17" s="1"/>
  <c r="B16"/>
  <c r="B18" s="1"/>
  <c r="B19" s="1"/>
  <c r="BI16"/>
  <c r="BI17" s="1"/>
  <c r="AS16"/>
  <c r="AS17" s="1"/>
  <c r="AC16"/>
  <c r="AC17" s="1"/>
  <c r="M16"/>
  <c r="P16"/>
  <c r="P17" s="1"/>
  <c r="AE16"/>
  <c r="AE17" s="1"/>
  <c r="C88"/>
  <c r="S16"/>
  <c r="S17" s="1"/>
  <c r="AI16"/>
  <c r="AI17" s="1"/>
  <c r="F71"/>
  <c r="AU16"/>
  <c r="AU17" s="1"/>
  <c r="AA16"/>
  <c r="AA17" s="1"/>
  <c r="AV16"/>
  <c r="AJ16"/>
  <c r="AJ17" s="1"/>
  <c r="BQ16"/>
  <c r="BQ17" s="1"/>
  <c r="G22"/>
  <c r="BF19"/>
  <c r="AP19"/>
  <c r="J19"/>
  <c r="B17"/>
  <c r="AK19"/>
  <c r="E19"/>
  <c r="E20" s="1"/>
  <c r="BA19"/>
  <c r="AM19"/>
  <c r="BR18"/>
  <c r="BR19" s="1"/>
  <c r="B92"/>
  <c r="O16"/>
  <c r="O17" s="1"/>
  <c r="BL16"/>
  <c r="BL17" s="1"/>
  <c r="BB16"/>
  <c r="BB17" s="1"/>
  <c r="V16"/>
  <c r="V17" s="1"/>
  <c r="AW16"/>
  <c r="AW17" s="1"/>
  <c r="Q16"/>
  <c r="G16"/>
  <c r="G17" s="1"/>
  <c r="E88"/>
  <c r="M66"/>
  <c r="M69" s="1"/>
  <c r="I66"/>
  <c r="I69" s="1"/>
  <c r="E66"/>
  <c r="E69" s="1"/>
  <c r="P66"/>
  <c r="P69" s="1"/>
  <c r="L66"/>
  <c r="L69" s="1"/>
  <c r="H66"/>
  <c r="H69" s="1"/>
  <c r="D66"/>
  <c r="D69" s="1"/>
  <c r="N66"/>
  <c r="N69" s="1"/>
  <c r="F66"/>
  <c r="F69" s="1"/>
  <c r="K66"/>
  <c r="K69" s="1"/>
  <c r="C66"/>
  <c r="C69" s="1"/>
  <c r="O66"/>
  <c r="O69" s="1"/>
  <c r="J66"/>
  <c r="J69" s="1"/>
  <c r="G66"/>
  <c r="G69" s="1"/>
  <c r="B66"/>
  <c r="B69" s="1"/>
  <c r="F88"/>
  <c r="BJ16"/>
  <c r="BJ17" s="1"/>
  <c r="AT16"/>
  <c r="AT17" s="1"/>
  <c r="AD16"/>
  <c r="AD17" s="1"/>
  <c r="N16"/>
  <c r="N17" s="1"/>
  <c r="BP16"/>
  <c r="BP17" s="1"/>
  <c r="BE16"/>
  <c r="AO16"/>
  <c r="AO17" s="1"/>
  <c r="Y16"/>
  <c r="Y17" s="1"/>
  <c r="I16"/>
  <c r="I17" s="1"/>
  <c r="BC16"/>
  <c r="BC17" s="1"/>
  <c r="H16"/>
  <c r="H17" s="1"/>
  <c r="L16"/>
  <c r="L17" s="1"/>
  <c r="D88"/>
  <c r="C16"/>
  <c r="C17" s="1"/>
  <c r="W16"/>
  <c r="W17" s="1"/>
  <c r="A38"/>
  <c r="T16"/>
  <c r="T17" s="1"/>
  <c r="K16"/>
  <c r="K17" s="1"/>
  <c r="BD16"/>
  <c r="BD17" s="1"/>
  <c r="AN16"/>
  <c r="AN17" s="1"/>
  <c r="E39" i="603"/>
  <c r="A53"/>
  <c r="D59"/>
  <c r="A10"/>
  <c r="H18"/>
  <c r="A73"/>
  <c r="D78"/>
  <c r="Z29"/>
  <c r="Y37"/>
  <c r="C8" i="611"/>
  <c r="F8"/>
  <c r="E8"/>
  <c r="D8"/>
  <c r="B19"/>
  <c r="E30"/>
  <c r="D30"/>
  <c r="C30"/>
  <c r="B30"/>
  <c r="B8"/>
  <c r="H16"/>
  <c r="K16" s="1"/>
  <c r="H5"/>
  <c r="K5" s="1"/>
  <c r="K38"/>
  <c r="G7"/>
  <c r="C40"/>
  <c r="H27"/>
  <c r="K27" s="1"/>
  <c r="F29"/>
  <c r="N38"/>
  <c r="B41" s="1"/>
  <c r="C18"/>
  <c r="S12" i="486"/>
  <c r="O14" i="514"/>
  <c r="I14" i="606"/>
  <c r="J13" i="401" a="1"/>
  <c r="AC14" i="522"/>
  <c r="K14" i="499"/>
  <c r="F14" i="607"/>
  <c r="H33" i="613"/>
  <c r="H51"/>
  <c r="AI11" i="356"/>
  <c r="G14" i="427"/>
  <c r="K46" i="431"/>
  <c r="K16"/>
  <c r="S14" i="499"/>
  <c r="H16" i="613"/>
  <c r="T44" i="420"/>
  <c r="AB12" i="352"/>
  <c r="J13" i="401" l="1"/>
  <c r="J14"/>
  <c r="E72" i="612"/>
  <c r="G8" i="611"/>
  <c r="BR20" i="612"/>
  <c r="U18"/>
  <c r="U19" s="1"/>
  <c r="U20" s="1"/>
  <c r="BF17"/>
  <c r="Z17"/>
  <c r="Z20" s="1"/>
  <c r="BA17"/>
  <c r="BA20" s="1"/>
  <c r="D89"/>
  <c r="D90"/>
  <c r="D91" s="1"/>
  <c r="BP18"/>
  <c r="BP19" s="1"/>
  <c r="AW18"/>
  <c r="AW19" s="1"/>
  <c r="BQ18"/>
  <c r="BQ19" s="1"/>
  <c r="BQ20" s="1"/>
  <c r="AK20"/>
  <c r="S18"/>
  <c r="S19" s="1"/>
  <c r="BI18"/>
  <c r="BI19" s="1"/>
  <c r="BI20" s="1"/>
  <c r="AR18"/>
  <c r="AR19" s="1"/>
  <c r="AR20"/>
  <c r="AY18"/>
  <c r="AY19" s="1"/>
  <c r="AY20" s="1"/>
  <c r="AL18"/>
  <c r="AL19" s="1"/>
  <c r="K18"/>
  <c r="K19" s="1"/>
  <c r="K20" s="1"/>
  <c r="A39"/>
  <c r="Y18"/>
  <c r="Y19" s="1"/>
  <c r="F90"/>
  <c r="F91" s="1"/>
  <c r="F89"/>
  <c r="E90"/>
  <c r="E91" s="1"/>
  <c r="E89"/>
  <c r="B20"/>
  <c r="AJ18"/>
  <c r="AJ19" s="1"/>
  <c r="C90"/>
  <c r="C91" s="1"/>
  <c r="C89"/>
  <c r="M18"/>
  <c r="M19" s="1"/>
  <c r="BN18"/>
  <c r="BN19" s="1"/>
  <c r="AQ18"/>
  <c r="AQ19" s="1"/>
  <c r="AM20"/>
  <c r="BG18"/>
  <c r="BG19" s="1"/>
  <c r="BG20" s="1"/>
  <c r="G47"/>
  <c r="BS18"/>
  <c r="BS19" s="1"/>
  <c r="BS20" s="1"/>
  <c r="D18"/>
  <c r="D19" s="1"/>
  <c r="D20"/>
  <c r="T18"/>
  <c r="T19" s="1"/>
  <c r="T20" s="1"/>
  <c r="W18"/>
  <c r="W19" s="1"/>
  <c r="W20" s="1"/>
  <c r="H18"/>
  <c r="H19" s="1"/>
  <c r="H20" s="1"/>
  <c r="AO18"/>
  <c r="AO19" s="1"/>
  <c r="AO20"/>
  <c r="AD18"/>
  <c r="AD19" s="1"/>
  <c r="B72"/>
  <c r="D72"/>
  <c r="C72"/>
  <c r="G18"/>
  <c r="G19" s="1"/>
  <c r="BB18"/>
  <c r="BB19" s="1"/>
  <c r="BB20" s="1"/>
  <c r="H22"/>
  <c r="AV18"/>
  <c r="AV19" s="1"/>
  <c r="AI18"/>
  <c r="AI19" s="1"/>
  <c r="AE18"/>
  <c r="AE19" s="1"/>
  <c r="AE20" s="1"/>
  <c r="AC18"/>
  <c r="AC19" s="1"/>
  <c r="R18"/>
  <c r="R19" s="1"/>
  <c r="R20" s="1"/>
  <c r="BH18"/>
  <c r="BH19" s="1"/>
  <c r="BH20" s="1"/>
  <c r="BF20"/>
  <c r="AG18"/>
  <c r="AG19" s="1"/>
  <c r="AG20" s="1"/>
  <c r="AZ18"/>
  <c r="AZ19" s="1"/>
  <c r="AZ20" s="1"/>
  <c r="BO18"/>
  <c r="BO19" s="1"/>
  <c r="BO20" s="1"/>
  <c r="BD18"/>
  <c r="BD19" s="1"/>
  <c r="BD20" s="1"/>
  <c r="I18"/>
  <c r="I19" s="1"/>
  <c r="I20" s="1"/>
  <c r="BJ18"/>
  <c r="BJ19" s="1"/>
  <c r="O18"/>
  <c r="O19" s="1"/>
  <c r="O20"/>
  <c r="F72"/>
  <c r="AX18"/>
  <c r="AX19" s="1"/>
  <c r="J20"/>
  <c r="L18"/>
  <c r="L19" s="1"/>
  <c r="N18"/>
  <c r="N19" s="1"/>
  <c r="V18"/>
  <c r="V19" s="1"/>
  <c r="AU18"/>
  <c r="AU19" s="1"/>
  <c r="AU20"/>
  <c r="AN18"/>
  <c r="AN19" s="1"/>
  <c r="AN20" s="1"/>
  <c r="C18"/>
  <c r="C19" s="1"/>
  <c r="BC18"/>
  <c r="BC19" s="1"/>
  <c r="BC20" s="1"/>
  <c r="BE18"/>
  <c r="BE19" s="1"/>
  <c r="AT18"/>
  <c r="AT19" s="1"/>
  <c r="Q18"/>
  <c r="Q19" s="1"/>
  <c r="BL18"/>
  <c r="BL19" s="1"/>
  <c r="AA18"/>
  <c r="AA19" s="1"/>
  <c r="AA20" s="1"/>
  <c r="P18"/>
  <c r="P19" s="1"/>
  <c r="P20" s="1"/>
  <c r="AS18"/>
  <c r="AS19" s="1"/>
  <c r="AS20" s="1"/>
  <c r="AH20"/>
  <c r="AH18"/>
  <c r="AH19" s="1"/>
  <c r="AB18"/>
  <c r="AB19" s="1"/>
  <c r="AP20"/>
  <c r="BK20"/>
  <c r="BK18"/>
  <c r="BK19" s="1"/>
  <c r="X18"/>
  <c r="X19" s="1"/>
  <c r="BM18"/>
  <c r="BM19" s="1"/>
  <c r="F18"/>
  <c r="F19" s="1"/>
  <c r="AF18"/>
  <c r="AF19" s="1"/>
  <c r="E78" i="603"/>
  <c r="F39"/>
  <c r="A74"/>
  <c r="AA29"/>
  <c r="Z37"/>
  <c r="I18"/>
  <c r="E59"/>
  <c r="A54"/>
  <c r="A11"/>
  <c r="C41" i="611"/>
  <c r="F30"/>
  <c r="C19"/>
  <c r="G29"/>
  <c r="H7"/>
  <c r="D18"/>
  <c r="D40"/>
  <c r="T20" i="420"/>
  <c r="T3"/>
  <c r="T8"/>
  <c r="T18"/>
  <c r="T12"/>
  <c r="T19"/>
  <c r="T13"/>
  <c r="T32"/>
  <c r="T38"/>
  <c r="T58"/>
  <c r="T31"/>
  <c r="T50"/>
  <c r="T14"/>
  <c r="T30"/>
  <c r="T54"/>
  <c r="T49"/>
  <c r="T29"/>
  <c r="T46"/>
  <c r="T9"/>
  <c r="T57"/>
  <c r="T48"/>
  <c r="T17"/>
  <c r="T34"/>
  <c r="T7"/>
  <c r="T45"/>
  <c r="T5"/>
  <c r="T56"/>
  <c r="T35"/>
  <c r="T25"/>
  <c r="T60"/>
  <c r="T28"/>
  <c r="T23"/>
  <c r="T10"/>
  <c r="T59"/>
  <c r="T36"/>
  <c r="T15"/>
  <c r="T16"/>
  <c r="T24"/>
  <c r="T26"/>
  <c r="T37"/>
  <c r="T11"/>
  <c r="T39"/>
  <c r="T41"/>
  <c r="T52"/>
  <c r="T61"/>
  <c r="T4"/>
  <c r="T33"/>
  <c r="T62"/>
  <c r="T51"/>
  <c r="T42"/>
  <c r="T53"/>
  <c r="T43"/>
  <c r="T22"/>
  <c r="T27"/>
  <c r="T47"/>
  <c r="T6"/>
  <c r="T40"/>
  <c r="T55"/>
  <c r="T21"/>
  <c r="H8" i="611" l="1"/>
  <c r="F92" i="612"/>
  <c r="F20"/>
  <c r="X20"/>
  <c r="N20"/>
  <c r="AC20"/>
  <c r="I22"/>
  <c r="B73"/>
  <c r="B74" s="1"/>
  <c r="G72"/>
  <c r="E73" s="1"/>
  <c r="H47"/>
  <c r="A40"/>
  <c r="Q41" s="1"/>
  <c r="AL20"/>
  <c r="S20"/>
  <c r="AF20"/>
  <c r="BM20"/>
  <c r="AB20"/>
  <c r="BL20"/>
  <c r="AT20"/>
  <c r="V20"/>
  <c r="L20"/>
  <c r="AX20"/>
  <c r="BJ20"/>
  <c r="Z41"/>
  <c r="G20"/>
  <c r="AD20"/>
  <c r="AQ20"/>
  <c r="M20"/>
  <c r="AJ20"/>
  <c r="AW20"/>
  <c r="D92"/>
  <c r="D73"/>
  <c r="AI20"/>
  <c r="Q20"/>
  <c r="BE20"/>
  <c r="C20"/>
  <c r="F73"/>
  <c r="AV20"/>
  <c r="BN20"/>
  <c r="C92"/>
  <c r="E92"/>
  <c r="Y20"/>
  <c r="AG41"/>
  <c r="G41"/>
  <c r="BP20"/>
  <c r="A12" i="603"/>
  <c r="A55"/>
  <c r="A56" s="1"/>
  <c r="J57"/>
  <c r="F78"/>
  <c r="AB29"/>
  <c r="AA37"/>
  <c r="G39"/>
  <c r="F59"/>
  <c r="A75"/>
  <c r="C76" s="1"/>
  <c r="J18"/>
  <c r="D41" i="611"/>
  <c r="G30"/>
  <c r="D19"/>
  <c r="I7"/>
  <c r="E18"/>
  <c r="H29"/>
  <c r="E40"/>
  <c r="A5" i="473"/>
  <c r="E76" i="603" l="1"/>
  <c r="I57"/>
  <c r="P57"/>
  <c r="D76"/>
  <c r="D57"/>
  <c r="L57"/>
  <c r="O57"/>
  <c r="E23" i="612"/>
  <c r="I8" i="611"/>
  <c r="A6" i="473"/>
  <c r="G57" i="603"/>
  <c r="N57"/>
  <c r="E57"/>
  <c r="C57"/>
  <c r="F57"/>
  <c r="W41" i="612"/>
  <c r="AB41"/>
  <c r="AB42" s="1"/>
  <c r="B76" i="603"/>
  <c r="M57"/>
  <c r="B57"/>
  <c r="K57"/>
  <c r="H57"/>
  <c r="AF41" i="612"/>
  <c r="AF42" s="1"/>
  <c r="AF45" s="1"/>
  <c r="G23"/>
  <c r="D23"/>
  <c r="C23"/>
  <c r="AG43"/>
  <c r="AG44" s="1"/>
  <c r="AG42"/>
  <c r="AF43"/>
  <c r="AF44" s="1"/>
  <c r="C95"/>
  <c r="B95"/>
  <c r="D95"/>
  <c r="Q43"/>
  <c r="Q44" s="1"/>
  <c r="Q42"/>
  <c r="Z43"/>
  <c r="Z44" s="1"/>
  <c r="Z42"/>
  <c r="E41"/>
  <c r="P41"/>
  <c r="Y41"/>
  <c r="AJ41"/>
  <c r="O41"/>
  <c r="R41"/>
  <c r="H41"/>
  <c r="T41"/>
  <c r="AH41"/>
  <c r="N41"/>
  <c r="AE41"/>
  <c r="J41"/>
  <c r="V41"/>
  <c r="I41"/>
  <c r="AA41"/>
  <c r="L41"/>
  <c r="C41"/>
  <c r="X41"/>
  <c r="D41"/>
  <c r="U41"/>
  <c r="I23"/>
  <c r="J22"/>
  <c r="J23" s="1"/>
  <c r="AC41"/>
  <c r="AI41"/>
  <c r="B23"/>
  <c r="C73"/>
  <c r="C74" s="1"/>
  <c r="D74" s="1"/>
  <c r="E74" s="1"/>
  <c r="F74" s="1"/>
  <c r="K41"/>
  <c r="AD41"/>
  <c r="B41"/>
  <c r="H23"/>
  <c r="G43"/>
  <c r="G44" s="1"/>
  <c r="G42"/>
  <c r="W43"/>
  <c r="W44" s="1"/>
  <c r="W42"/>
  <c r="F23"/>
  <c r="S41"/>
  <c r="F41"/>
  <c r="M41"/>
  <c r="B79" i="603"/>
  <c r="G59"/>
  <c r="H39"/>
  <c r="AC29"/>
  <c r="AB37"/>
  <c r="A13"/>
  <c r="K18"/>
  <c r="F76"/>
  <c r="C60"/>
  <c r="E41" i="611"/>
  <c r="H30"/>
  <c r="E19"/>
  <c r="F18"/>
  <c r="I29"/>
  <c r="J7"/>
  <c r="F40"/>
  <c r="A6" i="610"/>
  <c r="I6" s="1"/>
  <c r="O6" s="1"/>
  <c r="U6" s="1"/>
  <c r="AA6" s="1"/>
  <c r="AG6" s="1"/>
  <c r="B6"/>
  <c r="J6" s="1"/>
  <c r="P6" s="1"/>
  <c r="V6" s="1"/>
  <c r="AB6" s="1"/>
  <c r="AH6" s="1"/>
  <c r="A7"/>
  <c r="I7" s="1"/>
  <c r="O7" s="1"/>
  <c r="U7" s="1"/>
  <c r="AA7" s="1"/>
  <c r="AG7" s="1"/>
  <c r="B7"/>
  <c r="J7" s="1"/>
  <c r="P7" s="1"/>
  <c r="V7" s="1"/>
  <c r="AB7" s="1"/>
  <c r="AH7" s="1"/>
  <c r="A8"/>
  <c r="I8" s="1"/>
  <c r="O8" s="1"/>
  <c r="U8" s="1"/>
  <c r="AA8" s="1"/>
  <c r="AG8" s="1"/>
  <c r="B8"/>
  <c r="J8" s="1"/>
  <c r="P8" s="1"/>
  <c r="V8" s="1"/>
  <c r="AB8" s="1"/>
  <c r="AH8" s="1"/>
  <c r="A9"/>
  <c r="I9" s="1"/>
  <c r="O9" s="1"/>
  <c r="U9" s="1"/>
  <c r="AA9" s="1"/>
  <c r="AG9" s="1"/>
  <c r="B9"/>
  <c r="A10"/>
  <c r="I10" s="1"/>
  <c r="O10" s="1"/>
  <c r="U10" s="1"/>
  <c r="AA10" s="1"/>
  <c r="AG10" s="1"/>
  <c r="B10"/>
  <c r="J10" s="1"/>
  <c r="P10" s="1"/>
  <c r="V10" s="1"/>
  <c r="AB10" s="1"/>
  <c r="AH10" s="1"/>
  <c r="A11"/>
  <c r="I11" s="1"/>
  <c r="O11" s="1"/>
  <c r="U11" s="1"/>
  <c r="AA11" s="1"/>
  <c r="AG11" s="1"/>
  <c r="B11"/>
  <c r="J11" s="1"/>
  <c r="P11" s="1"/>
  <c r="V11" s="1"/>
  <c r="AB11" s="1"/>
  <c r="AH11" s="1"/>
  <c r="A12"/>
  <c r="I12" s="1"/>
  <c r="O12" s="1"/>
  <c r="U12" s="1"/>
  <c r="B12"/>
  <c r="J12" s="1"/>
  <c r="A13"/>
  <c r="I13" s="1"/>
  <c r="O13" s="1"/>
  <c r="U13" s="1"/>
  <c r="AA13" s="1"/>
  <c r="AG13" s="1"/>
  <c r="B13"/>
  <c r="J13" s="1"/>
  <c r="P13" s="1"/>
  <c r="V13" s="1"/>
  <c r="AB13" s="1"/>
  <c r="A14"/>
  <c r="I14" s="1"/>
  <c r="O14" s="1"/>
  <c r="U14" s="1"/>
  <c r="AA14" s="1"/>
  <c r="AG14" s="1"/>
  <c r="B14"/>
  <c r="J14" s="1"/>
  <c r="P14" s="1"/>
  <c r="V14" s="1"/>
  <c r="AB14" s="1"/>
  <c r="AH14" s="1"/>
  <c r="A15"/>
  <c r="I15" s="1"/>
  <c r="O15" s="1"/>
  <c r="U15" s="1"/>
  <c r="AA15" s="1"/>
  <c r="AG15" s="1"/>
  <c r="B15"/>
  <c r="J15" s="1"/>
  <c r="P15" s="1"/>
  <c r="V15" s="1"/>
  <c r="AB15" s="1"/>
  <c r="AH15" s="1"/>
  <c r="B5"/>
  <c r="J5" s="1"/>
  <c r="P5" s="1"/>
  <c r="A5"/>
  <c r="I5" s="1"/>
  <c r="O5" s="1"/>
  <c r="U5" s="1"/>
  <c r="AA5" s="1"/>
  <c r="AG5" s="1"/>
  <c r="AB43" i="612" l="1"/>
  <c r="AB44" s="1"/>
  <c r="D79" i="603"/>
  <c r="F60"/>
  <c r="AB45" i="612"/>
  <c r="D60" i="603"/>
  <c r="J8" i="611"/>
  <c r="A7" i="473"/>
  <c r="B60" i="603"/>
  <c r="E79"/>
  <c r="G79" s="1"/>
  <c r="D80" s="1"/>
  <c r="E60"/>
  <c r="C79"/>
  <c r="G45" i="612"/>
  <c r="Z45"/>
  <c r="L43"/>
  <c r="L44" s="1"/>
  <c r="L42"/>
  <c r="T43"/>
  <c r="T44" s="1"/>
  <c r="T42"/>
  <c r="X43"/>
  <c r="X44" s="1"/>
  <c r="X42"/>
  <c r="AA43"/>
  <c r="AA44" s="1"/>
  <c r="AA42"/>
  <c r="AA45" s="1"/>
  <c r="AE43"/>
  <c r="AE44" s="1"/>
  <c r="AE42"/>
  <c r="H43"/>
  <c r="H44" s="1"/>
  <c r="H42"/>
  <c r="H45" s="1"/>
  <c r="Y43"/>
  <c r="Y44" s="1"/>
  <c r="Y42"/>
  <c r="AD43"/>
  <c r="AD44" s="1"/>
  <c r="AD42"/>
  <c r="AD45" s="1"/>
  <c r="AI43"/>
  <c r="AI44" s="1"/>
  <c r="AI42"/>
  <c r="C43"/>
  <c r="C44" s="1"/>
  <c r="C42"/>
  <c r="C45" s="1"/>
  <c r="I43"/>
  <c r="I44" s="1"/>
  <c r="I42"/>
  <c r="N43"/>
  <c r="N44" s="1"/>
  <c r="N42"/>
  <c r="N45" s="1"/>
  <c r="R43"/>
  <c r="R44" s="1"/>
  <c r="R42"/>
  <c r="P43"/>
  <c r="P44" s="1"/>
  <c r="P42"/>
  <c r="P45" s="1"/>
  <c r="Q45"/>
  <c r="F43"/>
  <c r="F44" s="1"/>
  <c r="F42"/>
  <c r="F45" s="1"/>
  <c r="D43"/>
  <c r="D44" s="1"/>
  <c r="D42"/>
  <c r="J43"/>
  <c r="J44" s="1"/>
  <c r="J42"/>
  <c r="AJ43"/>
  <c r="AJ44" s="1"/>
  <c r="AJ42"/>
  <c r="S43"/>
  <c r="S44" s="1"/>
  <c r="S42"/>
  <c r="B43"/>
  <c r="B44" s="1"/>
  <c r="B42"/>
  <c r="K23"/>
  <c r="M43"/>
  <c r="M44" s="1"/>
  <c r="M42"/>
  <c r="M45" s="1"/>
  <c r="W45"/>
  <c r="K43"/>
  <c r="K44" s="1"/>
  <c r="K42"/>
  <c r="AC43"/>
  <c r="AC44" s="1"/>
  <c r="AC42"/>
  <c r="U43"/>
  <c r="U44" s="1"/>
  <c r="U42"/>
  <c r="V43"/>
  <c r="V44" s="1"/>
  <c r="V42"/>
  <c r="AH43"/>
  <c r="AH44" s="1"/>
  <c r="AH42"/>
  <c r="O43"/>
  <c r="O44" s="1"/>
  <c r="O42"/>
  <c r="E43"/>
  <c r="E44" s="1"/>
  <c r="E42"/>
  <c r="E95"/>
  <c r="C96" s="1"/>
  <c r="AG45"/>
  <c r="L18" i="603"/>
  <c r="I39"/>
  <c r="F79"/>
  <c r="A14"/>
  <c r="AD29"/>
  <c r="AC37"/>
  <c r="G60"/>
  <c r="H59"/>
  <c r="F41" i="611"/>
  <c r="G41" s="1"/>
  <c r="I30"/>
  <c r="F19"/>
  <c r="J29"/>
  <c r="G18"/>
  <c r="K7"/>
  <c r="AK14" i="610"/>
  <c r="AK15" s="1"/>
  <c r="AK8"/>
  <c r="AK7"/>
  <c r="AK6"/>
  <c r="AK5"/>
  <c r="AE7"/>
  <c r="AE14"/>
  <c r="AE16" s="1"/>
  <c r="AE6"/>
  <c r="AE5"/>
  <c r="M28" s="1"/>
  <c r="AE8"/>
  <c r="S6"/>
  <c r="M26" s="1"/>
  <c r="Y7"/>
  <c r="S7"/>
  <c r="E7"/>
  <c r="S8"/>
  <c r="S5"/>
  <c r="S14"/>
  <c r="S15" s="1"/>
  <c r="M8"/>
  <c r="M7"/>
  <c r="M6"/>
  <c r="M25" s="1"/>
  <c r="E14"/>
  <c r="E15" s="1"/>
  <c r="E8"/>
  <c r="M14"/>
  <c r="M15" s="1"/>
  <c r="M5"/>
  <c r="E5"/>
  <c r="E6"/>
  <c r="M24" s="1"/>
  <c r="G9" i="609"/>
  <c r="G5"/>
  <c r="G4"/>
  <c r="G3"/>
  <c r="L45" i="612" l="1"/>
  <c r="K8" i="611"/>
  <c r="A8" i="473"/>
  <c r="O45" i="612"/>
  <c r="V45"/>
  <c r="AC45"/>
  <c r="B45"/>
  <c r="AJ45"/>
  <c r="D45"/>
  <c r="G24"/>
  <c r="E24"/>
  <c r="D24"/>
  <c r="C24"/>
  <c r="B96"/>
  <c r="B97" s="1"/>
  <c r="C97" s="1"/>
  <c r="I24"/>
  <c r="E45"/>
  <c r="AH45"/>
  <c r="U45"/>
  <c r="K45"/>
  <c r="D96"/>
  <c r="R45"/>
  <c r="I45"/>
  <c r="AI45"/>
  <c r="F24"/>
  <c r="B24"/>
  <c r="B25" s="1"/>
  <c r="S45"/>
  <c r="J45"/>
  <c r="H24"/>
  <c r="Y45"/>
  <c r="AE45"/>
  <c r="X45"/>
  <c r="T45"/>
  <c r="J24"/>
  <c r="A15" i="603"/>
  <c r="AL16" s="1"/>
  <c r="AP16"/>
  <c r="J39"/>
  <c r="AE29"/>
  <c r="AD37"/>
  <c r="F80"/>
  <c r="H60"/>
  <c r="I59"/>
  <c r="BQ16"/>
  <c r="Z16"/>
  <c r="E80"/>
  <c r="M18"/>
  <c r="C80"/>
  <c r="AZ16"/>
  <c r="B80"/>
  <c r="B81" s="1"/>
  <c r="J30" i="611"/>
  <c r="G19"/>
  <c r="L7"/>
  <c r="H18"/>
  <c r="AK10" i="610"/>
  <c r="M29"/>
  <c r="S10"/>
  <c r="AK16"/>
  <c r="AK17" s="1"/>
  <c r="AK18" s="1"/>
  <c r="O29" s="1"/>
  <c r="AE10"/>
  <c r="AE9"/>
  <c r="AK9"/>
  <c r="AE15"/>
  <c r="S9"/>
  <c r="Y8"/>
  <c r="Y14"/>
  <c r="M10"/>
  <c r="Y5"/>
  <c r="Y6"/>
  <c r="Y10" s="1"/>
  <c r="M9"/>
  <c r="E10"/>
  <c r="E9"/>
  <c r="E16"/>
  <c r="S16"/>
  <c r="M16"/>
  <c r="AX9"/>
  <c r="AR9"/>
  <c r="N9" i="609"/>
  <c r="D9"/>
  <c r="G11"/>
  <c r="G10"/>
  <c r="D20" i="607" a="1"/>
  <c r="D20" s="1"/>
  <c r="F16"/>
  <c r="E16"/>
  <c r="E14"/>
  <c r="E15" s="1"/>
  <c r="M9" s="1"/>
  <c r="E10"/>
  <c r="N6"/>
  <c r="Q6" i="606"/>
  <c r="G20" a="1"/>
  <c r="G20" s="1"/>
  <c r="I16"/>
  <c r="H16"/>
  <c r="H14"/>
  <c r="H15" s="1"/>
  <c r="P9" s="1"/>
  <c r="H10"/>
  <c r="B16" i="603" l="1"/>
  <c r="D97" i="612"/>
  <c r="L8" i="611"/>
  <c r="P10" i="606"/>
  <c r="Q10" s="1"/>
  <c r="Q9"/>
  <c r="A9" i="473"/>
  <c r="AF16" i="603"/>
  <c r="AB16"/>
  <c r="K16"/>
  <c r="AN16"/>
  <c r="E48" i="612"/>
  <c r="BS16" i="603"/>
  <c r="Q16"/>
  <c r="R16"/>
  <c r="AE16"/>
  <c r="BG16"/>
  <c r="C81"/>
  <c r="D81" s="1"/>
  <c r="E81" s="1"/>
  <c r="F81" s="1"/>
  <c r="BE16"/>
  <c r="AO16"/>
  <c r="BO16"/>
  <c r="BA16"/>
  <c r="B48" i="612"/>
  <c r="H48"/>
  <c r="C48"/>
  <c r="C25"/>
  <c r="D25" s="1"/>
  <c r="E25" s="1"/>
  <c r="F25" s="1"/>
  <c r="G25" s="1"/>
  <c r="H25" s="1"/>
  <c r="I25" s="1"/>
  <c r="J25" s="1"/>
  <c r="G48"/>
  <c r="D48"/>
  <c r="F48"/>
  <c r="N18" i="603"/>
  <c r="I60"/>
  <c r="J59"/>
  <c r="J60" s="1"/>
  <c r="K39"/>
  <c r="AM16"/>
  <c r="N16"/>
  <c r="AW16"/>
  <c r="AD16"/>
  <c r="AG16"/>
  <c r="BL16"/>
  <c r="AR16"/>
  <c r="BM16"/>
  <c r="P16"/>
  <c r="BR16"/>
  <c r="AT16"/>
  <c r="V16"/>
  <c r="BB16"/>
  <c r="BD16"/>
  <c r="W16"/>
  <c r="G16"/>
  <c r="C16"/>
  <c r="AC16"/>
  <c r="X16"/>
  <c r="BJ16"/>
  <c r="M16"/>
  <c r="BN16"/>
  <c r="BF16"/>
  <c r="AS16"/>
  <c r="F16"/>
  <c r="AV16"/>
  <c r="I16"/>
  <c r="E16"/>
  <c r="O16"/>
  <c r="AJ16"/>
  <c r="BK16"/>
  <c r="S16"/>
  <c r="AH16"/>
  <c r="L16"/>
  <c r="AY16"/>
  <c r="Y16"/>
  <c r="AQ16"/>
  <c r="U16"/>
  <c r="AU16"/>
  <c r="J16"/>
  <c r="BC16"/>
  <c r="BH16"/>
  <c r="AI16"/>
  <c r="AX16"/>
  <c r="AK16"/>
  <c r="H16"/>
  <c r="D16"/>
  <c r="T16"/>
  <c r="AF29"/>
  <c r="AE37"/>
  <c r="AA16"/>
  <c r="BP16"/>
  <c r="BI16"/>
  <c r="H19" i="611"/>
  <c r="M7"/>
  <c r="I18"/>
  <c r="Y9" i="610"/>
  <c r="Y11" s="1"/>
  <c r="N27" s="1"/>
  <c r="M27"/>
  <c r="AK11"/>
  <c r="N29" s="1"/>
  <c r="P29" s="1"/>
  <c r="S11"/>
  <c r="N26" s="1"/>
  <c r="AE11"/>
  <c r="N28" s="1"/>
  <c r="E11"/>
  <c r="N24" s="1"/>
  <c r="AE17"/>
  <c r="AE18" s="1"/>
  <c r="O28" s="1"/>
  <c r="S17"/>
  <c r="S18" s="1"/>
  <c r="E17"/>
  <c r="E18" s="1"/>
  <c r="M17"/>
  <c r="M18" s="1"/>
  <c r="O25" s="1"/>
  <c r="M11"/>
  <c r="N25" s="1"/>
  <c r="P25" s="1"/>
  <c r="Y16"/>
  <c r="Y15"/>
  <c r="G6" i="609"/>
  <c r="G12"/>
  <c r="G13" s="1"/>
  <c r="N9" i="607"/>
  <c r="M10"/>
  <c r="N10" s="1"/>
  <c r="G21" i="606"/>
  <c r="G22"/>
  <c r="M8" i="611" l="1"/>
  <c r="A10" i="473"/>
  <c r="B19" i="603"/>
  <c r="I48" i="612"/>
  <c r="B49" s="1"/>
  <c r="B50" s="1"/>
  <c r="F19" i="603"/>
  <c r="L19"/>
  <c r="J19"/>
  <c r="E49" i="612"/>
  <c r="D49"/>
  <c r="C19" i="603"/>
  <c r="K60"/>
  <c r="J61" s="1"/>
  <c r="I19"/>
  <c r="E19"/>
  <c r="L39"/>
  <c r="N19"/>
  <c r="O18"/>
  <c r="H19"/>
  <c r="D19"/>
  <c r="M19"/>
  <c r="AG29"/>
  <c r="AF37"/>
  <c r="K19"/>
  <c r="G19"/>
  <c r="I19" i="611"/>
  <c r="K30"/>
  <c r="N7"/>
  <c r="J18"/>
  <c r="E19" i="610"/>
  <c r="O24"/>
  <c r="P24" s="1"/>
  <c r="P28"/>
  <c r="S19"/>
  <c r="O26"/>
  <c r="P26" s="1"/>
  <c r="AK19"/>
  <c r="AE19"/>
  <c r="Y17"/>
  <c r="Y18" s="1"/>
  <c r="M19"/>
  <c r="G14" i="609"/>
  <c r="P7" i="606"/>
  <c r="J19"/>
  <c r="K19" s="1"/>
  <c r="M19"/>
  <c r="L19"/>
  <c r="G20" i="607"/>
  <c r="H20" s="1"/>
  <c r="I20"/>
  <c r="J20"/>
  <c r="J20" i="606"/>
  <c r="K20" s="1"/>
  <c r="L20"/>
  <c r="M20"/>
  <c r="L22"/>
  <c r="M22"/>
  <c r="J22"/>
  <c r="K22" s="1"/>
  <c r="M7" i="607"/>
  <c r="N7" s="1"/>
  <c r="J19"/>
  <c r="I19"/>
  <c r="G19"/>
  <c r="H19" s="1"/>
  <c r="J21" i="606"/>
  <c r="K21" s="1"/>
  <c r="L21"/>
  <c r="M21"/>
  <c r="N8" i="611" l="1"/>
  <c r="G49" i="612"/>
  <c r="C49"/>
  <c r="H49"/>
  <c r="A11" i="473"/>
  <c r="F49" i="612"/>
  <c r="C50"/>
  <c r="D50" s="1"/>
  <c r="E50" s="1"/>
  <c r="AH29" i="603"/>
  <c r="AG37"/>
  <c r="M39"/>
  <c r="F61"/>
  <c r="E61"/>
  <c r="C61"/>
  <c r="B61"/>
  <c r="B62" s="1"/>
  <c r="D61"/>
  <c r="G61"/>
  <c r="H61"/>
  <c r="I61"/>
  <c r="O19"/>
  <c r="P18"/>
  <c r="J19" i="611"/>
  <c r="K18"/>
  <c r="O7"/>
  <c r="Y19" i="610"/>
  <c r="O27"/>
  <c r="P27" s="1"/>
  <c r="Q7" i="606"/>
  <c r="I40" i="604"/>
  <c r="H40"/>
  <c r="B45"/>
  <c r="A45"/>
  <c r="O8" i="611" l="1"/>
  <c r="C62" i="603"/>
  <c r="D62" s="1"/>
  <c r="E62" s="1"/>
  <c r="F62" s="1"/>
  <c r="G62" s="1"/>
  <c r="H62" s="1"/>
  <c r="I62" s="1"/>
  <c r="J62" s="1"/>
  <c r="F50" i="612"/>
  <c r="G50" s="1"/>
  <c r="H50" s="1"/>
  <c r="A12" i="473"/>
  <c r="N39" i="603"/>
  <c r="AI29"/>
  <c r="AH37"/>
  <c r="P19"/>
  <c r="Q18"/>
  <c r="K19" i="611"/>
  <c r="P7"/>
  <c r="L18"/>
  <c r="D45" i="604"/>
  <c r="E45"/>
  <c r="B30"/>
  <c r="A30"/>
  <c r="I22"/>
  <c r="H22"/>
  <c r="B13"/>
  <c r="A13"/>
  <c r="I5"/>
  <c r="H5"/>
  <c r="P8" i="611" l="1"/>
  <c r="A13" i="473"/>
  <c r="AJ29" i="603"/>
  <c r="AJ37" s="1"/>
  <c r="AI37"/>
  <c r="Q19"/>
  <c r="R18"/>
  <c r="R19" s="1"/>
  <c r="L19" i="611"/>
  <c r="M18"/>
  <c r="Q7"/>
  <c r="E30" i="604"/>
  <c r="I23" s="1"/>
  <c r="D30"/>
  <c r="H23" s="1"/>
  <c r="D13"/>
  <c r="H6" s="1"/>
  <c r="E13"/>
  <c r="I6" s="1"/>
  <c r="Q8" i="611" l="1"/>
  <c r="A14" i="473"/>
  <c r="H10" i="604"/>
  <c r="R20" i="603"/>
  <c r="B40"/>
  <c r="C40"/>
  <c r="E40"/>
  <c r="D40"/>
  <c r="G40"/>
  <c r="F40"/>
  <c r="J40"/>
  <c r="I40"/>
  <c r="L40"/>
  <c r="N40"/>
  <c r="K40"/>
  <c r="M40"/>
  <c r="H40"/>
  <c r="S19"/>
  <c r="M19" i="611"/>
  <c r="R7"/>
  <c r="N18"/>
  <c r="H27" i="604"/>
  <c r="H28" s="1"/>
  <c r="R8" i="611" l="1"/>
  <c r="S8" s="1"/>
  <c r="L20" i="603"/>
  <c r="B20"/>
  <c r="B21" s="1"/>
  <c r="F20"/>
  <c r="J20"/>
  <c r="G20"/>
  <c r="H20"/>
  <c r="M20"/>
  <c r="N20"/>
  <c r="E20"/>
  <c r="I20"/>
  <c r="K20"/>
  <c r="D20"/>
  <c r="C20"/>
  <c r="O20"/>
  <c r="P20"/>
  <c r="Q20"/>
  <c r="F41"/>
  <c r="O40"/>
  <c r="K41" s="1"/>
  <c r="N19" i="611"/>
  <c r="O19" s="1"/>
  <c r="H11" i="604"/>
  <c r="G41" i="603" l="1"/>
  <c r="L41"/>
  <c r="I41"/>
  <c r="N41"/>
  <c r="D41"/>
  <c r="M41"/>
  <c r="H41"/>
  <c r="J41"/>
  <c r="B41"/>
  <c r="B42" s="1"/>
  <c r="C41"/>
  <c r="E41"/>
  <c r="C21"/>
  <c r="D21" s="1"/>
  <c r="E21" s="1"/>
  <c r="F21" s="1"/>
  <c r="G21" s="1"/>
  <c r="H21" s="1"/>
  <c r="I21" s="1"/>
  <c r="J21" s="1"/>
  <c r="K21" s="1"/>
  <c r="L21" s="1"/>
  <c r="M21" s="1"/>
  <c r="N21" s="1"/>
  <c r="O21" s="1"/>
  <c r="P21" s="1"/>
  <c r="Q21" s="1"/>
  <c r="R21" s="1"/>
  <c r="C42" l="1"/>
  <c r="D42" s="1"/>
  <c r="E42" s="1"/>
  <c r="F42" s="1"/>
  <c r="G42" s="1"/>
  <c r="H42" s="1"/>
  <c r="I42" s="1"/>
  <c r="J42" s="1"/>
  <c r="K42" s="1"/>
  <c r="L42" s="1"/>
  <c r="M42" s="1"/>
  <c r="N42" s="1"/>
  <c r="D10" i="602" l="1"/>
  <c r="D9"/>
  <c r="D8"/>
  <c r="D7"/>
  <c r="D6"/>
  <c r="D5"/>
  <c r="G5" s="1"/>
  <c r="A5"/>
  <c r="A6" s="1"/>
  <c r="A7" s="1"/>
  <c r="A8" s="1"/>
  <c r="A9" s="1"/>
  <c r="A10" s="1"/>
  <c r="D4"/>
  <c r="E4" l="1"/>
  <c r="G7"/>
  <c r="G9"/>
  <c r="E6"/>
  <c r="E8"/>
  <c r="E10"/>
  <c r="E5"/>
  <c r="E7"/>
  <c r="E9"/>
  <c r="H8"/>
  <c r="H6" l="1"/>
  <c r="G10"/>
  <c r="H4"/>
  <c r="H9"/>
  <c r="H5"/>
  <c r="G6"/>
  <c r="H10"/>
  <c r="H7"/>
  <c r="G4"/>
  <c r="G8"/>
  <c r="G11" l="1"/>
  <c r="H11"/>
  <c r="J24" i="601" l="1"/>
  <c r="O11" s="1"/>
  <c r="H24"/>
  <c r="I24"/>
  <c r="G24"/>
  <c r="J23"/>
  <c r="H23"/>
  <c r="I23"/>
  <c r="G23"/>
  <c r="F23"/>
  <c r="J22"/>
  <c r="H22"/>
  <c r="I22"/>
  <c r="G22"/>
  <c r="F22"/>
  <c r="J21"/>
  <c r="H21"/>
  <c r="I21"/>
  <c r="G21"/>
  <c r="F21"/>
  <c r="H20"/>
  <c r="I20"/>
  <c r="G20"/>
  <c r="J17"/>
  <c r="H17"/>
  <c r="I17"/>
  <c r="G17"/>
  <c r="J16"/>
  <c r="H16"/>
  <c r="I16"/>
  <c r="G16"/>
  <c r="F16"/>
  <c r="J15"/>
  <c r="H15"/>
  <c r="I15"/>
  <c r="G15"/>
  <c r="F15"/>
  <c r="J14"/>
  <c r="H14"/>
  <c r="I14"/>
  <c r="G14"/>
  <c r="F14"/>
  <c r="H13"/>
  <c r="I13"/>
  <c r="G13"/>
  <c r="J10"/>
  <c r="N11" s="1"/>
  <c r="N20" s="1"/>
  <c r="H10"/>
  <c r="I10"/>
  <c r="G10"/>
  <c r="M8" s="1"/>
  <c r="J9"/>
  <c r="H9"/>
  <c r="I9"/>
  <c r="G9"/>
  <c r="F9"/>
  <c r="J8"/>
  <c r="H8"/>
  <c r="I8"/>
  <c r="G8"/>
  <c r="F8"/>
  <c r="J7"/>
  <c r="H7"/>
  <c r="I7"/>
  <c r="G7"/>
  <c r="M10" s="1"/>
  <c r="F7"/>
  <c r="H6"/>
  <c r="I6"/>
  <c r="G6"/>
  <c r="H41" i="592"/>
  <c r="G41"/>
  <c r="I41" s="1"/>
  <c r="K35"/>
  <c r="J35"/>
  <c r="I35"/>
  <c r="H35"/>
  <c r="G35"/>
  <c r="F35"/>
  <c r="K34"/>
  <c r="J34"/>
  <c r="I34"/>
  <c r="H34"/>
  <c r="G34"/>
  <c r="F34"/>
  <c r="K33"/>
  <c r="J33"/>
  <c r="I33"/>
  <c r="H33"/>
  <c r="G33"/>
  <c r="F33"/>
  <c r="Y47"/>
  <c r="Y48"/>
  <c r="Y49"/>
  <c r="Y50"/>
  <c r="Y46"/>
  <c r="X47"/>
  <c r="X48"/>
  <c r="X49"/>
  <c r="X50"/>
  <c r="X46"/>
  <c r="W47"/>
  <c r="W48"/>
  <c r="W49"/>
  <c r="W50"/>
  <c r="W46"/>
  <c r="Y42"/>
  <c r="Y43"/>
  <c r="Y44"/>
  <c r="Y45"/>
  <c r="Y41"/>
  <c r="X42"/>
  <c r="X43"/>
  <c r="X44"/>
  <c r="X45"/>
  <c r="X41"/>
  <c r="W42"/>
  <c r="W43"/>
  <c r="W44"/>
  <c r="W45"/>
  <c r="W41"/>
  <c r="Y37"/>
  <c r="Y38"/>
  <c r="Y39"/>
  <c r="Y40"/>
  <c r="Y36"/>
  <c r="X37"/>
  <c r="X38"/>
  <c r="X39"/>
  <c r="X40"/>
  <c r="X36"/>
  <c r="W37"/>
  <c r="W38"/>
  <c r="W39"/>
  <c r="W40"/>
  <c r="W36"/>
  <c r="Y32"/>
  <c r="Y33"/>
  <c r="Y34"/>
  <c r="Y35"/>
  <c r="Y31"/>
  <c r="X32"/>
  <c r="X33"/>
  <c r="X34"/>
  <c r="X35"/>
  <c r="X31"/>
  <c r="W32"/>
  <c r="W33"/>
  <c r="W34"/>
  <c r="W35"/>
  <c r="W31"/>
  <c r="Y30"/>
  <c r="X30"/>
  <c r="W30"/>
  <c r="V46"/>
  <c r="V41"/>
  <c r="V36"/>
  <c r="V31"/>
  <c r="L22" i="600"/>
  <c r="Q9" s="1"/>
  <c r="I22"/>
  <c r="J22"/>
  <c r="K22"/>
  <c r="H22"/>
  <c r="L21"/>
  <c r="I21"/>
  <c r="J21"/>
  <c r="K21"/>
  <c r="H21"/>
  <c r="G21"/>
  <c r="L20"/>
  <c r="I20"/>
  <c r="J20"/>
  <c r="K20"/>
  <c r="H20"/>
  <c r="G20"/>
  <c r="L19"/>
  <c r="I19"/>
  <c r="J19"/>
  <c r="K19"/>
  <c r="H19"/>
  <c r="G19"/>
  <c r="I18"/>
  <c r="J18"/>
  <c r="K18"/>
  <c r="H18"/>
  <c r="L15"/>
  <c r="I15"/>
  <c r="J15"/>
  <c r="K15"/>
  <c r="H15"/>
  <c r="L14"/>
  <c r="I14"/>
  <c r="J14"/>
  <c r="K14"/>
  <c r="H14"/>
  <c r="G14"/>
  <c r="L13"/>
  <c r="I13"/>
  <c r="J13"/>
  <c r="K13"/>
  <c r="H13"/>
  <c r="G13"/>
  <c r="L12"/>
  <c r="I12"/>
  <c r="J12"/>
  <c r="K12"/>
  <c r="H12"/>
  <c r="G12"/>
  <c r="I11"/>
  <c r="J11"/>
  <c r="K11"/>
  <c r="H11"/>
  <c r="L8"/>
  <c r="P9" s="1"/>
  <c r="I8"/>
  <c r="J8"/>
  <c r="K8"/>
  <c r="H8"/>
  <c r="L7"/>
  <c r="I7"/>
  <c r="J7"/>
  <c r="K7"/>
  <c r="H7"/>
  <c r="G7"/>
  <c r="L6"/>
  <c r="I6"/>
  <c r="J6"/>
  <c r="K6"/>
  <c r="H6"/>
  <c r="G6"/>
  <c r="L5"/>
  <c r="I5"/>
  <c r="J5"/>
  <c r="K5"/>
  <c r="H5"/>
  <c r="G5"/>
  <c r="I4"/>
  <c r="J4"/>
  <c r="K4"/>
  <c r="H4"/>
  <c r="P5" l="1"/>
  <c r="N8" i="601"/>
  <c r="O8" s="1"/>
  <c r="G40" i="592"/>
  <c r="M7" i="601"/>
  <c r="O7" s="1"/>
  <c r="O5" i="600"/>
  <c r="Q5" s="1"/>
  <c r="N7" i="601"/>
  <c r="N9" s="1"/>
  <c r="N10" s="1"/>
  <c r="P6" i="600"/>
  <c r="P7" s="1"/>
  <c r="O8"/>
  <c r="O6"/>
  <c r="P8"/>
  <c r="H39" i="592"/>
  <c r="H40"/>
  <c r="I40" s="1"/>
  <c r="L34" s="1"/>
  <c r="H3" i="600"/>
  <c r="G39" i="592"/>
  <c r="I39" s="1"/>
  <c r="M17" i="601"/>
  <c r="M19"/>
  <c r="G5"/>
  <c r="M11"/>
  <c r="O9" i="600"/>
  <c r="N39" i="592" l="1"/>
  <c r="M39"/>
  <c r="L33"/>
  <c r="Q6" i="600"/>
  <c r="N17" i="601"/>
  <c r="J39" i="592"/>
  <c r="K39" s="1"/>
  <c r="L35"/>
  <c r="O7" i="600"/>
  <c r="Q7" s="1"/>
  <c r="R6" s="1"/>
  <c r="S6" s="1"/>
  <c r="T6" s="1"/>
  <c r="L39" i="592"/>
  <c r="N34"/>
  <c r="M34"/>
  <c r="Q8" i="600"/>
  <c r="N19" i="601"/>
  <c r="O19" s="1"/>
  <c r="O10"/>
  <c r="P8" s="1"/>
  <c r="Q8" s="1"/>
  <c r="R8" s="1"/>
  <c r="N18"/>
  <c r="O17"/>
  <c r="M9"/>
  <c r="M20"/>
  <c r="O20" s="1"/>
  <c r="M33" i="592"/>
  <c r="N33"/>
  <c r="N35" l="1"/>
  <c r="M35"/>
  <c r="R5" i="600"/>
  <c r="S5" s="1"/>
  <c r="T5" s="1"/>
  <c r="R7"/>
  <c r="S7" s="1"/>
  <c r="T7" s="1"/>
  <c r="O9" i="601"/>
  <c r="P9" s="1"/>
  <c r="Q9" s="1"/>
  <c r="R9" s="1"/>
  <c r="M18"/>
  <c r="O18" s="1"/>
  <c r="P18" s="1"/>
  <c r="Q18" s="1"/>
  <c r="R18" s="1"/>
  <c r="P7"/>
  <c r="Q7" s="1"/>
  <c r="R7" s="1"/>
  <c r="J24" i="599"/>
  <c r="O10" s="1"/>
  <c r="H24"/>
  <c r="I24"/>
  <c r="G24"/>
  <c r="J23"/>
  <c r="H23"/>
  <c r="I23"/>
  <c r="G23"/>
  <c r="F23"/>
  <c r="J22"/>
  <c r="H22"/>
  <c r="I22"/>
  <c r="G22"/>
  <c r="F22"/>
  <c r="J21"/>
  <c r="H21"/>
  <c r="I21"/>
  <c r="G21"/>
  <c r="F21"/>
  <c r="H20"/>
  <c r="I20"/>
  <c r="G20"/>
  <c r="J17"/>
  <c r="H17"/>
  <c r="I17"/>
  <c r="G17"/>
  <c r="J16"/>
  <c r="H16"/>
  <c r="I16"/>
  <c r="G16"/>
  <c r="F16"/>
  <c r="J15"/>
  <c r="H15"/>
  <c r="I15"/>
  <c r="G15"/>
  <c r="F15"/>
  <c r="J14"/>
  <c r="H14"/>
  <c r="I14"/>
  <c r="G14"/>
  <c r="F14"/>
  <c r="H13"/>
  <c r="I13"/>
  <c r="G13"/>
  <c r="J10"/>
  <c r="N10" s="1"/>
  <c r="H10"/>
  <c r="I10"/>
  <c r="G10"/>
  <c r="J9"/>
  <c r="H9"/>
  <c r="I9"/>
  <c r="G9"/>
  <c r="F9"/>
  <c r="J8"/>
  <c r="H8"/>
  <c r="I8"/>
  <c r="G8"/>
  <c r="F8"/>
  <c r="J7"/>
  <c r="H7"/>
  <c r="I7"/>
  <c r="G7"/>
  <c r="F7"/>
  <c r="H6"/>
  <c r="I6"/>
  <c r="G6"/>
  <c r="N7" l="1"/>
  <c r="N8" s="1"/>
  <c r="M7"/>
  <c r="G5"/>
  <c r="M10"/>
  <c r="N9"/>
  <c r="M9"/>
  <c r="P17" i="601"/>
  <c r="M8" i="599"/>
  <c r="O8" l="1"/>
  <c r="P7" s="1"/>
  <c r="Q7" s="1"/>
  <c r="R7" s="1"/>
  <c r="O7"/>
  <c r="Q17" i="601"/>
  <c r="R17" s="1"/>
  <c r="O9" i="599"/>
  <c r="P8" s="1"/>
  <c r="Q8" s="1"/>
  <c r="R8" s="1"/>
  <c r="M10" i="597" l="1"/>
  <c r="M21"/>
  <c r="M17"/>
  <c r="M7"/>
  <c r="M24"/>
  <c r="M14"/>
  <c r="L21"/>
  <c r="L17"/>
  <c r="L7"/>
  <c r="L24"/>
  <c r="L14"/>
  <c r="L10"/>
  <c r="K24"/>
  <c r="K14"/>
  <c r="N7"/>
  <c r="N24"/>
  <c r="S10" s="1"/>
  <c r="N14"/>
  <c r="K10"/>
  <c r="K21"/>
  <c r="K17"/>
  <c r="N10"/>
  <c r="R10" s="1"/>
  <c r="N21"/>
  <c r="N17"/>
  <c r="K7"/>
  <c r="J7"/>
  <c r="J14"/>
  <c r="J21"/>
  <c r="M20"/>
  <c r="M6"/>
  <c r="M13"/>
  <c r="L20"/>
  <c r="L6"/>
  <c r="L13"/>
  <c r="K13"/>
  <c r="K20"/>
  <c r="K6"/>
  <c r="M9"/>
  <c r="M16"/>
  <c r="M23"/>
  <c r="L16"/>
  <c r="L23"/>
  <c r="L9"/>
  <c r="K23"/>
  <c r="N23"/>
  <c r="K9"/>
  <c r="K16"/>
  <c r="N9"/>
  <c r="N16"/>
  <c r="J23"/>
  <c r="J9"/>
  <c r="J16"/>
  <c r="M22"/>
  <c r="M8"/>
  <c r="M15"/>
  <c r="L8"/>
  <c r="L15"/>
  <c r="L22"/>
  <c r="N15"/>
  <c r="K22"/>
  <c r="N22"/>
  <c r="K8"/>
  <c r="K15"/>
  <c r="N8"/>
  <c r="J15"/>
  <c r="J22"/>
  <c r="J8"/>
  <c r="Q10" l="1"/>
  <c r="Q7"/>
  <c r="R7"/>
  <c r="R8" s="1"/>
  <c r="R9" s="1"/>
  <c r="K5"/>
  <c r="Q9"/>
  <c r="S9" l="1"/>
  <c r="Q8"/>
  <c r="S8" s="1"/>
  <c r="S7"/>
  <c r="T8" l="1"/>
  <c r="U8" s="1"/>
  <c r="V8" s="1"/>
  <c r="T7"/>
  <c r="U7" s="1"/>
  <c r="V7" s="1"/>
  <c r="S6" i="595"/>
  <c r="T6"/>
  <c r="U6"/>
  <c r="V6"/>
  <c r="R6"/>
  <c r="H23"/>
  <c r="I15"/>
  <c r="H15"/>
  <c r="L9"/>
  <c r="K9"/>
  <c r="J9"/>
  <c r="I9"/>
  <c r="H9"/>
  <c r="G9"/>
  <c r="L8"/>
  <c r="K8"/>
  <c r="J8"/>
  <c r="I8"/>
  <c r="H8"/>
  <c r="G8"/>
  <c r="L7"/>
  <c r="K7"/>
  <c r="J7"/>
  <c r="I7"/>
  <c r="H7"/>
  <c r="G7"/>
  <c r="L6"/>
  <c r="K6"/>
  <c r="J6"/>
  <c r="I6"/>
  <c r="H6"/>
  <c r="G6"/>
  <c r="L5"/>
  <c r="K5"/>
  <c r="J5"/>
  <c r="I5"/>
  <c r="H5"/>
  <c r="G5"/>
  <c r="I13" l="1"/>
  <c r="J23" s="1"/>
  <c r="R10"/>
  <c r="V10"/>
  <c r="U10"/>
  <c r="T10"/>
  <c r="S10"/>
  <c r="H14"/>
  <c r="H13" s="1"/>
  <c r="J15"/>
  <c r="N16" i="594"/>
  <c r="M16"/>
  <c r="M9"/>
  <c r="N4"/>
  <c r="O4"/>
  <c r="P4"/>
  <c r="N5"/>
  <c r="O5"/>
  <c r="P5"/>
  <c r="M5"/>
  <c r="M4"/>
  <c r="N3"/>
  <c r="O3"/>
  <c r="P3"/>
  <c r="M3"/>
  <c r="J17"/>
  <c r="I17"/>
  <c r="H17"/>
  <c r="G17"/>
  <c r="E17"/>
  <c r="D17"/>
  <c r="C17"/>
  <c r="B17"/>
  <c r="J16"/>
  <c r="I16"/>
  <c r="H16"/>
  <c r="G16"/>
  <c r="E16"/>
  <c r="D16"/>
  <c r="C16"/>
  <c r="B16"/>
  <c r="I14" i="595" l="1"/>
  <c r="I20" s="1"/>
  <c r="N14" i="594"/>
  <c r="N15" s="1"/>
  <c r="J13" i="595"/>
  <c r="M8" i="594"/>
  <c r="M6" s="1"/>
  <c r="O6" l="1"/>
  <c r="M13" i="595"/>
  <c r="J14"/>
  <c r="K13" s="1"/>
  <c r="L13" s="1"/>
  <c r="N6" i="594"/>
  <c r="M13"/>
  <c r="P6"/>
  <c r="J20" i="595"/>
  <c r="K20"/>
  <c r="M6"/>
  <c r="O13" l="1"/>
  <c r="M7"/>
  <c r="O7" s="1"/>
  <c r="M9"/>
  <c r="N9" s="1"/>
  <c r="O15" i="594"/>
  <c r="N13" i="595"/>
  <c r="M5"/>
  <c r="O5" s="1"/>
  <c r="H19"/>
  <c r="M8"/>
  <c r="O8" s="1"/>
  <c r="H20"/>
  <c r="M20" s="1"/>
  <c r="O13" i="594"/>
  <c r="M14"/>
  <c r="O14" s="1"/>
  <c r="L20" i="595"/>
  <c r="N7"/>
  <c r="O6"/>
  <c r="N6"/>
  <c r="O9" l="1"/>
  <c r="P13" i="594"/>
  <c r="Q13" s="1"/>
  <c r="N5" i="595"/>
  <c r="P14" i="594"/>
  <c r="Q14" s="1"/>
  <c r="I23" i="595"/>
  <c r="I19"/>
  <c r="N8"/>
  <c r="L24" i="592"/>
  <c r="Q11" s="1"/>
  <c r="I24"/>
  <c r="J24"/>
  <c r="K24"/>
  <c r="H24"/>
  <c r="L23"/>
  <c r="I23"/>
  <c r="J23"/>
  <c r="K23"/>
  <c r="H23"/>
  <c r="G23"/>
  <c r="L22"/>
  <c r="I22"/>
  <c r="J22"/>
  <c r="K22"/>
  <c r="H22"/>
  <c r="G22"/>
  <c r="L21"/>
  <c r="I21"/>
  <c r="J21"/>
  <c r="K21"/>
  <c r="H21"/>
  <c r="G21"/>
  <c r="I20"/>
  <c r="J20"/>
  <c r="K20"/>
  <c r="H20"/>
  <c r="L17"/>
  <c r="I17"/>
  <c r="J17"/>
  <c r="K17"/>
  <c r="H17"/>
  <c r="L16"/>
  <c r="I16"/>
  <c r="J16"/>
  <c r="K16"/>
  <c r="H16"/>
  <c r="G16"/>
  <c r="L15"/>
  <c r="I15"/>
  <c r="J15"/>
  <c r="K15"/>
  <c r="H15"/>
  <c r="G15"/>
  <c r="L14"/>
  <c r="I14"/>
  <c r="J14"/>
  <c r="K14"/>
  <c r="H14"/>
  <c r="G14"/>
  <c r="I13"/>
  <c r="J13"/>
  <c r="K13"/>
  <c r="H13"/>
  <c r="L10"/>
  <c r="P11" s="1"/>
  <c r="P21" s="1"/>
  <c r="I10"/>
  <c r="J10"/>
  <c r="K10"/>
  <c r="H10"/>
  <c r="L9"/>
  <c r="I9"/>
  <c r="J9"/>
  <c r="K9"/>
  <c r="H9"/>
  <c r="G9"/>
  <c r="L8"/>
  <c r="I8"/>
  <c r="J8"/>
  <c r="K8"/>
  <c r="H8"/>
  <c r="G8"/>
  <c r="L7"/>
  <c r="I7"/>
  <c r="J7"/>
  <c r="K7"/>
  <c r="H7"/>
  <c r="G7"/>
  <c r="I6"/>
  <c r="J6"/>
  <c r="K6"/>
  <c r="H6"/>
  <c r="AE10"/>
  <c r="AF10"/>
  <c r="AG10"/>
  <c r="K19" i="595" l="1"/>
  <c r="L19" s="1"/>
  <c r="J19"/>
  <c r="M19" s="1"/>
  <c r="L23"/>
  <c r="K23"/>
  <c r="H5" i="592"/>
  <c r="O8"/>
  <c r="O18" s="1"/>
  <c r="O10"/>
  <c r="O20" s="1"/>
  <c r="O7"/>
  <c r="O17" s="1"/>
  <c r="P7"/>
  <c r="P17" s="1"/>
  <c r="P8"/>
  <c r="P18" s="1"/>
  <c r="O11"/>
  <c r="O21" s="1"/>
  <c r="Q21" s="1"/>
  <c r="Q18" l="1"/>
  <c r="Q17"/>
  <c r="Q8"/>
  <c r="P9"/>
  <c r="P19" s="1"/>
  <c r="Q7"/>
  <c r="O9"/>
  <c r="O19" s="1"/>
  <c r="Q19" l="1"/>
  <c r="R17" s="1"/>
  <c r="P10"/>
  <c r="Q9"/>
  <c r="R18" l="1"/>
  <c r="Q10"/>
  <c r="R7" s="1"/>
  <c r="S7" s="1"/>
  <c r="T7" s="1"/>
  <c r="P20"/>
  <c r="Q20" s="1"/>
  <c r="R19" s="1"/>
  <c r="S19" s="1"/>
  <c r="T19" s="1"/>
  <c r="S18" l="1"/>
  <c r="T18" s="1"/>
  <c r="R9"/>
  <c r="S9" s="1"/>
  <c r="T9" s="1"/>
  <c r="R8"/>
  <c r="S8" s="1"/>
  <c r="T8" s="1"/>
  <c r="S17"/>
  <c r="T17" s="1"/>
  <c r="AD10"/>
  <c r="AC10"/>
  <c r="AB10"/>
  <c r="AA10"/>
  <c r="Z10"/>
  <c r="Y10"/>
  <c r="X10"/>
  <c r="W10"/>
  <c r="V10"/>
  <c r="O9" i="591"/>
  <c r="O8"/>
  <c r="O7"/>
  <c r="C15"/>
  <c r="I15"/>
  <c r="D15"/>
  <c r="H15"/>
  <c r="G15"/>
  <c r="B15"/>
  <c r="E15"/>
  <c r="F15"/>
  <c r="A15"/>
  <c r="N24" i="590"/>
  <c r="S14" s="1"/>
  <c r="J24"/>
  <c r="K24"/>
  <c r="L24"/>
  <c r="M24"/>
  <c r="I24"/>
  <c r="N23"/>
  <c r="J23"/>
  <c r="K23"/>
  <c r="L23"/>
  <c r="M23"/>
  <c r="I23"/>
  <c r="H23"/>
  <c r="N22"/>
  <c r="J22"/>
  <c r="K22"/>
  <c r="L22"/>
  <c r="M22"/>
  <c r="I22"/>
  <c r="H22"/>
  <c r="N21"/>
  <c r="J21"/>
  <c r="K21"/>
  <c r="L21"/>
  <c r="M21"/>
  <c r="I21"/>
  <c r="H21"/>
  <c r="J20"/>
  <c r="K20"/>
  <c r="L20"/>
  <c r="M20"/>
  <c r="I20"/>
  <c r="N17"/>
  <c r="J17"/>
  <c r="K17"/>
  <c r="L17"/>
  <c r="M17"/>
  <c r="I17"/>
  <c r="N16"/>
  <c r="J16"/>
  <c r="K16"/>
  <c r="L16"/>
  <c r="M16"/>
  <c r="I16"/>
  <c r="H16"/>
  <c r="N15"/>
  <c r="J15"/>
  <c r="K15"/>
  <c r="L15"/>
  <c r="M15"/>
  <c r="I15"/>
  <c r="H15"/>
  <c r="N14"/>
  <c r="J14"/>
  <c r="K14"/>
  <c r="L14"/>
  <c r="M14"/>
  <c r="I14"/>
  <c r="H14"/>
  <c r="J13"/>
  <c r="K13"/>
  <c r="L13"/>
  <c r="M13"/>
  <c r="I13"/>
  <c r="N10"/>
  <c r="R14" s="1"/>
  <c r="J10"/>
  <c r="K10"/>
  <c r="L10"/>
  <c r="M10"/>
  <c r="I10"/>
  <c r="R7" s="1"/>
  <c r="N9"/>
  <c r="J9"/>
  <c r="K9"/>
  <c r="L9"/>
  <c r="M9"/>
  <c r="I9"/>
  <c r="H9"/>
  <c r="N8"/>
  <c r="J8"/>
  <c r="K8"/>
  <c r="L8"/>
  <c r="M8"/>
  <c r="I8"/>
  <c r="H8"/>
  <c r="N7"/>
  <c r="J7"/>
  <c r="K7"/>
  <c r="L7"/>
  <c r="M7"/>
  <c r="I7"/>
  <c r="H7"/>
  <c r="J6"/>
  <c r="K6"/>
  <c r="L6"/>
  <c r="M6"/>
  <c r="I6"/>
  <c r="G6" i="589"/>
  <c r="H6"/>
  <c r="I6"/>
  <c r="J6"/>
  <c r="K6"/>
  <c r="H7"/>
  <c r="I7"/>
  <c r="J7"/>
  <c r="K7"/>
  <c r="H8"/>
  <c r="I8"/>
  <c r="J8"/>
  <c r="K8"/>
  <c r="H9"/>
  <c r="I9"/>
  <c r="J9"/>
  <c r="K9"/>
  <c r="H10"/>
  <c r="I10"/>
  <c r="J10"/>
  <c r="K10"/>
  <c r="H11"/>
  <c r="I11"/>
  <c r="J11"/>
  <c r="K11"/>
  <c r="H12"/>
  <c r="I12"/>
  <c r="J12"/>
  <c r="K12"/>
  <c r="H13"/>
  <c r="I13"/>
  <c r="J13"/>
  <c r="K13"/>
  <c r="H14"/>
  <c r="I14"/>
  <c r="J14"/>
  <c r="K14"/>
  <c r="H15"/>
  <c r="I15"/>
  <c r="J15"/>
  <c r="K15"/>
  <c r="H16"/>
  <c r="I16"/>
  <c r="J16"/>
  <c r="K16"/>
  <c r="H17"/>
  <c r="I17"/>
  <c r="J17"/>
  <c r="K17"/>
  <c r="H18"/>
  <c r="I18"/>
  <c r="J18"/>
  <c r="K18"/>
  <c r="H19"/>
  <c r="I19"/>
  <c r="J19"/>
  <c r="K19"/>
  <c r="H20"/>
  <c r="I20"/>
  <c r="J20"/>
  <c r="K20"/>
  <c r="H5"/>
  <c r="I5"/>
  <c r="J5"/>
  <c r="K5"/>
  <c r="G5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G20" s="1"/>
  <c r="Q8" i="590" l="1"/>
  <c r="K22" i="589"/>
  <c r="L20"/>
  <c r="L19"/>
  <c r="G13"/>
  <c r="L10"/>
  <c r="L18"/>
  <c r="L13"/>
  <c r="L12"/>
  <c r="L11"/>
  <c r="I22"/>
  <c r="L14"/>
  <c r="L9"/>
  <c r="G9"/>
  <c r="L8"/>
  <c r="L7"/>
  <c r="P5"/>
  <c r="R8" i="590"/>
  <c r="R9" s="1"/>
  <c r="R11"/>
  <c r="L17" i="589"/>
  <c r="G17"/>
  <c r="L16"/>
  <c r="L15"/>
  <c r="J21"/>
  <c r="R10" i="590"/>
  <c r="Q14"/>
  <c r="G18" i="589"/>
  <c r="G14"/>
  <c r="G10"/>
  <c r="H21"/>
  <c r="I21"/>
  <c r="J22"/>
  <c r="Q13" i="591"/>
  <c r="L6" i="589"/>
  <c r="H22"/>
  <c r="G16"/>
  <c r="G12"/>
  <c r="G8"/>
  <c r="K21"/>
  <c r="P6"/>
  <c r="O8"/>
  <c r="I5" i="590"/>
  <c r="Q11"/>
  <c r="G19" i="589"/>
  <c r="G15"/>
  <c r="G11"/>
  <c r="G7"/>
  <c r="S8" i="590" l="1"/>
  <c r="V8" s="1"/>
  <c r="R12"/>
  <c r="R26" s="1"/>
  <c r="P8" i="589"/>
  <c r="P7" s="1"/>
  <c r="T5" s="1"/>
  <c r="O6"/>
  <c r="Q6" s="1"/>
  <c r="R25" i="590"/>
  <c r="R19"/>
  <c r="Q9"/>
  <c r="Q10"/>
  <c r="P17" i="589"/>
  <c r="O5"/>
  <c r="Q5" s="1"/>
  <c r="P12"/>
  <c r="Q25" i="590"/>
  <c r="Q19"/>
  <c r="S11"/>
  <c r="L22" i="589"/>
  <c r="L21"/>
  <c r="P15" i="591"/>
  <c r="R7"/>
  <c r="T7"/>
  <c r="Q7"/>
  <c r="P7"/>
  <c r="Q15"/>
  <c r="Q14" s="1"/>
  <c r="U13" s="1"/>
  <c r="S7"/>
  <c r="R9"/>
  <c r="Q9"/>
  <c r="T9"/>
  <c r="P9"/>
  <c r="S9"/>
  <c r="T8"/>
  <c r="P8"/>
  <c r="S8"/>
  <c r="R8"/>
  <c r="Q8"/>
  <c r="P18" i="589" l="1"/>
  <c r="T17" s="1"/>
  <c r="R13" i="590"/>
  <c r="V12" s="1"/>
  <c r="P13" i="589"/>
  <c r="T12" s="1"/>
  <c r="T6"/>
  <c r="R20" i="590"/>
  <c r="O12" i="589"/>
  <c r="Q12" s="1"/>
  <c r="O17"/>
  <c r="Q17" s="1"/>
  <c r="P14" i="591"/>
  <c r="R14" s="1"/>
  <c r="V13" s="1"/>
  <c r="S19" i="590"/>
  <c r="O7" i="589"/>
  <c r="S25" i="590"/>
  <c r="V11"/>
  <c r="S9"/>
  <c r="T8" s="1"/>
  <c r="U8" s="1"/>
  <c r="Q13"/>
  <c r="Q12" s="1"/>
  <c r="R15" i="591"/>
  <c r="R21" i="590" l="1"/>
  <c r="V20" s="1"/>
  <c r="R27"/>
  <c r="V26" s="1"/>
  <c r="P13" i="591"/>
  <c r="R13" s="1"/>
  <c r="S13" s="1"/>
  <c r="T13" s="1"/>
  <c r="U7"/>
  <c r="W7" s="1"/>
  <c r="W13"/>
  <c r="U9"/>
  <c r="V9" s="1"/>
  <c r="U8"/>
  <c r="V8" s="1"/>
  <c r="S12" i="590"/>
  <c r="Q26"/>
  <c r="S26" s="1"/>
  <c r="Q20"/>
  <c r="S20" s="1"/>
  <c r="Q27"/>
  <c r="Q21"/>
  <c r="S13"/>
  <c r="T11" s="1"/>
  <c r="U11" s="1"/>
  <c r="Q7" i="589"/>
  <c r="O18"/>
  <c r="Q18" s="1"/>
  <c r="R17" s="1"/>
  <c r="S17" s="1"/>
  <c r="O13"/>
  <c r="Q13" s="1"/>
  <c r="R12" s="1"/>
  <c r="S12" s="1"/>
  <c r="S21" i="590" l="1"/>
  <c r="T20" s="1"/>
  <c r="U20" s="1"/>
  <c r="V19"/>
  <c r="S27"/>
  <c r="T25" s="1"/>
  <c r="U25" s="1"/>
  <c r="V25"/>
  <c r="V7" i="591"/>
  <c r="W8"/>
  <c r="W9"/>
  <c r="R6" i="589"/>
  <c r="S6" s="1"/>
  <c r="R5"/>
  <c r="S5" s="1"/>
  <c r="T12" i="590"/>
  <c r="U12" s="1"/>
  <c r="T19" l="1"/>
  <c r="U19" s="1"/>
  <c r="T26"/>
  <c r="U26" s="1"/>
  <c r="C14" i="587"/>
  <c r="D14" s="1"/>
  <c r="A7"/>
  <c r="A8" s="1"/>
  <c r="A9" s="1"/>
  <c r="C5"/>
  <c r="D5" s="1"/>
  <c r="E5" s="1"/>
  <c r="F5" s="1"/>
  <c r="G5" s="1"/>
  <c r="H5" s="1"/>
  <c r="I5" s="1"/>
  <c r="J5" s="1"/>
  <c r="K5" s="1"/>
  <c r="L5" s="1"/>
  <c r="M5" s="1"/>
  <c r="N5" s="1"/>
  <c r="O5" s="1"/>
  <c r="P5" s="1"/>
  <c r="Q5" s="1"/>
  <c r="R5" s="1"/>
  <c r="S5" s="1"/>
  <c r="T5" s="1"/>
  <c r="U5" s="1"/>
  <c r="V5" s="1"/>
  <c r="W5" s="1"/>
  <c r="X5" s="1"/>
  <c r="Y5" s="1"/>
  <c r="Z5" s="1"/>
  <c r="AA5" s="1"/>
  <c r="AB5" s="1"/>
  <c r="AC5" s="1"/>
  <c r="AD5" s="1"/>
  <c r="AE5" s="1"/>
  <c r="AF5" s="1"/>
  <c r="AG5" s="1"/>
  <c r="AH5" s="1"/>
  <c r="AI5" s="1"/>
  <c r="AJ5" s="1"/>
  <c r="AK5" s="1"/>
  <c r="AL5" s="1"/>
  <c r="AM5" s="1"/>
  <c r="AN5" s="1"/>
  <c r="AO5" s="1"/>
  <c r="AP5" s="1"/>
  <c r="AQ5" s="1"/>
  <c r="AR5" s="1"/>
  <c r="AS5" s="1"/>
  <c r="AT5" s="1"/>
  <c r="AU5" s="1"/>
  <c r="AV5" s="1"/>
  <c r="AW5" s="1"/>
  <c r="AX5" s="1"/>
  <c r="AY5" s="1"/>
  <c r="AZ5" s="1"/>
  <c r="BA5" s="1"/>
  <c r="BB5" s="1"/>
  <c r="BC5" s="1"/>
  <c r="BD5" s="1"/>
  <c r="BE5" s="1"/>
  <c r="BF5" s="1"/>
  <c r="BG5" s="1"/>
  <c r="BH5" s="1"/>
  <c r="BI5" s="1"/>
  <c r="BJ5" s="1"/>
  <c r="BK5" s="1"/>
  <c r="BL5" s="1"/>
  <c r="BM5" s="1"/>
  <c r="E14" l="1"/>
  <c r="A10"/>
  <c r="A11" l="1"/>
  <c r="C12" s="1"/>
  <c r="F14"/>
  <c r="BG12" l="1"/>
  <c r="AD12"/>
  <c r="E12"/>
  <c r="BH12"/>
  <c r="AK12"/>
  <c r="AR12"/>
  <c r="AJ12"/>
  <c r="AB12"/>
  <c r="BB12"/>
  <c r="AN12"/>
  <c r="D12"/>
  <c r="X12"/>
  <c r="BJ12"/>
  <c r="AS12"/>
  <c r="AY12"/>
  <c r="BA12"/>
  <c r="AU12"/>
  <c r="AT12"/>
  <c r="S12"/>
  <c r="K12"/>
  <c r="O12"/>
  <c r="F12"/>
  <c r="AQ12"/>
  <c r="AC12"/>
  <c r="AM12"/>
  <c r="G12"/>
  <c r="BC12"/>
  <c r="BD12"/>
  <c r="U12"/>
  <c r="V12"/>
  <c r="W12"/>
  <c r="H12"/>
  <c r="BI12"/>
  <c r="BL12"/>
  <c r="AI12"/>
  <c r="G14"/>
  <c r="AL12"/>
  <c r="L12"/>
  <c r="M12"/>
  <c r="N12"/>
  <c r="B12"/>
  <c r="AF12"/>
  <c r="AA12"/>
  <c r="AZ12"/>
  <c r="T12"/>
  <c r="AV12"/>
  <c r="P12"/>
  <c r="AE12"/>
  <c r="I12"/>
  <c r="Y12"/>
  <c r="AO12"/>
  <c r="J12"/>
  <c r="AP12"/>
  <c r="BK12"/>
  <c r="Q12"/>
  <c r="AG12"/>
  <c r="AW12"/>
  <c r="BM12"/>
  <c r="R12"/>
  <c r="AH12"/>
  <c r="AX12"/>
  <c r="BE12"/>
  <c r="Z12"/>
  <c r="BF12"/>
  <c r="F15" l="1"/>
  <c r="C15"/>
  <c r="B15"/>
  <c r="D15"/>
  <c r="E15"/>
  <c r="G15"/>
  <c r="H14"/>
  <c r="I14" l="1"/>
  <c r="H15"/>
  <c r="I15" l="1"/>
  <c r="J14"/>
  <c r="J15" s="1"/>
  <c r="K14" l="1"/>
  <c r="K15" l="1"/>
  <c r="L14"/>
  <c r="M14" l="1"/>
  <c r="L15"/>
  <c r="M15" l="1"/>
  <c r="N14"/>
  <c r="O14" l="1"/>
  <c r="N15"/>
  <c r="O15" l="1"/>
  <c r="P14"/>
  <c r="Q14" l="1"/>
  <c r="P15"/>
  <c r="Q15" l="1"/>
  <c r="R14"/>
  <c r="S14" l="1"/>
  <c r="R15"/>
  <c r="S15" l="1"/>
  <c r="T14"/>
  <c r="U14" l="1"/>
  <c r="T15"/>
  <c r="U15" l="1"/>
  <c r="V14"/>
  <c r="W14" l="1"/>
  <c r="W15" s="1"/>
  <c r="V15"/>
  <c r="X15" l="1"/>
  <c r="W16" s="1"/>
  <c r="V16" l="1"/>
  <c r="F16"/>
  <c r="D16"/>
  <c r="G16"/>
  <c r="C16"/>
  <c r="B16"/>
  <c r="B17" s="1"/>
  <c r="C17" s="1"/>
  <c r="E16"/>
  <c r="H16"/>
  <c r="I16"/>
  <c r="J16"/>
  <c r="K16"/>
  <c r="L16"/>
  <c r="M16"/>
  <c r="N16"/>
  <c r="O16"/>
  <c r="P16"/>
  <c r="Q16"/>
  <c r="R16"/>
  <c r="S16"/>
  <c r="T16"/>
  <c r="U16"/>
  <c r="D17" l="1"/>
  <c r="E17" s="1"/>
  <c r="F17" s="1"/>
  <c r="G17" s="1"/>
  <c r="H17" s="1"/>
  <c r="I17" s="1"/>
  <c r="J17" s="1"/>
  <c r="K17" s="1"/>
  <c r="L17" s="1"/>
  <c r="M17" s="1"/>
  <c r="N17" s="1"/>
  <c r="O17" s="1"/>
  <c r="P17" s="1"/>
  <c r="Q17" s="1"/>
  <c r="R17" s="1"/>
  <c r="S17" s="1"/>
  <c r="T17" s="1"/>
  <c r="U17" s="1"/>
  <c r="V17" s="1"/>
  <c r="W17" s="1"/>
  <c r="AB8" i="356" l="1"/>
  <c r="AB15" s="1"/>
  <c r="AB7"/>
  <c r="AB5"/>
  <c r="U10" i="353"/>
  <c r="U17" s="1"/>
  <c r="U9"/>
  <c r="V7"/>
  <c r="U7"/>
  <c r="V6"/>
  <c r="U6"/>
  <c r="V7" i="350"/>
  <c r="U7"/>
  <c r="V6"/>
  <c r="U6"/>
  <c r="V5"/>
  <c r="U5"/>
  <c r="I21" i="583"/>
  <c r="H8"/>
  <c r="H9" s="1"/>
  <c r="U14" i="350" l="1"/>
  <c r="U9"/>
  <c r="V9"/>
  <c r="AB24" i="356"/>
  <c r="AB17"/>
  <c r="AC24"/>
  <c r="AC19"/>
  <c r="AB19"/>
  <c r="V26" i="353"/>
  <c r="U26"/>
  <c r="U19"/>
  <c r="V21"/>
  <c r="U21"/>
  <c r="I8" i="583"/>
  <c r="I9"/>
  <c r="H10"/>
  <c r="U12" i="211"/>
  <c r="X11" i="584"/>
  <c r="O19"/>
  <c r="N19"/>
  <c r="R13"/>
  <c r="Q13"/>
  <c r="P13"/>
  <c r="O13"/>
  <c r="N13"/>
  <c r="M13"/>
  <c r="R12"/>
  <c r="Q12"/>
  <c r="P12"/>
  <c r="O12"/>
  <c r="N12"/>
  <c r="M12"/>
  <c r="R11"/>
  <c r="Q11"/>
  <c r="P11"/>
  <c r="O11"/>
  <c r="N11"/>
  <c r="M11"/>
  <c r="V18" i="350" l="1"/>
  <c r="U18"/>
  <c r="I10" i="583"/>
  <c r="O17" i="584"/>
  <c r="O18" s="1"/>
  <c r="S17" s="1"/>
  <c r="U13" i="350"/>
  <c r="U16" s="1"/>
  <c r="AB20" i="356"/>
  <c r="AB9"/>
  <c r="AB10" s="1"/>
  <c r="AB18"/>
  <c r="U20" i="353"/>
  <c r="U22"/>
  <c r="U11"/>
  <c r="U12" s="1"/>
  <c r="H11" i="583"/>
  <c r="I13" i="586"/>
  <c r="N18" i="584"/>
  <c r="N17" s="1"/>
  <c r="P19"/>
  <c r="P17" l="1"/>
  <c r="I11" i="583"/>
  <c r="U17" i="350"/>
  <c r="U19"/>
  <c r="AC20" i="356"/>
  <c r="AC21" s="1"/>
  <c r="AB21"/>
  <c r="V22" i="353"/>
  <c r="V23" s="1"/>
  <c r="U23"/>
  <c r="H12" i="583"/>
  <c r="P18" i="584"/>
  <c r="U17" s="1"/>
  <c r="I12" i="583" l="1"/>
  <c r="U20" i="350"/>
  <c r="V19"/>
  <c r="V20" s="1"/>
  <c r="H13" i="583"/>
  <c r="S12" i="584"/>
  <c r="T12" s="1"/>
  <c r="T17"/>
  <c r="S13"/>
  <c r="U13" s="1"/>
  <c r="S11"/>
  <c r="U11" s="1"/>
  <c r="Q17"/>
  <c r="R17" s="1"/>
  <c r="I13" i="583" l="1"/>
  <c r="H14"/>
  <c r="T13" i="584"/>
  <c r="U12"/>
  <c r="T11"/>
  <c r="G33"/>
  <c r="F33"/>
  <c r="E33"/>
  <c r="G32"/>
  <c r="F32"/>
  <c r="E32"/>
  <c r="G31"/>
  <c r="F31"/>
  <c r="E31"/>
  <c r="E39"/>
  <c r="E41" s="1"/>
  <c r="J20" i="585"/>
  <c r="J22" s="1"/>
  <c r="F30"/>
  <c r="G30"/>
  <c r="F31"/>
  <c r="G31"/>
  <c r="F32"/>
  <c r="G32"/>
  <c r="E32"/>
  <c r="E31"/>
  <c r="E30"/>
  <c r="G15"/>
  <c r="F15"/>
  <c r="J9"/>
  <c r="I9"/>
  <c r="H9"/>
  <c r="G9"/>
  <c r="F9"/>
  <c r="E9"/>
  <c r="J8"/>
  <c r="I8"/>
  <c r="H8"/>
  <c r="G8"/>
  <c r="F8"/>
  <c r="E8"/>
  <c r="J7"/>
  <c r="I7"/>
  <c r="H7"/>
  <c r="G7"/>
  <c r="F7"/>
  <c r="E7"/>
  <c r="D15" i="584"/>
  <c r="C15"/>
  <c r="B15"/>
  <c r="D14"/>
  <c r="C14"/>
  <c r="B14"/>
  <c r="I14" i="583" l="1"/>
  <c r="G33" i="585"/>
  <c r="G13"/>
  <c r="G14" s="1"/>
  <c r="E33"/>
  <c r="F33"/>
  <c r="F34" s="1"/>
  <c r="G34"/>
  <c r="F14"/>
  <c r="F13" s="1"/>
  <c r="H13" s="1"/>
  <c r="H15"/>
  <c r="H15" i="583"/>
  <c r="F34" i="584"/>
  <c r="F35" s="1"/>
  <c r="G34"/>
  <c r="G35" s="1"/>
  <c r="E34"/>
  <c r="B23" i="583"/>
  <c r="A8"/>
  <c r="A9" s="1"/>
  <c r="B9" s="1"/>
  <c r="B7"/>
  <c r="H33" i="585" l="1"/>
  <c r="E36" s="1"/>
  <c r="E34"/>
  <c r="I15" i="583"/>
  <c r="H16"/>
  <c r="H34" i="584"/>
  <c r="F37" s="1"/>
  <c r="E35"/>
  <c r="H14" i="585"/>
  <c r="K13"/>
  <c r="A10" i="583"/>
  <c r="B10" s="1"/>
  <c r="B8"/>
  <c r="H34" i="585" l="1"/>
  <c r="E35" s="1"/>
  <c r="F36"/>
  <c r="G36"/>
  <c r="I16" i="583"/>
  <c r="H35" i="584"/>
  <c r="F36" s="1"/>
  <c r="H17" i="583"/>
  <c r="G37" i="584"/>
  <c r="E37"/>
  <c r="K7" i="585"/>
  <c r="K8"/>
  <c r="L13"/>
  <c r="K9"/>
  <c r="I13"/>
  <c r="J13" s="1"/>
  <c r="M13"/>
  <c r="A11" i="583"/>
  <c r="B11" s="1"/>
  <c r="G5" i="356"/>
  <c r="K8" i="353"/>
  <c r="K8" i="352"/>
  <c r="N8" i="406"/>
  <c r="T5" i="42"/>
  <c r="T6" s="1"/>
  <c r="T7" s="1"/>
  <c r="T8" s="1"/>
  <c r="T9" s="1"/>
  <c r="T10" s="1"/>
  <c r="T11" s="1"/>
  <c r="T12" s="1"/>
  <c r="T13" s="1"/>
  <c r="T14" s="1"/>
  <c r="T15" s="1"/>
  <c r="T16" s="1"/>
  <c r="L5"/>
  <c r="L6" s="1"/>
  <c r="L7" s="1"/>
  <c r="L8" s="1"/>
  <c r="L9" s="1"/>
  <c r="L10" s="1"/>
  <c r="L11" s="1"/>
  <c r="L12" s="1"/>
  <c r="L13" s="1"/>
  <c r="L14" s="1"/>
  <c r="L15" s="1"/>
  <c r="L16" s="1"/>
  <c r="L17" s="1"/>
  <c r="S5" i="43"/>
  <c r="S6" s="1"/>
  <c r="S7" s="1"/>
  <c r="S8" s="1"/>
  <c r="S9" s="1"/>
  <c r="S10" s="1"/>
  <c r="S11" s="1"/>
  <c r="S12" s="1"/>
  <c r="S13" s="1"/>
  <c r="S14" s="1"/>
  <c r="S15" s="1"/>
  <c r="S16" s="1"/>
  <c r="K5"/>
  <c r="K6" s="1"/>
  <c r="K7" s="1"/>
  <c r="K8" s="1"/>
  <c r="K9" s="1"/>
  <c r="K10" s="1"/>
  <c r="K11" s="1"/>
  <c r="K12" s="1"/>
  <c r="K13" s="1"/>
  <c r="K14" s="1"/>
  <c r="K15" s="1"/>
  <c r="K16" s="1"/>
  <c r="K17" s="1"/>
  <c r="G35" i="585" l="1"/>
  <c r="F35"/>
  <c r="H35" s="1"/>
  <c r="H36"/>
  <c r="J23" s="1"/>
  <c r="G36" i="584"/>
  <c r="I17" i="583"/>
  <c r="E36" i="584"/>
  <c r="H36" s="1"/>
  <c r="H18" i="583"/>
  <c r="H37" i="584"/>
  <c r="E42" s="1"/>
  <c r="L9" i="585"/>
  <c r="M9"/>
  <c r="M8"/>
  <c r="L8"/>
  <c r="M7"/>
  <c r="L7"/>
  <c r="A12" i="583"/>
  <c r="B12" s="1"/>
  <c r="J21" i="585" l="1"/>
  <c r="J24" s="1"/>
  <c r="I18" i="583"/>
  <c r="H19"/>
  <c r="E40" i="584"/>
  <c r="E43" s="1"/>
  <c r="A13" i="583"/>
  <c r="B13" s="1"/>
  <c r="G6" i="582"/>
  <c r="G7" s="1"/>
  <c r="G11" s="1"/>
  <c r="I19" i="583" l="1"/>
  <c r="H20"/>
  <c r="A14"/>
  <c r="B14" s="1"/>
  <c r="G4" i="582"/>
  <c r="G8" s="1"/>
  <c r="G9" s="1"/>
  <c r="G12" s="1"/>
  <c r="I20" i="583" l="1"/>
  <c r="A15"/>
  <c r="B15" s="1"/>
  <c r="G13" i="582"/>
  <c r="A16" i="583" l="1"/>
  <c r="B16" s="1"/>
  <c r="A17" l="1"/>
  <c r="B17" s="1"/>
  <c r="R5" i="71"/>
  <c r="N5"/>
  <c r="E29" i="440"/>
  <c r="F29"/>
  <c r="G29"/>
  <c r="D29"/>
  <c r="A18" i="583" l="1"/>
  <c r="B18" s="1"/>
  <c r="A19" l="1"/>
  <c r="B19" s="1"/>
  <c r="N30" i="496"/>
  <c r="AC29" i="447"/>
  <c r="AC28"/>
  <c r="Z29"/>
  <c r="AA29"/>
  <c r="AB29"/>
  <c r="Y29"/>
  <c r="Z28"/>
  <c r="AA28"/>
  <c r="AB28"/>
  <c r="Y28"/>
  <c r="AH7"/>
  <c r="AI7"/>
  <c r="AJ7"/>
  <c r="AK7"/>
  <c r="AG7"/>
  <c r="AD22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4"/>
  <c r="X5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T25"/>
  <c r="S5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L23" i="578"/>
  <c r="A20" i="583" l="1"/>
  <c r="B20" s="1"/>
  <c r="N31" i="496"/>
  <c r="N27"/>
  <c r="N28" s="1"/>
  <c r="Y30" i="447"/>
  <c r="AI10"/>
  <c r="AB30"/>
  <c r="AA30"/>
  <c r="AC30"/>
  <c r="AK10"/>
  <c r="AD28"/>
  <c r="Z30"/>
  <c r="AJ10"/>
  <c r="AG10"/>
  <c r="AH10"/>
  <c r="Z26"/>
  <c r="AC26"/>
  <c r="AB26"/>
  <c r="AA26"/>
  <c r="Y26"/>
  <c r="L13" i="494" l="1"/>
  <c r="M13" i="62"/>
  <c r="B21" i="583" l="1"/>
  <c r="I13" i="489"/>
  <c r="C7" i="583" l="1"/>
  <c r="D7" s="1"/>
  <c r="C8"/>
  <c r="C9"/>
  <c r="C10"/>
  <c r="C11"/>
  <c r="C12"/>
  <c r="C13"/>
  <c r="C14"/>
  <c r="C15"/>
  <c r="C16"/>
  <c r="C17"/>
  <c r="C18"/>
  <c r="C19"/>
  <c r="C20"/>
  <c r="W4" i="489"/>
  <c r="T4"/>
  <c r="K5" i="580"/>
  <c r="K14" s="1"/>
  <c r="E5"/>
  <c r="H15" s="1"/>
  <c r="E14" l="1"/>
  <c r="N15"/>
  <c r="D8" i="583"/>
  <c r="D9" s="1"/>
  <c r="D10" s="1"/>
  <c r="D11" s="1"/>
  <c r="D12" s="1"/>
  <c r="D13" s="1"/>
  <c r="D14" s="1"/>
  <c r="D15" s="1"/>
  <c r="D16" s="1"/>
  <c r="D17" s="1"/>
  <c r="D18" s="1"/>
  <c r="D19" s="1"/>
  <c r="D20" s="1"/>
  <c r="F18" i="581"/>
  <c r="F17"/>
  <c r="K15" i="580"/>
  <c r="E15"/>
  <c r="F9" i="581" l="1"/>
  <c r="F10"/>
  <c r="I6"/>
  <c r="F4"/>
  <c r="F12"/>
  <c r="F5"/>
  <c r="F13"/>
  <c r="F6"/>
  <c r="F14"/>
  <c r="F11"/>
  <c r="F7"/>
  <c r="F15"/>
  <c r="F8"/>
  <c r="F16"/>
  <c r="M37" i="578"/>
  <c r="L37"/>
  <c r="C37"/>
  <c r="B37"/>
  <c r="M36"/>
  <c r="L36"/>
  <c r="C36"/>
  <c r="B36"/>
  <c r="M35"/>
  <c r="L35"/>
  <c r="C35"/>
  <c r="B35"/>
  <c r="M34"/>
  <c r="L34"/>
  <c r="C34"/>
  <c r="B34"/>
  <c r="M33"/>
  <c r="L33"/>
  <c r="C33"/>
  <c r="B33"/>
  <c r="M32"/>
  <c r="L32"/>
  <c r="C32"/>
  <c r="B32"/>
  <c r="M31"/>
  <c r="L31"/>
  <c r="C31"/>
  <c r="B31"/>
  <c r="M30"/>
  <c r="L30"/>
  <c r="C30"/>
  <c r="B30"/>
  <c r="M29"/>
  <c r="L29"/>
  <c r="C29"/>
  <c r="B29"/>
  <c r="M28"/>
  <c r="L28"/>
  <c r="C28"/>
  <c r="B28"/>
  <c r="M27"/>
  <c r="L27"/>
  <c r="C27"/>
  <c r="B27"/>
  <c r="M26"/>
  <c r="L26"/>
  <c r="C26"/>
  <c r="B26"/>
  <c r="M25"/>
  <c r="L25"/>
  <c r="C25"/>
  <c r="B25"/>
  <c r="M24"/>
  <c r="L24"/>
  <c r="K24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C24"/>
  <c r="B24"/>
  <c r="A24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M23"/>
  <c r="C23"/>
  <c r="B23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N7" i="577"/>
  <c r="O7"/>
  <c r="P7"/>
  <c r="Q7"/>
  <c r="R7"/>
  <c r="S7"/>
  <c r="T7"/>
  <c r="U7"/>
  <c r="V7"/>
  <c r="M7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F19" i="581" l="1"/>
  <c r="I8" s="1"/>
  <c r="I7"/>
  <c r="R23" i="578"/>
  <c r="R24" s="1"/>
  <c r="H23"/>
  <c r="H24" s="1"/>
  <c r="F3" i="576"/>
  <c r="G6" s="1"/>
  <c r="G7" s="1"/>
  <c r="G5" i="575"/>
  <c r="F5"/>
  <c r="F3"/>
  <c r="F6" s="1"/>
  <c r="F7" s="1"/>
  <c r="C17"/>
  <c r="B17"/>
  <c r="C16"/>
  <c r="B16"/>
  <c r="I9" i="581" l="1"/>
  <c r="I10" s="1"/>
  <c r="G6" i="575"/>
  <c r="G7" s="1"/>
  <c r="F6" i="576"/>
  <c r="F7" s="1"/>
  <c r="H6"/>
  <c r="H7" s="1"/>
  <c r="C26" i="553" l="1"/>
  <c r="C38" i="573" l="1"/>
  <c r="B38"/>
  <c r="A38"/>
  <c r="A37"/>
  <c r="C27"/>
  <c r="C28" s="1"/>
  <c r="C29" s="1"/>
  <c r="C30" s="1"/>
  <c r="C31" s="1"/>
  <c r="C32" s="1"/>
  <c r="C33" s="1"/>
  <c r="V17"/>
  <c r="V18" s="1" a="1"/>
  <c r="V18" s="1"/>
  <c r="N17"/>
  <c r="V16"/>
  <c r="N16"/>
  <c r="V15"/>
  <c r="N15"/>
  <c r="V14"/>
  <c r="N14"/>
  <c r="V8"/>
  <c r="N8"/>
  <c r="G6"/>
  <c r="E7" s="1"/>
  <c r="E6"/>
  <c r="C6"/>
  <c r="C7" s="1"/>
  <c r="C8" s="1"/>
  <c r="C9" s="1"/>
  <c r="C10" s="1"/>
  <c r="C11" s="1"/>
  <c r="C12" s="1"/>
  <c r="E5"/>
  <c r="V5" l="1"/>
  <c r="V20" s="1"/>
  <c r="N13"/>
  <c r="V13"/>
  <c r="F7"/>
  <c r="G7" s="1"/>
  <c r="F8" s="1"/>
  <c r="B39"/>
  <c r="V10"/>
  <c r="V9" s="1"/>
  <c r="V6" s="1"/>
  <c r="N18" a="1"/>
  <c r="N18" s="1"/>
  <c r="V19"/>
  <c r="N5"/>
  <c r="N19"/>
  <c r="A39"/>
  <c r="G8" l="1"/>
  <c r="E8"/>
  <c r="V11"/>
  <c r="V12"/>
  <c r="F9"/>
  <c r="N10"/>
  <c r="N20"/>
  <c r="C39"/>
  <c r="E9" l="1"/>
  <c r="G9"/>
  <c r="F10" s="1"/>
  <c r="B40"/>
  <c r="N9"/>
  <c r="N11"/>
  <c r="A40"/>
  <c r="G10" l="1"/>
  <c r="E11" s="1"/>
  <c r="E10"/>
  <c r="N6"/>
  <c r="N12"/>
  <c r="C40"/>
  <c r="F11" l="1"/>
  <c r="G11" s="1"/>
  <c r="F12" s="1"/>
  <c r="B41"/>
  <c r="C41"/>
  <c r="C42" s="1"/>
  <c r="E12"/>
  <c r="G12"/>
  <c r="A41"/>
  <c r="B42" l="1"/>
  <c r="F13"/>
  <c r="G13" s="1"/>
  <c r="E13"/>
  <c r="A42"/>
  <c r="B43" l="1"/>
  <c r="F14"/>
  <c r="G14" s="1"/>
  <c r="E14"/>
  <c r="A43"/>
  <c r="E15" l="1"/>
  <c r="G15"/>
  <c r="F15"/>
  <c r="C43"/>
  <c r="C44" l="1"/>
  <c r="B44"/>
  <c r="F16"/>
  <c r="E16"/>
  <c r="G16"/>
  <c r="A44"/>
  <c r="B45" l="1"/>
  <c r="G17"/>
  <c r="E17"/>
  <c r="F17"/>
  <c r="C45"/>
  <c r="B46" l="1"/>
  <c r="F18"/>
  <c r="G18" s="1"/>
  <c r="E18"/>
  <c r="A45"/>
  <c r="A46"/>
  <c r="G19" l="1"/>
  <c r="F19"/>
  <c r="E19"/>
  <c r="C46"/>
  <c r="B47" l="1"/>
  <c r="C47"/>
  <c r="C48" s="1"/>
  <c r="C49" s="1"/>
  <c r="F20"/>
  <c r="E20"/>
  <c r="G20"/>
  <c r="A47"/>
  <c r="B48" l="1"/>
  <c r="B49" s="1"/>
  <c r="B50" s="1"/>
  <c r="A50"/>
  <c r="E9" i="60" l="1"/>
  <c r="J24" i="383"/>
  <c r="J13"/>
  <c r="J25"/>
  <c r="J21"/>
  <c r="J19"/>
  <c r="J11"/>
  <c r="J8"/>
  <c r="J6"/>
  <c r="A48" i="573"/>
  <c r="C50"/>
  <c r="A49"/>
  <c r="J12" i="383" l="1"/>
  <c r="J14" s="1"/>
  <c r="B51" i="573"/>
  <c r="C51"/>
  <c r="J26" i="383"/>
  <c r="B19" i="57"/>
  <c r="E11"/>
  <c r="E14" s="1"/>
  <c r="B21" i="572"/>
  <c r="B25" s="1"/>
  <c r="B8"/>
  <c r="B12" s="1"/>
  <c r="A51" i="573"/>
  <c r="B9" i="572" l="1"/>
  <c r="B10" s="1"/>
  <c r="B13" s="1"/>
  <c r="B14" s="1"/>
  <c r="B52" i="573"/>
  <c r="C52"/>
  <c r="B22" i="572"/>
  <c r="B23" s="1"/>
  <c r="J31" i="64"/>
  <c r="J14"/>
  <c r="O6" s="1"/>
  <c r="E24"/>
  <c r="E25" s="1"/>
  <c r="E29" s="1"/>
  <c r="E7"/>
  <c r="E22"/>
  <c r="J22" s="1"/>
  <c r="J24" s="1"/>
  <c r="E5"/>
  <c r="J5" s="1"/>
  <c r="J23"/>
  <c r="J25" s="1"/>
  <c r="J10"/>
  <c r="J6"/>
  <c r="J8" s="1"/>
  <c r="Y29" i="56"/>
  <c r="S22"/>
  <c r="S23" s="1"/>
  <c r="S27" s="1"/>
  <c r="S7"/>
  <c r="S20"/>
  <c r="Y20" s="1"/>
  <c r="Y22" s="1"/>
  <c r="S5"/>
  <c r="Y21"/>
  <c r="Y23" s="1"/>
  <c r="Y14"/>
  <c r="A52" i="573"/>
  <c r="Y25" i="56" l="1"/>
  <c r="Y26" s="1"/>
  <c r="J7" i="64"/>
  <c r="J11"/>
  <c r="O7" s="1"/>
  <c r="B26" i="572"/>
  <c r="B27" s="1"/>
  <c r="J27" i="64"/>
  <c r="J28" s="1"/>
  <c r="J29" s="1"/>
  <c r="E26"/>
  <c r="E27" s="1"/>
  <c r="Y27" i="56"/>
  <c r="S24"/>
  <c r="S25" s="1"/>
  <c r="S28" s="1"/>
  <c r="S29" s="1"/>
  <c r="F3" i="317"/>
  <c r="H3" s="1"/>
  <c r="I2"/>
  <c r="H2"/>
  <c r="G2"/>
  <c r="F4"/>
  <c r="H4" s="1"/>
  <c r="M4" i="365"/>
  <c r="L4"/>
  <c r="K4"/>
  <c r="J5"/>
  <c r="K5" s="1"/>
  <c r="J12" i="64" l="1"/>
  <c r="O5"/>
  <c r="O10" s="1"/>
  <c r="O12" s="1"/>
  <c r="J6" i="365"/>
  <c r="M5"/>
  <c r="L5"/>
  <c r="Y30" i="56"/>
  <c r="Y31" s="1"/>
  <c r="E30" i="64"/>
  <c r="E31" s="1"/>
  <c r="J32"/>
  <c r="J33" s="1"/>
  <c r="J15"/>
  <c r="J16" s="1"/>
  <c r="O9"/>
  <c r="O11" s="1"/>
  <c r="G4" i="317"/>
  <c r="G3"/>
  <c r="I3"/>
  <c r="I4"/>
  <c r="F5"/>
  <c r="O35" i="75"/>
  <c r="O36" s="1"/>
  <c r="O37" s="1"/>
  <c r="P31"/>
  <c r="P30"/>
  <c r="P29"/>
  <c r="Q29" s="1"/>
  <c r="Q34" s="1"/>
  <c r="A37"/>
  <c r="A38" s="1"/>
  <c r="B33"/>
  <c r="B32"/>
  <c r="B31"/>
  <c r="C31" s="1"/>
  <c r="C36" s="1"/>
  <c r="Q35" l="1"/>
  <c r="J7" i="365"/>
  <c r="L6"/>
  <c r="M6"/>
  <c r="K6"/>
  <c r="O38" i="75"/>
  <c r="Q37"/>
  <c r="A39"/>
  <c r="C38"/>
  <c r="C37"/>
  <c r="Q36"/>
  <c r="F6" i="317"/>
  <c r="I5"/>
  <c r="G5"/>
  <c r="H5"/>
  <c r="R36" i="75"/>
  <c r="R40"/>
  <c r="R44"/>
  <c r="R48"/>
  <c r="R37"/>
  <c r="R41"/>
  <c r="R45"/>
  <c r="R34"/>
  <c r="R38"/>
  <c r="R42"/>
  <c r="R46"/>
  <c r="R35"/>
  <c r="R39"/>
  <c r="R43"/>
  <c r="R47"/>
  <c r="D38"/>
  <c r="D42"/>
  <c r="D46"/>
  <c r="D50"/>
  <c r="D39"/>
  <c r="D43"/>
  <c r="D47"/>
  <c r="D36"/>
  <c r="D40"/>
  <c r="D44"/>
  <c r="D48"/>
  <c r="D37"/>
  <c r="D41"/>
  <c r="D45"/>
  <c r="D49"/>
  <c r="K5" i="183"/>
  <c r="K3"/>
  <c r="J8" i="365" l="1"/>
  <c r="L7"/>
  <c r="K7"/>
  <c r="M7"/>
  <c r="A40" i="75"/>
  <c r="C39"/>
  <c r="O39"/>
  <c r="Q38"/>
  <c r="F7" i="317"/>
  <c r="G6"/>
  <c r="H6"/>
  <c r="I6"/>
  <c r="R9" i="44"/>
  <c r="R2" s="1"/>
  <c r="T9"/>
  <c r="T2" s="1"/>
  <c r="T4" s="1"/>
  <c r="S9"/>
  <c r="S2" s="1"/>
  <c r="S4" s="1"/>
  <c r="Q9"/>
  <c r="Q2" s="1"/>
  <c r="Q4" s="1"/>
  <c r="G54" i="31"/>
  <c r="J9" i="365" l="1"/>
  <c r="L8"/>
  <c r="K8"/>
  <c r="M8"/>
  <c r="A41" i="75"/>
  <c r="C40"/>
  <c r="O40"/>
  <c r="Q39"/>
  <c r="F8" i="317"/>
  <c r="G7"/>
  <c r="H7"/>
  <c r="I7"/>
  <c r="Q12" i="44"/>
  <c r="R12" s="1"/>
  <c r="B17" i="30"/>
  <c r="A17"/>
  <c r="B17" i="28"/>
  <c r="A17"/>
  <c r="H5" i="571"/>
  <c r="H6"/>
  <c r="H7"/>
  <c r="Q14" i="44" l="1"/>
  <c r="J10" i="365"/>
  <c r="M9"/>
  <c r="L9"/>
  <c r="K9"/>
  <c r="O41" i="75"/>
  <c r="Q40"/>
  <c r="A42"/>
  <c r="C41"/>
  <c r="Q15" i="44"/>
  <c r="F9" i="317"/>
  <c r="H8"/>
  <c r="I8"/>
  <c r="G8"/>
  <c r="G5" i="571"/>
  <c r="G6"/>
  <c r="G7"/>
  <c r="B3" s="1"/>
  <c r="I7"/>
  <c r="F7"/>
  <c r="F5"/>
  <c r="I6"/>
  <c r="F6"/>
  <c r="I5"/>
  <c r="J11" i="365" l="1"/>
  <c r="L10"/>
  <c r="M10"/>
  <c r="K10"/>
  <c r="A43" i="75"/>
  <c r="C42"/>
  <c r="O42"/>
  <c r="Q41"/>
  <c r="F10" i="317"/>
  <c r="I9"/>
  <c r="G9"/>
  <c r="H9"/>
  <c r="B9" i="571"/>
  <c r="B8"/>
  <c r="C3"/>
  <c r="C9" s="1"/>
  <c r="B5"/>
  <c r="B6"/>
  <c r="B10"/>
  <c r="B7"/>
  <c r="J12" i="365" l="1"/>
  <c r="L11"/>
  <c r="K11"/>
  <c r="M11"/>
  <c r="A44" i="75"/>
  <c r="C43"/>
  <c r="O43"/>
  <c r="Q42"/>
  <c r="F11" i="317"/>
  <c r="G10"/>
  <c r="H10"/>
  <c r="I10"/>
  <c r="C10" i="571"/>
  <c r="C5"/>
  <c r="C8"/>
  <c r="C6"/>
  <c r="C7"/>
  <c r="L6" i="570"/>
  <c r="L8" s="1"/>
  <c r="G6"/>
  <c r="G8" s="1"/>
  <c r="J13" i="365" l="1"/>
  <c r="L12"/>
  <c r="K12"/>
  <c r="M12"/>
  <c r="O44" i="75"/>
  <c r="Q43"/>
  <c r="A45"/>
  <c r="C44"/>
  <c r="F12" i="317"/>
  <c r="G11"/>
  <c r="H11"/>
  <c r="I11"/>
  <c r="B6" i="570"/>
  <c r="B8" s="1"/>
  <c r="O8" i="564"/>
  <c r="C8" i="565"/>
  <c r="C9"/>
  <c r="C47" i="569"/>
  <c r="B47"/>
  <c r="B43"/>
  <c r="C30"/>
  <c r="B30"/>
  <c r="B25"/>
  <c r="B10"/>
  <c r="B7"/>
  <c r="C13"/>
  <c r="B13"/>
  <c r="J14" i="568"/>
  <c r="I14"/>
  <c r="J5"/>
  <c r="I5"/>
  <c r="J4"/>
  <c r="I4"/>
  <c r="B15" i="567"/>
  <c r="B24"/>
  <c r="B7"/>
  <c r="B6"/>
  <c r="B25"/>
  <c r="B16"/>
  <c r="B14"/>
  <c r="B37" i="566"/>
  <c r="B36"/>
  <c r="B28"/>
  <c r="B26"/>
  <c r="B27"/>
  <c r="B19"/>
  <c r="B20" s="1"/>
  <c r="B10"/>
  <c r="B7"/>
  <c r="B8" s="1"/>
  <c r="J14" i="365" l="1"/>
  <c r="M13"/>
  <c r="K13"/>
  <c r="L13"/>
  <c r="A46" i="75"/>
  <c r="C45"/>
  <c r="O45"/>
  <c r="Q44"/>
  <c r="F13" i="317"/>
  <c r="H12"/>
  <c r="I12"/>
  <c r="G12"/>
  <c r="B38" i="566"/>
  <c r="I9" i="568"/>
  <c r="I10" s="1"/>
  <c r="I11" s="1"/>
  <c r="J15" s="1"/>
  <c r="B29" i="566"/>
  <c r="C48" i="569"/>
  <c r="C49" s="1"/>
  <c r="B12" i="565"/>
  <c r="B48" i="569"/>
  <c r="B49" s="1"/>
  <c r="B31"/>
  <c r="B32" s="1"/>
  <c r="B33" s="1"/>
  <c r="C31"/>
  <c r="C32" s="1"/>
  <c r="C33" s="1"/>
  <c r="B14"/>
  <c r="B15" s="1"/>
  <c r="C14"/>
  <c r="C15" s="1"/>
  <c r="B8" i="567"/>
  <c r="B17"/>
  <c r="B26"/>
  <c r="B11" i="566"/>
  <c r="B12" s="1"/>
  <c r="J15" i="365" l="1"/>
  <c r="L14"/>
  <c r="M14"/>
  <c r="K14"/>
  <c r="A47" i="75"/>
  <c r="C46"/>
  <c r="O46"/>
  <c r="Q45"/>
  <c r="I13" i="317"/>
  <c r="G13"/>
  <c r="H13"/>
  <c r="F14"/>
  <c r="I15" i="568"/>
  <c r="A25" i="565"/>
  <c r="M24" i="564"/>
  <c r="A13" i="565"/>
  <c r="B13" s="1"/>
  <c r="B8" i="564"/>
  <c r="B11"/>
  <c r="C11" s="1"/>
  <c r="A12"/>
  <c r="A13" s="1"/>
  <c r="B13" s="1"/>
  <c r="O13" i="563"/>
  <c r="O14"/>
  <c r="O12"/>
  <c r="K6"/>
  <c r="K7" s="1"/>
  <c r="L5"/>
  <c r="G8"/>
  <c r="G9" s="1"/>
  <c r="G10" s="1"/>
  <c r="C9"/>
  <c r="B9"/>
  <c r="B28" i="562"/>
  <c r="B27"/>
  <c r="G14"/>
  <c r="F15"/>
  <c r="G15" s="1"/>
  <c r="B17"/>
  <c r="B16"/>
  <c r="G4"/>
  <c r="F5"/>
  <c r="G5" s="1"/>
  <c r="B6"/>
  <c r="B7"/>
  <c r="J16" i="365" l="1"/>
  <c r="M15"/>
  <c r="K15"/>
  <c r="L15"/>
  <c r="O47" i="75"/>
  <c r="Q46"/>
  <c r="A48"/>
  <c r="C47"/>
  <c r="G14" i="317"/>
  <c r="H14"/>
  <c r="I14"/>
  <c r="A14" i="565"/>
  <c r="B14" s="1"/>
  <c r="C13"/>
  <c r="C12"/>
  <c r="N11" i="564"/>
  <c r="O11" s="1"/>
  <c r="B12"/>
  <c r="C12" s="1"/>
  <c r="M12"/>
  <c r="N12" s="1"/>
  <c r="A14"/>
  <c r="B14" s="1"/>
  <c r="D9" i="563"/>
  <c r="L6"/>
  <c r="O11"/>
  <c r="K8"/>
  <c r="L7"/>
  <c r="F16" i="562"/>
  <c r="F17" s="1"/>
  <c r="G17" s="1"/>
  <c r="F6"/>
  <c r="B3" i="561"/>
  <c r="B5" s="1"/>
  <c r="B7" s="1"/>
  <c r="B8" i="560"/>
  <c r="B12" s="1"/>
  <c r="B5"/>
  <c r="H4" i="559"/>
  <c r="H7" s="1"/>
  <c r="H3"/>
  <c r="H6" s="1"/>
  <c r="A133" i="36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C131"/>
  <c r="D131" s="1"/>
  <c r="E131" s="1"/>
  <c r="F131" s="1"/>
  <c r="G131" s="1"/>
  <c r="H131" s="1"/>
  <c r="I131" s="1"/>
  <c r="J131" s="1"/>
  <c r="K131" s="1"/>
  <c r="L131" s="1"/>
  <c r="M131" s="1"/>
  <c r="N131" s="1"/>
  <c r="O131" s="1"/>
  <c r="P131" s="1"/>
  <c r="Q131" s="1"/>
  <c r="R131" s="1"/>
  <c r="S131" s="1"/>
  <c r="T131" s="1"/>
  <c r="A108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C106"/>
  <c r="D106" s="1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R8" i="320"/>
  <c r="R7"/>
  <c r="R5"/>
  <c r="R3"/>
  <c r="I8"/>
  <c r="I3"/>
  <c r="E3" i="557"/>
  <c r="B3"/>
  <c r="O15" i="563"/>
  <c r="G16" i="562" l="1"/>
  <c r="G18" s="1"/>
  <c r="J17" i="365"/>
  <c r="L16"/>
  <c r="K16"/>
  <c r="M16"/>
  <c r="O48" i="75"/>
  <c r="Q48" s="1"/>
  <c r="Q47"/>
  <c r="A49"/>
  <c r="C48"/>
  <c r="A15" i="565"/>
  <c r="B15" s="1"/>
  <c r="C14"/>
  <c r="O12" i="564"/>
  <c r="M13"/>
  <c r="N13" s="1"/>
  <c r="A15"/>
  <c r="B15" s="1"/>
  <c r="C13"/>
  <c r="K9" i="563"/>
  <c r="L8"/>
  <c r="G6" i="562"/>
  <c r="F7"/>
  <c r="B10" i="560"/>
  <c r="R13" i="320"/>
  <c r="R15" s="1"/>
  <c r="H10" i="559"/>
  <c r="H9"/>
  <c r="R9" i="320"/>
  <c r="R10" s="1"/>
  <c r="J6" i="12"/>
  <c r="E40" i="30"/>
  <c r="J18" i="365" l="1"/>
  <c r="M17"/>
  <c r="L17"/>
  <c r="K17"/>
  <c r="A50" i="75"/>
  <c r="C50" s="1"/>
  <c r="C49"/>
  <c r="R14" i="320"/>
  <c r="A16" i="565"/>
  <c r="B16" s="1"/>
  <c r="C15"/>
  <c r="M14" i="564"/>
  <c r="N14" s="1"/>
  <c r="O13"/>
  <c r="C14"/>
  <c r="C15" s="1"/>
  <c r="A16"/>
  <c r="B16" s="1"/>
  <c r="K10" i="563"/>
  <c r="L9"/>
  <c r="F8" i="562"/>
  <c r="G7"/>
  <c r="J19" i="365" l="1"/>
  <c r="L18"/>
  <c r="M18"/>
  <c r="K18"/>
  <c r="A17" i="565"/>
  <c r="B17" s="1"/>
  <c r="C16"/>
  <c r="M15" i="564"/>
  <c r="N15" s="1"/>
  <c r="O14"/>
  <c r="A17"/>
  <c r="B17" s="1"/>
  <c r="C16"/>
  <c r="K11" i="563"/>
  <c r="L10"/>
  <c r="F9" i="562"/>
  <c r="G9" s="1"/>
  <c r="G8"/>
  <c r="J20" i="365" l="1"/>
  <c r="L19"/>
  <c r="M19"/>
  <c r="K19"/>
  <c r="G10" i="562"/>
  <c r="A18" i="565"/>
  <c r="B18" s="1"/>
  <c r="C17"/>
  <c r="O15" i="564"/>
  <c r="M16"/>
  <c r="N16" s="1"/>
  <c r="A18"/>
  <c r="B18" s="1"/>
  <c r="C17"/>
  <c r="K12" i="563"/>
  <c r="L11"/>
  <c r="O40" i="31" a="1"/>
  <c r="O40" s="1"/>
  <c r="O39"/>
  <c r="N39"/>
  <c r="M39"/>
  <c r="M40" s="1"/>
  <c r="R40" s="1"/>
  <c r="O38"/>
  <c r="N38"/>
  <c r="M38"/>
  <c r="L39"/>
  <c r="L38"/>
  <c r="J21" i="365" l="1"/>
  <c r="L20"/>
  <c r="K20"/>
  <c r="M20"/>
  <c r="A19" i="565"/>
  <c r="B19" s="1"/>
  <c r="C18"/>
  <c r="O16" i="564"/>
  <c r="M17"/>
  <c r="N17" s="1"/>
  <c r="C18"/>
  <c r="A19"/>
  <c r="B19" s="1"/>
  <c r="K13" i="563"/>
  <c r="L12"/>
  <c r="P40" i="31"/>
  <c r="Q40" s="1"/>
  <c r="N44"/>
  <c r="N45"/>
  <c r="N40"/>
  <c r="S40"/>
  <c r="A24" i="553"/>
  <c r="J22" i="365" l="1"/>
  <c r="M21"/>
  <c r="K21"/>
  <c r="L21"/>
  <c r="A20" i="565"/>
  <c r="B20" s="1"/>
  <c r="C19"/>
  <c r="O45" i="31"/>
  <c r="M18" i="564"/>
  <c r="N18" s="1"/>
  <c r="O17"/>
  <c r="C19"/>
  <c r="A20"/>
  <c r="B20" s="1"/>
  <c r="K14" i="563"/>
  <c r="L13"/>
  <c r="P45" i="31"/>
  <c r="M44"/>
  <c r="Q44" s="1"/>
  <c r="M45"/>
  <c r="Q45" s="1"/>
  <c r="T40"/>
  <c r="C24" i="553"/>
  <c r="K19" i="400"/>
  <c r="J23" i="365" l="1"/>
  <c r="L22"/>
  <c r="M22"/>
  <c r="K22"/>
  <c r="A21" i="565"/>
  <c r="B21" s="1"/>
  <c r="C20"/>
  <c r="M19" i="564"/>
  <c r="N19" s="1"/>
  <c r="O18"/>
  <c r="A21"/>
  <c r="B21" s="1"/>
  <c r="C20"/>
  <c r="K15" i="563"/>
  <c r="L14"/>
  <c r="E24" i="553"/>
  <c r="U6" i="351"/>
  <c r="M23" i="365" l="1"/>
  <c r="J24"/>
  <c r="L23"/>
  <c r="K23"/>
  <c r="A22" i="565"/>
  <c r="B22" s="1"/>
  <c r="C21"/>
  <c r="O19" i="564"/>
  <c r="M20"/>
  <c r="N20" s="1"/>
  <c r="A22"/>
  <c r="B22" s="1"/>
  <c r="C21"/>
  <c r="K16" i="563"/>
  <c r="L15"/>
  <c r="N4" i="543"/>
  <c r="AP7" i="351"/>
  <c r="AO7"/>
  <c r="AP6"/>
  <c r="AO6"/>
  <c r="AP5"/>
  <c r="AO5"/>
  <c r="AG19"/>
  <c r="AG18"/>
  <c r="AH16"/>
  <c r="AF8"/>
  <c r="AE8"/>
  <c r="AD8"/>
  <c r="AF7"/>
  <c r="AE7"/>
  <c r="AD7"/>
  <c r="AC8"/>
  <c r="AC7"/>
  <c r="U10" i="406"/>
  <c r="U9"/>
  <c r="V7"/>
  <c r="U7"/>
  <c r="V6"/>
  <c r="U6"/>
  <c r="P10" i="353"/>
  <c r="P17" s="1"/>
  <c r="P9"/>
  <c r="Q7"/>
  <c r="P7"/>
  <c r="Q6"/>
  <c r="P6"/>
  <c r="W8" i="356"/>
  <c r="W7"/>
  <c r="W5"/>
  <c r="P7" i="350"/>
  <c r="O7"/>
  <c r="P6"/>
  <c r="O6"/>
  <c r="P5"/>
  <c r="O5"/>
  <c r="U17" i="406" l="1"/>
  <c r="M24" i="365"/>
  <c r="L24"/>
  <c r="J25"/>
  <c r="K24"/>
  <c r="AO14" i="351"/>
  <c r="A23" i="565"/>
  <c r="C22"/>
  <c r="O20" i="564"/>
  <c r="M21"/>
  <c r="C22"/>
  <c r="A23"/>
  <c r="B23" s="1"/>
  <c r="K17" i="563"/>
  <c r="L16"/>
  <c r="AK18" i="351"/>
  <c r="AF13"/>
  <c r="AF14" s="1"/>
  <c r="AH14" s="1"/>
  <c r="AK19"/>
  <c r="AD18"/>
  <c r="AD19" s="1"/>
  <c r="AF18"/>
  <c r="AF19" s="1"/>
  <c r="AH19" s="1"/>
  <c r="O14" i="350"/>
  <c r="O15" s="1"/>
  <c r="P18" s="1"/>
  <c r="U18" i="406"/>
  <c r="U21" s="1"/>
  <c r="AO15" i="351"/>
  <c r="AF9"/>
  <c r="AD13" s="1"/>
  <c r="AD14" s="1"/>
  <c r="V26" i="406"/>
  <c r="U26"/>
  <c r="AO9" i="351"/>
  <c r="AP9"/>
  <c r="P26" i="353"/>
  <c r="Q26"/>
  <c r="P18"/>
  <c r="Q21" s="1"/>
  <c r="X24" i="356"/>
  <c r="W24"/>
  <c r="W15"/>
  <c r="O9" i="350"/>
  <c r="P9"/>
  <c r="J26" i="365" l="1"/>
  <c r="L25"/>
  <c r="M25"/>
  <c r="K25"/>
  <c r="AE18" i="351"/>
  <c r="AL18" s="1"/>
  <c r="AL19" s="1"/>
  <c r="AH18"/>
  <c r="B23" i="565"/>
  <c r="C23" s="1"/>
  <c r="N21" i="564"/>
  <c r="O21" s="1"/>
  <c r="M22"/>
  <c r="N22" s="1"/>
  <c r="O22" s="1"/>
  <c r="AI14" i="351"/>
  <c r="C23" i="564"/>
  <c r="A24"/>
  <c r="B24" s="1"/>
  <c r="K18" i="563"/>
  <c r="L17"/>
  <c r="AH13" i="351"/>
  <c r="AI19"/>
  <c r="U19" i="406"/>
  <c r="U22" s="1"/>
  <c r="AE13" i="351"/>
  <c r="AL13" s="1"/>
  <c r="AL14" s="1"/>
  <c r="V21" i="406"/>
  <c r="AO18" i="351"/>
  <c r="AJ19"/>
  <c r="AJ14"/>
  <c r="O18" i="350"/>
  <c r="AP18" i="351"/>
  <c r="AG9"/>
  <c r="AO13"/>
  <c r="AO16" s="1"/>
  <c r="AO19" s="1"/>
  <c r="O13" i="350"/>
  <c r="P21" i="353"/>
  <c r="P19"/>
  <c r="P22" s="1"/>
  <c r="W16" i="356"/>
  <c r="W17" s="1"/>
  <c r="B21" i="552"/>
  <c r="B19"/>
  <c r="B20" s="1"/>
  <c r="F4" s="1"/>
  <c r="D4"/>
  <c r="V6" i="550"/>
  <c r="V5"/>
  <c r="V13"/>
  <c r="Q15"/>
  <c r="H16"/>
  <c r="G16"/>
  <c r="K10"/>
  <c r="J10"/>
  <c r="I10"/>
  <c r="H10"/>
  <c r="G10"/>
  <c r="F10"/>
  <c r="K9"/>
  <c r="J9"/>
  <c r="I9"/>
  <c r="H9"/>
  <c r="G9"/>
  <c r="F9"/>
  <c r="K8"/>
  <c r="J8"/>
  <c r="I8"/>
  <c r="H8"/>
  <c r="G8"/>
  <c r="F8"/>
  <c r="K7"/>
  <c r="J7"/>
  <c r="I7"/>
  <c r="H7"/>
  <c r="G7"/>
  <c r="F7"/>
  <c r="L26" i="365" l="1"/>
  <c r="K26"/>
  <c r="M26"/>
  <c r="J27"/>
  <c r="AE19" i="351"/>
  <c r="AG13"/>
  <c r="AK13" s="1"/>
  <c r="A25" i="564"/>
  <c r="B25" s="1"/>
  <c r="C24"/>
  <c r="K19" i="563"/>
  <c r="L18"/>
  <c r="I16" i="550"/>
  <c r="AE14" i="351"/>
  <c r="AG14" s="1"/>
  <c r="AK14" s="1"/>
  <c r="U11" i="406"/>
  <c r="U12" s="1"/>
  <c r="H14" i="550"/>
  <c r="Q5" s="1"/>
  <c r="Q10" s="1"/>
  <c r="U20" i="406"/>
  <c r="G15" i="550"/>
  <c r="G14" s="1"/>
  <c r="AO17" i="351"/>
  <c r="P11" i="353"/>
  <c r="P12" s="1"/>
  <c r="P20"/>
  <c r="X19" i="356"/>
  <c r="AO20" i="351"/>
  <c r="AP19"/>
  <c r="AP20" s="1"/>
  <c r="U23" i="406"/>
  <c r="V22"/>
  <c r="V23" s="1"/>
  <c r="P23" i="353"/>
  <c r="Q22"/>
  <c r="Q23" s="1"/>
  <c r="W18" i="356"/>
  <c r="W20"/>
  <c r="W9"/>
  <c r="W10" s="1"/>
  <c r="W19"/>
  <c r="O16" i="350"/>
  <c r="F7" i="552"/>
  <c r="F11"/>
  <c r="F15"/>
  <c r="F8"/>
  <c r="F12"/>
  <c r="F16"/>
  <c r="F5"/>
  <c r="F9"/>
  <c r="F13"/>
  <c r="F17"/>
  <c r="F6"/>
  <c r="F10"/>
  <c r="F14"/>
  <c r="F18"/>
  <c r="E4"/>
  <c r="D5"/>
  <c r="V14" i="550"/>
  <c r="K27" i="365" l="1"/>
  <c r="L27"/>
  <c r="M27"/>
  <c r="J28"/>
  <c r="A26" i="564"/>
  <c r="B26" s="1"/>
  <c r="C25"/>
  <c r="K20" i="563"/>
  <c r="L19"/>
  <c r="H15" i="550"/>
  <c r="Q6" s="1"/>
  <c r="Q9" s="1"/>
  <c r="I14"/>
  <c r="Q7"/>
  <c r="X20" i="356"/>
  <c r="X21" s="1"/>
  <c r="W21"/>
  <c r="O17" i="350"/>
  <c r="O19"/>
  <c r="G4" i="552"/>
  <c r="D6"/>
  <c r="E5"/>
  <c r="G5" s="1"/>
  <c r="V11" i="550"/>
  <c r="V10"/>
  <c r="E9" i="549"/>
  <c r="E11" s="1"/>
  <c r="E8"/>
  <c r="E10" s="1"/>
  <c r="B8"/>
  <c r="E6"/>
  <c r="E5"/>
  <c r="J11"/>
  <c r="J7"/>
  <c r="J12"/>
  <c r="E12"/>
  <c r="J8"/>
  <c r="J10" s="1"/>
  <c r="B7"/>
  <c r="B20" s="1"/>
  <c r="J29" i="365" l="1"/>
  <c r="L28"/>
  <c r="M28"/>
  <c r="K28"/>
  <c r="C26" i="564"/>
  <c r="A27"/>
  <c r="B27" s="1"/>
  <c r="L20" i="563"/>
  <c r="K21"/>
  <c r="L14" i="550"/>
  <c r="Q16"/>
  <c r="I15"/>
  <c r="B15" i="549"/>
  <c r="B19"/>
  <c r="B12"/>
  <c r="B13" s="1"/>
  <c r="B14" s="1"/>
  <c r="O20" i="350"/>
  <c r="P19"/>
  <c r="P20" s="1"/>
  <c r="E6" i="552"/>
  <c r="G6" s="1"/>
  <c r="D7"/>
  <c r="V16" i="550"/>
  <c r="E13" i="549"/>
  <c r="J13"/>
  <c r="J14"/>
  <c r="J10" i="548"/>
  <c r="J8"/>
  <c r="J9" s="1"/>
  <c r="E10"/>
  <c r="E8"/>
  <c r="E9" s="1"/>
  <c r="B10"/>
  <c r="E6" s="1"/>
  <c r="B8"/>
  <c r="E5" s="1"/>
  <c r="B6"/>
  <c r="B19" s="1"/>
  <c r="G6" i="547"/>
  <c r="K29" i="365" l="1"/>
  <c r="J30"/>
  <c r="M29"/>
  <c r="L29"/>
  <c r="E16" i="548"/>
  <c r="E11"/>
  <c r="C27" i="564"/>
  <c r="A28"/>
  <c r="B28" s="1"/>
  <c r="K22" i="563"/>
  <c r="L21"/>
  <c r="E7" i="548"/>
  <c r="J5"/>
  <c r="B15"/>
  <c r="J12"/>
  <c r="Q8" i="550"/>
  <c r="Q11" s="1"/>
  <c r="L8"/>
  <c r="M14"/>
  <c r="N14"/>
  <c r="L10"/>
  <c r="L7"/>
  <c r="L9"/>
  <c r="J14"/>
  <c r="K14" s="1"/>
  <c r="B20" i="548"/>
  <c r="J6"/>
  <c r="D8" i="552"/>
  <c r="E7"/>
  <c r="G7" s="1"/>
  <c r="J15" i="549"/>
  <c r="J16" s="1"/>
  <c r="E7"/>
  <c r="E14" s="1"/>
  <c r="E15" s="1"/>
  <c r="J11" i="548"/>
  <c r="B12"/>
  <c r="B13" s="1"/>
  <c r="B14" s="1"/>
  <c r="B9" i="547"/>
  <c r="B10" s="1"/>
  <c r="B5"/>
  <c r="B6" s="1"/>
  <c r="M30" i="365" l="1"/>
  <c r="L30"/>
  <c r="K30"/>
  <c r="J31"/>
  <c r="E12" i="548"/>
  <c r="E13" s="1"/>
  <c r="E17"/>
  <c r="A29" i="564"/>
  <c r="B29" s="1"/>
  <c r="C28"/>
  <c r="J7" i="548"/>
  <c r="E19" s="1"/>
  <c r="L22" i="563"/>
  <c r="K23"/>
  <c r="N7" i="550"/>
  <c r="M7"/>
  <c r="M9"/>
  <c r="N9"/>
  <c r="M8"/>
  <c r="N8"/>
  <c r="M10"/>
  <c r="N10"/>
  <c r="Q12"/>
  <c r="Q13"/>
  <c r="E8" i="552"/>
  <c r="G8" s="1"/>
  <c r="D9"/>
  <c r="B12" i="547"/>
  <c r="A9" i="546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L31" i="365" l="1"/>
  <c r="J32"/>
  <c r="M31"/>
  <c r="K31"/>
  <c r="J13" i="548"/>
  <c r="J14" s="1"/>
  <c r="A30" i="564"/>
  <c r="B30" s="1"/>
  <c r="C29"/>
  <c r="L23" i="563"/>
  <c r="K24"/>
  <c r="Q18" i="550"/>
  <c r="D10" i="552"/>
  <c r="E9"/>
  <c r="G9" s="1"/>
  <c r="C14" i="543"/>
  <c r="B14"/>
  <c r="L21" i="75"/>
  <c r="L20"/>
  <c r="L19"/>
  <c r="N4"/>
  <c r="N5" s="1"/>
  <c r="K32" i="365" l="1"/>
  <c r="J33"/>
  <c r="L32"/>
  <c r="M32"/>
  <c r="C30" i="564"/>
  <c r="A31"/>
  <c r="L24" i="563"/>
  <c r="K25"/>
  <c r="E10" i="552"/>
  <c r="G10" s="1"/>
  <c r="D11"/>
  <c r="P17" i="75"/>
  <c r="Q17" s="1"/>
  <c r="O5"/>
  <c r="N6"/>
  <c r="P12"/>
  <c r="Q12" s="1"/>
  <c r="P16"/>
  <c r="Q16" s="1"/>
  <c r="P6"/>
  <c r="Q6" s="1"/>
  <c r="P10"/>
  <c r="Q10" s="1"/>
  <c r="P14"/>
  <c r="Q14" s="1"/>
  <c r="P18"/>
  <c r="Q18" s="1"/>
  <c r="O4"/>
  <c r="P7"/>
  <c r="Q7" s="1"/>
  <c r="P11"/>
  <c r="Q11" s="1"/>
  <c r="P15"/>
  <c r="Q15" s="1"/>
  <c r="P4"/>
  <c r="Q4" s="1"/>
  <c r="R4" s="1"/>
  <c r="P8"/>
  <c r="Q8" s="1"/>
  <c r="P5"/>
  <c r="Q5" s="1"/>
  <c r="P9"/>
  <c r="Q9" s="1"/>
  <c r="P13"/>
  <c r="Q13" s="1"/>
  <c r="C25" i="545"/>
  <c r="C26"/>
  <c r="C27"/>
  <c r="C28"/>
  <c r="C29"/>
  <c r="C24"/>
  <c r="L33" i="365" l="1"/>
  <c r="K33"/>
  <c r="M33"/>
  <c r="J34"/>
  <c r="B31" i="564"/>
  <c r="C31" s="1"/>
  <c r="A32"/>
  <c r="L25" i="563"/>
  <c r="K26"/>
  <c r="D12" i="552"/>
  <c r="E11"/>
  <c r="G11" s="1"/>
  <c r="N7" i="75"/>
  <c r="O6"/>
  <c r="R6" s="1"/>
  <c r="R5"/>
  <c r="E4" i="543"/>
  <c r="F4"/>
  <c r="F5" s="1"/>
  <c r="F6" s="1"/>
  <c r="F7" s="1"/>
  <c r="F8" s="1"/>
  <c r="F9" s="1"/>
  <c r="F10" s="1"/>
  <c r="F11" s="1"/>
  <c r="F12" s="1"/>
  <c r="F13" s="1"/>
  <c r="M34" i="365" l="1"/>
  <c r="J35"/>
  <c r="L34"/>
  <c r="K34"/>
  <c r="A33" i="564"/>
  <c r="B32"/>
  <c r="C32" s="1"/>
  <c r="L26" i="563"/>
  <c r="K27"/>
  <c r="E12" i="552"/>
  <c r="G12" s="1"/>
  <c r="D13"/>
  <c r="G4" i="543"/>
  <c r="E5"/>
  <c r="N8" i="75"/>
  <c r="O7"/>
  <c r="R7" s="1"/>
  <c r="B5" i="542"/>
  <c r="B3"/>
  <c r="B5" i="541"/>
  <c r="B3"/>
  <c r="B5" i="246"/>
  <c r="B3"/>
  <c r="B5" i="248"/>
  <c r="B3"/>
  <c r="G8" i="540"/>
  <c r="G7"/>
  <c r="G6"/>
  <c r="G12" s="1"/>
  <c r="L5" s="1"/>
  <c r="L7" s="1"/>
  <c r="A36" i="538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M35" i="365" l="1"/>
  <c r="K35"/>
  <c r="J36"/>
  <c r="L35"/>
  <c r="B33" i="564"/>
  <c r="C33" s="1"/>
  <c r="A34"/>
  <c r="K28" i="563"/>
  <c r="L27"/>
  <c r="G11" i="540"/>
  <c r="L8" s="1"/>
  <c r="D14" i="552"/>
  <c r="E13"/>
  <c r="G13" s="1"/>
  <c r="G5" i="543"/>
  <c r="E6"/>
  <c r="N9" i="75"/>
  <c r="O8"/>
  <c r="R8" s="1"/>
  <c r="O8" i="543"/>
  <c r="N8"/>
  <c r="O4"/>
  <c r="N6"/>
  <c r="O6"/>
  <c r="N7"/>
  <c r="O7"/>
  <c r="N5"/>
  <c r="O5"/>
  <c r="N9"/>
  <c r="O9"/>
  <c r="N10"/>
  <c r="O10"/>
  <c r="L9" i="540"/>
  <c r="G9"/>
  <c r="A136" i="538"/>
  <c r="K36" i="365" l="1"/>
  <c r="M36"/>
  <c r="L36"/>
  <c r="J37"/>
  <c r="B34" i="564"/>
  <c r="C34" s="1"/>
  <c r="A35"/>
  <c r="B35" s="1"/>
  <c r="L6" i="540"/>
  <c r="L10" s="1"/>
  <c r="K29" i="563"/>
  <c r="L28"/>
  <c r="G13" i="540"/>
  <c r="G14" s="1"/>
  <c r="G16" s="1"/>
  <c r="L11"/>
  <c r="O11" i="543"/>
  <c r="E14" i="552"/>
  <c r="G14" s="1"/>
  <c r="D15"/>
  <c r="E7" i="543"/>
  <c r="G6"/>
  <c r="N10" i="75"/>
  <c r="O9"/>
  <c r="R9" s="1"/>
  <c r="N11" i="543"/>
  <c r="Q4" s="1"/>
  <c r="A137" i="538"/>
  <c r="M37" i="365" l="1"/>
  <c r="J38"/>
  <c r="L37"/>
  <c r="K37"/>
  <c r="C35" i="564"/>
  <c r="K30" i="563"/>
  <c r="L29"/>
  <c r="D16" i="552"/>
  <c r="E15"/>
  <c r="G15" s="1"/>
  <c r="E8" i="543"/>
  <c r="G7"/>
  <c r="N11" i="75"/>
  <c r="O10"/>
  <c r="R10" s="1"/>
  <c r="Q5" i="543"/>
  <c r="Q6" s="1"/>
  <c r="R4"/>
  <c r="A138" i="538"/>
  <c r="M38" i="365" l="1"/>
  <c r="J39"/>
  <c r="L38"/>
  <c r="K38"/>
  <c r="K31" i="563"/>
  <c r="L30"/>
  <c r="E16" i="552"/>
  <c r="G16" s="1"/>
  <c r="D17"/>
  <c r="E9" i="543"/>
  <c r="G8"/>
  <c r="N12" i="75"/>
  <c r="O11"/>
  <c r="R11" s="1"/>
  <c r="R5" i="543"/>
  <c r="S4"/>
  <c r="Q7"/>
  <c r="A139" i="538"/>
  <c r="M39" i="365" l="1"/>
  <c r="L39"/>
  <c r="K39"/>
  <c r="J40"/>
  <c r="K32" i="563"/>
  <c r="L31"/>
  <c r="D18" i="552"/>
  <c r="E18" s="1"/>
  <c r="G18" s="1"/>
  <c r="E17"/>
  <c r="G17" s="1"/>
  <c r="E10" i="543"/>
  <c r="G9"/>
  <c r="N13" i="75"/>
  <c r="O12"/>
  <c r="R12" s="1"/>
  <c r="R6" i="543"/>
  <c r="S5"/>
  <c r="Q8"/>
  <c r="A140" i="538"/>
  <c r="M40" i="365" l="1"/>
  <c r="K40"/>
  <c r="L40"/>
  <c r="J41"/>
  <c r="K33" i="563"/>
  <c r="L32"/>
  <c r="G20" i="552"/>
  <c r="E11" i="543"/>
  <c r="G10"/>
  <c r="N14" i="75"/>
  <c r="O13"/>
  <c r="R13" s="1"/>
  <c r="R7" i="543"/>
  <c r="S6"/>
  <c r="Q9"/>
  <c r="A141" i="538"/>
  <c r="K41" i="365" l="1"/>
  <c r="M41"/>
  <c r="L41"/>
  <c r="J42"/>
  <c r="K34" i="563"/>
  <c r="L33"/>
  <c r="E12" i="543"/>
  <c r="G11"/>
  <c r="N15" i="75"/>
  <c r="O14"/>
  <c r="R14" s="1"/>
  <c r="R8" i="543"/>
  <c r="S7"/>
  <c r="Q10"/>
  <c r="A142" i="538"/>
  <c r="K42" i="365" l="1"/>
  <c r="L42"/>
  <c r="M42"/>
  <c r="J43"/>
  <c r="K35" i="563"/>
  <c r="L34"/>
  <c r="E13" i="543"/>
  <c r="G13" s="1"/>
  <c r="G12"/>
  <c r="N16" i="75"/>
  <c r="O15"/>
  <c r="R15" s="1"/>
  <c r="R9" i="543"/>
  <c r="S8"/>
  <c r="A143" i="538"/>
  <c r="L43" i="365" l="1"/>
  <c r="J44"/>
  <c r="M43"/>
  <c r="K43"/>
  <c r="K36" i="563"/>
  <c r="L35"/>
  <c r="G14" i="543"/>
  <c r="N17" i="75"/>
  <c r="O16"/>
  <c r="R16" s="1"/>
  <c r="R10" i="543"/>
  <c r="S10" s="1"/>
  <c r="S9"/>
  <c r="A144" i="538"/>
  <c r="L44" i="365" l="1"/>
  <c r="J45"/>
  <c r="M44"/>
  <c r="K44"/>
  <c r="K37" i="563"/>
  <c r="L36"/>
  <c r="G16" i="543"/>
  <c r="N18" i="75"/>
  <c r="O18" s="1"/>
  <c r="R18" s="1"/>
  <c r="O17"/>
  <c r="R17" s="1"/>
  <c r="S11" i="543"/>
  <c r="A145" i="538"/>
  <c r="J46" i="365" l="1"/>
  <c r="K45"/>
  <c r="M45"/>
  <c r="L45"/>
  <c r="K38" i="563"/>
  <c r="L37"/>
  <c r="R20" i="75"/>
  <c r="A146" i="538"/>
  <c r="L46" i="365" l="1"/>
  <c r="J47"/>
  <c r="K46"/>
  <c r="M46"/>
  <c r="K39" i="563"/>
  <c r="L38"/>
  <c r="A147" i="538"/>
  <c r="M47" i="365" l="1"/>
  <c r="K47"/>
  <c r="J48"/>
  <c r="L47"/>
  <c r="K40" i="563"/>
  <c r="L39"/>
  <c r="A148" i="538"/>
  <c r="L48" i="365" l="1"/>
  <c r="M48"/>
  <c r="K48"/>
  <c r="J49"/>
  <c r="K41" i="563"/>
  <c r="L40"/>
  <c r="A149" i="538"/>
  <c r="K49" i="365" l="1"/>
  <c r="M49"/>
  <c r="L49"/>
  <c r="J50"/>
  <c r="K42" i="563"/>
  <c r="L41"/>
  <c r="A150" i="538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K50" i="365" l="1"/>
  <c r="L50"/>
  <c r="J51"/>
  <c r="M50"/>
  <c r="L42" i="563"/>
  <c r="K43"/>
  <c r="A168" i="538"/>
  <c r="M51" i="365" l="1"/>
  <c r="K51"/>
  <c r="L51"/>
  <c r="J52"/>
  <c r="K44" i="563"/>
  <c r="L43"/>
  <c r="A169" i="538"/>
  <c r="L52" i="365" l="1"/>
  <c r="M52"/>
  <c r="K52"/>
  <c r="J53"/>
  <c r="L44" i="563"/>
  <c r="K45"/>
  <c r="A170" i="538"/>
  <c r="L53" i="365" l="1"/>
  <c r="K53"/>
  <c r="M53"/>
  <c r="K46" i="563"/>
  <c r="L45"/>
  <c r="A171" i="538"/>
  <c r="L46" i="563" l="1"/>
  <c r="K47"/>
  <c r="A172" i="538"/>
  <c r="K48" i="563" l="1"/>
  <c r="L47"/>
  <c r="A173" i="538"/>
  <c r="L48" i="563" l="1"/>
  <c r="K49"/>
  <c r="A174" i="538"/>
  <c r="K50" i="563" l="1"/>
  <c r="L49"/>
  <c r="A175" i="538"/>
  <c r="L50" i="563" l="1"/>
  <c r="K51"/>
  <c r="A176" i="538"/>
  <c r="K52" i="563" l="1"/>
  <c r="L51"/>
  <c r="A177" i="538"/>
  <c r="K53" i="563" l="1"/>
  <c r="L52"/>
  <c r="A178" i="538"/>
  <c r="L53" i="563" l="1"/>
  <c r="K54"/>
  <c r="A179" i="538"/>
  <c r="L54" i="563" l="1"/>
  <c r="K55"/>
  <c r="L55" s="1"/>
  <c r="A180" i="538"/>
  <c r="A181" l="1"/>
  <c r="A182" l="1"/>
  <c r="A183" l="1"/>
  <c r="A184" l="1"/>
  <c r="A185" l="1"/>
  <c r="A186" l="1"/>
  <c r="A187" l="1"/>
  <c r="A188" s="1"/>
  <c r="A189" s="1"/>
  <c r="A190" s="1"/>
  <c r="A191" s="1"/>
  <c r="A192" s="1"/>
  <c r="A193" s="1"/>
  <c r="A194" s="1"/>
  <c r="A195" s="1"/>
  <c r="G6" l="1"/>
  <c r="G7"/>
  <c r="G8"/>
  <c r="B4" i="541" l="1"/>
  <c r="B4" i="542"/>
  <c r="B8"/>
  <c r="B6" i="541"/>
  <c r="B8" s="1"/>
  <c r="B4" i="246"/>
  <c r="B4" i="248"/>
  <c r="G22" i="538"/>
  <c r="B11" i="248"/>
  <c r="G12" i="538"/>
  <c r="B6" i="246"/>
  <c r="B8" s="1"/>
  <c r="B6" i="248"/>
  <c r="B8" s="1"/>
  <c r="G9" i="538"/>
  <c r="L6"/>
  <c r="G11"/>
  <c r="G13" s="1"/>
  <c r="K7"/>
  <c r="K8" s="1"/>
  <c r="L8" s="1"/>
  <c r="S13" i="543" l="1"/>
  <c r="L14" i="540"/>
  <c r="L15" s="1"/>
  <c r="L7" i="538"/>
  <c r="B7" i="542"/>
  <c r="B9" s="1"/>
  <c r="B11"/>
  <c r="B7" i="541"/>
  <c r="B9" s="1"/>
  <c r="B11"/>
  <c r="B39" i="538"/>
  <c r="B43"/>
  <c r="B47"/>
  <c r="B51"/>
  <c r="B55"/>
  <c r="B59"/>
  <c r="B63"/>
  <c r="B67"/>
  <c r="B71"/>
  <c r="B75"/>
  <c r="B79"/>
  <c r="B83"/>
  <c r="B87"/>
  <c r="B91"/>
  <c r="B95"/>
  <c r="B99"/>
  <c r="B103"/>
  <c r="B107"/>
  <c r="B111"/>
  <c r="B115"/>
  <c r="B119"/>
  <c r="B123"/>
  <c r="B127"/>
  <c r="B131"/>
  <c r="B135"/>
  <c r="B139"/>
  <c r="B143"/>
  <c r="B147"/>
  <c r="B151"/>
  <c r="B155"/>
  <c r="B159"/>
  <c r="B163"/>
  <c r="B167"/>
  <c r="B171"/>
  <c r="B175"/>
  <c r="B179"/>
  <c r="B183"/>
  <c r="B187"/>
  <c r="B191"/>
  <c r="B195"/>
  <c r="B36"/>
  <c r="B41"/>
  <c r="B46"/>
  <c r="B52"/>
  <c r="B57"/>
  <c r="B62"/>
  <c r="B68"/>
  <c r="B73"/>
  <c r="B78"/>
  <c r="B84"/>
  <c r="B89"/>
  <c r="B94"/>
  <c r="B100"/>
  <c r="B105"/>
  <c r="B110"/>
  <c r="B116"/>
  <c r="B121"/>
  <c r="B126"/>
  <c r="B132"/>
  <c r="B137"/>
  <c r="B142"/>
  <c r="B148"/>
  <c r="B153"/>
  <c r="B158"/>
  <c r="B164"/>
  <c r="B169"/>
  <c r="B174"/>
  <c r="B180"/>
  <c r="B185"/>
  <c r="B190"/>
  <c r="B35"/>
  <c r="B37"/>
  <c r="B42"/>
  <c r="B48"/>
  <c r="B53"/>
  <c r="B58"/>
  <c r="B64"/>
  <c r="B69"/>
  <c r="B74"/>
  <c r="B80"/>
  <c r="B85"/>
  <c r="B90"/>
  <c r="B96"/>
  <c r="B101"/>
  <c r="B106"/>
  <c r="B112"/>
  <c r="B117"/>
  <c r="B122"/>
  <c r="B128"/>
  <c r="B133"/>
  <c r="B138"/>
  <c r="B144"/>
  <c r="B149"/>
  <c r="B154"/>
  <c r="B160"/>
  <c r="B165"/>
  <c r="B170"/>
  <c r="B176"/>
  <c r="B181"/>
  <c r="B186"/>
  <c r="B192"/>
  <c r="B82"/>
  <c r="B104"/>
  <c r="B114"/>
  <c r="B120"/>
  <c r="B130"/>
  <c r="B141"/>
  <c r="B146"/>
  <c r="B157"/>
  <c r="B168"/>
  <c r="B173"/>
  <c r="B184"/>
  <c r="B194"/>
  <c r="B38"/>
  <c r="B44"/>
  <c r="B49"/>
  <c r="B54"/>
  <c r="B60"/>
  <c r="B65"/>
  <c r="B70"/>
  <c r="B76"/>
  <c r="B81"/>
  <c r="B86"/>
  <c r="B92"/>
  <c r="B97"/>
  <c r="B102"/>
  <c r="B108"/>
  <c r="B113"/>
  <c r="B118"/>
  <c r="B124"/>
  <c r="B129"/>
  <c r="B134"/>
  <c r="B140"/>
  <c r="B145"/>
  <c r="B150"/>
  <c r="B156"/>
  <c r="B161"/>
  <c r="B166"/>
  <c r="B172"/>
  <c r="B177"/>
  <c r="B182"/>
  <c r="B188"/>
  <c r="B193"/>
  <c r="B40"/>
  <c r="B45"/>
  <c r="B50"/>
  <c r="B56"/>
  <c r="B61"/>
  <c r="B66"/>
  <c r="B72"/>
  <c r="B77"/>
  <c r="B88"/>
  <c r="B93"/>
  <c r="B98"/>
  <c r="B109"/>
  <c r="B125"/>
  <c r="B136"/>
  <c r="B152"/>
  <c r="B162"/>
  <c r="B178"/>
  <c r="B189"/>
  <c r="G20"/>
  <c r="G21" s="1"/>
  <c r="C35"/>
  <c r="D46" s="1"/>
  <c r="C194"/>
  <c r="C189"/>
  <c r="C134"/>
  <c r="D145" s="1"/>
  <c r="C36"/>
  <c r="D47" s="1"/>
  <c r="C151"/>
  <c r="D162" s="1"/>
  <c r="C188"/>
  <c r="C193"/>
  <c r="C95"/>
  <c r="D106" s="1"/>
  <c r="C58"/>
  <c r="D69" s="1"/>
  <c r="C54"/>
  <c r="D65" s="1"/>
  <c r="C94"/>
  <c r="D105" s="1"/>
  <c r="C93"/>
  <c r="D104" s="1"/>
  <c r="C77"/>
  <c r="D88" s="1"/>
  <c r="C61"/>
  <c r="D72" s="1"/>
  <c r="C45"/>
  <c r="D56" s="1"/>
  <c r="C88"/>
  <c r="D99" s="1"/>
  <c r="C72"/>
  <c r="D83" s="1"/>
  <c r="C56"/>
  <c r="D67" s="1"/>
  <c r="C40"/>
  <c r="D51" s="1"/>
  <c r="C79"/>
  <c r="D90" s="1"/>
  <c r="C63"/>
  <c r="D74" s="1"/>
  <c r="C47"/>
  <c r="D58" s="1"/>
  <c r="C152"/>
  <c r="D163" s="1"/>
  <c r="C38"/>
  <c r="D49" s="1"/>
  <c r="C42"/>
  <c r="D53" s="1"/>
  <c r="C82"/>
  <c r="D93" s="1"/>
  <c r="C78"/>
  <c r="D89" s="1"/>
  <c r="C89"/>
  <c r="D100" s="1"/>
  <c r="C73"/>
  <c r="D84" s="1"/>
  <c r="C57"/>
  <c r="D68" s="1"/>
  <c r="C41"/>
  <c r="D52" s="1"/>
  <c r="C84"/>
  <c r="D95" s="1"/>
  <c r="C68"/>
  <c r="D79" s="1"/>
  <c r="C52"/>
  <c r="D63" s="1"/>
  <c r="C91"/>
  <c r="D102" s="1"/>
  <c r="C75"/>
  <c r="D86" s="1"/>
  <c r="C59"/>
  <c r="D70" s="1"/>
  <c r="C43"/>
  <c r="D54" s="1"/>
  <c r="C92"/>
  <c r="D103" s="1"/>
  <c r="C60"/>
  <c r="D71" s="1"/>
  <c r="C83"/>
  <c r="D94" s="1"/>
  <c r="C51"/>
  <c r="D62" s="1"/>
  <c r="C195"/>
  <c r="C190"/>
  <c r="C90"/>
  <c r="D101" s="1"/>
  <c r="C86"/>
  <c r="D97" s="1"/>
  <c r="C66"/>
  <c r="D77" s="1"/>
  <c r="C62"/>
  <c r="D73" s="1"/>
  <c r="C85"/>
  <c r="D96" s="1"/>
  <c r="C69"/>
  <c r="D80" s="1"/>
  <c r="C53"/>
  <c r="D64" s="1"/>
  <c r="C37"/>
  <c r="D48" s="1"/>
  <c r="C80"/>
  <c r="D91" s="1"/>
  <c r="C64"/>
  <c r="D75" s="1"/>
  <c r="C48"/>
  <c r="D59" s="1"/>
  <c r="C87"/>
  <c r="D98" s="1"/>
  <c r="C71"/>
  <c r="D82" s="1"/>
  <c r="C55"/>
  <c r="D66" s="1"/>
  <c r="C39"/>
  <c r="D50" s="1"/>
  <c r="C135"/>
  <c r="D146" s="1"/>
  <c r="C74"/>
  <c r="D85" s="1"/>
  <c r="C70"/>
  <c r="D81" s="1"/>
  <c r="C50"/>
  <c r="D61" s="1"/>
  <c r="C46"/>
  <c r="D57" s="1"/>
  <c r="C81"/>
  <c r="D92" s="1"/>
  <c r="C65"/>
  <c r="D76" s="1"/>
  <c r="C49"/>
  <c r="D60" s="1"/>
  <c r="C76"/>
  <c r="D87" s="1"/>
  <c r="C44"/>
  <c r="D55" s="1"/>
  <c r="C67"/>
  <c r="D78" s="1"/>
  <c r="C96"/>
  <c r="D107" s="1"/>
  <c r="C153"/>
  <c r="D164" s="1"/>
  <c r="C191"/>
  <c r="C136"/>
  <c r="D147" s="1"/>
  <c r="C192"/>
  <c r="C137"/>
  <c r="D148" s="1"/>
  <c r="C97"/>
  <c r="D108" s="1"/>
  <c r="C154"/>
  <c r="D165" s="1"/>
  <c r="C155"/>
  <c r="D166" s="1"/>
  <c r="C138"/>
  <c r="D149" s="1"/>
  <c r="C98"/>
  <c r="D109" s="1"/>
  <c r="C139"/>
  <c r="D150" s="1"/>
  <c r="C156"/>
  <c r="D167" s="1"/>
  <c r="C99"/>
  <c r="D110" s="1"/>
  <c r="C140"/>
  <c r="D151" s="1"/>
  <c r="C100"/>
  <c r="D111" s="1"/>
  <c r="C157"/>
  <c r="D168" s="1"/>
  <c r="C141"/>
  <c r="D152" s="1"/>
  <c r="C101"/>
  <c r="D112" s="1"/>
  <c r="C158"/>
  <c r="D169" s="1"/>
  <c r="C142"/>
  <c r="D153" s="1"/>
  <c r="C102"/>
  <c r="D113" s="1"/>
  <c r="C159"/>
  <c r="D170" s="1"/>
  <c r="C143"/>
  <c r="D154" s="1"/>
  <c r="C103"/>
  <c r="D114" s="1"/>
  <c r="C160"/>
  <c r="D171" s="1"/>
  <c r="C144"/>
  <c r="D155" s="1"/>
  <c r="C104"/>
  <c r="D115" s="1"/>
  <c r="C161"/>
  <c r="D172" s="1"/>
  <c r="C145"/>
  <c r="D156" s="1"/>
  <c r="C162"/>
  <c r="D173" s="1"/>
  <c r="C105"/>
  <c r="D116" s="1"/>
  <c r="C146"/>
  <c r="D157" s="1"/>
  <c r="C106"/>
  <c r="D117" s="1"/>
  <c r="C163"/>
  <c r="D174" s="1"/>
  <c r="C147"/>
  <c r="D158" s="1"/>
  <c r="C107"/>
  <c r="D118" s="1"/>
  <c r="C164"/>
  <c r="D175" s="1"/>
  <c r="C148"/>
  <c r="D159" s="1"/>
  <c r="C165"/>
  <c r="D176" s="1"/>
  <c r="C108"/>
  <c r="D119" s="1"/>
  <c r="C149"/>
  <c r="D160" s="1"/>
  <c r="C109"/>
  <c r="D120" s="1"/>
  <c r="C166"/>
  <c r="D177" s="1"/>
  <c r="C150"/>
  <c r="D161" s="1"/>
  <c r="C110"/>
  <c r="D121" s="1"/>
  <c r="C167"/>
  <c r="D178" s="1"/>
  <c r="C168"/>
  <c r="D179" s="1"/>
  <c r="C111"/>
  <c r="D122" s="1"/>
  <c r="C169"/>
  <c r="D180" s="1"/>
  <c r="C112"/>
  <c r="D123" s="1"/>
  <c r="C113"/>
  <c r="D124" s="1"/>
  <c r="C170"/>
  <c r="D181" s="1"/>
  <c r="C114"/>
  <c r="D125" s="1"/>
  <c r="C171"/>
  <c r="D182" s="1"/>
  <c r="C115"/>
  <c r="D126" s="1"/>
  <c r="C172"/>
  <c r="D183" s="1"/>
  <c r="C116"/>
  <c r="D127" s="1"/>
  <c r="C173"/>
  <c r="D184" s="1"/>
  <c r="C117"/>
  <c r="D128" s="1"/>
  <c r="C174"/>
  <c r="D185" s="1"/>
  <c r="C175"/>
  <c r="D186" s="1"/>
  <c r="C118"/>
  <c r="D129" s="1"/>
  <c r="C176"/>
  <c r="D187" s="1"/>
  <c r="C119"/>
  <c r="D130" s="1"/>
  <c r="C120"/>
  <c r="D131" s="1"/>
  <c r="C177"/>
  <c r="D188" s="1"/>
  <c r="C121"/>
  <c r="D132" s="1"/>
  <c r="C178"/>
  <c r="D189" s="1"/>
  <c r="C179"/>
  <c r="D190" s="1"/>
  <c r="C122"/>
  <c r="D133" s="1"/>
  <c r="C180"/>
  <c r="D191" s="1"/>
  <c r="C123"/>
  <c r="D134" s="1"/>
  <c r="C181"/>
  <c r="D192" s="1"/>
  <c r="C124"/>
  <c r="D135" s="1"/>
  <c r="C182"/>
  <c r="D193" s="1"/>
  <c r="C125"/>
  <c r="D136" s="1"/>
  <c r="C183"/>
  <c r="D194" s="1"/>
  <c r="C126"/>
  <c r="D137" s="1"/>
  <c r="C184"/>
  <c r="D195" s="1"/>
  <c r="C127"/>
  <c r="D138" s="1"/>
  <c r="C128"/>
  <c r="D139" s="1"/>
  <c r="C185"/>
  <c r="C186"/>
  <c r="C129"/>
  <c r="D140" s="1"/>
  <c r="C187"/>
  <c r="C130"/>
  <c r="D141" s="1"/>
  <c r="C131"/>
  <c r="D142" s="1"/>
  <c r="C133"/>
  <c r="D144" s="1"/>
  <c r="C132"/>
  <c r="D143" s="1"/>
  <c r="B7" i="246"/>
  <c r="B9" s="1"/>
  <c r="B11"/>
  <c r="G14" i="538"/>
  <c r="G16" s="1"/>
  <c r="K9"/>
  <c r="B13" i="541" l="1"/>
  <c r="B13" i="542"/>
  <c r="B13" i="246"/>
  <c r="G23" i="538"/>
  <c r="L9"/>
  <c r="N9"/>
  <c r="K10"/>
  <c r="N6" l="1"/>
  <c r="N8"/>
  <c r="N7"/>
  <c r="G25"/>
  <c r="L10"/>
  <c r="N10"/>
  <c r="K11"/>
  <c r="AX9" i="535"/>
  <c r="AX10" s="1"/>
  <c r="AX8"/>
  <c r="AS10"/>
  <c r="AS11" s="1"/>
  <c r="AS9"/>
  <c r="L11" i="538" l="1"/>
  <c r="K12"/>
  <c r="N11"/>
  <c r="AX12" i="535"/>
  <c r="AS13"/>
  <c r="AN8"/>
  <c r="AI9"/>
  <c r="AI10" s="1"/>
  <c r="AI8"/>
  <c r="L12" i="538" l="1"/>
  <c r="N12"/>
  <c r="K13"/>
  <c r="AI12" i="535"/>
  <c r="A9" i="536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L13" i="538" l="1"/>
  <c r="K14"/>
  <c r="Q9" i="535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L14" i="538" l="1"/>
  <c r="K15"/>
  <c r="L15" l="1"/>
  <c r="K16"/>
  <c r="L16" l="1"/>
  <c r="K17"/>
  <c r="L17" l="1"/>
  <c r="K18"/>
  <c r="AD19" i="350"/>
  <c r="AD18"/>
  <c r="AE16"/>
  <c r="AC8"/>
  <c r="AB8"/>
  <c r="AA8"/>
  <c r="AC7"/>
  <c r="AB7"/>
  <c r="AA7"/>
  <c r="Z8"/>
  <c r="Z7"/>
  <c r="V19" i="346"/>
  <c r="V18"/>
  <c r="W16"/>
  <c r="U8"/>
  <c r="T8"/>
  <c r="S8"/>
  <c r="U7"/>
  <c r="T7"/>
  <c r="S7"/>
  <c r="R8"/>
  <c r="R7"/>
  <c r="F22" i="483"/>
  <c r="E22"/>
  <c r="F21"/>
  <c r="E21"/>
  <c r="AH18" i="350" l="1"/>
  <c r="Z18" i="346"/>
  <c r="AH19" i="350"/>
  <c r="AC13"/>
  <c r="AE13" s="1"/>
  <c r="Z19" i="346"/>
  <c r="U13"/>
  <c r="U14" s="1"/>
  <c r="W14" s="1"/>
  <c r="S18"/>
  <c r="S19" s="1"/>
  <c r="AC18" i="350"/>
  <c r="AC19" s="1"/>
  <c r="AE19" s="1"/>
  <c r="U9" i="346"/>
  <c r="S13" s="1"/>
  <c r="S14" s="1"/>
  <c r="L18" i="538"/>
  <c r="K19"/>
  <c r="AC14" i="350"/>
  <c r="AE14" s="1"/>
  <c r="U18" i="346"/>
  <c r="AA18" i="350"/>
  <c r="AA19" s="1"/>
  <c r="AC9"/>
  <c r="H24" i="30"/>
  <c r="G24"/>
  <c r="F24"/>
  <c r="I34" i="28"/>
  <c r="I33"/>
  <c r="J31"/>
  <c r="H23"/>
  <c r="G23"/>
  <c r="F23"/>
  <c r="E23"/>
  <c r="H22"/>
  <c r="G22"/>
  <c r="F22"/>
  <c r="H28" s="1"/>
  <c r="E22"/>
  <c r="AE18" i="350" l="1"/>
  <c r="T18" i="346"/>
  <c r="T19" s="1"/>
  <c r="AB18" i="350"/>
  <c r="AI18" s="1"/>
  <c r="AI19" s="1"/>
  <c r="M34" i="28"/>
  <c r="W13" i="346"/>
  <c r="AF19" i="350"/>
  <c r="Y14" i="346"/>
  <c r="V9"/>
  <c r="H29" i="28"/>
  <c r="J29" s="1"/>
  <c r="J28"/>
  <c r="H33"/>
  <c r="H34" s="1"/>
  <c r="J34" s="1"/>
  <c r="M33"/>
  <c r="X14" i="346"/>
  <c r="AG19" i="350"/>
  <c r="T13" i="346"/>
  <c r="AA13" s="1"/>
  <c r="AA14" s="1"/>
  <c r="L19" i="538"/>
  <c r="K20"/>
  <c r="U19" i="346"/>
  <c r="W19" s="1"/>
  <c r="W18"/>
  <c r="F33" i="28"/>
  <c r="F34" s="1"/>
  <c r="H24"/>
  <c r="F28" s="1"/>
  <c r="F29" s="1"/>
  <c r="AA13" i="350"/>
  <c r="AD9"/>
  <c r="G23" i="22"/>
  <c r="G24" s="1"/>
  <c r="H23"/>
  <c r="H24" s="1"/>
  <c r="G25"/>
  <c r="H25"/>
  <c r="G27"/>
  <c r="H27"/>
  <c r="F27"/>
  <c r="F25"/>
  <c r="F23"/>
  <c r="F26" s="1"/>
  <c r="G25" i="239"/>
  <c r="H25"/>
  <c r="G26"/>
  <c r="H26"/>
  <c r="G27"/>
  <c r="H27"/>
  <c r="F27"/>
  <c r="F26"/>
  <c r="F25"/>
  <c r="G23"/>
  <c r="G24" s="1"/>
  <c r="H23"/>
  <c r="H24" s="1"/>
  <c r="F23"/>
  <c r="F24" s="1"/>
  <c r="G24" i="21"/>
  <c r="G25" s="1"/>
  <c r="H24"/>
  <c r="H25" s="1"/>
  <c r="G26"/>
  <c r="H26"/>
  <c r="G27"/>
  <c r="H27"/>
  <c r="G28"/>
  <c r="H28"/>
  <c r="F28"/>
  <c r="F27"/>
  <c r="F26"/>
  <c r="F24"/>
  <c r="F25" s="1"/>
  <c r="G23"/>
  <c r="H23"/>
  <c r="F23"/>
  <c r="O6" i="12"/>
  <c r="O7"/>
  <c r="O8"/>
  <c r="O9"/>
  <c r="O10"/>
  <c r="O11"/>
  <c r="O12"/>
  <c r="O13"/>
  <c r="O15"/>
  <c r="O16"/>
  <c r="O17"/>
  <c r="O18"/>
  <c r="O19"/>
  <c r="O20"/>
  <c r="O21"/>
  <c r="N21"/>
  <c r="N20"/>
  <c r="N19"/>
  <c r="N18"/>
  <c r="N17"/>
  <c r="N16"/>
  <c r="N15"/>
  <c r="N13"/>
  <c r="N12"/>
  <c r="N11"/>
  <c r="N10"/>
  <c r="N9"/>
  <c r="N8"/>
  <c r="N7"/>
  <c r="N6"/>
  <c r="O5"/>
  <c r="N5"/>
  <c r="P21" i="11"/>
  <c r="P20"/>
  <c r="O21"/>
  <c r="O20"/>
  <c r="G26" i="22" l="1"/>
  <c r="AA18" i="346"/>
  <c r="AA19" s="1"/>
  <c r="AB19" i="350"/>
  <c r="J33" i="28"/>
  <c r="L29"/>
  <c r="K34"/>
  <c r="K29"/>
  <c r="F24" i="22"/>
  <c r="V13" i="346"/>
  <c r="Z13" s="1"/>
  <c r="G28" i="28"/>
  <c r="I28" s="1"/>
  <c r="M28" s="1"/>
  <c r="T14" i="346"/>
  <c r="V14" s="1"/>
  <c r="Z14" s="1"/>
  <c r="L20" i="538"/>
  <c r="K21"/>
  <c r="AA14" i="350"/>
  <c r="AB13"/>
  <c r="O14" i="12"/>
  <c r="L34" i="28"/>
  <c r="H26" i="22"/>
  <c r="G33" i="28"/>
  <c r="Y19" i="346"/>
  <c r="X19"/>
  <c r="I24" i="28"/>
  <c r="N14" i="12"/>
  <c r="I35" i="30"/>
  <c r="I34"/>
  <c r="J32"/>
  <c r="E24"/>
  <c r="H23"/>
  <c r="G23"/>
  <c r="F23"/>
  <c r="E23"/>
  <c r="N52" i="29"/>
  <c r="N51"/>
  <c r="O49"/>
  <c r="M41"/>
  <c r="L41"/>
  <c r="K41"/>
  <c r="J41"/>
  <c r="M40"/>
  <c r="L40"/>
  <c r="K40"/>
  <c r="J40"/>
  <c r="R52" l="1"/>
  <c r="M51"/>
  <c r="M52" s="1"/>
  <c r="R51"/>
  <c r="F34" i="30"/>
  <c r="F35" s="1"/>
  <c r="G29" i="28"/>
  <c r="I29" s="1"/>
  <c r="M29" s="1"/>
  <c r="O52" i="29"/>
  <c r="H25" i="30"/>
  <c r="F29" s="1"/>
  <c r="F30" s="1"/>
  <c r="H29"/>
  <c r="H30" s="1"/>
  <c r="J30" s="1"/>
  <c r="M35"/>
  <c r="H34"/>
  <c r="H35" s="1"/>
  <c r="J35" s="1"/>
  <c r="N28" i="28"/>
  <c r="N29" s="1"/>
  <c r="K51" i="29"/>
  <c r="K52" s="1"/>
  <c r="M34" i="30"/>
  <c r="L21" i="538"/>
  <c r="K22"/>
  <c r="G34" i="30"/>
  <c r="M42" i="29"/>
  <c r="M46"/>
  <c r="AI13" i="350"/>
  <c r="AI14" s="1"/>
  <c r="AD13"/>
  <c r="AH13" s="1"/>
  <c r="AB14"/>
  <c r="AD14" s="1"/>
  <c r="AH14" s="1"/>
  <c r="N33" i="28"/>
  <c r="N34" s="1"/>
  <c r="G34"/>
  <c r="AG14" i="350"/>
  <c r="AF14"/>
  <c r="D4" i="77"/>
  <c r="T10" i="517"/>
  <c r="L51" i="29" l="1"/>
  <c r="O51"/>
  <c r="G29" i="30"/>
  <c r="I29" s="1"/>
  <c r="M29" s="1"/>
  <c r="I25"/>
  <c r="L35"/>
  <c r="N34"/>
  <c r="N35" s="1"/>
  <c r="J34"/>
  <c r="K35"/>
  <c r="P52" i="29"/>
  <c r="Q52"/>
  <c r="J29" i="30"/>
  <c r="L30"/>
  <c r="L22" i="538"/>
  <c r="K23"/>
  <c r="M47" i="29"/>
  <c r="O47" s="1"/>
  <c r="O46"/>
  <c r="N42"/>
  <c r="K46"/>
  <c r="G35" i="30"/>
  <c r="S51" i="29"/>
  <c r="S52" s="1"/>
  <c r="L52"/>
  <c r="K30" i="30"/>
  <c r="G30"/>
  <c r="I30" s="1"/>
  <c r="M30" s="1"/>
  <c r="N29" l="1"/>
  <c r="N30" s="1"/>
  <c r="K24" i="538"/>
  <c r="L23"/>
  <c r="K47" i="29"/>
  <c r="P47" s="1"/>
  <c r="L46"/>
  <c r="J22" i="518"/>
  <c r="I22"/>
  <c r="H22"/>
  <c r="G22"/>
  <c r="Q47" i="29" l="1"/>
  <c r="L24" i="538"/>
  <c r="K25"/>
  <c r="N46" i="29"/>
  <c r="R46" s="1"/>
  <c r="S46"/>
  <c r="S47" s="1"/>
  <c r="L47"/>
  <c r="N47" s="1"/>
  <c r="R47" s="1"/>
  <c r="M5" i="517"/>
  <c r="J22" i="516"/>
  <c r="I22"/>
  <c r="H22"/>
  <c r="G22"/>
  <c r="R7"/>
  <c r="Q7"/>
  <c r="L25" i="538" l="1"/>
  <c r="K26"/>
  <c r="L26" l="1"/>
  <c r="AK39" i="508" a="1"/>
  <c r="AK41" s="1"/>
  <c r="AK39" l="1"/>
  <c r="AK40"/>
  <c r="AA10" i="514"/>
  <c r="U5" i="530" l="1"/>
  <c r="V5"/>
  <c r="W5"/>
  <c r="T5"/>
  <c r="E25"/>
  <c r="D25"/>
  <c r="C25"/>
  <c r="B25"/>
  <c r="E24"/>
  <c r="D24"/>
  <c r="C24"/>
  <c r="B24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Y20" l="1" a="1"/>
  <c r="Y20" s="1"/>
  <c r="S7" i="529"/>
  <c r="U5" s="1"/>
  <c r="S5"/>
  <c r="U10"/>
  <c r="T10"/>
  <c r="S10"/>
  <c r="R10"/>
  <c r="U7"/>
  <c r="T7"/>
  <c r="U6" s="1"/>
  <c r="T6"/>
  <c r="S6"/>
  <c r="T5" s="1"/>
  <c r="R7"/>
  <c r="U4" s="1"/>
  <c r="R6"/>
  <c r="T4" s="1"/>
  <c r="R5"/>
  <c r="S4" s="1"/>
  <c r="R4"/>
  <c r="L4"/>
  <c r="M4"/>
  <c r="N4"/>
  <c r="O4"/>
  <c r="L5"/>
  <c r="M5"/>
  <c r="N5"/>
  <c r="O5"/>
  <c r="L6"/>
  <c r="M6"/>
  <c r="N6"/>
  <c r="O6"/>
  <c r="L7"/>
  <c r="M7"/>
  <c r="N7"/>
  <c r="O7"/>
  <c r="L8"/>
  <c r="M8"/>
  <c r="N8"/>
  <c r="O8"/>
  <c r="L9"/>
  <c r="M9"/>
  <c r="N9"/>
  <c r="O9"/>
  <c r="L10"/>
  <c r="M10"/>
  <c r="N10"/>
  <c r="O10"/>
  <c r="L11"/>
  <c r="M11"/>
  <c r="N11"/>
  <c r="O11"/>
  <c r="L12"/>
  <c r="M12"/>
  <c r="N12"/>
  <c r="O12"/>
  <c r="L13"/>
  <c r="M13"/>
  <c r="N13"/>
  <c r="O13"/>
  <c r="L14"/>
  <c r="M14"/>
  <c r="N14"/>
  <c r="O14"/>
  <c r="L15"/>
  <c r="M15"/>
  <c r="N15"/>
  <c r="O15"/>
  <c r="L16"/>
  <c r="M16"/>
  <c r="N16"/>
  <c r="O16"/>
  <c r="L17"/>
  <c r="M17"/>
  <c r="N17"/>
  <c r="O17"/>
  <c r="L18"/>
  <c r="M18"/>
  <c r="N18"/>
  <c r="O18"/>
  <c r="L19"/>
  <c r="M19"/>
  <c r="N19"/>
  <c r="O19"/>
  <c r="L20"/>
  <c r="M20"/>
  <c r="N20"/>
  <c r="O20"/>
  <c r="L21"/>
  <c r="M21"/>
  <c r="N21"/>
  <c r="O21"/>
  <c r="L22"/>
  <c r="M22"/>
  <c r="N22"/>
  <c r="O22"/>
  <c r="L23"/>
  <c r="M23"/>
  <c r="N23"/>
  <c r="O23"/>
  <c r="M3"/>
  <c r="N3"/>
  <c r="O3"/>
  <c r="L3"/>
  <c r="L4" i="528"/>
  <c r="M4"/>
  <c r="N4"/>
  <c r="O4"/>
  <c r="L5"/>
  <c r="M5"/>
  <c r="N5"/>
  <c r="O5"/>
  <c r="L6"/>
  <c r="M6"/>
  <c r="N6"/>
  <c r="O6"/>
  <c r="L7"/>
  <c r="M7"/>
  <c r="N7"/>
  <c r="O7"/>
  <c r="L8"/>
  <c r="M8"/>
  <c r="N8"/>
  <c r="O8"/>
  <c r="L9"/>
  <c r="M9"/>
  <c r="N9"/>
  <c r="O9"/>
  <c r="L10"/>
  <c r="M10"/>
  <c r="N10"/>
  <c r="O10"/>
  <c r="L11"/>
  <c r="M11"/>
  <c r="N11"/>
  <c r="O11"/>
  <c r="L12"/>
  <c r="M12"/>
  <c r="N12"/>
  <c r="O12"/>
  <c r="L13"/>
  <c r="M13"/>
  <c r="N13"/>
  <c r="O13"/>
  <c r="L14"/>
  <c r="M14"/>
  <c r="N14"/>
  <c r="O14"/>
  <c r="L15"/>
  <c r="M15"/>
  <c r="N15"/>
  <c r="O15"/>
  <c r="L16"/>
  <c r="M16"/>
  <c r="N16"/>
  <c r="O16"/>
  <c r="L17"/>
  <c r="M17"/>
  <c r="N17"/>
  <c r="O17"/>
  <c r="L18"/>
  <c r="M18"/>
  <c r="N18"/>
  <c r="O18"/>
  <c r="L19"/>
  <c r="M19"/>
  <c r="N19"/>
  <c r="O19"/>
  <c r="L20"/>
  <c r="M20"/>
  <c r="N20"/>
  <c r="O20"/>
  <c r="L21"/>
  <c r="M21"/>
  <c r="N21"/>
  <c r="O21"/>
  <c r="L22"/>
  <c r="M22"/>
  <c r="N22"/>
  <c r="O22"/>
  <c r="L23"/>
  <c r="M23"/>
  <c r="N23"/>
  <c r="O23"/>
  <c r="M3"/>
  <c r="N3"/>
  <c r="O3"/>
  <c r="L3"/>
  <c r="Y21" i="530" l="1"/>
  <c r="Y22"/>
  <c r="AE16" i="529"/>
  <c r="T19"/>
  <c r="U19"/>
  <c r="S19"/>
  <c r="Y6" i="528" a="1"/>
  <c r="Y6" s="1"/>
  <c r="AD14"/>
  <c r="Y6" i="529" a="1"/>
  <c r="Y6" s="1"/>
  <c r="R19"/>
  <c r="AE16" i="528"/>
  <c r="AD14" i="529"/>
  <c r="AD10"/>
  <c r="AD16" s="1"/>
  <c r="S19" i="528"/>
  <c r="S10" s="1"/>
  <c r="T19"/>
  <c r="T10" s="1"/>
  <c r="Z6" i="529" a="1"/>
  <c r="Z6" s="1"/>
  <c r="R19" i="528"/>
  <c r="R10" s="1"/>
  <c r="U19"/>
  <c r="U10" s="1"/>
  <c r="AD10"/>
  <c r="AD16" s="1"/>
  <c r="U16" i="527"/>
  <c r="J22"/>
  <c r="I22"/>
  <c r="H22"/>
  <c r="G22"/>
  <c r="S20" a="1"/>
  <c r="S22" s="1"/>
  <c r="J19"/>
  <c r="I19"/>
  <c r="H19"/>
  <c r="G19"/>
  <c r="T14"/>
  <c r="M13"/>
  <c r="M12"/>
  <c r="M11"/>
  <c r="M10"/>
  <c r="J10"/>
  <c r="I10"/>
  <c r="H10"/>
  <c r="G10"/>
  <c r="M9"/>
  <c r="M8"/>
  <c r="M7"/>
  <c r="J7"/>
  <c r="I7"/>
  <c r="J6" s="1"/>
  <c r="H7"/>
  <c r="J5" s="1"/>
  <c r="G7"/>
  <c r="J4" s="1"/>
  <c r="O6" a="1"/>
  <c r="O8" s="1"/>
  <c r="M6"/>
  <c r="I6"/>
  <c r="H6"/>
  <c r="I5" s="1"/>
  <c r="G6"/>
  <c r="I4" s="1"/>
  <c r="M5"/>
  <c r="H5"/>
  <c r="G5"/>
  <c r="H4" s="1"/>
  <c r="M4"/>
  <c r="G4"/>
  <c r="J22" i="517"/>
  <c r="I22"/>
  <c r="H22"/>
  <c r="G22"/>
  <c r="S20" a="1"/>
  <c r="S21" s="1"/>
  <c r="U16"/>
  <c r="T14"/>
  <c r="T16"/>
  <c r="P6" a="1"/>
  <c r="P8" s="1"/>
  <c r="H22" i="522"/>
  <c r="I22"/>
  <c r="J22"/>
  <c r="G22"/>
  <c r="J7"/>
  <c r="I7"/>
  <c r="J6" s="1"/>
  <c r="H7"/>
  <c r="J5" s="1"/>
  <c r="G7"/>
  <c r="J4" s="1"/>
  <c r="I6"/>
  <c r="H6"/>
  <c r="I5" s="1"/>
  <c r="G6"/>
  <c r="I4" s="1"/>
  <c r="H5"/>
  <c r="G5"/>
  <c r="H4" s="1"/>
  <c r="G4"/>
  <c r="AA20" a="1"/>
  <c r="AA20" s="1"/>
  <c r="S20" a="1"/>
  <c r="S20" s="1"/>
  <c r="J19"/>
  <c r="I19"/>
  <c r="H19"/>
  <c r="G19"/>
  <c r="AC16"/>
  <c r="U16"/>
  <c r="AB14"/>
  <c r="T14"/>
  <c r="M13"/>
  <c r="M12"/>
  <c r="M11"/>
  <c r="AB10"/>
  <c r="AB16" s="1"/>
  <c r="T10"/>
  <c r="T16" s="1"/>
  <c r="M10"/>
  <c r="J10"/>
  <c r="I10"/>
  <c r="H10"/>
  <c r="G10"/>
  <c r="M9"/>
  <c r="M8"/>
  <c r="M7"/>
  <c r="P6" a="1"/>
  <c r="P8" s="1"/>
  <c r="M6"/>
  <c r="M5"/>
  <c r="M4"/>
  <c r="AD15" i="528" l="1"/>
  <c r="Y8"/>
  <c r="AD15" i="529"/>
  <c r="Y7" i="528"/>
  <c r="O19" i="522" a="1"/>
  <c r="Y7" i="529"/>
  <c r="Y8"/>
  <c r="S21" i="522"/>
  <c r="S22"/>
  <c r="Z8" i="529"/>
  <c r="Z7"/>
  <c r="R4" i="528"/>
  <c r="AB15" i="522"/>
  <c r="P7"/>
  <c r="T15"/>
  <c r="O6" i="527"/>
  <c r="K22"/>
  <c r="T10" s="1"/>
  <c r="T16" s="1"/>
  <c r="T15" s="1"/>
  <c r="P6" a="1"/>
  <c r="P8" s="1"/>
  <c r="T22" s="1"/>
  <c r="O7"/>
  <c r="S20"/>
  <c r="S21"/>
  <c r="T15" i="517"/>
  <c r="P6"/>
  <c r="P7"/>
  <c r="S22"/>
  <c r="S20"/>
  <c r="Q6" i="522" a="1"/>
  <c r="AA21"/>
  <c r="P6"/>
  <c r="AA22"/>
  <c r="AC19" i="528" l="1" a="1"/>
  <c r="AC19" s="1"/>
  <c r="Z5" i="529" a="1"/>
  <c r="Z5" s="1"/>
  <c r="AD19" s="1"/>
  <c r="P6" i="527"/>
  <c r="T20" s="1"/>
  <c r="AC19" i="529" a="1"/>
  <c r="Q19" i="522"/>
  <c r="Q20"/>
  <c r="O19"/>
  <c r="P19"/>
  <c r="P21"/>
  <c r="Q21"/>
  <c r="O20"/>
  <c r="P20"/>
  <c r="O21"/>
  <c r="AD20" i="529" a="1"/>
  <c r="AD20" s="1"/>
  <c r="P7" i="527"/>
  <c r="T21" s="1"/>
  <c r="Q8" i="522"/>
  <c r="T22" s="1"/>
  <c r="Q7"/>
  <c r="T21" s="1"/>
  <c r="Q6"/>
  <c r="AC21" i="528" l="1"/>
  <c r="AC20"/>
  <c r="AC22"/>
  <c r="AD22" i="529"/>
  <c r="AC19"/>
  <c r="AC22"/>
  <c r="AC21"/>
  <c r="AC20"/>
  <c r="Q5" i="522"/>
  <c r="T19" s="1"/>
  <c r="AD21" i="529"/>
  <c r="P5" i="527"/>
  <c r="T19" s="1"/>
  <c r="T20" i="522"/>
  <c r="P3" i="511" l="1"/>
  <c r="Q3"/>
  <c r="R3"/>
  <c r="O3"/>
  <c r="T18" l="1" a="1"/>
  <c r="T18" s="1"/>
  <c r="T20" l="1"/>
  <c r="T19"/>
  <c r="M13" i="517" l="1"/>
  <c r="M12"/>
  <c r="M11"/>
  <c r="M10"/>
  <c r="M9"/>
  <c r="M8"/>
  <c r="M7"/>
  <c r="M6"/>
  <c r="M4"/>
  <c r="J19"/>
  <c r="I19"/>
  <c r="H19"/>
  <c r="G19"/>
  <c r="J10"/>
  <c r="I10"/>
  <c r="H10"/>
  <c r="G10"/>
  <c r="J7"/>
  <c r="I7"/>
  <c r="J6" s="1"/>
  <c r="H7"/>
  <c r="J5" s="1"/>
  <c r="G7"/>
  <c r="J4" s="1"/>
  <c r="I6"/>
  <c r="H6"/>
  <c r="I5" s="1"/>
  <c r="G6"/>
  <c r="I4" s="1"/>
  <c r="H5"/>
  <c r="G5"/>
  <c r="H4" s="1"/>
  <c r="G4"/>
  <c r="J19" i="516"/>
  <c r="I19"/>
  <c r="H19"/>
  <c r="G19"/>
  <c r="A5" i="51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A11" i="514" a="1"/>
  <c r="AA11" s="1"/>
  <c r="AA12" a="1"/>
  <c r="AA12" s="1"/>
  <c r="AA13" a="1"/>
  <c r="AA13" s="1"/>
  <c r="L14" i="516" l="1" a="1"/>
  <c r="Q6" i="517" a="1"/>
  <c r="G4" i="514"/>
  <c r="AD4" s="1"/>
  <c r="G5"/>
  <c r="AD5" s="1"/>
  <c r="G6"/>
  <c r="AD6" s="1"/>
  <c r="G7"/>
  <c r="AD7" s="1"/>
  <c r="G8"/>
  <c r="AD8" s="1"/>
  <c r="G9"/>
  <c r="AD9" s="1"/>
  <c r="G10"/>
  <c r="AD10" s="1"/>
  <c r="G11"/>
  <c r="AD11" s="1"/>
  <c r="G12"/>
  <c r="AD12" s="1"/>
  <c r="G13"/>
  <c r="AD13" s="1"/>
  <c r="G14"/>
  <c r="AD14" s="1"/>
  <c r="G15"/>
  <c r="AD15" s="1"/>
  <c r="G16"/>
  <c r="AD16" s="1"/>
  <c r="G17"/>
  <c r="AD17" s="1"/>
  <c r="G18"/>
  <c r="AD18" s="1"/>
  <c r="G19"/>
  <c r="AD19" s="1"/>
  <c r="G20"/>
  <c r="AD20" s="1"/>
  <c r="G21"/>
  <c r="AD21" s="1"/>
  <c r="G22"/>
  <c r="AD22" s="1"/>
  <c r="G23"/>
  <c r="AD23" s="1"/>
  <c r="H3"/>
  <c r="AE3" s="1"/>
  <c r="I3"/>
  <c r="AF3" s="1"/>
  <c r="J3"/>
  <c r="AG3" s="1"/>
  <c r="K3"/>
  <c r="AH3" s="1"/>
  <c r="G3"/>
  <c r="AD3" s="1"/>
  <c r="E25"/>
  <c r="D25"/>
  <c r="C25"/>
  <c r="B25"/>
  <c r="E24"/>
  <c r="D24"/>
  <c r="C24"/>
  <c r="B24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L15" i="516" l="1"/>
  <c r="H10" s="1"/>
  <c r="L14"/>
  <c r="G10" s="1"/>
  <c r="Q9" s="1"/>
  <c r="L17"/>
  <c r="J10" s="1"/>
  <c r="R9" s="1"/>
  <c r="L16"/>
  <c r="I10" s="1"/>
  <c r="M20" i="514" a="1"/>
  <c r="M20" s="1"/>
  <c r="Q8" i="517"/>
  <c r="T22" s="1"/>
  <c r="Q7"/>
  <c r="T21" s="1"/>
  <c r="Q6"/>
  <c r="M21" i="514" l="1"/>
  <c r="M22"/>
  <c r="Q5" i="517"/>
  <c r="T19" s="1"/>
  <c r="T20"/>
  <c r="E25" i="511"/>
  <c r="D25"/>
  <c r="C25"/>
  <c r="B25"/>
  <c r="E24"/>
  <c r="D24"/>
  <c r="C24"/>
  <c r="B24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E26" i="510" l="1"/>
  <c r="D26"/>
  <c r="C26"/>
  <c r="B26"/>
  <c r="E25"/>
  <c r="D25"/>
  <c r="C25"/>
  <c r="B25"/>
  <c r="Y5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S5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M5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G5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I19" i="518" l="1"/>
  <c r="G19"/>
  <c r="J19"/>
  <c r="H19"/>
  <c r="A4" i="509"/>
  <c r="B4"/>
  <c r="C4"/>
  <c r="D4"/>
  <c r="E4"/>
  <c r="B5"/>
  <c r="C5"/>
  <c r="D5"/>
  <c r="E5"/>
  <c r="B6"/>
  <c r="C6"/>
  <c r="D6"/>
  <c r="E6"/>
  <c r="B7"/>
  <c r="C7"/>
  <c r="D7"/>
  <c r="E7"/>
  <c r="B8"/>
  <c r="C8"/>
  <c r="D8"/>
  <c r="E8"/>
  <c r="B9"/>
  <c r="C9"/>
  <c r="D9"/>
  <c r="E9"/>
  <c r="B10"/>
  <c r="C10"/>
  <c r="D10"/>
  <c r="E10"/>
  <c r="B11"/>
  <c r="C11"/>
  <c r="D11"/>
  <c r="E11"/>
  <c r="B12"/>
  <c r="C12"/>
  <c r="D12"/>
  <c r="E12"/>
  <c r="B13"/>
  <c r="C13"/>
  <c r="D13"/>
  <c r="E13"/>
  <c r="B14"/>
  <c r="C14"/>
  <c r="D14"/>
  <c r="E14"/>
  <c r="B15"/>
  <c r="C15"/>
  <c r="D15"/>
  <c r="E15"/>
  <c r="B16"/>
  <c r="C16"/>
  <c r="D16"/>
  <c r="E16"/>
  <c r="B17"/>
  <c r="C17"/>
  <c r="D17"/>
  <c r="E17"/>
  <c r="B18"/>
  <c r="C18"/>
  <c r="D18"/>
  <c r="E18"/>
  <c r="B19"/>
  <c r="C19"/>
  <c r="D19"/>
  <c r="E19"/>
  <c r="B20"/>
  <c r="C20"/>
  <c r="D20"/>
  <c r="E20"/>
  <c r="B21"/>
  <c r="C21"/>
  <c r="D21"/>
  <c r="E21"/>
  <c r="B22"/>
  <c r="C22"/>
  <c r="D22"/>
  <c r="E22"/>
  <c r="B23"/>
  <c r="C23"/>
  <c r="D23"/>
  <c r="E23"/>
  <c r="B3"/>
  <c r="C3"/>
  <c r="D3"/>
  <c r="E3"/>
  <c r="A3"/>
  <c r="G5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Y5" i="508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S5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M5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E26"/>
  <c r="D26"/>
  <c r="C26"/>
  <c r="B26"/>
  <c r="E25"/>
  <c r="D25"/>
  <c r="C25"/>
  <c r="B25"/>
  <c r="G5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B24" i="509" l="1"/>
  <c r="B25"/>
  <c r="L14" i="518" a="1"/>
  <c r="E24" i="509"/>
  <c r="D25"/>
  <c r="C25"/>
  <c r="E25"/>
  <c r="C24"/>
  <c r="D24"/>
  <c r="M5" i="507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G5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E25"/>
  <c r="D25"/>
  <c r="C25"/>
  <c r="B25"/>
  <c r="E24"/>
  <c r="D24"/>
  <c r="C24"/>
  <c r="B24"/>
  <c r="A5"/>
  <c r="E25" i="506"/>
  <c r="D25"/>
  <c r="C25"/>
  <c r="B25"/>
  <c r="E24"/>
  <c r="D24"/>
  <c r="C24"/>
  <c r="B24"/>
  <c r="N13" i="538" l="1"/>
  <c r="L16" i="518"/>
  <c r="I10" s="1"/>
  <c r="L17"/>
  <c r="J10" s="1"/>
  <c r="L14"/>
  <c r="G10" s="1"/>
  <c r="L15"/>
  <c r="H10" s="1"/>
  <c r="A6" i="507"/>
  <c r="A5" i="509"/>
  <c r="G5" i="505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A7" i="507" l="1"/>
  <c r="A6" i="509"/>
  <c r="M5" i="505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E25"/>
  <c r="D25"/>
  <c r="C25"/>
  <c r="B25"/>
  <c r="E24"/>
  <c r="D24"/>
  <c r="C24"/>
  <c r="B24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C24" i="504"/>
  <c r="D24"/>
  <c r="E24"/>
  <c r="C25"/>
  <c r="D25"/>
  <c r="E25"/>
  <c r="B25"/>
  <c r="B24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8" i="507" l="1"/>
  <c r="A7" i="509"/>
  <c r="A9" i="507" l="1"/>
  <c r="A8" i="509"/>
  <c r="B20" i="502"/>
  <c r="C19"/>
  <c r="B19"/>
  <c r="C18"/>
  <c r="B18"/>
  <c r="F17"/>
  <c r="J17" s="1"/>
  <c r="F16"/>
  <c r="J16" s="1"/>
  <c r="F15"/>
  <c r="J15" s="1"/>
  <c r="F14"/>
  <c r="J14" s="1"/>
  <c r="F13"/>
  <c r="J13" s="1"/>
  <c r="G12"/>
  <c r="K12" s="1"/>
  <c r="M12" s="1"/>
  <c r="F12"/>
  <c r="J12" s="1"/>
  <c r="G11"/>
  <c r="K11" s="1"/>
  <c r="M11" s="1"/>
  <c r="F11"/>
  <c r="J11" s="1"/>
  <c r="G10"/>
  <c r="K10" s="1"/>
  <c r="M10" s="1"/>
  <c r="F10"/>
  <c r="J10" s="1"/>
  <c r="G9"/>
  <c r="K9" s="1"/>
  <c r="M9" s="1"/>
  <c r="F9"/>
  <c r="J9" s="1"/>
  <c r="G8"/>
  <c r="K8" s="1"/>
  <c r="M8" s="1"/>
  <c r="F8"/>
  <c r="J8" s="1"/>
  <c r="I7"/>
  <c r="I8" s="1"/>
  <c r="I9" s="1"/>
  <c r="I10" s="1"/>
  <c r="I11" s="1"/>
  <c r="I12" s="1"/>
  <c r="I13" s="1"/>
  <c r="I14" s="1"/>
  <c r="I15" s="1"/>
  <c r="I16" s="1"/>
  <c r="I17" s="1"/>
  <c r="G7"/>
  <c r="K7" s="1"/>
  <c r="M7" s="1"/>
  <c r="F7"/>
  <c r="J7" s="1"/>
  <c r="E7"/>
  <c r="E8" s="1"/>
  <c r="E9" s="1"/>
  <c r="E10" s="1"/>
  <c r="E11" s="1"/>
  <c r="E12" s="1"/>
  <c r="E13" s="1"/>
  <c r="E14" s="1"/>
  <c r="E15" s="1"/>
  <c r="E16" s="1"/>
  <c r="E17" s="1"/>
  <c r="A7"/>
  <c r="A8" s="1"/>
  <c r="A9" s="1"/>
  <c r="A10" s="1"/>
  <c r="A11" s="1"/>
  <c r="A12" s="1"/>
  <c r="A13" s="1"/>
  <c r="A14" s="1"/>
  <c r="A15" s="1"/>
  <c r="A16" s="1"/>
  <c r="A17" s="1"/>
  <c r="G6"/>
  <c r="K6" s="1"/>
  <c r="F6"/>
  <c r="B20" i="499"/>
  <c r="B20" i="501"/>
  <c r="C19"/>
  <c r="B19"/>
  <c r="C18"/>
  <c r="B18"/>
  <c r="F17"/>
  <c r="J17" s="1"/>
  <c r="F16"/>
  <c r="J16" s="1"/>
  <c r="F15"/>
  <c r="J15" s="1"/>
  <c r="F14"/>
  <c r="J14" s="1"/>
  <c r="F13"/>
  <c r="J13" s="1"/>
  <c r="G12"/>
  <c r="K12" s="1"/>
  <c r="F12"/>
  <c r="J12" s="1"/>
  <c r="G11"/>
  <c r="K11" s="1"/>
  <c r="F11"/>
  <c r="J11" s="1"/>
  <c r="G10"/>
  <c r="K10" s="1"/>
  <c r="F10"/>
  <c r="J10" s="1"/>
  <c r="G9"/>
  <c r="K9" s="1"/>
  <c r="F9"/>
  <c r="J9" s="1"/>
  <c r="G8"/>
  <c r="K8" s="1"/>
  <c r="F8"/>
  <c r="J8" s="1"/>
  <c r="I7"/>
  <c r="I8" s="1"/>
  <c r="I9" s="1"/>
  <c r="I10" s="1"/>
  <c r="I11" s="1"/>
  <c r="I12" s="1"/>
  <c r="I13" s="1"/>
  <c r="I14" s="1"/>
  <c r="I15" s="1"/>
  <c r="I16" s="1"/>
  <c r="I17" s="1"/>
  <c r="G7"/>
  <c r="K7" s="1"/>
  <c r="F7"/>
  <c r="E7"/>
  <c r="E8" s="1"/>
  <c r="E9" s="1"/>
  <c r="E10" s="1"/>
  <c r="E11" s="1"/>
  <c r="E12" s="1"/>
  <c r="E13" s="1"/>
  <c r="E14" s="1"/>
  <c r="E15" s="1"/>
  <c r="E16" s="1"/>
  <c r="E17" s="1"/>
  <c r="A7"/>
  <c r="A8" s="1"/>
  <c r="A9" s="1"/>
  <c r="A10" s="1"/>
  <c r="A11" s="1"/>
  <c r="A12" s="1"/>
  <c r="A13" s="1"/>
  <c r="A14" s="1"/>
  <c r="A15" s="1"/>
  <c r="A16" s="1"/>
  <c r="A17" s="1"/>
  <c r="G6"/>
  <c r="F6"/>
  <c r="J6" s="1"/>
  <c r="I7" i="500"/>
  <c r="I8" s="1"/>
  <c r="I9" s="1"/>
  <c r="I10" s="1"/>
  <c r="I11" s="1"/>
  <c r="I12" s="1"/>
  <c r="I13" s="1"/>
  <c r="I14" s="1"/>
  <c r="I15" s="1"/>
  <c r="I16" s="1"/>
  <c r="I17" s="1"/>
  <c r="C19"/>
  <c r="B19"/>
  <c r="C18"/>
  <c r="B18"/>
  <c r="F17"/>
  <c r="J17" s="1"/>
  <c r="F16"/>
  <c r="J16" s="1"/>
  <c r="F15"/>
  <c r="J15" s="1"/>
  <c r="F14"/>
  <c r="F13"/>
  <c r="J13" s="1"/>
  <c r="G12"/>
  <c r="K12" s="1"/>
  <c r="F12"/>
  <c r="J12" s="1"/>
  <c r="G11"/>
  <c r="K11" s="1"/>
  <c r="F11"/>
  <c r="J11" s="1"/>
  <c r="G10"/>
  <c r="K10" s="1"/>
  <c r="F10"/>
  <c r="J10" s="1"/>
  <c r="G9"/>
  <c r="K9" s="1"/>
  <c r="F9"/>
  <c r="J9" s="1"/>
  <c r="G8"/>
  <c r="F8"/>
  <c r="J8" s="1"/>
  <c r="G7"/>
  <c r="K7" s="1"/>
  <c r="F7"/>
  <c r="J7" s="1"/>
  <c r="E7"/>
  <c r="E8" s="1"/>
  <c r="E9" s="1"/>
  <c r="E10" s="1"/>
  <c r="E11" s="1"/>
  <c r="E12" s="1"/>
  <c r="E13" s="1"/>
  <c r="E14" s="1"/>
  <c r="E15" s="1"/>
  <c r="E16" s="1"/>
  <c r="E17" s="1"/>
  <c r="A7"/>
  <c r="A8" s="1"/>
  <c r="A9" s="1"/>
  <c r="A10" s="1"/>
  <c r="A11" s="1"/>
  <c r="A12" s="1"/>
  <c r="A13" s="1"/>
  <c r="A14" s="1"/>
  <c r="A15" s="1"/>
  <c r="A16" s="1"/>
  <c r="A17" s="1"/>
  <c r="G6"/>
  <c r="F6"/>
  <c r="J6" s="1"/>
  <c r="Q20" i="499" a="1"/>
  <c r="Q20" s="1"/>
  <c r="I20" a="1"/>
  <c r="I20" s="1"/>
  <c r="K16"/>
  <c r="J14"/>
  <c r="J10"/>
  <c r="J16" s="1"/>
  <c r="F7"/>
  <c r="G7"/>
  <c r="F8"/>
  <c r="G8"/>
  <c r="F9"/>
  <c r="G9"/>
  <c r="F10"/>
  <c r="G10"/>
  <c r="F11"/>
  <c r="G11"/>
  <c r="F12"/>
  <c r="G12"/>
  <c r="F13"/>
  <c r="F14"/>
  <c r="F15"/>
  <c r="F16"/>
  <c r="F17"/>
  <c r="G6"/>
  <c r="F6"/>
  <c r="R14" s="1"/>
  <c r="C19"/>
  <c r="B19"/>
  <c r="C18"/>
  <c r="B18"/>
  <c r="E7"/>
  <c r="E8" s="1"/>
  <c r="E9" s="1"/>
  <c r="E10" s="1"/>
  <c r="E11" s="1"/>
  <c r="E12" s="1"/>
  <c r="E13" s="1"/>
  <c r="E14" s="1"/>
  <c r="A7"/>
  <c r="A8" s="1"/>
  <c r="A9" s="1"/>
  <c r="A10" s="1"/>
  <c r="A11" s="1"/>
  <c r="A12" s="1"/>
  <c r="A13" s="1"/>
  <c r="A14" s="1"/>
  <c r="G19" i="500" l="1"/>
  <c r="F18" i="501"/>
  <c r="F20" i="499"/>
  <c r="K6" i="500"/>
  <c r="G18"/>
  <c r="K13" s="1"/>
  <c r="K14" s="1"/>
  <c r="K15" s="1"/>
  <c r="K16" s="1"/>
  <c r="K17" s="1"/>
  <c r="K13" i="501" a="1"/>
  <c r="K17" s="1"/>
  <c r="F18" i="502"/>
  <c r="F19" i="500"/>
  <c r="K8"/>
  <c r="J14"/>
  <c r="J18" s="1"/>
  <c r="F19" i="501"/>
  <c r="J7"/>
  <c r="J19" s="1"/>
  <c r="K13" i="502" a="1"/>
  <c r="K15" s="1"/>
  <c r="M6"/>
  <c r="A10" i="507"/>
  <c r="A9" i="509"/>
  <c r="F19" i="502"/>
  <c r="J6"/>
  <c r="G19"/>
  <c r="F20"/>
  <c r="G18"/>
  <c r="F20" i="501"/>
  <c r="G18"/>
  <c r="S16" i="499"/>
  <c r="G19" i="501"/>
  <c r="K6"/>
  <c r="F18" i="500"/>
  <c r="J15" i="499"/>
  <c r="R10"/>
  <c r="R16" s="1"/>
  <c r="R15" s="1"/>
  <c r="E15"/>
  <c r="E16" s="1"/>
  <c r="E17" s="1"/>
  <c r="F18"/>
  <c r="F19"/>
  <c r="A15"/>
  <c r="A16" s="1"/>
  <c r="A17" s="1"/>
  <c r="G18"/>
  <c r="E11" i="88"/>
  <c r="K19" i="500" l="1"/>
  <c r="K15" i="501"/>
  <c r="J18"/>
  <c r="K17" i="502"/>
  <c r="K18" i="500"/>
  <c r="K16" i="502"/>
  <c r="K14" i="501"/>
  <c r="K16"/>
  <c r="K13" i="502"/>
  <c r="K13" i="501"/>
  <c r="J19" i="500"/>
  <c r="K14" i="502"/>
  <c r="A11" i="507"/>
  <c r="A10" i="509"/>
  <c r="J19" i="502"/>
  <c r="J18"/>
  <c r="G19" i="499"/>
  <c r="AA95" i="288"/>
  <c r="AF55" s="1"/>
  <c r="Q95"/>
  <c r="R95"/>
  <c r="S95"/>
  <c r="T95"/>
  <c r="U95"/>
  <c r="V95"/>
  <c r="W95"/>
  <c r="X95"/>
  <c r="Y95"/>
  <c r="Z95"/>
  <c r="P95"/>
  <c r="AA94"/>
  <c r="Q94"/>
  <c r="R94"/>
  <c r="S94"/>
  <c r="T94"/>
  <c r="U94"/>
  <c r="V94"/>
  <c r="W94"/>
  <c r="X94"/>
  <c r="Y94"/>
  <c r="Z94"/>
  <c r="P94"/>
  <c r="AA93"/>
  <c r="Q93"/>
  <c r="R93"/>
  <c r="S93"/>
  <c r="T93"/>
  <c r="U93"/>
  <c r="V93"/>
  <c r="W93"/>
  <c r="X93"/>
  <c r="Y93"/>
  <c r="Z93"/>
  <c r="P93"/>
  <c r="AA92"/>
  <c r="Q92"/>
  <c r="R92"/>
  <c r="S92"/>
  <c r="T92"/>
  <c r="U92"/>
  <c r="V92"/>
  <c r="W92"/>
  <c r="X92"/>
  <c r="Y92"/>
  <c r="Z92"/>
  <c r="P92"/>
  <c r="AA91"/>
  <c r="Q91"/>
  <c r="R91"/>
  <c r="S91"/>
  <c r="T91"/>
  <c r="U91"/>
  <c r="V91"/>
  <c r="W91"/>
  <c r="X91"/>
  <c r="Y91"/>
  <c r="Z91"/>
  <c r="P91"/>
  <c r="AA90"/>
  <c r="Q90"/>
  <c r="R90"/>
  <c r="S90"/>
  <c r="T90"/>
  <c r="U90"/>
  <c r="V90"/>
  <c r="W90"/>
  <c r="X90"/>
  <c r="Y90"/>
  <c r="Z90"/>
  <c r="P90"/>
  <c r="AA89"/>
  <c r="Q89"/>
  <c r="R89"/>
  <c r="S89"/>
  <c r="T89"/>
  <c r="U89"/>
  <c r="V89"/>
  <c r="W89"/>
  <c r="X89"/>
  <c r="Y89"/>
  <c r="Z89"/>
  <c r="P89"/>
  <c r="AA88"/>
  <c r="Q88"/>
  <c r="R88"/>
  <c r="S88"/>
  <c r="T88"/>
  <c r="U88"/>
  <c r="V88"/>
  <c r="W88"/>
  <c r="X88"/>
  <c r="Y88"/>
  <c r="Z88"/>
  <c r="P88"/>
  <c r="AA87"/>
  <c r="Q87"/>
  <c r="R87"/>
  <c r="S87"/>
  <c r="T87"/>
  <c r="U87"/>
  <c r="V87"/>
  <c r="W87"/>
  <c r="X87"/>
  <c r="Y87"/>
  <c r="Z87"/>
  <c r="P87"/>
  <c r="AA86"/>
  <c r="Q86"/>
  <c r="R86"/>
  <c r="S86"/>
  <c r="T86"/>
  <c r="U86"/>
  <c r="V86"/>
  <c r="W86"/>
  <c r="X86"/>
  <c r="Y86"/>
  <c r="Z86"/>
  <c r="P86"/>
  <c r="AA85"/>
  <c r="Q85"/>
  <c r="R85"/>
  <c r="S85"/>
  <c r="T85"/>
  <c r="U85"/>
  <c r="V85"/>
  <c r="W85"/>
  <c r="X85"/>
  <c r="Y85"/>
  <c r="Z85"/>
  <c r="P85"/>
  <c r="AA84"/>
  <c r="Q84"/>
  <c r="R84"/>
  <c r="S84"/>
  <c r="T84"/>
  <c r="U84"/>
  <c r="V84"/>
  <c r="W84"/>
  <c r="X84"/>
  <c r="Y84"/>
  <c r="Z84"/>
  <c r="P84"/>
  <c r="AA83"/>
  <c r="Q83"/>
  <c r="R83"/>
  <c r="S83"/>
  <c r="T83"/>
  <c r="U83"/>
  <c r="V83"/>
  <c r="W83"/>
  <c r="X83"/>
  <c r="Y83"/>
  <c r="Z83"/>
  <c r="P83"/>
  <c r="O83"/>
  <c r="Q82"/>
  <c r="R82"/>
  <c r="S82"/>
  <c r="T82"/>
  <c r="U82"/>
  <c r="V82"/>
  <c r="W82"/>
  <c r="X82"/>
  <c r="Y82"/>
  <c r="Z82"/>
  <c r="P82"/>
  <c r="AA79"/>
  <c r="Q79"/>
  <c r="R79"/>
  <c r="S79"/>
  <c r="T79"/>
  <c r="U79"/>
  <c r="V79"/>
  <c r="W79"/>
  <c r="X79"/>
  <c r="Y79"/>
  <c r="Z79"/>
  <c r="P79"/>
  <c r="AA78"/>
  <c r="Q78"/>
  <c r="R78"/>
  <c r="S78"/>
  <c r="T78"/>
  <c r="U78"/>
  <c r="V78"/>
  <c r="W78"/>
  <c r="X78"/>
  <c r="Y78"/>
  <c r="Z78"/>
  <c r="P78"/>
  <c r="AA77"/>
  <c r="Q77"/>
  <c r="R77"/>
  <c r="S77"/>
  <c r="T77"/>
  <c r="U77"/>
  <c r="V77"/>
  <c r="W77"/>
  <c r="X77"/>
  <c r="Y77"/>
  <c r="Z77"/>
  <c r="P77"/>
  <c r="AA76"/>
  <c r="Q76"/>
  <c r="R76"/>
  <c r="S76"/>
  <c r="T76"/>
  <c r="U76"/>
  <c r="V76"/>
  <c r="W76"/>
  <c r="X76"/>
  <c r="Y76"/>
  <c r="Z76"/>
  <c r="P76"/>
  <c r="AA75"/>
  <c r="Q75"/>
  <c r="R75"/>
  <c r="S75"/>
  <c r="T75"/>
  <c r="U75"/>
  <c r="V75"/>
  <c r="W75"/>
  <c r="X75"/>
  <c r="Y75"/>
  <c r="Z75"/>
  <c r="P75"/>
  <c r="AA74"/>
  <c r="Q74"/>
  <c r="R74"/>
  <c r="S74"/>
  <c r="T74"/>
  <c r="U74"/>
  <c r="V74"/>
  <c r="W74"/>
  <c r="X74"/>
  <c r="Y74"/>
  <c r="Z74"/>
  <c r="P74"/>
  <c r="AA73"/>
  <c r="Q73"/>
  <c r="R73"/>
  <c r="S73"/>
  <c r="T73"/>
  <c r="U73"/>
  <c r="V73"/>
  <c r="W73"/>
  <c r="X73"/>
  <c r="Y73"/>
  <c r="Z73"/>
  <c r="P73"/>
  <c r="AA72"/>
  <c r="Q72"/>
  <c r="R72"/>
  <c r="S72"/>
  <c r="T72"/>
  <c r="U72"/>
  <c r="V72"/>
  <c r="W72"/>
  <c r="X72"/>
  <c r="Y72"/>
  <c r="Z72"/>
  <c r="P72"/>
  <c r="AA71"/>
  <c r="Q71"/>
  <c r="R71"/>
  <c r="S71"/>
  <c r="T71"/>
  <c r="U71"/>
  <c r="V71"/>
  <c r="W71"/>
  <c r="X71"/>
  <c r="Y71"/>
  <c r="Z71"/>
  <c r="P71"/>
  <c r="AA70"/>
  <c r="Q70"/>
  <c r="R70"/>
  <c r="S70"/>
  <c r="T70"/>
  <c r="U70"/>
  <c r="V70"/>
  <c r="W70"/>
  <c r="X70"/>
  <c r="Y70"/>
  <c r="Z70"/>
  <c r="P70"/>
  <c r="AA69"/>
  <c r="Q69"/>
  <c r="R69"/>
  <c r="S69"/>
  <c r="T69"/>
  <c r="U69"/>
  <c r="V69"/>
  <c r="W69"/>
  <c r="X69"/>
  <c r="Y69"/>
  <c r="Z69"/>
  <c r="P69"/>
  <c r="AA68"/>
  <c r="Q68"/>
  <c r="R68"/>
  <c r="S68"/>
  <c r="T68"/>
  <c r="U68"/>
  <c r="V68"/>
  <c r="W68"/>
  <c r="X68"/>
  <c r="Y68"/>
  <c r="Z68"/>
  <c r="P68"/>
  <c r="AA67"/>
  <c r="AE51" s="1"/>
  <c r="Q67"/>
  <c r="R67"/>
  <c r="S67"/>
  <c r="T67"/>
  <c r="U67"/>
  <c r="V67"/>
  <c r="W67"/>
  <c r="X67"/>
  <c r="Y67"/>
  <c r="Z67"/>
  <c r="P67"/>
  <c r="O67"/>
  <c r="Q66"/>
  <c r="R66"/>
  <c r="S66"/>
  <c r="T66"/>
  <c r="U66"/>
  <c r="V66"/>
  <c r="W66"/>
  <c r="X66"/>
  <c r="Y66"/>
  <c r="Z66"/>
  <c r="P66"/>
  <c r="AA63"/>
  <c r="AE55" s="1"/>
  <c r="Q63"/>
  <c r="R63"/>
  <c r="S63"/>
  <c r="T63"/>
  <c r="U63"/>
  <c r="V63"/>
  <c r="W63"/>
  <c r="X63"/>
  <c r="Y63"/>
  <c r="Z63"/>
  <c r="P63"/>
  <c r="AA62"/>
  <c r="Q62"/>
  <c r="R62"/>
  <c r="S62"/>
  <c r="T62"/>
  <c r="U62"/>
  <c r="V62"/>
  <c r="W62"/>
  <c r="X62"/>
  <c r="Y62"/>
  <c r="Z62"/>
  <c r="P62"/>
  <c r="AA61"/>
  <c r="Q61"/>
  <c r="R61"/>
  <c r="S61"/>
  <c r="T61"/>
  <c r="U61"/>
  <c r="V61"/>
  <c r="W61"/>
  <c r="X61"/>
  <c r="Y61"/>
  <c r="Z61"/>
  <c r="P61"/>
  <c r="AA60"/>
  <c r="Q60"/>
  <c r="R60"/>
  <c r="S60"/>
  <c r="T60"/>
  <c r="U60"/>
  <c r="V60"/>
  <c r="W60"/>
  <c r="X60"/>
  <c r="Y60"/>
  <c r="Z60"/>
  <c r="P60"/>
  <c r="AA59"/>
  <c r="Q59"/>
  <c r="R59"/>
  <c r="S59"/>
  <c r="T59"/>
  <c r="U59"/>
  <c r="V59"/>
  <c r="W59"/>
  <c r="X59"/>
  <c r="Y59"/>
  <c r="Z59"/>
  <c r="P59"/>
  <c r="AA58"/>
  <c r="Q58"/>
  <c r="R58"/>
  <c r="S58"/>
  <c r="T58"/>
  <c r="U58"/>
  <c r="V58"/>
  <c r="W58"/>
  <c r="X58"/>
  <c r="Y58"/>
  <c r="Z58"/>
  <c r="P58"/>
  <c r="AA57"/>
  <c r="Q57"/>
  <c r="R57"/>
  <c r="S57"/>
  <c r="T57"/>
  <c r="U57"/>
  <c r="V57"/>
  <c r="W57"/>
  <c r="X57"/>
  <c r="Y57"/>
  <c r="Z57"/>
  <c r="P57"/>
  <c r="AA56"/>
  <c r="Q56"/>
  <c r="R56"/>
  <c r="S56"/>
  <c r="T56"/>
  <c r="U56"/>
  <c r="V56"/>
  <c r="W56"/>
  <c r="X56"/>
  <c r="Y56"/>
  <c r="Z56"/>
  <c r="P56"/>
  <c r="AA55"/>
  <c r="Q55"/>
  <c r="R55"/>
  <c r="S55"/>
  <c r="T55"/>
  <c r="U55"/>
  <c r="V55"/>
  <c r="W55"/>
  <c r="X55"/>
  <c r="Y55"/>
  <c r="Z55"/>
  <c r="P55"/>
  <c r="AA54"/>
  <c r="Q54"/>
  <c r="R54"/>
  <c r="S54"/>
  <c r="T54"/>
  <c r="U54"/>
  <c r="V54"/>
  <c r="W54"/>
  <c r="X54"/>
  <c r="Y54"/>
  <c r="Z54"/>
  <c r="P54"/>
  <c r="AA53"/>
  <c r="Q53"/>
  <c r="R53"/>
  <c r="S53"/>
  <c r="T53"/>
  <c r="U53"/>
  <c r="V53"/>
  <c r="W53"/>
  <c r="X53"/>
  <c r="Y53"/>
  <c r="Z53"/>
  <c r="P53"/>
  <c r="AA52"/>
  <c r="Q52"/>
  <c r="R52"/>
  <c r="S52"/>
  <c r="T52"/>
  <c r="U52"/>
  <c r="V52"/>
  <c r="W52"/>
  <c r="X52"/>
  <c r="Y52"/>
  <c r="Z52"/>
  <c r="P52"/>
  <c r="AA51"/>
  <c r="AD51" s="1"/>
  <c r="AF51" s="1"/>
  <c r="Q51"/>
  <c r="R51"/>
  <c r="S51"/>
  <c r="T51"/>
  <c r="U51"/>
  <c r="V51"/>
  <c r="W51"/>
  <c r="X51"/>
  <c r="Y51"/>
  <c r="Z51"/>
  <c r="P51"/>
  <c r="O51"/>
  <c r="Q50"/>
  <c r="R50"/>
  <c r="S50"/>
  <c r="T50"/>
  <c r="U50"/>
  <c r="V50"/>
  <c r="W50"/>
  <c r="X50"/>
  <c r="Y50"/>
  <c r="Z50"/>
  <c r="P50"/>
  <c r="K19" i="501" l="1"/>
  <c r="J20"/>
  <c r="K18"/>
  <c r="AD52" i="288"/>
  <c r="K19" i="502"/>
  <c r="AE52" i="288"/>
  <c r="A12" i="507"/>
  <c r="A11" i="509"/>
  <c r="K20" i="502"/>
  <c r="K18"/>
  <c r="AD55" i="288"/>
  <c r="AD53" l="1"/>
  <c r="AF52"/>
  <c r="AE53"/>
  <c r="A13" i="507"/>
  <c r="A12" i="509"/>
  <c r="Q12" i="60"/>
  <c r="N12"/>
  <c r="O11" i="57"/>
  <c r="AF53" i="288" l="1"/>
  <c r="AG51" s="1"/>
  <c r="AH51" s="1"/>
  <c r="AI51" s="1"/>
  <c r="A14" i="507"/>
  <c r="A13" i="509"/>
  <c r="I5" i="498"/>
  <c r="AG52" i="288" l="1"/>
  <c r="AH52" s="1"/>
  <c r="AI52" s="1"/>
  <c r="A15" i="507"/>
  <c r="A14" i="509"/>
  <c r="E5" i="497"/>
  <c r="G5"/>
  <c r="E6"/>
  <c r="G6"/>
  <c r="E7"/>
  <c r="G7"/>
  <c r="E8"/>
  <c r="G8"/>
  <c r="E9"/>
  <c r="G9"/>
  <c r="E10"/>
  <c r="G10"/>
  <c r="E11"/>
  <c r="G11"/>
  <c r="E12"/>
  <c r="G12"/>
  <c r="E13"/>
  <c r="G13"/>
  <c r="G4"/>
  <c r="E4"/>
  <c r="S5" i="528" l="1"/>
  <c r="R7"/>
  <c r="U4" s="1"/>
  <c r="T6"/>
  <c r="R5"/>
  <c r="S4" s="1"/>
  <c r="Z6" s="1" a="1"/>
  <c r="U7"/>
  <c r="S7"/>
  <c r="U5" s="1"/>
  <c r="R6"/>
  <c r="T4" s="1"/>
  <c r="T7"/>
  <c r="U6" s="1"/>
  <c r="S6"/>
  <c r="T5" s="1"/>
  <c r="T7" i="522"/>
  <c r="T6" s="1"/>
  <c r="N25" i="538"/>
  <c r="N15"/>
  <c r="U5" i="508"/>
  <c r="T17"/>
  <c r="U19"/>
  <c r="V22"/>
  <c r="U10"/>
  <c r="V11"/>
  <c r="U13"/>
  <c r="U18"/>
  <c r="W14"/>
  <c r="V19"/>
  <c r="U11"/>
  <c r="U21"/>
  <c r="V5"/>
  <c r="V10"/>
  <c r="U6"/>
  <c r="U16"/>
  <c r="U12"/>
  <c r="W23"/>
  <c r="T14"/>
  <c r="V12"/>
  <c r="V13"/>
  <c r="V6"/>
  <c r="W12"/>
  <c r="W4"/>
  <c r="T9"/>
  <c r="T12"/>
  <c r="U23"/>
  <c r="W19"/>
  <c r="W6"/>
  <c r="T20"/>
  <c r="W17"/>
  <c r="T8"/>
  <c r="W15"/>
  <c r="U17"/>
  <c r="W8"/>
  <c r="U8"/>
  <c r="U14"/>
  <c r="U22"/>
  <c r="T10"/>
  <c r="V14"/>
  <c r="T6"/>
  <c r="V9"/>
  <c r="W21"/>
  <c r="V18"/>
  <c r="T7"/>
  <c r="T11"/>
  <c r="W16"/>
  <c r="U7"/>
  <c r="W10"/>
  <c r="W11"/>
  <c r="T13"/>
  <c r="W7"/>
  <c r="W13"/>
  <c r="U4"/>
  <c r="T15"/>
  <c r="U15"/>
  <c r="V21"/>
  <c r="W9"/>
  <c r="T5"/>
  <c r="T21"/>
  <c r="V15"/>
  <c r="V17"/>
  <c r="V23"/>
  <c r="U9"/>
  <c r="T16"/>
  <c r="V8"/>
  <c r="W22"/>
  <c r="V16"/>
  <c r="U20"/>
  <c r="V7"/>
  <c r="T22"/>
  <c r="T23"/>
  <c r="V20"/>
  <c r="V4"/>
  <c r="W18"/>
  <c r="T18"/>
  <c r="W20"/>
  <c r="W5"/>
  <c r="T19"/>
  <c r="L10" i="518"/>
  <c r="H7" s="1"/>
  <c r="J5" s="1"/>
  <c r="L8"/>
  <c r="M8" s="1"/>
  <c r="L4"/>
  <c r="G4" s="1"/>
  <c r="L12"/>
  <c r="I7" s="1"/>
  <c r="J6" s="1"/>
  <c r="L11"/>
  <c r="M11" s="1"/>
  <c r="L13"/>
  <c r="J7" s="1"/>
  <c r="L5"/>
  <c r="G5" s="1"/>
  <c r="H4" s="1"/>
  <c r="L7"/>
  <c r="G7" s="1"/>
  <c r="J4" s="1"/>
  <c r="L6"/>
  <c r="G6" s="1"/>
  <c r="I4" s="1"/>
  <c r="L9"/>
  <c r="H6" s="1"/>
  <c r="I5" s="1"/>
  <c r="N26" i="538"/>
  <c r="E24" i="522"/>
  <c r="K11" i="508"/>
  <c r="H9"/>
  <c r="I14"/>
  <c r="J4"/>
  <c r="K21"/>
  <c r="K20"/>
  <c r="K17"/>
  <c r="J16"/>
  <c r="H23"/>
  <c r="I23"/>
  <c r="I12"/>
  <c r="J18"/>
  <c r="I5"/>
  <c r="H12"/>
  <c r="K22"/>
  <c r="J23"/>
  <c r="K7"/>
  <c r="I8"/>
  <c r="K14"/>
  <c r="I6"/>
  <c r="J10"/>
  <c r="H8"/>
  <c r="I17"/>
  <c r="I19"/>
  <c r="K23"/>
  <c r="K12"/>
  <c r="H5"/>
  <c r="J19"/>
  <c r="J22"/>
  <c r="H17"/>
  <c r="J13"/>
  <c r="I21"/>
  <c r="I20"/>
  <c r="H10"/>
  <c r="K15"/>
  <c r="H21"/>
  <c r="H20"/>
  <c r="J17"/>
  <c r="J11"/>
  <c r="J8"/>
  <c r="H19"/>
  <c r="K5"/>
  <c r="I22"/>
  <c r="H16"/>
  <c r="I16"/>
  <c r="K6"/>
  <c r="J9"/>
  <c r="H18"/>
  <c r="K16"/>
  <c r="I4"/>
  <c r="K8"/>
  <c r="K4"/>
  <c r="K10"/>
  <c r="I11"/>
  <c r="H6"/>
  <c r="H13"/>
  <c r="J6"/>
  <c r="J14"/>
  <c r="J21"/>
  <c r="H14"/>
  <c r="J7"/>
  <c r="K9"/>
  <c r="H11"/>
  <c r="J15"/>
  <c r="I10"/>
  <c r="I18"/>
  <c r="I13"/>
  <c r="K18"/>
  <c r="I15"/>
  <c r="K19"/>
  <c r="H22"/>
  <c r="K13"/>
  <c r="H15"/>
  <c r="I7"/>
  <c r="J20"/>
  <c r="I9"/>
  <c r="J12"/>
  <c r="H7"/>
  <c r="J5"/>
  <c r="H24" i="505"/>
  <c r="J20" i="514"/>
  <c r="AG20" s="1"/>
  <c r="H9"/>
  <c r="AE9" s="1"/>
  <c r="J22"/>
  <c r="AG22" s="1"/>
  <c r="H5"/>
  <c r="AE5" s="1"/>
  <c r="J21"/>
  <c r="AG21" s="1"/>
  <c r="J6"/>
  <c r="AG6" s="1"/>
  <c r="K11"/>
  <c r="AH11" s="1"/>
  <c r="I17"/>
  <c r="AF17" s="1"/>
  <c r="I19"/>
  <c r="AF19" s="1"/>
  <c r="J17"/>
  <c r="AG17" s="1"/>
  <c r="K12"/>
  <c r="AH12" s="1"/>
  <c r="K9"/>
  <c r="AH9" s="1"/>
  <c r="I4"/>
  <c r="AF4" s="1"/>
  <c r="H4"/>
  <c r="AE4" s="1"/>
  <c r="K14"/>
  <c r="AH14" s="1"/>
  <c r="H16"/>
  <c r="AE16" s="1"/>
  <c r="J7"/>
  <c r="AG7" s="1"/>
  <c r="I21"/>
  <c r="AF21" s="1"/>
  <c r="K23"/>
  <c r="AH23" s="1"/>
  <c r="K13"/>
  <c r="AH13" s="1"/>
  <c r="K8"/>
  <c r="AH8" s="1"/>
  <c r="J23"/>
  <c r="AG23" s="1"/>
  <c r="K6"/>
  <c r="AH6" s="1"/>
  <c r="H14"/>
  <c r="J10"/>
  <c r="AG10" s="1"/>
  <c r="I18"/>
  <c r="AF18" s="1"/>
  <c r="K20"/>
  <c r="AH20" s="1"/>
  <c r="J11"/>
  <c r="AG11" s="1"/>
  <c r="J8"/>
  <c r="AG8" s="1"/>
  <c r="I13"/>
  <c r="AF13" s="1"/>
  <c r="J19"/>
  <c r="AG19" s="1"/>
  <c r="I16"/>
  <c r="AF16" s="1"/>
  <c r="I9"/>
  <c r="AF9" s="1"/>
  <c r="I11"/>
  <c r="AF11" s="1"/>
  <c r="I12"/>
  <c r="AF12" s="1"/>
  <c r="J18"/>
  <c r="AG18" s="1"/>
  <c r="I8"/>
  <c r="AF8" s="1"/>
  <c r="I22"/>
  <c r="AF22" s="1"/>
  <c r="I14"/>
  <c r="AF14" s="1"/>
  <c r="J9"/>
  <c r="AG9" s="1"/>
  <c r="J4"/>
  <c r="AG4" s="1"/>
  <c r="K7"/>
  <c r="J15"/>
  <c r="AG15" s="1"/>
  <c r="H20"/>
  <c r="AE20" s="1"/>
  <c r="H12"/>
  <c r="AE12" s="1"/>
  <c r="I20"/>
  <c r="AF20" s="1"/>
  <c r="I10"/>
  <c r="AF10" s="1"/>
  <c r="K19"/>
  <c r="AH19" s="1"/>
  <c r="I23"/>
  <c r="AF23" s="1"/>
  <c r="K18"/>
  <c r="AH18" s="1"/>
  <c r="J16"/>
  <c r="AG16" s="1"/>
  <c r="K4"/>
  <c r="AH4" s="1"/>
  <c r="J13"/>
  <c r="AG13" s="1"/>
  <c r="K22"/>
  <c r="AH22" s="1"/>
  <c r="H22"/>
  <c r="AE22" s="1"/>
  <c r="H15"/>
  <c r="AE15" s="1"/>
  <c r="H23"/>
  <c r="AE23" s="1"/>
  <c r="H17"/>
  <c r="H10"/>
  <c r="AE10" s="1"/>
  <c r="J5"/>
  <c r="H21"/>
  <c r="AE21" s="1"/>
  <c r="H8"/>
  <c r="AE8" s="1"/>
  <c r="H11"/>
  <c r="AE11" s="1"/>
  <c r="I7"/>
  <c r="AF7" s="1"/>
  <c r="K10"/>
  <c r="AH10" s="1"/>
  <c r="I5"/>
  <c r="K15"/>
  <c r="AH15" s="1"/>
  <c r="K16"/>
  <c r="AH16" s="1"/>
  <c r="I15"/>
  <c r="AF15" s="1"/>
  <c r="H19"/>
  <c r="AE19" s="1"/>
  <c r="H13"/>
  <c r="H18"/>
  <c r="J12"/>
  <c r="AG12" s="1"/>
  <c r="K21"/>
  <c r="AH21" s="1"/>
  <c r="H6"/>
  <c r="K17"/>
  <c r="AH17" s="1"/>
  <c r="H7"/>
  <c r="I6"/>
  <c r="AF6" s="1"/>
  <c r="K5"/>
  <c r="AH5" s="1"/>
  <c r="J14"/>
  <c r="AG14" s="1"/>
  <c r="N14" i="538"/>
  <c r="N16"/>
  <c r="N19"/>
  <c r="N24"/>
  <c r="N17"/>
  <c r="N20"/>
  <c r="J14" i="509"/>
  <c r="I25" i="507"/>
  <c r="J4" i="509"/>
  <c r="Q24" i="507"/>
  <c r="V20" i="499"/>
  <c r="N21" i="538"/>
  <c r="N13" i="508"/>
  <c r="Q13"/>
  <c r="N7"/>
  <c r="O13"/>
  <c r="O10"/>
  <c r="P22"/>
  <c r="Q10"/>
  <c r="N17"/>
  <c r="N6"/>
  <c r="Q14"/>
  <c r="P16"/>
  <c r="O20"/>
  <c r="Q20"/>
  <c r="O9"/>
  <c r="O4"/>
  <c r="P9"/>
  <c r="Q22"/>
  <c r="N11"/>
  <c r="O8"/>
  <c r="P21"/>
  <c r="P6"/>
  <c r="P18"/>
  <c r="O6"/>
  <c r="Q9"/>
  <c r="O5"/>
  <c r="N8"/>
  <c r="P10"/>
  <c r="N20"/>
  <c r="N10"/>
  <c r="O17"/>
  <c r="N16"/>
  <c r="P13"/>
  <c r="Q5"/>
  <c r="N18"/>
  <c r="O15"/>
  <c r="P8"/>
  <c r="P12"/>
  <c r="Q7"/>
  <c r="P7"/>
  <c r="N19"/>
  <c r="N21"/>
  <c r="O22"/>
  <c r="O11"/>
  <c r="Q17"/>
  <c r="O7"/>
  <c r="Q6"/>
  <c r="P17"/>
  <c r="N14"/>
  <c r="O23"/>
  <c r="P4"/>
  <c r="O12"/>
  <c r="Q15"/>
  <c r="Q19"/>
  <c r="N12"/>
  <c r="O19"/>
  <c r="P15"/>
  <c r="O14"/>
  <c r="Q23"/>
  <c r="N22"/>
  <c r="N9"/>
  <c r="P20"/>
  <c r="Q4"/>
  <c r="Q18"/>
  <c r="P14"/>
  <c r="P19"/>
  <c r="P5"/>
  <c r="N15"/>
  <c r="O18"/>
  <c r="Q12"/>
  <c r="N23"/>
  <c r="N5"/>
  <c r="Q8"/>
  <c r="P11"/>
  <c r="P23"/>
  <c r="Q11"/>
  <c r="O21"/>
  <c r="Q16"/>
  <c r="Q21"/>
  <c r="O16"/>
  <c r="N23" i="538"/>
  <c r="AD19" i="522"/>
  <c r="AE19" s="1"/>
  <c r="O19" i="499"/>
  <c r="Z15" i="508"/>
  <c r="AC14"/>
  <c r="AB16"/>
  <c r="AB13"/>
  <c r="Z23"/>
  <c r="Z10"/>
  <c r="AC22"/>
  <c r="AB21"/>
  <c r="AB10"/>
  <c r="AC18"/>
  <c r="AC6"/>
  <c r="AA21"/>
  <c r="Z4"/>
  <c r="Z16"/>
  <c r="AB8"/>
  <c r="AA23"/>
  <c r="AC15"/>
  <c r="AA15"/>
  <c r="AA20"/>
  <c r="AC21"/>
  <c r="AC7"/>
  <c r="AB12"/>
  <c r="AC8"/>
  <c r="AB22"/>
  <c r="AB5"/>
  <c r="AC5"/>
  <c r="AA19"/>
  <c r="AA7"/>
  <c r="AC23"/>
  <c r="Z20"/>
  <c r="Z11"/>
  <c r="AB14"/>
  <c r="AA13"/>
  <c r="AA11"/>
  <c r="AA9"/>
  <c r="AA12"/>
  <c r="Z6"/>
  <c r="AB18"/>
  <c r="AB4"/>
  <c r="Z18"/>
  <c r="Z7"/>
  <c r="Z19"/>
  <c r="AC4"/>
  <c r="Z21"/>
  <c r="AC12"/>
  <c r="AC17"/>
  <c r="AC11"/>
  <c r="AB11"/>
  <c r="Z22"/>
  <c r="AC20"/>
  <c r="AC16"/>
  <c r="AC19"/>
  <c r="Z8"/>
  <c r="AA6"/>
  <c r="AA17"/>
  <c r="AB7"/>
  <c r="AB20"/>
  <c r="AA22"/>
  <c r="AA8"/>
  <c r="AA14"/>
  <c r="AC9"/>
  <c r="AA5"/>
  <c r="AB17"/>
  <c r="Z12"/>
  <c r="Z13"/>
  <c r="AA4"/>
  <c r="AB23"/>
  <c r="Z9"/>
  <c r="Z14"/>
  <c r="AB6"/>
  <c r="AB15"/>
  <c r="AC13"/>
  <c r="AB19"/>
  <c r="AC10"/>
  <c r="Z5"/>
  <c r="AA16"/>
  <c r="AB9"/>
  <c r="AA10"/>
  <c r="Z17"/>
  <c r="AA18"/>
  <c r="K20" i="504"/>
  <c r="L5" i="516"/>
  <c r="G5" s="1"/>
  <c r="H4" s="1"/>
  <c r="L6"/>
  <c r="G6" s="1"/>
  <c r="I4" s="1"/>
  <c r="L13"/>
  <c r="J7" s="1"/>
  <c r="R12" s="1"/>
  <c r="L4"/>
  <c r="G4" s="1"/>
  <c r="Q11" s="1"/>
  <c r="L10"/>
  <c r="H7" s="1"/>
  <c r="J5" s="1"/>
  <c r="L7"/>
  <c r="G7" s="1"/>
  <c r="Q12" s="1"/>
  <c r="L12"/>
  <c r="I7" s="1"/>
  <c r="J6" s="1"/>
  <c r="L11"/>
  <c r="M11" s="1"/>
  <c r="L9"/>
  <c r="H6" s="1"/>
  <c r="I5" s="1"/>
  <c r="L8"/>
  <c r="H5" s="1"/>
  <c r="N18" i="538"/>
  <c r="G16" i="515"/>
  <c r="G14"/>
  <c r="G15"/>
  <c r="G13"/>
  <c r="N22" i="538"/>
  <c r="P24" i="528"/>
  <c r="Z6"/>
  <c r="Z8"/>
  <c r="Z7"/>
  <c r="H4" i="509" a="1"/>
  <c r="K7"/>
  <c r="K12"/>
  <c r="I21"/>
  <c r="J6"/>
  <c r="I18"/>
  <c r="H8"/>
  <c r="M4" i="516"/>
  <c r="O20" i="499"/>
  <c r="O24" i="507"/>
  <c r="H25" i="506"/>
  <c r="T4" i="508"/>
  <c r="N4"/>
  <c r="I6" i="518"/>
  <c r="P25" i="505"/>
  <c r="L20" i="499"/>
  <c r="M20" s="1"/>
  <c r="N20"/>
  <c r="A16" i="507"/>
  <c r="A15" i="509"/>
  <c r="J5" i="498"/>
  <c r="K5"/>
  <c r="S33" i="15"/>
  <c r="Q32"/>
  <c r="Q31" s="1"/>
  <c r="D15" i="356"/>
  <c r="M4" i="518" l="1"/>
  <c r="M13" i="516"/>
  <c r="M12"/>
  <c r="J4"/>
  <c r="R11" s="1"/>
  <c r="M6" i="518"/>
  <c r="AD7" i="528"/>
  <c r="AD8" s="1"/>
  <c r="T7" i="527"/>
  <c r="T8" s="1"/>
  <c r="E24"/>
  <c r="AD7" i="529"/>
  <c r="AE14" s="1"/>
  <c r="AE15" s="1"/>
  <c r="AF15" s="1"/>
  <c r="AD9" s="1"/>
  <c r="K27" i="511"/>
  <c r="W19" i="499"/>
  <c r="O24" i="506"/>
  <c r="N24" i="507"/>
  <c r="E24" i="517"/>
  <c r="P29" i="530"/>
  <c r="N24" i="505"/>
  <c r="P24" i="529"/>
  <c r="T7" i="517"/>
  <c r="T6" s="1"/>
  <c r="O12" a="1"/>
  <c r="Q12" s="1"/>
  <c r="O12" i="527" a="1"/>
  <c r="O13" s="1"/>
  <c r="M5" i="516"/>
  <c r="AF19" i="522"/>
  <c r="M8" i="516"/>
  <c r="AF21" i="522"/>
  <c r="N25" i="506"/>
  <c r="AD20" i="522"/>
  <c r="AE20" s="1"/>
  <c r="M9" i="518"/>
  <c r="M7"/>
  <c r="T20" i="499"/>
  <c r="U20" s="1"/>
  <c r="W20"/>
  <c r="H5" i="518"/>
  <c r="O25" i="507"/>
  <c r="P24"/>
  <c r="K25"/>
  <c r="I24"/>
  <c r="P24" i="505"/>
  <c r="K24"/>
  <c r="I25"/>
  <c r="AD22" i="522"/>
  <c r="AE22" s="1"/>
  <c r="O12" a="1"/>
  <c r="P13" s="1"/>
  <c r="P25" i="506"/>
  <c r="J24" i="507"/>
  <c r="M6" i="516"/>
  <c r="Q14" a="1"/>
  <c r="Q14" s="1"/>
  <c r="K25" i="505"/>
  <c r="AD21" i="522"/>
  <c r="AE21" s="1"/>
  <c r="N24" i="506"/>
  <c r="Q25" i="507"/>
  <c r="H25"/>
  <c r="O25" i="505"/>
  <c r="H25"/>
  <c r="K24" i="506"/>
  <c r="Y12" i="528" a="1"/>
  <c r="AA14" s="1"/>
  <c r="N19" i="499"/>
  <c r="O25" i="506"/>
  <c r="T19" i="499"/>
  <c r="U19" s="1"/>
  <c r="Y12" i="529" a="1"/>
  <c r="AA12" s="1"/>
  <c r="Q25" i="506"/>
  <c r="N25" i="507"/>
  <c r="Q24" i="505"/>
  <c r="J24"/>
  <c r="AG20" i="522"/>
  <c r="K25" i="506"/>
  <c r="J25" i="507"/>
  <c r="M13" i="518"/>
  <c r="P24" i="506"/>
  <c r="M10" i="518"/>
  <c r="V19" i="499"/>
  <c r="I6" i="516"/>
  <c r="K24" i="507"/>
  <c r="J24" i="506"/>
  <c r="L19" i="499"/>
  <c r="M19" s="1"/>
  <c r="I20" i="509"/>
  <c r="N14" i="514"/>
  <c r="H24" i="507"/>
  <c r="Q25" i="505"/>
  <c r="P25" i="507"/>
  <c r="M7" i="516"/>
  <c r="M10"/>
  <c r="J25" i="505"/>
  <c r="N25"/>
  <c r="AF22" i="522"/>
  <c r="AG22"/>
  <c r="I24" i="505"/>
  <c r="I25" i="506"/>
  <c r="H24"/>
  <c r="O24" i="505"/>
  <c r="Q24" i="506"/>
  <c r="M5" i="518"/>
  <c r="M12"/>
  <c r="AF20" i="522"/>
  <c r="I24" i="506"/>
  <c r="J25"/>
  <c r="AG21" i="522"/>
  <c r="M9" i="516"/>
  <c r="H4" i="508"/>
  <c r="AG19" i="522"/>
  <c r="I16" i="509"/>
  <c r="H21"/>
  <c r="J19"/>
  <c r="H14"/>
  <c r="I23"/>
  <c r="K15"/>
  <c r="J13"/>
  <c r="K4"/>
  <c r="H19"/>
  <c r="K22"/>
  <c r="J12"/>
  <c r="I19"/>
  <c r="I4"/>
  <c r="H5"/>
  <c r="K21"/>
  <c r="I12"/>
  <c r="K11"/>
  <c r="H16"/>
  <c r="J10"/>
  <c r="I15"/>
  <c r="K8"/>
  <c r="K20"/>
  <c r="I8"/>
  <c r="H4"/>
  <c r="K17"/>
  <c r="J15"/>
  <c r="H7"/>
  <c r="J9"/>
  <c r="I11"/>
  <c r="J18"/>
  <c r="I13"/>
  <c r="J8"/>
  <c r="H17"/>
  <c r="J11"/>
  <c r="I7"/>
  <c r="K10"/>
  <c r="K19"/>
  <c r="I14"/>
  <c r="H23"/>
  <c r="J17"/>
  <c r="K6"/>
  <c r="K23"/>
  <c r="J23"/>
  <c r="K16"/>
  <c r="H12"/>
  <c r="I10"/>
  <c r="K14"/>
  <c r="J21"/>
  <c r="J20"/>
  <c r="I6"/>
  <c r="J5"/>
  <c r="H22"/>
  <c r="J16"/>
  <c r="H6"/>
  <c r="H11"/>
  <c r="K5"/>
  <c r="K18"/>
  <c r="H18"/>
  <c r="H15"/>
  <c r="J22"/>
  <c r="H20"/>
  <c r="I17"/>
  <c r="K13"/>
  <c r="H10"/>
  <c r="H9"/>
  <c r="I22"/>
  <c r="I5"/>
  <c r="H13"/>
  <c r="I9"/>
  <c r="K9"/>
  <c r="J7"/>
  <c r="Z5" i="528" a="1"/>
  <c r="Z5" s="1"/>
  <c r="AD19" s="1"/>
  <c r="AD20" a="1"/>
  <c r="T8" i="522"/>
  <c r="U14"/>
  <c r="V14" s="1"/>
  <c r="Q3" i="516" a="1"/>
  <c r="Q3" s="1"/>
  <c r="AH7" i="514"/>
  <c r="K25"/>
  <c r="AF5"/>
  <c r="I25"/>
  <c r="I24"/>
  <c r="AG5"/>
  <c r="J25"/>
  <c r="J24"/>
  <c r="AE7"/>
  <c r="H25"/>
  <c r="O16"/>
  <c r="N10"/>
  <c r="N16" s="1"/>
  <c r="H24"/>
  <c r="K24"/>
  <c r="A17" i="507"/>
  <c r="A16" i="509"/>
  <c r="I8" i="498"/>
  <c r="E8" a="1"/>
  <c r="E8" s="1"/>
  <c r="F8" a="1"/>
  <c r="F8" s="1"/>
  <c r="E7" a="1"/>
  <c r="E7" s="1"/>
  <c r="F7" a="1"/>
  <c r="F7" s="1"/>
  <c r="I7"/>
  <c r="F6" a="1"/>
  <c r="F6" s="1"/>
  <c r="E6" a="1"/>
  <c r="E6" s="1"/>
  <c r="I6"/>
  <c r="Q30" i="15"/>
  <c r="S31"/>
  <c r="S32"/>
  <c r="AE20" i="529" a="1"/>
  <c r="P13" i="527" l="1"/>
  <c r="AA14" i="529"/>
  <c r="Z14"/>
  <c r="AD8"/>
  <c r="AA13"/>
  <c r="Z13"/>
  <c r="AF14"/>
  <c r="AG14" s="1"/>
  <c r="AH14" s="1"/>
  <c r="AI14" s="1"/>
  <c r="Y14"/>
  <c r="O13" i="522"/>
  <c r="Y12" i="529"/>
  <c r="Y13"/>
  <c r="AD6"/>
  <c r="AD6" i="528"/>
  <c r="Z12" i="529"/>
  <c r="Z13" i="528"/>
  <c r="Q13" i="517"/>
  <c r="P12" i="522"/>
  <c r="Z14" i="528"/>
  <c r="Q13" i="522"/>
  <c r="Y12" i="528"/>
  <c r="U14" i="517"/>
  <c r="V14" s="1"/>
  <c r="Z12" i="528"/>
  <c r="Y14"/>
  <c r="AE22" i="529"/>
  <c r="AH22" s="1"/>
  <c r="AE20"/>
  <c r="AI20" s="1"/>
  <c r="AE21"/>
  <c r="AH21" s="1"/>
  <c r="Y13" i="528"/>
  <c r="Q14" i="517"/>
  <c r="AE14" i="528"/>
  <c r="AE15" s="1"/>
  <c r="AF15" s="1"/>
  <c r="AD9" s="1"/>
  <c r="P13" i="517"/>
  <c r="O13"/>
  <c r="AA13" i="528"/>
  <c r="T8" i="517"/>
  <c r="P12"/>
  <c r="AA12" i="528"/>
  <c r="E24" i="518"/>
  <c r="O12" i="527"/>
  <c r="P12"/>
  <c r="Q14" i="522"/>
  <c r="O14"/>
  <c r="P14"/>
  <c r="P14" i="527"/>
  <c r="Q14"/>
  <c r="P14" i="517"/>
  <c r="Q12" i="527"/>
  <c r="O12" i="522"/>
  <c r="Q12"/>
  <c r="T6" i="527"/>
  <c r="U14"/>
  <c r="V14" s="1"/>
  <c r="Q13"/>
  <c r="O14"/>
  <c r="O12" i="517"/>
  <c r="O14"/>
  <c r="I25" i="509"/>
  <c r="AB7" i="522"/>
  <c r="AC15"/>
  <c r="AD15" s="1"/>
  <c r="AB9" s="1"/>
  <c r="AD14"/>
  <c r="Z7" i="530"/>
  <c r="Z6" s="1"/>
  <c r="AA19"/>
  <c r="Z10"/>
  <c r="Z16" s="1"/>
  <c r="AA16" s="1"/>
  <c r="Z19"/>
  <c r="U17" i="511"/>
  <c r="U5"/>
  <c r="U4" s="1"/>
  <c r="V17"/>
  <c r="U8"/>
  <c r="U14" s="1"/>
  <c r="V14" s="1"/>
  <c r="N15" i="514"/>
  <c r="AA5" s="1"/>
  <c r="I24" i="509"/>
  <c r="J25"/>
  <c r="J24"/>
  <c r="H25"/>
  <c r="AD22" i="528"/>
  <c r="AD21"/>
  <c r="AD20"/>
  <c r="H24" i="509"/>
  <c r="K25"/>
  <c r="K24"/>
  <c r="U15" i="522"/>
  <c r="V15" s="1"/>
  <c r="T9" s="1"/>
  <c r="Z13" i="514"/>
  <c r="P22"/>
  <c r="Z12"/>
  <c r="P21"/>
  <c r="AF25"/>
  <c r="AF24"/>
  <c r="Z11"/>
  <c r="P20"/>
  <c r="AG25"/>
  <c r="AG24"/>
  <c r="AH25"/>
  <c r="AH24"/>
  <c r="Z10"/>
  <c r="P19"/>
  <c r="A18" i="507"/>
  <c r="A17" i="509"/>
  <c r="L7" i="498"/>
  <c r="G7" a="1"/>
  <c r="G7" s="1"/>
  <c r="E9" a="1"/>
  <c r="E9" s="1"/>
  <c r="G6" a="1"/>
  <c r="G6" s="1"/>
  <c r="P7"/>
  <c r="O7"/>
  <c r="L6"/>
  <c r="J9"/>
  <c r="F9" a="1"/>
  <c r="F9" s="1"/>
  <c r="K9"/>
  <c r="G8" a="1"/>
  <c r="G8" s="1"/>
  <c r="L8"/>
  <c r="Q29" i="15"/>
  <c r="S30"/>
  <c r="R31" s="1"/>
  <c r="R32"/>
  <c r="R33"/>
  <c r="U20" i="522" a="1"/>
  <c r="AE20" i="528" a="1"/>
  <c r="AI21" i="529" l="1"/>
  <c r="U15" i="517"/>
  <c r="V15" s="1"/>
  <c r="T9" s="1"/>
  <c r="W17" i="511"/>
  <c r="V12"/>
  <c r="V13" s="1"/>
  <c r="AB19" i="530"/>
  <c r="Q21" i="514"/>
  <c r="AF14" i="528"/>
  <c r="AG14" s="1"/>
  <c r="AH14" s="1"/>
  <c r="AI14" s="1"/>
  <c r="AE22"/>
  <c r="AF22" s="1"/>
  <c r="AG22" s="1"/>
  <c r="AE21"/>
  <c r="AH21" s="1"/>
  <c r="AE20"/>
  <c r="AI20" s="1"/>
  <c r="U21" i="522"/>
  <c r="Y21" s="1"/>
  <c r="U20"/>
  <c r="Y20" s="1"/>
  <c r="U22"/>
  <c r="Y22" s="1"/>
  <c r="U15" i="527"/>
  <c r="V15" s="1"/>
  <c r="T9" s="1"/>
  <c r="Q19" i="514"/>
  <c r="V18" i="511" a="1"/>
  <c r="V18" s="1"/>
  <c r="E24" i="516"/>
  <c r="Q20" i="514"/>
  <c r="S22"/>
  <c r="S20"/>
  <c r="R19"/>
  <c r="R22"/>
  <c r="Q22"/>
  <c r="R20"/>
  <c r="S19"/>
  <c r="U12" i="511"/>
  <c r="U6" s="1"/>
  <c r="U18" a="1"/>
  <c r="U20" s="1"/>
  <c r="Z20" i="530" a="1"/>
  <c r="Z20" s="1"/>
  <c r="AA14"/>
  <c r="AA15" s="1"/>
  <c r="AA20" a="1"/>
  <c r="AA20" s="1"/>
  <c r="Z14"/>
  <c r="Z8" s="1"/>
  <c r="AE14" i="522"/>
  <c r="AF14" s="1"/>
  <c r="AG14" s="1"/>
  <c r="S21" i="514"/>
  <c r="R21"/>
  <c r="W14" i="522"/>
  <c r="X14" s="1"/>
  <c r="Y14" s="1"/>
  <c r="AM38" i="508"/>
  <c r="AL39" a="1"/>
  <c r="AL40" s="1"/>
  <c r="AL26"/>
  <c r="AL25" s="1"/>
  <c r="AL38"/>
  <c r="AL29"/>
  <c r="AL35" s="1"/>
  <c r="AB8" i="522"/>
  <c r="AB6"/>
  <c r="AF21" i="529"/>
  <c r="AG21" s="1"/>
  <c r="AF20"/>
  <c r="AG20" s="1"/>
  <c r="AH20"/>
  <c r="AF22"/>
  <c r="AG22" s="1"/>
  <c r="AI22"/>
  <c r="AM39" i="508" a="1"/>
  <c r="AM41" s="1"/>
  <c r="A19" i="507"/>
  <c r="A18" i="509"/>
  <c r="G9" i="498" a="1"/>
  <c r="G9" s="1"/>
  <c r="L9"/>
  <c r="N7" s="1"/>
  <c r="Q7"/>
  <c r="Q28" i="15"/>
  <c r="S29"/>
  <c r="R30" s="1"/>
  <c r="I24" i="488"/>
  <c r="H24"/>
  <c r="G24"/>
  <c r="F24"/>
  <c r="I22"/>
  <c r="H22"/>
  <c r="G22"/>
  <c r="F22"/>
  <c r="I21"/>
  <c r="H21"/>
  <c r="G21"/>
  <c r="F21"/>
  <c r="I19"/>
  <c r="H19"/>
  <c r="G19"/>
  <c r="F19"/>
  <c r="I18"/>
  <c r="H18"/>
  <c r="G18"/>
  <c r="F18"/>
  <c r="I17"/>
  <c r="H17"/>
  <c r="G17"/>
  <c r="F17"/>
  <c r="I16"/>
  <c r="H16"/>
  <c r="G16"/>
  <c r="F16"/>
  <c r="U20" i="517" a="1"/>
  <c r="U20" i="527" a="1"/>
  <c r="W14" l="1"/>
  <c r="X14" s="1"/>
  <c r="Y14" s="1"/>
  <c r="U22" i="517"/>
  <c r="V22" s="1"/>
  <c r="W22" s="1"/>
  <c r="U20"/>
  <c r="Y20" s="1"/>
  <c r="U21"/>
  <c r="X21" s="1"/>
  <c r="W14"/>
  <c r="X14" s="1"/>
  <c r="Y14" s="1"/>
  <c r="AI22" i="528"/>
  <c r="AH22"/>
  <c r="AF20"/>
  <c r="AG20" s="1"/>
  <c r="V19" i="511"/>
  <c r="V20"/>
  <c r="W20" s="1"/>
  <c r="AH20" i="528"/>
  <c r="W12" i="511"/>
  <c r="U22" i="527"/>
  <c r="U21"/>
  <c r="U20"/>
  <c r="AF21" i="528"/>
  <c r="AG21" s="1"/>
  <c r="AI21"/>
  <c r="AA21" i="530"/>
  <c r="U18" i="511"/>
  <c r="W18" s="1"/>
  <c r="AB14" i="530"/>
  <c r="AA22"/>
  <c r="Z15"/>
  <c r="AD19" s="1"/>
  <c r="U13" i="511"/>
  <c r="AL33" i="508"/>
  <c r="AL34" s="1"/>
  <c r="AQ38" s="1"/>
  <c r="AB20" i="530"/>
  <c r="AN38" i="508"/>
  <c r="AO38" s="1"/>
  <c r="Z21" i="530"/>
  <c r="Z22"/>
  <c r="U19" i="511"/>
  <c r="AM35" i="508"/>
  <c r="AM33" s="1"/>
  <c r="AM34" s="1"/>
  <c r="AL41"/>
  <c r="AN41" s="1"/>
  <c r="AO41" s="1"/>
  <c r="V20" i="522"/>
  <c r="W20" s="1"/>
  <c r="AL39" i="508"/>
  <c r="X20" i="522"/>
  <c r="V22"/>
  <c r="W22" s="1"/>
  <c r="V21"/>
  <c r="W21" s="1"/>
  <c r="X22"/>
  <c r="X21"/>
  <c r="AM39" i="508"/>
  <c r="AM40"/>
  <c r="AN40" s="1"/>
  <c r="AO40" s="1"/>
  <c r="A20" i="507"/>
  <c r="A19" i="509"/>
  <c r="J6" i="498" a="1"/>
  <c r="J8" s="1"/>
  <c r="Q12"/>
  <c r="Q11"/>
  <c r="Q27" i="15"/>
  <c r="S28"/>
  <c r="R29" s="1"/>
  <c r="L5" i="495"/>
  <c r="C15"/>
  <c r="N11"/>
  <c r="P11"/>
  <c r="L6"/>
  <c r="M6"/>
  <c r="N6"/>
  <c r="O6"/>
  <c r="P6"/>
  <c r="Q6"/>
  <c r="R6"/>
  <c r="S6"/>
  <c r="L7"/>
  <c r="M7"/>
  <c r="N7"/>
  <c r="O7"/>
  <c r="P7"/>
  <c r="Q7"/>
  <c r="R7"/>
  <c r="S7"/>
  <c r="L8"/>
  <c r="M8"/>
  <c r="N8"/>
  <c r="O8"/>
  <c r="P8"/>
  <c r="Q8"/>
  <c r="R8"/>
  <c r="S8"/>
  <c r="L9"/>
  <c r="M9"/>
  <c r="N9"/>
  <c r="O9"/>
  <c r="P9"/>
  <c r="Q9"/>
  <c r="R9"/>
  <c r="S9"/>
  <c r="L10"/>
  <c r="M10"/>
  <c r="N10"/>
  <c r="O10"/>
  <c r="P10"/>
  <c r="Q10"/>
  <c r="R10"/>
  <c r="S10"/>
  <c r="L11"/>
  <c r="M11"/>
  <c r="O11"/>
  <c r="Q11"/>
  <c r="R11"/>
  <c r="S11"/>
  <c r="M5"/>
  <c r="N5"/>
  <c r="O5"/>
  <c r="P5"/>
  <c r="Q5"/>
  <c r="R5"/>
  <c r="S5"/>
  <c r="C14"/>
  <c r="C20" s="1"/>
  <c r="I12"/>
  <c r="H12"/>
  <c r="G12"/>
  <c r="F12"/>
  <c r="E12"/>
  <c r="D12"/>
  <c r="C12"/>
  <c r="B12"/>
  <c r="C15" i="496"/>
  <c r="C14"/>
  <c r="C19" s="1"/>
  <c r="I12"/>
  <c r="H12"/>
  <c r="G12"/>
  <c r="F12"/>
  <c r="E12"/>
  <c r="D12"/>
  <c r="N5" s="1"/>
  <c r="C12"/>
  <c r="B12"/>
  <c r="J11"/>
  <c r="J10"/>
  <c r="J9"/>
  <c r="J8"/>
  <c r="J7"/>
  <c r="J6"/>
  <c r="J5"/>
  <c r="X20" i="517" l="1"/>
  <c r="X22"/>
  <c r="V20"/>
  <c r="W20" s="1"/>
  <c r="V21"/>
  <c r="W21" s="1"/>
  <c r="Y22"/>
  <c r="Y21"/>
  <c r="AN34" i="508"/>
  <c r="AL28" s="1"/>
  <c r="Y20" i="511"/>
  <c r="AC20" i="530"/>
  <c r="X20" i="511"/>
  <c r="AL27" i="508"/>
  <c r="Y18" i="511"/>
  <c r="X18"/>
  <c r="AP38" i="508"/>
  <c r="AB21" i="530"/>
  <c r="AC21" s="1"/>
  <c r="W19" i="511"/>
  <c r="X19" s="1"/>
  <c r="AD20" i="530"/>
  <c r="AD22"/>
  <c r="AB15"/>
  <c r="Z9" s="1"/>
  <c r="AE22"/>
  <c r="Z18" i="511"/>
  <c r="X22" i="527"/>
  <c r="V22"/>
  <c r="W22" s="1"/>
  <c r="Y21"/>
  <c r="V21"/>
  <c r="W21" s="1"/>
  <c r="X21"/>
  <c r="V20"/>
  <c r="W20" s="1"/>
  <c r="Y20"/>
  <c r="X17" i="511"/>
  <c r="AB22" i="530"/>
  <c r="AC22" s="1"/>
  <c r="AQ41" i="508"/>
  <c r="Z17" i="511"/>
  <c r="Z20"/>
  <c r="Y22" i="527"/>
  <c r="X20"/>
  <c r="Y19" i="511"/>
  <c r="AC19" i="530"/>
  <c r="Z19" i="511"/>
  <c r="AD21" i="530"/>
  <c r="AP41" i="508"/>
  <c r="AE19" i="530"/>
  <c r="AE20"/>
  <c r="Y17" i="511"/>
  <c r="W13"/>
  <c r="AE21" i="530"/>
  <c r="AN33" i="508"/>
  <c r="AP39"/>
  <c r="AQ39"/>
  <c r="AN39"/>
  <c r="AO39" s="1"/>
  <c r="AP40"/>
  <c r="AQ40"/>
  <c r="A21" i="507"/>
  <c r="A20" i="509"/>
  <c r="K8" i="498"/>
  <c r="J6"/>
  <c r="K6"/>
  <c r="J7"/>
  <c r="K7"/>
  <c r="C16" i="496"/>
  <c r="C17" s="1"/>
  <c r="C22"/>
  <c r="Q26" i="15"/>
  <c r="S27"/>
  <c r="R27" s="1"/>
  <c r="C16" i="495"/>
  <c r="C17" s="1"/>
  <c r="C18" s="1"/>
  <c r="AO33" i="508" l="1"/>
  <c r="AP33" s="1"/>
  <c r="AQ33" s="1"/>
  <c r="AC14" i="530"/>
  <c r="AD14" s="1"/>
  <c r="AE14" s="1"/>
  <c r="U7" i="511"/>
  <c r="X12"/>
  <c r="Y12" s="1"/>
  <c r="Z12" s="1"/>
  <c r="A22" i="507"/>
  <c r="A21" i="509"/>
  <c r="C18" i="496"/>
  <c r="C20" s="1"/>
  <c r="S11" i="498"/>
  <c r="P11"/>
  <c r="R11"/>
  <c r="S12"/>
  <c r="P12"/>
  <c r="R12"/>
  <c r="R28" i="15"/>
  <c r="C19" i="495"/>
  <c r="C21" s="1"/>
  <c r="A23" i="507" l="1"/>
  <c r="A23" i="509" s="1"/>
  <c r="A22"/>
  <c r="F4" i="494" l="1"/>
  <c r="H12"/>
  <c r="H4"/>
  <c r="H16"/>
  <c r="H13"/>
  <c r="H11"/>
  <c r="H15"/>
  <c r="F7"/>
  <c r="I7"/>
  <c r="G7"/>
  <c r="G13"/>
  <c r="F13"/>
  <c r="I13"/>
  <c r="I11"/>
  <c r="G11"/>
  <c r="F11"/>
  <c r="F6"/>
  <c r="I6"/>
  <c r="G6"/>
  <c r="I17"/>
  <c r="G17"/>
  <c r="F17"/>
  <c r="H10"/>
  <c r="F12"/>
  <c r="G12"/>
  <c r="I12"/>
  <c r="G18"/>
  <c r="F18"/>
  <c r="I18"/>
  <c r="H14"/>
  <c r="F9"/>
  <c r="G9"/>
  <c r="I9"/>
  <c r="H5"/>
  <c r="I4"/>
  <c r="G4"/>
  <c r="F15"/>
  <c r="G15"/>
  <c r="I15"/>
  <c r="H18"/>
  <c r="H6"/>
  <c r="G16"/>
  <c r="F16"/>
  <c r="I16"/>
  <c r="H7"/>
  <c r="F5"/>
  <c r="I5"/>
  <c r="G5"/>
  <c r="G10"/>
  <c r="F10"/>
  <c r="I10"/>
  <c r="H8"/>
  <c r="F8"/>
  <c r="I8"/>
  <c r="G8"/>
  <c r="L3"/>
  <c r="I14"/>
  <c r="G14"/>
  <c r="F14"/>
  <c r="H9"/>
  <c r="H17"/>
  <c r="Q5" l="1"/>
  <c r="I19"/>
  <c r="W6" s="1"/>
  <c r="H19"/>
  <c r="V6" s="1"/>
  <c r="W7"/>
  <c r="W8"/>
  <c r="V8"/>
  <c r="V7"/>
  <c r="G19"/>
  <c r="L5" s="1"/>
  <c r="L4"/>
  <c r="F19"/>
  <c r="L6" s="1"/>
  <c r="I18" i="62"/>
  <c r="F18" i="489"/>
  <c r="Q7" i="494" l="1"/>
  <c r="Q6"/>
  <c r="L7"/>
  <c r="L8" s="1"/>
  <c r="F4" i="489"/>
  <c r="I14" i="62"/>
  <c r="I15"/>
  <c r="H17"/>
  <c r="J17"/>
  <c r="H9"/>
  <c r="J9"/>
  <c r="G4"/>
  <c r="I4"/>
  <c r="F4"/>
  <c r="H12"/>
  <c r="J12"/>
  <c r="J4"/>
  <c r="H4"/>
  <c r="I7"/>
  <c r="J15"/>
  <c r="H15"/>
  <c r="J7"/>
  <c r="H7"/>
  <c r="I12"/>
  <c r="J18"/>
  <c r="H18"/>
  <c r="J10"/>
  <c r="H10"/>
  <c r="H5"/>
  <c r="J5"/>
  <c r="I13"/>
  <c r="I5"/>
  <c r="H13"/>
  <c r="J13"/>
  <c r="I10"/>
  <c r="J16"/>
  <c r="H16"/>
  <c r="J8"/>
  <c r="H8"/>
  <c r="I6"/>
  <c r="I11"/>
  <c r="Q8" i="494"/>
  <c r="H11" i="62"/>
  <c r="J11"/>
  <c r="I16"/>
  <c r="I8"/>
  <c r="J14"/>
  <c r="H14"/>
  <c r="J6"/>
  <c r="H6"/>
  <c r="I17"/>
  <c r="I9"/>
  <c r="I4" i="489"/>
  <c r="I5" s="1"/>
  <c r="I9" s="1"/>
  <c r="M4" i="62"/>
  <c r="G16"/>
  <c r="F16"/>
  <c r="G8"/>
  <c r="F8"/>
  <c r="G9"/>
  <c r="F9"/>
  <c r="G14"/>
  <c r="F14"/>
  <c r="G7"/>
  <c r="F7"/>
  <c r="G18"/>
  <c r="F18"/>
  <c r="G10"/>
  <c r="F10"/>
  <c r="G6"/>
  <c r="F6"/>
  <c r="G11"/>
  <c r="F11"/>
  <c r="G17"/>
  <c r="F17"/>
  <c r="G15"/>
  <c r="F15"/>
  <c r="F12"/>
  <c r="G12"/>
  <c r="F13"/>
  <c r="G13"/>
  <c r="G5"/>
  <c r="F5"/>
  <c r="F14" i="489"/>
  <c r="F6"/>
  <c r="F13"/>
  <c r="F5"/>
  <c r="F12"/>
  <c r="F11"/>
  <c r="F10"/>
  <c r="F17"/>
  <c r="F9"/>
  <c r="F16"/>
  <c r="F8"/>
  <c r="F15"/>
  <c r="F7"/>
  <c r="Q9" i="494" l="1"/>
  <c r="M5" i="62"/>
  <c r="M9" s="1"/>
  <c r="G19"/>
  <c r="M7" s="1"/>
  <c r="F19" i="489"/>
  <c r="I6" s="1"/>
  <c r="L9" i="494" l="1"/>
  <c r="L12" s="1"/>
  <c r="L14" s="1"/>
  <c r="L15" s="1"/>
  <c r="I7" i="489"/>
  <c r="I8" s="1"/>
  <c r="L18" i="494" l="1"/>
  <c r="L17"/>
  <c r="I12" i="489"/>
  <c r="I17"/>
  <c r="I18"/>
  <c r="I14" l="1"/>
  <c r="I15" s="1"/>
  <c r="G10" i="487"/>
  <c r="C12"/>
  <c r="A5"/>
  <c r="A6" s="1"/>
  <c r="A7" s="1"/>
  <c r="A8" s="1"/>
  <c r="A9" s="1"/>
  <c r="A10" s="1"/>
  <c r="Q18" i="486" l="1" a="1"/>
  <c r="Q18" s="1"/>
  <c r="S14"/>
  <c r="R12"/>
  <c r="R8"/>
  <c r="R14" s="1"/>
  <c r="G19" a="1"/>
  <c r="G21" s="1"/>
  <c r="G12"/>
  <c r="G13" s="1"/>
  <c r="G14" s="1"/>
  <c r="G4" a="1"/>
  <c r="G5" s="1"/>
  <c r="R13" l="1"/>
  <c r="Q20"/>
  <c r="Q19"/>
  <c r="G22"/>
  <c r="G19"/>
  <c r="G20"/>
  <c r="G7"/>
  <c r="G4"/>
  <c r="G6"/>
  <c r="O5" i="484"/>
  <c r="O6"/>
  <c r="O7"/>
  <c r="O8"/>
  <c r="O4"/>
  <c r="N4"/>
  <c r="N5"/>
  <c r="N6"/>
  <c r="N7"/>
  <c r="N8"/>
  <c r="V18" i="486" l="1"/>
  <c r="W18"/>
  <c r="T18"/>
  <c r="U18" s="1"/>
  <c r="W17"/>
  <c r="V17"/>
  <c r="T17"/>
  <c r="U17" s="1"/>
  <c r="T20"/>
  <c r="U20" s="1"/>
  <c r="V20"/>
  <c r="W20"/>
  <c r="W19"/>
  <c r="T19"/>
  <c r="U19" s="1"/>
  <c r="V19"/>
  <c r="H11" a="1"/>
  <c r="J11" i="484"/>
  <c r="K11"/>
  <c r="J10"/>
  <c r="K10"/>
  <c r="K4"/>
  <c r="J4"/>
  <c r="I5"/>
  <c r="K5" s="1"/>
  <c r="AC4" i="10"/>
  <c r="Z4"/>
  <c r="AB5"/>
  <c r="AC5" s="1"/>
  <c r="Y5"/>
  <c r="Z5" s="1"/>
  <c r="W5"/>
  <c r="W6"/>
  <c r="W7"/>
  <c r="W8"/>
  <c r="W9"/>
  <c r="W10"/>
  <c r="W11"/>
  <c r="W12"/>
  <c r="W13"/>
  <c r="W14"/>
  <c r="W15"/>
  <c r="W4"/>
  <c r="V4"/>
  <c r="U4"/>
  <c r="V5"/>
  <c r="V6"/>
  <c r="V7"/>
  <c r="V8"/>
  <c r="V9"/>
  <c r="V10"/>
  <c r="V11"/>
  <c r="V12"/>
  <c r="V13"/>
  <c r="V14"/>
  <c r="V15"/>
  <c r="U5"/>
  <c r="U6"/>
  <c r="U7"/>
  <c r="U8"/>
  <c r="U9"/>
  <c r="U10"/>
  <c r="U11"/>
  <c r="U12"/>
  <c r="U13"/>
  <c r="U14"/>
  <c r="U15"/>
  <c r="J5" i="484" l="1"/>
  <c r="I6"/>
  <c r="I7" s="1"/>
  <c r="I8" s="1"/>
  <c r="J8" s="1"/>
  <c r="AB6" i="10"/>
  <c r="Y6"/>
  <c r="Y7" s="1"/>
  <c r="Y8" s="1"/>
  <c r="Y9" s="1"/>
  <c r="Y10" s="1"/>
  <c r="Y11" s="1"/>
  <c r="Y12" s="1"/>
  <c r="Y13" s="1"/>
  <c r="Z13" s="1"/>
  <c r="K11" i="486"/>
  <c r="J14"/>
  <c r="I14"/>
  <c r="H14"/>
  <c r="K14"/>
  <c r="J13"/>
  <c r="I13"/>
  <c r="H13"/>
  <c r="K13"/>
  <c r="J12"/>
  <c r="I12"/>
  <c r="H12"/>
  <c r="K12"/>
  <c r="J11"/>
  <c r="I11"/>
  <c r="H11"/>
  <c r="G4" i="484"/>
  <c r="G5"/>
  <c r="G6"/>
  <c r="G7"/>
  <c r="G3"/>
  <c r="F3"/>
  <c r="F4"/>
  <c r="F5"/>
  <c r="F6"/>
  <c r="F7"/>
  <c r="C19"/>
  <c r="B20"/>
  <c r="C20" s="1"/>
  <c r="C10"/>
  <c r="C9"/>
  <c r="C12"/>
  <c r="B13"/>
  <c r="C13" s="1"/>
  <c r="B14" i="485"/>
  <c r="B12"/>
  <c r="J7" i="484" l="1"/>
  <c r="J6"/>
  <c r="K6"/>
  <c r="K7"/>
  <c r="Z12" i="10"/>
  <c r="K8" i="484"/>
  <c r="Z6" i="10"/>
  <c r="AB7"/>
  <c r="AC6"/>
  <c r="Z7"/>
  <c r="Z9"/>
  <c r="Z10"/>
  <c r="Z11"/>
  <c r="Y14"/>
  <c r="Z14" s="1"/>
  <c r="Z8"/>
  <c r="B21" i="484"/>
  <c r="S26" i="486"/>
  <c r="O11" a="1"/>
  <c r="B14" i="484"/>
  <c r="E17" i="483"/>
  <c r="E16"/>
  <c r="E12"/>
  <c r="B22"/>
  <c r="B20"/>
  <c r="B18"/>
  <c r="B17"/>
  <c r="B15"/>
  <c r="B14"/>
  <c r="B12"/>
  <c r="AB8" i="10" l="1"/>
  <c r="AC7"/>
  <c r="B22" i="484"/>
  <c r="C21"/>
  <c r="B22" i="486" a="1"/>
  <c r="B22" s="1"/>
  <c r="H27" a="1"/>
  <c r="I28" s="1"/>
  <c r="O12"/>
  <c r="O11"/>
  <c r="O14"/>
  <c r="O13"/>
  <c r="H19" a="1"/>
  <c r="B15" i="484"/>
  <c r="C14"/>
  <c r="I15" i="482"/>
  <c r="I13"/>
  <c r="H15"/>
  <c r="G15"/>
  <c r="H13"/>
  <c r="G13"/>
  <c r="D21" a="1"/>
  <c r="D22" s="1"/>
  <c r="B21" a="1"/>
  <c r="B22" s="1"/>
  <c r="C21" a="1"/>
  <c r="C22" s="1"/>
  <c r="C19"/>
  <c r="D19"/>
  <c r="B19"/>
  <c r="C17"/>
  <c r="D17"/>
  <c r="B17"/>
  <c r="C15"/>
  <c r="D15"/>
  <c r="B15"/>
  <c r="C13"/>
  <c r="D13"/>
  <c r="B13"/>
  <c r="AB9" i="10" l="1"/>
  <c r="AC8"/>
  <c r="C22" i="484"/>
  <c r="B23"/>
  <c r="C23" s="1"/>
  <c r="K27" i="486"/>
  <c r="H27"/>
  <c r="I30"/>
  <c r="K29"/>
  <c r="J27"/>
  <c r="J29"/>
  <c r="J28"/>
  <c r="K30"/>
  <c r="K28"/>
  <c r="I29"/>
  <c r="J30"/>
  <c r="H28"/>
  <c r="H29"/>
  <c r="H30"/>
  <c r="I27"/>
  <c r="H19"/>
  <c r="K19"/>
  <c r="J19"/>
  <c r="I19"/>
  <c r="K22"/>
  <c r="J22"/>
  <c r="I22"/>
  <c r="H22"/>
  <c r="K21"/>
  <c r="J21"/>
  <c r="I21"/>
  <c r="H21"/>
  <c r="K20"/>
  <c r="J20"/>
  <c r="I20"/>
  <c r="H20"/>
  <c r="B16" i="484"/>
  <c r="C16" s="1"/>
  <c r="C15"/>
  <c r="C21" i="482"/>
  <c r="B21"/>
  <c r="D21"/>
  <c r="A23" i="481"/>
  <c r="A24" s="1"/>
  <c r="A25" s="1"/>
  <c r="A26" s="1"/>
  <c r="A27" s="1"/>
  <c r="A28" s="1"/>
  <c r="A29" s="1"/>
  <c r="A30" s="1"/>
  <c r="A31" s="1"/>
  <c r="A5"/>
  <c r="A6" s="1"/>
  <c r="A7" s="1"/>
  <c r="A8" s="1"/>
  <c r="A9" s="1"/>
  <c r="A10" s="1"/>
  <c r="A11" s="1"/>
  <c r="A12" s="1"/>
  <c r="A13" s="1"/>
  <c r="AB10" i="10" l="1"/>
  <c r="AC9"/>
  <c r="X19" i="200"/>
  <c r="Y19"/>
  <c r="Z19"/>
  <c r="AA19"/>
  <c r="AB19"/>
  <c r="W19"/>
  <c r="X18"/>
  <c r="Y18"/>
  <c r="Z18"/>
  <c r="AA18"/>
  <c r="AB18"/>
  <c r="W18"/>
  <c r="Z11"/>
  <c r="AA11" s="1"/>
  <c r="AB11" s="1"/>
  <c r="AB17"/>
  <c r="AA17"/>
  <c r="Z17"/>
  <c r="Y17"/>
  <c r="X17"/>
  <c r="W17"/>
  <c r="Z10"/>
  <c r="AA8"/>
  <c r="AB8" s="1"/>
  <c r="AB10" s="1"/>
  <c r="Y20" l="1"/>
  <c r="AB20"/>
  <c r="X20"/>
  <c r="AB11" i="10"/>
  <c r="AC10"/>
  <c r="AA10" i="200"/>
  <c r="AA20"/>
  <c r="W20"/>
  <c r="Z20"/>
  <c r="AB13"/>
  <c r="Z13"/>
  <c r="W21" s="1"/>
  <c r="AB12" i="10" l="1"/>
  <c r="AC11"/>
  <c r="W22" i="200"/>
  <c r="AA13"/>
  <c r="X21" s="1"/>
  <c r="X22" s="1"/>
  <c r="Z21"/>
  <c r="Z22" s="1"/>
  <c r="AA21"/>
  <c r="AA22" s="1"/>
  <c r="AB21"/>
  <c r="AB22" s="1"/>
  <c r="Y5" i="480"/>
  <c r="Z5"/>
  <c r="T5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V4"/>
  <c r="U5" s="1"/>
  <c r="V3"/>
  <c r="W3" s="1"/>
  <c r="X3" s="1"/>
  <c r="Y3" s="1"/>
  <c r="Z3" s="1"/>
  <c r="Q5"/>
  <c r="R5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J5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L4"/>
  <c r="K5" s="1"/>
  <c r="L3"/>
  <c r="M3" s="1"/>
  <c r="N3" s="1"/>
  <c r="O3" s="1"/>
  <c r="P3" s="1"/>
  <c r="Q3" s="1"/>
  <c r="R3" s="1"/>
  <c r="G5"/>
  <c r="H5"/>
  <c r="H6" s="1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C4"/>
  <c r="D4" s="1"/>
  <c r="C5" s="1"/>
  <c r="C3"/>
  <c r="D3" s="1"/>
  <c r="E3" s="1"/>
  <c r="F3" s="1"/>
  <c r="G3" s="1"/>
  <c r="H3" s="1"/>
  <c r="P6" l="1"/>
  <c r="Y6"/>
  <c r="AB13" i="10"/>
  <c r="AC12"/>
  <c r="Y21" i="200"/>
  <c r="Y22" s="1"/>
  <c r="X6" i="480"/>
  <c r="Z6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Q6"/>
  <c r="B5"/>
  <c r="F6" s="1"/>
  <c r="W4"/>
  <c r="V5" s="1"/>
  <c r="U6" s="1"/>
  <c r="M4"/>
  <c r="L5" s="1"/>
  <c r="K6" s="1"/>
  <c r="E4"/>
  <c r="D5" s="1"/>
  <c r="H7"/>
  <c r="O7" l="1"/>
  <c r="C6"/>
  <c r="B6"/>
  <c r="G7" s="1"/>
  <c r="AB14" i="10"/>
  <c r="AC14" s="1"/>
  <c r="AC13"/>
  <c r="Q7" i="480"/>
  <c r="E7"/>
  <c r="W7"/>
  <c r="G6"/>
  <c r="P7"/>
  <c r="Y7"/>
  <c r="X7"/>
  <c r="X4"/>
  <c r="W5" s="1"/>
  <c r="V6" s="1"/>
  <c r="U7" s="1"/>
  <c r="N4"/>
  <c r="M5" s="1"/>
  <c r="L6" s="1"/>
  <c r="K7" s="1"/>
  <c r="F4"/>
  <c r="E5" s="1"/>
  <c r="D6" s="1"/>
  <c r="C7" s="1"/>
  <c r="H8"/>
  <c r="F7" l="1"/>
  <c r="B7"/>
  <c r="B8" s="1"/>
  <c r="G9" s="1"/>
  <c r="Y8"/>
  <c r="V8"/>
  <c r="W8"/>
  <c r="X8"/>
  <c r="Q8"/>
  <c r="O8"/>
  <c r="P8"/>
  <c r="N8"/>
  <c r="Y4"/>
  <c r="X5" s="1"/>
  <c r="W6" s="1"/>
  <c r="V7" s="1"/>
  <c r="U8" s="1"/>
  <c r="Y9" s="1"/>
  <c r="O4"/>
  <c r="N5" s="1"/>
  <c r="M6" s="1"/>
  <c r="L7" s="1"/>
  <c r="K8" s="1"/>
  <c r="Q9" s="1"/>
  <c r="H9"/>
  <c r="G4"/>
  <c r="F5" s="1"/>
  <c r="E6" s="1"/>
  <c r="D7" s="1"/>
  <c r="C8" s="1"/>
  <c r="I41" i="479"/>
  <c r="I34" i="478"/>
  <c r="B9" i="480" l="1"/>
  <c r="F10" s="1"/>
  <c r="V9"/>
  <c r="F8"/>
  <c r="E9" s="1"/>
  <c r="D8"/>
  <c r="C9" s="1"/>
  <c r="G8"/>
  <c r="F9" s="1"/>
  <c r="E10" s="1"/>
  <c r="E8"/>
  <c r="D9" s="1"/>
  <c r="W9"/>
  <c r="O9"/>
  <c r="N9"/>
  <c r="P9"/>
  <c r="U9"/>
  <c r="Y10" s="1"/>
  <c r="M9"/>
  <c r="X9"/>
  <c r="P4"/>
  <c r="H10"/>
  <c r="I34" i="479"/>
  <c r="I33"/>
  <c r="I32"/>
  <c r="I35"/>
  <c r="I29"/>
  <c r="U39"/>
  <c r="T39"/>
  <c r="S39"/>
  <c r="R39"/>
  <c r="Q39"/>
  <c r="U38"/>
  <c r="T38"/>
  <c r="S38"/>
  <c r="R38"/>
  <c r="Q38"/>
  <c r="U37"/>
  <c r="T37"/>
  <c r="S37"/>
  <c r="R37"/>
  <c r="Q37"/>
  <c r="U36"/>
  <c r="T36"/>
  <c r="S36"/>
  <c r="R36"/>
  <c r="Q36"/>
  <c r="U35"/>
  <c r="T35"/>
  <c r="S35"/>
  <c r="R35"/>
  <c r="Q35"/>
  <c r="U34"/>
  <c r="T34"/>
  <c r="S34"/>
  <c r="R34"/>
  <c r="Q34"/>
  <c r="U33"/>
  <c r="T33"/>
  <c r="S33"/>
  <c r="R33"/>
  <c r="Q33"/>
  <c r="U32"/>
  <c r="T32"/>
  <c r="S32"/>
  <c r="R32"/>
  <c r="Q32"/>
  <c r="U31"/>
  <c r="T31"/>
  <c r="S31"/>
  <c r="R31"/>
  <c r="Q31"/>
  <c r="P31"/>
  <c r="T30"/>
  <c r="S30"/>
  <c r="R30"/>
  <c r="Q30"/>
  <c r="U27"/>
  <c r="T27"/>
  <c r="S27"/>
  <c r="R27"/>
  <c r="Q27"/>
  <c r="U26"/>
  <c r="T26"/>
  <c r="S26"/>
  <c r="R26"/>
  <c r="Q26"/>
  <c r="U25"/>
  <c r="T25"/>
  <c r="S25"/>
  <c r="R25"/>
  <c r="Q25"/>
  <c r="U24"/>
  <c r="T24"/>
  <c r="S24"/>
  <c r="R24"/>
  <c r="Q24"/>
  <c r="U23"/>
  <c r="T23"/>
  <c r="S23"/>
  <c r="R23"/>
  <c r="Q23"/>
  <c r="U22"/>
  <c r="T22"/>
  <c r="S22"/>
  <c r="R22"/>
  <c r="Q22"/>
  <c r="U21"/>
  <c r="T21"/>
  <c r="S21"/>
  <c r="R21"/>
  <c r="Q21"/>
  <c r="U20"/>
  <c r="T20"/>
  <c r="S20"/>
  <c r="R20"/>
  <c r="Q20"/>
  <c r="U19"/>
  <c r="T19"/>
  <c r="S19"/>
  <c r="R19"/>
  <c r="Q19"/>
  <c r="P19"/>
  <c r="T18"/>
  <c r="S18"/>
  <c r="R18"/>
  <c r="Q18"/>
  <c r="U15"/>
  <c r="Y11" s="1"/>
  <c r="T15"/>
  <c r="S15"/>
  <c r="R15"/>
  <c r="Q15"/>
  <c r="U14"/>
  <c r="T14"/>
  <c r="S14"/>
  <c r="R14"/>
  <c r="Q14"/>
  <c r="U13"/>
  <c r="T13"/>
  <c r="S13"/>
  <c r="R13"/>
  <c r="Q13"/>
  <c r="U12"/>
  <c r="T12"/>
  <c r="S12"/>
  <c r="R12"/>
  <c r="Q12"/>
  <c r="Z11"/>
  <c r="U11"/>
  <c r="T11"/>
  <c r="S11"/>
  <c r="R11"/>
  <c r="Q11"/>
  <c r="U10"/>
  <c r="T10"/>
  <c r="S10"/>
  <c r="R10"/>
  <c r="Q10"/>
  <c r="U9"/>
  <c r="T9"/>
  <c r="S9"/>
  <c r="R9"/>
  <c r="Q9"/>
  <c r="U8"/>
  <c r="T8"/>
  <c r="S8"/>
  <c r="R8"/>
  <c r="Q8"/>
  <c r="U7"/>
  <c r="T7"/>
  <c r="S7"/>
  <c r="R7"/>
  <c r="Q7"/>
  <c r="P7"/>
  <c r="T6"/>
  <c r="S6"/>
  <c r="R6"/>
  <c r="Q6"/>
  <c r="A6"/>
  <c r="P32" s="1"/>
  <c r="I25" i="478"/>
  <c r="I28"/>
  <c r="I27"/>
  <c r="I26"/>
  <c r="I22"/>
  <c r="P25"/>
  <c r="P26" s="1"/>
  <c r="P24"/>
  <c r="P18"/>
  <c r="P4"/>
  <c r="Q4" s="1"/>
  <c r="R4" s="1"/>
  <c r="S4" s="1"/>
  <c r="T4" s="1"/>
  <c r="U4" s="1"/>
  <c r="V4" s="1"/>
  <c r="C10" i="480" l="1"/>
  <c r="G10"/>
  <c r="D10"/>
  <c r="B10"/>
  <c r="D11" s="1"/>
  <c r="W10"/>
  <c r="U10"/>
  <c r="Y11" s="1"/>
  <c r="O5"/>
  <c r="N6" s="1"/>
  <c r="M7" s="1"/>
  <c r="L8" s="1"/>
  <c r="K9" s="1"/>
  <c r="M10" s="1"/>
  <c r="Q4"/>
  <c r="P5" s="1"/>
  <c r="O6" s="1"/>
  <c r="N7" s="1"/>
  <c r="M8" s="1"/>
  <c r="L9" s="1"/>
  <c r="V10"/>
  <c r="X10"/>
  <c r="H11"/>
  <c r="X7" i="479"/>
  <c r="I37"/>
  <c r="X8"/>
  <c r="P27" i="478"/>
  <c r="P30" s="1"/>
  <c r="P32" s="1"/>
  <c r="Y7" i="479"/>
  <c r="AB16" s="1"/>
  <c r="X11"/>
  <c r="I30" i="478"/>
  <c r="I36" i="479"/>
  <c r="Y8"/>
  <c r="P8"/>
  <c r="A7"/>
  <c r="P20"/>
  <c r="P19" i="478"/>
  <c r="I29"/>
  <c r="A6"/>
  <c r="A7" s="1"/>
  <c r="A8" s="1"/>
  <c r="A9" s="1"/>
  <c r="A10" s="1"/>
  <c r="A11" s="1"/>
  <c r="A12" s="1"/>
  <c r="F11" i="480" l="1"/>
  <c r="U11"/>
  <c r="Y12" s="1"/>
  <c r="B11"/>
  <c r="G12" s="1"/>
  <c r="E11"/>
  <c r="C11"/>
  <c r="G11"/>
  <c r="V11"/>
  <c r="N10"/>
  <c r="W11"/>
  <c r="X11"/>
  <c r="W12" s="1"/>
  <c r="K10"/>
  <c r="Q11" s="1"/>
  <c r="I39" i="479"/>
  <c r="I43"/>
  <c r="Q10" i="480"/>
  <c r="P10"/>
  <c r="Z7" i="479"/>
  <c r="O10" i="480"/>
  <c r="I38" i="479"/>
  <c r="I42"/>
  <c r="L10" i="480"/>
  <c r="H12"/>
  <c r="P29" i="478"/>
  <c r="P31" s="1"/>
  <c r="I32"/>
  <c r="I36"/>
  <c r="X9" i="479"/>
  <c r="I31" i="478"/>
  <c r="I35"/>
  <c r="P21" i="479"/>
  <c r="P33"/>
  <c r="A8"/>
  <c r="P9"/>
  <c r="Y9"/>
  <c r="AB17"/>
  <c r="Z8"/>
  <c r="U12" i="480" l="1"/>
  <c r="Y13" s="1"/>
  <c r="E12"/>
  <c r="C12"/>
  <c r="L11"/>
  <c r="D12"/>
  <c r="F12"/>
  <c r="X12"/>
  <c r="V12"/>
  <c r="B12"/>
  <c r="O11"/>
  <c r="K11"/>
  <c r="Q12" s="1"/>
  <c r="N11"/>
  <c r="P11"/>
  <c r="M11"/>
  <c r="Z9" i="479"/>
  <c r="Y18" s="1"/>
  <c r="H13" i="480"/>
  <c r="P34" i="479"/>
  <c r="A9"/>
  <c r="P22"/>
  <c r="P10"/>
  <c r="V13" i="480" l="1"/>
  <c r="X13"/>
  <c r="W13"/>
  <c r="U13"/>
  <c r="Y14" s="1"/>
  <c r="K12"/>
  <c r="Q13" s="1"/>
  <c r="E13"/>
  <c r="B13"/>
  <c r="P12"/>
  <c r="D13"/>
  <c r="G13"/>
  <c r="F13"/>
  <c r="E14" s="1"/>
  <c r="C13"/>
  <c r="N12"/>
  <c r="M13" s="1"/>
  <c r="M12"/>
  <c r="G14"/>
  <c r="L12"/>
  <c r="O12"/>
  <c r="Y13" i="479"/>
  <c r="AB18" s="1"/>
  <c r="Y16"/>
  <c r="Y17"/>
  <c r="AA8"/>
  <c r="AB19" s="1"/>
  <c r="AA7"/>
  <c r="AB7" s="1"/>
  <c r="AC7" s="1"/>
  <c r="AB20"/>
  <c r="H14" i="480"/>
  <c r="P11" i="479"/>
  <c r="A10"/>
  <c r="P23"/>
  <c r="P35"/>
  <c r="W14" i="480" l="1"/>
  <c r="U14"/>
  <c r="Y15" s="1"/>
  <c r="V14"/>
  <c r="X14"/>
  <c r="N13"/>
  <c r="L13"/>
  <c r="P13"/>
  <c r="K13"/>
  <c r="Q14" s="1"/>
  <c r="B14"/>
  <c r="G15" s="1"/>
  <c r="O13"/>
  <c r="D14"/>
  <c r="F14"/>
  <c r="C14"/>
  <c r="B15" s="1"/>
  <c r="AB8" i="479"/>
  <c r="AC8" s="1"/>
  <c r="AB21"/>
  <c r="AB22" s="1"/>
  <c r="AB23" s="1"/>
  <c r="AB24" s="1"/>
  <c r="AB27" s="1"/>
  <c r="Y19"/>
  <c r="Y20" s="1"/>
  <c r="H15" i="480"/>
  <c r="P36" i="479"/>
  <c r="A11"/>
  <c r="P12"/>
  <c r="P24"/>
  <c r="D15" i="480" l="1"/>
  <c r="C16" s="1"/>
  <c r="L14"/>
  <c r="V15"/>
  <c r="W15"/>
  <c r="U15"/>
  <c r="Y16" s="1"/>
  <c r="K14"/>
  <c r="Q15" s="1"/>
  <c r="N14"/>
  <c r="X15"/>
  <c r="E15"/>
  <c r="D16" s="1"/>
  <c r="F15"/>
  <c r="E16" s="1"/>
  <c r="C15"/>
  <c r="B16" s="1"/>
  <c r="O14"/>
  <c r="P14"/>
  <c r="M14"/>
  <c r="L15" s="1"/>
  <c r="F16"/>
  <c r="G16"/>
  <c r="AB26" i="479"/>
  <c r="H16" i="480"/>
  <c r="P25" i="479"/>
  <c r="P13"/>
  <c r="P37"/>
  <c r="A12"/>
  <c r="P15" i="480" l="1"/>
  <c r="M15"/>
  <c r="N15"/>
  <c r="V16"/>
  <c r="X16"/>
  <c r="U16"/>
  <c r="X17" s="1"/>
  <c r="W16"/>
  <c r="K15"/>
  <c r="Q16" s="1"/>
  <c r="O15"/>
  <c r="E17"/>
  <c r="F17"/>
  <c r="G17"/>
  <c r="B17"/>
  <c r="C17"/>
  <c r="D17"/>
  <c r="P16"/>
  <c r="H17"/>
  <c r="P38" i="479"/>
  <c r="P26"/>
  <c r="P14"/>
  <c r="W17" i="480" l="1"/>
  <c r="B18"/>
  <c r="Y17"/>
  <c r="V17"/>
  <c r="O16"/>
  <c r="L16"/>
  <c r="N16"/>
  <c r="U17"/>
  <c r="Y18" s="1"/>
  <c r="M16"/>
  <c r="K16"/>
  <c r="Q17" s="1"/>
  <c r="F18"/>
  <c r="C18"/>
  <c r="E18"/>
  <c r="D18"/>
  <c r="C19" s="1"/>
  <c r="G18"/>
  <c r="U18"/>
  <c r="Y19" s="1"/>
  <c r="H18"/>
  <c r="E9" i="88"/>
  <c r="B19" i="480" l="1"/>
  <c r="B20" s="1"/>
  <c r="F19"/>
  <c r="E19"/>
  <c r="G19"/>
  <c r="D19"/>
  <c r="C20" s="1"/>
  <c r="X18"/>
  <c r="W19" s="1"/>
  <c r="W18"/>
  <c r="V19" s="1"/>
  <c r="O17"/>
  <c r="V18"/>
  <c r="U19" s="1"/>
  <c r="Y20" s="1"/>
  <c r="M17"/>
  <c r="K17"/>
  <c r="Q18" s="1"/>
  <c r="N17"/>
  <c r="P17"/>
  <c r="L17"/>
  <c r="X19"/>
  <c r="H19"/>
  <c r="L35" i="290"/>
  <c r="L33"/>
  <c r="L32"/>
  <c r="F20" i="480" l="1"/>
  <c r="E21" s="1"/>
  <c r="G20"/>
  <c r="F21" s="1"/>
  <c r="D20"/>
  <c r="C21" s="1"/>
  <c r="E20"/>
  <c r="D21" s="1"/>
  <c r="M18"/>
  <c r="N18"/>
  <c r="V20"/>
  <c r="K18"/>
  <c r="Q19" s="1"/>
  <c r="L18"/>
  <c r="O18"/>
  <c r="P18"/>
  <c r="W20"/>
  <c r="X20"/>
  <c r="U20"/>
  <c r="Y21" s="1"/>
  <c r="B21"/>
  <c r="H20"/>
  <c r="G21" s="1"/>
  <c r="L36" i="290"/>
  <c r="M19" i="480" l="1"/>
  <c r="O19"/>
  <c r="L19"/>
  <c r="N19"/>
  <c r="P19"/>
  <c r="K19"/>
  <c r="Q20" s="1"/>
  <c r="X21"/>
  <c r="W21"/>
  <c r="E22"/>
  <c r="U21"/>
  <c r="Y22" s="1"/>
  <c r="V21"/>
  <c r="D22"/>
  <c r="B22"/>
  <c r="F22"/>
  <c r="C22"/>
  <c r="H21"/>
  <c r="G22" s="1"/>
  <c r="F34" i="476"/>
  <c r="E34"/>
  <c r="D34"/>
  <c r="C34"/>
  <c r="G33"/>
  <c r="G32"/>
  <c r="G31"/>
  <c r="G30"/>
  <c r="G29"/>
  <c r="G28"/>
  <c r="G27"/>
  <c r="G26"/>
  <c r="L12" i="477"/>
  <c r="E23" i="480" l="1"/>
  <c r="K20"/>
  <c r="Q21" s="1"/>
  <c r="O20"/>
  <c r="N20"/>
  <c r="L20"/>
  <c r="M20"/>
  <c r="P20"/>
  <c r="X22"/>
  <c r="W22"/>
  <c r="V22"/>
  <c r="D23"/>
  <c r="U22"/>
  <c r="Y23" s="1"/>
  <c r="F23"/>
  <c r="B23"/>
  <c r="C23"/>
  <c r="H22"/>
  <c r="G23" s="1"/>
  <c r="G34" i="476"/>
  <c r="K21" i="480" l="1"/>
  <c r="Q22" s="1"/>
  <c r="M21"/>
  <c r="O21"/>
  <c r="N21"/>
  <c r="L21"/>
  <c r="K22" s="1"/>
  <c r="Q23" s="1"/>
  <c r="P21"/>
  <c r="C24"/>
  <c r="U23"/>
  <c r="V23"/>
  <c r="W23"/>
  <c r="X23"/>
  <c r="B24"/>
  <c r="F24"/>
  <c r="D24"/>
  <c r="E24"/>
  <c r="H23"/>
  <c r="G24" s="1"/>
  <c r="D53" i="442"/>
  <c r="C53"/>
  <c r="AG7" i="475"/>
  <c r="AI7" s="1"/>
  <c r="AG6"/>
  <c r="AH6" s="1"/>
  <c r="AI5"/>
  <c r="AH5"/>
  <c r="AG5"/>
  <c r="F13"/>
  <c r="E13"/>
  <c r="D13"/>
  <c r="C13"/>
  <c r="N12"/>
  <c r="M12"/>
  <c r="K12"/>
  <c r="J12"/>
  <c r="I12"/>
  <c r="G12"/>
  <c r="N11"/>
  <c r="M11"/>
  <c r="L11"/>
  <c r="K11"/>
  <c r="J11"/>
  <c r="I11"/>
  <c r="G11"/>
  <c r="N10"/>
  <c r="M10"/>
  <c r="L10"/>
  <c r="K10"/>
  <c r="J10"/>
  <c r="I10"/>
  <c r="G10"/>
  <c r="N9"/>
  <c r="M9"/>
  <c r="L9"/>
  <c r="K9"/>
  <c r="J9"/>
  <c r="I9"/>
  <c r="G9"/>
  <c r="N8"/>
  <c r="M8"/>
  <c r="L8"/>
  <c r="K8"/>
  <c r="J8"/>
  <c r="I8"/>
  <c r="G8"/>
  <c r="N7"/>
  <c r="M7"/>
  <c r="L7"/>
  <c r="K7"/>
  <c r="J7"/>
  <c r="I7"/>
  <c r="G7"/>
  <c r="N6"/>
  <c r="M6"/>
  <c r="L6"/>
  <c r="K6"/>
  <c r="J6"/>
  <c r="I6"/>
  <c r="G6"/>
  <c r="N5"/>
  <c r="M5"/>
  <c r="L5"/>
  <c r="K5"/>
  <c r="J5"/>
  <c r="I5"/>
  <c r="G5"/>
  <c r="N4"/>
  <c r="Y4" s="1"/>
  <c r="AC4" s="1"/>
  <c r="M4"/>
  <c r="U4" s="1"/>
  <c r="L4"/>
  <c r="Q4" s="1"/>
  <c r="K4"/>
  <c r="P4" s="1"/>
  <c r="J4"/>
  <c r="I4"/>
  <c r="F13" i="476"/>
  <c r="E13"/>
  <c r="D13"/>
  <c r="C13"/>
  <c r="N12"/>
  <c r="M12"/>
  <c r="K12"/>
  <c r="J12"/>
  <c r="I12"/>
  <c r="G12"/>
  <c r="N11"/>
  <c r="M11"/>
  <c r="L11"/>
  <c r="K11"/>
  <c r="J11"/>
  <c r="I11"/>
  <c r="G11"/>
  <c r="N10"/>
  <c r="M10"/>
  <c r="L10"/>
  <c r="K10"/>
  <c r="J10"/>
  <c r="I10"/>
  <c r="G10"/>
  <c r="N9"/>
  <c r="M9"/>
  <c r="L9"/>
  <c r="K9"/>
  <c r="J9"/>
  <c r="I9"/>
  <c r="G9"/>
  <c r="N8"/>
  <c r="M8"/>
  <c r="L8"/>
  <c r="K8"/>
  <c r="J8"/>
  <c r="I8"/>
  <c r="G8"/>
  <c r="N7"/>
  <c r="M7"/>
  <c r="L7"/>
  <c r="K7"/>
  <c r="J7"/>
  <c r="I7"/>
  <c r="G7"/>
  <c r="N6"/>
  <c r="M6"/>
  <c r="L6"/>
  <c r="K6"/>
  <c r="J6"/>
  <c r="I6"/>
  <c r="G6"/>
  <c r="N5"/>
  <c r="M5"/>
  <c r="L5"/>
  <c r="K5"/>
  <c r="J5"/>
  <c r="I5"/>
  <c r="G5"/>
  <c r="N4"/>
  <c r="Y4" s="1"/>
  <c r="AC4" s="1"/>
  <c r="M4"/>
  <c r="L4"/>
  <c r="T4" s="1"/>
  <c r="K4"/>
  <c r="P4" s="1"/>
  <c r="J4"/>
  <c r="I4"/>
  <c r="R27" i="477"/>
  <c r="Q27"/>
  <c r="K27"/>
  <c r="J27"/>
  <c r="D27"/>
  <c r="R23"/>
  <c r="J23"/>
  <c r="C23"/>
  <c r="R22"/>
  <c r="J22"/>
  <c r="C22"/>
  <c r="R21"/>
  <c r="J21"/>
  <c r="C21"/>
  <c r="R20"/>
  <c r="J20"/>
  <c r="C20"/>
  <c r="R19"/>
  <c r="J19"/>
  <c r="C19"/>
  <c r="R18"/>
  <c r="J18"/>
  <c r="C18"/>
  <c r="R17"/>
  <c r="J17"/>
  <c r="C17"/>
  <c r="R16"/>
  <c r="J16"/>
  <c r="C16"/>
  <c r="C15"/>
  <c r="C27" s="1"/>
  <c r="F13"/>
  <c r="E13"/>
  <c r="D13"/>
  <c r="C13"/>
  <c r="N12"/>
  <c r="M12"/>
  <c r="K12"/>
  <c r="J12"/>
  <c r="I12"/>
  <c r="G12"/>
  <c r="N11"/>
  <c r="M11"/>
  <c r="L11"/>
  <c r="K11"/>
  <c r="J11"/>
  <c r="I11"/>
  <c r="G11"/>
  <c r="N10"/>
  <c r="M10"/>
  <c r="L10"/>
  <c r="K10"/>
  <c r="J10"/>
  <c r="I10"/>
  <c r="G10"/>
  <c r="N9"/>
  <c r="M9"/>
  <c r="L9"/>
  <c r="K9"/>
  <c r="J9"/>
  <c r="I9"/>
  <c r="G9"/>
  <c r="N8"/>
  <c r="M8"/>
  <c r="L8"/>
  <c r="K8"/>
  <c r="J8"/>
  <c r="I8"/>
  <c r="G8"/>
  <c r="N7"/>
  <c r="M7"/>
  <c r="L7"/>
  <c r="K7"/>
  <c r="J7"/>
  <c r="I7"/>
  <c r="G7"/>
  <c r="N6"/>
  <c r="M6"/>
  <c r="L6"/>
  <c r="K6"/>
  <c r="J6"/>
  <c r="I6"/>
  <c r="G6"/>
  <c r="N5"/>
  <c r="M5"/>
  <c r="L5"/>
  <c r="K5"/>
  <c r="J5"/>
  <c r="I5"/>
  <c r="G5"/>
  <c r="D16" s="1"/>
  <c r="N4"/>
  <c r="Y4" s="1"/>
  <c r="AC4" s="1"/>
  <c r="M4"/>
  <c r="X4" s="1"/>
  <c r="AB4" s="1"/>
  <c r="L4"/>
  <c r="K4"/>
  <c r="P4" s="1"/>
  <c r="J4"/>
  <c r="I4"/>
  <c r="P22" i="480" l="1"/>
  <c r="O22"/>
  <c r="L22"/>
  <c r="K23" s="1"/>
  <c r="Q24" s="1"/>
  <c r="N22"/>
  <c r="M23" s="1"/>
  <c r="M22"/>
  <c r="L23" s="1"/>
  <c r="N23"/>
  <c r="P23"/>
  <c r="O23"/>
  <c r="K21" i="477"/>
  <c r="K18"/>
  <c r="K22"/>
  <c r="H24" i="480"/>
  <c r="K23" i="477"/>
  <c r="O9" i="475"/>
  <c r="AE9" s="1"/>
  <c r="G13"/>
  <c r="L13"/>
  <c r="O12"/>
  <c r="AE12" s="1"/>
  <c r="O6"/>
  <c r="AE6" s="1"/>
  <c r="N13"/>
  <c r="O8"/>
  <c r="AE8" s="1"/>
  <c r="L13" i="477"/>
  <c r="O12"/>
  <c r="AE12" s="1"/>
  <c r="O7" i="475"/>
  <c r="AE7" s="1"/>
  <c r="M13"/>
  <c r="O11"/>
  <c r="AE11" s="1"/>
  <c r="D23" i="477"/>
  <c r="W4" i="475"/>
  <c r="AA4" s="1"/>
  <c r="O5"/>
  <c r="AL9" s="1"/>
  <c r="O10"/>
  <c r="AE10" s="1"/>
  <c r="S4"/>
  <c r="V4"/>
  <c r="Z4" s="1"/>
  <c r="V4" i="477"/>
  <c r="Z4" s="1"/>
  <c r="S4"/>
  <c r="E118" i="463"/>
  <c r="F118"/>
  <c r="M47" i="442"/>
  <c r="P12" i="475"/>
  <c r="S12" s="1"/>
  <c r="V12" s="1"/>
  <c r="P10"/>
  <c r="S10" s="1"/>
  <c r="V10" s="1"/>
  <c r="AH7"/>
  <c r="Q7" s="1"/>
  <c r="T7" s="1"/>
  <c r="AI6"/>
  <c r="R11" s="1"/>
  <c r="U11" s="1"/>
  <c r="Y11" s="1"/>
  <c r="P6"/>
  <c r="S6" s="1"/>
  <c r="V6" s="1"/>
  <c r="P9"/>
  <c r="S9" s="1"/>
  <c r="V9" s="1"/>
  <c r="P5"/>
  <c r="S5" s="1"/>
  <c r="V5" s="1"/>
  <c r="P11"/>
  <c r="S11" s="1"/>
  <c r="V11" s="1"/>
  <c r="AE5"/>
  <c r="R4"/>
  <c r="T4"/>
  <c r="X4"/>
  <c r="AB4" s="1"/>
  <c r="P7"/>
  <c r="S7" s="1"/>
  <c r="V7" s="1"/>
  <c r="P8"/>
  <c r="S8" s="1"/>
  <c r="V8" s="1"/>
  <c r="K13"/>
  <c r="S4" i="476"/>
  <c r="N13"/>
  <c r="O10"/>
  <c r="AE10" s="1"/>
  <c r="V4"/>
  <c r="Z4" s="1"/>
  <c r="L13"/>
  <c r="O12"/>
  <c r="AE12" s="1"/>
  <c r="Q4"/>
  <c r="O11"/>
  <c r="AE11" s="1"/>
  <c r="M13"/>
  <c r="K13"/>
  <c r="O6"/>
  <c r="AE6" s="1"/>
  <c r="X4"/>
  <c r="AB4" s="1"/>
  <c r="R4"/>
  <c r="U4"/>
  <c r="O7"/>
  <c r="AE7" s="1"/>
  <c r="G13"/>
  <c r="W4"/>
  <c r="AA4" s="1"/>
  <c r="O5"/>
  <c r="O8"/>
  <c r="AE8" s="1"/>
  <c r="O9"/>
  <c r="AE9" s="1"/>
  <c r="Q23" i="477"/>
  <c r="Q22"/>
  <c r="D22"/>
  <c r="O10"/>
  <c r="AE10" s="1"/>
  <c r="O8"/>
  <c r="AE8" s="1"/>
  <c r="D18"/>
  <c r="K16"/>
  <c r="N13"/>
  <c r="T4"/>
  <c r="Q4"/>
  <c r="W4"/>
  <c r="AA4" s="1"/>
  <c r="M13"/>
  <c r="U4"/>
  <c r="D19"/>
  <c r="Q19"/>
  <c r="K19"/>
  <c r="O5"/>
  <c r="AE5" s="1"/>
  <c r="D17"/>
  <c r="Q17"/>
  <c r="K17"/>
  <c r="O9"/>
  <c r="AE9" s="1"/>
  <c r="G13"/>
  <c r="K13"/>
  <c r="R4"/>
  <c r="Q16"/>
  <c r="K20"/>
  <c r="D20"/>
  <c r="O11"/>
  <c r="AE11" s="1"/>
  <c r="Q20"/>
  <c r="O7"/>
  <c r="AE7" s="1"/>
  <c r="D21"/>
  <c r="Q21"/>
  <c r="O6"/>
  <c r="AE6" s="1"/>
  <c r="Q18"/>
  <c r="N24" i="480" l="1"/>
  <c r="P24"/>
  <c r="L24"/>
  <c r="M24"/>
  <c r="O24"/>
  <c r="K24"/>
  <c r="M45" i="442"/>
  <c r="M49"/>
  <c r="M43"/>
  <c r="Z12" i="475"/>
  <c r="Z11"/>
  <c r="AC11"/>
  <c r="Z6"/>
  <c r="Z9"/>
  <c r="O13"/>
  <c r="Z10"/>
  <c r="AE13"/>
  <c r="M44" i="442"/>
  <c r="L43"/>
  <c r="M46"/>
  <c r="L45"/>
  <c r="K51"/>
  <c r="M41"/>
  <c r="L44"/>
  <c r="J51"/>
  <c r="L46"/>
  <c r="I51"/>
  <c r="L47"/>
  <c r="L48"/>
  <c r="M48"/>
  <c r="L49"/>
  <c r="H51"/>
  <c r="L41"/>
  <c r="G51"/>
  <c r="L50"/>
  <c r="L42"/>
  <c r="M50"/>
  <c r="M42"/>
  <c r="Q8" i="475"/>
  <c r="T8" s="1"/>
  <c r="W8" s="1"/>
  <c r="AA8" s="1"/>
  <c r="R10"/>
  <c r="U10" s="1"/>
  <c r="Y10" s="1"/>
  <c r="AC10" s="1"/>
  <c r="Q12"/>
  <c r="T12" s="1"/>
  <c r="W12" s="1"/>
  <c r="AA12" s="1"/>
  <c r="Q9"/>
  <c r="T9" s="1"/>
  <c r="W9" s="1"/>
  <c r="AA9" s="1"/>
  <c r="Q5"/>
  <c r="T5" s="1"/>
  <c r="W5" s="1"/>
  <c r="AA5" s="1"/>
  <c r="R7"/>
  <c r="U7" s="1"/>
  <c r="X7" s="1"/>
  <c r="AB7" s="1"/>
  <c r="R12"/>
  <c r="U12" s="1"/>
  <c r="Y12" s="1"/>
  <c r="AC12" s="1"/>
  <c r="R6"/>
  <c r="U6" s="1"/>
  <c r="Y6" s="1"/>
  <c r="AC6" s="1"/>
  <c r="R8"/>
  <c r="U8" s="1"/>
  <c r="Z5"/>
  <c r="Q11"/>
  <c r="T11" s="1"/>
  <c r="W11" s="1"/>
  <c r="AA11" s="1"/>
  <c r="Q10"/>
  <c r="T10" s="1"/>
  <c r="W10" s="1"/>
  <c r="AA10" s="1"/>
  <c r="Q6"/>
  <c r="T6" s="1"/>
  <c r="W6" s="1"/>
  <c r="AA6" s="1"/>
  <c r="R9"/>
  <c r="U9" s="1"/>
  <c r="R5"/>
  <c r="U5" s="1"/>
  <c r="W7"/>
  <c r="AA7" s="1"/>
  <c r="Z8"/>
  <c r="Z7"/>
  <c r="AE5" i="476"/>
  <c r="AE13" s="1"/>
  <c r="O13"/>
  <c r="AL9"/>
  <c r="AG6" i="477"/>
  <c r="AG7"/>
  <c r="AG5"/>
  <c r="AI6"/>
  <c r="AI5"/>
  <c r="AI7"/>
  <c r="AH7"/>
  <c r="AH6"/>
  <c r="AH5"/>
  <c r="O13"/>
  <c r="AE13"/>
  <c r="AL9"/>
  <c r="AL5" i="475" l="1"/>
  <c r="AL5" i="477"/>
  <c r="P5"/>
  <c r="S5" s="1"/>
  <c r="V5" s="1"/>
  <c r="M51" i="442"/>
  <c r="L51"/>
  <c r="X8" i="475"/>
  <c r="AB8" s="1"/>
  <c r="Y7"/>
  <c r="AC7" s="1"/>
  <c r="X12"/>
  <c r="AB12" s="1"/>
  <c r="X5"/>
  <c r="AB5" s="1"/>
  <c r="X9"/>
  <c r="AB9" s="1"/>
  <c r="Y8"/>
  <c r="AC8" s="1"/>
  <c r="X10"/>
  <c r="AB10" s="1"/>
  <c r="Y5"/>
  <c r="AC5" s="1"/>
  <c r="X11"/>
  <c r="AB11" s="1"/>
  <c r="X6"/>
  <c r="AB6" s="1"/>
  <c r="Y9"/>
  <c r="AC9" s="1"/>
  <c r="Z13"/>
  <c r="AA13"/>
  <c r="Q12" i="476"/>
  <c r="T12" s="1"/>
  <c r="Q10"/>
  <c r="T10" s="1"/>
  <c r="Q7"/>
  <c r="T7" s="1"/>
  <c r="Q11"/>
  <c r="T11" s="1"/>
  <c r="Q9"/>
  <c r="T9" s="1"/>
  <c r="Q6"/>
  <c r="T6" s="1"/>
  <c r="Q8"/>
  <c r="T8" s="1"/>
  <c r="Q5"/>
  <c r="T5" s="1"/>
  <c r="P11"/>
  <c r="S11" s="1"/>
  <c r="V11" s="1"/>
  <c r="P8"/>
  <c r="S8" s="1"/>
  <c r="V8" s="1"/>
  <c r="P6"/>
  <c r="S6" s="1"/>
  <c r="V6" s="1"/>
  <c r="P7"/>
  <c r="S7" s="1"/>
  <c r="V7" s="1"/>
  <c r="P12"/>
  <c r="S12" s="1"/>
  <c r="V12" s="1"/>
  <c r="P5"/>
  <c r="S5" s="1"/>
  <c r="V5" s="1"/>
  <c r="P9"/>
  <c r="S9" s="1"/>
  <c r="V9" s="1"/>
  <c r="P10"/>
  <c r="S10" s="1"/>
  <c r="V10" s="1"/>
  <c r="AL5"/>
  <c r="R9"/>
  <c r="U9" s="1"/>
  <c r="R7"/>
  <c r="U7" s="1"/>
  <c r="R6"/>
  <c r="U6" s="1"/>
  <c r="R5"/>
  <c r="U5" s="1"/>
  <c r="R11"/>
  <c r="U11" s="1"/>
  <c r="R12"/>
  <c r="U12" s="1"/>
  <c r="R10"/>
  <c r="U10" s="1"/>
  <c r="R8"/>
  <c r="U8" s="1"/>
  <c r="Q10" i="477"/>
  <c r="T10" s="1"/>
  <c r="Q12"/>
  <c r="T12" s="1"/>
  <c r="Q11"/>
  <c r="T11" s="1"/>
  <c r="Q9"/>
  <c r="T9" s="1"/>
  <c r="Q7"/>
  <c r="T7" s="1"/>
  <c r="Q6"/>
  <c r="T6" s="1"/>
  <c r="Q8"/>
  <c r="T8" s="1"/>
  <c r="Q5"/>
  <c r="T5" s="1"/>
  <c r="R9"/>
  <c r="U9" s="1"/>
  <c r="R7"/>
  <c r="U7" s="1"/>
  <c r="R6"/>
  <c r="U6" s="1"/>
  <c r="R5"/>
  <c r="U5" s="1"/>
  <c r="R10"/>
  <c r="U10" s="1"/>
  <c r="R8"/>
  <c r="U8" s="1"/>
  <c r="R11"/>
  <c r="U11" s="1"/>
  <c r="R12"/>
  <c r="U12" s="1"/>
  <c r="P12"/>
  <c r="S12" s="1"/>
  <c r="V12" s="1"/>
  <c r="P11"/>
  <c r="S11" s="1"/>
  <c r="V11" s="1"/>
  <c r="P7"/>
  <c r="S7" s="1"/>
  <c r="V7" s="1"/>
  <c r="P10"/>
  <c r="S10" s="1"/>
  <c r="V10" s="1"/>
  <c r="P9"/>
  <c r="S9" s="1"/>
  <c r="V9" s="1"/>
  <c r="P6"/>
  <c r="S6" s="1"/>
  <c r="V6" s="1"/>
  <c r="P8"/>
  <c r="S8" s="1"/>
  <c r="V8" s="1"/>
  <c r="W5" l="1"/>
  <c r="AA5" s="1"/>
  <c r="AD7" i="475"/>
  <c r="AD12"/>
  <c r="AD8"/>
  <c r="AD10"/>
  <c r="AC13"/>
  <c r="AD5"/>
  <c r="AB13"/>
  <c r="AD6"/>
  <c r="AD9"/>
  <c r="AD11"/>
  <c r="W8" i="476"/>
  <c r="AA8" s="1"/>
  <c r="W5"/>
  <c r="AA5" s="1"/>
  <c r="W11"/>
  <c r="AA11" s="1"/>
  <c r="Y10"/>
  <c r="AC10" s="1"/>
  <c r="X10"/>
  <c r="AB10" s="1"/>
  <c r="Y6"/>
  <c r="AC6" s="1"/>
  <c r="X6"/>
  <c r="AB6" s="1"/>
  <c r="Z10"/>
  <c r="Z7"/>
  <c r="Y12"/>
  <c r="AC12" s="1"/>
  <c r="X12"/>
  <c r="AB12" s="1"/>
  <c r="Y7"/>
  <c r="AC7" s="1"/>
  <c r="X7"/>
  <c r="AB7" s="1"/>
  <c r="Z9"/>
  <c r="Z6"/>
  <c r="W7"/>
  <c r="AA7" s="1"/>
  <c r="X11"/>
  <c r="AB11" s="1"/>
  <c r="Y11"/>
  <c r="AC11" s="1"/>
  <c r="Y9"/>
  <c r="AC9" s="1"/>
  <c r="X9"/>
  <c r="AB9" s="1"/>
  <c r="Z5"/>
  <c r="Z8"/>
  <c r="W6"/>
  <c r="AA6" s="1"/>
  <c r="W10"/>
  <c r="AA10" s="1"/>
  <c r="Y8"/>
  <c r="AC8" s="1"/>
  <c r="X8"/>
  <c r="AB8" s="1"/>
  <c r="Y5"/>
  <c r="AC5" s="1"/>
  <c r="X5"/>
  <c r="AB5" s="1"/>
  <c r="Z12"/>
  <c r="Z11"/>
  <c r="W9"/>
  <c r="AA9" s="1"/>
  <c r="W12"/>
  <c r="AA12" s="1"/>
  <c r="W8" i="477"/>
  <c r="AA8" s="1"/>
  <c r="W6"/>
  <c r="AA6" s="1"/>
  <c r="Z11"/>
  <c r="Y6"/>
  <c r="AC6" s="1"/>
  <c r="X6"/>
  <c r="AB6" s="1"/>
  <c r="Z9"/>
  <c r="Z12"/>
  <c r="Y7"/>
  <c r="AC7" s="1"/>
  <c r="X7"/>
  <c r="AB7" s="1"/>
  <c r="W12"/>
  <c r="AA12" s="1"/>
  <c r="Z8"/>
  <c r="Z10"/>
  <c r="Y10"/>
  <c r="AC10" s="1"/>
  <c r="X10"/>
  <c r="AB10" s="1"/>
  <c r="X9"/>
  <c r="AB9" s="1"/>
  <c r="Y9"/>
  <c r="AC9" s="1"/>
  <c r="W7"/>
  <c r="AA7" s="1"/>
  <c r="W10"/>
  <c r="AA10" s="1"/>
  <c r="Z5"/>
  <c r="X11"/>
  <c r="AB11" s="1"/>
  <c r="Y11"/>
  <c r="AC11" s="1"/>
  <c r="W11"/>
  <c r="AA11" s="1"/>
  <c r="Y8"/>
  <c r="AC8" s="1"/>
  <c r="X8"/>
  <c r="AB8" s="1"/>
  <c r="Z6"/>
  <c r="Z7"/>
  <c r="X12"/>
  <c r="AB12" s="1"/>
  <c r="Y12"/>
  <c r="AC12" s="1"/>
  <c r="X5"/>
  <c r="AB5" s="1"/>
  <c r="Y5"/>
  <c r="AC5" s="1"/>
  <c r="W9"/>
  <c r="AA9" s="1"/>
  <c r="AD13" i="475" l="1"/>
  <c r="AL6" s="1"/>
  <c r="AL8" s="1"/>
  <c r="AL10" s="1"/>
  <c r="AL12" s="1"/>
  <c r="AA13" i="476"/>
  <c r="AD6"/>
  <c r="AD10"/>
  <c r="AB13"/>
  <c r="AD5"/>
  <c r="AD7"/>
  <c r="AD11"/>
  <c r="AC13"/>
  <c r="Z13"/>
  <c r="AD9"/>
  <c r="AD12"/>
  <c r="AD8"/>
  <c r="AA13" i="477"/>
  <c r="AC13"/>
  <c r="AD7"/>
  <c r="AD12"/>
  <c r="AB13"/>
  <c r="AD5"/>
  <c r="AD8"/>
  <c r="AD6"/>
  <c r="Z13"/>
  <c r="AD10"/>
  <c r="AD9"/>
  <c r="AD11"/>
  <c r="AL15" i="475" l="1"/>
  <c r="AL16" s="1"/>
  <c r="AL14"/>
  <c r="AD13" i="476"/>
  <c r="AL6" s="1"/>
  <c r="AL15" s="1"/>
  <c r="AL16" s="1"/>
  <c r="AD13" i="477"/>
  <c r="AL6" s="1"/>
  <c r="AL14" l="1"/>
  <c r="AL15"/>
  <c r="AL16" s="1"/>
  <c r="AL14" i="476"/>
  <c r="AL8"/>
  <c r="AL10" s="1"/>
  <c r="AL12" s="1"/>
  <c r="AL8" i="477"/>
  <c r="AL10" l="1"/>
  <c r="AL12" s="1"/>
  <c r="E17" i="474"/>
  <c r="D17"/>
  <c r="C17"/>
  <c r="F4" i="473" l="1" a="1"/>
  <c r="F7" s="1"/>
  <c r="G7" s="1"/>
  <c r="F14" l="1"/>
  <c r="G14" s="1"/>
  <c r="F10"/>
  <c r="G10" s="1"/>
  <c r="F6"/>
  <c r="G6" s="1"/>
  <c r="F13"/>
  <c r="G13" s="1"/>
  <c r="F9"/>
  <c r="G9" s="1"/>
  <c r="F5"/>
  <c r="G5" s="1"/>
  <c r="F12"/>
  <c r="G12" s="1"/>
  <c r="F8"/>
  <c r="G8" s="1"/>
  <c r="F4"/>
  <c r="G4" s="1"/>
  <c r="F11"/>
  <c r="G11" s="1"/>
  <c r="J3" l="1"/>
  <c r="X7" i="468"/>
  <c r="Y7"/>
  <c r="X8"/>
  <c r="Y8"/>
  <c r="Y6"/>
  <c r="X6"/>
  <c r="J6" i="473" l="1"/>
  <c r="O8"/>
  <c r="D16" i="472"/>
  <c r="C16"/>
  <c r="I29" i="290"/>
  <c r="U39"/>
  <c r="Z11" s="1"/>
  <c r="R39"/>
  <c r="S39"/>
  <c r="T39"/>
  <c r="Q39"/>
  <c r="U38"/>
  <c r="R38"/>
  <c r="S38"/>
  <c r="T38"/>
  <c r="Q38"/>
  <c r="U37"/>
  <c r="R37"/>
  <c r="S37"/>
  <c r="T37"/>
  <c r="Q37"/>
  <c r="U36"/>
  <c r="R36"/>
  <c r="S36"/>
  <c r="T36"/>
  <c r="Q36"/>
  <c r="U35"/>
  <c r="R35"/>
  <c r="S35"/>
  <c r="T35"/>
  <c r="Q35"/>
  <c r="U34"/>
  <c r="R34"/>
  <c r="S34"/>
  <c r="T34"/>
  <c r="Q34"/>
  <c r="U33"/>
  <c r="R33"/>
  <c r="S33"/>
  <c r="T33"/>
  <c r="Q33"/>
  <c r="U32"/>
  <c r="R32"/>
  <c r="S32"/>
  <c r="T32"/>
  <c r="Q32"/>
  <c r="U31"/>
  <c r="R31"/>
  <c r="S31"/>
  <c r="T31"/>
  <c r="Q31"/>
  <c r="P31"/>
  <c r="R30"/>
  <c r="S30"/>
  <c r="T30"/>
  <c r="Q30"/>
  <c r="U27"/>
  <c r="R27"/>
  <c r="S27"/>
  <c r="T27"/>
  <c r="Q27"/>
  <c r="U26"/>
  <c r="R26"/>
  <c r="S26"/>
  <c r="T26"/>
  <c r="Q26"/>
  <c r="U25"/>
  <c r="R25"/>
  <c r="S25"/>
  <c r="T25"/>
  <c r="Q25"/>
  <c r="U24"/>
  <c r="R24"/>
  <c r="S24"/>
  <c r="T24"/>
  <c r="Q24"/>
  <c r="U23"/>
  <c r="R23"/>
  <c r="S23"/>
  <c r="T23"/>
  <c r="Q23"/>
  <c r="U22"/>
  <c r="R22"/>
  <c r="S22"/>
  <c r="T22"/>
  <c r="Q22"/>
  <c r="U21"/>
  <c r="R21"/>
  <c r="S21"/>
  <c r="T21"/>
  <c r="Q21"/>
  <c r="U20"/>
  <c r="R20"/>
  <c r="S20"/>
  <c r="T20"/>
  <c r="Q20"/>
  <c r="U19"/>
  <c r="R19"/>
  <c r="S19"/>
  <c r="T19"/>
  <c r="Q19"/>
  <c r="P19"/>
  <c r="R18"/>
  <c r="S18"/>
  <c r="T18"/>
  <c r="Q18"/>
  <c r="U15"/>
  <c r="Y11" s="1"/>
  <c r="R15"/>
  <c r="S15"/>
  <c r="T15"/>
  <c r="Q15"/>
  <c r="U14"/>
  <c r="R14"/>
  <c r="S14"/>
  <c r="T14"/>
  <c r="Q14"/>
  <c r="U13"/>
  <c r="R13"/>
  <c r="S13"/>
  <c r="T13"/>
  <c r="Q13"/>
  <c r="U12"/>
  <c r="R12"/>
  <c r="S12"/>
  <c r="T12"/>
  <c r="Q12"/>
  <c r="U11"/>
  <c r="R11"/>
  <c r="S11"/>
  <c r="T11"/>
  <c r="Q11"/>
  <c r="U10"/>
  <c r="R10"/>
  <c r="S10"/>
  <c r="T10"/>
  <c r="Q10"/>
  <c r="U9"/>
  <c r="R9"/>
  <c r="S9"/>
  <c r="T9"/>
  <c r="Q9"/>
  <c r="U8"/>
  <c r="R8"/>
  <c r="S8"/>
  <c r="T8"/>
  <c r="Q8"/>
  <c r="U7"/>
  <c r="R7"/>
  <c r="S7"/>
  <c r="T7"/>
  <c r="Q7"/>
  <c r="P7"/>
  <c r="R6"/>
  <c r="S6"/>
  <c r="T6"/>
  <c r="Q6"/>
  <c r="X8" l="1"/>
  <c r="X7"/>
  <c r="Y8"/>
  <c r="Y7"/>
  <c r="AB16" s="1"/>
  <c r="X11"/>
  <c r="L34"/>
  <c r="L37" s="1"/>
  <c r="L38" s="1"/>
  <c r="L39" s="1"/>
  <c r="AI7" i="465"/>
  <c r="AH7"/>
  <c r="AH9"/>
  <c r="AH10"/>
  <c r="AH8"/>
  <c r="AI9"/>
  <c r="AI10"/>
  <c r="AI8"/>
  <c r="E17" i="471"/>
  <c r="D17"/>
  <c r="C17"/>
  <c r="K16"/>
  <c r="J16"/>
  <c r="I16"/>
  <c r="H16"/>
  <c r="G16"/>
  <c r="K15"/>
  <c r="J15"/>
  <c r="I15"/>
  <c r="H15"/>
  <c r="G15"/>
  <c r="K14"/>
  <c r="J14"/>
  <c r="I14"/>
  <c r="H14"/>
  <c r="G14"/>
  <c r="K13"/>
  <c r="J13"/>
  <c r="I13"/>
  <c r="H13"/>
  <c r="G13"/>
  <c r="K12"/>
  <c r="J12"/>
  <c r="I12"/>
  <c r="H12"/>
  <c r="G12"/>
  <c r="K11"/>
  <c r="J11"/>
  <c r="I11"/>
  <c r="H11"/>
  <c r="G11"/>
  <c r="K10"/>
  <c r="J10"/>
  <c r="I10"/>
  <c r="H10"/>
  <c r="G10"/>
  <c r="K9"/>
  <c r="J9"/>
  <c r="I9"/>
  <c r="H9"/>
  <c r="G9"/>
  <c r="K8"/>
  <c r="J8"/>
  <c r="I8"/>
  <c r="H8"/>
  <c r="G8"/>
  <c r="K7"/>
  <c r="J7"/>
  <c r="I7"/>
  <c r="H7"/>
  <c r="G7"/>
  <c r="K6"/>
  <c r="J6"/>
  <c r="I6"/>
  <c r="H6"/>
  <c r="G6"/>
  <c r="K5"/>
  <c r="J5"/>
  <c r="I5"/>
  <c r="H5"/>
  <c r="G5"/>
  <c r="K4"/>
  <c r="N4" s="1"/>
  <c r="J4"/>
  <c r="M4" s="1"/>
  <c r="I4"/>
  <c r="O4" s="1"/>
  <c r="R4" s="1"/>
  <c r="H4"/>
  <c r="G4"/>
  <c r="G17" i="467"/>
  <c r="G16"/>
  <c r="X10" i="468"/>
  <c r="X11"/>
  <c r="X12"/>
  <c r="X13"/>
  <c r="X14"/>
  <c r="X15"/>
  <c r="H30" a="1"/>
  <c r="H22" a="1"/>
  <c r="E17"/>
  <c r="D17"/>
  <c r="C17"/>
  <c r="K16"/>
  <c r="J16"/>
  <c r="I16"/>
  <c r="H16"/>
  <c r="G16"/>
  <c r="K15"/>
  <c r="J15"/>
  <c r="I15"/>
  <c r="H15"/>
  <c r="G15"/>
  <c r="K14"/>
  <c r="J14"/>
  <c r="I14"/>
  <c r="H14"/>
  <c r="G14"/>
  <c r="K13"/>
  <c r="J13"/>
  <c r="I13"/>
  <c r="H13"/>
  <c r="G13"/>
  <c r="K12"/>
  <c r="J12"/>
  <c r="I12"/>
  <c r="H12"/>
  <c r="G12"/>
  <c r="K11"/>
  <c r="J11"/>
  <c r="I11"/>
  <c r="H11"/>
  <c r="G11"/>
  <c r="K10"/>
  <c r="J10"/>
  <c r="I10"/>
  <c r="H10"/>
  <c r="G10"/>
  <c r="K9"/>
  <c r="J9"/>
  <c r="I9"/>
  <c r="H9"/>
  <c r="G9"/>
  <c r="K8"/>
  <c r="J8"/>
  <c r="I8"/>
  <c r="H8"/>
  <c r="G8"/>
  <c r="K7"/>
  <c r="J7"/>
  <c r="I7"/>
  <c r="H7"/>
  <c r="G7"/>
  <c r="K6"/>
  <c r="J6"/>
  <c r="I6"/>
  <c r="H6"/>
  <c r="G6"/>
  <c r="K5"/>
  <c r="J5"/>
  <c r="I5"/>
  <c r="H5"/>
  <c r="G5"/>
  <c r="K4"/>
  <c r="J4"/>
  <c r="I4"/>
  <c r="O4" s="1"/>
  <c r="R4" s="1"/>
  <c r="H4"/>
  <c r="G4"/>
  <c r="H29" i="466" a="1"/>
  <c r="H29" s="1"/>
  <c r="H22" a="1"/>
  <c r="H23" s="1"/>
  <c r="L23" s="1"/>
  <c r="AF8"/>
  <c r="AG8"/>
  <c r="AF9"/>
  <c r="AG9"/>
  <c r="AF10"/>
  <c r="AG10"/>
  <c r="AG7"/>
  <c r="AF7"/>
  <c r="E17"/>
  <c r="D17"/>
  <c r="C17"/>
  <c r="K16"/>
  <c r="J16"/>
  <c r="I16"/>
  <c r="H16"/>
  <c r="G16"/>
  <c r="K15"/>
  <c r="J15"/>
  <c r="I15"/>
  <c r="H15"/>
  <c r="G15"/>
  <c r="K14"/>
  <c r="J14"/>
  <c r="I14"/>
  <c r="H14"/>
  <c r="G14"/>
  <c r="K13"/>
  <c r="J13"/>
  <c r="I13"/>
  <c r="H13"/>
  <c r="G13"/>
  <c r="K12"/>
  <c r="J12"/>
  <c r="I12"/>
  <c r="H12"/>
  <c r="G12"/>
  <c r="K11"/>
  <c r="J11"/>
  <c r="I11"/>
  <c r="H11"/>
  <c r="G11"/>
  <c r="K10"/>
  <c r="J10"/>
  <c r="I10"/>
  <c r="H10"/>
  <c r="G10"/>
  <c r="K9"/>
  <c r="J9"/>
  <c r="I9"/>
  <c r="H9"/>
  <c r="G9"/>
  <c r="K8"/>
  <c r="J8"/>
  <c r="I8"/>
  <c r="H8"/>
  <c r="G8"/>
  <c r="K7"/>
  <c r="J7"/>
  <c r="I7"/>
  <c r="H7"/>
  <c r="G7"/>
  <c r="K6"/>
  <c r="J6"/>
  <c r="I6"/>
  <c r="H6"/>
  <c r="G6"/>
  <c r="K5"/>
  <c r="J5"/>
  <c r="I5"/>
  <c r="H5"/>
  <c r="G5"/>
  <c r="K4"/>
  <c r="J4"/>
  <c r="I4"/>
  <c r="O4" s="1"/>
  <c r="R4" s="1"/>
  <c r="H4"/>
  <c r="G4"/>
  <c r="D98" i="463"/>
  <c r="D99"/>
  <c r="D100"/>
  <c r="D97"/>
  <c r="AB17" i="290" l="1"/>
  <c r="L14" i="471"/>
  <c r="V14" s="1"/>
  <c r="Z7" i="290"/>
  <c r="Z8"/>
  <c r="L16" i="471"/>
  <c r="V16" s="1"/>
  <c r="X9" i="290"/>
  <c r="L13" i="468"/>
  <c r="V13" s="1"/>
  <c r="Q4" i="471"/>
  <c r="T4" s="1"/>
  <c r="L12"/>
  <c r="V12" s="1"/>
  <c r="Y9" i="290"/>
  <c r="L40"/>
  <c r="L43" s="1"/>
  <c r="L42"/>
  <c r="K17" i="471"/>
  <c r="H22" i="466"/>
  <c r="L22" s="1"/>
  <c r="G31" i="471" a="1"/>
  <c r="AB8"/>
  <c r="AJ7" i="465"/>
  <c r="AK7" s="1"/>
  <c r="AJ9"/>
  <c r="AK9" s="1"/>
  <c r="AJ8"/>
  <c r="P4" i="471"/>
  <c r="S4" s="1"/>
  <c r="P4" i="468"/>
  <c r="S4" s="1"/>
  <c r="M4"/>
  <c r="Q4"/>
  <c r="T4" s="1"/>
  <c r="N4"/>
  <c r="Q4" i="466"/>
  <c r="T4" s="1"/>
  <c r="N4"/>
  <c r="P4"/>
  <c r="S4" s="1"/>
  <c r="M4"/>
  <c r="X15" i="471"/>
  <c r="X11"/>
  <c r="X14"/>
  <c r="X12"/>
  <c r="J17"/>
  <c r="L5"/>
  <c r="L10"/>
  <c r="V10" s="1"/>
  <c r="L6"/>
  <c r="V6" s="1"/>
  <c r="L7"/>
  <c r="V7" s="1"/>
  <c r="L8"/>
  <c r="V8" s="1"/>
  <c r="L9"/>
  <c r="V9" s="1"/>
  <c r="L11"/>
  <c r="V11" s="1"/>
  <c r="L13"/>
  <c r="V13" s="1"/>
  <c r="L15"/>
  <c r="V15" s="1"/>
  <c r="I17"/>
  <c r="G23" a="1"/>
  <c r="N13" i="466"/>
  <c r="N8" i="468"/>
  <c r="N12"/>
  <c r="L11"/>
  <c r="V11" s="1"/>
  <c r="L16"/>
  <c r="V16" s="1"/>
  <c r="G31" a="1"/>
  <c r="G31" s="1"/>
  <c r="N6"/>
  <c r="L12"/>
  <c r="V12" s="1"/>
  <c r="N11"/>
  <c r="K17"/>
  <c r="G23" a="1"/>
  <c r="G24" s="1"/>
  <c r="M8"/>
  <c r="M10"/>
  <c r="M16"/>
  <c r="L10"/>
  <c r="V10" s="1"/>
  <c r="N14"/>
  <c r="N15"/>
  <c r="G30" i="466" a="1"/>
  <c r="G30" s="1"/>
  <c r="M14" i="468"/>
  <c r="N5"/>
  <c r="M5"/>
  <c r="L7"/>
  <c r="V7" s="1"/>
  <c r="L9"/>
  <c r="V9" s="1"/>
  <c r="L15"/>
  <c r="V15" s="1"/>
  <c r="M6"/>
  <c r="O6" s="1"/>
  <c r="Q6" s="1"/>
  <c r="L6"/>
  <c r="V6" s="1"/>
  <c r="M9"/>
  <c r="M15"/>
  <c r="H23"/>
  <c r="H24"/>
  <c r="I17"/>
  <c r="L5"/>
  <c r="J17"/>
  <c r="M7"/>
  <c r="N7"/>
  <c r="H22"/>
  <c r="M12"/>
  <c r="H31"/>
  <c r="H30"/>
  <c r="L8"/>
  <c r="V8" s="1"/>
  <c r="N9"/>
  <c r="M11"/>
  <c r="N13"/>
  <c r="M13"/>
  <c r="L14"/>
  <c r="V14" s="1"/>
  <c r="H32"/>
  <c r="N10"/>
  <c r="N16"/>
  <c r="G23" i="466" a="1"/>
  <c r="G23" s="1"/>
  <c r="M16"/>
  <c r="N5"/>
  <c r="M9"/>
  <c r="M13"/>
  <c r="L15"/>
  <c r="V15" s="1"/>
  <c r="H31"/>
  <c r="H30"/>
  <c r="L30" s="1"/>
  <c r="H24"/>
  <c r="L24" s="1"/>
  <c r="M6"/>
  <c r="M10"/>
  <c r="M14"/>
  <c r="M5"/>
  <c r="N7"/>
  <c r="M8"/>
  <c r="N11"/>
  <c r="M12"/>
  <c r="N15"/>
  <c r="N9"/>
  <c r="M15"/>
  <c r="M11"/>
  <c r="M7"/>
  <c r="N16"/>
  <c r="N14"/>
  <c r="N12"/>
  <c r="N10"/>
  <c r="N8"/>
  <c r="N6"/>
  <c r="I17"/>
  <c r="L13"/>
  <c r="V13" s="1"/>
  <c r="L16"/>
  <c r="V16" s="1"/>
  <c r="AH10"/>
  <c r="AI10" s="1"/>
  <c r="AH8"/>
  <c r="AI8" s="1"/>
  <c r="AH7"/>
  <c r="AJ7" s="1"/>
  <c r="AH9"/>
  <c r="AI9" s="1"/>
  <c r="L12"/>
  <c r="V12" s="1"/>
  <c r="J17"/>
  <c r="L14"/>
  <c r="V14" s="1"/>
  <c r="L5"/>
  <c r="V5" s="1"/>
  <c r="AB8"/>
  <c r="L6"/>
  <c r="V6" s="1"/>
  <c r="K17"/>
  <c r="L7"/>
  <c r="V7" s="1"/>
  <c r="L8"/>
  <c r="V8" s="1"/>
  <c r="L9"/>
  <c r="V9" s="1"/>
  <c r="L10"/>
  <c r="V10" s="1"/>
  <c r="L11"/>
  <c r="V11" s="1"/>
  <c r="O14" i="468" l="1"/>
  <c r="Q14" s="1"/>
  <c r="T14" s="1"/>
  <c r="G31" i="466"/>
  <c r="Z9" i="290"/>
  <c r="AB20" s="1"/>
  <c r="H22" i="471" a="1"/>
  <c r="H22" s="1"/>
  <c r="L22" s="1"/>
  <c r="H30" a="1"/>
  <c r="H31" s="1"/>
  <c r="L31" s="1"/>
  <c r="O8" i="468"/>
  <c r="P8" s="1"/>
  <c r="S8" s="1"/>
  <c r="G32"/>
  <c r="G32" i="471"/>
  <c r="G31"/>
  <c r="AL7" i="465"/>
  <c r="AL8"/>
  <c r="AK8"/>
  <c r="AJ10"/>
  <c r="AK10" s="1"/>
  <c r="AL9"/>
  <c r="M10" i="471"/>
  <c r="M13"/>
  <c r="N16"/>
  <c r="N8"/>
  <c r="M7"/>
  <c r="M6"/>
  <c r="M14"/>
  <c r="N12"/>
  <c r="M5"/>
  <c r="M15"/>
  <c r="M12"/>
  <c r="M11"/>
  <c r="M8"/>
  <c r="N14"/>
  <c r="N11"/>
  <c r="N7"/>
  <c r="N15"/>
  <c r="N6"/>
  <c r="M16"/>
  <c r="N13"/>
  <c r="N9"/>
  <c r="M9"/>
  <c r="X10"/>
  <c r="N10"/>
  <c r="X13"/>
  <c r="N5"/>
  <c r="V5"/>
  <c r="V17" s="1"/>
  <c r="L17"/>
  <c r="G23"/>
  <c r="G24"/>
  <c r="O15" i="468"/>
  <c r="Q15" s="1"/>
  <c r="T15" s="1"/>
  <c r="O13" i="466"/>
  <c r="R13" s="1"/>
  <c r="G23" i="468"/>
  <c r="O5"/>
  <c r="R5" s="1"/>
  <c r="P14"/>
  <c r="S14" s="1"/>
  <c r="T6"/>
  <c r="O9"/>
  <c r="R9" s="1"/>
  <c r="V17" i="466"/>
  <c r="AJ10"/>
  <c r="L30" i="468"/>
  <c r="L24"/>
  <c r="L32"/>
  <c r="O11"/>
  <c r="L31"/>
  <c r="O12"/>
  <c r="P12" s="1"/>
  <c r="S12" s="1"/>
  <c r="L23"/>
  <c r="O7"/>
  <c r="Q7" s="1"/>
  <c r="T7" s="1"/>
  <c r="V5"/>
  <c r="L17"/>
  <c r="O16"/>
  <c r="Q16" s="1"/>
  <c r="T16" s="1"/>
  <c r="O13"/>
  <c r="Q13" s="1"/>
  <c r="T13" s="1"/>
  <c r="R6"/>
  <c r="P6"/>
  <c r="L22"/>
  <c r="O10"/>
  <c r="G24" i="466"/>
  <c r="AJ8"/>
  <c r="AI7"/>
  <c r="AJ9"/>
  <c r="L31"/>
  <c r="O14"/>
  <c r="L29"/>
  <c r="O8"/>
  <c r="O9"/>
  <c r="O11"/>
  <c r="O6"/>
  <c r="L17"/>
  <c r="O16"/>
  <c r="H6" i="463"/>
  <c r="R14" i="468" l="1"/>
  <c r="Q5"/>
  <c r="T5" s="1"/>
  <c r="R15"/>
  <c r="O14" i="471"/>
  <c r="P14" s="1"/>
  <c r="S14" s="1"/>
  <c r="H24"/>
  <c r="L24" s="1"/>
  <c r="H23"/>
  <c r="L23" s="1"/>
  <c r="AB29" i="290"/>
  <c r="R8" i="468"/>
  <c r="Q8"/>
  <c r="T8" s="1"/>
  <c r="H30" i="471"/>
  <c r="L30" s="1"/>
  <c r="Y18" i="290"/>
  <c r="Y16"/>
  <c r="Y17"/>
  <c r="Y13"/>
  <c r="AB18" s="1"/>
  <c r="AA8"/>
  <c r="AB8" s="1"/>
  <c r="AC8" s="1"/>
  <c r="AA7"/>
  <c r="AB7" s="1"/>
  <c r="AC7" s="1"/>
  <c r="H32" i="471"/>
  <c r="L32" s="1"/>
  <c r="V17" i="468"/>
  <c r="AB4" i="471"/>
  <c r="AL10" i="465"/>
  <c r="O13" i="471"/>
  <c r="O12"/>
  <c r="O16"/>
  <c r="O9"/>
  <c r="O6"/>
  <c r="O11"/>
  <c r="O15"/>
  <c r="O8"/>
  <c r="O10"/>
  <c r="O7"/>
  <c r="O5"/>
  <c r="P13" i="466"/>
  <c r="S13" s="1"/>
  <c r="Q13"/>
  <c r="T13" s="1"/>
  <c r="Q9" i="468"/>
  <c r="T9" s="1"/>
  <c r="P5"/>
  <c r="P15"/>
  <c r="S15" s="1"/>
  <c r="P9"/>
  <c r="S9" s="1"/>
  <c r="P7"/>
  <c r="S7" s="1"/>
  <c r="AB4" i="466"/>
  <c r="U14" i="468"/>
  <c r="P16" i="466"/>
  <c r="S16" s="1"/>
  <c r="P11"/>
  <c r="S11" s="1"/>
  <c r="Q14"/>
  <c r="T14" s="1"/>
  <c r="P8"/>
  <c r="S8" s="1"/>
  <c r="R11" i="468"/>
  <c r="Q11"/>
  <c r="T11" s="1"/>
  <c r="R10"/>
  <c r="P10"/>
  <c r="S10" s="1"/>
  <c r="S6"/>
  <c r="U6"/>
  <c r="Q10"/>
  <c r="T10" s="1"/>
  <c r="R13"/>
  <c r="R16"/>
  <c r="P16"/>
  <c r="S16" s="1"/>
  <c r="R7"/>
  <c r="R12"/>
  <c r="Q12"/>
  <c r="T12" s="1"/>
  <c r="P13"/>
  <c r="S13" s="1"/>
  <c r="P11"/>
  <c r="S11" s="1"/>
  <c r="P14" i="466"/>
  <c r="S14" s="1"/>
  <c r="Q6"/>
  <c r="T6" s="1"/>
  <c r="R6"/>
  <c r="R9"/>
  <c r="Q9"/>
  <c r="T9" s="1"/>
  <c r="O5"/>
  <c r="R16"/>
  <c r="P6"/>
  <c r="S6" s="1"/>
  <c r="P9"/>
  <c r="S9" s="1"/>
  <c r="R14"/>
  <c r="Q16"/>
  <c r="T16" s="1"/>
  <c r="O7"/>
  <c r="O12"/>
  <c r="O10"/>
  <c r="R11"/>
  <c r="Q11"/>
  <c r="T11" s="1"/>
  <c r="O15"/>
  <c r="R8"/>
  <c r="Q8"/>
  <c r="T8" s="1"/>
  <c r="E17" i="467"/>
  <c r="D17"/>
  <c r="C17"/>
  <c r="U5" i="468" l="1"/>
  <c r="R14" i="471"/>
  <c r="Q14"/>
  <c r="T14" s="1"/>
  <c r="S5" i="468"/>
  <c r="U8"/>
  <c r="Y19" i="290"/>
  <c r="Y20" s="1"/>
  <c r="AB19"/>
  <c r="AB21" s="1"/>
  <c r="AB22" s="1"/>
  <c r="Q7" i="471"/>
  <c r="T7" s="1"/>
  <c r="R11"/>
  <c r="P12"/>
  <c r="S12" s="1"/>
  <c r="Q10"/>
  <c r="T10" s="1"/>
  <c r="R6"/>
  <c r="P13"/>
  <c r="S13" s="1"/>
  <c r="R9"/>
  <c r="R16"/>
  <c r="U9" i="468"/>
  <c r="U7"/>
  <c r="T17"/>
  <c r="U13" i="466"/>
  <c r="R13" i="471"/>
  <c r="Q13"/>
  <c r="T13" s="1"/>
  <c r="Q12"/>
  <c r="T12" s="1"/>
  <c r="R12"/>
  <c r="P9"/>
  <c r="S9" s="1"/>
  <c r="Q16"/>
  <c r="T16" s="1"/>
  <c r="P16"/>
  <c r="S16" s="1"/>
  <c r="Q9"/>
  <c r="T9" s="1"/>
  <c r="P7"/>
  <c r="S7" s="1"/>
  <c r="R15"/>
  <c r="P15"/>
  <c r="P6"/>
  <c r="Q11"/>
  <c r="T11" s="1"/>
  <c r="Q15"/>
  <c r="T15" s="1"/>
  <c r="P11"/>
  <c r="Q6"/>
  <c r="T6" s="1"/>
  <c r="Q8"/>
  <c r="T8" s="1"/>
  <c r="R8"/>
  <c r="P8"/>
  <c r="R7"/>
  <c r="P5"/>
  <c r="S5" s="1"/>
  <c r="R5"/>
  <c r="R10"/>
  <c r="P10"/>
  <c r="Q5"/>
  <c r="T5" s="1"/>
  <c r="U15" i="468"/>
  <c r="U14" i="466"/>
  <c r="U6"/>
  <c r="U11"/>
  <c r="U9"/>
  <c r="P15"/>
  <c r="S15" s="1"/>
  <c r="U16"/>
  <c r="U8"/>
  <c r="U10" i="468"/>
  <c r="R17"/>
  <c r="U13"/>
  <c r="S17"/>
  <c r="U12"/>
  <c r="U16"/>
  <c r="U11"/>
  <c r="Q15" i="466"/>
  <c r="T15" s="1"/>
  <c r="R10"/>
  <c r="Q10"/>
  <c r="T10" s="1"/>
  <c r="R12"/>
  <c r="P12"/>
  <c r="S12" s="1"/>
  <c r="R7"/>
  <c r="P7"/>
  <c r="S7" s="1"/>
  <c r="R5"/>
  <c r="Q5"/>
  <c r="T5" s="1"/>
  <c r="P10"/>
  <c r="S10" s="1"/>
  <c r="Q12"/>
  <c r="T12" s="1"/>
  <c r="P5"/>
  <c r="S5" s="1"/>
  <c r="R15"/>
  <c r="Q7"/>
  <c r="T7" s="1"/>
  <c r="G6" i="465"/>
  <c r="H6"/>
  <c r="I6"/>
  <c r="J6"/>
  <c r="K6"/>
  <c r="G7"/>
  <c r="H7"/>
  <c r="I7"/>
  <c r="J7"/>
  <c r="K7"/>
  <c r="G8"/>
  <c r="H8"/>
  <c r="I8"/>
  <c r="J8"/>
  <c r="K8"/>
  <c r="G9"/>
  <c r="H9"/>
  <c r="I9"/>
  <c r="G10"/>
  <c r="H10"/>
  <c r="I10"/>
  <c r="J10"/>
  <c r="K10"/>
  <c r="G11"/>
  <c r="H11"/>
  <c r="I11"/>
  <c r="J11"/>
  <c r="K11"/>
  <c r="G12"/>
  <c r="H12"/>
  <c r="I12"/>
  <c r="J12"/>
  <c r="K12"/>
  <c r="G13"/>
  <c r="H13"/>
  <c r="I13"/>
  <c r="J13"/>
  <c r="K13"/>
  <c r="G14"/>
  <c r="H14"/>
  <c r="I14"/>
  <c r="J14"/>
  <c r="K14"/>
  <c r="G15"/>
  <c r="H15"/>
  <c r="I15"/>
  <c r="G16"/>
  <c r="H16"/>
  <c r="I16"/>
  <c r="J16"/>
  <c r="K16"/>
  <c r="H5"/>
  <c r="I5"/>
  <c r="J5"/>
  <c r="K5"/>
  <c r="G5"/>
  <c r="H4"/>
  <c r="I4"/>
  <c r="O4" s="1"/>
  <c r="R4" s="1"/>
  <c r="J4"/>
  <c r="K4"/>
  <c r="G4"/>
  <c r="E17"/>
  <c r="D17"/>
  <c r="C17"/>
  <c r="AB23" i="290" l="1"/>
  <c r="AB24"/>
  <c r="U14" i="471"/>
  <c r="AB8" i="465"/>
  <c r="U5" i="471"/>
  <c r="U8"/>
  <c r="U11"/>
  <c r="U15"/>
  <c r="U7"/>
  <c r="U10"/>
  <c r="U6"/>
  <c r="U13"/>
  <c r="U16"/>
  <c r="U9"/>
  <c r="U12"/>
  <c r="M12" i="465"/>
  <c r="N12"/>
  <c r="M6"/>
  <c r="N6"/>
  <c r="M15"/>
  <c r="N15"/>
  <c r="M11"/>
  <c r="N11"/>
  <c r="N9"/>
  <c r="M9"/>
  <c r="M16"/>
  <c r="N16"/>
  <c r="M14"/>
  <c r="N14"/>
  <c r="M10"/>
  <c r="N10"/>
  <c r="M8"/>
  <c r="N8"/>
  <c r="N13"/>
  <c r="M13"/>
  <c r="M7"/>
  <c r="N7"/>
  <c r="G23" a="1"/>
  <c r="G30" a="1"/>
  <c r="N5"/>
  <c r="M5"/>
  <c r="P4"/>
  <c r="S4" s="1"/>
  <c r="M4"/>
  <c r="Q4"/>
  <c r="T4" s="1"/>
  <c r="N4"/>
  <c r="S6" i="471"/>
  <c r="S15"/>
  <c r="S8"/>
  <c r="S11"/>
  <c r="T17"/>
  <c r="R17"/>
  <c r="S10"/>
  <c r="L11" i="465"/>
  <c r="V11" s="1"/>
  <c r="L15"/>
  <c r="V15" s="1"/>
  <c r="L7"/>
  <c r="V7" s="1"/>
  <c r="U5" i="466"/>
  <c r="U12"/>
  <c r="U7"/>
  <c r="U15"/>
  <c r="U10"/>
  <c r="L14" i="465"/>
  <c r="V14" s="1"/>
  <c r="L10"/>
  <c r="V10" s="1"/>
  <c r="L5"/>
  <c r="V5" s="1"/>
  <c r="L13"/>
  <c r="V13" s="1"/>
  <c r="L9"/>
  <c r="V9" s="1"/>
  <c r="U17" i="468"/>
  <c r="L6" i="465"/>
  <c r="V6" s="1"/>
  <c r="L16"/>
  <c r="V16" s="1"/>
  <c r="L12"/>
  <c r="V12" s="1"/>
  <c r="L8"/>
  <c r="V8" s="1"/>
  <c r="S17" i="466"/>
  <c r="T17"/>
  <c r="R17"/>
  <c r="J17" i="465"/>
  <c r="I17"/>
  <c r="K17"/>
  <c r="AB27" i="290" l="1"/>
  <c r="AB31" s="1"/>
  <c r="AB26"/>
  <c r="AB30" s="1"/>
  <c r="G30" i="465"/>
  <c r="G31"/>
  <c r="O5"/>
  <c r="Q5" s="1"/>
  <c r="G23"/>
  <c r="G24"/>
  <c r="U17" i="471"/>
  <c r="AB5" s="1"/>
  <c r="S17"/>
  <c r="O9" i="465"/>
  <c r="P9" s="1"/>
  <c r="S9" s="1"/>
  <c r="V17"/>
  <c r="O6"/>
  <c r="P6" s="1"/>
  <c r="S6" s="1"/>
  <c r="L17"/>
  <c r="O7"/>
  <c r="O15"/>
  <c r="O10"/>
  <c r="O16"/>
  <c r="O14"/>
  <c r="O13"/>
  <c r="U17" i="466"/>
  <c r="AB4" i="465" l="1"/>
  <c r="AB7" i="471"/>
  <c r="AB9" s="1"/>
  <c r="AB11" s="1"/>
  <c r="AB14"/>
  <c r="AB15" s="1"/>
  <c r="AB13"/>
  <c r="P5" i="465"/>
  <c r="S5" s="1"/>
  <c r="R5"/>
  <c r="R9"/>
  <c r="R6"/>
  <c r="Q9"/>
  <c r="T9" s="1"/>
  <c r="P16"/>
  <c r="S16" s="1"/>
  <c r="T5"/>
  <c r="P15"/>
  <c r="S15" s="1"/>
  <c r="Q6"/>
  <c r="T6" s="1"/>
  <c r="Q16"/>
  <c r="T16" s="1"/>
  <c r="Q13"/>
  <c r="T13" s="1"/>
  <c r="AB5" i="466"/>
  <c r="AB13" s="1"/>
  <c r="O11" i="465"/>
  <c r="Q10"/>
  <c r="T10" s="1"/>
  <c r="R10"/>
  <c r="P10"/>
  <c r="S10" s="1"/>
  <c r="R7"/>
  <c r="R13"/>
  <c r="P13"/>
  <c r="S13" s="1"/>
  <c r="Q7"/>
  <c r="T7" s="1"/>
  <c r="P7"/>
  <c r="S7" s="1"/>
  <c r="O12"/>
  <c r="O8"/>
  <c r="Q14"/>
  <c r="T14" s="1"/>
  <c r="R14"/>
  <c r="P14"/>
  <c r="S14" s="1"/>
  <c r="R16"/>
  <c r="R15"/>
  <c r="Q15"/>
  <c r="T15" s="1"/>
  <c r="U5" l="1"/>
  <c r="U9"/>
  <c r="U6"/>
  <c r="U14"/>
  <c r="U13"/>
  <c r="U16"/>
  <c r="U10"/>
  <c r="Q8"/>
  <c r="T8" s="1"/>
  <c r="Q12"/>
  <c r="T12" s="1"/>
  <c r="P11"/>
  <c r="S11" s="1"/>
  <c r="U15"/>
  <c r="U7"/>
  <c r="AB14" i="466"/>
  <c r="AB15" s="1"/>
  <c r="AB7"/>
  <c r="AB9" s="1"/>
  <c r="AB11" s="1"/>
  <c r="R11" i="465"/>
  <c r="Q11"/>
  <c r="T11" s="1"/>
  <c r="R12"/>
  <c r="P12"/>
  <c r="S12" s="1"/>
  <c r="R8"/>
  <c r="P8"/>
  <c r="S8" s="1"/>
  <c r="S17" l="1"/>
  <c r="T17"/>
  <c r="U12"/>
  <c r="U8"/>
  <c r="U11"/>
  <c r="R17"/>
  <c r="U17" l="1"/>
  <c r="AB5" s="1"/>
  <c r="Q14" i="15"/>
  <c r="S14" s="1"/>
  <c r="J32" i="369"/>
  <c r="J31" s="1"/>
  <c r="J50"/>
  <c r="L50" s="1"/>
  <c r="AB7" i="465" l="1"/>
  <c r="AB9" s="1"/>
  <c r="AB11" s="1"/>
  <c r="AB14"/>
  <c r="AB15" s="1"/>
  <c r="AB13"/>
  <c r="J49" i="369"/>
  <c r="J48" s="1"/>
  <c r="L48" s="1"/>
  <c r="L31"/>
  <c r="J30"/>
  <c r="L32"/>
  <c r="Q13" i="15"/>
  <c r="R9" i="7"/>
  <c r="R7"/>
  <c r="R6"/>
  <c r="R10"/>
  <c r="R8"/>
  <c r="U17" i="368"/>
  <c r="U19" s="1"/>
  <c r="U16"/>
  <c r="U15"/>
  <c r="U14"/>
  <c r="U8"/>
  <c r="L49" i="369" l="1"/>
  <c r="K50" s="1"/>
  <c r="K32"/>
  <c r="J47"/>
  <c r="J46" s="1"/>
  <c r="U13" i="368"/>
  <c r="J29" i="369"/>
  <c r="L30"/>
  <c r="K31" s="1"/>
  <c r="U5" i="368"/>
  <c r="U20" s="1"/>
  <c r="S13" i="15"/>
  <c r="Q12"/>
  <c r="R11" i="7"/>
  <c r="S10" s="1"/>
  <c r="U18" i="368" a="1"/>
  <c r="U18" s="1"/>
  <c r="M17"/>
  <c r="M19" s="1"/>
  <c r="M16"/>
  <c r="M15"/>
  <c r="M14"/>
  <c r="M8"/>
  <c r="K49" i="369" l="1"/>
  <c r="L47"/>
  <c r="K48" s="1"/>
  <c r="J45"/>
  <c r="L46"/>
  <c r="U10" i="368"/>
  <c r="S12" i="15"/>
  <c r="Q11"/>
  <c r="R14"/>
  <c r="J28" i="369"/>
  <c r="L29"/>
  <c r="S9" i="7"/>
  <c r="S6"/>
  <c r="S8"/>
  <c r="S7"/>
  <c r="M18" i="368" a="1"/>
  <c r="M18" s="1"/>
  <c r="M13"/>
  <c r="M5"/>
  <c r="K7" i="369"/>
  <c r="K11"/>
  <c r="K8"/>
  <c r="K12"/>
  <c r="K9"/>
  <c r="K6"/>
  <c r="K10"/>
  <c r="K30" l="1"/>
  <c r="J27"/>
  <c r="L28"/>
  <c r="Q10" i="15"/>
  <c r="S11"/>
  <c r="J44" i="369"/>
  <c r="L45"/>
  <c r="K45" s="1"/>
  <c r="R13" i="15"/>
  <c r="U9" i="368"/>
  <c r="U11"/>
  <c r="K47" i="369"/>
  <c r="S11" i="7"/>
  <c r="M10" i="368"/>
  <c r="M9" s="1"/>
  <c r="M20"/>
  <c r="K13" i="369"/>
  <c r="L11" s="1"/>
  <c r="K46" l="1"/>
  <c r="Q9" i="15"/>
  <c r="S10"/>
  <c r="R12"/>
  <c r="U6" i="368"/>
  <c r="U12"/>
  <c r="J26" i="369"/>
  <c r="L27"/>
  <c r="K27" s="1"/>
  <c r="K29"/>
  <c r="M6" i="368"/>
  <c r="M12"/>
  <c r="M11"/>
  <c r="L12" i="369"/>
  <c r="L7"/>
  <c r="L6"/>
  <c r="L8"/>
  <c r="L9"/>
  <c r="L10"/>
  <c r="Q8" i="15" l="1"/>
  <c r="S9"/>
  <c r="R9" s="1"/>
  <c r="K28" i="369"/>
  <c r="R11" i="15"/>
  <c r="L13" i="369"/>
  <c r="R10" i="15" l="1"/>
  <c r="Y86" i="463"/>
  <c r="I70"/>
  <c r="J70"/>
  <c r="K70"/>
  <c r="L70"/>
  <c r="H70"/>
  <c r="E72"/>
  <c r="K72" s="1"/>
  <c r="F72"/>
  <c r="L72" s="1"/>
  <c r="E73"/>
  <c r="K73" s="1"/>
  <c r="F73"/>
  <c r="E74"/>
  <c r="K74" s="1"/>
  <c r="F74"/>
  <c r="L74" s="1"/>
  <c r="E75"/>
  <c r="K75" s="1"/>
  <c r="F75"/>
  <c r="L75" s="1"/>
  <c r="E76"/>
  <c r="K76" s="1"/>
  <c r="F76"/>
  <c r="L76" s="1"/>
  <c r="E77"/>
  <c r="K77" s="1"/>
  <c r="F77"/>
  <c r="L77" s="1"/>
  <c r="E78"/>
  <c r="K78" s="1"/>
  <c r="F78"/>
  <c r="L78" s="1"/>
  <c r="E79"/>
  <c r="K79" s="1"/>
  <c r="F79"/>
  <c r="L79" s="1"/>
  <c r="E80"/>
  <c r="K80" s="1"/>
  <c r="F80"/>
  <c r="L80" s="1"/>
  <c r="E81"/>
  <c r="K81" s="1"/>
  <c r="F81"/>
  <c r="L81" s="1"/>
  <c r="E82"/>
  <c r="K82" s="1"/>
  <c r="F82"/>
  <c r="L82" s="1"/>
  <c r="F71"/>
  <c r="L71" s="1"/>
  <c r="B72"/>
  <c r="C72"/>
  <c r="I72" s="1"/>
  <c r="B73"/>
  <c r="H73" s="1"/>
  <c r="C73"/>
  <c r="B74"/>
  <c r="H74" s="1"/>
  <c r="C74"/>
  <c r="I74" s="1"/>
  <c r="B75"/>
  <c r="C75"/>
  <c r="I75" s="1"/>
  <c r="B76"/>
  <c r="C76"/>
  <c r="I76" s="1"/>
  <c r="B77"/>
  <c r="H77" s="1"/>
  <c r="C77"/>
  <c r="B78"/>
  <c r="C78"/>
  <c r="I78" s="1"/>
  <c r="B79"/>
  <c r="C79"/>
  <c r="I79" s="1"/>
  <c r="B80"/>
  <c r="H80" s="1"/>
  <c r="C80"/>
  <c r="I80" s="1"/>
  <c r="B81"/>
  <c r="H81" s="1"/>
  <c r="C81"/>
  <c r="B82"/>
  <c r="H82" s="1"/>
  <c r="C82"/>
  <c r="I82" s="1"/>
  <c r="C71"/>
  <c r="B71"/>
  <c r="H71" s="1"/>
  <c r="E71"/>
  <c r="C51"/>
  <c r="D51"/>
  <c r="D50"/>
  <c r="C50"/>
  <c r="U44"/>
  <c r="C30"/>
  <c r="D30"/>
  <c r="C31"/>
  <c r="D31"/>
  <c r="C32"/>
  <c r="D32"/>
  <c r="C33"/>
  <c r="D33"/>
  <c r="C34"/>
  <c r="D34"/>
  <c r="D29"/>
  <c r="C29"/>
  <c r="V21"/>
  <c r="F6"/>
  <c r="G6"/>
  <c r="I6"/>
  <c r="J6" s="1"/>
  <c r="F7"/>
  <c r="G7"/>
  <c r="H7"/>
  <c r="I7"/>
  <c r="F8"/>
  <c r="G8"/>
  <c r="H8"/>
  <c r="I8"/>
  <c r="F9"/>
  <c r="G9"/>
  <c r="H9"/>
  <c r="I9"/>
  <c r="F10"/>
  <c r="G10"/>
  <c r="H10"/>
  <c r="I10"/>
  <c r="F11"/>
  <c r="G11"/>
  <c r="H11"/>
  <c r="I11"/>
  <c r="F12"/>
  <c r="G12"/>
  <c r="H12"/>
  <c r="I12"/>
  <c r="F13"/>
  <c r="G13"/>
  <c r="H13"/>
  <c r="I13"/>
  <c r="F14"/>
  <c r="G14"/>
  <c r="H14"/>
  <c r="I14"/>
  <c r="F15"/>
  <c r="G15"/>
  <c r="H15"/>
  <c r="I15"/>
  <c r="F16"/>
  <c r="G16"/>
  <c r="H16"/>
  <c r="I16"/>
  <c r="F17"/>
  <c r="G17"/>
  <c r="H17"/>
  <c r="I17"/>
  <c r="G5"/>
  <c r="H5"/>
  <c r="I5"/>
  <c r="F5"/>
  <c r="D16"/>
  <c r="C16"/>
  <c r="U21" i="462"/>
  <c r="F5"/>
  <c r="E5"/>
  <c r="AW7"/>
  <c r="AW8" s="1"/>
  <c r="AW9" s="1"/>
  <c r="AW10" s="1"/>
  <c r="AW11" s="1"/>
  <c r="AW12" s="1"/>
  <c r="AW13" s="1"/>
  <c r="AW14" s="1"/>
  <c r="AW15" s="1"/>
  <c r="AW16" s="1"/>
  <c r="AW17" s="1"/>
  <c r="AW18" s="1"/>
  <c r="AW19" s="1"/>
  <c r="AW20" s="1"/>
  <c r="AW21" s="1"/>
  <c r="AW22" s="1"/>
  <c r="AW23" s="1"/>
  <c r="AW24" s="1"/>
  <c r="AW25" s="1"/>
  <c r="AW26" s="1"/>
  <c r="AW27" s="1"/>
  <c r="AW28" s="1"/>
  <c r="AW29" s="1"/>
  <c r="AR7"/>
  <c r="AR8" s="1"/>
  <c r="AR9" s="1"/>
  <c r="AR10" s="1"/>
  <c r="AR11" s="1"/>
  <c r="AR12" s="1"/>
  <c r="AR13" s="1"/>
  <c r="AR14" s="1"/>
  <c r="AR15" s="1"/>
  <c r="AR16" s="1"/>
  <c r="AR17" s="1"/>
  <c r="AR18" s="1"/>
  <c r="AR19" s="1"/>
  <c r="AR20" s="1"/>
  <c r="AR21" s="1"/>
  <c r="AR22" s="1"/>
  <c r="AR23" s="1"/>
  <c r="AR24" s="1"/>
  <c r="AR25" s="1"/>
  <c r="AR26" s="1"/>
  <c r="AR27" s="1"/>
  <c r="AR28" s="1"/>
  <c r="AR29" s="1"/>
  <c r="AR30" s="1"/>
  <c r="T21" i="461"/>
  <c r="E6"/>
  <c r="T9" s="1"/>
  <c r="F6"/>
  <c r="G6"/>
  <c r="F7"/>
  <c r="G7"/>
  <c r="F8"/>
  <c r="G8"/>
  <c r="F9"/>
  <c r="G9"/>
  <c r="F10"/>
  <c r="G10"/>
  <c r="F11"/>
  <c r="G11"/>
  <c r="F12"/>
  <c r="G12"/>
  <c r="F13"/>
  <c r="G13"/>
  <c r="F14"/>
  <c r="G14"/>
  <c r="F15"/>
  <c r="G15"/>
  <c r="F5"/>
  <c r="G5"/>
  <c r="E5"/>
  <c r="E20" s="1" a="1"/>
  <c r="E20" s="1"/>
  <c r="C14"/>
  <c r="B14"/>
  <c r="A5"/>
  <c r="E7" s="1"/>
  <c r="F46" i="460" a="1"/>
  <c r="F47" s="1"/>
  <c r="J47" s="1"/>
  <c r="T48"/>
  <c r="E33"/>
  <c r="T36" s="1"/>
  <c r="F33"/>
  <c r="G33"/>
  <c r="F34"/>
  <c r="G34"/>
  <c r="F35"/>
  <c r="G35"/>
  <c r="F36"/>
  <c r="G36"/>
  <c r="F37"/>
  <c r="G37"/>
  <c r="F38"/>
  <c r="G38"/>
  <c r="F39"/>
  <c r="G39"/>
  <c r="F40"/>
  <c r="G40"/>
  <c r="F41"/>
  <c r="G41"/>
  <c r="F42"/>
  <c r="G42"/>
  <c r="F32"/>
  <c r="G32"/>
  <c r="E32"/>
  <c r="E47" s="1" a="1"/>
  <c r="E47" s="1"/>
  <c r="C41"/>
  <c r="B41"/>
  <c r="A32"/>
  <c r="A33" s="1"/>
  <c r="E35" s="1"/>
  <c r="J35" s="1"/>
  <c r="F19" a="1"/>
  <c r="F19" s="1"/>
  <c r="J19" s="1"/>
  <c r="T21"/>
  <c r="E6"/>
  <c r="T9" s="1"/>
  <c r="F6"/>
  <c r="G6"/>
  <c r="F7"/>
  <c r="G7"/>
  <c r="F8"/>
  <c r="G8"/>
  <c r="F9"/>
  <c r="G9"/>
  <c r="F10"/>
  <c r="G10"/>
  <c r="F11"/>
  <c r="G11"/>
  <c r="F12"/>
  <c r="G12"/>
  <c r="F13"/>
  <c r="G13"/>
  <c r="F14"/>
  <c r="G14"/>
  <c r="F15"/>
  <c r="G15"/>
  <c r="F5"/>
  <c r="G5"/>
  <c r="E5"/>
  <c r="E20" s="1" a="1"/>
  <c r="E20" s="1"/>
  <c r="C14"/>
  <c r="B14"/>
  <c r="A5"/>
  <c r="A6" s="1"/>
  <c r="AA24" i="215"/>
  <c r="AF11" s="1"/>
  <c r="X24"/>
  <c r="Y24"/>
  <c r="Z24"/>
  <c r="W24"/>
  <c r="AA23"/>
  <c r="X23"/>
  <c r="Y23"/>
  <c r="Z23"/>
  <c r="W23"/>
  <c r="V23"/>
  <c r="AA22"/>
  <c r="X22"/>
  <c r="Y22"/>
  <c r="Z22"/>
  <c r="W22"/>
  <c r="V22"/>
  <c r="AA21"/>
  <c r="X21"/>
  <c r="Y21"/>
  <c r="Z21"/>
  <c r="W21"/>
  <c r="V21"/>
  <c r="X20"/>
  <c r="Y20"/>
  <c r="Z20"/>
  <c r="W20"/>
  <c r="AA17"/>
  <c r="X17"/>
  <c r="Y17"/>
  <c r="Z17"/>
  <c r="W17"/>
  <c r="AA16"/>
  <c r="X16"/>
  <c r="Y16"/>
  <c r="Z16"/>
  <c r="W16"/>
  <c r="V16"/>
  <c r="AA15"/>
  <c r="X15"/>
  <c r="Y15"/>
  <c r="Z15"/>
  <c r="W15"/>
  <c r="V15"/>
  <c r="AA14"/>
  <c r="X14"/>
  <c r="Y14"/>
  <c r="Z14"/>
  <c r="W14"/>
  <c r="V14"/>
  <c r="X13"/>
  <c r="Y13"/>
  <c r="Z13"/>
  <c r="W13"/>
  <c r="AA10"/>
  <c r="AE11" s="1"/>
  <c r="X10"/>
  <c r="Y10"/>
  <c r="Z10"/>
  <c r="W10"/>
  <c r="AA9"/>
  <c r="X9"/>
  <c r="Y9"/>
  <c r="Z9"/>
  <c r="W9"/>
  <c r="V9"/>
  <c r="AA8"/>
  <c r="X8"/>
  <c r="Y8"/>
  <c r="Z8"/>
  <c r="W8"/>
  <c r="V8"/>
  <c r="AA7"/>
  <c r="X7"/>
  <c r="Y7"/>
  <c r="Z7"/>
  <c r="W7"/>
  <c r="V7"/>
  <c r="X6"/>
  <c r="Y6"/>
  <c r="Z6"/>
  <c r="W6"/>
  <c r="V9" i="463" l="1"/>
  <c r="H15" i="460"/>
  <c r="I15" s="1"/>
  <c r="H11"/>
  <c r="I11" s="1"/>
  <c r="H9"/>
  <c r="I9" s="1"/>
  <c r="H7"/>
  <c r="I7" s="1"/>
  <c r="J6"/>
  <c r="H14" i="461"/>
  <c r="AE7" i="215"/>
  <c r="H9" i="461"/>
  <c r="I9" s="1"/>
  <c r="D76" i="463"/>
  <c r="J76" s="1"/>
  <c r="F46" i="460"/>
  <c r="J46" s="1"/>
  <c r="M81" i="463"/>
  <c r="N81" s="1"/>
  <c r="H87" a="1"/>
  <c r="H89" s="1"/>
  <c r="AE8" i="215"/>
  <c r="J15" i="463"/>
  <c r="K15" s="1"/>
  <c r="J13"/>
  <c r="K13" s="1"/>
  <c r="J11"/>
  <c r="K11" s="1"/>
  <c r="J9"/>
  <c r="K9" s="1"/>
  <c r="J7"/>
  <c r="K7" s="1"/>
  <c r="AD8" i="215"/>
  <c r="D75" i="463"/>
  <c r="J75" s="1"/>
  <c r="H14" i="460"/>
  <c r="I14" s="1"/>
  <c r="H10"/>
  <c r="I10" s="1"/>
  <c r="H8"/>
  <c r="I8" s="1"/>
  <c r="H6"/>
  <c r="I6" s="1"/>
  <c r="H18" i="463"/>
  <c r="AE8" s="1"/>
  <c r="G43" i="460"/>
  <c r="AA35" s="1"/>
  <c r="H41"/>
  <c r="I41" s="1"/>
  <c r="H39"/>
  <c r="I39" s="1"/>
  <c r="H37"/>
  <c r="I37" s="1"/>
  <c r="H35"/>
  <c r="I35" s="1"/>
  <c r="H13" i="461"/>
  <c r="I13" s="1"/>
  <c r="F22" i="463" a="1"/>
  <c r="F22" s="1"/>
  <c r="D71"/>
  <c r="J71" s="1"/>
  <c r="D79"/>
  <c r="J79" s="1"/>
  <c r="H42" i="460"/>
  <c r="I42" s="1"/>
  <c r="H40"/>
  <c r="I40" s="1"/>
  <c r="H36"/>
  <c r="I36" s="1"/>
  <c r="H6" i="461"/>
  <c r="I6" s="1"/>
  <c r="G16"/>
  <c r="AC8" s="1"/>
  <c r="H12" i="460"/>
  <c r="I12" s="1"/>
  <c r="G16"/>
  <c r="AA8" s="1"/>
  <c r="I14" i="461"/>
  <c r="H12"/>
  <c r="I12" s="1"/>
  <c r="H10"/>
  <c r="I10" s="1"/>
  <c r="D52" i="463"/>
  <c r="H79"/>
  <c r="H75"/>
  <c r="I71"/>
  <c r="AD7" i="215"/>
  <c r="H13" i="460"/>
  <c r="I13" s="1"/>
  <c r="H34"/>
  <c r="I34" s="1"/>
  <c r="J33"/>
  <c r="H15" i="461"/>
  <c r="I15" s="1"/>
  <c r="H7"/>
  <c r="I7" s="1"/>
  <c r="D82" i="463"/>
  <c r="J82" s="1"/>
  <c r="M82"/>
  <c r="N82" s="1"/>
  <c r="M80"/>
  <c r="N80" s="1"/>
  <c r="M78"/>
  <c r="N78" s="1"/>
  <c r="M76"/>
  <c r="N76" s="1"/>
  <c r="M74"/>
  <c r="N74" s="1"/>
  <c r="M72"/>
  <c r="N72" s="1"/>
  <c r="I18"/>
  <c r="AF8" s="1"/>
  <c r="H11" i="461"/>
  <c r="I11" s="1"/>
  <c r="H8"/>
  <c r="I8" s="1"/>
  <c r="F16"/>
  <c r="J16" i="463"/>
  <c r="K16" s="1"/>
  <c r="J14"/>
  <c r="K14" s="1"/>
  <c r="J12"/>
  <c r="K12" s="1"/>
  <c r="J10"/>
  <c r="J8"/>
  <c r="K8" s="1"/>
  <c r="J17"/>
  <c r="K17" s="1"/>
  <c r="E83"/>
  <c r="K71"/>
  <c r="D80"/>
  <c r="J80" s="1"/>
  <c r="H78"/>
  <c r="D78"/>
  <c r="J78" s="1"/>
  <c r="D72"/>
  <c r="J72" s="1"/>
  <c r="F83"/>
  <c r="L73"/>
  <c r="H72"/>
  <c r="H38" i="460"/>
  <c r="I38" s="1"/>
  <c r="F43"/>
  <c r="H33"/>
  <c r="D74" i="463"/>
  <c r="J74" s="1"/>
  <c r="M79"/>
  <c r="N79" s="1"/>
  <c r="M75"/>
  <c r="M77"/>
  <c r="N77" s="1"/>
  <c r="H76"/>
  <c r="A7" i="460"/>
  <c r="E9" s="1"/>
  <c r="J9" s="1"/>
  <c r="E8"/>
  <c r="J8" s="1"/>
  <c r="E7"/>
  <c r="J7" s="1"/>
  <c r="F16"/>
  <c r="F20"/>
  <c r="J20" s="1"/>
  <c r="D81" i="463"/>
  <c r="D77"/>
  <c r="J77" s="1"/>
  <c r="D73"/>
  <c r="J73" s="1"/>
  <c r="I81"/>
  <c r="I77"/>
  <c r="I73"/>
  <c r="E34" i="460"/>
  <c r="J34" s="1"/>
  <c r="E16" i="462" a="1"/>
  <c r="K6" i="463"/>
  <c r="F56" a="1"/>
  <c r="F56" s="1"/>
  <c r="C52"/>
  <c r="F39" a="1"/>
  <c r="F39" s="1"/>
  <c r="D35"/>
  <c r="C35"/>
  <c r="A6" i="461"/>
  <c r="E8" s="1"/>
  <c r="A34" i="460"/>
  <c r="E36" s="1"/>
  <c r="J36" s="1"/>
  <c r="AD11" i="215"/>
  <c r="AE9" l="1"/>
  <c r="N7" i="460"/>
  <c r="M9"/>
  <c r="N8"/>
  <c r="AF7" i="215"/>
  <c r="N34" i="460"/>
  <c r="N6"/>
  <c r="M35"/>
  <c r="K35"/>
  <c r="Y74" i="463"/>
  <c r="AB83" s="1"/>
  <c r="AF8" i="215"/>
  <c r="N9" i="460"/>
  <c r="H88" i="463"/>
  <c r="H16" i="460"/>
  <c r="H87" i="463"/>
  <c r="A8" i="460"/>
  <c r="E10" s="1"/>
  <c r="J10" s="1"/>
  <c r="N10" s="1"/>
  <c r="M6"/>
  <c r="K6"/>
  <c r="L6" s="1"/>
  <c r="M8"/>
  <c r="K9"/>
  <c r="L9" s="1"/>
  <c r="O9" s="1"/>
  <c r="F23" i="463"/>
  <c r="K8" i="460"/>
  <c r="L8" s="1"/>
  <c r="O8" s="1"/>
  <c r="K34"/>
  <c r="L34" s="1"/>
  <c r="O34" s="1"/>
  <c r="T19"/>
  <c r="N35"/>
  <c r="T19" i="461"/>
  <c r="AD9" i="215"/>
  <c r="K7" i="460"/>
  <c r="L7" s="1"/>
  <c r="E16" i="462"/>
  <c r="E17"/>
  <c r="K83" i="463"/>
  <c r="M71"/>
  <c r="K10"/>
  <c r="J18"/>
  <c r="V5" s="1"/>
  <c r="AB8" i="461"/>
  <c r="AD8" s="1"/>
  <c r="V19" i="463"/>
  <c r="H43" i="460"/>
  <c r="T32" s="1"/>
  <c r="T46"/>
  <c r="K33"/>
  <c r="I33"/>
  <c r="M33" s="1"/>
  <c r="N33"/>
  <c r="N36"/>
  <c r="K36"/>
  <c r="L36" s="1"/>
  <c r="O36" s="1"/>
  <c r="M36"/>
  <c r="Z8"/>
  <c r="AB8" s="1"/>
  <c r="T5"/>
  <c r="N75" i="463"/>
  <c r="Z35" i="460"/>
  <c r="AB35" s="1"/>
  <c r="M34"/>
  <c r="H16" i="461"/>
  <c r="T5" s="1"/>
  <c r="M7" i="460"/>
  <c r="J81" i="463"/>
  <c r="M73"/>
  <c r="L83"/>
  <c r="AJ73" s="1"/>
  <c r="L6"/>
  <c r="L7"/>
  <c r="L9"/>
  <c r="L11"/>
  <c r="L13"/>
  <c r="L15"/>
  <c r="L17"/>
  <c r="G21" a="1"/>
  <c r="L10"/>
  <c r="P10" s="1"/>
  <c r="L8"/>
  <c r="L12"/>
  <c r="L16"/>
  <c r="L14"/>
  <c r="AG8"/>
  <c r="G35"/>
  <c r="I29"/>
  <c r="J29" s="1"/>
  <c r="H35"/>
  <c r="AD31" s="1"/>
  <c r="I30"/>
  <c r="I32"/>
  <c r="J32" s="1"/>
  <c r="I33"/>
  <c r="I34"/>
  <c r="J34" s="1"/>
  <c r="U32"/>
  <c r="X41" s="1"/>
  <c r="H52"/>
  <c r="AD52" s="1"/>
  <c r="U53"/>
  <c r="X62" s="1"/>
  <c r="I31"/>
  <c r="J31" s="1"/>
  <c r="G52"/>
  <c r="I50"/>
  <c r="J50" s="1"/>
  <c r="I51"/>
  <c r="J51" s="1"/>
  <c r="H12" i="462"/>
  <c r="AE8" s="1"/>
  <c r="I8"/>
  <c r="J8" s="1"/>
  <c r="I11"/>
  <c r="J11" s="1"/>
  <c r="I7"/>
  <c r="I10"/>
  <c r="J10" s="1"/>
  <c r="I6"/>
  <c r="G12"/>
  <c r="U9"/>
  <c r="I9"/>
  <c r="A7" i="461"/>
  <c r="E9" s="1"/>
  <c r="L35" i="460"/>
  <c r="O35" s="1"/>
  <c r="A35"/>
  <c r="E37" s="1"/>
  <c r="J37" s="1"/>
  <c r="AF9" i="215" l="1"/>
  <c r="AG8" s="1"/>
  <c r="AH8" s="1"/>
  <c r="AI8" s="1"/>
  <c r="AE83" i="463"/>
  <c r="O6" i="460"/>
  <c r="A9"/>
  <c r="E11" s="1"/>
  <c r="J11" s="1"/>
  <c r="N11" s="1"/>
  <c r="M10"/>
  <c r="K10"/>
  <c r="L10" s="1"/>
  <c r="O10" s="1"/>
  <c r="F15" i="462" a="1"/>
  <c r="F15" s="1"/>
  <c r="J15" s="1"/>
  <c r="O7" i="460"/>
  <c r="AG7" i="215"/>
  <c r="AH7" s="1"/>
  <c r="AI7" s="1"/>
  <c r="O10" i="463"/>
  <c r="AM7"/>
  <c r="AL7"/>
  <c r="N37" i="460"/>
  <c r="M37"/>
  <c r="K37"/>
  <c r="L37" s="1"/>
  <c r="O37" s="1"/>
  <c r="G38" i="463" a="1"/>
  <c r="G39" s="1"/>
  <c r="K39" s="1"/>
  <c r="P8"/>
  <c r="O8"/>
  <c r="M8"/>
  <c r="N8" s="1"/>
  <c r="Q8" s="1"/>
  <c r="P15"/>
  <c r="O15"/>
  <c r="M15"/>
  <c r="N15" s="1"/>
  <c r="Q15" s="1"/>
  <c r="P7"/>
  <c r="O7"/>
  <c r="M7"/>
  <c r="N7" s="1"/>
  <c r="Q7" s="1"/>
  <c r="P14"/>
  <c r="O14"/>
  <c r="P13"/>
  <c r="O13"/>
  <c r="M13"/>
  <c r="N13" s="1"/>
  <c r="Q13" s="1"/>
  <c r="AF6"/>
  <c r="AF7" s="1"/>
  <c r="AF10" s="1"/>
  <c r="M6"/>
  <c r="AE6"/>
  <c r="P6"/>
  <c r="M83"/>
  <c r="Y70" s="1"/>
  <c r="Y84"/>
  <c r="G55" a="1"/>
  <c r="G55" s="1"/>
  <c r="K55" s="1"/>
  <c r="P16"/>
  <c r="O16"/>
  <c r="M16"/>
  <c r="N16" s="1"/>
  <c r="Q16" s="1"/>
  <c r="G21"/>
  <c r="K21" s="1"/>
  <c r="G22"/>
  <c r="K22" s="1"/>
  <c r="G23"/>
  <c r="K23" s="1"/>
  <c r="P11"/>
  <c r="M11"/>
  <c r="N11" s="1"/>
  <c r="Q11" s="1"/>
  <c r="O11"/>
  <c r="M14"/>
  <c r="N14" s="1"/>
  <c r="Q14" s="1"/>
  <c r="M10"/>
  <c r="N10" s="1"/>
  <c r="Q10" s="1"/>
  <c r="AI73"/>
  <c r="AK73" s="1"/>
  <c r="O6"/>
  <c r="P12"/>
  <c r="M12"/>
  <c r="N12" s="1"/>
  <c r="Q12" s="1"/>
  <c r="P17"/>
  <c r="M17"/>
  <c r="N17" s="1"/>
  <c r="Q17" s="1"/>
  <c r="P9"/>
  <c r="O9"/>
  <c r="M9"/>
  <c r="N9" s="1"/>
  <c r="Q9" s="1"/>
  <c r="N73"/>
  <c r="O17"/>
  <c r="O12"/>
  <c r="L33" i="460"/>
  <c r="N71" i="463"/>
  <c r="K34"/>
  <c r="N34" s="1"/>
  <c r="K30"/>
  <c r="L30" s="1"/>
  <c r="M30" s="1"/>
  <c r="P30" s="1"/>
  <c r="K33"/>
  <c r="O33" s="1"/>
  <c r="K6" i="462"/>
  <c r="O6" s="1"/>
  <c r="K51" i="463"/>
  <c r="O51" s="1"/>
  <c r="K8" i="462"/>
  <c r="O8" s="1"/>
  <c r="K9"/>
  <c r="O9" s="1"/>
  <c r="K10"/>
  <c r="N10" s="1"/>
  <c r="K7"/>
  <c r="K50" i="463"/>
  <c r="O50" s="1"/>
  <c r="K31"/>
  <c r="L31" s="1"/>
  <c r="M31" s="1"/>
  <c r="P31" s="1"/>
  <c r="K23" i="462"/>
  <c r="K24"/>
  <c r="K32" i="463"/>
  <c r="L32" s="1"/>
  <c r="M32" s="1"/>
  <c r="P32" s="1"/>
  <c r="K11" i="462"/>
  <c r="L11" s="1"/>
  <c r="M11" s="1"/>
  <c r="P11" s="1"/>
  <c r="K29" i="463"/>
  <c r="O29" s="1"/>
  <c r="J33"/>
  <c r="AC52"/>
  <c r="I35"/>
  <c r="U28" s="1"/>
  <c r="U42"/>
  <c r="J30"/>
  <c r="AC31"/>
  <c r="I52"/>
  <c r="U49" s="1"/>
  <c r="I12" i="462"/>
  <c r="U5" s="1"/>
  <c r="U19"/>
  <c r="J9"/>
  <c r="AD8"/>
  <c r="J7"/>
  <c r="J6"/>
  <c r="A8" i="461"/>
  <c r="E10" s="1"/>
  <c r="A36" i="460"/>
  <c r="E38" s="1"/>
  <c r="J38" s="1"/>
  <c r="K11" l="1"/>
  <c r="L11" s="1"/>
  <c r="M11"/>
  <c r="A10"/>
  <c r="E12" s="1"/>
  <c r="J12" s="1"/>
  <c r="N12" s="1"/>
  <c r="F17" i="462"/>
  <c r="J17" s="1"/>
  <c r="L33" i="463"/>
  <c r="M33" s="1"/>
  <c r="P33" s="1"/>
  <c r="F16" i="462"/>
  <c r="J16" s="1"/>
  <c r="G56" i="463"/>
  <c r="K56" s="1"/>
  <c r="AL8"/>
  <c r="AL9" s="1"/>
  <c r="AL10" s="1"/>
  <c r="AM8"/>
  <c r="AM9" s="1"/>
  <c r="AM10" s="1"/>
  <c r="O33" i="460"/>
  <c r="P18" i="463"/>
  <c r="G38"/>
  <c r="K38" s="1"/>
  <c r="N38" i="460"/>
  <c r="K38"/>
  <c r="M38"/>
  <c r="AE10" i="463"/>
  <c r="AG6"/>
  <c r="AE7"/>
  <c r="AG7" s="1"/>
  <c r="AG10"/>
  <c r="O18"/>
  <c r="V6" s="1"/>
  <c r="M18"/>
  <c r="N6"/>
  <c r="I86" a="1"/>
  <c r="O71"/>
  <c r="O73"/>
  <c r="R73" s="1"/>
  <c r="O75"/>
  <c r="O77"/>
  <c r="O79"/>
  <c r="O81"/>
  <c r="O72"/>
  <c r="O80"/>
  <c r="O74"/>
  <c r="O82"/>
  <c r="O76"/>
  <c r="O78"/>
  <c r="L6" i="462"/>
  <c r="M6" s="1"/>
  <c r="N32" i="463"/>
  <c r="O11" i="462"/>
  <c r="L10"/>
  <c r="M10" s="1"/>
  <c r="P10" s="1"/>
  <c r="N31" i="463"/>
  <c r="L34"/>
  <c r="M34" s="1"/>
  <c r="P34" s="1"/>
  <c r="O34"/>
  <c r="O30"/>
  <c r="N33"/>
  <c r="L9" i="462"/>
  <c r="M9" s="1"/>
  <c r="P9" s="1"/>
  <c r="L51" i="463"/>
  <c r="M51" s="1"/>
  <c r="P51" s="1"/>
  <c r="N6" i="462"/>
  <c r="O31" i="463"/>
  <c r="O10" i="462"/>
  <c r="O32" i="463"/>
  <c r="AD50"/>
  <c r="AD51" s="1"/>
  <c r="AD54" s="1"/>
  <c r="N7" i="462"/>
  <c r="L8"/>
  <c r="M8" s="1"/>
  <c r="P8" s="1"/>
  <c r="N9"/>
  <c r="N51" i="463"/>
  <c r="N8" i="462"/>
  <c r="AE6"/>
  <c r="AE7" s="1"/>
  <c r="AE10" s="1"/>
  <c r="N11"/>
  <c r="L7"/>
  <c r="M7" s="1"/>
  <c r="P7" s="1"/>
  <c r="O7"/>
  <c r="AD6"/>
  <c r="AD7" s="1"/>
  <c r="N29" i="463"/>
  <c r="AC29"/>
  <c r="AC30" s="1"/>
  <c r="AK51"/>
  <c r="AJ51"/>
  <c r="AD29"/>
  <c r="AD30" s="1"/>
  <c r="AD33" s="1"/>
  <c r="L50"/>
  <c r="M50" s="1"/>
  <c r="N50"/>
  <c r="L29"/>
  <c r="M29" s="1"/>
  <c r="AC50"/>
  <c r="AC51" s="1"/>
  <c r="O52"/>
  <c r="AK30"/>
  <c r="AJ30"/>
  <c r="N30"/>
  <c r="AE52"/>
  <c r="AE31"/>
  <c r="AK7" i="462"/>
  <c r="AL7"/>
  <c r="AF8"/>
  <c r="A9" i="461"/>
  <c r="E11" s="1"/>
  <c r="A37" i="460"/>
  <c r="E39" s="1"/>
  <c r="J39" s="1"/>
  <c r="M12" l="1"/>
  <c r="K12"/>
  <c r="L12" s="1"/>
  <c r="O12" s="1"/>
  <c r="A11"/>
  <c r="E13" s="1"/>
  <c r="J13" s="1"/>
  <c r="N13" s="1"/>
  <c r="AP72" i="463"/>
  <c r="AQ72"/>
  <c r="S78"/>
  <c r="P78"/>
  <c r="Q78" s="1"/>
  <c r="T78" s="1"/>
  <c r="R78"/>
  <c r="S77"/>
  <c r="R77"/>
  <c r="P77"/>
  <c r="Q77" s="1"/>
  <c r="T77" s="1"/>
  <c r="S76"/>
  <c r="R76"/>
  <c r="P76"/>
  <c r="Q76" s="1"/>
  <c r="T76" s="1"/>
  <c r="S75"/>
  <c r="P75"/>
  <c r="R75"/>
  <c r="N39" i="460"/>
  <c r="K39"/>
  <c r="L39" s="1"/>
  <c r="O39" s="1"/>
  <c r="M39"/>
  <c r="S82" i="463"/>
  <c r="R82"/>
  <c r="P82"/>
  <c r="Q82" s="1"/>
  <c r="T82" s="1"/>
  <c r="S81"/>
  <c r="P81"/>
  <c r="Q81" s="1"/>
  <c r="T81" s="1"/>
  <c r="R81"/>
  <c r="S73"/>
  <c r="P73"/>
  <c r="L38" i="460"/>
  <c r="S80" i="463"/>
  <c r="P80"/>
  <c r="Q80" s="1"/>
  <c r="T80" s="1"/>
  <c r="R80"/>
  <c r="I86"/>
  <c r="M86" s="1"/>
  <c r="I88"/>
  <c r="I89"/>
  <c r="I87"/>
  <c r="P72"/>
  <c r="S72"/>
  <c r="R72"/>
  <c r="N18"/>
  <c r="Q6"/>
  <c r="Q18" s="1"/>
  <c r="V18" s="1"/>
  <c r="V20" s="1"/>
  <c r="V22" s="1"/>
  <c r="X38"/>
  <c r="V15"/>
  <c r="V16" s="1"/>
  <c r="V14"/>
  <c r="AB79"/>
  <c r="V8"/>
  <c r="V10" s="1"/>
  <c r="V12" s="1"/>
  <c r="X59"/>
  <c r="S74"/>
  <c r="P74"/>
  <c r="R74"/>
  <c r="S79"/>
  <c r="P79"/>
  <c r="Q79" s="1"/>
  <c r="T79" s="1"/>
  <c r="R79"/>
  <c r="AJ71"/>
  <c r="AJ72" s="1"/>
  <c r="AJ75" s="1"/>
  <c r="S71"/>
  <c r="AI71"/>
  <c r="P71"/>
  <c r="R71"/>
  <c r="O11" i="460"/>
  <c r="AF7" i="462"/>
  <c r="AC54" i="463"/>
  <c r="N35"/>
  <c r="U29" s="1"/>
  <c r="U38" s="1"/>
  <c r="U39" s="1"/>
  <c r="AE30"/>
  <c r="AE50"/>
  <c r="N52"/>
  <c r="U50" s="1"/>
  <c r="U59" s="1"/>
  <c r="U60" s="1"/>
  <c r="N12" i="462"/>
  <c r="U6" s="1"/>
  <c r="U14" s="1"/>
  <c r="O35" i="463"/>
  <c r="O12" i="462"/>
  <c r="L12"/>
  <c r="AK52" i="463"/>
  <c r="AM51" s="1"/>
  <c r="AF10" i="462"/>
  <c r="AE51" i="463"/>
  <c r="AC33"/>
  <c r="AF6" i="462"/>
  <c r="L35" i="463"/>
  <c r="AD10" i="462"/>
  <c r="AJ52" i="463"/>
  <c r="AL51" s="1"/>
  <c r="L52"/>
  <c r="AE33"/>
  <c r="AE29"/>
  <c r="AE54"/>
  <c r="P6" i="462"/>
  <c r="P12" s="1"/>
  <c r="U18" s="1"/>
  <c r="U20" s="1"/>
  <c r="U22" s="1"/>
  <c r="M12"/>
  <c r="P29" i="463"/>
  <c r="P35" s="1"/>
  <c r="U41" s="1"/>
  <c r="U43" s="1"/>
  <c r="U45" s="1"/>
  <c r="M35"/>
  <c r="P50"/>
  <c r="P52" s="1"/>
  <c r="M52"/>
  <c r="AL11"/>
  <c r="AJ31"/>
  <c r="AM11"/>
  <c r="AK31"/>
  <c r="G29" i="462"/>
  <c r="G30"/>
  <c r="AK8"/>
  <c r="AL8"/>
  <c r="A10" i="461"/>
  <c r="E12" s="1"/>
  <c r="A38" i="460"/>
  <c r="E40" s="1"/>
  <c r="J40" s="1"/>
  <c r="J40" i="456"/>
  <c r="M13" s="1"/>
  <c r="U31" i="454"/>
  <c r="X13" s="1"/>
  <c r="T23"/>
  <c r="U23"/>
  <c r="T24"/>
  <c r="U24"/>
  <c r="T25"/>
  <c r="U25"/>
  <c r="T26"/>
  <c r="U26"/>
  <c r="T27"/>
  <c r="U27"/>
  <c r="T28"/>
  <c r="U28"/>
  <c r="T29"/>
  <c r="U29"/>
  <c r="U22"/>
  <c r="T22"/>
  <c r="Q23"/>
  <c r="R23"/>
  <c r="S23"/>
  <c r="Q24"/>
  <c r="R24"/>
  <c r="S24"/>
  <c r="Q25"/>
  <c r="R25"/>
  <c r="S25"/>
  <c r="Q26"/>
  <c r="R26"/>
  <c r="S26"/>
  <c r="Q27"/>
  <c r="R27"/>
  <c r="S27"/>
  <c r="Q28"/>
  <c r="R28"/>
  <c r="S28"/>
  <c r="Q29"/>
  <c r="R29"/>
  <c r="S29"/>
  <c r="R22"/>
  <c r="S22"/>
  <c r="Q22"/>
  <c r="M13" i="460" l="1"/>
  <c r="A12"/>
  <c r="E14" s="1"/>
  <c r="J14" s="1"/>
  <c r="M14" s="1"/>
  <c r="K13"/>
  <c r="L13" s="1"/>
  <c r="T30" i="454"/>
  <c r="Y13" s="1"/>
  <c r="Z13" s="1"/>
  <c r="U30"/>
  <c r="AQ73" i="463"/>
  <c r="AQ74" s="1"/>
  <c r="AQ75" s="1"/>
  <c r="AQ76" s="1"/>
  <c r="AQ77" s="1"/>
  <c r="R83"/>
  <c r="Y71" s="1"/>
  <c r="AB80" s="1"/>
  <c r="AB82" s="1"/>
  <c r="AB84" s="1"/>
  <c r="AB86" s="1"/>
  <c r="AP73"/>
  <c r="AP74" s="1"/>
  <c r="AP75" s="1"/>
  <c r="AP76" s="1"/>
  <c r="AP77" s="1"/>
  <c r="M88"/>
  <c r="Q73"/>
  <c r="T73" s="1"/>
  <c r="Q75"/>
  <c r="T75" s="1"/>
  <c r="P83"/>
  <c r="Q71"/>
  <c r="T71" s="1"/>
  <c r="Q74"/>
  <c r="T74" s="1"/>
  <c r="Q72"/>
  <c r="T72" s="1"/>
  <c r="AI72"/>
  <c r="AK72" s="1"/>
  <c r="AK71"/>
  <c r="AK75"/>
  <c r="AI75"/>
  <c r="M87"/>
  <c r="O38" i="460"/>
  <c r="N40"/>
  <c r="K40"/>
  <c r="M40"/>
  <c r="S83" i="463"/>
  <c r="M89"/>
  <c r="U8" i="462"/>
  <c r="U10" s="1"/>
  <c r="U12" s="1"/>
  <c r="U58" i="463"/>
  <c r="U52"/>
  <c r="U54" s="1"/>
  <c r="U56" s="1"/>
  <c r="U37"/>
  <c r="X37"/>
  <c r="X40" s="1"/>
  <c r="X42" s="1"/>
  <c r="X44" s="1"/>
  <c r="U31"/>
  <c r="U33" s="1"/>
  <c r="U35" s="1"/>
  <c r="AE79"/>
  <c r="X58"/>
  <c r="X61" s="1"/>
  <c r="X63" s="1"/>
  <c r="X65" s="1"/>
  <c r="AL50"/>
  <c r="U15" i="462"/>
  <c r="U16" s="1"/>
  <c r="AL52" i="463"/>
  <c r="AN51" s="1"/>
  <c r="AM50"/>
  <c r="AM52"/>
  <c r="AM12"/>
  <c r="AJ32"/>
  <c r="AL12"/>
  <c r="AK32"/>
  <c r="AL9" i="462"/>
  <c r="AK9"/>
  <c r="A11" i="461"/>
  <c r="E13" s="1"/>
  <c r="A39" i="460"/>
  <c r="E41" s="1"/>
  <c r="J41" s="1"/>
  <c r="D10" i="452"/>
  <c r="D19" s="1"/>
  <c r="C10"/>
  <c r="C19" s="1"/>
  <c r="B10"/>
  <c r="B19" s="1"/>
  <c r="E9"/>
  <c r="E18" s="1"/>
  <c r="E8"/>
  <c r="E17" s="1"/>
  <c r="E7"/>
  <c r="E16" s="1"/>
  <c r="O10"/>
  <c r="O19" s="1"/>
  <c r="N10"/>
  <c r="N19" s="1"/>
  <c r="M10"/>
  <c r="M19" s="1"/>
  <c r="P9"/>
  <c r="P18" s="1"/>
  <c r="P8"/>
  <c r="P17" s="1"/>
  <c r="P7"/>
  <c r="P16" s="1"/>
  <c r="A13" i="460" l="1"/>
  <c r="E15" s="1"/>
  <c r="K14"/>
  <c r="L14" s="1"/>
  <c r="O14" s="1"/>
  <c r="N14"/>
  <c r="Y73" i="463"/>
  <c r="Y75" s="1"/>
  <c r="Y77" s="1"/>
  <c r="Y79"/>
  <c r="Y80"/>
  <c r="Y81" s="1"/>
  <c r="AE80"/>
  <c r="AE82" s="1"/>
  <c r="AE84" s="1"/>
  <c r="AE86" s="1"/>
  <c r="N41" i="460"/>
  <c r="M41"/>
  <c r="K41"/>
  <c r="L41" s="1"/>
  <c r="O41" s="1"/>
  <c r="Q83" i="463"/>
  <c r="O13" i="460"/>
  <c r="J15"/>
  <c r="L40"/>
  <c r="T83" i="463"/>
  <c r="Y83" s="1"/>
  <c r="Y85" s="1"/>
  <c r="Y87" s="1"/>
  <c r="AN50"/>
  <c r="AN52"/>
  <c r="AP78"/>
  <c r="AQ78"/>
  <c r="AL13"/>
  <c r="AJ33"/>
  <c r="AK33"/>
  <c r="AM13"/>
  <c r="AK10" i="462"/>
  <c r="AL10"/>
  <c r="A12" i="461"/>
  <c r="E14" s="1"/>
  <c r="A40" i="460"/>
  <c r="E42" s="1"/>
  <c r="Z31" i="459"/>
  <c r="AC13" s="1"/>
  <c r="R18" i="454"/>
  <c r="R10"/>
  <c r="R19"/>
  <c r="T6"/>
  <c r="R12"/>
  <c r="G24" i="456"/>
  <c r="G14"/>
  <c r="G12"/>
  <c r="G26"/>
  <c r="G25"/>
  <c r="H21"/>
  <c r="H27" s="1"/>
  <c r="H33" s="1"/>
  <c r="H15"/>
  <c r="H24"/>
  <c r="H30" s="1"/>
  <c r="H36" s="1"/>
  <c r="H18"/>
  <c r="Q16" i="454"/>
  <c r="Q12"/>
  <c r="Q17"/>
  <c r="Q13"/>
  <c r="T5"/>
  <c r="U5" s="1"/>
  <c r="T9"/>
  <c r="U9" s="1"/>
  <c r="S21"/>
  <c r="S19"/>
  <c r="S17"/>
  <c r="S15"/>
  <c r="G22" i="456"/>
  <c r="G13"/>
  <c r="G11"/>
  <c r="G23"/>
  <c r="G21"/>
  <c r="T4" i="454"/>
  <c r="Q14"/>
  <c r="Q10"/>
  <c r="Q15"/>
  <c r="Q11"/>
  <c r="T8"/>
  <c r="S18"/>
  <c r="S14"/>
  <c r="S20"/>
  <c r="S16"/>
  <c r="J31" i="455"/>
  <c r="M13" s="1"/>
  <c r="F35" i="456"/>
  <c r="F33"/>
  <c r="F18"/>
  <c r="F36"/>
  <c r="F20"/>
  <c r="F37"/>
  <c r="F34"/>
  <c r="F38"/>
  <c r="F14"/>
  <c r="F13"/>
  <c r="F19"/>
  <c r="H23"/>
  <c r="H29" s="1"/>
  <c r="H35" s="1"/>
  <c r="H17"/>
  <c r="H20"/>
  <c r="H26"/>
  <c r="H32" s="1"/>
  <c r="H38" s="1"/>
  <c r="R20" i="454"/>
  <c r="T7"/>
  <c r="U7" s="1"/>
  <c r="R21"/>
  <c r="R13"/>
  <c r="R11"/>
  <c r="F31" i="456"/>
  <c r="F28"/>
  <c r="F32"/>
  <c r="F16"/>
  <c r="F27"/>
  <c r="F15"/>
  <c r="F11"/>
  <c r="F17"/>
  <c r="F29"/>
  <c r="F30"/>
  <c r="F12"/>
  <c r="H25"/>
  <c r="H31" s="1"/>
  <c r="H37" s="1"/>
  <c r="H19"/>
  <c r="H22"/>
  <c r="H28" s="1"/>
  <c r="H34" s="1"/>
  <c r="H16"/>
  <c r="Z31" i="458"/>
  <c r="AC13" s="1"/>
  <c r="E10" i="452"/>
  <c r="E19" s="1"/>
  <c r="P10"/>
  <c r="P19" s="1"/>
  <c r="M18" s="1"/>
  <c r="AH7" i="460" l="1"/>
  <c r="AG7"/>
  <c r="J42"/>
  <c r="N15"/>
  <c r="N16" s="1"/>
  <c r="M15"/>
  <c r="M16" s="1"/>
  <c r="T6" s="1"/>
  <c r="K15"/>
  <c r="Z6"/>
  <c r="AA6"/>
  <c r="AA7" s="1"/>
  <c r="AA10" s="1"/>
  <c r="O40"/>
  <c r="AN53" i="463"/>
  <c r="AM14"/>
  <c r="AJ34"/>
  <c r="AQ79"/>
  <c r="AP79"/>
  <c r="AK34"/>
  <c r="AL14"/>
  <c r="AK11" i="462"/>
  <c r="AL11"/>
  <c r="A13" i="461"/>
  <c r="T21" i="454"/>
  <c r="U21" s="1"/>
  <c r="T14"/>
  <c r="U14" s="1"/>
  <c r="T12"/>
  <c r="U12" s="1"/>
  <c r="T10"/>
  <c r="U10" s="1"/>
  <c r="T20"/>
  <c r="U20" s="1"/>
  <c r="W19" i="459"/>
  <c r="W12"/>
  <c r="W10"/>
  <c r="W18"/>
  <c r="V16"/>
  <c r="V27"/>
  <c r="V28"/>
  <c r="V29"/>
  <c r="V26"/>
  <c r="V12"/>
  <c r="V17"/>
  <c r="V13"/>
  <c r="X21"/>
  <c r="X25" s="1"/>
  <c r="X29" s="1"/>
  <c r="X19"/>
  <c r="X23" s="1"/>
  <c r="X27" s="1"/>
  <c r="X17"/>
  <c r="X15"/>
  <c r="V22"/>
  <c r="V10"/>
  <c r="V23"/>
  <c r="V15"/>
  <c r="V11"/>
  <c r="V24"/>
  <c r="V25"/>
  <c r="V14"/>
  <c r="X20"/>
  <c r="X24" s="1"/>
  <c r="X28" s="1"/>
  <c r="X18"/>
  <c r="X22" s="1"/>
  <c r="X26" s="1"/>
  <c r="X16"/>
  <c r="X14"/>
  <c r="W13"/>
  <c r="W11"/>
  <c r="W20"/>
  <c r="W21"/>
  <c r="G32" i="456"/>
  <c r="G38" s="1"/>
  <c r="I38" s="1"/>
  <c r="J38" s="1"/>
  <c r="G30"/>
  <c r="G36" s="1"/>
  <c r="I36" s="1"/>
  <c r="J36" s="1"/>
  <c r="F22" i="455"/>
  <c r="F14"/>
  <c r="F10"/>
  <c r="F25"/>
  <c r="F11"/>
  <c r="F23"/>
  <c r="F15"/>
  <c r="F24"/>
  <c r="T18" i="454"/>
  <c r="F26" i="455"/>
  <c r="F16"/>
  <c r="F12"/>
  <c r="F28"/>
  <c r="F27"/>
  <c r="F17"/>
  <c r="F29"/>
  <c r="F13"/>
  <c r="G29" i="456"/>
  <c r="G35" s="1"/>
  <c r="I35" s="1"/>
  <c r="U4" i="454"/>
  <c r="Y5" s="1"/>
  <c r="T16"/>
  <c r="U16" s="1"/>
  <c r="T15"/>
  <c r="U15" s="1"/>
  <c r="G27" i="456"/>
  <c r="I27" s="1"/>
  <c r="T13" i="454"/>
  <c r="U13" s="1"/>
  <c r="U6"/>
  <c r="Y6" s="1"/>
  <c r="G20" i="455"/>
  <c r="G21"/>
  <c r="G11"/>
  <c r="G13"/>
  <c r="H14"/>
  <c r="H16"/>
  <c r="H18"/>
  <c r="H22" s="1"/>
  <c r="H26" s="1"/>
  <c r="H20"/>
  <c r="H24" s="1"/>
  <c r="H28" s="1"/>
  <c r="U8" i="454"/>
  <c r="Y7" s="1"/>
  <c r="T11"/>
  <c r="U11" s="1"/>
  <c r="G28" i="456"/>
  <c r="G34" s="1"/>
  <c r="I34" s="1"/>
  <c r="J34" s="1"/>
  <c r="T17" i="454"/>
  <c r="U17" s="1"/>
  <c r="G31" i="456"/>
  <c r="G37" s="1"/>
  <c r="I37" s="1"/>
  <c r="J37" s="1"/>
  <c r="T19" i="454"/>
  <c r="U19" s="1"/>
  <c r="G18" i="455"/>
  <c r="G19"/>
  <c r="G12"/>
  <c r="G10"/>
  <c r="H17"/>
  <c r="H19"/>
  <c r="H23" s="1"/>
  <c r="H27" s="1"/>
  <c r="H21"/>
  <c r="H25" s="1"/>
  <c r="H29" s="1"/>
  <c r="H15"/>
  <c r="W13" i="458"/>
  <c r="W20"/>
  <c r="W21"/>
  <c r="W11"/>
  <c r="W12"/>
  <c r="W10"/>
  <c r="W18"/>
  <c r="W19"/>
  <c r="X21"/>
  <c r="X25" s="1"/>
  <c r="X29" s="1"/>
  <c r="X17"/>
  <c r="X19"/>
  <c r="X23" s="1"/>
  <c r="X27" s="1"/>
  <c r="X15"/>
  <c r="V25"/>
  <c r="V22"/>
  <c r="V14"/>
  <c r="V10"/>
  <c r="V23"/>
  <c r="V15"/>
  <c r="V11"/>
  <c r="V24"/>
  <c r="X20"/>
  <c r="X24" s="1"/>
  <c r="X28" s="1"/>
  <c r="X18"/>
  <c r="X22" s="1"/>
  <c r="X26" s="1"/>
  <c r="X16"/>
  <c r="X14"/>
  <c r="V29"/>
  <c r="V28"/>
  <c r="V26"/>
  <c r="V16"/>
  <c r="V12"/>
  <c r="V27"/>
  <c r="V17"/>
  <c r="V13"/>
  <c r="C17" i="452"/>
  <c r="N17"/>
  <c r="C16"/>
  <c r="O18"/>
  <c r="O16"/>
  <c r="D17"/>
  <c r="D18"/>
  <c r="M16"/>
  <c r="B17"/>
  <c r="C18"/>
  <c r="B18"/>
  <c r="N16"/>
  <c r="M17"/>
  <c r="B16"/>
  <c r="D16"/>
  <c r="O17"/>
  <c r="N18"/>
  <c r="AG8" i="460" l="1"/>
  <c r="AG9" s="1"/>
  <c r="AG10" s="1"/>
  <c r="AG11" s="1"/>
  <c r="AG12" s="1"/>
  <c r="AG13" s="1"/>
  <c r="AG14" s="1"/>
  <c r="AG15" s="1"/>
  <c r="AG34"/>
  <c r="AH34"/>
  <c r="AH35" s="1"/>
  <c r="H19"/>
  <c r="I19" s="1"/>
  <c r="Z10"/>
  <c r="AB10"/>
  <c r="AB6"/>
  <c r="Z7"/>
  <c r="AB7" s="1"/>
  <c r="N42"/>
  <c r="N43" s="1"/>
  <c r="M42"/>
  <c r="M43" s="1"/>
  <c r="T33" s="1"/>
  <c r="K42"/>
  <c r="AA33"/>
  <c r="AA34" s="1"/>
  <c r="AA37" s="1"/>
  <c r="Z33"/>
  <c r="E15" i="461"/>
  <c r="T8" i="460"/>
  <c r="T10" s="1"/>
  <c r="T12" s="1"/>
  <c r="T15"/>
  <c r="T16" s="1"/>
  <c r="T14"/>
  <c r="H15" i="452"/>
  <c r="L15" i="460"/>
  <c r="K16"/>
  <c r="AH8"/>
  <c r="AH9" s="1"/>
  <c r="AH10" s="1"/>
  <c r="AH11" s="1"/>
  <c r="AH12" s="1"/>
  <c r="AH13" s="1"/>
  <c r="AH14" s="1"/>
  <c r="AH15" s="1"/>
  <c r="AL15" i="463"/>
  <c r="AQ80"/>
  <c r="AK35"/>
  <c r="AM34" s="1"/>
  <c r="AP80"/>
  <c r="AJ35"/>
  <c r="AL34" s="1"/>
  <c r="AM15"/>
  <c r="AK12" i="462"/>
  <c r="AL12"/>
  <c r="AN11" s="1"/>
  <c r="X6" i="454"/>
  <c r="Z6" s="1"/>
  <c r="Y12"/>
  <c r="W23" i="459"/>
  <c r="W27" s="1"/>
  <c r="Y27" s="1"/>
  <c r="W24"/>
  <c r="W28" s="1"/>
  <c r="Y28" s="1"/>
  <c r="Z28" s="1"/>
  <c r="W22"/>
  <c r="W25"/>
  <c r="W29" s="1"/>
  <c r="Y29" s="1"/>
  <c r="Z29" s="1"/>
  <c r="J35" i="456"/>
  <c r="G23" i="455"/>
  <c r="G27" s="1"/>
  <c r="I27" s="1"/>
  <c r="J27" s="1"/>
  <c r="I30" i="456"/>
  <c r="J30" s="1"/>
  <c r="Y10" i="454"/>
  <c r="Y9"/>
  <c r="Y11"/>
  <c r="G25" i="455"/>
  <c r="G29" s="1"/>
  <c r="I29" s="1"/>
  <c r="J29" s="1"/>
  <c r="Y8" i="454"/>
  <c r="I31" i="456"/>
  <c r="J31" s="1"/>
  <c r="J27"/>
  <c r="I29"/>
  <c r="G33"/>
  <c r="G22" i="455"/>
  <c r="I22" s="1"/>
  <c r="I28" i="456"/>
  <c r="X7" i="454"/>
  <c r="Z7" s="1"/>
  <c r="G24" i="455"/>
  <c r="G28" s="1"/>
  <c r="I28" s="1"/>
  <c r="J28" s="1"/>
  <c r="I32" i="456"/>
  <c r="J32" s="1"/>
  <c r="X5" i="454"/>
  <c r="U18"/>
  <c r="W22" i="458"/>
  <c r="W24"/>
  <c r="W28" s="1"/>
  <c r="Y28" s="1"/>
  <c r="Z28" s="1"/>
  <c r="W23"/>
  <c r="W27" s="1"/>
  <c r="Y27" s="1"/>
  <c r="Z27" s="1"/>
  <c r="W25"/>
  <c r="W29" s="1"/>
  <c r="Y29" s="1"/>
  <c r="Z29" s="1"/>
  <c r="S15" i="452"/>
  <c r="X10" i="454" l="1"/>
  <c r="Z10" s="1"/>
  <c r="AH36" i="460"/>
  <c r="AH37" s="1"/>
  <c r="AH38" s="1"/>
  <c r="AH39" s="1"/>
  <c r="AH40" s="1"/>
  <c r="AH41" s="1"/>
  <c r="AH42" s="1"/>
  <c r="AH43" s="1"/>
  <c r="AJ42" s="1"/>
  <c r="AG35"/>
  <c r="AG36" s="1"/>
  <c r="AG37" s="1"/>
  <c r="AG38" s="1"/>
  <c r="AG39" s="1"/>
  <c r="AG40" s="1"/>
  <c r="AG41" s="1"/>
  <c r="AG42" s="1"/>
  <c r="AG43" s="1"/>
  <c r="AI42" s="1"/>
  <c r="H46"/>
  <c r="I46" s="1"/>
  <c r="Z37"/>
  <c r="Z34"/>
  <c r="AB34" s="1"/>
  <c r="AB33"/>
  <c r="AB37"/>
  <c r="L42"/>
  <c r="K43"/>
  <c r="K20"/>
  <c r="H20"/>
  <c r="I20" s="1"/>
  <c r="L20"/>
  <c r="T41"/>
  <c r="T35"/>
  <c r="T37" s="1"/>
  <c r="T39" s="1"/>
  <c r="T42"/>
  <c r="T43" s="1"/>
  <c r="O15"/>
  <c r="O16" s="1"/>
  <c r="T18" s="1"/>
  <c r="T20" s="1"/>
  <c r="T22" s="1"/>
  <c r="L16"/>
  <c r="AM16" i="463"/>
  <c r="AP81"/>
  <c r="AQ81"/>
  <c r="AL16"/>
  <c r="AL35"/>
  <c r="AL29"/>
  <c r="AL30"/>
  <c r="AL31"/>
  <c r="AL32"/>
  <c r="AL33"/>
  <c r="AM29"/>
  <c r="AM35"/>
  <c r="AM30"/>
  <c r="AM31"/>
  <c r="AM32"/>
  <c r="AM33"/>
  <c r="AH16" i="460"/>
  <c r="AJ15" s="1"/>
  <c r="AG16"/>
  <c r="AM12" i="462"/>
  <c r="AM6"/>
  <c r="AM7"/>
  <c r="AM8"/>
  <c r="AM9"/>
  <c r="AM10"/>
  <c r="AN12"/>
  <c r="AN6"/>
  <c r="AN7"/>
  <c r="AN8"/>
  <c r="AN9"/>
  <c r="AN10"/>
  <c r="AM11"/>
  <c r="I25" i="455"/>
  <c r="J25" s="1"/>
  <c r="Y24" i="458"/>
  <c r="Z24" s="1"/>
  <c r="Y23" i="459"/>
  <c r="Z23" s="1"/>
  <c r="Z27"/>
  <c r="Y25"/>
  <c r="Z25" s="1"/>
  <c r="W26"/>
  <c r="Y24"/>
  <c r="Z24" s="1"/>
  <c r="Y22"/>
  <c r="J22" i="455"/>
  <c r="J29" i="456"/>
  <c r="I23" i="455"/>
  <c r="G26"/>
  <c r="I24"/>
  <c r="J24" s="1"/>
  <c r="Z5" i="454"/>
  <c r="X9"/>
  <c r="Z9" s="1"/>
  <c r="X8"/>
  <c r="Z8" s="1"/>
  <c r="J28" i="456"/>
  <c r="I33"/>
  <c r="I13" s="1"/>
  <c r="W26" i="458"/>
  <c r="Y22"/>
  <c r="Y23"/>
  <c r="Y25"/>
  <c r="AO11" i="462" l="1"/>
  <c r="I11" i="456"/>
  <c r="J11" s="1"/>
  <c r="I15"/>
  <c r="J15" s="1"/>
  <c r="I7"/>
  <c r="J7" s="1"/>
  <c r="I22"/>
  <c r="J22" s="1"/>
  <c r="I12"/>
  <c r="J12" s="1"/>
  <c r="I26"/>
  <c r="J26" s="1"/>
  <c r="I16"/>
  <c r="J16" s="1"/>
  <c r="I14"/>
  <c r="J14" s="1"/>
  <c r="I23"/>
  <c r="J23" s="1"/>
  <c r="I19"/>
  <c r="J19" s="1"/>
  <c r="O42" i="460"/>
  <c r="O43" s="1"/>
  <c r="T45" s="1"/>
  <c r="T47" s="1"/>
  <c r="T49" s="1"/>
  <c r="L43"/>
  <c r="H47"/>
  <c r="I47" s="1"/>
  <c r="K47"/>
  <c r="L47"/>
  <c r="J10" i="461"/>
  <c r="J14"/>
  <c r="J6"/>
  <c r="J9"/>
  <c r="J13"/>
  <c r="F19" a="1"/>
  <c r="J11"/>
  <c r="J12"/>
  <c r="J7"/>
  <c r="J15"/>
  <c r="J8"/>
  <c r="AN35" i="463"/>
  <c r="AN29"/>
  <c r="AN32"/>
  <c r="AI16" i="460"/>
  <c r="AI6"/>
  <c r="AI7"/>
  <c r="AI8"/>
  <c r="AI9"/>
  <c r="AI10"/>
  <c r="AI11"/>
  <c r="AI12"/>
  <c r="AI13"/>
  <c r="AI14"/>
  <c r="AQ82" i="463"/>
  <c r="AO9" i="462"/>
  <c r="AO12"/>
  <c r="AJ6" i="460"/>
  <c r="AJ16"/>
  <c r="AJ7"/>
  <c r="AJ8"/>
  <c r="AJ9"/>
  <c r="AJ10"/>
  <c r="AJ11"/>
  <c r="AJ12"/>
  <c r="AJ13"/>
  <c r="AJ14"/>
  <c r="AN30" i="463"/>
  <c r="AL17"/>
  <c r="AM17"/>
  <c r="AP82"/>
  <c r="AN31"/>
  <c r="AI15" i="460"/>
  <c r="AN33" i="463"/>
  <c r="AN34"/>
  <c r="AO8" i="462"/>
  <c r="AO7"/>
  <c r="AO10"/>
  <c r="AO6"/>
  <c r="AI43" i="460"/>
  <c r="AI33"/>
  <c r="AI34"/>
  <c r="AI35"/>
  <c r="AI36"/>
  <c r="AI37"/>
  <c r="AI38"/>
  <c r="AI39"/>
  <c r="AI40"/>
  <c r="AI41"/>
  <c r="AJ33"/>
  <c r="AJ43"/>
  <c r="AJ34"/>
  <c r="AJ35"/>
  <c r="AJ36"/>
  <c r="AJ37"/>
  <c r="AJ38"/>
  <c r="AJ39"/>
  <c r="AJ40"/>
  <c r="AJ41"/>
  <c r="I10" i="456"/>
  <c r="J10" s="1"/>
  <c r="I20"/>
  <c r="J20" s="1"/>
  <c r="I9"/>
  <c r="J9" s="1"/>
  <c r="I17"/>
  <c r="J17" s="1"/>
  <c r="I25"/>
  <c r="J25" s="1"/>
  <c r="I4"/>
  <c r="J4" s="1"/>
  <c r="I24"/>
  <c r="J24" s="1"/>
  <c r="Z22" i="459"/>
  <c r="Y26"/>
  <c r="Y17" s="1"/>
  <c r="X11" i="454"/>
  <c r="I26" i="455"/>
  <c r="I12" s="1"/>
  <c r="J23"/>
  <c r="J33" i="456"/>
  <c r="J39" s="1"/>
  <c r="I5"/>
  <c r="I18"/>
  <c r="I8"/>
  <c r="I21"/>
  <c r="I39"/>
  <c r="I6"/>
  <c r="Y26" i="458"/>
  <c r="Y8" s="1"/>
  <c r="Z22"/>
  <c r="Z25"/>
  <c r="Z23"/>
  <c r="AK15" i="460" l="1"/>
  <c r="I21" i="455"/>
  <c r="J21" s="1"/>
  <c r="I7"/>
  <c r="J7" s="1"/>
  <c r="Y19" i="458"/>
  <c r="Z19" s="1"/>
  <c r="Y4"/>
  <c r="Z4" s="1"/>
  <c r="Y20" i="459"/>
  <c r="Z20" s="1"/>
  <c r="I19" i="455"/>
  <c r="J19" s="1"/>
  <c r="Y13" i="459"/>
  <c r="Z13" s="1"/>
  <c r="Y11" i="458"/>
  <c r="Z11" s="1"/>
  <c r="Y13"/>
  <c r="Z13" s="1"/>
  <c r="I13" i="455"/>
  <c r="J13" s="1"/>
  <c r="Z17" i="459"/>
  <c r="Y14"/>
  <c r="Z14" s="1"/>
  <c r="AI7" i="461"/>
  <c r="AJ7"/>
  <c r="N8"/>
  <c r="M8"/>
  <c r="K8"/>
  <c r="L8" s="1"/>
  <c r="O8" s="1"/>
  <c r="N11"/>
  <c r="M11"/>
  <c r="K11"/>
  <c r="N6"/>
  <c r="AB6"/>
  <c r="AC6"/>
  <c r="AC7" s="1"/>
  <c r="AC10" s="1"/>
  <c r="K6"/>
  <c r="M6"/>
  <c r="N15"/>
  <c r="K15"/>
  <c r="L15" s="1"/>
  <c r="O15" s="1"/>
  <c r="M15"/>
  <c r="F19"/>
  <c r="J19" s="1"/>
  <c r="F20"/>
  <c r="N14"/>
  <c r="K14"/>
  <c r="L14" s="1"/>
  <c r="O14" s="1"/>
  <c r="M14"/>
  <c r="N7"/>
  <c r="M7"/>
  <c r="K7"/>
  <c r="L7" s="1"/>
  <c r="O7" s="1"/>
  <c r="N13"/>
  <c r="K13"/>
  <c r="L13" s="1"/>
  <c r="O13" s="1"/>
  <c r="M13"/>
  <c r="N10"/>
  <c r="K10"/>
  <c r="M10"/>
  <c r="N12"/>
  <c r="K12"/>
  <c r="M12"/>
  <c r="N9"/>
  <c r="K9"/>
  <c r="L9" s="1"/>
  <c r="O9" s="1"/>
  <c r="M9"/>
  <c r="AK16" i="460"/>
  <c r="AK11"/>
  <c r="AK7"/>
  <c r="AK14"/>
  <c r="AN36" i="463"/>
  <c r="AK12" i="460"/>
  <c r="AK8"/>
  <c r="AQ83" i="463"/>
  <c r="AS82" s="1"/>
  <c r="AP83"/>
  <c r="AM18"/>
  <c r="AL18"/>
  <c r="AK10" i="460"/>
  <c r="AK6"/>
  <c r="AK13"/>
  <c r="AK9"/>
  <c r="AO13" i="462"/>
  <c r="AK41" i="460"/>
  <c r="AK37"/>
  <c r="AK33"/>
  <c r="AK43"/>
  <c r="AK40"/>
  <c r="AK36"/>
  <c r="AK38"/>
  <c r="AK34"/>
  <c r="AK39"/>
  <c r="AK35"/>
  <c r="AK42"/>
  <c r="Y15" i="459"/>
  <c r="Z15" s="1"/>
  <c r="I14" i="455"/>
  <c r="J14" s="1"/>
  <c r="I17"/>
  <c r="J17" s="1"/>
  <c r="I10"/>
  <c r="J10" s="1"/>
  <c r="Y15" i="458"/>
  <c r="Z15" s="1"/>
  <c r="Y7"/>
  <c r="Z7" s="1"/>
  <c r="I9" i="455"/>
  <c r="J9" s="1"/>
  <c r="Y10" i="459"/>
  <c r="Z10" s="1"/>
  <c r="Y21"/>
  <c r="Z21" s="1"/>
  <c r="I11" i="455"/>
  <c r="J11" s="1"/>
  <c r="Y19" i="459"/>
  <c r="Z19" s="1"/>
  <c r="Y17" i="458"/>
  <c r="Z17" s="1"/>
  <c r="Y9"/>
  <c r="Z9" s="1"/>
  <c r="Y14"/>
  <c r="Z14" s="1"/>
  <c r="Y4" i="459"/>
  <c r="Z4" s="1"/>
  <c r="Y20" i="458"/>
  <c r="Z20" s="1"/>
  <c r="Y21"/>
  <c r="Z21" s="1"/>
  <c r="I4" i="455"/>
  <c r="J4" s="1"/>
  <c r="I15"/>
  <c r="J15" s="1"/>
  <c r="I20"/>
  <c r="J20" s="1"/>
  <c r="Y9" i="459"/>
  <c r="Z9" s="1"/>
  <c r="Y11"/>
  <c r="Z11" s="1"/>
  <c r="Y7"/>
  <c r="Z7" s="1"/>
  <c r="Y10" i="458"/>
  <c r="Z10" s="1"/>
  <c r="Y18"/>
  <c r="Y12"/>
  <c r="Y30"/>
  <c r="AD13" s="1"/>
  <c r="AE13" s="1"/>
  <c r="Y6"/>
  <c r="Z26" i="459"/>
  <c r="Z30" s="1"/>
  <c r="Y5"/>
  <c r="Y16"/>
  <c r="Y8"/>
  <c r="Y12"/>
  <c r="Y6"/>
  <c r="Y18"/>
  <c r="Y30"/>
  <c r="I18" i="455"/>
  <c r="Z11" i="454"/>
  <c r="X12"/>
  <c r="Z12" s="1"/>
  <c r="J18" i="456"/>
  <c r="J5"/>
  <c r="I30" i="455"/>
  <c r="I6"/>
  <c r="J21" i="456"/>
  <c r="J26" i="455"/>
  <c r="J30" s="1"/>
  <c r="I5"/>
  <c r="I16"/>
  <c r="I8"/>
  <c r="J6" i="456"/>
  <c r="N6" s="1"/>
  <c r="J8"/>
  <c r="N7" s="1"/>
  <c r="N13"/>
  <c r="O13" s="1"/>
  <c r="J13"/>
  <c r="Z26" i="458"/>
  <c r="Z8" s="1"/>
  <c r="Y16"/>
  <c r="Y5"/>
  <c r="I10" i="451"/>
  <c r="I11"/>
  <c r="I12"/>
  <c r="I9"/>
  <c r="I19" i="450"/>
  <c r="N9" s="1"/>
  <c r="Y20" i="449"/>
  <c r="Y21"/>
  <c r="Y22"/>
  <c r="Y23"/>
  <c r="Y19"/>
  <c r="X20"/>
  <c r="X21"/>
  <c r="X22"/>
  <c r="X23"/>
  <c r="X19"/>
  <c r="W20"/>
  <c r="W21"/>
  <c r="W22"/>
  <c r="W23"/>
  <c r="W19"/>
  <c r="Y15"/>
  <c r="Y16"/>
  <c r="Y17"/>
  <c r="Y18"/>
  <c r="Y14"/>
  <c r="X15"/>
  <c r="X16"/>
  <c r="X17"/>
  <c r="X18"/>
  <c r="X14"/>
  <c r="W15"/>
  <c r="W16"/>
  <c r="W17"/>
  <c r="W18"/>
  <c r="W14"/>
  <c r="Y10"/>
  <c r="Y11"/>
  <c r="Y12"/>
  <c r="Y13"/>
  <c r="Y9"/>
  <c r="X10"/>
  <c r="X11"/>
  <c r="X12"/>
  <c r="X13"/>
  <c r="X9"/>
  <c r="W10"/>
  <c r="W11"/>
  <c r="W12"/>
  <c r="W13"/>
  <c r="W9"/>
  <c r="Y5"/>
  <c r="Y6"/>
  <c r="Y7"/>
  <c r="Y8"/>
  <c r="Y4"/>
  <c r="X5"/>
  <c r="X6"/>
  <c r="X7"/>
  <c r="X8"/>
  <c r="X4"/>
  <c r="W5"/>
  <c r="W6"/>
  <c r="W7"/>
  <c r="W8"/>
  <c r="W4"/>
  <c r="Y3"/>
  <c r="X3"/>
  <c r="W3"/>
  <c r="V19"/>
  <c r="V14"/>
  <c r="V9"/>
  <c r="V4"/>
  <c r="L22"/>
  <c r="Q9" s="1"/>
  <c r="I22"/>
  <c r="J22"/>
  <c r="K22"/>
  <c r="H22"/>
  <c r="L21"/>
  <c r="I21"/>
  <c r="J21"/>
  <c r="K21"/>
  <c r="H21"/>
  <c r="G21"/>
  <c r="L20"/>
  <c r="I20"/>
  <c r="J20"/>
  <c r="K20"/>
  <c r="H20"/>
  <c r="G20"/>
  <c r="L19"/>
  <c r="I19"/>
  <c r="J19"/>
  <c r="K19"/>
  <c r="H19"/>
  <c r="G19"/>
  <c r="I18"/>
  <c r="J18"/>
  <c r="K18"/>
  <c r="H18"/>
  <c r="L15"/>
  <c r="I15"/>
  <c r="J15"/>
  <c r="K15"/>
  <c r="H15"/>
  <c r="L14"/>
  <c r="I14"/>
  <c r="J14"/>
  <c r="K14"/>
  <c r="H14"/>
  <c r="G14"/>
  <c r="L13"/>
  <c r="I13"/>
  <c r="J13"/>
  <c r="K13"/>
  <c r="H13"/>
  <c r="G13"/>
  <c r="L12"/>
  <c r="I12"/>
  <c r="J12"/>
  <c r="K12"/>
  <c r="H12"/>
  <c r="G12"/>
  <c r="I11"/>
  <c r="J11"/>
  <c r="K11"/>
  <c r="H11"/>
  <c r="L8"/>
  <c r="P9" s="1"/>
  <c r="I8"/>
  <c r="J8"/>
  <c r="K8"/>
  <c r="H8"/>
  <c r="L7"/>
  <c r="I7"/>
  <c r="J7"/>
  <c r="K7"/>
  <c r="H7"/>
  <c r="G7"/>
  <c r="L6"/>
  <c r="I6"/>
  <c r="J6"/>
  <c r="K6"/>
  <c r="H6"/>
  <c r="G6"/>
  <c r="L5"/>
  <c r="I5"/>
  <c r="J5"/>
  <c r="K5"/>
  <c r="H5"/>
  <c r="G5"/>
  <c r="I4"/>
  <c r="J4"/>
  <c r="K4"/>
  <c r="H4"/>
  <c r="Z15" i="448"/>
  <c r="Z16"/>
  <c r="Z17"/>
  <c r="Z18"/>
  <c r="Z14"/>
  <c r="Y15"/>
  <c r="Y16"/>
  <c r="Y17"/>
  <c r="Y18"/>
  <c r="Y14"/>
  <c r="Z10"/>
  <c r="Z11"/>
  <c r="Z12"/>
  <c r="Z13"/>
  <c r="Z9"/>
  <c r="Y10"/>
  <c r="Y11"/>
  <c r="Y12"/>
  <c r="Y13"/>
  <c r="Y9"/>
  <c r="Z5"/>
  <c r="Z6"/>
  <c r="Z7"/>
  <c r="Z8"/>
  <c r="Z4"/>
  <c r="Y5"/>
  <c r="Y6"/>
  <c r="Y7"/>
  <c r="Y8"/>
  <c r="Y4"/>
  <c r="Z3"/>
  <c r="Y3"/>
  <c r="X14"/>
  <c r="X9"/>
  <c r="X4"/>
  <c r="H3" i="449" l="1"/>
  <c r="O5"/>
  <c r="O6"/>
  <c r="P5"/>
  <c r="P6"/>
  <c r="O8"/>
  <c r="L12" i="461"/>
  <c r="O12" s="1"/>
  <c r="L6"/>
  <c r="K16"/>
  <c r="L11"/>
  <c r="O11" s="1"/>
  <c r="AJ8"/>
  <c r="J20"/>
  <c r="AB10"/>
  <c r="AD10"/>
  <c r="AD6"/>
  <c r="AB7"/>
  <c r="AD7" s="1"/>
  <c r="AI8"/>
  <c r="L10"/>
  <c r="O10" s="1"/>
  <c r="M16"/>
  <c r="T6" s="1"/>
  <c r="N16"/>
  <c r="AO17" i="463"/>
  <c r="AO8"/>
  <c r="AN17"/>
  <c r="AN8"/>
  <c r="AK17" i="460"/>
  <c r="AR71" i="463"/>
  <c r="AR83"/>
  <c r="AR72"/>
  <c r="AR73"/>
  <c r="AR74"/>
  <c r="AR75"/>
  <c r="AR76"/>
  <c r="AR77"/>
  <c r="AR78"/>
  <c r="AR79"/>
  <c r="AR80"/>
  <c r="AR81"/>
  <c r="AO6"/>
  <c r="AO18"/>
  <c r="AO7"/>
  <c r="AO9"/>
  <c r="AO10"/>
  <c r="AO11"/>
  <c r="AO12"/>
  <c r="AO13"/>
  <c r="AO14"/>
  <c r="AO15"/>
  <c r="AO16"/>
  <c r="AS83"/>
  <c r="AS71"/>
  <c r="AS72"/>
  <c r="AS73"/>
  <c r="AS74"/>
  <c r="AS75"/>
  <c r="AS76"/>
  <c r="AS77"/>
  <c r="AS78"/>
  <c r="AS79"/>
  <c r="AS80"/>
  <c r="AS81"/>
  <c r="AN18"/>
  <c r="AN6"/>
  <c r="AN7"/>
  <c r="AN9"/>
  <c r="AN10"/>
  <c r="AN11"/>
  <c r="AN12"/>
  <c r="AN13"/>
  <c r="AN14"/>
  <c r="AN15"/>
  <c r="AN16"/>
  <c r="AR82"/>
  <c r="AK44" i="460"/>
  <c r="Z12" i="459"/>
  <c r="J5" i="455"/>
  <c r="N5" s="1"/>
  <c r="Z6" i="458"/>
  <c r="AD6" s="1"/>
  <c r="AE6" s="1"/>
  <c r="Z16"/>
  <c r="M7" i="456"/>
  <c r="O7" s="1"/>
  <c r="J16" i="455"/>
  <c r="J6"/>
  <c r="N6" s="1"/>
  <c r="J12"/>
  <c r="AA11" i="454"/>
  <c r="AB11" s="1"/>
  <c r="AC11" s="1"/>
  <c r="J8" i="455"/>
  <c r="N7" s="1"/>
  <c r="O7" s="1"/>
  <c r="J18"/>
  <c r="Z16" i="459"/>
  <c r="AD13"/>
  <c r="AE13" s="1"/>
  <c r="Z5"/>
  <c r="AD5" s="1"/>
  <c r="AE5" s="1"/>
  <c r="Z18"/>
  <c r="Z6"/>
  <c r="AD6" s="1"/>
  <c r="Z8"/>
  <c r="AD7" s="1"/>
  <c r="M5" i="456"/>
  <c r="N5"/>
  <c r="N12" s="1"/>
  <c r="AD7" i="458"/>
  <c r="Z30"/>
  <c r="N10" i="456"/>
  <c r="Z18" i="458"/>
  <c r="Z5"/>
  <c r="AD5" s="1"/>
  <c r="M6" i="456"/>
  <c r="N13" i="455"/>
  <c r="O13" s="1"/>
  <c r="AA10" i="454"/>
  <c r="AB10" s="1"/>
  <c r="AC10" s="1"/>
  <c r="AA6"/>
  <c r="AB6" s="1"/>
  <c r="AC6" s="1"/>
  <c r="AA7"/>
  <c r="AB7" s="1"/>
  <c r="AC7" s="1"/>
  <c r="AA8"/>
  <c r="AB8" s="1"/>
  <c r="AC8" s="1"/>
  <c r="AA5"/>
  <c r="AB5" s="1"/>
  <c r="AC5" s="1"/>
  <c r="AA9"/>
  <c r="AB9" s="1"/>
  <c r="AC9" s="1"/>
  <c r="Z12" i="458"/>
  <c r="N9" i="451"/>
  <c r="J9"/>
  <c r="K18"/>
  <c r="M9"/>
  <c r="J18"/>
  <c r="L9"/>
  <c r="K9"/>
  <c r="N11"/>
  <c r="J11"/>
  <c r="M11"/>
  <c r="L11"/>
  <c r="K11"/>
  <c r="L10"/>
  <c r="K10"/>
  <c r="N10"/>
  <c r="J10"/>
  <c r="M10"/>
  <c r="K16"/>
  <c r="L12"/>
  <c r="K12"/>
  <c r="N12"/>
  <c r="J12"/>
  <c r="M12"/>
  <c r="F19" i="450" a="1"/>
  <c r="F19" s="1"/>
  <c r="G19" a="1"/>
  <c r="G19" s="1"/>
  <c r="H19" a="1"/>
  <c r="H19" s="1"/>
  <c r="O9" i="449"/>
  <c r="O7" l="1"/>
  <c r="P7"/>
  <c r="P8" s="1"/>
  <c r="Q8" s="1"/>
  <c r="Q5"/>
  <c r="Q6"/>
  <c r="L16" i="461"/>
  <c r="H6" i="450" a="1"/>
  <c r="H6" s="1"/>
  <c r="F6" a="1"/>
  <c r="F6" s="1"/>
  <c r="G6" a="1"/>
  <c r="G6" s="1"/>
  <c r="T14" i="461"/>
  <c r="T15"/>
  <c r="T16" s="1"/>
  <c r="T8"/>
  <c r="T10" s="1"/>
  <c r="T12" s="1"/>
  <c r="O6"/>
  <c r="O16" s="1"/>
  <c r="T18" s="1"/>
  <c r="T20" s="1"/>
  <c r="T22" s="1"/>
  <c r="AI9"/>
  <c r="G5" i="450" a="1"/>
  <c r="G5" s="1"/>
  <c r="H5" a="1"/>
  <c r="H5" s="1"/>
  <c r="F5" a="1"/>
  <c r="F5" s="1"/>
  <c r="H12" a="1"/>
  <c r="H12" s="1"/>
  <c r="F12" a="1"/>
  <c r="F12" s="1"/>
  <c r="G12" a="1"/>
  <c r="G12" s="1"/>
  <c r="G11" a="1"/>
  <c r="G11" s="1"/>
  <c r="H11" a="1"/>
  <c r="H11" s="1"/>
  <c r="F11" a="1"/>
  <c r="F11" s="1"/>
  <c r="AJ9" i="461"/>
  <c r="AP8" i="463"/>
  <c r="AP16"/>
  <c r="AT83"/>
  <c r="AP14"/>
  <c r="AP10"/>
  <c r="AP6"/>
  <c r="AP12"/>
  <c r="AP15"/>
  <c r="AP11"/>
  <c r="AP7"/>
  <c r="AT80"/>
  <c r="AT76"/>
  <c r="AT72"/>
  <c r="AT79"/>
  <c r="AT75"/>
  <c r="AT82"/>
  <c r="AP13"/>
  <c r="AP9"/>
  <c r="AP18"/>
  <c r="AT78"/>
  <c r="AT74"/>
  <c r="AT71"/>
  <c r="AT81"/>
  <c r="AT77"/>
  <c r="AT73"/>
  <c r="AP17"/>
  <c r="O5" i="455"/>
  <c r="N9"/>
  <c r="O9" s="1"/>
  <c r="AD8" i="458"/>
  <c r="AE8" s="1"/>
  <c r="AD10"/>
  <c r="AE10" s="1"/>
  <c r="N9" i="456"/>
  <c r="N11" i="455"/>
  <c r="O11" s="1"/>
  <c r="AD9" i="458"/>
  <c r="AE9" s="1"/>
  <c r="N12" i="455"/>
  <c r="O12" s="1"/>
  <c r="N10"/>
  <c r="O10" s="1"/>
  <c r="O6"/>
  <c r="N8"/>
  <c r="O8" s="1"/>
  <c r="AD11" i="459"/>
  <c r="AE11" s="1"/>
  <c r="AD9"/>
  <c r="AE9" s="1"/>
  <c r="AD10"/>
  <c r="AE10" s="1"/>
  <c r="AE7"/>
  <c r="AD12"/>
  <c r="AE12" s="1"/>
  <c r="AF5" s="1"/>
  <c r="AG5" s="1"/>
  <c r="AH5" s="1"/>
  <c r="AD8"/>
  <c r="AE8" s="1"/>
  <c r="AE6"/>
  <c r="O6" i="456"/>
  <c r="M10"/>
  <c r="AE7" i="458"/>
  <c r="N11" i="456"/>
  <c r="O5"/>
  <c r="M9"/>
  <c r="M8"/>
  <c r="N8"/>
  <c r="AE5" i="458"/>
  <c r="AD12"/>
  <c r="AE12" s="1"/>
  <c r="AD11"/>
  <c r="AE11" s="1"/>
  <c r="K17" i="451"/>
  <c r="O16" s="1"/>
  <c r="L18"/>
  <c r="J17"/>
  <c r="F18" i="450" a="1"/>
  <c r="F18" s="1"/>
  <c r="I18" a="1"/>
  <c r="I18" s="1"/>
  <c r="H18" a="1"/>
  <c r="H18" s="1"/>
  <c r="G18" a="1"/>
  <c r="G18" s="1"/>
  <c r="I17" a="1"/>
  <c r="I17" s="1"/>
  <c r="F17" a="1"/>
  <c r="F17" s="1"/>
  <c r="G17" a="1"/>
  <c r="G17" s="1"/>
  <c r="H17" a="1"/>
  <c r="H17" s="1"/>
  <c r="L19" i="448" a="1"/>
  <c r="L19" s="1"/>
  <c r="M19" a="1"/>
  <c r="M19" s="1"/>
  <c r="K19" a="1"/>
  <c r="K19" s="1"/>
  <c r="K18" a="1"/>
  <c r="K18" s="1"/>
  <c r="N19"/>
  <c r="S9" s="1"/>
  <c r="X40" i="179" a="1"/>
  <c r="Y41" s="1"/>
  <c r="F3" i="450" l="1"/>
  <c r="R5" i="449"/>
  <c r="S5" s="1"/>
  <c r="T5" s="1"/>
  <c r="Q7"/>
  <c r="R7" s="1"/>
  <c r="S7" s="1"/>
  <c r="T7" s="1"/>
  <c r="R6"/>
  <c r="S6" s="1"/>
  <c r="T6" s="1"/>
  <c r="H13" i="450" a="1"/>
  <c r="H13" s="1"/>
  <c r="G13" a="1"/>
  <c r="G13" s="1"/>
  <c r="I12" a="1"/>
  <c r="I12" s="1"/>
  <c r="G7" a="1"/>
  <c r="G7" s="1"/>
  <c r="I6" a="1"/>
  <c r="I6" s="1"/>
  <c r="L6" i="448" a="1"/>
  <c r="L6" s="1"/>
  <c r="M6" a="1"/>
  <c r="M6" s="1"/>
  <c r="K6" a="1"/>
  <c r="K6" s="1"/>
  <c r="I5" i="450" a="1"/>
  <c r="I5" s="1"/>
  <c r="F7" a="1"/>
  <c r="F7" s="1"/>
  <c r="L12" i="448" a="1"/>
  <c r="M12" a="1"/>
  <c r="M12" s="1"/>
  <c r="K12" a="1"/>
  <c r="K12" s="1"/>
  <c r="I11" i="450" a="1"/>
  <c r="I11" s="1"/>
  <c r="F13" a="1"/>
  <c r="F13" s="1"/>
  <c r="K5" i="448" a="1"/>
  <c r="K5" s="1"/>
  <c r="M5" a="1"/>
  <c r="M5" s="1"/>
  <c r="L5" a="1"/>
  <c r="L5" s="1"/>
  <c r="AI10" i="461"/>
  <c r="K11" i="448" a="1"/>
  <c r="K11" s="1"/>
  <c r="M11" a="1"/>
  <c r="M11" s="1"/>
  <c r="L11" a="1"/>
  <c r="L11" s="1"/>
  <c r="H7" i="450" a="1"/>
  <c r="H7" s="1"/>
  <c r="AJ10" i="461"/>
  <c r="AP19" i="463"/>
  <c r="AT84"/>
  <c r="AF9" i="458"/>
  <c r="AG9" s="1"/>
  <c r="AH9" s="1"/>
  <c r="O8" i="456"/>
  <c r="P5" i="455"/>
  <c r="Q5" s="1"/>
  <c r="R5" s="1"/>
  <c r="O9" i="456"/>
  <c r="P9" i="455"/>
  <c r="Q9" s="1"/>
  <c r="R9" s="1"/>
  <c r="P10"/>
  <c r="Q10" s="1"/>
  <c r="R10" s="1"/>
  <c r="P8"/>
  <c r="Q8" s="1"/>
  <c r="R8" s="1"/>
  <c r="P6"/>
  <c r="Q6" s="1"/>
  <c r="R6" s="1"/>
  <c r="P11"/>
  <c r="Q11" s="1"/>
  <c r="R11" s="1"/>
  <c r="P7"/>
  <c r="Q7" s="1"/>
  <c r="R7" s="1"/>
  <c r="AF6" i="459"/>
  <c r="AG6" s="1"/>
  <c r="AH6" s="1"/>
  <c r="AF10"/>
  <c r="AG10" s="1"/>
  <c r="AH10" s="1"/>
  <c r="AF8"/>
  <c r="AG8" s="1"/>
  <c r="AH8" s="1"/>
  <c r="AF9"/>
  <c r="AG9" s="1"/>
  <c r="AH9" s="1"/>
  <c r="AF11"/>
  <c r="AG11" s="1"/>
  <c r="AH11" s="1"/>
  <c r="AF7"/>
  <c r="AG7" s="1"/>
  <c r="AH7" s="1"/>
  <c r="O10" i="456"/>
  <c r="M11"/>
  <c r="AF8" i="458"/>
  <c r="AG8" s="1"/>
  <c r="AH8" s="1"/>
  <c r="AF10"/>
  <c r="AG10" s="1"/>
  <c r="AH10" s="1"/>
  <c r="AF5"/>
  <c r="AG5" s="1"/>
  <c r="AH5" s="1"/>
  <c r="AF6"/>
  <c r="AG6" s="1"/>
  <c r="AH6" s="1"/>
  <c r="AF7"/>
  <c r="AG7" s="1"/>
  <c r="AH7" s="1"/>
  <c r="AF11"/>
  <c r="AG11" s="1"/>
  <c r="AH11" s="1"/>
  <c r="L17" i="451"/>
  <c r="O12" s="1"/>
  <c r="J16"/>
  <c r="L16" s="1"/>
  <c r="L17" i="448" a="1"/>
  <c r="L17" s="1"/>
  <c r="N17" a="1"/>
  <c r="N17" s="1"/>
  <c r="N18" a="1"/>
  <c r="N18" s="1"/>
  <c r="L8" i="450"/>
  <c r="M18" i="448" a="1"/>
  <c r="M18" s="1"/>
  <c r="L18" a="1"/>
  <c r="L18" s="1"/>
  <c r="L12"/>
  <c r="K17" a="1"/>
  <c r="K17" s="1"/>
  <c r="M17" a="1"/>
  <c r="M17" s="1"/>
  <c r="X43" i="179"/>
  <c r="X41"/>
  <c r="Y44"/>
  <c r="Y42"/>
  <c r="Y40"/>
  <c r="X44"/>
  <c r="X42"/>
  <c r="X40"/>
  <c r="Y43"/>
  <c r="K3" i="448" l="1"/>
  <c r="L7" a="1"/>
  <c r="L7" s="1"/>
  <c r="I13" i="450" a="1"/>
  <c r="I13" s="1"/>
  <c r="M7" i="448" a="1"/>
  <c r="M7" s="1"/>
  <c r="N6" a="1"/>
  <c r="N6" s="1"/>
  <c r="N12" a="1"/>
  <c r="N12" s="1"/>
  <c r="L13" a="1"/>
  <c r="L13" s="1"/>
  <c r="K13" a="1"/>
  <c r="K13" s="1"/>
  <c r="N11" a="1"/>
  <c r="N11" s="1"/>
  <c r="M13" a="1"/>
  <c r="M13" s="1"/>
  <c r="I7" i="450" a="1"/>
  <c r="I7" s="1"/>
  <c r="M9" s="1"/>
  <c r="L9" s="1"/>
  <c r="AI11" i="461"/>
  <c r="AJ11"/>
  <c r="K7" i="448" a="1"/>
  <c r="K7" s="1"/>
  <c r="N5" a="1"/>
  <c r="N5" s="1"/>
  <c r="M12" i="456"/>
  <c r="O12" s="1"/>
  <c r="P10" s="1"/>
  <c r="Q10" s="1"/>
  <c r="R10" s="1"/>
  <c r="O11"/>
  <c r="O9" i="451"/>
  <c r="Q9" s="1"/>
  <c r="O10"/>
  <c r="Q10" s="1"/>
  <c r="P16"/>
  <c r="M16"/>
  <c r="N16" s="1"/>
  <c r="O11"/>
  <c r="P11" s="1"/>
  <c r="Q16"/>
  <c r="Q12"/>
  <c r="P12"/>
  <c r="M6" i="450"/>
  <c r="L6"/>
  <c r="M5"/>
  <c r="L5"/>
  <c r="G12" i="447"/>
  <c r="G11"/>
  <c r="N13" i="448" l="1" a="1"/>
  <c r="N13" s="1"/>
  <c r="N7" a="1"/>
  <c r="N7" s="1"/>
  <c r="R9" s="1"/>
  <c r="AJ12" i="461"/>
  <c r="AI12"/>
  <c r="P11" i="456"/>
  <c r="Q11" s="1"/>
  <c r="R11" s="1"/>
  <c r="P7"/>
  <c r="Q7" s="1"/>
  <c r="R7" s="1"/>
  <c r="P9"/>
  <c r="Q9" s="1"/>
  <c r="R9" s="1"/>
  <c r="P6"/>
  <c r="Q6" s="1"/>
  <c r="R6" s="1"/>
  <c r="P8"/>
  <c r="Q8" s="1"/>
  <c r="R8" s="1"/>
  <c r="P5"/>
  <c r="Q5" s="1"/>
  <c r="R5" s="1"/>
  <c r="Q11" i="451"/>
  <c r="P9"/>
  <c r="P10"/>
  <c r="N6" i="450"/>
  <c r="N5"/>
  <c r="L7"/>
  <c r="M7"/>
  <c r="M8" s="1"/>
  <c r="N8" s="1"/>
  <c r="R5" i="448"/>
  <c r="S5" s="1"/>
  <c r="R6"/>
  <c r="O24" i="447"/>
  <c r="O23"/>
  <c r="K24"/>
  <c r="K23"/>
  <c r="G24"/>
  <c r="O12"/>
  <c r="K12"/>
  <c r="G23"/>
  <c r="P21"/>
  <c r="O21"/>
  <c r="L21"/>
  <c r="K21"/>
  <c r="H21"/>
  <c r="G21"/>
  <c r="O11"/>
  <c r="P9"/>
  <c r="O9"/>
  <c r="K11"/>
  <c r="L9"/>
  <c r="K9"/>
  <c r="H9"/>
  <c r="G9"/>
  <c r="B24"/>
  <c r="B25"/>
  <c r="B23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I13" i="461" l="1"/>
  <c r="AJ13"/>
  <c r="O5" i="450"/>
  <c r="P5" s="1"/>
  <c r="Q5" s="1"/>
  <c r="N7"/>
  <c r="O7" s="1"/>
  <c r="P7" s="1"/>
  <c r="Q7" s="1"/>
  <c r="O6"/>
  <c r="P6" s="1"/>
  <c r="Q6" s="1"/>
  <c r="R7" i="448"/>
  <c r="S7" s="1"/>
  <c r="S6"/>
  <c r="Q9"/>
  <c r="I32" i="442"/>
  <c r="H32"/>
  <c r="G32"/>
  <c r="F32"/>
  <c r="I31"/>
  <c r="H31"/>
  <c r="G31"/>
  <c r="F31"/>
  <c r="D35"/>
  <c r="C35"/>
  <c r="I30"/>
  <c r="H30"/>
  <c r="G30"/>
  <c r="F30"/>
  <c r="I29"/>
  <c r="H29"/>
  <c r="G29"/>
  <c r="F29"/>
  <c r="G28"/>
  <c r="I27"/>
  <c r="H27"/>
  <c r="G27"/>
  <c r="F27"/>
  <c r="I26"/>
  <c r="H26"/>
  <c r="G26"/>
  <c r="F26"/>
  <c r="I25"/>
  <c r="H25"/>
  <c r="G25"/>
  <c r="F25"/>
  <c r="I24"/>
  <c r="H24"/>
  <c r="G24"/>
  <c r="F24"/>
  <c r="G23"/>
  <c r="I22"/>
  <c r="H22"/>
  <c r="G22"/>
  <c r="F22"/>
  <c r="I15"/>
  <c r="H15"/>
  <c r="G15"/>
  <c r="F15"/>
  <c r="I14"/>
  <c r="H14"/>
  <c r="G14"/>
  <c r="F14"/>
  <c r="D16"/>
  <c r="C16"/>
  <c r="I13"/>
  <c r="H13"/>
  <c r="G13"/>
  <c r="F13"/>
  <c r="I12"/>
  <c r="H12"/>
  <c r="G12"/>
  <c r="F12"/>
  <c r="I11"/>
  <c r="H11"/>
  <c r="G11"/>
  <c r="F11"/>
  <c r="I10"/>
  <c r="I28" s="1"/>
  <c r="H10"/>
  <c r="G10"/>
  <c r="F10"/>
  <c r="I9"/>
  <c r="H9"/>
  <c r="G9"/>
  <c r="F9"/>
  <c r="I8"/>
  <c r="H8"/>
  <c r="G8"/>
  <c r="F8"/>
  <c r="I7"/>
  <c r="H7"/>
  <c r="G7"/>
  <c r="F7"/>
  <c r="I6"/>
  <c r="H6"/>
  <c r="G6"/>
  <c r="F6"/>
  <c r="I5"/>
  <c r="H5"/>
  <c r="G5"/>
  <c r="F5"/>
  <c r="I4"/>
  <c r="H4"/>
  <c r="G4"/>
  <c r="F4"/>
  <c r="I3"/>
  <c r="H3"/>
  <c r="G3"/>
  <c r="F3"/>
  <c r="I23" l="1"/>
  <c r="H28"/>
  <c r="J28" s="1"/>
  <c r="J27"/>
  <c r="J30"/>
  <c r="Q13"/>
  <c r="I33"/>
  <c r="J31"/>
  <c r="AJ14" i="461"/>
  <c r="Q30" i="442"/>
  <c r="J4"/>
  <c r="H23"/>
  <c r="AI14" i="461"/>
  <c r="R8" i="448"/>
  <c r="S8" s="1"/>
  <c r="T5" s="1"/>
  <c r="U5" s="1"/>
  <c r="V5" s="1"/>
  <c r="J24" i="442"/>
  <c r="J26"/>
  <c r="J29"/>
  <c r="J32"/>
  <c r="J25"/>
  <c r="J5"/>
  <c r="J9"/>
  <c r="J12"/>
  <c r="I16"/>
  <c r="J6"/>
  <c r="H16"/>
  <c r="J11"/>
  <c r="J8"/>
  <c r="J14"/>
  <c r="J7"/>
  <c r="J10"/>
  <c r="J13"/>
  <c r="J15"/>
  <c r="AT9" i="251"/>
  <c r="AT7" s="1"/>
  <c r="AI6" a="1"/>
  <c r="AI6" s="1"/>
  <c r="AH5"/>
  <c r="AH6"/>
  <c r="AH7"/>
  <c r="AH8"/>
  <c r="AH9"/>
  <c r="AH10"/>
  <c r="AH11"/>
  <c r="AH12"/>
  <c r="AH13"/>
  <c r="AH14"/>
  <c r="AH15"/>
  <c r="AH16"/>
  <c r="AF6"/>
  <c r="AG6"/>
  <c r="AF7"/>
  <c r="AG7"/>
  <c r="AF8"/>
  <c r="AG8"/>
  <c r="AF9"/>
  <c r="AG9"/>
  <c r="AF10"/>
  <c r="AG10"/>
  <c r="AF11"/>
  <c r="AG11"/>
  <c r="AF12"/>
  <c r="AG12"/>
  <c r="AF13"/>
  <c r="AG13"/>
  <c r="AF14"/>
  <c r="AG14"/>
  <c r="AF15"/>
  <c r="AG15"/>
  <c r="AF16"/>
  <c r="AG16"/>
  <c r="AG5"/>
  <c r="AF5"/>
  <c r="AE7"/>
  <c r="AE8" s="1"/>
  <c r="AE9" s="1"/>
  <c r="AE10" s="1"/>
  <c r="AE11" s="1"/>
  <c r="AE12" s="1"/>
  <c r="AE13" s="1"/>
  <c r="AE14" s="1"/>
  <c r="AE15" s="1"/>
  <c r="AE16" s="1"/>
  <c r="H4" i="440"/>
  <c r="A5"/>
  <c r="A6" s="1"/>
  <c r="AJ17"/>
  <c r="AJ4"/>
  <c r="AJ8" s="1"/>
  <c r="AG8" s="1"/>
  <c r="AF25"/>
  <c r="AE25"/>
  <c r="AD25"/>
  <c r="AC25"/>
  <c r="AB25"/>
  <c r="AA25"/>
  <c r="Z25"/>
  <c r="Y25"/>
  <c r="X25"/>
  <c r="W25"/>
  <c r="V25"/>
  <c r="U18"/>
  <c r="W16"/>
  <c r="X16" s="1"/>
  <c r="Y16" s="1"/>
  <c r="Z16" s="1"/>
  <c r="AA16" s="1"/>
  <c r="AB16" s="1"/>
  <c r="AC16" s="1"/>
  <c r="AD16" s="1"/>
  <c r="AE16" s="1"/>
  <c r="AF16" s="1"/>
  <c r="N54"/>
  <c r="O54"/>
  <c r="M54"/>
  <c r="S4"/>
  <c r="S6"/>
  <c r="W12"/>
  <c r="X12"/>
  <c r="Y12"/>
  <c r="Z12"/>
  <c r="AA12"/>
  <c r="AB12"/>
  <c r="AC12"/>
  <c r="AD12"/>
  <c r="AE12"/>
  <c r="AF12"/>
  <c r="V12"/>
  <c r="U5"/>
  <c r="U6" s="1"/>
  <c r="U7" s="1"/>
  <c r="U8" s="1"/>
  <c r="U9" s="1"/>
  <c r="U10" s="1"/>
  <c r="U11" s="1"/>
  <c r="W3"/>
  <c r="X3" s="1"/>
  <c r="Y3" s="1"/>
  <c r="Z3" s="1"/>
  <c r="AA3" s="1"/>
  <c r="AB3" s="1"/>
  <c r="AC3" s="1"/>
  <c r="AD3" s="1"/>
  <c r="AE3" s="1"/>
  <c r="AF3" s="1"/>
  <c r="L5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J23" i="442" l="1"/>
  <c r="J33" s="1"/>
  <c r="H33"/>
  <c r="AG7" i="440"/>
  <c r="AG10"/>
  <c r="AJ6" i="251"/>
  <c r="AG5" i="440"/>
  <c r="K25" i="442"/>
  <c r="M25" s="1"/>
  <c r="K10"/>
  <c r="K7"/>
  <c r="L7" s="1"/>
  <c r="K5"/>
  <c r="M5" s="1"/>
  <c r="K8"/>
  <c r="L8" s="1"/>
  <c r="K4"/>
  <c r="L4" s="1"/>
  <c r="K15"/>
  <c r="L15" s="1"/>
  <c r="K11"/>
  <c r="L11" s="1"/>
  <c r="K12"/>
  <c r="M12" s="1"/>
  <c r="K14"/>
  <c r="L14" s="1"/>
  <c r="K31"/>
  <c r="L31" s="1"/>
  <c r="K6"/>
  <c r="L6" s="1"/>
  <c r="K27"/>
  <c r="K9"/>
  <c r="L9" s="1"/>
  <c r="K24"/>
  <c r="M24" s="1"/>
  <c r="K13"/>
  <c r="L13" s="1"/>
  <c r="A7" i="440"/>
  <c r="A8" s="1"/>
  <c r="A9" s="1"/>
  <c r="A10" s="1"/>
  <c r="A11" s="1"/>
  <c r="A12" s="1"/>
  <c r="A13" s="1"/>
  <c r="A14" s="1"/>
  <c r="A15" s="1"/>
  <c r="AJ5"/>
  <c r="AJ7" s="1"/>
  <c r="X26" s="1"/>
  <c r="AJ6"/>
  <c r="AG11"/>
  <c r="AG6"/>
  <c r="U19"/>
  <c r="U20" s="1"/>
  <c r="U21" s="1"/>
  <c r="U22" s="1"/>
  <c r="U23" s="1"/>
  <c r="U24" s="1"/>
  <c r="AI15" i="461"/>
  <c r="AJ15"/>
  <c r="AJ16" s="1"/>
  <c r="AL14" s="1"/>
  <c r="K32" i="442"/>
  <c r="M32" s="1"/>
  <c r="K26"/>
  <c r="M26" s="1"/>
  <c r="S8" i="440"/>
  <c r="P5" s="1"/>
  <c r="S5"/>
  <c r="S7" s="1"/>
  <c r="AG9"/>
  <c r="K29" i="442"/>
  <c r="M29" s="1"/>
  <c r="K30"/>
  <c r="T7" i="448"/>
  <c r="U7" s="1"/>
  <c r="V7" s="1"/>
  <c r="T6"/>
  <c r="U6" s="1"/>
  <c r="V6" s="1"/>
  <c r="J16" i="442"/>
  <c r="AI13" i="251"/>
  <c r="AJ13" s="1"/>
  <c r="AI9"/>
  <c r="AJ9" s="1"/>
  <c r="AI16"/>
  <c r="AJ16" s="1"/>
  <c r="AI12"/>
  <c r="AJ12" s="1"/>
  <c r="AI8"/>
  <c r="AJ8" s="1"/>
  <c r="AI15"/>
  <c r="AJ15" s="1"/>
  <c r="AI11"/>
  <c r="AJ11" s="1"/>
  <c r="AI7"/>
  <c r="AJ7" s="1"/>
  <c r="AI14"/>
  <c r="AJ14" s="1"/>
  <c r="AI10"/>
  <c r="AJ10" s="1"/>
  <c r="AG4" i="440"/>
  <c r="J8" i="424"/>
  <c r="I8"/>
  <c r="H8"/>
  <c r="L8" s="1"/>
  <c r="F8"/>
  <c r="J7"/>
  <c r="I7"/>
  <c r="H7"/>
  <c r="L7" s="1"/>
  <c r="F7"/>
  <c r="J6"/>
  <c r="I6"/>
  <c r="H6"/>
  <c r="L6" s="1"/>
  <c r="F6"/>
  <c r="J5"/>
  <c r="I5"/>
  <c r="H5"/>
  <c r="L5" s="1"/>
  <c r="F5"/>
  <c r="T8" i="423"/>
  <c r="S8"/>
  <c r="U8" s="1"/>
  <c r="R8"/>
  <c r="V8" s="1"/>
  <c r="P8"/>
  <c r="T7"/>
  <c r="S7"/>
  <c r="U7" s="1"/>
  <c r="R7"/>
  <c r="V7" s="1"/>
  <c r="P7"/>
  <c r="T6"/>
  <c r="S6"/>
  <c r="U6" s="1"/>
  <c r="R6"/>
  <c r="V6" s="1"/>
  <c r="P6"/>
  <c r="T5"/>
  <c r="S5"/>
  <c r="S9" s="1"/>
  <c r="R12" s="1"/>
  <c r="R5"/>
  <c r="V5" s="1"/>
  <c r="P5"/>
  <c r="J8" i="404"/>
  <c r="I8"/>
  <c r="K8" s="1"/>
  <c r="H8"/>
  <c r="L8" s="1"/>
  <c r="F8"/>
  <c r="J7"/>
  <c r="I7"/>
  <c r="K7" s="1"/>
  <c r="H7"/>
  <c r="L7" s="1"/>
  <c r="F7"/>
  <c r="J6"/>
  <c r="I6"/>
  <c r="K6" s="1"/>
  <c r="H6"/>
  <c r="L6" s="1"/>
  <c r="F6"/>
  <c r="J5"/>
  <c r="J9" s="1"/>
  <c r="I5"/>
  <c r="K5" s="1"/>
  <c r="H5"/>
  <c r="L5" s="1"/>
  <c r="F5"/>
  <c r="Y44" i="431" a="1"/>
  <c r="Y44" s="1"/>
  <c r="Y20" a="1"/>
  <c r="Y20" s="1"/>
  <c r="I52" a="1"/>
  <c r="I52" s="1"/>
  <c r="E37"/>
  <c r="F37"/>
  <c r="G37"/>
  <c r="E38"/>
  <c r="F38"/>
  <c r="G38"/>
  <c r="E39"/>
  <c r="F39"/>
  <c r="G39"/>
  <c r="E40"/>
  <c r="F40"/>
  <c r="G40"/>
  <c r="E41"/>
  <c r="F41"/>
  <c r="G41"/>
  <c r="E42"/>
  <c r="F42"/>
  <c r="G42"/>
  <c r="E43"/>
  <c r="F43"/>
  <c r="G43"/>
  <c r="E44"/>
  <c r="F44"/>
  <c r="G44"/>
  <c r="E45"/>
  <c r="F45"/>
  <c r="G45"/>
  <c r="E46"/>
  <c r="F46"/>
  <c r="G46"/>
  <c r="F36"/>
  <c r="G36"/>
  <c r="E36"/>
  <c r="Y8" a="1"/>
  <c r="Y8" s="1"/>
  <c r="I26"/>
  <c r="R7" a="1"/>
  <c r="S7" s="1"/>
  <c r="G7"/>
  <c r="G8"/>
  <c r="G9"/>
  <c r="G10"/>
  <c r="G11"/>
  <c r="G12"/>
  <c r="G13"/>
  <c r="G14"/>
  <c r="G15"/>
  <c r="G16"/>
  <c r="G6"/>
  <c r="E7"/>
  <c r="F7"/>
  <c r="E8"/>
  <c r="F8"/>
  <c r="E9"/>
  <c r="F9"/>
  <c r="E10"/>
  <c r="F10"/>
  <c r="E11"/>
  <c r="F11"/>
  <c r="E12"/>
  <c r="F12"/>
  <c r="E13"/>
  <c r="F13"/>
  <c r="E14"/>
  <c r="F14"/>
  <c r="E15"/>
  <c r="F15"/>
  <c r="E16"/>
  <c r="F16"/>
  <c r="F6"/>
  <c r="E6"/>
  <c r="I22" a="1"/>
  <c r="I22" s="1"/>
  <c r="I27" s="1"/>
  <c r="E20" i="427" a="1"/>
  <c r="E21" s="1"/>
  <c r="G16"/>
  <c r="F14"/>
  <c r="F10"/>
  <c r="F16" s="1"/>
  <c r="P45" i="440" l="1"/>
  <c r="P22"/>
  <c r="P29"/>
  <c r="P38"/>
  <c r="M10" i="442"/>
  <c r="K28"/>
  <c r="J16" i="431"/>
  <c r="P13" i="440"/>
  <c r="P6"/>
  <c r="L25" i="442"/>
  <c r="N25" s="1"/>
  <c r="L12"/>
  <c r="N12" s="1"/>
  <c r="J46" i="431"/>
  <c r="AB13" i="440"/>
  <c r="S9" i="431"/>
  <c r="AC26" i="440"/>
  <c r="T10" i="431"/>
  <c r="AA13" i="440"/>
  <c r="F15" i="427"/>
  <c r="R8" i="431"/>
  <c r="L10" i="442"/>
  <c r="M13"/>
  <c r="N13" s="1"/>
  <c r="M11"/>
  <c r="N11" s="1"/>
  <c r="M6"/>
  <c r="N6" s="1"/>
  <c r="M7"/>
  <c r="N7" s="1"/>
  <c r="L5"/>
  <c r="N5" s="1"/>
  <c r="L32"/>
  <c r="N32" s="1"/>
  <c r="M8"/>
  <c r="N8" s="1"/>
  <c r="K23"/>
  <c r="L23" s="1"/>
  <c r="M9"/>
  <c r="N9" s="1"/>
  <c r="M15"/>
  <c r="M4"/>
  <c r="N4" s="1"/>
  <c r="L26"/>
  <c r="N26" s="1"/>
  <c r="M31"/>
  <c r="N31" s="1"/>
  <c r="M14"/>
  <c r="N14" s="1"/>
  <c r="L24"/>
  <c r="N24" s="1"/>
  <c r="M27"/>
  <c r="L27"/>
  <c r="L29"/>
  <c r="N29" s="1"/>
  <c r="AT6" i="251"/>
  <c r="AT8" s="1"/>
  <c r="AL6" s="1"/>
  <c r="N55" i="440"/>
  <c r="M55"/>
  <c r="O55"/>
  <c r="P20"/>
  <c r="P7"/>
  <c r="P23"/>
  <c r="P39"/>
  <c r="P32"/>
  <c r="AE26"/>
  <c r="Z26"/>
  <c r="Z13"/>
  <c r="Y13"/>
  <c r="T9" i="431"/>
  <c r="R7"/>
  <c r="AE13" i="440"/>
  <c r="Y26"/>
  <c r="AF13"/>
  <c r="P17"/>
  <c r="P33"/>
  <c r="P49"/>
  <c r="P10"/>
  <c r="P26"/>
  <c r="P42"/>
  <c r="P4"/>
  <c r="P28"/>
  <c r="AL15" i="461"/>
  <c r="AL16"/>
  <c r="AL6"/>
  <c r="AL7"/>
  <c r="AL8"/>
  <c r="AL9"/>
  <c r="AL10"/>
  <c r="AL11"/>
  <c r="AL12"/>
  <c r="AL13"/>
  <c r="P11" i="440"/>
  <c r="P27"/>
  <c r="P43"/>
  <c r="P40"/>
  <c r="AD13"/>
  <c r="AJ18"/>
  <c r="AC13"/>
  <c r="K48" i="431"/>
  <c r="T9" i="423"/>
  <c r="W26" i="440"/>
  <c r="AD26"/>
  <c r="AJ9"/>
  <c r="P21"/>
  <c r="P37"/>
  <c r="P53"/>
  <c r="P14"/>
  <c r="P30"/>
  <c r="P46"/>
  <c r="P8"/>
  <c r="P36"/>
  <c r="AF26"/>
  <c r="P15"/>
  <c r="P31"/>
  <c r="P47"/>
  <c r="P16"/>
  <c r="P44"/>
  <c r="H5"/>
  <c r="V13"/>
  <c r="E20" i="427"/>
  <c r="R11" i="431"/>
  <c r="S8"/>
  <c r="W13" i="440"/>
  <c r="V26"/>
  <c r="X13"/>
  <c r="M30" i="442"/>
  <c r="L30"/>
  <c r="P9" i="440"/>
  <c r="P25"/>
  <c r="P41"/>
  <c r="P18"/>
  <c r="P34"/>
  <c r="P50"/>
  <c r="P12"/>
  <c r="P48"/>
  <c r="AI16" i="461"/>
  <c r="AB26" i="440"/>
  <c r="P19"/>
  <c r="P35"/>
  <c r="P51"/>
  <c r="P24"/>
  <c r="P52"/>
  <c r="AA26"/>
  <c r="AP6" i="251"/>
  <c r="K5" i="424"/>
  <c r="K6"/>
  <c r="K7"/>
  <c r="K8"/>
  <c r="T11" i="431"/>
  <c r="S10"/>
  <c r="R9"/>
  <c r="T7"/>
  <c r="Y45"/>
  <c r="S11"/>
  <c r="R10"/>
  <c r="T8"/>
  <c r="J42"/>
  <c r="J48" s="1"/>
  <c r="J47" s="1"/>
  <c r="Y21"/>
  <c r="L9" i="424"/>
  <c r="V9" i="423"/>
  <c r="U5"/>
  <c r="U9" s="1"/>
  <c r="K9" i="404"/>
  <c r="L9"/>
  <c r="I9"/>
  <c r="H12" s="1"/>
  <c r="I53" i="431"/>
  <c r="K18"/>
  <c r="Y9"/>
  <c r="J12"/>
  <c r="J18" s="1"/>
  <c r="J26"/>
  <c r="J27"/>
  <c r="J28"/>
  <c r="I23"/>
  <c r="I28" s="1"/>
  <c r="B20" i="440" l="1"/>
  <c r="P12" i="423"/>
  <c r="U12" s="1"/>
  <c r="J17" i="431"/>
  <c r="N22" s="1"/>
  <c r="N10" i="442"/>
  <c r="M28"/>
  <c r="L28"/>
  <c r="L33" s="1"/>
  <c r="N15"/>
  <c r="AM12" i="251"/>
  <c r="AN12" s="1"/>
  <c r="AQ12" s="1"/>
  <c r="L16" i="442"/>
  <c r="AM7" i="251"/>
  <c r="AN7" s="1"/>
  <c r="AO7" s="1"/>
  <c r="AM14"/>
  <c r="AN14" s="1"/>
  <c r="AO14" s="1"/>
  <c r="AM9"/>
  <c r="AN9" s="1"/>
  <c r="AO9" s="1"/>
  <c r="AM6"/>
  <c r="AN6" s="1"/>
  <c r="AQ6" s="1"/>
  <c r="AP14"/>
  <c r="AL12"/>
  <c r="AL14"/>
  <c r="AM15"/>
  <c r="AN15" s="1"/>
  <c r="AQ15" s="1"/>
  <c r="AM11"/>
  <c r="AN11" s="1"/>
  <c r="AQ11" s="1"/>
  <c r="AM8"/>
  <c r="AN8" s="1"/>
  <c r="AO8" s="1"/>
  <c r="AM10"/>
  <c r="AN10" s="1"/>
  <c r="AQ10" s="1"/>
  <c r="AM13"/>
  <c r="AN13" s="1"/>
  <c r="AQ13" s="1"/>
  <c r="AM16"/>
  <c r="AN16" s="1"/>
  <c r="AQ16" s="1"/>
  <c r="AL16"/>
  <c r="AL9"/>
  <c r="AL8"/>
  <c r="AL13"/>
  <c r="AL10"/>
  <c r="AP7"/>
  <c r="AP9"/>
  <c r="AP12"/>
  <c r="Y15" i="431"/>
  <c r="AP15" i="251"/>
  <c r="AP11"/>
  <c r="AP8"/>
  <c r="AP10"/>
  <c r="AP13"/>
  <c r="AP16"/>
  <c r="AL11"/>
  <c r="AL15"/>
  <c r="M23" i="442"/>
  <c r="N23" s="1"/>
  <c r="M16"/>
  <c r="N27"/>
  <c r="N30"/>
  <c r="D17" i="440"/>
  <c r="B17"/>
  <c r="B18" s="1"/>
  <c r="H6"/>
  <c r="E17"/>
  <c r="C17"/>
  <c r="AJ19"/>
  <c r="AJ20"/>
  <c r="AK6" i="461"/>
  <c r="AK16"/>
  <c r="AM16" s="1"/>
  <c r="AK7"/>
  <c r="AK8"/>
  <c r="AK9"/>
  <c r="AK10"/>
  <c r="AK11"/>
  <c r="AK12"/>
  <c r="AK13"/>
  <c r="AK14"/>
  <c r="AK15"/>
  <c r="AJ10" i="440"/>
  <c r="AJ11" s="1"/>
  <c r="S9"/>
  <c r="S10"/>
  <c r="AL7" i="251"/>
  <c r="K9" i="424"/>
  <c r="H12" s="1"/>
  <c r="Y14" i="431"/>
  <c r="F12" i="404"/>
  <c r="N52" i="431"/>
  <c r="L52"/>
  <c r="M52" s="1"/>
  <c r="O52"/>
  <c r="L51"/>
  <c r="M51" s="1"/>
  <c r="O51"/>
  <c r="N51"/>
  <c r="O53"/>
  <c r="L53"/>
  <c r="M53" s="1"/>
  <c r="N53"/>
  <c r="J58"/>
  <c r="J56"/>
  <c r="J57"/>
  <c r="L23"/>
  <c r="L21"/>
  <c r="L22"/>
  <c r="K21" i="427"/>
  <c r="H21"/>
  <c r="I21" s="1"/>
  <c r="J21"/>
  <c r="K20"/>
  <c r="H20"/>
  <c r="I20" s="1"/>
  <c r="J20"/>
  <c r="H19"/>
  <c r="I19" s="1"/>
  <c r="K19"/>
  <c r="J19"/>
  <c r="P15" i="426"/>
  <c r="P12" a="1"/>
  <c r="P12" s="1"/>
  <c r="P27" i="89" a="1"/>
  <c r="P27" s="1"/>
  <c r="H23" i="426"/>
  <c r="H22"/>
  <c r="D7"/>
  <c r="D8"/>
  <c r="D9"/>
  <c r="D10"/>
  <c r="D11"/>
  <c r="D12"/>
  <c r="D13"/>
  <c r="D14"/>
  <c r="D15"/>
  <c r="D16"/>
  <c r="D6"/>
  <c r="E16"/>
  <c r="E15"/>
  <c r="E14"/>
  <c r="E13"/>
  <c r="E12"/>
  <c r="E11"/>
  <c r="E10"/>
  <c r="E9"/>
  <c r="E8"/>
  <c r="E7"/>
  <c r="E6"/>
  <c r="Q12" i="423" l="1"/>
  <c r="V12" s="1"/>
  <c r="O22" i="431"/>
  <c r="M22"/>
  <c r="N23"/>
  <c r="N21"/>
  <c r="T12" i="423"/>
  <c r="C20" i="440"/>
  <c r="D20" s="1"/>
  <c r="E20" s="1"/>
  <c r="B19"/>
  <c r="B21" s="1"/>
  <c r="B22" s="1"/>
  <c r="D19"/>
  <c r="D18"/>
  <c r="C19"/>
  <c r="C21" s="1"/>
  <c r="C22" s="1"/>
  <c r="C18"/>
  <c r="H9" s="1"/>
  <c r="E19"/>
  <c r="E18"/>
  <c r="O21" i="431"/>
  <c r="O23"/>
  <c r="M21"/>
  <c r="M23"/>
  <c r="N16" i="442"/>
  <c r="Q12" s="1"/>
  <c r="Q14" s="1"/>
  <c r="Q16" s="1"/>
  <c r="AQ7" i="251"/>
  <c r="AO12"/>
  <c r="N28" i="442"/>
  <c r="N33" s="1"/>
  <c r="Q29" s="1"/>
  <c r="Q31" s="1"/>
  <c r="Q33" s="1"/>
  <c r="AQ14" i="251"/>
  <c r="AQ9"/>
  <c r="AO16"/>
  <c r="AO11"/>
  <c r="AO15"/>
  <c r="AO13"/>
  <c r="AO6"/>
  <c r="AO10"/>
  <c r="AJ21" i="440"/>
  <c r="P7" i="426"/>
  <c r="AQ8" i="251"/>
  <c r="M33" i="442"/>
  <c r="K23" i="426"/>
  <c r="P6"/>
  <c r="AM14" i="461"/>
  <c r="AM11"/>
  <c r="AM7"/>
  <c r="AM13"/>
  <c r="AM9"/>
  <c r="S11" i="440"/>
  <c r="AM10" i="461"/>
  <c r="AM6"/>
  <c r="AM15"/>
  <c r="AM12"/>
  <c r="AM8"/>
  <c r="H7" i="440"/>
  <c r="H8" s="1"/>
  <c r="F12" i="424"/>
  <c r="G12" s="1"/>
  <c r="L12" s="1"/>
  <c r="Y39" i="431"/>
  <c r="Y38"/>
  <c r="G12" i="404"/>
  <c r="L12" s="1"/>
  <c r="J12"/>
  <c r="K12"/>
  <c r="P13" i="426"/>
  <c r="P28" i="89"/>
  <c r="B19" i="426"/>
  <c r="V10" i="387"/>
  <c r="W10"/>
  <c r="U10"/>
  <c r="V8"/>
  <c r="W8"/>
  <c r="U8"/>
  <c r="V7"/>
  <c r="W7"/>
  <c r="U7"/>
  <c r="H16" i="423"/>
  <c r="G16"/>
  <c r="K10"/>
  <c r="J10"/>
  <c r="I10"/>
  <c r="H10"/>
  <c r="G10"/>
  <c r="F10"/>
  <c r="K9"/>
  <c r="J9"/>
  <c r="I9"/>
  <c r="H9"/>
  <c r="G9"/>
  <c r="F9"/>
  <c r="K8"/>
  <c r="J8"/>
  <c r="I8"/>
  <c r="H8"/>
  <c r="G8"/>
  <c r="F8"/>
  <c r="K7"/>
  <c r="J7"/>
  <c r="I7"/>
  <c r="H7"/>
  <c r="G7"/>
  <c r="F7"/>
  <c r="H10" i="440" l="1"/>
  <c r="H11" s="1"/>
  <c r="E21"/>
  <c r="E22" s="1"/>
  <c r="D21"/>
  <c r="D22" s="1"/>
  <c r="X13" i="387"/>
  <c r="X10"/>
  <c r="AM17" i="461"/>
  <c r="G15" i="423"/>
  <c r="G14" s="1"/>
  <c r="J12" i="424"/>
  <c r="K12"/>
  <c r="H14" i="423"/>
  <c r="I16"/>
  <c r="U11" i="387"/>
  <c r="V11"/>
  <c r="W11"/>
  <c r="H14" i="440" l="1"/>
  <c r="H15"/>
  <c r="I14" i="423"/>
  <c r="H15"/>
  <c r="L14" s="1"/>
  <c r="X11" i="387"/>
  <c r="X12" s="1"/>
  <c r="X14" s="1"/>
  <c r="X16" s="1"/>
  <c r="I15" i="423" l="1"/>
  <c r="J14" s="1"/>
  <c r="K14" s="1"/>
  <c r="L9" l="1"/>
  <c r="L10"/>
  <c r="M10" s="1"/>
  <c r="M14"/>
  <c r="L7"/>
  <c r="L8"/>
  <c r="N8" s="1"/>
  <c r="N14"/>
  <c r="M8" l="1"/>
  <c r="N10"/>
  <c r="N9"/>
  <c r="M9"/>
  <c r="M7"/>
  <c r="N7"/>
  <c r="T5" i="303" l="1"/>
  <c r="U5" s="1"/>
  <c r="G13" a="1"/>
  <c r="T4"/>
  <c r="U4" s="1"/>
  <c r="T6"/>
  <c r="U6" s="1"/>
  <c r="H17" l="1"/>
  <c r="I16"/>
  <c r="J15"/>
  <c r="K14"/>
  <c r="G14"/>
  <c r="H13"/>
  <c r="J17"/>
  <c r="K16"/>
  <c r="G16"/>
  <c r="H15"/>
  <c r="I14"/>
  <c r="J13"/>
  <c r="I17"/>
  <c r="J16"/>
  <c r="K15"/>
  <c r="G15"/>
  <c r="H14"/>
  <c r="I13"/>
  <c r="H16"/>
  <c r="G13"/>
  <c r="I15"/>
  <c r="K17"/>
  <c r="J14"/>
  <c r="G17"/>
  <c r="K13"/>
  <c r="T7" l="1"/>
  <c r="U7" s="1"/>
  <c r="A5" i="421" l="1"/>
  <c r="A6" s="1"/>
  <c r="A7" s="1"/>
  <c r="A8" s="1"/>
  <c r="A9" s="1"/>
  <c r="A10" s="1"/>
  <c r="A11" s="1"/>
  <c r="A12" s="1"/>
  <c r="A13" s="1"/>
  <c r="A14" s="1"/>
  <c r="A15" s="1"/>
  <c r="A16" s="1"/>
  <c r="Q5" i="422"/>
  <c r="R5"/>
  <c r="P5"/>
  <c r="L6"/>
  <c r="L7" s="1"/>
  <c r="M6"/>
  <c r="M7" s="1"/>
  <c r="L8"/>
  <c r="M8"/>
  <c r="L9"/>
  <c r="M9"/>
  <c r="L10"/>
  <c r="M10"/>
  <c r="K10"/>
  <c r="K9"/>
  <c r="K8"/>
  <c r="K6"/>
  <c r="K7" s="1"/>
  <c r="L5"/>
  <c r="M5"/>
  <c r="K5"/>
  <c r="G6"/>
  <c r="H6"/>
  <c r="G7"/>
  <c r="H7"/>
  <c r="G8"/>
  <c r="H8"/>
  <c r="G9"/>
  <c r="H9"/>
  <c r="G10"/>
  <c r="H10"/>
  <c r="G11"/>
  <c r="H11"/>
  <c r="G12"/>
  <c r="H12"/>
  <c r="G13"/>
  <c r="H13"/>
  <c r="G15"/>
  <c r="H15"/>
  <c r="G16"/>
  <c r="H16"/>
  <c r="G17"/>
  <c r="H17"/>
  <c r="G18"/>
  <c r="H18"/>
  <c r="G19"/>
  <c r="H19"/>
  <c r="G20"/>
  <c r="H20"/>
  <c r="G21"/>
  <c r="H21"/>
  <c r="F21"/>
  <c r="F20"/>
  <c r="F19"/>
  <c r="F18"/>
  <c r="F17"/>
  <c r="F16"/>
  <c r="F15"/>
  <c r="F13"/>
  <c r="F12"/>
  <c r="F11"/>
  <c r="F10"/>
  <c r="F9"/>
  <c r="F8"/>
  <c r="F7"/>
  <c r="F6"/>
  <c r="G5"/>
  <c r="H5"/>
  <c r="F5"/>
  <c r="P9" l="1"/>
  <c r="H14"/>
  <c r="G14"/>
  <c r="R9"/>
  <c r="Q9"/>
  <c r="F14"/>
  <c r="N14" i="421"/>
  <c r="M21"/>
  <c r="N21"/>
  <c r="K10"/>
  <c r="K11" s="1"/>
  <c r="K12" s="1"/>
  <c r="K13" s="1"/>
  <c r="K14" s="1"/>
  <c r="K15" s="1"/>
  <c r="K16" s="1"/>
  <c r="K17" s="1"/>
  <c r="K18" s="1"/>
  <c r="K19" s="1"/>
  <c r="K20" s="1"/>
  <c r="K21" s="1"/>
  <c r="M4"/>
  <c r="N4"/>
  <c r="M5"/>
  <c r="N5"/>
  <c r="L5"/>
  <c r="L4"/>
  <c r="M3"/>
  <c r="N3"/>
  <c r="L3"/>
  <c r="H4"/>
  <c r="H5" s="1"/>
  <c r="I4"/>
  <c r="I5" s="1"/>
  <c r="H6"/>
  <c r="I6"/>
  <c r="H7"/>
  <c r="I7"/>
  <c r="H8"/>
  <c r="I8"/>
  <c r="G8"/>
  <c r="G7"/>
  <c r="G6"/>
  <c r="G4"/>
  <c r="G5" s="1"/>
  <c r="H3"/>
  <c r="I3"/>
  <c r="G3"/>
  <c r="N9" l="1"/>
  <c r="M9"/>
  <c r="N18"/>
  <c r="N12"/>
  <c r="M20"/>
  <c r="M18"/>
  <c r="M16"/>
  <c r="M14"/>
  <c r="M12"/>
  <c r="M10"/>
  <c r="N20"/>
  <c r="N16"/>
  <c r="N10"/>
  <c r="L10"/>
  <c r="N19"/>
  <c r="N17"/>
  <c r="N15"/>
  <c r="N13"/>
  <c r="N11"/>
  <c r="M19"/>
  <c r="M17"/>
  <c r="M15"/>
  <c r="M13"/>
  <c r="M11"/>
  <c r="L16"/>
  <c r="L20"/>
  <c r="L12"/>
  <c r="L19"/>
  <c r="L15"/>
  <c r="L11"/>
  <c r="L21"/>
  <c r="O21" s="1"/>
  <c r="L17"/>
  <c r="L13"/>
  <c r="L9"/>
  <c r="L18"/>
  <c r="L14"/>
  <c r="O14" s="1"/>
  <c r="O9" l="1"/>
  <c r="O19"/>
  <c r="O17"/>
  <c r="O20"/>
  <c r="O10"/>
  <c r="M7"/>
  <c r="N8"/>
  <c r="N6"/>
  <c r="O18"/>
  <c r="O11"/>
  <c r="O13"/>
  <c r="O15"/>
  <c r="O16"/>
  <c r="M8"/>
  <c r="O12"/>
  <c r="M6"/>
  <c r="N7"/>
  <c r="L8"/>
  <c r="L7"/>
  <c r="L6"/>
  <c r="R5" i="73" l="1"/>
  <c r="R6" s="1"/>
  <c r="R7" s="1"/>
  <c r="R8" s="1"/>
  <c r="R9" s="1"/>
  <c r="R10" s="1"/>
  <c r="R11" s="1"/>
  <c r="R12" s="1"/>
  <c r="R13" s="1"/>
  <c r="R14" s="1"/>
  <c r="R15" s="1"/>
  <c r="Y3" l="1"/>
  <c r="C36" i="419"/>
  <c r="E36" s="1"/>
  <c r="D21"/>
  <c r="C21"/>
  <c r="J6"/>
  <c r="K6" s="1"/>
  <c r="F6"/>
  <c r="Y11" i="73" l="1"/>
  <c r="Y4"/>
  <c r="Y10"/>
  <c r="U12"/>
  <c r="U11"/>
  <c r="U9"/>
  <c r="U7"/>
  <c r="U10"/>
  <c r="U8"/>
  <c r="U13"/>
  <c r="U4"/>
  <c r="U15"/>
  <c r="U6"/>
  <c r="U5"/>
  <c r="U14"/>
  <c r="B39" i="76"/>
  <c r="B40"/>
  <c r="B41"/>
  <c r="B28"/>
  <c r="B29"/>
  <c r="B30"/>
  <c r="B31"/>
  <c r="B32"/>
  <c r="B33"/>
  <c r="B34"/>
  <c r="B35"/>
  <c r="B36"/>
  <c r="B37"/>
  <c r="B38"/>
  <c r="B27"/>
  <c r="A28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L5" i="73"/>
  <c r="L6" s="1"/>
  <c r="L7" s="1"/>
  <c r="L8" s="1"/>
  <c r="L9" s="1"/>
  <c r="L10" s="1"/>
  <c r="L11" s="1"/>
  <c r="L12" s="1"/>
  <c r="L13" s="1"/>
  <c r="L14" s="1"/>
  <c r="L15" s="1"/>
  <c r="J45" i="419"/>
  <c r="J44"/>
  <c r="J43"/>
  <c r="K43" s="1"/>
  <c r="J42"/>
  <c r="J41"/>
  <c r="K41" s="1"/>
  <c r="J40"/>
  <c r="K40" s="1"/>
  <c r="J39"/>
  <c r="J38"/>
  <c r="J37"/>
  <c r="K37" s="1"/>
  <c r="J36"/>
  <c r="K36" s="1"/>
  <c r="C37"/>
  <c r="E37" s="1"/>
  <c r="C38"/>
  <c r="C39"/>
  <c r="C40"/>
  <c r="E40" s="1"/>
  <c r="C41"/>
  <c r="C42"/>
  <c r="C43"/>
  <c r="E43" s="1"/>
  <c r="C44"/>
  <c r="C45"/>
  <c r="A37"/>
  <c r="A38" s="1"/>
  <c r="A39" s="1"/>
  <c r="A40" s="1"/>
  <c r="A41" s="1"/>
  <c r="A42" s="1"/>
  <c r="A43" s="1"/>
  <c r="A44" s="1"/>
  <c r="A45" s="1"/>
  <c r="J21"/>
  <c r="J22"/>
  <c r="J23"/>
  <c r="J24"/>
  <c r="J25"/>
  <c r="J26"/>
  <c r="J27"/>
  <c r="J28"/>
  <c r="J29"/>
  <c r="J30"/>
  <c r="C22"/>
  <c r="C23"/>
  <c r="C24"/>
  <c r="C25"/>
  <c r="C26"/>
  <c r="C27"/>
  <c r="C28"/>
  <c r="C29"/>
  <c r="C30"/>
  <c r="D22"/>
  <c r="D23"/>
  <c r="D24"/>
  <c r="D25"/>
  <c r="D26"/>
  <c r="D27"/>
  <c r="D28"/>
  <c r="D29"/>
  <c r="D30"/>
  <c r="A22"/>
  <c r="C6"/>
  <c r="O7"/>
  <c r="O8"/>
  <c r="O9"/>
  <c r="O10"/>
  <c r="O11"/>
  <c r="O12"/>
  <c r="O13"/>
  <c r="O14"/>
  <c r="O15"/>
  <c r="O6"/>
  <c r="J7"/>
  <c r="K7" s="1"/>
  <c r="J8"/>
  <c r="K8" s="1"/>
  <c r="J9"/>
  <c r="K9" s="1"/>
  <c r="J10"/>
  <c r="K10" s="1"/>
  <c r="J11"/>
  <c r="K11" s="1"/>
  <c r="J12"/>
  <c r="K12" s="1"/>
  <c r="J13"/>
  <c r="K13" s="1"/>
  <c r="J14"/>
  <c r="K14" s="1"/>
  <c r="J15"/>
  <c r="K15" s="1"/>
  <c r="H7"/>
  <c r="H8" s="1"/>
  <c r="F7"/>
  <c r="F8"/>
  <c r="F9"/>
  <c r="F10"/>
  <c r="F11"/>
  <c r="F12"/>
  <c r="F13"/>
  <c r="F14"/>
  <c r="F15"/>
  <c r="A7"/>
  <c r="C7" s="1"/>
  <c r="Y5" i="73" l="1"/>
  <c r="V14" s="1"/>
  <c r="D45" i="419"/>
  <c r="E45" s="1"/>
  <c r="D41"/>
  <c r="E41"/>
  <c r="K42"/>
  <c r="K39"/>
  <c r="D37"/>
  <c r="K45"/>
  <c r="K38"/>
  <c r="D42"/>
  <c r="E42" s="1"/>
  <c r="D38"/>
  <c r="E38" s="1"/>
  <c r="K44"/>
  <c r="J43" i="76"/>
  <c r="D44" i="419"/>
  <c r="E44" s="1"/>
  <c r="D40"/>
  <c r="D43"/>
  <c r="D39"/>
  <c r="E39" s="1"/>
  <c r="D36"/>
  <c r="B20" i="420"/>
  <c r="M20" i="73"/>
  <c r="J30" i="76"/>
  <c r="J34"/>
  <c r="J38"/>
  <c r="J27"/>
  <c r="J31"/>
  <c r="J35"/>
  <c r="J39"/>
  <c r="J28"/>
  <c r="J32"/>
  <c r="J36"/>
  <c r="J40"/>
  <c r="J29"/>
  <c r="J33"/>
  <c r="J37"/>
  <c r="J41"/>
  <c r="B47"/>
  <c r="E26" i="419"/>
  <c r="K25"/>
  <c r="L25" s="1"/>
  <c r="N25" s="1"/>
  <c r="E28"/>
  <c r="E25"/>
  <c r="E21"/>
  <c r="E30"/>
  <c r="K22"/>
  <c r="L22" s="1"/>
  <c r="N22" s="1"/>
  <c r="K24"/>
  <c r="L24" s="1"/>
  <c r="N24" s="1"/>
  <c r="E24"/>
  <c r="K29"/>
  <c r="L29" s="1"/>
  <c r="N29" s="1"/>
  <c r="E29"/>
  <c r="E27"/>
  <c r="E23"/>
  <c r="K28"/>
  <c r="L28" s="1"/>
  <c r="N28" s="1"/>
  <c r="E22"/>
  <c r="K27"/>
  <c r="L27" s="1"/>
  <c r="N27" s="1"/>
  <c r="K23"/>
  <c r="L23" s="1"/>
  <c r="N23" s="1"/>
  <c r="K21"/>
  <c r="L21" s="1"/>
  <c r="N21" s="1"/>
  <c r="K30"/>
  <c r="L30" s="1"/>
  <c r="N30" s="1"/>
  <c r="K26"/>
  <c r="L26" s="1"/>
  <c r="N26" s="1"/>
  <c r="P7"/>
  <c r="R7" s="1"/>
  <c r="P10"/>
  <c r="R10" s="1"/>
  <c r="P13"/>
  <c r="R13" s="1"/>
  <c r="P9"/>
  <c r="R9" s="1"/>
  <c r="P6"/>
  <c r="R6" s="1"/>
  <c r="P12"/>
  <c r="R12" s="1"/>
  <c r="P8"/>
  <c r="R8" s="1"/>
  <c r="P14"/>
  <c r="R14" s="1"/>
  <c r="P15"/>
  <c r="R15" s="1"/>
  <c r="P11"/>
  <c r="R11" s="1"/>
  <c r="A23"/>
  <c r="L8"/>
  <c r="L6"/>
  <c r="L7"/>
  <c r="H9"/>
  <c r="L9" s="1"/>
  <c r="A8"/>
  <c r="O42" i="418"/>
  <c r="V15" i="73" l="1"/>
  <c r="Y6" s="1"/>
  <c r="L39" i="419"/>
  <c r="M39" s="1"/>
  <c r="O39" s="1"/>
  <c r="L36"/>
  <c r="M36" s="1"/>
  <c r="O36" s="1"/>
  <c r="L40"/>
  <c r="M40" s="1"/>
  <c r="O40" s="1"/>
  <c r="F41"/>
  <c r="G41" s="1"/>
  <c r="L43"/>
  <c r="M43" s="1"/>
  <c r="O43" s="1"/>
  <c r="L38"/>
  <c r="M38" s="1"/>
  <c r="O38" s="1"/>
  <c r="L37"/>
  <c r="M37" s="1"/>
  <c r="O37" s="1"/>
  <c r="L44"/>
  <c r="M44" s="1"/>
  <c r="O44" s="1"/>
  <c r="L41"/>
  <c r="M41" s="1"/>
  <c r="O41" s="1"/>
  <c r="F37"/>
  <c r="G37" s="1"/>
  <c r="L45"/>
  <c r="M45" s="1"/>
  <c r="O45" s="1"/>
  <c r="F38"/>
  <c r="G38" s="1"/>
  <c r="L42"/>
  <c r="M42" s="1"/>
  <c r="O42" s="1"/>
  <c r="F39"/>
  <c r="G39" s="1"/>
  <c r="F45"/>
  <c r="G45" s="1"/>
  <c r="F44"/>
  <c r="G44" s="1"/>
  <c r="F43"/>
  <c r="G43" s="1"/>
  <c r="F40"/>
  <c r="G40" s="1"/>
  <c r="F36"/>
  <c r="G36" s="1"/>
  <c r="F21"/>
  <c r="G21" s="1"/>
  <c r="F42"/>
  <c r="G42" s="1"/>
  <c r="J42" i="76"/>
  <c r="J44" s="1"/>
  <c r="B44"/>
  <c r="F22" i="419"/>
  <c r="G22" s="1"/>
  <c r="F23"/>
  <c r="G23" s="1"/>
  <c r="A24"/>
  <c r="F24" s="1"/>
  <c r="G24" s="1"/>
  <c r="H10"/>
  <c r="L10" s="1"/>
  <c r="A9"/>
  <c r="C8"/>
  <c r="L9" i="418"/>
  <c r="L10"/>
  <c r="L11"/>
  <c r="L12"/>
  <c r="B22"/>
  <c r="K20"/>
  <c r="J20"/>
  <c r="I20"/>
  <c r="H20"/>
  <c r="G20"/>
  <c r="F20"/>
  <c r="E20"/>
  <c r="D20"/>
  <c r="C20"/>
  <c r="B20"/>
  <c r="K19"/>
  <c r="J19"/>
  <c r="I19"/>
  <c r="H19"/>
  <c r="G19"/>
  <c r="F19"/>
  <c r="E19"/>
  <c r="D19"/>
  <c r="C19"/>
  <c r="B19"/>
  <c r="L18"/>
  <c r="L17"/>
  <c r="L16"/>
  <c r="L15"/>
  <c r="L14"/>
  <c r="L13"/>
  <c r="L8"/>
  <c r="L7"/>
  <c r="L6"/>
  <c r="L5"/>
  <c r="A5"/>
  <c r="A6" s="1"/>
  <c r="A7" s="1"/>
  <c r="A8" s="1"/>
  <c r="A9" s="1"/>
  <c r="A10" s="1"/>
  <c r="A11" s="1"/>
  <c r="A12" s="1"/>
  <c r="L4"/>
  <c r="V13" i="73" l="1"/>
  <c r="V6"/>
  <c r="A25" i="419"/>
  <c r="F25" s="1"/>
  <c r="G25" s="1"/>
  <c r="H11"/>
  <c r="L11" s="1"/>
  <c r="A10"/>
  <c r="C9"/>
  <c r="A13" i="418"/>
  <c r="A14" s="1"/>
  <c r="A15" s="1"/>
  <c r="A16" s="1"/>
  <c r="A17" s="1"/>
  <c r="A18" s="1"/>
  <c r="L20"/>
  <c r="B23" s="1"/>
  <c r="L19"/>
  <c r="B24"/>
  <c r="E11" i="417" a="1"/>
  <c r="G11" s="1"/>
  <c r="E5" a="1"/>
  <c r="G5" s="1"/>
  <c r="F7" l="1"/>
  <c r="F6"/>
  <c r="E6"/>
  <c r="G7"/>
  <c r="F5"/>
  <c r="G6"/>
  <c r="E5"/>
  <c r="A26" i="419"/>
  <c r="F26" s="1"/>
  <c r="G26" s="1"/>
  <c r="H12"/>
  <c r="L12" s="1"/>
  <c r="A11"/>
  <c r="C10"/>
  <c r="B25" i="418"/>
  <c r="G12" i="417"/>
  <c r="F11"/>
  <c r="G13"/>
  <c r="F12"/>
  <c r="E11"/>
  <c r="F13"/>
  <c r="E12"/>
  <c r="E13"/>
  <c r="E7"/>
  <c r="A27" i="419" l="1"/>
  <c r="F27" s="1"/>
  <c r="G27" s="1"/>
  <c r="H13"/>
  <c r="L13" s="1"/>
  <c r="A12"/>
  <c r="C11"/>
  <c r="M5" i="417" a="1"/>
  <c r="A28" i="419" l="1"/>
  <c r="F28" s="1"/>
  <c r="G28" s="1"/>
  <c r="H14"/>
  <c r="L14" s="1"/>
  <c r="A13"/>
  <c r="C12"/>
  <c r="M5" i="417"/>
  <c r="M7"/>
  <c r="N6"/>
  <c r="N7"/>
  <c r="O6"/>
  <c r="O7"/>
  <c r="O5"/>
  <c r="N5"/>
  <c r="M6"/>
  <c r="L4" i="413"/>
  <c r="M4"/>
  <c r="N4"/>
  <c r="O4"/>
  <c r="P4"/>
  <c r="Q4"/>
  <c r="L5"/>
  <c r="M5"/>
  <c r="N5"/>
  <c r="O5"/>
  <c r="P5"/>
  <c r="Q5"/>
  <c r="L6"/>
  <c r="M6"/>
  <c r="N6"/>
  <c r="O6"/>
  <c r="P6"/>
  <c r="Q6"/>
  <c r="L7"/>
  <c r="M7"/>
  <c r="N7"/>
  <c r="O7"/>
  <c r="P7"/>
  <c r="Q7"/>
  <c r="L8"/>
  <c r="M8"/>
  <c r="N8"/>
  <c r="O8"/>
  <c r="P8"/>
  <c r="Q8"/>
  <c r="L9"/>
  <c r="M9"/>
  <c r="N9"/>
  <c r="O9"/>
  <c r="P9"/>
  <c r="Q9"/>
  <c r="L10"/>
  <c r="M10"/>
  <c r="N10"/>
  <c r="O10"/>
  <c r="P10"/>
  <c r="Q10"/>
  <c r="L11"/>
  <c r="M11"/>
  <c r="N11"/>
  <c r="O11"/>
  <c r="P11"/>
  <c r="Q11"/>
  <c r="L12"/>
  <c r="M12"/>
  <c r="N12"/>
  <c r="O12"/>
  <c r="P12"/>
  <c r="Q12"/>
  <c r="L13"/>
  <c r="M13"/>
  <c r="N13"/>
  <c r="O13"/>
  <c r="P13"/>
  <c r="Q13"/>
  <c r="L14"/>
  <c r="M14"/>
  <c r="N14"/>
  <c r="O14"/>
  <c r="P14"/>
  <c r="Q14"/>
  <c r="L15"/>
  <c r="M15"/>
  <c r="N15"/>
  <c r="O15"/>
  <c r="P15"/>
  <c r="Q15"/>
  <c r="L16"/>
  <c r="M16"/>
  <c r="N16"/>
  <c r="O16"/>
  <c r="P16"/>
  <c r="Q16"/>
  <c r="L17"/>
  <c r="M17"/>
  <c r="N17"/>
  <c r="O17"/>
  <c r="P17"/>
  <c r="Q17"/>
  <c r="L18"/>
  <c r="M18"/>
  <c r="N18"/>
  <c r="O18"/>
  <c r="P18"/>
  <c r="Q18"/>
  <c r="L19"/>
  <c r="M19"/>
  <c r="N19"/>
  <c r="O19"/>
  <c r="P19"/>
  <c r="Q19"/>
  <c r="L20"/>
  <c r="M20"/>
  <c r="N20"/>
  <c r="O20"/>
  <c r="P20"/>
  <c r="Q20"/>
  <c r="L21"/>
  <c r="M21"/>
  <c r="N21"/>
  <c r="O21"/>
  <c r="P21"/>
  <c r="Q21"/>
  <c r="L22"/>
  <c r="M22"/>
  <c r="N22"/>
  <c r="O22"/>
  <c r="P22"/>
  <c r="Q22"/>
  <c r="Q3"/>
  <c r="P3"/>
  <c r="O3"/>
  <c r="N3"/>
  <c r="M3"/>
  <c r="L3"/>
  <c r="A29" i="419" l="1"/>
  <c r="F29" s="1"/>
  <c r="G29" s="1"/>
  <c r="H15"/>
  <c r="L15" s="1"/>
  <c r="A14"/>
  <c r="C13"/>
  <c r="E4" i="401"/>
  <c r="M4" s="1"/>
  <c r="U4" s="1"/>
  <c r="F5"/>
  <c r="N5" s="1"/>
  <c r="F6"/>
  <c r="F7"/>
  <c r="N7" s="1"/>
  <c r="F8"/>
  <c r="N8" s="1"/>
  <c r="F9"/>
  <c r="N9" s="1"/>
  <c r="F10"/>
  <c r="N10" s="1"/>
  <c r="F11"/>
  <c r="N11" s="1"/>
  <c r="F12"/>
  <c r="N12" s="1"/>
  <c r="F13"/>
  <c r="N13" s="1"/>
  <c r="F4"/>
  <c r="C14"/>
  <c r="B14"/>
  <c r="A5"/>
  <c r="A6" s="1"/>
  <c r="E6" s="1"/>
  <c r="M6" s="1"/>
  <c r="U6" s="1"/>
  <c r="G4" l="1"/>
  <c r="H4" s="1"/>
  <c r="AC4"/>
  <c r="AK4" s="1"/>
  <c r="AS4" s="1"/>
  <c r="M20"/>
  <c r="U20" s="1"/>
  <c r="AC6"/>
  <c r="AK6" s="1"/>
  <c r="AS6" s="1"/>
  <c r="M22"/>
  <c r="U22" s="1"/>
  <c r="A30" i="419"/>
  <c r="F30" s="1"/>
  <c r="G30" s="1"/>
  <c r="A15"/>
  <c r="C15" s="1"/>
  <c r="C14"/>
  <c r="V9" i="401"/>
  <c r="V12"/>
  <c r="V8"/>
  <c r="G6"/>
  <c r="H6" s="1"/>
  <c r="V11"/>
  <c r="V7"/>
  <c r="V13"/>
  <c r="V5"/>
  <c r="V10"/>
  <c r="N6"/>
  <c r="N4"/>
  <c r="E5"/>
  <c r="A7"/>
  <c r="E7" s="1"/>
  <c r="AD5" l="1"/>
  <c r="AL5" s="1"/>
  <c r="AT5" s="1"/>
  <c r="N21"/>
  <c r="V21" s="1"/>
  <c r="AD13"/>
  <c r="AL13" s="1"/>
  <c r="AT13" s="1"/>
  <c r="N29"/>
  <c r="V29" s="1"/>
  <c r="AD8"/>
  <c r="AL8" s="1"/>
  <c r="AT8" s="1"/>
  <c r="N24"/>
  <c r="V24" s="1"/>
  <c r="AD10"/>
  <c r="AL10" s="1"/>
  <c r="AT10" s="1"/>
  <c r="N26"/>
  <c r="V26" s="1"/>
  <c r="AD7"/>
  <c r="AL7" s="1"/>
  <c r="AT7" s="1"/>
  <c r="N23"/>
  <c r="V23" s="1"/>
  <c r="AD12"/>
  <c r="AL12" s="1"/>
  <c r="AT12" s="1"/>
  <c r="N28"/>
  <c r="V28" s="1"/>
  <c r="AD11"/>
  <c r="AL11" s="1"/>
  <c r="AT11" s="1"/>
  <c r="N27"/>
  <c r="V27" s="1"/>
  <c r="AD9"/>
  <c r="AL9" s="1"/>
  <c r="AT9" s="1"/>
  <c r="N25"/>
  <c r="V25" s="1"/>
  <c r="V6"/>
  <c r="G7"/>
  <c r="H7" s="1"/>
  <c r="M7"/>
  <c r="U7" s="1"/>
  <c r="V4"/>
  <c r="G5"/>
  <c r="H5" s="1"/>
  <c r="M5"/>
  <c r="U5" s="1"/>
  <c r="A8"/>
  <c r="E8" s="1"/>
  <c r="J5" i="407" a="1"/>
  <c r="J5" s="1"/>
  <c r="J4" a="1"/>
  <c r="J4" s="1"/>
  <c r="J3" a="1"/>
  <c r="J3" s="1"/>
  <c r="D5" a="1"/>
  <c r="D5" s="1"/>
  <c r="D3" a="1"/>
  <c r="D3" s="1"/>
  <c r="D4" a="1"/>
  <c r="D4" s="1"/>
  <c r="AC7" i="401" l="1"/>
  <c r="AK7" s="1"/>
  <c r="AS7" s="1"/>
  <c r="M23"/>
  <c r="U23" s="1"/>
  <c r="AC5"/>
  <c r="AK5" s="1"/>
  <c r="AS5" s="1"/>
  <c r="M21"/>
  <c r="U21" s="1"/>
  <c r="AD6"/>
  <c r="AL6" s="1"/>
  <c r="AT6" s="1"/>
  <c r="N22"/>
  <c r="V22" s="1"/>
  <c r="AD4"/>
  <c r="AL4" s="1"/>
  <c r="AT4" s="1"/>
  <c r="N20"/>
  <c r="V20" s="1"/>
  <c r="G8"/>
  <c r="H8" s="1"/>
  <c r="M8"/>
  <c r="U8" s="1"/>
  <c r="A9"/>
  <c r="E9" s="1"/>
  <c r="AC8" l="1"/>
  <c r="AK8" s="1"/>
  <c r="AS8" s="1"/>
  <c r="M24"/>
  <c r="U24" s="1"/>
  <c r="G9"/>
  <c r="H9" s="1"/>
  <c r="M9"/>
  <c r="U9" s="1"/>
  <c r="A10"/>
  <c r="E10" s="1"/>
  <c r="T6" i="349"/>
  <c r="X6" s="1"/>
  <c r="U6"/>
  <c r="Y6" s="1"/>
  <c r="G33" i="406"/>
  <c r="H33" s="1"/>
  <c r="G32"/>
  <c r="K32" s="1"/>
  <c r="G31"/>
  <c r="J31" s="1"/>
  <c r="G30"/>
  <c r="H30" s="1"/>
  <c r="G29"/>
  <c r="K29" s="1"/>
  <c r="G28"/>
  <c r="H28" s="1"/>
  <c r="G27"/>
  <c r="H27" s="1"/>
  <c r="G26"/>
  <c r="J26" s="1"/>
  <c r="G25"/>
  <c r="K25" s="1"/>
  <c r="G24"/>
  <c r="H24" s="1"/>
  <c r="G23"/>
  <c r="J23" s="1"/>
  <c r="G22"/>
  <c r="K22" s="1"/>
  <c r="G21"/>
  <c r="H21" s="1"/>
  <c r="G20"/>
  <c r="K20" s="1"/>
  <c r="G19"/>
  <c r="J19" s="1"/>
  <c r="G18"/>
  <c r="H18" s="1"/>
  <c r="G17"/>
  <c r="H17" s="1"/>
  <c r="G16"/>
  <c r="K16" s="1"/>
  <c r="G15"/>
  <c r="K15" s="1"/>
  <c r="G14"/>
  <c r="K14" s="1"/>
  <c r="G13"/>
  <c r="H13" s="1"/>
  <c r="G12"/>
  <c r="H12" s="1"/>
  <c r="G11"/>
  <c r="G10"/>
  <c r="K10" s="1"/>
  <c r="G9"/>
  <c r="J9" s="1"/>
  <c r="G8"/>
  <c r="J8" s="1"/>
  <c r="G7"/>
  <c r="K7" s="1"/>
  <c r="G6"/>
  <c r="H6" s="1"/>
  <c r="G5"/>
  <c r="J5" s="1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G4"/>
  <c r="J4" s="1"/>
  <c r="J6" l="1"/>
  <c r="AC9" i="401"/>
  <c r="AK9" s="1"/>
  <c r="AS9" s="1"/>
  <c r="M25"/>
  <c r="U25" s="1"/>
  <c r="J7" i="406"/>
  <c r="J17"/>
  <c r="H15"/>
  <c r="J28"/>
  <c r="H31"/>
  <c r="J18"/>
  <c r="G10" i="401"/>
  <c r="H10" s="1"/>
  <c r="M10"/>
  <c r="U10" s="1"/>
  <c r="A11"/>
  <c r="E11" s="1"/>
  <c r="J12" i="406"/>
  <c r="H22"/>
  <c r="H25"/>
  <c r="H14"/>
  <c r="H4"/>
  <c r="H7"/>
  <c r="H8"/>
  <c r="H9"/>
  <c r="J14"/>
  <c r="H16"/>
  <c r="J21"/>
  <c r="H23"/>
  <c r="J24"/>
  <c r="H26"/>
  <c r="J27"/>
  <c r="J30"/>
  <c r="J33"/>
  <c r="H10"/>
  <c r="H20"/>
  <c r="H29"/>
  <c r="H32"/>
  <c r="H5"/>
  <c r="K11"/>
  <c r="H11"/>
  <c r="J13"/>
  <c r="H19"/>
  <c r="D16" i="356"/>
  <c r="M16"/>
  <c r="AC10" i="401" l="1"/>
  <c r="AK10" s="1"/>
  <c r="AS10" s="1"/>
  <c r="M26"/>
  <c r="U26" s="1"/>
  <c r="G11"/>
  <c r="H11" s="1"/>
  <c r="M11"/>
  <c r="U11" s="1"/>
  <c r="A12"/>
  <c r="E12" s="1"/>
  <c r="J32" i="406"/>
  <c r="K24"/>
  <c r="K17"/>
  <c r="K33"/>
  <c r="K31"/>
  <c r="J29"/>
  <c r="K27"/>
  <c r="J25"/>
  <c r="K23"/>
  <c r="K21"/>
  <c r="K18"/>
  <c r="J16"/>
  <c r="J10"/>
  <c r="K9"/>
  <c r="K8"/>
  <c r="K4"/>
  <c r="K6"/>
  <c r="K19"/>
  <c r="J11"/>
  <c r="K5"/>
  <c r="K30"/>
  <c r="J22"/>
  <c r="J15"/>
  <c r="K28"/>
  <c r="J20"/>
  <c r="K13"/>
  <c r="K26"/>
  <c r="K12"/>
  <c r="Q6"/>
  <c r="Q8" s="1"/>
  <c r="Q9" s="1"/>
  <c r="Q10" s="1"/>
  <c r="N6"/>
  <c r="AC11" i="401" l="1"/>
  <c r="AK11" s="1"/>
  <c r="AS11" s="1"/>
  <c r="M27"/>
  <c r="U27" s="1"/>
  <c r="G12"/>
  <c r="H12" s="1"/>
  <c r="M12"/>
  <c r="U12" s="1"/>
  <c r="A13"/>
  <c r="E13" s="1"/>
  <c r="J34" i="406"/>
  <c r="K34"/>
  <c r="C68" i="192"/>
  <c r="D68"/>
  <c r="E68"/>
  <c r="B68"/>
  <c r="E69"/>
  <c r="D69"/>
  <c r="C69"/>
  <c r="B69"/>
  <c r="AC12" i="401" l="1"/>
  <c r="AK12" s="1"/>
  <c r="AS12" s="1"/>
  <c r="M28"/>
  <c r="U28" s="1"/>
  <c r="G13"/>
  <c r="M13"/>
  <c r="U13" s="1"/>
  <c r="Q7" i="406"/>
  <c r="Q11" s="1"/>
  <c r="Q12" s="1"/>
  <c r="Q13" s="1"/>
  <c r="N7"/>
  <c r="N9" s="1"/>
  <c r="O64" i="339" a="1"/>
  <c r="Q66" s="1"/>
  <c r="O58" a="1"/>
  <c r="O58" s="1"/>
  <c r="AC13" i="401" l="1"/>
  <c r="AK13" s="1"/>
  <c r="AS13" s="1"/>
  <c r="M29"/>
  <c r="U29" s="1"/>
  <c r="H13"/>
  <c r="H14" s="1"/>
  <c r="O65" i="339"/>
  <c r="P66"/>
  <c r="P64"/>
  <c r="Q65"/>
  <c r="Q64"/>
  <c r="O66"/>
  <c r="O64"/>
  <c r="P65"/>
  <c r="P60"/>
  <c r="O59"/>
  <c r="O60"/>
  <c r="Q58"/>
  <c r="Q59"/>
  <c r="P58"/>
  <c r="Q60"/>
  <c r="P59"/>
  <c r="B20" i="8"/>
  <c r="G8" i="360" l="1"/>
  <c r="G7"/>
  <c r="H12" i="347"/>
  <c r="H11" i="348"/>
  <c r="O11" i="203" l="1"/>
  <c r="B21" i="400" l="1"/>
  <c r="B20"/>
  <c r="B24" l="1"/>
  <c r="B25" s="1"/>
  <c r="B14"/>
  <c r="F13"/>
  <c r="F12"/>
  <c r="F11"/>
  <c r="F10"/>
  <c r="F9"/>
  <c r="F8"/>
  <c r="F7"/>
  <c r="F6"/>
  <c r="F5"/>
  <c r="A5"/>
  <c r="E5" s="1"/>
  <c r="I5" s="1"/>
  <c r="K5" s="1"/>
  <c r="E4"/>
  <c r="I4" s="1"/>
  <c r="K4" s="1"/>
  <c r="E3"/>
  <c r="A5" i="384"/>
  <c r="H4" i="395"/>
  <c r="J4" s="1"/>
  <c r="H5"/>
  <c r="J5" s="1"/>
  <c r="H6"/>
  <c r="J6" s="1"/>
  <c r="H7"/>
  <c r="J7" s="1"/>
  <c r="H8"/>
  <c r="J8" s="1"/>
  <c r="H9"/>
  <c r="J9" s="1"/>
  <c r="H10"/>
  <c r="J10" s="1"/>
  <c r="H11"/>
  <c r="J11" s="1"/>
  <c r="H12"/>
  <c r="J12" s="1"/>
  <c r="H13"/>
  <c r="J13" s="1"/>
  <c r="H14"/>
  <c r="J14" s="1"/>
  <c r="G7" i="400" l="1"/>
  <c r="J7"/>
  <c r="G11"/>
  <c r="J11"/>
  <c r="G8"/>
  <c r="J8"/>
  <c r="G12"/>
  <c r="J12"/>
  <c r="G5"/>
  <c r="J5"/>
  <c r="L5" s="1"/>
  <c r="G9"/>
  <c r="J9"/>
  <c r="G13"/>
  <c r="J13"/>
  <c r="G6"/>
  <c r="J6"/>
  <c r="G10"/>
  <c r="J10"/>
  <c r="A6" i="384"/>
  <c r="A6" i="400"/>
  <c r="E6" s="1"/>
  <c r="I6" s="1"/>
  <c r="K6" s="1"/>
  <c r="F4"/>
  <c r="C14"/>
  <c r="F14" s="1"/>
  <c r="G14" s="1"/>
  <c r="F8" i="395"/>
  <c r="L6" i="400" l="1"/>
  <c r="A7" i="384"/>
  <c r="G4" i="400"/>
  <c r="J4"/>
  <c r="L4" s="1"/>
  <c r="A7"/>
  <c r="E7" s="1"/>
  <c r="I7" s="1"/>
  <c r="K7" s="1"/>
  <c r="L7" s="1"/>
  <c r="F9" i="384"/>
  <c r="G9" s="1"/>
  <c r="K23" s="1"/>
  <c r="E22" i="392"/>
  <c r="E23" s="1"/>
  <c r="E24" s="1"/>
  <c r="D18"/>
  <c r="E18"/>
  <c r="F18"/>
  <c r="G18"/>
  <c r="H18"/>
  <c r="I18"/>
  <c r="J18"/>
  <c r="C18"/>
  <c r="D17"/>
  <c r="E17" l="1"/>
  <c r="A8" i="384"/>
  <c r="A8" i="400"/>
  <c r="E8" s="1"/>
  <c r="I8" s="1"/>
  <c r="K8" s="1"/>
  <c r="L8" s="1"/>
  <c r="K9" i="384"/>
  <c r="E6"/>
  <c r="E5"/>
  <c r="F17" i="392" l="1"/>
  <c r="A9" i="384"/>
  <c r="A9" i="400"/>
  <c r="E9" s="1"/>
  <c r="I9" s="1"/>
  <c r="K9" s="1"/>
  <c r="L9" s="1"/>
  <c r="E7" i="384"/>
  <c r="O4" i="220"/>
  <c r="G17" i="392" l="1"/>
  <c r="A10" i="384"/>
  <c r="A10" i="400"/>
  <c r="E10" s="1"/>
  <c r="I10" s="1"/>
  <c r="K10" s="1"/>
  <c r="L10" s="1"/>
  <c r="J22" i="384"/>
  <c r="E8"/>
  <c r="B23" i="391"/>
  <c r="B24" s="1"/>
  <c r="B25" s="1"/>
  <c r="B26" s="1"/>
  <c r="B27" s="1"/>
  <c r="B28" s="1"/>
  <c r="A23"/>
  <c r="A24" s="1"/>
  <c r="A25" s="1"/>
  <c r="A26" s="1"/>
  <c r="A27" s="1"/>
  <c r="A28" s="1"/>
  <c r="F14"/>
  <c r="F17" s="1" a="1"/>
  <c r="F17" s="1"/>
  <c r="F12"/>
  <c r="F11"/>
  <c r="B10"/>
  <c r="B11" s="1"/>
  <c r="B12" s="1"/>
  <c r="B13" s="1"/>
  <c r="B14" s="1"/>
  <c r="B15" s="1"/>
  <c r="F21" s="1"/>
  <c r="F22" s="1"/>
  <c r="A10"/>
  <c r="A11" s="1"/>
  <c r="A12" s="1"/>
  <c r="A13" s="1"/>
  <c r="A14" s="1"/>
  <c r="A15" s="1"/>
  <c r="A123" i="35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C121"/>
  <c r="D121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W121" s="1"/>
  <c r="X121" s="1"/>
  <c r="Y121" s="1"/>
  <c r="Z121" s="1"/>
  <c r="A94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C92"/>
  <c r="D92" s="1"/>
  <c r="E92" s="1"/>
  <c r="F92" s="1"/>
  <c r="G92" s="1"/>
  <c r="H92" s="1"/>
  <c r="I92" s="1"/>
  <c r="J92" s="1"/>
  <c r="K92" s="1"/>
  <c r="L92" s="1"/>
  <c r="M92" s="1"/>
  <c r="N92" s="1"/>
  <c r="O92" s="1"/>
  <c r="P92" s="1"/>
  <c r="Q92" s="1"/>
  <c r="R92" s="1"/>
  <c r="S92" s="1"/>
  <c r="T92" s="1"/>
  <c r="U92" s="1"/>
  <c r="V92" s="1"/>
  <c r="W92" s="1"/>
  <c r="X92" s="1"/>
  <c r="Y92" s="1"/>
  <c r="Z92" s="1"/>
  <c r="A65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C63"/>
  <c r="D63" s="1"/>
  <c r="E63" s="1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36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C34"/>
  <c r="D34" s="1"/>
  <c r="E34" s="1"/>
  <c r="F34" s="1"/>
  <c r="G34" s="1"/>
  <c r="H34" s="1"/>
  <c r="I34" s="1"/>
  <c r="J34" s="1"/>
  <c r="K34" s="1"/>
  <c r="L34" s="1"/>
  <c r="M34" s="1"/>
  <c r="N34" s="1"/>
  <c r="O34" s="1"/>
  <c r="P34" s="1"/>
  <c r="Q34" s="1"/>
  <c r="R34" s="1"/>
  <c r="S34" s="1"/>
  <c r="T34" s="1"/>
  <c r="U34" s="1"/>
  <c r="V34" s="1"/>
  <c r="W34" s="1"/>
  <c r="X34" s="1"/>
  <c r="Y34" s="1"/>
  <c r="Z34" s="1"/>
  <c r="A7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C5"/>
  <c r="D5" s="1"/>
  <c r="E5" s="1"/>
  <c r="F5" s="1"/>
  <c r="G5" s="1"/>
  <c r="H5" s="1"/>
  <c r="I5" s="1"/>
  <c r="J5" s="1"/>
  <c r="K5" s="1"/>
  <c r="L5" s="1"/>
  <c r="M5" s="1"/>
  <c r="N5" s="1"/>
  <c r="O5" s="1"/>
  <c r="P5" s="1"/>
  <c r="Q5" s="1"/>
  <c r="R5" s="1"/>
  <c r="S5" s="1"/>
  <c r="T5" s="1"/>
  <c r="U5" s="1"/>
  <c r="V5" s="1"/>
  <c r="W5" s="1"/>
  <c r="X5" s="1"/>
  <c r="Y5" s="1"/>
  <c r="Z5" s="1"/>
  <c r="H17" i="392" l="1"/>
  <c r="A11" i="384"/>
  <c r="A11" i="400"/>
  <c r="E11" s="1"/>
  <c r="I11" s="1"/>
  <c r="K11" s="1"/>
  <c r="L11" s="1"/>
  <c r="J9" i="384"/>
  <c r="J23"/>
  <c r="E9"/>
  <c r="G17" i="391"/>
  <c r="F18"/>
  <c r="G18"/>
  <c r="I17" i="392" l="1"/>
  <c r="A12" i="384"/>
  <c r="A12" i="400"/>
  <c r="E12" s="1"/>
  <c r="I12" s="1"/>
  <c r="K12" s="1"/>
  <c r="L12" s="1"/>
  <c r="J24" i="384"/>
  <c r="E10"/>
  <c r="I9" i="391" a="1"/>
  <c r="I10" s="1"/>
  <c r="J17" i="392" l="1"/>
  <c r="A13" i="400"/>
  <c r="E13" s="1"/>
  <c r="I13" s="1"/>
  <c r="K13" s="1"/>
  <c r="A13" i="384"/>
  <c r="J25"/>
  <c r="E11"/>
  <c r="I9" i="391"/>
  <c r="I12" s="1"/>
  <c r="C23" i="392" l="1"/>
  <c r="C24" s="1"/>
  <c r="L13" i="400"/>
  <c r="L14" s="1"/>
  <c r="I11" i="391"/>
  <c r="I14"/>
  <c r="I17" s="1" a="1"/>
  <c r="I17" s="1"/>
  <c r="J26" i="384"/>
  <c r="E12"/>
  <c r="J18" i="391" l="1"/>
  <c r="J17"/>
  <c r="I18"/>
  <c r="J27" i="384"/>
  <c r="E13"/>
  <c r="L9" i="391" l="1" a="1"/>
  <c r="L10" s="1"/>
  <c r="L9" l="1"/>
  <c r="L12" s="1"/>
  <c r="L11" l="1"/>
  <c r="L14"/>
  <c r="L17" s="1" a="1"/>
  <c r="M18" s="1"/>
  <c r="L17" l="1"/>
  <c r="M17"/>
  <c r="L18"/>
  <c r="O9" l="1" a="1"/>
  <c r="O9" s="1"/>
  <c r="O10" l="1"/>
  <c r="O11" s="1"/>
  <c r="O14"/>
  <c r="O17" s="1" a="1"/>
  <c r="O12" l="1"/>
  <c r="P17"/>
  <c r="O17"/>
  <c r="P18"/>
  <c r="O18"/>
  <c r="R9" l="1" a="1"/>
  <c r="R10" l="1"/>
  <c r="R9"/>
  <c r="R11" l="1"/>
  <c r="R14"/>
  <c r="R17" s="1" a="1"/>
  <c r="R12"/>
  <c r="S17" l="1"/>
  <c r="R17"/>
  <c r="S18"/>
  <c r="R18"/>
  <c r="F8" i="72" l="1"/>
  <c r="G6"/>
  <c r="H5" s="1"/>
  <c r="F10" s="1"/>
  <c r="F6"/>
  <c r="H4" s="1"/>
  <c r="F5"/>
  <c r="G4" s="1"/>
  <c r="F12" s="1"/>
  <c r="F11" l="1"/>
  <c r="F13"/>
  <c r="C50" i="389" l="1"/>
  <c r="D50" s="1"/>
  <c r="E50" s="1"/>
  <c r="F50" s="1"/>
  <c r="G50" s="1"/>
  <c r="H50" s="1"/>
  <c r="I50" s="1"/>
  <c r="J50" s="1"/>
  <c r="K50" s="1"/>
  <c r="L50" s="1"/>
  <c r="M50" s="1"/>
  <c r="C29"/>
  <c r="D29" s="1"/>
  <c r="E29" s="1"/>
  <c r="F29" s="1"/>
  <c r="G29" s="1"/>
  <c r="H29" s="1"/>
  <c r="I29" s="1"/>
  <c r="J29" s="1"/>
  <c r="K29" s="1"/>
  <c r="L29" s="1"/>
  <c r="M29" s="1"/>
  <c r="A82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C14"/>
  <c r="D14" s="1"/>
  <c r="E14" s="1"/>
  <c r="F14" s="1"/>
  <c r="G14" s="1"/>
  <c r="H14" s="1"/>
  <c r="I14" s="1"/>
  <c r="J14" s="1"/>
  <c r="K14" s="1"/>
  <c r="L14" s="1"/>
  <c r="M14" s="1"/>
  <c r="C5"/>
  <c r="D5" s="1"/>
  <c r="E5" s="1"/>
  <c r="F5" s="1"/>
  <c r="G5" s="1"/>
  <c r="H5" s="1"/>
  <c r="I5" s="1"/>
  <c r="J5" s="1"/>
  <c r="K5" s="1"/>
  <c r="L5" s="1"/>
  <c r="M5" s="1"/>
  <c r="N5" s="1"/>
  <c r="A36" i="40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C5"/>
  <c r="D5" s="1"/>
  <c r="E5" s="1"/>
  <c r="F5" s="1"/>
  <c r="G5" s="1"/>
  <c r="H5" s="1"/>
  <c r="I5" s="1"/>
  <c r="J5" s="1"/>
  <c r="K5" s="1"/>
  <c r="L5" s="1"/>
  <c r="M5" s="1"/>
  <c r="N5" s="1"/>
  <c r="O5" s="1"/>
  <c r="P5" s="1"/>
  <c r="Q5" s="1"/>
  <c r="R5" s="1"/>
  <c r="S5" s="1"/>
  <c r="T5" s="1"/>
  <c r="U5" s="1"/>
  <c r="V5" s="1"/>
  <c r="W5" s="1"/>
  <c r="X5" s="1"/>
  <c r="Y5" s="1"/>
  <c r="Z5" s="1"/>
  <c r="AA5" s="1"/>
  <c r="AB5" s="1"/>
  <c r="AC5" s="1"/>
  <c r="AD5" s="1"/>
  <c r="AE5" s="1"/>
  <c r="AF5" s="1"/>
  <c r="AG5" s="1"/>
  <c r="AH5" s="1"/>
  <c r="AI5" s="1"/>
  <c r="AJ5" s="1"/>
  <c r="AK5" s="1"/>
  <c r="AL5" s="1"/>
  <c r="AM5" s="1"/>
  <c r="AN5" s="1"/>
  <c r="AO5" s="1"/>
  <c r="AP5" s="1"/>
  <c r="AQ5" s="1"/>
  <c r="AR5" s="1"/>
  <c r="AS5" s="1"/>
  <c r="AT5" s="1"/>
  <c r="AU5" s="1"/>
  <c r="AV5" s="1"/>
  <c r="AW5" s="1"/>
  <c r="AX5" s="1"/>
  <c r="G11" i="211" l="1"/>
  <c r="N7" s="1"/>
  <c r="Q13" i="187"/>
  <c r="O15" i="211"/>
  <c r="O32" i="388"/>
  <c r="F5" l="1"/>
  <c r="F6" s="1"/>
  <c r="F7" s="1"/>
  <c r="F8" s="1"/>
  <c r="F9" s="1"/>
  <c r="F10" s="1"/>
  <c r="F11" s="1"/>
  <c r="F12" s="1"/>
  <c r="F13" s="1"/>
  <c r="F14" s="1"/>
  <c r="F15" s="1"/>
  <c r="A5"/>
  <c r="A6" s="1"/>
  <c r="A7" s="1"/>
  <c r="A8" s="1"/>
  <c r="A9" s="1"/>
  <c r="A10" s="1"/>
  <c r="A11" s="1"/>
  <c r="A12" s="1"/>
  <c r="A13" s="1"/>
  <c r="A14" s="1"/>
  <c r="A15" s="1"/>
  <c r="L5"/>
  <c r="L4"/>
  <c r="O33" s="1"/>
  <c r="O34" s="1"/>
  <c r="B34" i="387" l="1"/>
  <c r="B36" s="1"/>
  <c r="C31"/>
  <c r="B31"/>
  <c r="C30"/>
  <c r="B30"/>
  <c r="C29"/>
  <c r="B29"/>
  <c r="M19"/>
  <c r="J19"/>
  <c r="D16"/>
  <c r="C16"/>
  <c r="B16"/>
  <c r="D15"/>
  <c r="C15"/>
  <c r="B15"/>
  <c r="D29" l="1"/>
  <c r="D31"/>
  <c r="B33"/>
  <c r="C41" s="1"/>
  <c r="D30"/>
  <c r="C40" l="1"/>
  <c r="C39"/>
  <c r="B41"/>
  <c r="D41" s="1"/>
  <c r="B39"/>
  <c r="B40"/>
  <c r="D40" l="1"/>
  <c r="D39"/>
  <c r="D7" i="312" l="1"/>
  <c r="E4" i="384"/>
  <c r="E3"/>
  <c r="Y17" i="351" l="1"/>
  <c r="A29" i="385"/>
  <c r="B29" s="1"/>
  <c r="B28"/>
  <c r="B27"/>
  <c r="D23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8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A8"/>
  <c r="B8" s="1"/>
  <c r="B7"/>
  <c r="A9" l="1"/>
  <c r="A10" s="1"/>
  <c r="A11" s="1"/>
  <c r="A30"/>
  <c r="A31" s="1"/>
  <c r="A32" s="1"/>
  <c r="B9" l="1"/>
  <c r="B10"/>
  <c r="B30"/>
  <c r="B31"/>
  <c r="B11"/>
  <c r="A12"/>
  <c r="B32"/>
  <c r="A33"/>
  <c r="B12" l="1"/>
  <c r="A13"/>
  <c r="B33"/>
  <c r="A34"/>
  <c r="A14" l="1"/>
  <c r="B13"/>
  <c r="A35"/>
  <c r="B34"/>
  <c r="A15" l="1"/>
  <c r="B14"/>
  <c r="A36"/>
  <c r="B35"/>
  <c r="B15" l="1"/>
  <c r="A16"/>
  <c r="B36"/>
  <c r="A37"/>
  <c r="B37" s="1"/>
  <c r="B16" l="1"/>
  <c r="A17"/>
  <c r="A18" l="1"/>
  <c r="B17"/>
  <c r="A19" l="1"/>
  <c r="B18"/>
  <c r="B19" l="1"/>
  <c r="A20"/>
  <c r="B20" l="1"/>
  <c r="A21"/>
  <c r="A22" l="1"/>
  <c r="B21"/>
  <c r="A23" l="1"/>
  <c r="B22"/>
  <c r="B23" l="1"/>
  <c r="A24"/>
  <c r="A25" l="1"/>
  <c r="B24"/>
  <c r="A26" l="1"/>
  <c r="B26" s="1"/>
  <c r="B25"/>
  <c r="J19" i="384" l="1"/>
  <c r="J18"/>
  <c r="C14"/>
  <c r="B14"/>
  <c r="F13"/>
  <c r="K13" s="1"/>
  <c r="F12"/>
  <c r="K12" s="1"/>
  <c r="F11"/>
  <c r="G11" s="1"/>
  <c r="K25" s="1"/>
  <c r="F10"/>
  <c r="G10" s="1"/>
  <c r="K24" s="1"/>
  <c r="F8"/>
  <c r="K8" s="1"/>
  <c r="F7"/>
  <c r="K7" s="1"/>
  <c r="F6"/>
  <c r="G6" s="1"/>
  <c r="K20" s="1"/>
  <c r="J6"/>
  <c r="J5"/>
  <c r="F5"/>
  <c r="G5" s="1"/>
  <c r="K19" s="1"/>
  <c r="J4"/>
  <c r="F4"/>
  <c r="G4" s="1"/>
  <c r="K18" s="1"/>
  <c r="K11" l="1"/>
  <c r="K5"/>
  <c r="K6"/>
  <c r="G7"/>
  <c r="K21" s="1"/>
  <c r="F14"/>
  <c r="G14" s="1"/>
  <c r="K4"/>
  <c r="J20"/>
  <c r="G12"/>
  <c r="K26" s="1"/>
  <c r="K10"/>
  <c r="G8"/>
  <c r="K22" s="1"/>
  <c r="G13"/>
  <c r="K27" s="1"/>
  <c r="J21" l="1"/>
  <c r="J7"/>
  <c r="J8" l="1"/>
  <c r="J10" l="1"/>
  <c r="J11" l="1"/>
  <c r="J12" l="1"/>
  <c r="J13" l="1"/>
  <c r="O42" i="219" l="1"/>
  <c r="AB16" i="53"/>
  <c r="AB15"/>
  <c r="B19" i="383"/>
  <c r="B6"/>
  <c r="B11"/>
  <c r="B8"/>
  <c r="B21"/>
  <c r="B25"/>
  <c r="B24"/>
  <c r="B13"/>
  <c r="B14" i="379"/>
  <c r="B6"/>
  <c r="B7" s="1"/>
  <c r="B8" s="1"/>
  <c r="B11" s="1"/>
  <c r="B12" s="1"/>
  <c r="R26" i="206"/>
  <c r="Q26"/>
  <c r="S26" s="1"/>
  <c r="P26"/>
  <c r="T26" s="1"/>
  <c r="R25"/>
  <c r="Q25"/>
  <c r="S25" s="1"/>
  <c r="P25"/>
  <c r="T25" s="1"/>
  <c r="R24"/>
  <c r="Q24"/>
  <c r="S24" s="1"/>
  <c r="P24"/>
  <c r="T24" s="1"/>
  <c r="R23"/>
  <c r="Q23"/>
  <c r="S23" s="1"/>
  <c r="P23"/>
  <c r="T23" s="1"/>
  <c r="R35" i="197"/>
  <c r="Q35"/>
  <c r="S35" s="1"/>
  <c r="P35"/>
  <c r="T35" s="1"/>
  <c r="R34"/>
  <c r="Q34"/>
  <c r="S34" s="1"/>
  <c r="P34"/>
  <c r="T34" s="1"/>
  <c r="R33"/>
  <c r="Q33"/>
  <c r="S33" s="1"/>
  <c r="P33"/>
  <c r="T33" s="1"/>
  <c r="R32"/>
  <c r="Q32"/>
  <c r="S32" s="1"/>
  <c r="P32"/>
  <c r="T32" s="1"/>
  <c r="H16" i="190"/>
  <c r="G16"/>
  <c r="H14"/>
  <c r="K10"/>
  <c r="J10"/>
  <c r="I10"/>
  <c r="H10"/>
  <c r="G10"/>
  <c r="K9"/>
  <c r="J9"/>
  <c r="I9"/>
  <c r="H9"/>
  <c r="G9"/>
  <c r="K8"/>
  <c r="J8"/>
  <c r="I8"/>
  <c r="H8"/>
  <c r="G8"/>
  <c r="K7"/>
  <c r="J7"/>
  <c r="I7"/>
  <c r="H7"/>
  <c r="G7"/>
  <c r="O17" i="187"/>
  <c r="B26" i="383" l="1"/>
  <c r="B12"/>
  <c r="B14" s="1"/>
  <c r="H15" i="190"/>
  <c r="L14" s="1"/>
  <c r="R27" i="206"/>
  <c r="R36" i="197"/>
  <c r="Q36"/>
  <c r="P39" s="1"/>
  <c r="G15" i="190"/>
  <c r="Q30" i="206"/>
  <c r="T36" i="197"/>
  <c r="S36"/>
  <c r="R39"/>
  <c r="T27" i="206"/>
  <c r="Q27"/>
  <c r="I16" i="190"/>
  <c r="B10" i="379"/>
  <c r="S27" i="206"/>
  <c r="B4" i="377"/>
  <c r="B5" s="1"/>
  <c r="B6" s="1"/>
  <c r="B7" s="1"/>
  <c r="I15" i="190" l="1"/>
  <c r="R30" i="206"/>
  <c r="S30" s="1"/>
  <c r="G14" i="190"/>
  <c r="I14" s="1"/>
  <c r="N39" i="197"/>
  <c r="O39" s="1"/>
  <c r="Q39" s="1"/>
  <c r="U39" s="1"/>
  <c r="B20" i="45"/>
  <c r="B6" i="376"/>
  <c r="B9" s="1"/>
  <c r="B10" s="1"/>
  <c r="D17" i="375"/>
  <c r="D16"/>
  <c r="D14"/>
  <c r="D13"/>
  <c r="D8"/>
  <c r="D7"/>
  <c r="D6"/>
  <c r="D4"/>
  <c r="D5" s="1"/>
  <c r="C11" i="373"/>
  <c r="D7"/>
  <c r="D6"/>
  <c r="D5"/>
  <c r="E5" s="1"/>
  <c r="E10" s="1"/>
  <c r="W39" i="197" l="1"/>
  <c r="T39"/>
  <c r="V39"/>
  <c r="N30" i="206"/>
  <c r="O30" s="1"/>
  <c r="P30" s="1"/>
  <c r="T30" s="1"/>
  <c r="S39" i="197"/>
  <c r="E11" i="373"/>
  <c r="F11"/>
  <c r="F28"/>
  <c r="F26"/>
  <c r="F24"/>
  <c r="F22"/>
  <c r="F20"/>
  <c r="F18"/>
  <c r="F16"/>
  <c r="F14"/>
  <c r="F12"/>
  <c r="F10"/>
  <c r="F29"/>
  <c r="F27"/>
  <c r="F25"/>
  <c r="F23"/>
  <c r="F21"/>
  <c r="F19"/>
  <c r="F17"/>
  <c r="F15"/>
  <c r="F13"/>
  <c r="C12"/>
  <c r="C11" i="374"/>
  <c r="C12" s="1"/>
  <c r="C13" s="1"/>
  <c r="C14" s="1"/>
  <c r="C15" s="1"/>
  <c r="C16" s="1"/>
  <c r="C17" s="1"/>
  <c r="D7"/>
  <c r="D6"/>
  <c r="D5"/>
  <c r="E5" s="1"/>
  <c r="E10" s="1"/>
  <c r="E5" i="372"/>
  <c r="E6" s="1"/>
  <c r="E7" s="1"/>
  <c r="E8" s="1"/>
  <c r="E9" s="1"/>
  <c r="E10" s="1"/>
  <c r="E11" s="1"/>
  <c r="E12" s="1"/>
  <c r="B25"/>
  <c r="B24"/>
  <c r="I16" i="387" l="1"/>
  <c r="I15"/>
  <c r="I16" i="388"/>
  <c r="I17" s="1"/>
  <c r="T8" i="349"/>
  <c r="X9" s="1"/>
  <c r="G15" i="387"/>
  <c r="G16"/>
  <c r="H16"/>
  <c r="H15"/>
  <c r="G16" i="388"/>
  <c r="G17" s="1"/>
  <c r="J17" s="1"/>
  <c r="L6" s="1"/>
  <c r="L8" s="1"/>
  <c r="L10" s="1"/>
  <c r="U8" i="349"/>
  <c r="Y9" s="1"/>
  <c r="H16" i="388"/>
  <c r="H17" s="1"/>
  <c r="L7"/>
  <c r="C13" i="373"/>
  <c r="E12"/>
  <c r="C20" i="372"/>
  <c r="C4"/>
  <c r="F12" i="374"/>
  <c r="F11"/>
  <c r="E11"/>
  <c r="E13"/>
  <c r="E15"/>
  <c r="E17"/>
  <c r="E12"/>
  <c r="E14"/>
  <c r="E16"/>
  <c r="F10"/>
  <c r="F17"/>
  <c r="F15"/>
  <c r="F13"/>
  <c r="F16"/>
  <c r="F14"/>
  <c r="C22" i="372"/>
  <c r="C21"/>
  <c r="C19"/>
  <c r="C18"/>
  <c r="C6"/>
  <c r="C17"/>
  <c r="C13"/>
  <c r="C9"/>
  <c r="C5"/>
  <c r="C16"/>
  <c r="C12"/>
  <c r="C8"/>
  <c r="C15"/>
  <c r="C11"/>
  <c r="C7"/>
  <c r="C23"/>
  <c r="C14"/>
  <c r="C10"/>
  <c r="H17" i="387" l="1"/>
  <c r="G17"/>
  <c r="J17" s="1"/>
  <c r="I17"/>
  <c r="J16"/>
  <c r="M20" s="1"/>
  <c r="M21" s="1"/>
  <c r="L3" i="388"/>
  <c r="C14" i="373"/>
  <c r="E13"/>
  <c r="K9" i="366"/>
  <c r="K8"/>
  <c r="K10" s="1"/>
  <c r="J18" i="387" l="1"/>
  <c r="J20" s="1"/>
  <c r="J22" s="1"/>
  <c r="K15" i="366"/>
  <c r="K12"/>
  <c r="K13" s="1"/>
  <c r="C15" i="373"/>
  <c r="E14"/>
  <c r="T4" i="28"/>
  <c r="T3"/>
  <c r="C20" i="371"/>
  <c r="D20"/>
  <c r="E20"/>
  <c r="B20"/>
  <c r="C19"/>
  <c r="D19"/>
  <c r="E19"/>
  <c r="B19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M42" i="370"/>
  <c r="L42"/>
  <c r="K42"/>
  <c r="J42"/>
  <c r="F31"/>
  <c r="F28"/>
  <c r="E28"/>
  <c r="E31" s="1"/>
  <c r="D28"/>
  <c r="D31" s="1"/>
  <c r="C28"/>
  <c r="M24"/>
  <c r="M36" s="1"/>
  <c r="L24"/>
  <c r="L36" s="1"/>
  <c r="K24"/>
  <c r="K36" s="1"/>
  <c r="J24"/>
  <c r="J30" s="1"/>
  <c r="I24"/>
  <c r="I36" s="1"/>
  <c r="F24"/>
  <c r="E24"/>
  <c r="D24"/>
  <c r="C24"/>
  <c r="B24"/>
  <c r="M23"/>
  <c r="M35" s="1"/>
  <c r="L23"/>
  <c r="L35" s="1"/>
  <c r="K23"/>
  <c r="K35" s="1"/>
  <c r="J23"/>
  <c r="J35" s="1"/>
  <c r="I23"/>
  <c r="I35" s="1"/>
  <c r="F23"/>
  <c r="E23"/>
  <c r="D23"/>
  <c r="C23"/>
  <c r="B23"/>
  <c r="M22"/>
  <c r="M34" s="1"/>
  <c r="L22"/>
  <c r="L34" s="1"/>
  <c r="K22"/>
  <c r="K34" s="1"/>
  <c r="J22"/>
  <c r="J34" s="1"/>
  <c r="I22"/>
  <c r="I34" s="1"/>
  <c r="F22"/>
  <c r="E22"/>
  <c r="D22"/>
  <c r="C22"/>
  <c r="B22"/>
  <c r="M21"/>
  <c r="M27" s="1"/>
  <c r="L21"/>
  <c r="L33" s="1"/>
  <c r="K21"/>
  <c r="K33" s="1"/>
  <c r="J21"/>
  <c r="J33" s="1"/>
  <c r="I21"/>
  <c r="I33" s="1"/>
  <c r="F21"/>
  <c r="E21"/>
  <c r="D21"/>
  <c r="C21"/>
  <c r="B21"/>
  <c r="C20"/>
  <c r="D20" s="1"/>
  <c r="E20" s="1"/>
  <c r="F20" s="1"/>
  <c r="M14"/>
  <c r="L14"/>
  <c r="K14"/>
  <c r="J14"/>
  <c r="M13"/>
  <c r="L13"/>
  <c r="K13"/>
  <c r="J13"/>
  <c r="F13"/>
  <c r="E13"/>
  <c r="D13"/>
  <c r="C13"/>
  <c r="M9"/>
  <c r="L9"/>
  <c r="K9"/>
  <c r="J9"/>
  <c r="I9"/>
  <c r="M8"/>
  <c r="L8"/>
  <c r="K8"/>
  <c r="J8"/>
  <c r="I8"/>
  <c r="M7"/>
  <c r="L7"/>
  <c r="K7"/>
  <c r="J7"/>
  <c r="I7"/>
  <c r="M6"/>
  <c r="L6"/>
  <c r="K6"/>
  <c r="J6"/>
  <c r="I6"/>
  <c r="D12" i="369"/>
  <c r="D11"/>
  <c r="D10"/>
  <c r="D9"/>
  <c r="D8"/>
  <c r="D7"/>
  <c r="D6"/>
  <c r="E6" s="1"/>
  <c r="C38" i="368"/>
  <c r="B38"/>
  <c r="A38"/>
  <c r="A37"/>
  <c r="C27"/>
  <c r="C28" s="1"/>
  <c r="C29" s="1"/>
  <c r="C30" s="1"/>
  <c r="C31" s="1"/>
  <c r="C32" s="1"/>
  <c r="G6"/>
  <c r="F7" s="1"/>
  <c r="E6"/>
  <c r="C6"/>
  <c r="C7" s="1"/>
  <c r="C8" s="1"/>
  <c r="C9" s="1"/>
  <c r="C10" s="1"/>
  <c r="C11" s="1"/>
  <c r="C12" s="1"/>
  <c r="E5"/>
  <c r="G20" i="367"/>
  <c r="F17"/>
  <c r="F14"/>
  <c r="F13"/>
  <c r="G7"/>
  <c r="G6"/>
  <c r="F3"/>
  <c r="F2"/>
  <c r="H12" i="366"/>
  <c r="H15" s="1"/>
  <c r="H6"/>
  <c r="H9" s="1"/>
  <c r="E24"/>
  <c r="E17"/>
  <c r="E14"/>
  <c r="E21" s="1"/>
  <c r="E8"/>
  <c r="E15" s="1"/>
  <c r="E22" s="1"/>
  <c r="B14"/>
  <c r="B15"/>
  <c r="B16"/>
  <c r="B9"/>
  <c r="B10" s="1"/>
  <c r="E5" i="365"/>
  <c r="E7" s="1"/>
  <c r="B5"/>
  <c r="C10" i="364"/>
  <c r="B6"/>
  <c r="B7" s="1"/>
  <c r="M15" i="370" l="1"/>
  <c r="C16" i="373"/>
  <c r="E15"/>
  <c r="L28" i="370"/>
  <c r="B17" i="366"/>
  <c r="B19" s="1"/>
  <c r="B20" s="1"/>
  <c r="J15" i="370"/>
  <c r="M33"/>
  <c r="D21" i="371"/>
  <c r="L15" i="370"/>
  <c r="E7" i="369"/>
  <c r="E8" s="1"/>
  <c r="E9" s="1"/>
  <c r="E10" s="1"/>
  <c r="E11" s="1"/>
  <c r="E12" s="1"/>
  <c r="I27" i="370"/>
  <c r="C30"/>
  <c r="I28"/>
  <c r="K29"/>
  <c r="E10" i="366"/>
  <c r="E11" s="1"/>
  <c r="C21" i="371"/>
  <c r="J27" i="370"/>
  <c r="M28"/>
  <c r="E30"/>
  <c r="B21" i="371"/>
  <c r="E25" i="366"/>
  <c r="G7" i="368"/>
  <c r="F8" s="1"/>
  <c r="E18" i="366"/>
  <c r="E7" i="368"/>
  <c r="K15" i="370"/>
  <c r="D29"/>
  <c r="D30"/>
  <c r="F30"/>
  <c r="E29"/>
  <c r="C31"/>
  <c r="L43"/>
  <c r="E21" i="371"/>
  <c r="M43" i="370"/>
  <c r="J36"/>
  <c r="F29"/>
  <c r="L29"/>
  <c r="K30"/>
  <c r="K27"/>
  <c r="J28"/>
  <c r="C29"/>
  <c r="I29"/>
  <c r="M29"/>
  <c r="L30"/>
  <c r="L27"/>
  <c r="K28"/>
  <c r="J29"/>
  <c r="J43" s="1"/>
  <c r="I30"/>
  <c r="M30"/>
  <c r="K43" s="1"/>
  <c r="B39" i="368"/>
  <c r="E26" i="366"/>
  <c r="E19"/>
  <c r="E8" i="365"/>
  <c r="B7"/>
  <c r="A39" i="368"/>
  <c r="F32" i="370" l="1"/>
  <c r="N14" i="190"/>
  <c r="M14"/>
  <c r="J14"/>
  <c r="K14" s="1"/>
  <c r="L9"/>
  <c r="M9" s="1"/>
  <c r="L10"/>
  <c r="L7"/>
  <c r="M7" s="1"/>
  <c r="L8"/>
  <c r="C17" i="373"/>
  <c r="E16"/>
  <c r="C32" i="370"/>
  <c r="E32"/>
  <c r="D32"/>
  <c r="E8" i="368"/>
  <c r="G8"/>
  <c r="F9" s="1"/>
  <c r="C39"/>
  <c r="N10" i="190" l="1"/>
  <c r="M10"/>
  <c r="N9"/>
  <c r="N7"/>
  <c r="M8"/>
  <c r="N8"/>
  <c r="C18" i="373"/>
  <c r="E17"/>
  <c r="G9" i="368"/>
  <c r="F10" s="1"/>
  <c r="E9"/>
  <c r="B40"/>
  <c r="A40"/>
  <c r="E10" l="1"/>
  <c r="G10"/>
  <c r="F11" s="1"/>
  <c r="G11" s="1"/>
  <c r="C19" i="373"/>
  <c r="E18"/>
  <c r="C40" i="368"/>
  <c r="B41" l="1"/>
  <c r="C41"/>
  <c r="C42" s="1"/>
  <c r="E11"/>
  <c r="E12" s="1"/>
  <c r="C20" i="373"/>
  <c r="E19"/>
  <c r="F12" i="368"/>
  <c r="G12"/>
  <c r="A41"/>
  <c r="B42" l="1"/>
  <c r="C21" i="373"/>
  <c r="E20"/>
  <c r="E13" i="368"/>
  <c r="F13"/>
  <c r="G13" s="1"/>
  <c r="A42"/>
  <c r="B43" l="1"/>
  <c r="C22" i="373"/>
  <c r="E21"/>
  <c r="F14" i="368"/>
  <c r="G14" s="1"/>
  <c r="E14"/>
  <c r="C23" i="373" l="1"/>
  <c r="E22"/>
  <c r="E15" i="368"/>
  <c r="G15"/>
  <c r="F15"/>
  <c r="C43"/>
  <c r="A43"/>
  <c r="B44" l="1"/>
  <c r="C44"/>
  <c r="C24" i="373"/>
  <c r="E23"/>
  <c r="F16" i="368"/>
  <c r="G16"/>
  <c r="E16"/>
  <c r="A44"/>
  <c r="B45" l="1"/>
  <c r="C25" i="373"/>
  <c r="E24"/>
  <c r="G17" i="368"/>
  <c r="E17"/>
  <c r="F17"/>
  <c r="C26" i="373" l="1"/>
  <c r="E25"/>
  <c r="F18" i="368"/>
  <c r="G18" s="1"/>
  <c r="E18"/>
  <c r="C45"/>
  <c r="A45"/>
  <c r="B46" l="1"/>
  <c r="C27" i="373"/>
  <c r="E26"/>
  <c r="E19" i="368"/>
  <c r="G19"/>
  <c r="F19"/>
  <c r="A46"/>
  <c r="C28" i="373" l="1"/>
  <c r="E27"/>
  <c r="F20" i="368"/>
  <c r="G20"/>
  <c r="E20"/>
  <c r="C46"/>
  <c r="B47" l="1"/>
  <c r="C47"/>
  <c r="C29" i="373"/>
  <c r="E29" s="1"/>
  <c r="E28"/>
  <c r="A47" i="368"/>
  <c r="B48" l="1"/>
  <c r="C48"/>
  <c r="A48"/>
  <c r="C49" l="1"/>
  <c r="B49"/>
  <c r="A49"/>
  <c r="B50" l="1"/>
  <c r="B11" i="363"/>
  <c r="B5"/>
  <c r="B6" s="1"/>
  <c r="B7" s="1"/>
  <c r="H8" i="307"/>
  <c r="H10" s="1"/>
  <c r="H11" s="1"/>
  <c r="H14"/>
  <c r="E7"/>
  <c r="E8" s="1"/>
  <c r="E9" s="1"/>
  <c r="E11" s="1"/>
  <c r="A12" i="363"/>
  <c r="A13" s="1"/>
  <c r="B32" i="319"/>
  <c r="A4" i="362"/>
  <c r="A5" s="1"/>
  <c r="A6" s="1"/>
  <c r="J8" i="7"/>
  <c r="J7"/>
  <c r="J6"/>
  <c r="J5"/>
  <c r="J4"/>
  <c r="A50" i="368"/>
  <c r="C13" i="363" l="1"/>
  <c r="B13"/>
  <c r="B4" i="362"/>
  <c r="J9" i="7"/>
  <c r="K8" s="1"/>
  <c r="B6" i="362"/>
  <c r="A7"/>
  <c r="E13" i="307"/>
  <c r="B5" i="362"/>
  <c r="B12" i="363"/>
  <c r="C11"/>
  <c r="C12"/>
  <c r="A14"/>
  <c r="G5" i="360"/>
  <c r="B14"/>
  <c r="B17"/>
  <c r="B5"/>
  <c r="B8" s="1"/>
  <c r="B9" s="1"/>
  <c r="C50" i="368"/>
  <c r="C51" l="1"/>
  <c r="C52" s="1"/>
  <c r="B51"/>
  <c r="K6" i="7"/>
  <c r="K4"/>
  <c r="G9" i="360"/>
  <c r="K5" i="7"/>
  <c r="K7"/>
  <c r="C14" i="363"/>
  <c r="B14"/>
  <c r="B7" i="360"/>
  <c r="B11" s="1"/>
  <c r="B13" s="1"/>
  <c r="A8" i="362"/>
  <c r="B7"/>
  <c r="A15" i="363"/>
  <c r="A16" s="1"/>
  <c r="H5" i="359"/>
  <c r="F5"/>
  <c r="F6" s="1"/>
  <c r="F7" s="1"/>
  <c r="H4"/>
  <c r="D18"/>
  <c r="D17"/>
  <c r="D16"/>
  <c r="D15"/>
  <c r="D14"/>
  <c r="D13"/>
  <c r="D12"/>
  <c r="D11"/>
  <c r="D10"/>
  <c r="D9"/>
  <c r="D8"/>
  <c r="D7"/>
  <c r="D6"/>
  <c r="D5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D4"/>
  <c r="K26" i="358"/>
  <c r="L21"/>
  <c r="J5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K29"/>
  <c r="L4"/>
  <c r="A51" i="368"/>
  <c r="B15" i="360" l="1"/>
  <c r="B52" i="368"/>
  <c r="D19" i="359"/>
  <c r="B8" i="362"/>
  <c r="A9"/>
  <c r="C16" i="363"/>
  <c r="B16"/>
  <c r="B15"/>
  <c r="C15"/>
  <c r="A17"/>
  <c r="F8" i="359"/>
  <c r="H6"/>
  <c r="L5" i="358"/>
  <c r="A52" i="368"/>
  <c r="C17" i="363" l="1"/>
  <c r="B17"/>
  <c r="A10" i="362"/>
  <c r="B9"/>
  <c r="A18" i="363"/>
  <c r="H7" i="359"/>
  <c r="F9"/>
  <c r="H8"/>
  <c r="L6" i="358"/>
  <c r="L7"/>
  <c r="C18" i="363" l="1"/>
  <c r="B18"/>
  <c r="B10" i="362"/>
  <c r="A11"/>
  <c r="A19" i="363"/>
  <c r="H9" i="359"/>
  <c r="F10"/>
  <c r="L8" i="358"/>
  <c r="B19" i="363" l="1"/>
  <c r="C19"/>
  <c r="A12" i="362"/>
  <c r="B11"/>
  <c r="A20" i="363"/>
  <c r="F11" i="359"/>
  <c r="H10"/>
  <c r="L9" i="358"/>
  <c r="A13" i="362" l="1"/>
  <c r="B12"/>
  <c r="C20" i="363"/>
  <c r="B20"/>
  <c r="A21"/>
  <c r="F12" i="359"/>
  <c r="H11"/>
  <c r="L10" i="358"/>
  <c r="C21" i="363" l="1"/>
  <c r="B21"/>
  <c r="A14" i="362"/>
  <c r="B13"/>
  <c r="A22" i="363"/>
  <c r="H13" i="359"/>
  <c r="H12"/>
  <c r="L11" i="358"/>
  <c r="C22" i="363" l="1"/>
  <c r="B22"/>
  <c r="H14" i="359"/>
  <c r="I13" s="1"/>
  <c r="B14" i="362"/>
  <c r="A15"/>
  <c r="A23" i="363"/>
  <c r="L12" i="358"/>
  <c r="B23" i="363" l="1"/>
  <c r="C23"/>
  <c r="A16" i="362"/>
  <c r="B15"/>
  <c r="I4" i="359"/>
  <c r="J4" s="1"/>
  <c r="I5"/>
  <c r="I6"/>
  <c r="I8"/>
  <c r="I7"/>
  <c r="I9"/>
  <c r="I10"/>
  <c r="I11"/>
  <c r="I12"/>
  <c r="A24" i="363"/>
  <c r="L13" i="358"/>
  <c r="C24" i="363" l="1"/>
  <c r="B24"/>
  <c r="J5" i="359"/>
  <c r="J6" s="1"/>
  <c r="J7" s="1"/>
  <c r="J8" s="1"/>
  <c r="J9" s="1"/>
  <c r="J10" s="1"/>
  <c r="J11" s="1"/>
  <c r="J12" s="1"/>
  <c r="J13" s="1"/>
  <c r="B16" i="362"/>
  <c r="A17"/>
  <c r="A25" i="363"/>
  <c r="L14" i="358"/>
  <c r="C25" i="363" l="1"/>
  <c r="B25"/>
  <c r="A18" i="362"/>
  <c r="B17"/>
  <c r="A26" i="363"/>
  <c r="L15" i="358"/>
  <c r="B26" i="363" l="1"/>
  <c r="C26"/>
  <c r="B18" i="362"/>
  <c r="A19"/>
  <c r="A27" i="363"/>
  <c r="L16" i="358"/>
  <c r="B27" i="363" l="1"/>
  <c r="C27"/>
  <c r="A20" i="362"/>
  <c r="B19"/>
  <c r="A28" i="363"/>
  <c r="L17" i="358"/>
  <c r="C28" i="363" l="1"/>
  <c r="B28"/>
  <c r="B20" i="362"/>
  <c r="A21"/>
  <c r="A29" i="363"/>
  <c r="L18" i="358"/>
  <c r="C29" i="363" l="1"/>
  <c r="B29"/>
  <c r="A22" i="362"/>
  <c r="B21"/>
  <c r="A30" i="363"/>
  <c r="L19" i="358"/>
  <c r="L20"/>
  <c r="B22" i="362" l="1"/>
  <c r="A23"/>
  <c r="C30" i="363"/>
  <c r="B30"/>
  <c r="A31"/>
  <c r="L22" i="358"/>
  <c r="N24" l="1"/>
  <c r="N25"/>
  <c r="N26"/>
  <c r="B31" i="363"/>
  <c r="C31"/>
  <c r="A24" i="362"/>
  <c r="B23"/>
  <c r="M19" i="358"/>
  <c r="M20"/>
  <c r="M4"/>
  <c r="N4" s="1"/>
  <c r="M5"/>
  <c r="M6"/>
  <c r="M7"/>
  <c r="M8"/>
  <c r="M9"/>
  <c r="M10"/>
  <c r="M11"/>
  <c r="M12"/>
  <c r="M13"/>
  <c r="M14"/>
  <c r="M15"/>
  <c r="M16"/>
  <c r="M17"/>
  <c r="M18"/>
  <c r="M21"/>
  <c r="B24" i="362" l="1"/>
  <c r="A25"/>
  <c r="N5" i="358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A26" i="362" l="1"/>
  <c r="B25"/>
  <c r="N20" i="358"/>
  <c r="N21" s="1"/>
  <c r="B26" i="362" l="1"/>
  <c r="A27"/>
  <c r="L31" i="358"/>
  <c r="L30"/>
  <c r="K31"/>
  <c r="K30"/>
  <c r="L29"/>
  <c r="M29" s="1"/>
  <c r="M30" l="1"/>
  <c r="A28" i="362"/>
  <c r="B27"/>
  <c r="E21" i="357"/>
  <c r="E20"/>
  <c r="E19"/>
  <c r="F10"/>
  <c r="F7"/>
  <c r="F6"/>
  <c r="F5"/>
  <c r="F8"/>
  <c r="F9"/>
  <c r="F12"/>
  <c r="F13"/>
  <c r="F4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9" i="362" l="1"/>
  <c r="B28"/>
  <c r="F11" i="357"/>
  <c r="B29" i="362" l="1"/>
  <c r="A30"/>
  <c r="F14" i="357"/>
  <c r="G5" s="1"/>
  <c r="G4" l="1"/>
  <c r="H8"/>
  <c r="H4"/>
  <c r="G12"/>
  <c r="H5"/>
  <c r="H12"/>
  <c r="G10"/>
  <c r="H13"/>
  <c r="G13"/>
  <c r="B30" i="362"/>
  <c r="A31"/>
  <c r="H10" i="357"/>
  <c r="H11"/>
  <c r="G9"/>
  <c r="G8"/>
  <c r="G7"/>
  <c r="G6"/>
  <c r="H6"/>
  <c r="H7"/>
  <c r="H9"/>
  <c r="G11"/>
  <c r="B31" i="362" l="1"/>
  <c r="A32"/>
  <c r="G4" i="356"/>
  <c r="D5"/>
  <c r="D6"/>
  <c r="D7"/>
  <c r="D8"/>
  <c r="D9"/>
  <c r="D10"/>
  <c r="D11"/>
  <c r="D12"/>
  <c r="D13"/>
  <c r="D14"/>
  <c r="D17"/>
  <c r="D18"/>
  <c r="D4"/>
  <c r="M18"/>
  <c r="N18" s="1"/>
  <c r="M17"/>
  <c r="P17" s="1"/>
  <c r="P16"/>
  <c r="M15"/>
  <c r="M14"/>
  <c r="N14" s="1"/>
  <c r="M13"/>
  <c r="P13" s="1"/>
  <c r="M12"/>
  <c r="P12" s="1"/>
  <c r="M11"/>
  <c r="N11" s="1"/>
  <c r="M10"/>
  <c r="N10" s="1"/>
  <c r="M9"/>
  <c r="P9" s="1"/>
  <c r="M8"/>
  <c r="M7"/>
  <c r="P7" s="1"/>
  <c r="M6"/>
  <c r="N6" s="1"/>
  <c r="M5"/>
  <c r="P5" s="1"/>
  <c r="M4"/>
  <c r="J5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Q15" l="1"/>
  <c r="P11"/>
  <c r="N7"/>
  <c r="B32" i="362"/>
  <c r="A33"/>
  <c r="P18" i="356"/>
  <c r="N15"/>
  <c r="P14"/>
  <c r="Q4"/>
  <c r="Q8"/>
  <c r="N4"/>
  <c r="N8"/>
  <c r="N12"/>
  <c r="N16"/>
  <c r="N5"/>
  <c r="Q6"/>
  <c r="N9"/>
  <c r="Q10"/>
  <c r="N13"/>
  <c r="N17"/>
  <c r="E10" i="354"/>
  <c r="E11" s="1"/>
  <c r="E7"/>
  <c r="E6"/>
  <c r="C10"/>
  <c r="C11" s="1"/>
  <c r="C7"/>
  <c r="C6"/>
  <c r="E8" l="1"/>
  <c r="A34" i="362"/>
  <c r="B33"/>
  <c r="Q18" i="356"/>
  <c r="Q7"/>
  <c r="Q5"/>
  <c r="Q11"/>
  <c r="P15"/>
  <c r="P6"/>
  <c r="P10"/>
  <c r="Q14"/>
  <c r="T4"/>
  <c r="T5" s="1"/>
  <c r="T6" s="1"/>
  <c r="T7" s="1"/>
  <c r="Q17"/>
  <c r="Q12"/>
  <c r="Q16"/>
  <c r="Q9"/>
  <c r="P4"/>
  <c r="Q13"/>
  <c r="P8"/>
  <c r="C8" i="354"/>
  <c r="A35" i="362" l="1"/>
  <c r="B34"/>
  <c r="Q19" i="356"/>
  <c r="P19"/>
  <c r="D8" i="353"/>
  <c r="D12"/>
  <c r="D14"/>
  <c r="D20"/>
  <c r="D22"/>
  <c r="D23"/>
  <c r="D30"/>
  <c r="D32"/>
  <c r="D33"/>
  <c r="D9"/>
  <c r="D17"/>
  <c r="D21"/>
  <c r="D7"/>
  <c r="D11"/>
  <c r="D15"/>
  <c r="D28"/>
  <c r="D29"/>
  <c r="D19"/>
  <c r="D25"/>
  <c r="D27"/>
  <c r="D31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D16"/>
  <c r="D13"/>
  <c r="D5"/>
  <c r="E19" l="1"/>
  <c r="E15"/>
  <c r="E17"/>
  <c r="E30"/>
  <c r="E14"/>
  <c r="H25"/>
  <c r="E20"/>
  <c r="G5"/>
  <c r="E31"/>
  <c r="E11"/>
  <c r="E23"/>
  <c r="E13"/>
  <c r="E27"/>
  <c r="E33"/>
  <c r="E22"/>
  <c r="E8"/>
  <c r="A36" i="362"/>
  <c r="B35"/>
  <c r="T3" i="356"/>
  <c r="T8" s="1"/>
  <c r="D4" i="353"/>
  <c r="G27"/>
  <c r="D6"/>
  <c r="E25"/>
  <c r="G19"/>
  <c r="D24"/>
  <c r="D18"/>
  <c r="D26"/>
  <c r="D10"/>
  <c r="E32"/>
  <c r="H32"/>
  <c r="H29"/>
  <c r="E29"/>
  <c r="G21"/>
  <c r="E21"/>
  <c r="G28"/>
  <c r="E28"/>
  <c r="G31"/>
  <c r="H22"/>
  <c r="G30"/>
  <c r="G23"/>
  <c r="H20"/>
  <c r="G33"/>
  <c r="H14"/>
  <c r="E7"/>
  <c r="E9"/>
  <c r="E12"/>
  <c r="E16"/>
  <c r="E5"/>
  <c r="H15"/>
  <c r="D14" i="352"/>
  <c r="D7"/>
  <c r="D15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U7" i="351"/>
  <c r="T7"/>
  <c r="T6"/>
  <c r="H12" i="350"/>
  <c r="J19" s="1"/>
  <c r="I5"/>
  <c r="H5"/>
  <c r="B18"/>
  <c r="A18"/>
  <c r="U11" i="349"/>
  <c r="U10"/>
  <c r="U7"/>
  <c r="T7"/>
  <c r="H14" i="352" l="1"/>
  <c r="E26" i="353"/>
  <c r="Y20" i="351"/>
  <c r="E18" i="353"/>
  <c r="E6"/>
  <c r="H15" i="352"/>
  <c r="G24" i="353"/>
  <c r="E7" i="352"/>
  <c r="E10" i="353"/>
  <c r="T14" i="351"/>
  <c r="U14" i="349"/>
  <c r="E24" i="353"/>
  <c r="B36" i="362"/>
  <c r="A37"/>
  <c r="E4" i="353"/>
  <c r="G14"/>
  <c r="G8"/>
  <c r="G12"/>
  <c r="H11"/>
  <c r="G17"/>
  <c r="G13"/>
  <c r="H10"/>
  <c r="H7"/>
  <c r="H16"/>
  <c r="G9"/>
  <c r="G6"/>
  <c r="G18"/>
  <c r="G7" i="352"/>
  <c r="E15"/>
  <c r="E14"/>
  <c r="D6"/>
  <c r="D11"/>
  <c r="D18"/>
  <c r="D10"/>
  <c r="D17"/>
  <c r="D13"/>
  <c r="D9"/>
  <c r="D5"/>
  <c r="D16"/>
  <c r="D12"/>
  <c r="D8"/>
  <c r="D4"/>
  <c r="T8" i="351"/>
  <c r="T9" s="1"/>
  <c r="U8"/>
  <c r="U9" s="1"/>
  <c r="E18" i="350"/>
  <c r="I6" s="1"/>
  <c r="I7" s="1"/>
  <c r="D18"/>
  <c r="H6" s="1"/>
  <c r="H7" s="1"/>
  <c r="T14" i="349"/>
  <c r="B18" i="348"/>
  <c r="A18"/>
  <c r="I5"/>
  <c r="H5"/>
  <c r="I5" i="347"/>
  <c r="H5"/>
  <c r="B18"/>
  <c r="A18"/>
  <c r="K25" i="346"/>
  <c r="K26" s="1"/>
  <c r="K27"/>
  <c r="K28"/>
  <c r="K29"/>
  <c r="J29"/>
  <c r="J28"/>
  <c r="J27"/>
  <c r="J25"/>
  <c r="J26" s="1"/>
  <c r="D11"/>
  <c r="E7"/>
  <c r="E6"/>
  <c r="E5"/>
  <c r="F5" s="1"/>
  <c r="F10" s="1"/>
  <c r="K7" i="343"/>
  <c r="B8"/>
  <c r="C8"/>
  <c r="H8" s="1"/>
  <c r="G13"/>
  <c r="G16" s="1"/>
  <c r="D7"/>
  <c r="I7" s="1"/>
  <c r="D6"/>
  <c r="I6" s="1"/>
  <c r="F10" i="342"/>
  <c r="T15" i="351" l="1"/>
  <c r="T16" s="1"/>
  <c r="T18" s="1"/>
  <c r="G8" i="343"/>
  <c r="K8"/>
  <c r="U15" i="349"/>
  <c r="U16" s="1"/>
  <c r="Y8" s="1"/>
  <c r="Y7"/>
  <c r="T15"/>
  <c r="T16" s="1"/>
  <c r="X8" s="1"/>
  <c r="X7"/>
  <c r="G15" i="346"/>
  <c r="G13"/>
  <c r="F11"/>
  <c r="K6" i="353"/>
  <c r="K9" s="1"/>
  <c r="G17" i="346"/>
  <c r="G10"/>
  <c r="E4" i="352"/>
  <c r="N9"/>
  <c r="N5"/>
  <c r="N6" s="1"/>
  <c r="N8"/>
  <c r="N7"/>
  <c r="G21" i="346"/>
  <c r="G19"/>
  <c r="G11"/>
  <c r="A38" i="362"/>
  <c r="B37"/>
  <c r="T13" i="351"/>
  <c r="H11" i="350"/>
  <c r="H26" i="353"/>
  <c r="H4"/>
  <c r="H9"/>
  <c r="G22"/>
  <c r="H27"/>
  <c r="H8"/>
  <c r="H5"/>
  <c r="G10"/>
  <c r="H18"/>
  <c r="G26"/>
  <c r="H30"/>
  <c r="H6"/>
  <c r="G11"/>
  <c r="G15"/>
  <c r="H19"/>
  <c r="H23"/>
  <c r="H31"/>
  <c r="G7"/>
  <c r="H12"/>
  <c r="G16"/>
  <c r="G20"/>
  <c r="H24"/>
  <c r="H28"/>
  <c r="G32"/>
  <c r="H13"/>
  <c r="H17"/>
  <c r="H21"/>
  <c r="G25"/>
  <c r="G29"/>
  <c r="H33"/>
  <c r="G4"/>
  <c r="E12" i="352"/>
  <c r="H12"/>
  <c r="E13"/>
  <c r="H13"/>
  <c r="E11"/>
  <c r="G11"/>
  <c r="E17"/>
  <c r="H17"/>
  <c r="H4"/>
  <c r="E5"/>
  <c r="H5"/>
  <c r="G5"/>
  <c r="E8"/>
  <c r="H8"/>
  <c r="E9"/>
  <c r="H9"/>
  <c r="E18"/>
  <c r="H18"/>
  <c r="E6"/>
  <c r="H6"/>
  <c r="E16"/>
  <c r="G16"/>
  <c r="E10"/>
  <c r="G10"/>
  <c r="U12" i="349"/>
  <c r="D18" i="348"/>
  <c r="H6" s="1"/>
  <c r="E18"/>
  <c r="I6" s="1"/>
  <c r="D18" i="347"/>
  <c r="H6" s="1"/>
  <c r="E18"/>
  <c r="I6" s="1"/>
  <c r="H10" s="1"/>
  <c r="K18"/>
  <c r="L18"/>
  <c r="D12" i="346"/>
  <c r="G20"/>
  <c r="G18"/>
  <c r="G16"/>
  <c r="G14"/>
  <c r="G12"/>
  <c r="D8" i="343"/>
  <c r="O7" s="1"/>
  <c r="I14" i="341"/>
  <c r="I13"/>
  <c r="I12"/>
  <c r="I11"/>
  <c r="I10"/>
  <c r="I9"/>
  <c r="I8"/>
  <c r="I7"/>
  <c r="I6"/>
  <c r="AB5"/>
  <c r="AB6" s="1"/>
  <c r="AB7" s="1"/>
  <c r="AB8" s="1"/>
  <c r="AB9" s="1"/>
  <c r="AB10" s="1"/>
  <c r="AB11" s="1"/>
  <c r="AB12" s="1"/>
  <c r="AB13" s="1"/>
  <c r="AB14" s="1"/>
  <c r="I5"/>
  <c r="I4"/>
  <c r="F32" i="340" a="1"/>
  <c r="F25" a="1"/>
  <c r="F18" a="1"/>
  <c r="F11" a="1"/>
  <c r="R5" i="347"/>
  <c r="H13" i="350" l="1"/>
  <c r="L6" i="343"/>
  <c r="M6" s="1"/>
  <c r="K9"/>
  <c r="O8"/>
  <c r="L7"/>
  <c r="O6"/>
  <c r="H10" i="348"/>
  <c r="H12" s="1"/>
  <c r="Q17" i="341" a="1"/>
  <c r="Q17" s="1"/>
  <c r="K6" i="352"/>
  <c r="K10" i="353"/>
  <c r="K11" s="1"/>
  <c r="K13" s="1"/>
  <c r="Y10" i="349"/>
  <c r="Y11" s="1"/>
  <c r="T17" i="351"/>
  <c r="X10" i="349"/>
  <c r="X11" s="1"/>
  <c r="T17"/>
  <c r="T18" s="1"/>
  <c r="T12"/>
  <c r="U13" s="1"/>
  <c r="U17"/>
  <c r="U18" s="1"/>
  <c r="B38" i="362"/>
  <c r="A39"/>
  <c r="G34" i="353"/>
  <c r="H34"/>
  <c r="G6" i="352"/>
  <c r="G14"/>
  <c r="G18"/>
  <c r="H7"/>
  <c r="H11"/>
  <c r="G15"/>
  <c r="G8"/>
  <c r="G12"/>
  <c r="H16"/>
  <c r="G9"/>
  <c r="G13"/>
  <c r="G17"/>
  <c r="G4"/>
  <c r="H10"/>
  <c r="H11" i="347"/>
  <c r="H13" s="1"/>
  <c r="D13" i="346"/>
  <c r="F12"/>
  <c r="L8" i="343"/>
  <c r="I8"/>
  <c r="G6" s="1"/>
  <c r="B13" s="1"/>
  <c r="C5" i="338"/>
  <c r="C6"/>
  <c r="C7"/>
  <c r="C8"/>
  <c r="C9"/>
  <c r="C10"/>
  <c r="C11"/>
  <c r="C12"/>
  <c r="C13"/>
  <c r="C14"/>
  <c r="C15"/>
  <c r="C16"/>
  <c r="C17"/>
  <c r="C18"/>
  <c r="C4"/>
  <c r="G24"/>
  <c r="G25" s="1"/>
  <c r="H20"/>
  <c r="H19"/>
  <c r="H18"/>
  <c r="I18" s="1"/>
  <c r="I23" s="1"/>
  <c r="B20"/>
  <c r="R8"/>
  <c r="R7"/>
  <c r="R6"/>
  <c r="R4"/>
  <c r="R5" s="1"/>
  <c r="E5"/>
  <c r="E6" s="1"/>
  <c r="E7" s="1"/>
  <c r="E8" s="1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F3" i="337"/>
  <c r="D5" i="336" a="1"/>
  <c r="D5" s="1"/>
  <c r="B11" i="335" a="1"/>
  <c r="B11" s="1"/>
  <c r="B12" s="1"/>
  <c r="B9"/>
  <c r="D4" s="1"/>
  <c r="B5" i="334"/>
  <c r="C5" s="1"/>
  <c r="D5" s="1"/>
  <c r="B6"/>
  <c r="C6" s="1"/>
  <c r="D6" s="1"/>
  <c r="B7"/>
  <c r="C7" s="1"/>
  <c r="D7" s="1"/>
  <c r="B8"/>
  <c r="C8" s="1"/>
  <c r="D8" s="1"/>
  <c r="B9"/>
  <c r="C9" s="1"/>
  <c r="D9" s="1"/>
  <c r="B10"/>
  <c r="C10" s="1"/>
  <c r="D10" s="1"/>
  <c r="B11"/>
  <c r="C11" s="1"/>
  <c r="D11" s="1"/>
  <c r="B12"/>
  <c r="C12" s="1"/>
  <c r="D12" s="1"/>
  <c r="B13"/>
  <c r="C13" s="1"/>
  <c r="D13" s="1"/>
  <c r="B14"/>
  <c r="C14" s="1"/>
  <c r="D14" s="1"/>
  <c r="B15"/>
  <c r="C15" s="1"/>
  <c r="D15" s="1"/>
  <c r="B16"/>
  <c r="C16" s="1"/>
  <c r="D16" s="1"/>
  <c r="B17"/>
  <c r="C17" s="1"/>
  <c r="D17" s="1"/>
  <c r="B18"/>
  <c r="C18" s="1"/>
  <c r="D18" s="1"/>
  <c r="B19"/>
  <c r="C19" s="1"/>
  <c r="D19" s="1"/>
  <c r="B20"/>
  <c r="C20" s="1"/>
  <c r="D20" s="1"/>
  <c r="B21"/>
  <c r="C21" s="1"/>
  <c r="D21" s="1"/>
  <c r="B22"/>
  <c r="C22" s="1"/>
  <c r="D22" s="1"/>
  <c r="B23"/>
  <c r="C23" s="1"/>
  <c r="D23" s="1"/>
  <c r="B24"/>
  <c r="C24" s="1"/>
  <c r="D24" s="1"/>
  <c r="B25"/>
  <c r="C25" s="1"/>
  <c r="D25" s="1"/>
  <c r="B26"/>
  <c r="C26" s="1"/>
  <c r="D26" s="1"/>
  <c r="B27"/>
  <c r="C27" s="1"/>
  <c r="D27" s="1"/>
  <c r="B28"/>
  <c r="C28" s="1"/>
  <c r="D28" s="1"/>
  <c r="B4"/>
  <c r="C4" s="1"/>
  <c r="D4" s="1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F5" i="330"/>
  <c r="F6"/>
  <c r="F7"/>
  <c r="F8"/>
  <c r="F9"/>
  <c r="F4"/>
  <c r="M7" i="343" l="1"/>
  <c r="M8" s="1"/>
  <c r="K10"/>
  <c r="O9"/>
  <c r="L9"/>
  <c r="L17"/>
  <c r="T21" i="351"/>
  <c r="T19"/>
  <c r="T20" s="1"/>
  <c r="T13" i="349"/>
  <c r="B21" i="338"/>
  <c r="D6" i="335"/>
  <c r="A40" i="362"/>
  <c r="B39"/>
  <c r="D7" i="335"/>
  <c r="D5"/>
  <c r="E6" i="336"/>
  <c r="E5"/>
  <c r="D6"/>
  <c r="K7" i="353"/>
  <c r="K12" s="1"/>
  <c r="K14" s="1"/>
  <c r="G19" i="352"/>
  <c r="H19"/>
  <c r="D14" i="346"/>
  <c r="F13"/>
  <c r="H7" i="343"/>
  <c r="C14" s="1"/>
  <c r="H6"/>
  <c r="C13" s="1"/>
  <c r="D13" s="1"/>
  <c r="G7"/>
  <c r="B14" s="1"/>
  <c r="H20" i="342"/>
  <c r="I20" s="1"/>
  <c r="H19"/>
  <c r="I19" s="1"/>
  <c r="K20"/>
  <c r="H21"/>
  <c r="I21" s="1"/>
  <c r="J21"/>
  <c r="K21"/>
  <c r="J20"/>
  <c r="J25" i="338"/>
  <c r="J23"/>
  <c r="I25"/>
  <c r="G26"/>
  <c r="J34"/>
  <c r="J30"/>
  <c r="J28"/>
  <c r="J24"/>
  <c r="J37"/>
  <c r="J35"/>
  <c r="J33"/>
  <c r="J31"/>
  <c r="J29"/>
  <c r="J27"/>
  <c r="J36"/>
  <c r="J32"/>
  <c r="J26"/>
  <c r="I24"/>
  <c r="B22"/>
  <c r="L20" i="343" l="1"/>
  <c r="M9"/>
  <c r="K11"/>
  <c r="O10"/>
  <c r="L10"/>
  <c r="K7" i="352"/>
  <c r="K15" i="353"/>
  <c r="K25"/>
  <c r="D9" i="335"/>
  <c r="A41" i="362"/>
  <c r="B40"/>
  <c r="D15" i="346"/>
  <c r="F14"/>
  <c r="D14" i="343"/>
  <c r="D15" s="1"/>
  <c r="G14" s="1"/>
  <c r="G15" s="1"/>
  <c r="G17" s="1"/>
  <c r="J19" i="342"/>
  <c r="K19"/>
  <c r="B23" i="338"/>
  <c r="B24" s="1"/>
  <c r="G27"/>
  <c r="I26"/>
  <c r="M10" i="343" l="1"/>
  <c r="O11"/>
  <c r="K12"/>
  <c r="L11"/>
  <c r="K9" i="352"/>
  <c r="A42" i="362"/>
  <c r="B41"/>
  <c r="D16" i="346"/>
  <c r="F15"/>
  <c r="G28" i="338"/>
  <c r="I27"/>
  <c r="M11" i="343" l="1"/>
  <c r="K13"/>
  <c r="O12"/>
  <c r="L12"/>
  <c r="B42" i="362"/>
  <c r="A43"/>
  <c r="D17" i="346"/>
  <c r="F16"/>
  <c r="G29" i="338"/>
  <c r="I28"/>
  <c r="M12" i="343" l="1"/>
  <c r="K14"/>
  <c r="O13"/>
  <c r="L13"/>
  <c r="A44" i="362"/>
  <c r="B43"/>
  <c r="D18" i="346"/>
  <c r="F17"/>
  <c r="G30" i="338"/>
  <c r="I29"/>
  <c r="M13" i="343" l="1"/>
  <c r="L21" s="1"/>
  <c r="L14"/>
  <c r="O14"/>
  <c r="K15"/>
  <c r="B44" i="362"/>
  <c r="A45"/>
  <c r="D19" i="346"/>
  <c r="F18"/>
  <c r="G31" i="338"/>
  <c r="I30"/>
  <c r="M14" i="343" l="1"/>
  <c r="L15"/>
  <c r="L18" s="1"/>
  <c r="O15"/>
  <c r="A46" i="362"/>
  <c r="B45"/>
  <c r="F19" i="346"/>
  <c r="D20"/>
  <c r="G32" i="338"/>
  <c r="I31"/>
  <c r="M15" i="343" l="1"/>
  <c r="B46" i="362"/>
  <c r="A47"/>
  <c r="D21" i="346"/>
  <c r="F21" s="1"/>
  <c r="F20"/>
  <c r="G33" i="338"/>
  <c r="I32"/>
  <c r="B47" i="362" l="1"/>
  <c r="A48"/>
  <c r="G34" i="338"/>
  <c r="I33"/>
  <c r="B48" i="362" l="1"/>
  <c r="A49"/>
  <c r="G35" i="338"/>
  <c r="I34"/>
  <c r="A50" i="362" l="1"/>
  <c r="B49"/>
  <c r="G36" i="338"/>
  <c r="I35"/>
  <c r="B50" i="362" l="1"/>
  <c r="A51"/>
  <c r="G37" i="338"/>
  <c r="I37" s="1"/>
  <c r="I36"/>
  <c r="A52" i="362" l="1"/>
  <c r="B51"/>
  <c r="B29" i="333"/>
  <c r="B33" s="1"/>
  <c r="B28"/>
  <c r="B32" s="1"/>
  <c r="B12"/>
  <c r="B16" s="1"/>
  <c r="B11"/>
  <c r="B15" s="1"/>
  <c r="CV54" i="332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CV54" i="331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A54"/>
  <c r="B4" i="330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O3" i="333" l="1" a="1"/>
  <c r="O6" s="1"/>
  <c r="B25"/>
  <c r="B24"/>
  <c r="B8"/>
  <c r="B7"/>
  <c r="B52" i="362"/>
  <c r="A53"/>
  <c r="B53" s="1"/>
  <c r="B54"/>
  <c r="A55"/>
  <c r="C7" i="330"/>
  <c r="C6"/>
  <c r="C8"/>
  <c r="C9"/>
  <c r="C5"/>
  <c r="C4"/>
  <c r="O59" i="333" l="1"/>
  <c r="O9"/>
  <c r="O18"/>
  <c r="O31"/>
  <c r="O78"/>
  <c r="O12"/>
  <c r="O69"/>
  <c r="O29"/>
  <c r="O21"/>
  <c r="O23"/>
  <c r="O48"/>
  <c r="O84"/>
  <c r="O74"/>
  <c r="O91"/>
  <c r="O39"/>
  <c r="O50"/>
  <c r="O101"/>
  <c r="O49"/>
  <c r="O47"/>
  <c r="O25"/>
  <c r="O3"/>
  <c r="O64"/>
  <c r="O68"/>
  <c r="O75"/>
  <c r="O54"/>
  <c r="O89"/>
  <c r="O67"/>
  <c r="O34"/>
  <c r="O53"/>
  <c r="O100"/>
  <c r="O40"/>
  <c r="O55"/>
  <c r="O70"/>
  <c r="O44"/>
  <c r="O10"/>
  <c r="O83"/>
  <c r="O61"/>
  <c r="O66"/>
  <c r="O24"/>
  <c r="O14"/>
  <c r="O71"/>
  <c r="O33"/>
  <c r="O11"/>
  <c r="O72"/>
  <c r="O30"/>
  <c r="O20"/>
  <c r="O81"/>
  <c r="O86"/>
  <c r="O79"/>
  <c r="O60"/>
  <c r="O41"/>
  <c r="O42"/>
  <c r="O19"/>
  <c r="O99"/>
  <c r="O96"/>
  <c r="O77"/>
  <c r="O98"/>
  <c r="O88"/>
  <c r="O46"/>
  <c r="O4"/>
  <c r="O97"/>
  <c r="O43"/>
  <c r="O5"/>
  <c r="O94"/>
  <c r="O52"/>
  <c r="O22"/>
  <c r="O15"/>
  <c r="O95"/>
  <c r="O76"/>
  <c r="O73"/>
  <c r="O58"/>
  <c r="O35"/>
  <c r="O32"/>
  <c r="O13"/>
  <c r="O93"/>
  <c r="O27"/>
  <c r="O56"/>
  <c r="O85"/>
  <c r="O7"/>
  <c r="O36"/>
  <c r="O65"/>
  <c r="O82"/>
  <c r="O8"/>
  <c r="O37"/>
  <c r="O62"/>
  <c r="O87"/>
  <c r="O17"/>
  <c r="O38"/>
  <c r="O102"/>
  <c r="O63"/>
  <c r="O28"/>
  <c r="O92"/>
  <c r="O57"/>
  <c r="O26"/>
  <c r="O90"/>
  <c r="O51"/>
  <c r="O16"/>
  <c r="O80"/>
  <c r="O45"/>
  <c r="A56" i="362"/>
  <c r="B55"/>
  <c r="I7" i="325"/>
  <c r="I13"/>
  <c r="J5"/>
  <c r="I5"/>
  <c r="J4"/>
  <c r="I4"/>
  <c r="I9" l="1"/>
  <c r="I10" s="1"/>
  <c r="I11" s="1"/>
  <c r="I12" s="1"/>
  <c r="I14" s="1"/>
  <c r="B56" i="362"/>
  <c r="A57"/>
  <c r="A58" l="1"/>
  <c r="B57"/>
  <c r="I7" i="320"/>
  <c r="I5"/>
  <c r="I13" s="1"/>
  <c r="H28" i="319"/>
  <c r="F28"/>
  <c r="H18"/>
  <c r="H10"/>
  <c r="H13" s="1"/>
  <c r="F18"/>
  <c r="F10"/>
  <c r="F12" s="1"/>
  <c r="F14" s="1"/>
  <c r="D18"/>
  <c r="D10"/>
  <c r="D12" s="1"/>
  <c r="D14" s="1"/>
  <c r="B18"/>
  <c r="B10"/>
  <c r="B12" s="1"/>
  <c r="B14" s="1"/>
  <c r="B16" l="1"/>
  <c r="B19" s="1"/>
  <c r="I15" i="320"/>
  <c r="B13" i="319"/>
  <c r="F23"/>
  <c r="F25" s="1"/>
  <c r="F13"/>
  <c r="I9" i="320"/>
  <c r="I10" s="1"/>
  <c r="D13" i="319"/>
  <c r="H23"/>
  <c r="H25" s="1"/>
  <c r="B58" i="362"/>
  <c r="A59"/>
  <c r="H16" i="319"/>
  <c r="H12"/>
  <c r="H14" s="1"/>
  <c r="F16"/>
  <c r="F17" s="1"/>
  <c r="D16"/>
  <c r="D3" i="318"/>
  <c r="D6" s="1"/>
  <c r="B6"/>
  <c r="F24" i="319" l="1"/>
  <c r="I14" i="320"/>
  <c r="B17" i="319"/>
  <c r="H24"/>
  <c r="E3" i="318"/>
  <c r="D19" i="319"/>
  <c r="D17"/>
  <c r="A60" i="362"/>
  <c r="B59"/>
  <c r="H17" i="319"/>
  <c r="H19"/>
  <c r="F19"/>
  <c r="B14" i="317"/>
  <c r="B15" s="1"/>
  <c r="B16" s="1"/>
  <c r="B9"/>
  <c r="B10" s="1"/>
  <c r="B9" i="316"/>
  <c r="B8"/>
  <c r="B7"/>
  <c r="B11" s="1"/>
  <c r="B6"/>
  <c r="B10" l="1"/>
  <c r="B20" a="1"/>
  <c r="B20" s="1"/>
  <c r="B12"/>
  <c r="B18"/>
  <c r="E6" i="318"/>
  <c r="F3"/>
  <c r="B60" i="362"/>
  <c r="A61"/>
  <c r="B10" i="315"/>
  <c r="B9"/>
  <c r="A141" i="17"/>
  <c r="C141" s="1"/>
  <c r="K66" i="308"/>
  <c r="D11" i="312"/>
  <c r="D14" s="1"/>
  <c r="D8"/>
  <c r="C6"/>
  <c r="B6"/>
  <c r="O33" i="313"/>
  <c r="N33"/>
  <c r="O22"/>
  <c r="O31" s="1"/>
  <c r="O21"/>
  <c r="O30" s="1"/>
  <c r="G26"/>
  <c r="N24" s="1"/>
  <c r="G22"/>
  <c r="G21"/>
  <c r="L35" i="308"/>
  <c r="V57" i="313"/>
  <c r="V56"/>
  <c r="J22"/>
  <c r="I22"/>
  <c r="H22"/>
  <c r="J21"/>
  <c r="I21"/>
  <c r="H21"/>
  <c r="J17"/>
  <c r="I17"/>
  <c r="H17"/>
  <c r="G17"/>
  <c r="E17"/>
  <c r="D17"/>
  <c r="C17"/>
  <c r="B17"/>
  <c r="J16"/>
  <c r="I16"/>
  <c r="H16"/>
  <c r="G16"/>
  <c r="E16"/>
  <c r="D16"/>
  <c r="C16"/>
  <c r="B16"/>
  <c r="C49" i="308"/>
  <c r="B57"/>
  <c r="B58"/>
  <c r="B43"/>
  <c r="O6" i="309"/>
  <c r="O7" s="1"/>
  <c r="P6"/>
  <c r="P7" s="1"/>
  <c r="Q6"/>
  <c r="Q7" s="1"/>
  <c r="O8"/>
  <c r="P8"/>
  <c r="Q8"/>
  <c r="O9"/>
  <c r="P9"/>
  <c r="Q9"/>
  <c r="O10"/>
  <c r="P10"/>
  <c r="Q10"/>
  <c r="N10"/>
  <c r="N9"/>
  <c r="N8"/>
  <c r="N6"/>
  <c r="N7" s="1"/>
  <c r="J17"/>
  <c r="I17"/>
  <c r="H17"/>
  <c r="G17"/>
  <c r="C17"/>
  <c r="D17"/>
  <c r="E17"/>
  <c r="B17"/>
  <c r="C52" i="308"/>
  <c r="C59" s="1"/>
  <c r="C4" i="312" s="1"/>
  <c r="B59" i="308"/>
  <c r="B51"/>
  <c r="B50"/>
  <c r="B49"/>
  <c r="B56"/>
  <c r="B48"/>
  <c r="B60"/>
  <c r="K47"/>
  <c r="L33"/>
  <c r="L40" s="1"/>
  <c r="K33"/>
  <c r="K40" s="1"/>
  <c r="K35"/>
  <c r="L34"/>
  <c r="L48" s="1"/>
  <c r="K34"/>
  <c r="K48" s="1"/>
  <c r="L32"/>
  <c r="K32"/>
  <c r="J16" i="309"/>
  <c r="C5" i="312" s="1"/>
  <c r="I16" i="309"/>
  <c r="H16"/>
  <c r="B5" i="312" s="1"/>
  <c r="G16" i="309"/>
  <c r="E16"/>
  <c r="D16"/>
  <c r="C16"/>
  <c r="B16"/>
  <c r="B52" i="308"/>
  <c r="C51"/>
  <c r="C50"/>
  <c r="C48"/>
  <c r="B41"/>
  <c r="H39"/>
  <c r="G39"/>
  <c r="F39"/>
  <c r="H38"/>
  <c r="G38"/>
  <c r="F38"/>
  <c r="H37"/>
  <c r="G37"/>
  <c r="F37"/>
  <c r="H36"/>
  <c r="G36"/>
  <c r="F36"/>
  <c r="H35"/>
  <c r="G35"/>
  <c r="F35"/>
  <c r="H34"/>
  <c r="G34"/>
  <c r="F34"/>
  <c r="H33"/>
  <c r="G33"/>
  <c r="F33"/>
  <c r="H32"/>
  <c r="G32"/>
  <c r="F32"/>
  <c r="H31"/>
  <c r="G31"/>
  <c r="F31"/>
  <c r="H30"/>
  <c r="G30"/>
  <c r="F30"/>
  <c r="H29"/>
  <c r="G29"/>
  <c r="F29"/>
  <c r="H28"/>
  <c r="G28"/>
  <c r="F28"/>
  <c r="H27"/>
  <c r="G27"/>
  <c r="F27"/>
  <c r="H26"/>
  <c r="G26"/>
  <c r="F26"/>
  <c r="H25"/>
  <c r="G25"/>
  <c r="F25"/>
  <c r="H24"/>
  <c r="G24"/>
  <c r="F24"/>
  <c r="H23"/>
  <c r="G23"/>
  <c r="F23"/>
  <c r="H22"/>
  <c r="G22"/>
  <c r="F22"/>
  <c r="H21"/>
  <c r="G21"/>
  <c r="F21"/>
  <c r="H20"/>
  <c r="G20"/>
  <c r="F20"/>
  <c r="H19"/>
  <c r="G19"/>
  <c r="F19"/>
  <c r="H18"/>
  <c r="G18"/>
  <c r="F18"/>
  <c r="H17"/>
  <c r="G17"/>
  <c r="F17"/>
  <c r="H16"/>
  <c r="G16"/>
  <c r="F16"/>
  <c r="H15"/>
  <c r="G15"/>
  <c r="F15"/>
  <c r="H14"/>
  <c r="G14"/>
  <c r="F14"/>
  <c r="H13"/>
  <c r="G13"/>
  <c r="F13"/>
  <c r="H12"/>
  <c r="G12"/>
  <c r="F12"/>
  <c r="H11"/>
  <c r="G11"/>
  <c r="F11"/>
  <c r="H10"/>
  <c r="G10"/>
  <c r="F10"/>
  <c r="H9"/>
  <c r="G9"/>
  <c r="F9"/>
  <c r="H8"/>
  <c r="G8"/>
  <c r="F8"/>
  <c r="AA7"/>
  <c r="Z7"/>
  <c r="H7"/>
  <c r="G7"/>
  <c r="F7"/>
  <c r="AA6"/>
  <c r="Z6"/>
  <c r="H6"/>
  <c r="G6"/>
  <c r="F6"/>
  <c r="H5"/>
  <c r="G5"/>
  <c r="F5"/>
  <c r="H4"/>
  <c r="G4"/>
  <c r="F4"/>
  <c r="B8" i="307"/>
  <c r="B7"/>
  <c r="B11" s="1"/>
  <c r="AJ46" i="302"/>
  <c r="AJ45"/>
  <c r="AJ40"/>
  <c r="AJ41"/>
  <c r="AJ35"/>
  <c r="AJ36"/>
  <c r="G4"/>
  <c r="BU43"/>
  <c r="BV43"/>
  <c r="BW43"/>
  <c r="BU44"/>
  <c r="BV44"/>
  <c r="BW44"/>
  <c r="BU45"/>
  <c r="BV45"/>
  <c r="BW45"/>
  <c r="BU46"/>
  <c r="BV46"/>
  <c r="BW46"/>
  <c r="BU47"/>
  <c r="BV47"/>
  <c r="BW47"/>
  <c r="BU48"/>
  <c r="BV48"/>
  <c r="BW48"/>
  <c r="BU77"/>
  <c r="BV77"/>
  <c r="BW77"/>
  <c r="BU78"/>
  <c r="BV78"/>
  <c r="BW78"/>
  <c r="BU79"/>
  <c r="BV79"/>
  <c r="BW79"/>
  <c r="BU80"/>
  <c r="BV80"/>
  <c r="BW80"/>
  <c r="BU81"/>
  <c r="BV81"/>
  <c r="BW81"/>
  <c r="BU82"/>
  <c r="BV82"/>
  <c r="BW82"/>
  <c r="BU60"/>
  <c r="BV60"/>
  <c r="BW60"/>
  <c r="BU61"/>
  <c r="BV61"/>
  <c r="BW61"/>
  <c r="BU62"/>
  <c r="BV62"/>
  <c r="BW62"/>
  <c r="BU63"/>
  <c r="BV63"/>
  <c r="BW63"/>
  <c r="BU64"/>
  <c r="BV64"/>
  <c r="BW64"/>
  <c r="BU65"/>
  <c r="BV65"/>
  <c r="BW65"/>
  <c r="BW76"/>
  <c r="BV76"/>
  <c r="BU76"/>
  <c r="BW59"/>
  <c r="BV59"/>
  <c r="BU59"/>
  <c r="BW42"/>
  <c r="BV42"/>
  <c r="BU42"/>
  <c r="BU26"/>
  <c r="BV26"/>
  <c r="BW26"/>
  <c r="BU27"/>
  <c r="BV27"/>
  <c r="BW27"/>
  <c r="BU28"/>
  <c r="BV28"/>
  <c r="BW28"/>
  <c r="BU29"/>
  <c r="BV29"/>
  <c r="BW29"/>
  <c r="BU30"/>
  <c r="BV30"/>
  <c r="BW30"/>
  <c r="BU31"/>
  <c r="BV31"/>
  <c r="BW31"/>
  <c r="BW25"/>
  <c r="BV25"/>
  <c r="BU25"/>
  <c r="BU9"/>
  <c r="BV9"/>
  <c r="BW9"/>
  <c r="BU10"/>
  <c r="BV10"/>
  <c r="BW10"/>
  <c r="BU11"/>
  <c r="BV11"/>
  <c r="BW11"/>
  <c r="BU12"/>
  <c r="BV12"/>
  <c r="BW12"/>
  <c r="BU13"/>
  <c r="BV13"/>
  <c r="BW13"/>
  <c r="BU14"/>
  <c r="BV14"/>
  <c r="BW14"/>
  <c r="BW8"/>
  <c r="BV8"/>
  <c r="BU8"/>
  <c r="BF24"/>
  <c r="BF25" s="1"/>
  <c r="BG24"/>
  <c r="BG25" s="1"/>
  <c r="BH24"/>
  <c r="BH25" s="1"/>
  <c r="BI24"/>
  <c r="BI25" s="1"/>
  <c r="BJ24"/>
  <c r="BJ25" s="1"/>
  <c r="BK24"/>
  <c r="BK25" s="1"/>
  <c r="BL24"/>
  <c r="BL25" s="1"/>
  <c r="BM24"/>
  <c r="BM25" s="1"/>
  <c r="BN24"/>
  <c r="BN25" s="1"/>
  <c r="BO24"/>
  <c r="BO25" s="1"/>
  <c r="BP24"/>
  <c r="BP25" s="1"/>
  <c r="BQ24"/>
  <c r="BQ25" s="1"/>
  <c r="BR24"/>
  <c r="BR25" s="1"/>
  <c r="BS24"/>
  <c r="BS25" s="1"/>
  <c r="BF26"/>
  <c r="BG26"/>
  <c r="BH26"/>
  <c r="BI26"/>
  <c r="BJ26"/>
  <c r="BK26"/>
  <c r="BL26"/>
  <c r="BM26"/>
  <c r="BN26"/>
  <c r="BO26"/>
  <c r="BP26"/>
  <c r="BQ26"/>
  <c r="BR26"/>
  <c r="BS26"/>
  <c r="BF27"/>
  <c r="BG27"/>
  <c r="BH27"/>
  <c r="BI27"/>
  <c r="BJ27"/>
  <c r="BK27"/>
  <c r="BL27"/>
  <c r="BM27"/>
  <c r="BN27"/>
  <c r="BO27"/>
  <c r="BP27"/>
  <c r="BQ27"/>
  <c r="BR27"/>
  <c r="BS27"/>
  <c r="BF28"/>
  <c r="BG28"/>
  <c r="BH28"/>
  <c r="BI28"/>
  <c r="BJ28"/>
  <c r="BK28"/>
  <c r="BL28"/>
  <c r="BM28"/>
  <c r="BN28"/>
  <c r="BO28"/>
  <c r="BP28"/>
  <c r="BQ28"/>
  <c r="BR28"/>
  <c r="BS28"/>
  <c r="BE28"/>
  <c r="BE27"/>
  <c r="BE26"/>
  <c r="BE24"/>
  <c r="BE25" s="1"/>
  <c r="J9"/>
  <c r="Y8" i="301"/>
  <c r="Y9" s="1"/>
  <c r="Y10" s="1"/>
  <c r="Y11" s="1"/>
  <c r="Y12" s="1"/>
  <c r="Y13" s="1"/>
  <c r="Y14" s="1"/>
  <c r="Y15" s="1"/>
  <c r="Y16" s="1"/>
  <c r="AB23" s="1"/>
  <c r="B13" i="316" l="1"/>
  <c r="D6" i="312"/>
  <c r="D5"/>
  <c r="B11" i="315"/>
  <c r="K61" i="308"/>
  <c r="G3" i="318"/>
  <c r="G6" s="1"/>
  <c r="F6"/>
  <c r="A62" i="362"/>
  <c r="B61"/>
  <c r="A142" i="17"/>
  <c r="B141"/>
  <c r="K62" i="308"/>
  <c r="K57"/>
  <c r="K21" i="313"/>
  <c r="K56" i="308"/>
  <c r="G23" i="313"/>
  <c r="O24"/>
  <c r="J23"/>
  <c r="H23"/>
  <c r="I23"/>
  <c r="D49" i="308"/>
  <c r="L49"/>
  <c r="L47" s="1"/>
  <c r="M47" s="1"/>
  <c r="B9" i="307"/>
  <c r="M48" i="308"/>
  <c r="K49"/>
  <c r="K41"/>
  <c r="K42" s="1"/>
  <c r="L41"/>
  <c r="M32"/>
  <c r="D51"/>
  <c r="AB6"/>
  <c r="L42"/>
  <c r="M40" s="1"/>
  <c r="AB7"/>
  <c r="D48"/>
  <c r="M34"/>
  <c r="M33"/>
  <c r="C57"/>
  <c r="B4" i="312" s="1"/>
  <c r="D4" s="1"/>
  <c r="C56" i="308"/>
  <c r="C58"/>
  <c r="D50"/>
  <c r="BV66" i="302"/>
  <c r="BZ65" s="1"/>
  <c r="BV15"/>
  <c r="BZ13" s="1"/>
  <c r="BV16"/>
  <c r="BU32"/>
  <c r="BY29" s="1"/>
  <c r="BU66"/>
  <c r="BY61" s="1"/>
  <c r="BV83"/>
  <c r="BZ77" s="1"/>
  <c r="BV84"/>
  <c r="BW16"/>
  <c r="BW15"/>
  <c r="CA10" s="1"/>
  <c r="BV33"/>
  <c r="BV32"/>
  <c r="BZ30" s="1"/>
  <c r="BU49"/>
  <c r="BU50" s="1"/>
  <c r="BV67"/>
  <c r="BW84"/>
  <c r="BW83"/>
  <c r="CA80" s="1"/>
  <c r="BU15"/>
  <c r="BY10" s="1"/>
  <c r="BW32"/>
  <c r="CA28" s="1"/>
  <c r="BV50"/>
  <c r="BW67"/>
  <c r="BW33"/>
  <c r="BW50"/>
  <c r="BW49"/>
  <c r="CA45" s="1"/>
  <c r="BU83"/>
  <c r="BY79" s="1"/>
  <c r="BW66"/>
  <c r="CA65" s="1"/>
  <c r="BV49"/>
  <c r="BZ47" s="1"/>
  <c r="D9" i="312" l="1"/>
  <c r="D10" s="1"/>
  <c r="D13" s="1"/>
  <c r="D15" s="1"/>
  <c r="BY12" i="302"/>
  <c r="B62" i="362"/>
  <c r="A63"/>
  <c r="A143" i="17"/>
  <c r="B142"/>
  <c r="C142"/>
  <c r="N47" i="308"/>
  <c r="O47" s="1"/>
  <c r="K23" i="313"/>
  <c r="G25" s="1"/>
  <c r="BZ64" i="302"/>
  <c r="BZ63"/>
  <c r="CA48"/>
  <c r="BZ9"/>
  <c r="BZ60"/>
  <c r="BZ59"/>
  <c r="BZ12"/>
  <c r="BZ10"/>
  <c r="CA44"/>
  <c r="BZ42"/>
  <c r="BZ80"/>
  <c r="BY13"/>
  <c r="BZ14"/>
  <c r="BZ11"/>
  <c r="AB8" i="308"/>
  <c r="AB10" s="1"/>
  <c r="AB11" s="1"/>
  <c r="M41"/>
  <c r="N40" s="1"/>
  <c r="O40" s="1"/>
  <c r="C60"/>
  <c r="N32"/>
  <c r="O32" s="1"/>
  <c r="D52"/>
  <c r="N33"/>
  <c r="O33" s="1"/>
  <c r="BY9" i="302"/>
  <c r="BY8"/>
  <c r="BZ62"/>
  <c r="BZ61"/>
  <c r="BY48"/>
  <c r="BY27"/>
  <c r="CA25"/>
  <c r="BZ44"/>
  <c r="CA42"/>
  <c r="CA47"/>
  <c r="BY26"/>
  <c r="BU84"/>
  <c r="BY65"/>
  <c r="BZ48"/>
  <c r="BY81"/>
  <c r="BY82"/>
  <c r="BY62"/>
  <c r="CA43"/>
  <c r="BY80"/>
  <c r="BY63"/>
  <c r="BY59"/>
  <c r="BY78"/>
  <c r="BZ46"/>
  <c r="BZ76"/>
  <c r="BZ8"/>
  <c r="BZ31"/>
  <c r="CA62"/>
  <c r="CA59"/>
  <c r="CA60"/>
  <c r="CA82"/>
  <c r="BZ79"/>
  <c r="CA61"/>
  <c r="CA77"/>
  <c r="BZ43"/>
  <c r="BY28"/>
  <c r="BY47"/>
  <c r="BU16"/>
  <c r="BY11"/>
  <c r="BY77"/>
  <c r="BZ82"/>
  <c r="CA76"/>
  <c r="CA29"/>
  <c r="CA9"/>
  <c r="CA8"/>
  <c r="BZ45"/>
  <c r="BZ81"/>
  <c r="BY60"/>
  <c r="BY64"/>
  <c r="BU33"/>
  <c r="CA12"/>
  <c r="BY76"/>
  <c r="CA31"/>
  <c r="CA26"/>
  <c r="CA79"/>
  <c r="BZ26"/>
  <c r="BZ29"/>
  <c r="BZ25"/>
  <c r="CA81"/>
  <c r="BY43"/>
  <c r="BY44"/>
  <c r="BZ28"/>
  <c r="CA78"/>
  <c r="CA63"/>
  <c r="BZ27"/>
  <c r="BY46"/>
  <c r="BY45"/>
  <c r="CA11"/>
  <c r="CA30"/>
  <c r="CA14"/>
  <c r="CA27"/>
  <c r="BZ78"/>
  <c r="CA64"/>
  <c r="BY42"/>
  <c r="BY31"/>
  <c r="CA46"/>
  <c r="BU67"/>
  <c r="BY30"/>
  <c r="BY25"/>
  <c r="BY14"/>
  <c r="CA13"/>
  <c r="A64" i="362" l="1"/>
  <c r="B63"/>
  <c r="C143" i="17"/>
  <c r="B143"/>
  <c r="A144"/>
  <c r="N22" i="313"/>
  <c r="N21" s="1"/>
  <c r="N29"/>
  <c r="P29" s="1"/>
  <c r="D17" i="312"/>
  <c r="AS32" i="302"/>
  <c r="AT32" s="1"/>
  <c r="AU32" s="1"/>
  <c r="AV32" s="1"/>
  <c r="AS23"/>
  <c r="AT23" s="1"/>
  <c r="AU23" s="1"/>
  <c r="AV23" s="1"/>
  <c r="AS14"/>
  <c r="AT14" s="1"/>
  <c r="AU14" s="1"/>
  <c r="AV14" s="1"/>
  <c r="AS5"/>
  <c r="AT5" s="1"/>
  <c r="AU5" s="1"/>
  <c r="AV5" s="1"/>
  <c r="B64" i="362" l="1"/>
  <c r="A65"/>
  <c r="A145" i="17"/>
  <c r="B144"/>
  <c r="C144"/>
  <c r="N31" i="313"/>
  <c r="P31" s="1"/>
  <c r="Q29" s="1"/>
  <c r="R29" s="1"/>
  <c r="P21"/>
  <c r="P22"/>
  <c r="AS39" i="302"/>
  <c r="AU39"/>
  <c r="AT39"/>
  <c r="AV39"/>
  <c r="AT30"/>
  <c r="AV30"/>
  <c r="AS30"/>
  <c r="AU30"/>
  <c r="AS21"/>
  <c r="AU21"/>
  <c r="AT21"/>
  <c r="AV21"/>
  <c r="A66" i="362" l="1"/>
  <c r="B65"/>
  <c r="A146" i="17"/>
  <c r="C145"/>
  <c r="B145"/>
  <c r="Q21" i="313"/>
  <c r="R21" s="1"/>
  <c r="N30"/>
  <c r="P30" s="1"/>
  <c r="Q30" s="1"/>
  <c r="R30" s="1"/>
  <c r="CO5" i="302"/>
  <c r="CP5" s="1"/>
  <c r="CO6"/>
  <c r="CP6" s="1"/>
  <c r="CO4"/>
  <c r="CP4" s="1"/>
  <c r="AS20"/>
  <c r="AY25"/>
  <c r="AR30"/>
  <c r="AY24" s="1"/>
  <c r="AY26"/>
  <c r="AR29"/>
  <c r="AV38"/>
  <c r="AU20"/>
  <c r="AU29"/>
  <c r="AS29"/>
  <c r="AR39"/>
  <c r="AY33" s="1"/>
  <c r="AY35"/>
  <c r="AR38"/>
  <c r="AY34"/>
  <c r="AT38"/>
  <c r="AV20"/>
  <c r="AS38"/>
  <c r="AR21"/>
  <c r="AY15" s="1"/>
  <c r="AY17"/>
  <c r="AR20"/>
  <c r="AY16"/>
  <c r="AT20"/>
  <c r="AT29"/>
  <c r="AV29"/>
  <c r="AU38"/>
  <c r="AS12"/>
  <c r="AU12"/>
  <c r="AT12"/>
  <c r="AV12"/>
  <c r="B66" i="362" l="1"/>
  <c r="A67"/>
  <c r="A147" i="17"/>
  <c r="B146"/>
  <c r="C146"/>
  <c r="AT11" i="302"/>
  <c r="AY27"/>
  <c r="AR11"/>
  <c r="AR12"/>
  <c r="AY6" s="1"/>
  <c r="AY8"/>
  <c r="AY7"/>
  <c r="AY36"/>
  <c r="AU11"/>
  <c r="AY18"/>
  <c r="AS11"/>
  <c r="AV11"/>
  <c r="A68" i="362" l="1"/>
  <c r="B67"/>
  <c r="A148" i="17"/>
  <c r="C147"/>
  <c r="B147"/>
  <c r="AY9" i="302"/>
  <c r="B68" i="362" l="1"/>
  <c r="A69"/>
  <c r="A149" i="17"/>
  <c r="B148"/>
  <c r="C148"/>
  <c r="AS41" i="302"/>
  <c r="AL29"/>
  <c r="AQ33"/>
  <c r="Q58"/>
  <c r="AQ24"/>
  <c r="AQ15"/>
  <c r="G24"/>
  <c r="G23"/>
  <c r="G22"/>
  <c r="G21"/>
  <c r="G20"/>
  <c r="G19"/>
  <c r="G18"/>
  <c r="G17"/>
  <c r="G16"/>
  <c r="G15"/>
  <c r="G14"/>
  <c r="G13"/>
  <c r="G12"/>
  <c r="N11"/>
  <c r="M11"/>
  <c r="L11"/>
  <c r="K11"/>
  <c r="J11"/>
  <c r="G11"/>
  <c r="N10"/>
  <c r="M10"/>
  <c r="L10"/>
  <c r="K10"/>
  <c r="J10"/>
  <c r="G10"/>
  <c r="N9"/>
  <c r="M9"/>
  <c r="L9"/>
  <c r="K9"/>
  <c r="G9"/>
  <c r="G8"/>
  <c r="G7"/>
  <c r="L5"/>
  <c r="Q4" i="303" s="1"/>
  <c r="G6" i="302"/>
  <c r="S5"/>
  <c r="G5"/>
  <c r="B50" i="301"/>
  <c r="B51" s="1"/>
  <c r="B45"/>
  <c r="B44"/>
  <c r="Q5" i="303" l="1"/>
  <c r="Q6"/>
  <c r="R4"/>
  <c r="S4" s="1"/>
  <c r="V4"/>
  <c r="A70" i="362"/>
  <c r="B69"/>
  <c r="A150" i="17"/>
  <c r="B149"/>
  <c r="C149"/>
  <c r="X14" i="302"/>
  <c r="CL7"/>
  <c r="CQ4" s="1"/>
  <c r="AE12"/>
  <c r="BD11"/>
  <c r="BU98" s="1"/>
  <c r="AF11"/>
  <c r="BE10"/>
  <c r="BV97" s="1"/>
  <c r="AG12"/>
  <c r="BF11"/>
  <c r="BW98" s="1"/>
  <c r="AE7"/>
  <c r="BD6"/>
  <c r="AE13"/>
  <c r="BD12"/>
  <c r="BU99" s="1"/>
  <c r="AF8"/>
  <c r="BE7"/>
  <c r="BV94" s="1"/>
  <c r="AF12"/>
  <c r="BE11"/>
  <c r="BV98" s="1"/>
  <c r="AG9"/>
  <c r="BF8"/>
  <c r="BW95" s="1"/>
  <c r="AG13"/>
  <c r="BF12"/>
  <c r="BW99" s="1"/>
  <c r="AE8"/>
  <c r="BD7"/>
  <c r="BU94" s="1"/>
  <c r="AE10"/>
  <c r="BD9"/>
  <c r="BU96" s="1"/>
  <c r="AF9"/>
  <c r="BE8"/>
  <c r="BV95" s="1"/>
  <c r="AF13"/>
  <c r="BE12"/>
  <c r="BV99" s="1"/>
  <c r="AG10"/>
  <c r="BF9"/>
  <c r="BW96" s="1"/>
  <c r="AE9"/>
  <c r="BD8"/>
  <c r="BU95" s="1"/>
  <c r="AG8"/>
  <c r="BF7"/>
  <c r="BW94" s="1"/>
  <c r="B46" i="301"/>
  <c r="AE11" i="302"/>
  <c r="BD10"/>
  <c r="BU97" s="1"/>
  <c r="AF7"/>
  <c r="BE6"/>
  <c r="AF10"/>
  <c r="BE9"/>
  <c r="BV96" s="1"/>
  <c r="AG7"/>
  <c r="BF6"/>
  <c r="AG11"/>
  <c r="BF10"/>
  <c r="BW97" s="1"/>
  <c r="K12"/>
  <c r="R8"/>
  <c r="S8" s="1"/>
  <c r="S38" s="1"/>
  <c r="BB32"/>
  <c r="BB14"/>
  <c r="BB41"/>
  <c r="BB23"/>
  <c r="AT41"/>
  <c r="N12"/>
  <c r="O10"/>
  <c r="L12"/>
  <c r="O11"/>
  <c r="O12"/>
  <c r="R37"/>
  <c r="S37" s="1"/>
  <c r="R36"/>
  <c r="S36" s="1"/>
  <c r="J12"/>
  <c r="O9"/>
  <c r="M12"/>
  <c r="Q7" i="303" l="1"/>
  <c r="R7" s="1"/>
  <c r="R6"/>
  <c r="S6" s="1"/>
  <c r="V6"/>
  <c r="R5"/>
  <c r="S5" s="1"/>
  <c r="V5"/>
  <c r="A71" i="362"/>
  <c r="B70"/>
  <c r="C150" i="17"/>
  <c r="A151"/>
  <c r="B150"/>
  <c r="CR5" i="302"/>
  <c r="CS5" s="1"/>
  <c r="CQ5"/>
  <c r="CR6"/>
  <c r="CS6" s="1"/>
  <c r="CQ6"/>
  <c r="CR4"/>
  <c r="CS4" s="1"/>
  <c r="BK6"/>
  <c r="BK7" s="1"/>
  <c r="BK9"/>
  <c r="BW93"/>
  <c r="BK10"/>
  <c r="BK8"/>
  <c r="BV93"/>
  <c r="BJ6"/>
  <c r="BJ7" s="1"/>
  <c r="BJ9"/>
  <c r="BJ10"/>
  <c r="BJ8"/>
  <c r="BI9"/>
  <c r="BI10"/>
  <c r="BU93"/>
  <c r="BI8"/>
  <c r="BI6"/>
  <c r="BI7" s="1"/>
  <c r="AU41"/>
  <c r="R43"/>
  <c r="K5"/>
  <c r="N5" i="303" s="1"/>
  <c r="R42" i="302"/>
  <c r="J5"/>
  <c r="N6" i="303" s="1"/>
  <c r="V7" l="1"/>
  <c r="V8" s="1"/>
  <c r="N11" s="1"/>
  <c r="N14"/>
  <c r="R8"/>
  <c r="N12" s="1"/>
  <c r="S7"/>
  <c r="S8" s="1"/>
  <c r="Q11" s="1"/>
  <c r="A72" i="362"/>
  <c r="B71"/>
  <c r="C151" i="17"/>
  <c r="A152"/>
  <c r="B151"/>
  <c r="CL6" i="302"/>
  <c r="CL5"/>
  <c r="CL8" s="1"/>
  <c r="AR51" s="1" a="1"/>
  <c r="BW100"/>
  <c r="CA93" s="1"/>
  <c r="BW101"/>
  <c r="BV101"/>
  <c r="BV100"/>
  <c r="BZ93" s="1"/>
  <c r="BU100"/>
  <c r="BY93" s="1"/>
  <c r="BB5"/>
  <c r="BB43"/>
  <c r="AY23"/>
  <c r="AY5"/>
  <c r="AY32"/>
  <c r="AY14"/>
  <c r="AY41"/>
  <c r="AU44"/>
  <c r="AU42"/>
  <c r="AV42"/>
  <c r="AS46"/>
  <c r="AS44"/>
  <c r="AS42"/>
  <c r="AV44"/>
  <c r="AV46"/>
  <c r="AR44"/>
  <c r="AR45"/>
  <c r="AR43"/>
  <c r="AU45"/>
  <c r="AU48" s="1"/>
  <c r="AT44"/>
  <c r="AT48" s="1"/>
  <c r="AU43"/>
  <c r="AV43"/>
  <c r="AT46"/>
  <c r="AS45"/>
  <c r="AT42"/>
  <c r="AU46"/>
  <c r="AV45"/>
  <c r="AR46"/>
  <c r="AS43"/>
  <c r="AS48" s="1"/>
  <c r="AR42"/>
  <c r="AT45"/>
  <c r="AT43"/>
  <c r="AV41"/>
  <c r="T37"/>
  <c r="T36"/>
  <c r="R7"/>
  <c r="S7" s="1"/>
  <c r="T9"/>
  <c r="T6"/>
  <c r="Y7" s="1"/>
  <c r="T8"/>
  <c r="T5"/>
  <c r="R57"/>
  <c r="R56"/>
  <c r="R44"/>
  <c r="R6"/>
  <c r="S6" s="1"/>
  <c r="T7"/>
  <c r="Y10" s="1"/>
  <c r="R9"/>
  <c r="S9" s="1"/>
  <c r="N17" i="303" l="1"/>
  <c r="Q12"/>
  <c r="Q14" s="1"/>
  <c r="N13"/>
  <c r="N15" s="1"/>
  <c r="N18" s="1"/>
  <c r="CR7" i="302"/>
  <c r="CS7" s="1"/>
  <c r="CS8" s="1"/>
  <c r="CO11" s="1"/>
  <c r="B72" i="362"/>
  <c r="A73"/>
  <c r="B152" i="17"/>
  <c r="A153"/>
  <c r="C152"/>
  <c r="CL14" i="302"/>
  <c r="CL17" s="1"/>
  <c r="AR51"/>
  <c r="AS52"/>
  <c r="AV53"/>
  <c r="AT55"/>
  <c r="AU51"/>
  <c r="AS53"/>
  <c r="AV54"/>
  <c r="AT52"/>
  <c r="AU55"/>
  <c r="AR53"/>
  <c r="AT51"/>
  <c r="AU54"/>
  <c r="AR54"/>
  <c r="AV52"/>
  <c r="AR55"/>
  <c r="AV51"/>
  <c r="AT54"/>
  <c r="AT53"/>
  <c r="AU53"/>
  <c r="AV55"/>
  <c r="AU52"/>
  <c r="AS55"/>
  <c r="AR52"/>
  <c r="AS54"/>
  <c r="AS51"/>
  <c r="CA94"/>
  <c r="CA95"/>
  <c r="CA96"/>
  <c r="CA98"/>
  <c r="CA99"/>
  <c r="CA97"/>
  <c r="BY94"/>
  <c r="BY99"/>
  <c r="BY98"/>
  <c r="BY97"/>
  <c r="BY96"/>
  <c r="BY95"/>
  <c r="BU101"/>
  <c r="BZ97"/>
  <c r="BZ96"/>
  <c r="BZ99"/>
  <c r="BZ95"/>
  <c r="BZ94"/>
  <c r="BZ98"/>
  <c r="BB15"/>
  <c r="AY20"/>
  <c r="AY19"/>
  <c r="BB33"/>
  <c r="AY38"/>
  <c r="AY37"/>
  <c r="AY43"/>
  <c r="AY44"/>
  <c r="AY10"/>
  <c r="BB6"/>
  <c r="AY11"/>
  <c r="BB42"/>
  <c r="BB49" s="1"/>
  <c r="AY29"/>
  <c r="AY28"/>
  <c r="BB24"/>
  <c r="AV48"/>
  <c r="AT47"/>
  <c r="AR48"/>
  <c r="AR47"/>
  <c r="AS47"/>
  <c r="AV47"/>
  <c r="AU47"/>
  <c r="S42"/>
  <c r="U36"/>
  <c r="X7"/>
  <c r="Z7" s="1"/>
  <c r="U6"/>
  <c r="S11"/>
  <c r="T12"/>
  <c r="Y6"/>
  <c r="S43"/>
  <c r="U37"/>
  <c r="T38"/>
  <c r="T10"/>
  <c r="U5"/>
  <c r="Y14"/>
  <c r="X10"/>
  <c r="U7"/>
  <c r="X6"/>
  <c r="U9"/>
  <c r="S12"/>
  <c r="S10"/>
  <c r="T11"/>
  <c r="Y11" s="1"/>
  <c r="U8"/>
  <c r="Q19" i="303" l="1"/>
  <c r="Q13"/>
  <c r="Q15" s="1"/>
  <c r="Q17" s="1"/>
  <c r="Q18" s="1"/>
  <c r="Q20" s="1"/>
  <c r="Q16"/>
  <c r="CR8" i="302"/>
  <c r="CL12" s="1"/>
  <c r="CO12" s="1"/>
  <c r="A74" i="362"/>
  <c r="B73"/>
  <c r="C153" i="17"/>
  <c r="B153"/>
  <c r="A154"/>
  <c r="Y8" i="302"/>
  <c r="AC7" s="1"/>
  <c r="CO7"/>
  <c r="CP7" s="1"/>
  <c r="CQ7" s="1"/>
  <c r="CQ8" s="1"/>
  <c r="CL11" s="1"/>
  <c r="AY30"/>
  <c r="AY54" s="1"/>
  <c r="AY39"/>
  <c r="BB34" s="1"/>
  <c r="BB35" s="1"/>
  <c r="AY21"/>
  <c r="AY42"/>
  <c r="AY46" s="1"/>
  <c r="BB39"/>
  <c r="AY45"/>
  <c r="AY47" s="1"/>
  <c r="BB12"/>
  <c r="BB30"/>
  <c r="AY12"/>
  <c r="BB7" s="1"/>
  <c r="BB8" s="1"/>
  <c r="BB21"/>
  <c r="S57"/>
  <c r="T43"/>
  <c r="U10"/>
  <c r="S13"/>
  <c r="X12" s="1"/>
  <c r="X9"/>
  <c r="T13"/>
  <c r="Y12" s="1"/>
  <c r="AC10" s="1"/>
  <c r="Y9"/>
  <c r="U12"/>
  <c r="X8"/>
  <c r="X19"/>
  <c r="X25"/>
  <c r="Z10"/>
  <c r="S44"/>
  <c r="T44" s="1"/>
  <c r="U38"/>
  <c r="U11"/>
  <c r="X11"/>
  <c r="S56"/>
  <c r="T42"/>
  <c r="B74" i="362" l="1"/>
  <c r="A75"/>
  <c r="A155" i="17"/>
  <c r="B154"/>
  <c r="C154"/>
  <c r="Z8" i="302"/>
  <c r="AA7" s="1"/>
  <c r="AB7" s="1"/>
  <c r="R49"/>
  <c r="AK41"/>
  <c r="AK40"/>
  <c r="AL40" s="1"/>
  <c r="S49"/>
  <c r="CO14"/>
  <c r="CO16" s="1"/>
  <c r="CO19"/>
  <c r="CL13"/>
  <c r="CL15" s="1"/>
  <c r="CL18" s="1"/>
  <c r="CO13"/>
  <c r="CO15" s="1"/>
  <c r="CO17" s="1"/>
  <c r="CO18" s="1"/>
  <c r="CO20" s="1"/>
  <c r="BB25"/>
  <c r="BB26" s="1"/>
  <c r="AY48"/>
  <c r="Y21" s="1"/>
  <c r="AY55"/>
  <c r="AC11"/>
  <c r="X21"/>
  <c r="X27"/>
  <c r="Z12"/>
  <c r="AA10" s="1"/>
  <c r="AB10" s="1"/>
  <c r="BB16"/>
  <c r="BB18" s="1"/>
  <c r="AY53"/>
  <c r="BB9"/>
  <c r="BB10" s="1"/>
  <c r="BB36"/>
  <c r="BB37" s="1"/>
  <c r="AZ55" s="1"/>
  <c r="U13"/>
  <c r="X26"/>
  <c r="X20"/>
  <c r="Z11"/>
  <c r="T56"/>
  <c r="U42"/>
  <c r="V42" s="1"/>
  <c r="R58"/>
  <c r="T57"/>
  <c r="U43"/>
  <c r="V43" s="1"/>
  <c r="A76" i="362" l="1"/>
  <c r="B75"/>
  <c r="A156" i="17"/>
  <c r="C155"/>
  <c r="B155"/>
  <c r="AO40" i="302"/>
  <c r="AL41"/>
  <c r="AM40" s="1"/>
  <c r="AN40" s="1"/>
  <c r="AK36"/>
  <c r="AL36" s="1"/>
  <c r="AK35"/>
  <c r="AK46"/>
  <c r="AL46" s="1"/>
  <c r="AK45"/>
  <c r="Y20"/>
  <c r="Y19"/>
  <c r="BB27"/>
  <c r="BB28" s="1"/>
  <c r="AZ54" s="1"/>
  <c r="BB44"/>
  <c r="BB46" s="1"/>
  <c r="AA11"/>
  <c r="AB11" s="1"/>
  <c r="BB17"/>
  <c r="BB19" s="1"/>
  <c r="AZ53" s="1"/>
  <c r="S58"/>
  <c r="T58" s="1"/>
  <c r="A77" i="362" l="1"/>
  <c r="B76"/>
  <c r="B156" i="17"/>
  <c r="A157"/>
  <c r="C156"/>
  <c r="AO45" i="302"/>
  <c r="AL45"/>
  <c r="AM45" s="1"/>
  <c r="AN45" s="1"/>
  <c r="AO35"/>
  <c r="AL35"/>
  <c r="AM35" s="1"/>
  <c r="AN35" s="1"/>
  <c r="BB45"/>
  <c r="BB47" s="1"/>
  <c r="U57"/>
  <c r="V57" s="1"/>
  <c r="U56"/>
  <c r="V56" s="1"/>
  <c r="A78" i="362" l="1"/>
  <c r="B77"/>
  <c r="B157" i="17"/>
  <c r="C157"/>
  <c r="A158"/>
  <c r="Y26" i="302"/>
  <c r="Y25"/>
  <c r="Y27"/>
  <c r="B78" i="362" l="1"/>
  <c r="A79"/>
  <c r="C158" i="17"/>
  <c r="A159"/>
  <c r="B158"/>
  <c r="R8" i="301"/>
  <c r="S8"/>
  <c r="R9"/>
  <c r="S9"/>
  <c r="R10"/>
  <c r="S10"/>
  <c r="R11"/>
  <c r="S11"/>
  <c r="R12"/>
  <c r="S12"/>
  <c r="R13"/>
  <c r="S13"/>
  <c r="R14"/>
  <c r="S14"/>
  <c r="R15"/>
  <c r="S15"/>
  <c r="R16"/>
  <c r="S16"/>
  <c r="J8"/>
  <c r="K8"/>
  <c r="J9"/>
  <c r="K9"/>
  <c r="J10"/>
  <c r="K10"/>
  <c r="J11"/>
  <c r="K11"/>
  <c r="J12"/>
  <c r="K12"/>
  <c r="J13"/>
  <c r="K13"/>
  <c r="J14"/>
  <c r="K14"/>
  <c r="J15"/>
  <c r="K15"/>
  <c r="J16"/>
  <c r="K16"/>
  <c r="S7"/>
  <c r="R7"/>
  <c r="K7"/>
  <c r="J7"/>
  <c r="Q8"/>
  <c r="Q9" s="1"/>
  <c r="Q10" s="1"/>
  <c r="Q11" s="1"/>
  <c r="Q12" s="1"/>
  <c r="Q13" s="1"/>
  <c r="Q14" s="1"/>
  <c r="Q15" s="1"/>
  <c r="Q16" s="1"/>
  <c r="T23" s="1"/>
  <c r="I8"/>
  <c r="I9" s="1"/>
  <c r="I10" s="1"/>
  <c r="I11" s="1"/>
  <c r="I12" s="1"/>
  <c r="I13" s="1"/>
  <c r="I14" s="1"/>
  <c r="I15" s="1"/>
  <c r="I16" s="1"/>
  <c r="L23" s="1"/>
  <c r="B8"/>
  <c r="C8"/>
  <c r="B9"/>
  <c r="C9"/>
  <c r="B10"/>
  <c r="C10"/>
  <c r="B11"/>
  <c r="C11"/>
  <c r="B12"/>
  <c r="C12"/>
  <c r="B13"/>
  <c r="C13"/>
  <c r="B14"/>
  <c r="C14"/>
  <c r="B15"/>
  <c r="C15"/>
  <c r="B16"/>
  <c r="C16"/>
  <c r="C7"/>
  <c r="B7"/>
  <c r="A8"/>
  <c r="A9" s="1"/>
  <c r="A10" s="1"/>
  <c r="A11" s="1"/>
  <c r="A12" s="1"/>
  <c r="A13" s="1"/>
  <c r="A14" s="1"/>
  <c r="A15" s="1"/>
  <c r="A16" s="1"/>
  <c r="AK25" i="300"/>
  <c r="AL25" s="1"/>
  <c r="AM25" s="1"/>
  <c r="AN25" s="1"/>
  <c r="AO25" s="1"/>
  <c r="G15"/>
  <c r="D30" i="301" s="1"/>
  <c r="F15" i="300"/>
  <c r="C30" i="301" s="1"/>
  <c r="E15" i="300"/>
  <c r="B30" i="301" s="1"/>
  <c r="D15" i="300"/>
  <c r="D29" i="301" s="1"/>
  <c r="C15" i="300"/>
  <c r="C29" i="301" s="1"/>
  <c r="B15" i="300"/>
  <c r="B29" i="301" s="1"/>
  <c r="O14" i="300"/>
  <c r="N14"/>
  <c r="M14"/>
  <c r="K14"/>
  <c r="J14"/>
  <c r="H14"/>
  <c r="O13"/>
  <c r="N13"/>
  <c r="M13"/>
  <c r="K13"/>
  <c r="J13"/>
  <c r="H13"/>
  <c r="O12"/>
  <c r="N12"/>
  <c r="M12"/>
  <c r="K12"/>
  <c r="J12"/>
  <c r="H12"/>
  <c r="O11"/>
  <c r="N11"/>
  <c r="M11"/>
  <c r="K11"/>
  <c r="J11"/>
  <c r="H11"/>
  <c r="O10"/>
  <c r="N10"/>
  <c r="M10"/>
  <c r="K10"/>
  <c r="J10"/>
  <c r="H10"/>
  <c r="O9"/>
  <c r="N9"/>
  <c r="M9"/>
  <c r="K9"/>
  <c r="J9"/>
  <c r="H9"/>
  <c r="O8"/>
  <c r="N8"/>
  <c r="M8"/>
  <c r="K8"/>
  <c r="J8"/>
  <c r="H8"/>
  <c r="S7"/>
  <c r="O7"/>
  <c r="N7"/>
  <c r="M7"/>
  <c r="K7"/>
  <c r="J7"/>
  <c r="H7"/>
  <c r="O6"/>
  <c r="N6"/>
  <c r="M6"/>
  <c r="K6"/>
  <c r="J6"/>
  <c r="H6"/>
  <c r="A6"/>
  <c r="A7" s="1"/>
  <c r="A8" s="1"/>
  <c r="A9" s="1"/>
  <c r="A10" s="1"/>
  <c r="A11" s="1"/>
  <c r="A12" s="1"/>
  <c r="O5"/>
  <c r="N5"/>
  <c r="M5"/>
  <c r="K5"/>
  <c r="J5"/>
  <c r="H5"/>
  <c r="AN4"/>
  <c r="AO4" s="1"/>
  <c r="AG4"/>
  <c r="S4"/>
  <c r="R4"/>
  <c r="T8" s="1"/>
  <c r="Y5" s="1"/>
  <c r="AW4" s="1"/>
  <c r="B13" i="298"/>
  <c r="C13" s="1"/>
  <c r="AA20" i="297"/>
  <c r="Z20"/>
  <c r="Y20"/>
  <c r="X20"/>
  <c r="K20"/>
  <c r="J20"/>
  <c r="I20"/>
  <c r="H20"/>
  <c r="AA19"/>
  <c r="Z19"/>
  <c r="Y19"/>
  <c r="X19"/>
  <c r="K19"/>
  <c r="J19"/>
  <c r="I19"/>
  <c r="H19"/>
  <c r="AA18"/>
  <c r="Z18"/>
  <c r="Y18"/>
  <c r="X18"/>
  <c r="K18"/>
  <c r="J18"/>
  <c r="I18"/>
  <c r="H18"/>
  <c r="AA17"/>
  <c r="Z17"/>
  <c r="Y17"/>
  <c r="X17"/>
  <c r="K17"/>
  <c r="J17"/>
  <c r="I17"/>
  <c r="H17"/>
  <c r="AA16"/>
  <c r="Z16"/>
  <c r="Y16"/>
  <c r="X16"/>
  <c r="K16"/>
  <c r="J16"/>
  <c r="I16"/>
  <c r="H16"/>
  <c r="AA15"/>
  <c r="Z15"/>
  <c r="Y15"/>
  <c r="X15"/>
  <c r="K15"/>
  <c r="J15"/>
  <c r="I15"/>
  <c r="H15"/>
  <c r="AA14"/>
  <c r="Z14"/>
  <c r="Y14"/>
  <c r="X14"/>
  <c r="K14"/>
  <c r="J14"/>
  <c r="I14"/>
  <c r="H14"/>
  <c r="AA13"/>
  <c r="Z13"/>
  <c r="Y13"/>
  <c r="X13"/>
  <c r="K13"/>
  <c r="J13"/>
  <c r="I13"/>
  <c r="H13"/>
  <c r="AA12"/>
  <c r="Z12"/>
  <c r="Y12"/>
  <c r="X12"/>
  <c r="K12"/>
  <c r="J12"/>
  <c r="I12"/>
  <c r="H12"/>
  <c r="AA11"/>
  <c r="Z11"/>
  <c r="Y11"/>
  <c r="X11"/>
  <c r="K11"/>
  <c r="J11"/>
  <c r="I11"/>
  <c r="H11"/>
  <c r="AA10"/>
  <c r="Z10"/>
  <c r="Y10"/>
  <c r="X10"/>
  <c r="K10"/>
  <c r="J10"/>
  <c r="I10"/>
  <c r="H10"/>
  <c r="AA9"/>
  <c r="Z9"/>
  <c r="Y9"/>
  <c r="X9"/>
  <c r="K9"/>
  <c r="J9"/>
  <c r="I9"/>
  <c r="H9"/>
  <c r="AA8"/>
  <c r="Z8"/>
  <c r="Y8"/>
  <c r="X8"/>
  <c r="K8"/>
  <c r="J8"/>
  <c r="I8"/>
  <c r="H8"/>
  <c r="AC7"/>
  <c r="AC8" s="1"/>
  <c r="AC9" s="1"/>
  <c r="AC10" s="1"/>
  <c r="AC11" s="1"/>
  <c r="AC12" s="1"/>
  <c r="AC13" s="1"/>
  <c r="AC14" s="1"/>
  <c r="AC15" s="1"/>
  <c r="AC16" s="1"/>
  <c r="AC17" s="1"/>
  <c r="AC18" s="1"/>
  <c r="AC19" s="1"/>
  <c r="AC20" s="1"/>
  <c r="AA7"/>
  <c r="Z7"/>
  <c r="Y7"/>
  <c r="X7"/>
  <c r="W7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K7"/>
  <c r="J7"/>
  <c r="I7"/>
  <c r="H7"/>
  <c r="AA6"/>
  <c r="Z6"/>
  <c r="Y6"/>
  <c r="X6"/>
  <c r="K6"/>
  <c r="J6"/>
  <c r="I6"/>
  <c r="H6"/>
  <c r="G6"/>
  <c r="K5"/>
  <c r="J5"/>
  <c r="I5"/>
  <c r="H5"/>
  <c r="G5"/>
  <c r="A5"/>
  <c r="G7" s="1"/>
  <c r="A6" i="29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D26" s="1"/>
  <c r="E4"/>
  <c r="D4"/>
  <c r="C4"/>
  <c r="AO9" i="300" l="1"/>
  <c r="AN9"/>
  <c r="AG14" i="297"/>
  <c r="A80" i="362"/>
  <c r="B79"/>
  <c r="C159" i="17"/>
  <c r="A160"/>
  <c r="B159"/>
  <c r="AI17" i="297"/>
  <c r="AI18"/>
  <c r="AI19"/>
  <c r="AF7"/>
  <c r="AG11"/>
  <c r="A6"/>
  <c r="G8" s="1"/>
  <c r="AF8"/>
  <c r="AG12"/>
  <c r="AG13"/>
  <c r="AD16"/>
  <c r="AF18"/>
  <c r="AJ4" i="300"/>
  <c r="AJ20" s="1"/>
  <c r="AW7" s="1"/>
  <c r="AE9" i="297"/>
  <c r="AI12"/>
  <c r="AH19"/>
  <c r="AE16"/>
  <c r="AA7" i="301"/>
  <c r="AD8" i="297"/>
  <c r="L10"/>
  <c r="AD10"/>
  <c r="AE11"/>
  <c r="AI14"/>
  <c r="AG15"/>
  <c r="Z16" i="301"/>
  <c r="Z14"/>
  <c r="Z12"/>
  <c r="Z10"/>
  <c r="AA15"/>
  <c r="AA13"/>
  <c r="AA11"/>
  <c r="AA9"/>
  <c r="J22" i="297"/>
  <c r="AH9"/>
  <c r="AH10"/>
  <c r="AH12"/>
  <c r="AD13"/>
  <c r="AE13"/>
  <c r="AI15"/>
  <c r="AG17"/>
  <c r="L19"/>
  <c r="L18"/>
  <c r="AE18"/>
  <c r="L8" i="301"/>
  <c r="Z8"/>
  <c r="I22" i="297"/>
  <c r="L9"/>
  <c r="AD9"/>
  <c r="AF9"/>
  <c r="AH11"/>
  <c r="AI11"/>
  <c r="L13"/>
  <c r="L15"/>
  <c r="AD15"/>
  <c r="AF15"/>
  <c r="AH17"/>
  <c r="AI20"/>
  <c r="Z15" i="301"/>
  <c r="Z13"/>
  <c r="Z11"/>
  <c r="Z9"/>
  <c r="AA16"/>
  <c r="T14"/>
  <c r="AA14"/>
  <c r="AA12"/>
  <c r="AA10"/>
  <c r="T8"/>
  <c r="AA8"/>
  <c r="AE10" i="297"/>
  <c r="AF10"/>
  <c r="L16"/>
  <c r="L17"/>
  <c r="F18" i="296"/>
  <c r="AE7" i="297"/>
  <c r="L11"/>
  <c r="AF13"/>
  <c r="AH16"/>
  <c r="AF16"/>
  <c r="AG19"/>
  <c r="Z7" i="301"/>
  <c r="B47"/>
  <c r="B48" s="1"/>
  <c r="L15"/>
  <c r="D16"/>
  <c r="D10"/>
  <c r="D14"/>
  <c r="D12"/>
  <c r="D8"/>
  <c r="D7"/>
  <c r="D13"/>
  <c r="D9"/>
  <c r="L14"/>
  <c r="T13"/>
  <c r="L16"/>
  <c r="L12"/>
  <c r="L10"/>
  <c r="T15"/>
  <c r="T11"/>
  <c r="T9"/>
  <c r="D15"/>
  <c r="D11"/>
  <c r="L11"/>
  <c r="T16"/>
  <c r="T12"/>
  <c r="T10"/>
  <c r="L7"/>
  <c r="J15" i="300"/>
  <c r="L13" i="301"/>
  <c r="L9"/>
  <c r="T7"/>
  <c r="D23"/>
  <c r="AG8" i="300"/>
  <c r="A13"/>
  <c r="A14" s="1"/>
  <c r="O15"/>
  <c r="K15"/>
  <c r="T9"/>
  <c r="Y7" s="1"/>
  <c r="AR36"/>
  <c r="R13"/>
  <c r="S13" s="1"/>
  <c r="AR4"/>
  <c r="M15"/>
  <c r="AR35"/>
  <c r="T11"/>
  <c r="R10"/>
  <c r="S10" s="1"/>
  <c r="X13"/>
  <c r="R15"/>
  <c r="S15" s="1"/>
  <c r="N15"/>
  <c r="H15"/>
  <c r="D13" i="298"/>
  <c r="K22" i="297"/>
  <c r="K21"/>
  <c r="AE6"/>
  <c r="X21"/>
  <c r="AD6"/>
  <c r="AI7"/>
  <c r="AI13"/>
  <c r="AG18"/>
  <c r="AH18"/>
  <c r="AD19"/>
  <c r="AF19"/>
  <c r="AF20"/>
  <c r="AE20"/>
  <c r="AF6"/>
  <c r="AI10"/>
  <c r="AG10"/>
  <c r="L14"/>
  <c r="AI16"/>
  <c r="AG16"/>
  <c r="AF17"/>
  <c r="AE17"/>
  <c r="AE19"/>
  <c r="AH20"/>
  <c r="AG20"/>
  <c r="AD20"/>
  <c r="Z21"/>
  <c r="AI6"/>
  <c r="AG6"/>
  <c r="Y21"/>
  <c r="AH7"/>
  <c r="AG7"/>
  <c r="AD7"/>
  <c r="AI8"/>
  <c r="AG8"/>
  <c r="AF12"/>
  <c r="AE12"/>
  <c r="AD12"/>
  <c r="AD14"/>
  <c r="AF14"/>
  <c r="AE14"/>
  <c r="AD17"/>
  <c r="I21"/>
  <c r="AI9"/>
  <c r="AG9"/>
  <c r="AD11"/>
  <c r="AF11"/>
  <c r="L12"/>
  <c r="AH13"/>
  <c r="AD18"/>
  <c r="J21"/>
  <c r="H26"/>
  <c r="B5" i="299" s="1"/>
  <c r="AA21" i="297"/>
  <c r="AH6"/>
  <c r="L7"/>
  <c r="H22"/>
  <c r="H21"/>
  <c r="L8"/>
  <c r="AH8"/>
  <c r="AE8"/>
  <c r="AH15"/>
  <c r="AE15"/>
  <c r="L20"/>
  <c r="AH14"/>
  <c r="L6"/>
  <c r="O8"/>
  <c r="H25"/>
  <c r="B6" i="299" s="1"/>
  <c r="B18" s="1"/>
  <c r="F6" i="296"/>
  <c r="F10"/>
  <c r="F14"/>
  <c r="F5"/>
  <c r="F7"/>
  <c r="F9"/>
  <c r="F11"/>
  <c r="F13"/>
  <c r="F15"/>
  <c r="F17"/>
  <c r="F19"/>
  <c r="F8"/>
  <c r="F12"/>
  <c r="F16"/>
  <c r="AA28" i="297" l="1"/>
  <c r="AB7" i="301"/>
  <c r="AB14"/>
  <c r="A81" i="362"/>
  <c r="B80"/>
  <c r="C160" i="17"/>
  <c r="A161"/>
  <c r="B160"/>
  <c r="AB13" i="301"/>
  <c r="AB10"/>
  <c r="A7" i="297"/>
  <c r="A8" s="1"/>
  <c r="AJ14" i="300"/>
  <c r="AB16" i="301"/>
  <c r="AB15"/>
  <c r="T4" i="300"/>
  <c r="R11" s="1"/>
  <c r="S11" s="1"/>
  <c r="AB12" i="301"/>
  <c r="AB9"/>
  <c r="AB8"/>
  <c r="AB11"/>
  <c r="B10" i="299"/>
  <c r="B17"/>
  <c r="B21" s="1"/>
  <c r="B8"/>
  <c r="E6" i="298"/>
  <c r="C9"/>
  <c r="B9"/>
  <c r="D9"/>
  <c r="E8"/>
  <c r="E5"/>
  <c r="A9"/>
  <c r="AA26" i="297"/>
  <c r="AA27"/>
  <c r="E7" i="298"/>
  <c r="D18" i="301"/>
  <c r="D19" s="1"/>
  <c r="B23" s="1"/>
  <c r="L18"/>
  <c r="L19" s="1"/>
  <c r="J23" s="1"/>
  <c r="T18"/>
  <c r="T19" s="1"/>
  <c r="R23" s="1"/>
  <c r="L17"/>
  <c r="T12" i="300"/>
  <c r="Y9" s="1"/>
  <c r="AW20" s="1"/>
  <c r="AG7"/>
  <c r="T17" i="301"/>
  <c r="AO8" i="300"/>
  <c r="D17" i="301"/>
  <c r="AV25" i="300"/>
  <c r="T15"/>
  <c r="U15" s="1"/>
  <c r="AP28"/>
  <c r="AP31"/>
  <c r="AK32"/>
  <c r="AP30"/>
  <c r="AO32"/>
  <c r="AL32"/>
  <c r="AP29"/>
  <c r="AJ7"/>
  <c r="AF8"/>
  <c r="AJ5" s="1"/>
  <c r="AF7"/>
  <c r="AJ6"/>
  <c r="AJ32"/>
  <c r="AP26"/>
  <c r="AP27"/>
  <c r="AM32"/>
  <c r="AN8"/>
  <c r="X11"/>
  <c r="AR20"/>
  <c r="AR14"/>
  <c r="AW12"/>
  <c r="AN32"/>
  <c r="AM8"/>
  <c r="AR6"/>
  <c r="AM9"/>
  <c r="AR5" s="1"/>
  <c r="AR7"/>
  <c r="G22" i="298"/>
  <c r="G14"/>
  <c r="AR14" i="297"/>
  <c r="O6"/>
  <c r="J37"/>
  <c r="P8"/>
  <c r="P5"/>
  <c r="AI23"/>
  <c r="J39"/>
  <c r="AR6"/>
  <c r="J38"/>
  <c r="O5"/>
  <c r="AR5"/>
  <c r="P6"/>
  <c r="AI21"/>
  <c r="AI22"/>
  <c r="K34"/>
  <c r="J40"/>
  <c r="AR7"/>
  <c r="H34"/>
  <c r="J41"/>
  <c r="AN9"/>
  <c r="AR8"/>
  <c r="AL9"/>
  <c r="AO9"/>
  <c r="AD23"/>
  <c r="AA25"/>
  <c r="AF23"/>
  <c r="AE23"/>
  <c r="AF22"/>
  <c r="AF21"/>
  <c r="AE22"/>
  <c r="AE21"/>
  <c r="AH23"/>
  <c r="AG23"/>
  <c r="AH21"/>
  <c r="AH22"/>
  <c r="I34"/>
  <c r="L22"/>
  <c r="L21"/>
  <c r="AG22"/>
  <c r="AG21"/>
  <c r="AD22"/>
  <c r="AD21"/>
  <c r="J34"/>
  <c r="AM9"/>
  <c r="F21" i="296"/>
  <c r="F22" s="1"/>
  <c r="B26" s="1"/>
  <c r="F20"/>
  <c r="F23" i="301" l="1"/>
  <c r="B81" i="362"/>
  <c r="A82"/>
  <c r="C161" i="17"/>
  <c r="B161"/>
  <c r="A162"/>
  <c r="G9" i="297"/>
  <c r="AJ13" i="300"/>
  <c r="T10"/>
  <c r="Y11" s="1"/>
  <c r="AW24" s="1"/>
  <c r="R8"/>
  <c r="S8" s="1"/>
  <c r="X5" s="1"/>
  <c r="AR13"/>
  <c r="R9"/>
  <c r="S9" s="1"/>
  <c r="S16" s="1"/>
  <c r="X8" s="1"/>
  <c r="AB17" i="301"/>
  <c r="Y23" s="1"/>
  <c r="AB18"/>
  <c r="AB19" s="1"/>
  <c r="Z23" s="1"/>
  <c r="U4" i="300"/>
  <c r="T7" s="1"/>
  <c r="T13"/>
  <c r="U13" s="1"/>
  <c r="AJ8"/>
  <c r="AJ10" s="1"/>
  <c r="AJ9"/>
  <c r="E9" i="298"/>
  <c r="D16" s="1"/>
  <c r="AR9" i="300"/>
  <c r="N23" i="301"/>
  <c r="V23"/>
  <c r="I23"/>
  <c r="K23" s="1"/>
  <c r="Q23"/>
  <c r="S23" s="1"/>
  <c r="W23" s="1"/>
  <c r="A23"/>
  <c r="C23" s="1"/>
  <c r="AV24" i="300"/>
  <c r="AW15"/>
  <c r="AP32"/>
  <c r="AM39" s="1"/>
  <c r="AW21"/>
  <c r="AR8"/>
  <c r="AR10" s="1"/>
  <c r="U11"/>
  <c r="O23" i="297"/>
  <c r="AR15"/>
  <c r="AR10"/>
  <c r="P7"/>
  <c r="T6" s="1"/>
  <c r="AR9"/>
  <c r="AR11" s="1"/>
  <c r="J42"/>
  <c r="J44" s="1"/>
  <c r="Q5"/>
  <c r="G10"/>
  <c r="A9"/>
  <c r="J43"/>
  <c r="O7"/>
  <c r="O17"/>
  <c r="O12"/>
  <c r="Q6"/>
  <c r="O24"/>
  <c r="F26" i="296"/>
  <c r="A26"/>
  <c r="C26" s="1"/>
  <c r="U8" i="300" l="1"/>
  <c r="B82" i="362"/>
  <c r="A83"/>
  <c r="S14" i="300"/>
  <c r="X6" s="1"/>
  <c r="A163" i="17"/>
  <c r="B162"/>
  <c r="C162"/>
  <c r="S12" i="300"/>
  <c r="X9" s="1"/>
  <c r="AX24"/>
  <c r="U10"/>
  <c r="T16"/>
  <c r="Y8" s="1"/>
  <c r="AW16" s="1"/>
  <c r="Z11"/>
  <c r="U9"/>
  <c r="X7"/>
  <c r="Z7" s="1"/>
  <c r="AD23" i="301"/>
  <c r="AR11" i="300"/>
  <c r="AW13" s="1"/>
  <c r="AA23" i="301"/>
  <c r="AE23" s="1"/>
  <c r="AJ11" i="300"/>
  <c r="AJ15" s="1"/>
  <c r="T14"/>
  <c r="Y6" s="1"/>
  <c r="AC5" s="1"/>
  <c r="U7"/>
  <c r="Y13"/>
  <c r="G23" i="301"/>
  <c r="B52"/>
  <c r="B53" s="1"/>
  <c r="A17" i="298"/>
  <c r="AC23" i="301"/>
  <c r="A15" i="298"/>
  <c r="C14"/>
  <c r="B14"/>
  <c r="C16"/>
  <c r="C18" s="1"/>
  <c r="D15"/>
  <c r="B16"/>
  <c r="B17"/>
  <c r="A16"/>
  <c r="A14"/>
  <c r="AM40" i="300"/>
  <c r="AO35"/>
  <c r="AR12" i="297"/>
  <c r="AR16" s="1"/>
  <c r="AR17" s="1"/>
  <c r="AM37" i="300"/>
  <c r="AN39"/>
  <c r="D14" i="298"/>
  <c r="B15"/>
  <c r="B18" s="1"/>
  <c r="D17"/>
  <c r="C15"/>
  <c r="C17"/>
  <c r="M23" i="301"/>
  <c r="O23"/>
  <c r="U23"/>
  <c r="E23"/>
  <c r="Z5" i="300"/>
  <c r="AV4"/>
  <c r="AN38"/>
  <c r="AJ37"/>
  <c r="AL37"/>
  <c r="AN36"/>
  <c r="AK40"/>
  <c r="AK36"/>
  <c r="AO36"/>
  <c r="AV12"/>
  <c r="AL39"/>
  <c r="AN37"/>
  <c r="AL38"/>
  <c r="AK37"/>
  <c r="AO37"/>
  <c r="AO39"/>
  <c r="AJ39"/>
  <c r="AN40"/>
  <c r="AM35"/>
  <c r="AK39"/>
  <c r="AM38"/>
  <c r="AO38"/>
  <c r="AK38"/>
  <c r="AJ36"/>
  <c r="AL40"/>
  <c r="AJ38"/>
  <c r="AM36"/>
  <c r="AL35"/>
  <c r="AJ35"/>
  <c r="AJ40"/>
  <c r="AL36"/>
  <c r="AK35"/>
  <c r="AO40"/>
  <c r="AV16"/>
  <c r="AN35"/>
  <c r="O18" i="297"/>
  <c r="O13"/>
  <c r="Q7"/>
  <c r="R5" s="1"/>
  <c r="S5" s="1"/>
  <c r="G11"/>
  <c r="A10"/>
  <c r="J45"/>
  <c r="AR21"/>
  <c r="T5"/>
  <c r="O25"/>
  <c r="G26" i="296"/>
  <c r="E26"/>
  <c r="S17" i="300" l="1"/>
  <c r="X10" s="1"/>
  <c r="U12"/>
  <c r="B83" i="362"/>
  <c r="A84"/>
  <c r="AC7" i="300"/>
  <c r="C163" i="17"/>
  <c r="A164"/>
  <c r="B163"/>
  <c r="Z8" i="300"/>
  <c r="AA7" s="1"/>
  <c r="AB7" s="1"/>
  <c r="U16"/>
  <c r="U14"/>
  <c r="AR15"/>
  <c r="AR16" s="1"/>
  <c r="T17"/>
  <c r="Y10" s="1"/>
  <c r="AW22" s="1"/>
  <c r="AW23" s="1"/>
  <c r="BA21" s="1"/>
  <c r="AW8"/>
  <c r="BA4" s="1"/>
  <c r="AW5"/>
  <c r="AW25"/>
  <c r="AX25" s="1"/>
  <c r="Z13"/>
  <c r="AR18" i="297"/>
  <c r="AR19" s="1"/>
  <c r="D18" i="298"/>
  <c r="A18"/>
  <c r="G16"/>
  <c r="AJ17" i="300"/>
  <c r="AJ16"/>
  <c r="AV8"/>
  <c r="Z6"/>
  <c r="AA5" s="1"/>
  <c r="AB5" s="1"/>
  <c r="AW19"/>
  <c r="BA15" s="1"/>
  <c r="AW17"/>
  <c r="BA13" s="1"/>
  <c r="BA12"/>
  <c r="AV20"/>
  <c r="Z9"/>
  <c r="AV15"/>
  <c r="AX15" s="1"/>
  <c r="AV14"/>
  <c r="AX12"/>
  <c r="AV13"/>
  <c r="AX13" s="1"/>
  <c r="AX16"/>
  <c r="AV19"/>
  <c r="AV18"/>
  <c r="AV17"/>
  <c r="AV6"/>
  <c r="AX4"/>
  <c r="AV5"/>
  <c r="AV7"/>
  <c r="AX7" s="1"/>
  <c r="J46" i="297"/>
  <c r="J47"/>
  <c r="P12"/>
  <c r="R6"/>
  <c r="S6" s="1"/>
  <c r="G12"/>
  <c r="A11"/>
  <c r="P13"/>
  <c r="Q13" s="1"/>
  <c r="O27" s="1"/>
  <c r="A5" i="294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6" i="290"/>
  <c r="D26" i="289"/>
  <c r="C26"/>
  <c r="B26"/>
  <c r="E25"/>
  <c r="E24"/>
  <c r="E23"/>
  <c r="B17"/>
  <c r="D10"/>
  <c r="C10"/>
  <c r="B10"/>
  <c r="D8"/>
  <c r="C8"/>
  <c r="B8"/>
  <c r="E7"/>
  <c r="E6"/>
  <c r="E5"/>
  <c r="P40" i="288"/>
  <c r="A7" i="290" l="1"/>
  <c r="P20"/>
  <c r="P32"/>
  <c r="P8"/>
  <c r="BA20" i="300"/>
  <c r="B84" i="362"/>
  <c r="A85"/>
  <c r="C164" i="17"/>
  <c r="A165"/>
  <c r="B164"/>
  <c r="AR17" i="300"/>
  <c r="AR18" s="1"/>
  <c r="AW14" s="1"/>
  <c r="AX14" s="1"/>
  <c r="U17"/>
  <c r="AC9"/>
  <c r="AW11"/>
  <c r="BA7" s="1"/>
  <c r="AW9"/>
  <c r="BA5" s="1"/>
  <c r="AX5"/>
  <c r="E8" i="289"/>
  <c r="B11" s="1"/>
  <c r="E26"/>
  <c r="J48" i="297"/>
  <c r="P17" s="1"/>
  <c r="AJ18" i="300"/>
  <c r="AW6" s="1"/>
  <c r="AX6" s="1"/>
  <c r="G15" i="298"/>
  <c r="G17" s="1"/>
  <c r="AX17" i="300"/>
  <c r="AY13" s="1"/>
  <c r="AZ13" s="1"/>
  <c r="G23" i="298"/>
  <c r="G24"/>
  <c r="B7" i="299"/>
  <c r="B9" s="1"/>
  <c r="B11" s="1"/>
  <c r="B13" s="1"/>
  <c r="AX20" i="300"/>
  <c r="AV21"/>
  <c r="AX21" s="1"/>
  <c r="AR37"/>
  <c r="AR38"/>
  <c r="AV10"/>
  <c r="AV11"/>
  <c r="AV9"/>
  <c r="AX8"/>
  <c r="AY4" s="1"/>
  <c r="AZ4" s="1"/>
  <c r="AV22"/>
  <c r="Z10"/>
  <c r="AA9" s="1"/>
  <c r="AB9" s="1"/>
  <c r="AX19"/>
  <c r="AY15" s="1"/>
  <c r="AZ15" s="1"/>
  <c r="AY12"/>
  <c r="AZ12" s="1"/>
  <c r="A12" i="297"/>
  <c r="G13"/>
  <c r="T12"/>
  <c r="Q12"/>
  <c r="E10" i="289"/>
  <c r="B40" i="288"/>
  <c r="C40"/>
  <c r="D40"/>
  <c r="E40"/>
  <c r="F40"/>
  <c r="G40"/>
  <c r="H40"/>
  <c r="I40"/>
  <c r="J40"/>
  <c r="K40"/>
  <c r="L40"/>
  <c r="A28"/>
  <c r="A29" s="1"/>
  <c r="A30" s="1"/>
  <c r="A31" s="1"/>
  <c r="A32" s="1"/>
  <c r="A33" s="1"/>
  <c r="A34" s="1"/>
  <c r="A35" s="1"/>
  <c r="A36" s="1"/>
  <c r="A37" s="1"/>
  <c r="A38" s="1"/>
  <c r="B17"/>
  <c r="C17"/>
  <c r="D17"/>
  <c r="E17"/>
  <c r="F17"/>
  <c r="G17"/>
  <c r="H17"/>
  <c r="I17"/>
  <c r="J17"/>
  <c r="K17"/>
  <c r="L17"/>
  <c r="B19"/>
  <c r="L16"/>
  <c r="K16"/>
  <c r="J16"/>
  <c r="I16"/>
  <c r="H16"/>
  <c r="G16"/>
  <c r="F16"/>
  <c r="E16"/>
  <c r="D16"/>
  <c r="C16"/>
  <c r="B16"/>
  <c r="M15"/>
  <c r="E38" s="1"/>
  <c r="M14"/>
  <c r="D37" s="1"/>
  <c r="M13"/>
  <c r="C36" s="1"/>
  <c r="M12"/>
  <c r="B35" s="1"/>
  <c r="M11"/>
  <c r="E34" s="1"/>
  <c r="M10"/>
  <c r="D33" s="1"/>
  <c r="M9"/>
  <c r="C32" s="1"/>
  <c r="M8"/>
  <c r="B31" s="1"/>
  <c r="M7"/>
  <c r="E30" s="1"/>
  <c r="M6"/>
  <c r="D29" s="1"/>
  <c r="M5"/>
  <c r="C28" s="1"/>
  <c r="A5"/>
  <c r="M4"/>
  <c r="C27" s="1"/>
  <c r="M17" l="1"/>
  <c r="B41" s="1"/>
  <c r="A6"/>
  <c r="O84"/>
  <c r="O52"/>
  <c r="O68"/>
  <c r="A8" i="290"/>
  <c r="P21"/>
  <c r="P33"/>
  <c r="P9"/>
  <c r="H11" i="289"/>
  <c r="H12" s="1"/>
  <c r="B85" i="362"/>
  <c r="A86"/>
  <c r="AX9" i="300"/>
  <c r="AY5" s="1"/>
  <c r="AZ5" s="1"/>
  <c r="C165" i="17"/>
  <c r="B165"/>
  <c r="A166"/>
  <c r="AX11" i="300"/>
  <c r="AY7" s="1"/>
  <c r="AZ7" s="1"/>
  <c r="C11" i="289"/>
  <c r="D11"/>
  <c r="P18" i="297"/>
  <c r="Q18" s="1"/>
  <c r="AW18" i="300"/>
  <c r="AX18" s="1"/>
  <c r="AY14" s="1"/>
  <c r="AZ14" s="1"/>
  <c r="J28" i="288"/>
  <c r="B36"/>
  <c r="J32"/>
  <c r="F30"/>
  <c r="D34"/>
  <c r="D27"/>
  <c r="J36"/>
  <c r="B32"/>
  <c r="AW10" i="300"/>
  <c r="BA6" s="1"/>
  <c r="L38" i="288"/>
  <c r="D30"/>
  <c r="L27"/>
  <c r="F38"/>
  <c r="L34"/>
  <c r="G25" i="298"/>
  <c r="B19" i="299" s="1"/>
  <c r="B20" s="1"/>
  <c r="B22" s="1"/>
  <c r="B24" s="1"/>
  <c r="J27" i="288"/>
  <c r="D38"/>
  <c r="F34"/>
  <c r="L30"/>
  <c r="B28"/>
  <c r="H36"/>
  <c r="H32"/>
  <c r="H28"/>
  <c r="H27"/>
  <c r="J38"/>
  <c r="B38"/>
  <c r="F36"/>
  <c r="J34"/>
  <c r="B34"/>
  <c r="F32"/>
  <c r="J30"/>
  <c r="B30"/>
  <c r="F28"/>
  <c r="F27"/>
  <c r="H38"/>
  <c r="L36"/>
  <c r="D36"/>
  <c r="H34"/>
  <c r="L32"/>
  <c r="D32"/>
  <c r="H30"/>
  <c r="L28"/>
  <c r="D28"/>
  <c r="B27"/>
  <c r="AR39" i="300"/>
  <c r="AV23"/>
  <c r="AX23" s="1"/>
  <c r="AY21" s="1"/>
  <c r="AZ21" s="1"/>
  <c r="AX22"/>
  <c r="AY20" s="1"/>
  <c r="AZ20" s="1"/>
  <c r="Q17" i="297"/>
  <c r="G14"/>
  <c r="A13"/>
  <c r="O26"/>
  <c r="R12"/>
  <c r="S12" s="1"/>
  <c r="K37" i="288"/>
  <c r="G37"/>
  <c r="C37"/>
  <c r="I35"/>
  <c r="E35"/>
  <c r="K33"/>
  <c r="G33"/>
  <c r="C33"/>
  <c r="I31"/>
  <c r="E31"/>
  <c r="K29"/>
  <c r="G29"/>
  <c r="C29"/>
  <c r="I27"/>
  <c r="E27"/>
  <c r="K38"/>
  <c r="G38"/>
  <c r="C38"/>
  <c r="J37"/>
  <c r="F37"/>
  <c r="B37"/>
  <c r="I36"/>
  <c r="E36"/>
  <c r="L35"/>
  <c r="H35"/>
  <c r="D35"/>
  <c r="K34"/>
  <c r="G34"/>
  <c r="C34"/>
  <c r="J33"/>
  <c r="F33"/>
  <c r="B33"/>
  <c r="I32"/>
  <c r="E32"/>
  <c r="L31"/>
  <c r="H31"/>
  <c r="D31"/>
  <c r="K30"/>
  <c r="G30"/>
  <c r="C30"/>
  <c r="J29"/>
  <c r="F29"/>
  <c r="B29"/>
  <c r="I28"/>
  <c r="E28"/>
  <c r="I37"/>
  <c r="E37"/>
  <c r="K35"/>
  <c r="G35"/>
  <c r="C35"/>
  <c r="I33"/>
  <c r="E33"/>
  <c r="K31"/>
  <c r="G31"/>
  <c r="C31"/>
  <c r="I29"/>
  <c r="E29"/>
  <c r="K27"/>
  <c r="G27"/>
  <c r="I38"/>
  <c r="L37"/>
  <c r="H37"/>
  <c r="K36"/>
  <c r="G36"/>
  <c r="J35"/>
  <c r="F35"/>
  <c r="I34"/>
  <c r="L33"/>
  <c r="H33"/>
  <c r="K32"/>
  <c r="G32"/>
  <c r="J31"/>
  <c r="F31"/>
  <c r="I30"/>
  <c r="L29"/>
  <c r="H29"/>
  <c r="K28"/>
  <c r="G28"/>
  <c r="B21"/>
  <c r="M16"/>
  <c r="A7" l="1"/>
  <c r="O53"/>
  <c r="O69"/>
  <c r="O85"/>
  <c r="A9" i="290"/>
  <c r="P22"/>
  <c r="P10"/>
  <c r="P34"/>
  <c r="E11" i="289"/>
  <c r="B13" s="1"/>
  <c r="B86" i="362"/>
  <c r="A87"/>
  <c r="T17" i="297"/>
  <c r="A167" i="17"/>
  <c r="C166"/>
  <c r="B166"/>
  <c r="R17" i="297"/>
  <c r="S17" s="1"/>
  <c r="BA14" i="300"/>
  <c r="AX10"/>
  <c r="AY6" s="1"/>
  <c r="AZ6" s="1"/>
  <c r="E41" i="288"/>
  <c r="G42"/>
  <c r="H42"/>
  <c r="I41"/>
  <c r="B20"/>
  <c r="B22" s="1"/>
  <c r="K42"/>
  <c r="D41"/>
  <c r="K41"/>
  <c r="F42"/>
  <c r="D42"/>
  <c r="C42"/>
  <c r="J41"/>
  <c r="L41"/>
  <c r="G41"/>
  <c r="F41"/>
  <c r="H41"/>
  <c r="C41"/>
  <c r="J42"/>
  <c r="B42"/>
  <c r="B43" s="1"/>
  <c r="G15" i="297"/>
  <c r="A14"/>
  <c r="O28"/>
  <c r="I42" i="288"/>
  <c r="L42"/>
  <c r="E42"/>
  <c r="A8" l="1"/>
  <c r="O70"/>
  <c r="O54"/>
  <c r="O86"/>
  <c r="A10" i="290"/>
  <c r="P23"/>
  <c r="P11"/>
  <c r="P35"/>
  <c r="I43" i="288"/>
  <c r="D43"/>
  <c r="B15" i="289"/>
  <c r="B19" s="1"/>
  <c r="B87" i="362"/>
  <c r="A88"/>
  <c r="B167" i="17"/>
  <c r="C167"/>
  <c r="A168"/>
  <c r="E43" i="288"/>
  <c r="K43"/>
  <c r="C43"/>
  <c r="L43"/>
  <c r="H43"/>
  <c r="J43"/>
  <c r="G43"/>
  <c r="F43"/>
  <c r="O29" i="297"/>
  <c r="O30" s="1"/>
  <c r="G16"/>
  <c r="A15"/>
  <c r="B22" i="287"/>
  <c r="J16"/>
  <c r="J18" s="1"/>
  <c r="M11"/>
  <c r="M7"/>
  <c r="A5"/>
  <c r="A6" s="1"/>
  <c r="A7" s="1"/>
  <c r="A8" s="1"/>
  <c r="A9" s="1"/>
  <c r="A10" s="1"/>
  <c r="A11" s="1"/>
  <c r="A12" s="1"/>
  <c r="A13" s="1"/>
  <c r="A14" s="1"/>
  <c r="L16"/>
  <c r="L18" s="1"/>
  <c r="K16"/>
  <c r="K18" s="1"/>
  <c r="I16"/>
  <c r="I18" s="1"/>
  <c r="H16"/>
  <c r="H18" s="1"/>
  <c r="G16"/>
  <c r="G18" s="1"/>
  <c r="F16"/>
  <c r="F18" s="1"/>
  <c r="E16"/>
  <c r="E18" s="1"/>
  <c r="D16"/>
  <c r="D18" s="1"/>
  <c r="C16"/>
  <c r="C18" s="1"/>
  <c r="B16"/>
  <c r="B18" s="1"/>
  <c r="M15"/>
  <c r="M14"/>
  <c r="M13"/>
  <c r="M12"/>
  <c r="M10"/>
  <c r="M9"/>
  <c r="M8"/>
  <c r="M6"/>
  <c r="M5"/>
  <c r="M4"/>
  <c r="G3" i="286"/>
  <c r="B4"/>
  <c r="B14"/>
  <c r="B15"/>
  <c r="A5"/>
  <c r="A6" s="1"/>
  <c r="A7" s="1"/>
  <c r="A8" s="1"/>
  <c r="A9" s="1"/>
  <c r="A10" s="1"/>
  <c r="A11" s="1"/>
  <c r="A12" s="1"/>
  <c r="A13" s="1"/>
  <c r="A14" s="1"/>
  <c r="A15" s="1"/>
  <c r="B13"/>
  <c r="B12"/>
  <c r="B11"/>
  <c r="B10"/>
  <c r="B9"/>
  <c r="B8"/>
  <c r="B7"/>
  <c r="B6"/>
  <c r="B5"/>
  <c r="A9" i="288" l="1"/>
  <c r="O87"/>
  <c r="O71"/>
  <c r="O55"/>
  <c r="A11" i="290"/>
  <c r="P36"/>
  <c r="P24"/>
  <c r="P12"/>
  <c r="S6" i="287"/>
  <c r="S5"/>
  <c r="B18" i="289"/>
  <c r="B88" i="362"/>
  <c r="A89"/>
  <c r="A169" i="17"/>
  <c r="B168"/>
  <c r="C168"/>
  <c r="B24" i="287"/>
  <c r="S7" s="1"/>
  <c r="G17" i="297"/>
  <c r="A16"/>
  <c r="J19" i="287"/>
  <c r="J20" s="1"/>
  <c r="A15"/>
  <c r="M16"/>
  <c r="B19"/>
  <c r="B20" s="1"/>
  <c r="E19"/>
  <c r="E20" s="1"/>
  <c r="L19"/>
  <c r="L20" s="1"/>
  <c r="C19"/>
  <c r="C20" s="1"/>
  <c r="G19"/>
  <c r="G20" s="1"/>
  <c r="I19"/>
  <c r="I20" s="1"/>
  <c r="D19"/>
  <c r="D20" s="1"/>
  <c r="H19"/>
  <c r="H20" s="1"/>
  <c r="K19"/>
  <c r="K20" s="1"/>
  <c r="F19"/>
  <c r="F20" s="1"/>
  <c r="A10" i="288" l="1"/>
  <c r="O88"/>
  <c r="O56"/>
  <c r="O72"/>
  <c r="A12" i="290"/>
  <c r="P25"/>
  <c r="P37"/>
  <c r="P13"/>
  <c r="S8" i="287"/>
  <c r="B89" i="362"/>
  <c r="A90"/>
  <c r="C169" i="17"/>
  <c r="A170"/>
  <c r="B169"/>
  <c r="G18" i="297"/>
  <c r="A17"/>
  <c r="M20" i="287"/>
  <c r="B23" s="1"/>
  <c r="B25" s="1"/>
  <c r="A11" i="288" l="1"/>
  <c r="O57"/>
  <c r="O73"/>
  <c r="O89"/>
  <c r="P38" i="290"/>
  <c r="P26"/>
  <c r="P14"/>
  <c r="B90" i="362"/>
  <c r="A91"/>
  <c r="B170" i="17"/>
  <c r="A171"/>
  <c r="C170"/>
  <c r="G19" i="297"/>
  <c r="A18"/>
  <c r="G20" s="1"/>
  <c r="T311" i="282"/>
  <c r="U311" s="1"/>
  <c r="V311" s="1"/>
  <c r="L311"/>
  <c r="M311" s="1"/>
  <c r="N311" s="1"/>
  <c r="D311"/>
  <c r="E311" s="1"/>
  <c r="F311" s="1"/>
  <c r="T295"/>
  <c r="U295" s="1"/>
  <c r="V295" s="1"/>
  <c r="L295"/>
  <c r="M295" s="1"/>
  <c r="N295" s="1"/>
  <c r="D295"/>
  <c r="E295" s="1"/>
  <c r="F295" s="1"/>
  <c r="T279"/>
  <c r="U279" s="1"/>
  <c r="V279" s="1"/>
  <c r="L279"/>
  <c r="M279" s="1"/>
  <c r="N279" s="1"/>
  <c r="D279"/>
  <c r="E279" s="1"/>
  <c r="F279" s="1"/>
  <c r="T263"/>
  <c r="U263" s="1"/>
  <c r="V263" s="1"/>
  <c r="L263"/>
  <c r="M263" s="1"/>
  <c r="N263" s="1"/>
  <c r="D263"/>
  <c r="E263" s="1"/>
  <c r="F263" s="1"/>
  <c r="T247"/>
  <c r="U247" s="1"/>
  <c r="V247" s="1"/>
  <c r="L247"/>
  <c r="M247" s="1"/>
  <c r="N247" s="1"/>
  <c r="D247"/>
  <c r="E247" s="1"/>
  <c r="F247" s="1"/>
  <c r="T231"/>
  <c r="U231" s="1"/>
  <c r="V231" s="1"/>
  <c r="L231"/>
  <c r="M231" s="1"/>
  <c r="N231" s="1"/>
  <c r="D231"/>
  <c r="E231" s="1"/>
  <c r="F231" s="1"/>
  <c r="T215"/>
  <c r="U215" s="1"/>
  <c r="V215" s="1"/>
  <c r="L215"/>
  <c r="M215" s="1"/>
  <c r="N215" s="1"/>
  <c r="D215"/>
  <c r="E215" s="1"/>
  <c r="F215" s="1"/>
  <c r="T199"/>
  <c r="U199" s="1"/>
  <c r="V199" s="1"/>
  <c r="L199"/>
  <c r="M199" s="1"/>
  <c r="N199" s="1"/>
  <c r="D199"/>
  <c r="E199" s="1"/>
  <c r="F199" s="1"/>
  <c r="T183"/>
  <c r="U183" s="1"/>
  <c r="V183" s="1"/>
  <c r="L183"/>
  <c r="M183" s="1"/>
  <c r="N183" s="1"/>
  <c r="D183"/>
  <c r="E183" s="1"/>
  <c r="F183" s="1"/>
  <c r="T167"/>
  <c r="U167" s="1"/>
  <c r="V167" s="1"/>
  <c r="L167"/>
  <c r="M167" s="1"/>
  <c r="N167" s="1"/>
  <c r="D167"/>
  <c r="E167" s="1"/>
  <c r="F167" s="1"/>
  <c r="T151"/>
  <c r="U151" s="1"/>
  <c r="V151" s="1"/>
  <c r="L151"/>
  <c r="M151" s="1"/>
  <c r="N151" s="1"/>
  <c r="D151"/>
  <c r="E151" s="1"/>
  <c r="F151" s="1"/>
  <c r="T135"/>
  <c r="U135" s="1"/>
  <c r="V135" s="1"/>
  <c r="L135"/>
  <c r="M135" s="1"/>
  <c r="N135" s="1"/>
  <c r="D135"/>
  <c r="E135" s="1"/>
  <c r="F135" s="1"/>
  <c r="T119"/>
  <c r="U119" s="1"/>
  <c r="V119" s="1"/>
  <c r="L119"/>
  <c r="M119" s="1"/>
  <c r="N119" s="1"/>
  <c r="D119"/>
  <c r="E119" s="1"/>
  <c r="F119" s="1"/>
  <c r="T103"/>
  <c r="U103" s="1"/>
  <c r="V103" s="1"/>
  <c r="L103"/>
  <c r="M103" s="1"/>
  <c r="N103" s="1"/>
  <c r="D103"/>
  <c r="E103" s="1"/>
  <c r="F103" s="1"/>
  <c r="T87"/>
  <c r="U87" s="1"/>
  <c r="V87" s="1"/>
  <c r="L87"/>
  <c r="M87" s="1"/>
  <c r="N87" s="1"/>
  <c r="D87"/>
  <c r="E87" s="1"/>
  <c r="F87" s="1"/>
  <c r="T71"/>
  <c r="U71" s="1"/>
  <c r="V71" s="1"/>
  <c r="L71"/>
  <c r="M71" s="1"/>
  <c r="N71" s="1"/>
  <c r="D71"/>
  <c r="E71" s="1"/>
  <c r="F71" s="1"/>
  <c r="T55"/>
  <c r="U55" s="1"/>
  <c r="V55" s="1"/>
  <c r="L55"/>
  <c r="M55" s="1"/>
  <c r="N55" s="1"/>
  <c r="D55"/>
  <c r="E55" s="1"/>
  <c r="F55" s="1"/>
  <c r="T39"/>
  <c r="U39" s="1"/>
  <c r="V39" s="1"/>
  <c r="L39"/>
  <c r="M39" s="1"/>
  <c r="N39" s="1"/>
  <c r="D39"/>
  <c r="E39" s="1"/>
  <c r="F39" s="1"/>
  <c r="N18" i="279"/>
  <c r="M18"/>
  <c r="E19" i="282" s="1"/>
  <c r="L18" i="279"/>
  <c r="D19" i="282" s="1"/>
  <c r="K18" i="279"/>
  <c r="C19" i="282" s="1"/>
  <c r="N17" i="279"/>
  <c r="F18" i="282" s="1"/>
  <c r="M17" i="279"/>
  <c r="E18" i="282" s="1"/>
  <c r="L17" i="279"/>
  <c r="K17"/>
  <c r="N15"/>
  <c r="M15"/>
  <c r="L15"/>
  <c r="D16" i="282" s="1"/>
  <c r="K15" i="279"/>
  <c r="N14"/>
  <c r="M14"/>
  <c r="E15" i="282" s="1"/>
  <c r="L14" i="279"/>
  <c r="D15" i="282" s="1"/>
  <c r="K14" i="279"/>
  <c r="N13"/>
  <c r="M13"/>
  <c r="L13"/>
  <c r="D14" i="282" s="1"/>
  <c r="K13" i="279"/>
  <c r="C14" i="282" s="1"/>
  <c r="F18" i="279"/>
  <c r="F17"/>
  <c r="E18"/>
  <c r="E17"/>
  <c r="D18"/>
  <c r="D17"/>
  <c r="C18"/>
  <c r="C17"/>
  <c r="C13"/>
  <c r="F15"/>
  <c r="F14"/>
  <c r="F13"/>
  <c r="E15"/>
  <c r="E14"/>
  <c r="E13"/>
  <c r="D15"/>
  <c r="D14"/>
  <c r="D13"/>
  <c r="C15"/>
  <c r="C14"/>
  <c r="N11"/>
  <c r="M11"/>
  <c r="L11"/>
  <c r="K11"/>
  <c r="O10"/>
  <c r="O9"/>
  <c r="O8"/>
  <c r="G9" i="282" s="1"/>
  <c r="O7" i="279"/>
  <c r="G8" i="282" s="1"/>
  <c r="O6" i="279"/>
  <c r="O5"/>
  <c r="L4"/>
  <c r="M4" s="1"/>
  <c r="N4" s="1"/>
  <c r="S7" i="282"/>
  <c r="T7"/>
  <c r="U7"/>
  <c r="V7"/>
  <c r="S8"/>
  <c r="T8"/>
  <c r="U8"/>
  <c r="V8"/>
  <c r="S9"/>
  <c r="T9"/>
  <c r="U9"/>
  <c r="V9"/>
  <c r="S10"/>
  <c r="T10"/>
  <c r="U10"/>
  <c r="V10"/>
  <c r="S11"/>
  <c r="T11"/>
  <c r="U11"/>
  <c r="V11"/>
  <c r="T6"/>
  <c r="U6"/>
  <c r="V6"/>
  <c r="S6"/>
  <c r="T23"/>
  <c r="U23" s="1"/>
  <c r="V23" s="1"/>
  <c r="L23"/>
  <c r="M23" s="1"/>
  <c r="N23" s="1"/>
  <c r="D23"/>
  <c r="E23" s="1"/>
  <c r="F23" s="1"/>
  <c r="D5"/>
  <c r="E5" s="1"/>
  <c r="F5" s="1"/>
  <c r="T5"/>
  <c r="U5" s="1"/>
  <c r="V5" s="1"/>
  <c r="G5" i="278"/>
  <c r="D4" i="279"/>
  <c r="E4" s="1"/>
  <c r="F4" s="1"/>
  <c r="E8" i="281"/>
  <c r="E7"/>
  <c r="E6"/>
  <c r="D9"/>
  <c r="C9"/>
  <c r="B9"/>
  <c r="G6" i="278"/>
  <c r="H6"/>
  <c r="I6"/>
  <c r="J6"/>
  <c r="G7"/>
  <c r="H7"/>
  <c r="I7"/>
  <c r="J7"/>
  <c r="H5"/>
  <c r="I5"/>
  <c r="J5"/>
  <c r="E8"/>
  <c r="E7" i="277"/>
  <c r="F7"/>
  <c r="G7"/>
  <c r="E8"/>
  <c r="F8"/>
  <c r="G8"/>
  <c r="E9"/>
  <c r="F9"/>
  <c r="G9"/>
  <c r="E10"/>
  <c r="F10"/>
  <c r="G10"/>
  <c r="E11"/>
  <c r="F11"/>
  <c r="G11"/>
  <c r="E12"/>
  <c r="F12"/>
  <c r="G12"/>
  <c r="E13"/>
  <c r="F13"/>
  <c r="G13"/>
  <c r="E14"/>
  <c r="F14"/>
  <c r="G14"/>
  <c r="E15"/>
  <c r="F15"/>
  <c r="G15"/>
  <c r="E16"/>
  <c r="F16"/>
  <c r="G16"/>
  <c r="E17"/>
  <c r="F17"/>
  <c r="G17"/>
  <c r="G6"/>
  <c r="F6"/>
  <c r="E6"/>
  <c r="D7"/>
  <c r="D8"/>
  <c r="J8" s="1"/>
  <c r="D9"/>
  <c r="H9" s="1"/>
  <c r="D10"/>
  <c r="D11"/>
  <c r="D12"/>
  <c r="J12" s="1"/>
  <c r="D13"/>
  <c r="H13" s="1"/>
  <c r="D14"/>
  <c r="D15"/>
  <c r="D16"/>
  <c r="J16" s="1"/>
  <c r="D17"/>
  <c r="H17" s="1"/>
  <c r="D6"/>
  <c r="C63" i="276"/>
  <c r="C66"/>
  <c r="D67"/>
  <c r="K67" s="1"/>
  <c r="E64"/>
  <c r="L64" s="1"/>
  <c r="C61"/>
  <c r="E84"/>
  <c r="L84" s="1"/>
  <c r="D84"/>
  <c r="K84" s="1"/>
  <c r="C84"/>
  <c r="E83"/>
  <c r="L83" s="1"/>
  <c r="D83"/>
  <c r="K83" s="1"/>
  <c r="C83"/>
  <c r="E81"/>
  <c r="L81" s="1"/>
  <c r="D81"/>
  <c r="K81" s="1"/>
  <c r="C81"/>
  <c r="E80"/>
  <c r="L80" s="1"/>
  <c r="D80"/>
  <c r="K80" s="1"/>
  <c r="C80"/>
  <c r="E78"/>
  <c r="L78" s="1"/>
  <c r="D78"/>
  <c r="K78" s="1"/>
  <c r="C78"/>
  <c r="F77"/>
  <c r="M77" s="1"/>
  <c r="F76"/>
  <c r="M76" s="1"/>
  <c r="F75"/>
  <c r="M75" s="1"/>
  <c r="F74"/>
  <c r="M74" s="1"/>
  <c r="E67"/>
  <c r="L67" s="1"/>
  <c r="C67"/>
  <c r="E66"/>
  <c r="L66" s="1"/>
  <c r="C64"/>
  <c r="D63"/>
  <c r="K63" s="1"/>
  <c r="F58"/>
  <c r="M58" s="1"/>
  <c r="U257" i="273"/>
  <c r="U275"/>
  <c r="U293"/>
  <c r="U131"/>
  <c r="E50" i="276"/>
  <c r="L50" s="1"/>
  <c r="D50"/>
  <c r="K50" s="1"/>
  <c r="C50"/>
  <c r="E49"/>
  <c r="L49" s="1"/>
  <c r="D49"/>
  <c r="K49" s="1"/>
  <c r="C49"/>
  <c r="E47"/>
  <c r="L47" s="1"/>
  <c r="D47"/>
  <c r="K47" s="1"/>
  <c r="C47"/>
  <c r="E46"/>
  <c r="L46" s="1"/>
  <c r="D46"/>
  <c r="K46" s="1"/>
  <c r="C46"/>
  <c r="E44"/>
  <c r="L44" s="1"/>
  <c r="D44"/>
  <c r="K44" s="1"/>
  <c r="C44"/>
  <c r="F43"/>
  <c r="M43" s="1"/>
  <c r="F42"/>
  <c r="M42" s="1"/>
  <c r="F41"/>
  <c r="M41" s="1"/>
  <c r="F40"/>
  <c r="M40" s="1"/>
  <c r="E33"/>
  <c r="L33" s="1"/>
  <c r="D33"/>
  <c r="K33" s="1"/>
  <c r="C33"/>
  <c r="J33" s="1"/>
  <c r="E32"/>
  <c r="L32" s="1"/>
  <c r="D32"/>
  <c r="K32" s="1"/>
  <c r="C32"/>
  <c r="J32" s="1"/>
  <c r="E30"/>
  <c r="L30" s="1"/>
  <c r="D30"/>
  <c r="K30" s="1"/>
  <c r="C30"/>
  <c r="J30" s="1"/>
  <c r="E29"/>
  <c r="L29" s="1"/>
  <c r="D29"/>
  <c r="K29" s="1"/>
  <c r="C29"/>
  <c r="J29" s="1"/>
  <c r="E27"/>
  <c r="L27" s="1"/>
  <c r="D27"/>
  <c r="K27" s="1"/>
  <c r="C27"/>
  <c r="J27" s="1"/>
  <c r="F26"/>
  <c r="M26" s="1"/>
  <c r="F25"/>
  <c r="M25" s="1"/>
  <c r="F24"/>
  <c r="M24" s="1"/>
  <c r="F23"/>
  <c r="M23" s="1"/>
  <c r="E16"/>
  <c r="L16" s="1"/>
  <c r="D16"/>
  <c r="K16" s="1"/>
  <c r="C16"/>
  <c r="J16" s="1"/>
  <c r="E15"/>
  <c r="L15" s="1"/>
  <c r="D15"/>
  <c r="K15" s="1"/>
  <c r="C15"/>
  <c r="J15" s="1"/>
  <c r="E13"/>
  <c r="D13"/>
  <c r="K13" s="1"/>
  <c r="C13"/>
  <c r="J13" s="1"/>
  <c r="E12"/>
  <c r="D12"/>
  <c r="K12" s="1"/>
  <c r="C12"/>
  <c r="J12" s="1"/>
  <c r="E10"/>
  <c r="L10" s="1"/>
  <c r="D10"/>
  <c r="K10" s="1"/>
  <c r="C10"/>
  <c r="J10" s="1"/>
  <c r="F9"/>
  <c r="M9" s="1"/>
  <c r="F8"/>
  <c r="M8" s="1"/>
  <c r="F7"/>
  <c r="M7" s="1"/>
  <c r="F6"/>
  <c r="M6" s="1"/>
  <c r="A12" i="288" l="1"/>
  <c r="O74"/>
  <c r="O58"/>
  <c r="O90"/>
  <c r="B91" i="362"/>
  <c r="A92"/>
  <c r="A172" i="17"/>
  <c r="B171"/>
  <c r="C171"/>
  <c r="F49" i="276"/>
  <c r="M49" s="1"/>
  <c r="J6" i="277"/>
  <c r="H14"/>
  <c r="H10"/>
  <c r="I17"/>
  <c r="H16"/>
  <c r="I13"/>
  <c r="H12"/>
  <c r="I9"/>
  <c r="H8"/>
  <c r="J8" i="278"/>
  <c r="C18" i="282"/>
  <c r="C15"/>
  <c r="K7" i="278"/>
  <c r="A14" s="1"/>
  <c r="F47" i="276"/>
  <c r="M47" s="1"/>
  <c r="F12"/>
  <c r="M12" s="1"/>
  <c r="K6" s="1"/>
  <c r="F81"/>
  <c r="M81" s="1"/>
  <c r="G11" i="282"/>
  <c r="C16"/>
  <c r="D18"/>
  <c r="F16"/>
  <c r="L12" i="276"/>
  <c r="G7" i="282"/>
  <c r="F15"/>
  <c r="F19"/>
  <c r="G19" s="1"/>
  <c r="G10"/>
  <c r="E14"/>
  <c r="E16"/>
  <c r="F13" i="276"/>
  <c r="M13" s="1"/>
  <c r="J9" s="1"/>
  <c r="L13"/>
  <c r="F84"/>
  <c r="M84" s="1"/>
  <c r="O11" i="279"/>
  <c r="G6" i="282"/>
  <c r="F83" i="276"/>
  <c r="M83" s="1"/>
  <c r="F10"/>
  <c r="M10" s="1"/>
  <c r="F16"/>
  <c r="M16" s="1"/>
  <c r="F27"/>
  <c r="M27" s="1"/>
  <c r="F29"/>
  <c r="M29" s="1"/>
  <c r="F30"/>
  <c r="M30" s="1"/>
  <c r="F32"/>
  <c r="M32" s="1"/>
  <c r="F33"/>
  <c r="M33" s="1"/>
  <c r="F46"/>
  <c r="M46" s="1"/>
  <c r="F80"/>
  <c r="M80" s="1"/>
  <c r="F15"/>
  <c r="M15" s="1"/>
  <c r="F44"/>
  <c r="M44" s="1"/>
  <c r="F50"/>
  <c r="M50" s="1"/>
  <c r="F78"/>
  <c r="M78" s="1"/>
  <c r="F14" i="282"/>
  <c r="K5" i="278"/>
  <c r="B12" s="1"/>
  <c r="O13" i="279"/>
  <c r="O15"/>
  <c r="O17"/>
  <c r="O18"/>
  <c r="V15" i="282"/>
  <c r="V18"/>
  <c r="T15"/>
  <c r="U15"/>
  <c r="T16"/>
  <c r="S16"/>
  <c r="S15"/>
  <c r="V14"/>
  <c r="U12"/>
  <c r="V19"/>
  <c r="T19"/>
  <c r="T18"/>
  <c r="S19"/>
  <c r="U16"/>
  <c r="U19"/>
  <c r="S14"/>
  <c r="V16"/>
  <c r="U14"/>
  <c r="T14"/>
  <c r="S18"/>
  <c r="U18"/>
  <c r="D12"/>
  <c r="O14" i="279"/>
  <c r="G8"/>
  <c r="W11" i="282"/>
  <c r="W8"/>
  <c r="W9"/>
  <c r="F27" s="1"/>
  <c r="W7"/>
  <c r="W10"/>
  <c r="V12"/>
  <c r="T12"/>
  <c r="W6"/>
  <c r="S12"/>
  <c r="E11" i="279"/>
  <c r="C11"/>
  <c r="G10"/>
  <c r="G9"/>
  <c r="D11"/>
  <c r="G5"/>
  <c r="G7"/>
  <c r="E9" i="281"/>
  <c r="I9"/>
  <c r="K8"/>
  <c r="C16" s="1"/>
  <c r="J9"/>
  <c r="H9"/>
  <c r="K7"/>
  <c r="B15" s="1"/>
  <c r="K6"/>
  <c r="H8" i="278"/>
  <c r="G8"/>
  <c r="K6"/>
  <c r="D13" s="1"/>
  <c r="I8"/>
  <c r="I15" i="277"/>
  <c r="I11"/>
  <c r="I7"/>
  <c r="J17"/>
  <c r="I16"/>
  <c r="J13"/>
  <c r="I12"/>
  <c r="J9"/>
  <c r="I8"/>
  <c r="H15"/>
  <c r="H11"/>
  <c r="H7"/>
  <c r="H6"/>
  <c r="J14"/>
  <c r="I6"/>
  <c r="J15"/>
  <c r="I14"/>
  <c r="J11"/>
  <c r="I10"/>
  <c r="J7"/>
  <c r="J10"/>
  <c r="F59" i="276"/>
  <c r="M59" s="1"/>
  <c r="F60"/>
  <c r="M60" s="1"/>
  <c r="D61"/>
  <c r="K61" s="1"/>
  <c r="D64"/>
  <c r="K64" s="1"/>
  <c r="F67"/>
  <c r="M67" s="1"/>
  <c r="E61"/>
  <c r="L61" s="1"/>
  <c r="D66"/>
  <c r="K66" s="1"/>
  <c r="E63"/>
  <c r="L63" s="1"/>
  <c r="F57"/>
  <c r="M57" s="1"/>
  <c r="J78"/>
  <c r="J81"/>
  <c r="J80"/>
  <c r="J83"/>
  <c r="J84"/>
  <c r="J61"/>
  <c r="J63"/>
  <c r="J64"/>
  <c r="J66"/>
  <c r="J67"/>
  <c r="J44"/>
  <c r="J46"/>
  <c r="J47"/>
  <c r="J49"/>
  <c r="J50"/>
  <c r="L6" l="1"/>
  <c r="A13" i="288"/>
  <c r="O91"/>
  <c r="O75"/>
  <c r="O59"/>
  <c r="L76" i="276"/>
  <c r="D14" i="278"/>
  <c r="B14"/>
  <c r="C14"/>
  <c r="B92" i="362"/>
  <c r="A93"/>
  <c r="B172" i="17"/>
  <c r="C172"/>
  <c r="D29" i="282"/>
  <c r="C12"/>
  <c r="D25"/>
  <c r="L42" i="276"/>
  <c r="L7"/>
  <c r="J6"/>
  <c r="F12" i="282"/>
  <c r="J7" i="276"/>
  <c r="K7"/>
  <c r="G14" i="282"/>
  <c r="G15"/>
  <c r="J24" i="276"/>
  <c r="L9"/>
  <c r="K77"/>
  <c r="D24" i="282"/>
  <c r="J42" i="276"/>
  <c r="J76"/>
  <c r="K23"/>
  <c r="E12" i="282"/>
  <c r="G12"/>
  <c r="J77" i="276"/>
  <c r="C12" i="278"/>
  <c r="A12"/>
  <c r="K8"/>
  <c r="D12"/>
  <c r="L26" i="276"/>
  <c r="K8"/>
  <c r="K76"/>
  <c r="J74"/>
  <c r="L75"/>
  <c r="J75"/>
  <c r="K74"/>
  <c r="K75"/>
  <c r="L74"/>
  <c r="K43"/>
  <c r="L8"/>
  <c r="L23"/>
  <c r="L24"/>
  <c r="K42"/>
  <c r="G16" i="282"/>
  <c r="J23" i="276"/>
  <c r="K9"/>
  <c r="K24"/>
  <c r="J26"/>
  <c r="J25"/>
  <c r="F25" i="282"/>
  <c r="K40" i="276"/>
  <c r="K41"/>
  <c r="L40"/>
  <c r="J41"/>
  <c r="J40"/>
  <c r="L41"/>
  <c r="J43"/>
  <c r="L77"/>
  <c r="J8"/>
  <c r="L43"/>
  <c r="L25"/>
  <c r="K26"/>
  <c r="K25"/>
  <c r="F29" i="282"/>
  <c r="C24"/>
  <c r="E24"/>
  <c r="W16"/>
  <c r="F24"/>
  <c r="W19"/>
  <c r="D26"/>
  <c r="F26"/>
  <c r="C26"/>
  <c r="C27"/>
  <c r="E26"/>
  <c r="C28"/>
  <c r="E28"/>
  <c r="E29"/>
  <c r="C29"/>
  <c r="F28"/>
  <c r="E27"/>
  <c r="D27"/>
  <c r="C25"/>
  <c r="E25"/>
  <c r="D28"/>
  <c r="W14"/>
  <c r="F11" i="279"/>
  <c r="G18"/>
  <c r="G6"/>
  <c r="G11" s="1"/>
  <c r="G14"/>
  <c r="W15" i="282"/>
  <c r="W18"/>
  <c r="W12"/>
  <c r="G18"/>
  <c r="G15" i="279"/>
  <c r="G13"/>
  <c r="G17"/>
  <c r="C15" i="281"/>
  <c r="D16"/>
  <c r="B16"/>
  <c r="D14"/>
  <c r="B14"/>
  <c r="K9"/>
  <c r="C14"/>
  <c r="D15"/>
  <c r="A13" i="278"/>
  <c r="B13"/>
  <c r="C13"/>
  <c r="F61" i="276"/>
  <c r="M61" s="1"/>
  <c r="F64"/>
  <c r="M64" s="1"/>
  <c r="F66"/>
  <c r="M66" s="1"/>
  <c r="F63"/>
  <c r="M63" s="1"/>
  <c r="A14" i="288" l="1"/>
  <c r="O92"/>
  <c r="O60"/>
  <c r="O76"/>
  <c r="D15" i="278"/>
  <c r="J12" s="1"/>
  <c r="E14"/>
  <c r="B93" i="362"/>
  <c r="A94"/>
  <c r="C32" i="282"/>
  <c r="K24" s="1"/>
  <c r="E12" i="278"/>
  <c r="E15" i="281"/>
  <c r="E16"/>
  <c r="F34" i="282"/>
  <c r="N29" s="1"/>
  <c r="C37"/>
  <c r="G25"/>
  <c r="F37"/>
  <c r="F33"/>
  <c r="N27" s="1"/>
  <c r="E30"/>
  <c r="E34"/>
  <c r="M29" s="1"/>
  <c r="D33"/>
  <c r="L26" s="1"/>
  <c r="G27"/>
  <c r="G29"/>
  <c r="D34"/>
  <c r="L29" s="1"/>
  <c r="G24"/>
  <c r="E36"/>
  <c r="E32"/>
  <c r="M24" s="1"/>
  <c r="F36"/>
  <c r="F32"/>
  <c r="N24" s="1"/>
  <c r="E33"/>
  <c r="M27" s="1"/>
  <c r="D37"/>
  <c r="C33"/>
  <c r="K26" s="1"/>
  <c r="D32"/>
  <c r="D36"/>
  <c r="C34"/>
  <c r="K29" s="1"/>
  <c r="C36"/>
  <c r="E37"/>
  <c r="F30"/>
  <c r="G26"/>
  <c r="D30"/>
  <c r="C30"/>
  <c r="G28"/>
  <c r="B17" i="281"/>
  <c r="E14"/>
  <c r="C17"/>
  <c r="D17"/>
  <c r="J16" s="1"/>
  <c r="J13" i="278"/>
  <c r="C15"/>
  <c r="B15"/>
  <c r="E13"/>
  <c r="A15"/>
  <c r="G12" s="1"/>
  <c r="E7" i="275"/>
  <c r="A7"/>
  <c r="B7"/>
  <c r="A8"/>
  <c r="B8"/>
  <c r="A9"/>
  <c r="B9"/>
  <c r="B6"/>
  <c r="A6"/>
  <c r="D5"/>
  <c r="E5"/>
  <c r="S5" s="1"/>
  <c r="C5"/>
  <c r="Q5" s="1"/>
  <c r="B5"/>
  <c r="A5"/>
  <c r="C7"/>
  <c r="D7"/>
  <c r="C8"/>
  <c r="D8"/>
  <c r="E8"/>
  <c r="C9"/>
  <c r="D9"/>
  <c r="E9"/>
  <c r="D6"/>
  <c r="E6"/>
  <c r="C6"/>
  <c r="L15" i="272"/>
  <c r="D17" i="273" s="1"/>
  <c r="L14" i="272"/>
  <c r="D16" i="273" s="1"/>
  <c r="L13" i="272"/>
  <c r="D15" i="273" s="1"/>
  <c r="J68" s="1"/>
  <c r="L12" i="272"/>
  <c r="D14" i="273" s="1"/>
  <c r="L11" i="272"/>
  <c r="D13" i="273" s="1"/>
  <c r="L10" i="272"/>
  <c r="D12" i="273" s="1"/>
  <c r="L8" i="272"/>
  <c r="D10" i="273" s="1"/>
  <c r="D36" s="1"/>
  <c r="L7" i="272"/>
  <c r="D9" i="273" s="1"/>
  <c r="L6" i="272"/>
  <c r="D8" i="273" s="1"/>
  <c r="L5" i="272"/>
  <c r="D7" i="273" s="1"/>
  <c r="D33" s="1"/>
  <c r="L4" i="272"/>
  <c r="D6" i="273" s="1"/>
  <c r="J275" s="1"/>
  <c r="C8" i="272"/>
  <c r="D8"/>
  <c r="S16" i="275"/>
  <c r="R16"/>
  <c r="Q16"/>
  <c r="S15"/>
  <c r="R15"/>
  <c r="Q15"/>
  <c r="S13"/>
  <c r="R13"/>
  <c r="Q13"/>
  <c r="S12"/>
  <c r="R12"/>
  <c r="Q12"/>
  <c r="S10"/>
  <c r="R10"/>
  <c r="Q10"/>
  <c r="T9"/>
  <c r="T8"/>
  <c r="T7"/>
  <c r="T6"/>
  <c r="C83" i="273"/>
  <c r="C84"/>
  <c r="C82"/>
  <c r="B78"/>
  <c r="B77"/>
  <c r="A73"/>
  <c r="A72"/>
  <c r="C66"/>
  <c r="C67"/>
  <c r="C68"/>
  <c r="C64"/>
  <c r="C65"/>
  <c r="C63"/>
  <c r="B67"/>
  <c r="B68"/>
  <c r="B64"/>
  <c r="B65"/>
  <c r="B66"/>
  <c r="B63"/>
  <c r="C55"/>
  <c r="C58" s="1"/>
  <c r="C56"/>
  <c r="C59" s="1"/>
  <c r="A57"/>
  <c r="A58" s="1"/>
  <c r="A59" s="1"/>
  <c r="C54"/>
  <c r="C57" s="1"/>
  <c r="A54"/>
  <c r="A55" s="1"/>
  <c r="A56" s="1"/>
  <c r="B48"/>
  <c r="B50" s="1"/>
  <c r="B47"/>
  <c r="B49" s="1"/>
  <c r="A49"/>
  <c r="A50" s="1"/>
  <c r="A47"/>
  <c r="A48" s="1"/>
  <c r="E81"/>
  <c r="D81"/>
  <c r="C81"/>
  <c r="B81"/>
  <c r="A81"/>
  <c r="E76"/>
  <c r="D76"/>
  <c r="C76"/>
  <c r="B76"/>
  <c r="A76"/>
  <c r="E71"/>
  <c r="D71"/>
  <c r="C71"/>
  <c r="B71"/>
  <c r="A71"/>
  <c r="E62"/>
  <c r="D62"/>
  <c r="C62"/>
  <c r="B62"/>
  <c r="A62"/>
  <c r="E53"/>
  <c r="D53"/>
  <c r="C53"/>
  <c r="B53"/>
  <c r="A53"/>
  <c r="D46"/>
  <c r="C46"/>
  <c r="B46"/>
  <c r="A46"/>
  <c r="B26"/>
  <c r="C26"/>
  <c r="A26"/>
  <c r="D31"/>
  <c r="C43"/>
  <c r="B43"/>
  <c r="A43"/>
  <c r="C42"/>
  <c r="B42"/>
  <c r="A42"/>
  <c r="C41"/>
  <c r="B41"/>
  <c r="A41"/>
  <c r="C40"/>
  <c r="B40"/>
  <c r="A40"/>
  <c r="C39"/>
  <c r="B39"/>
  <c r="A39"/>
  <c r="C38"/>
  <c r="B38"/>
  <c r="A38"/>
  <c r="C37"/>
  <c r="B37"/>
  <c r="A37"/>
  <c r="C36"/>
  <c r="B36"/>
  <c r="A36"/>
  <c r="C35"/>
  <c r="B35"/>
  <c r="A35"/>
  <c r="C34"/>
  <c r="B34"/>
  <c r="A34"/>
  <c r="C33"/>
  <c r="B33"/>
  <c r="A33"/>
  <c r="C32"/>
  <c r="B32"/>
  <c r="A32"/>
  <c r="C31"/>
  <c r="B31"/>
  <c r="A31"/>
  <c r="I322"/>
  <c r="H322"/>
  <c r="G322"/>
  <c r="I321"/>
  <c r="H321"/>
  <c r="G321"/>
  <c r="I320"/>
  <c r="H320"/>
  <c r="G320"/>
  <c r="I319"/>
  <c r="H319"/>
  <c r="G319"/>
  <c r="I318"/>
  <c r="H318"/>
  <c r="G318"/>
  <c r="I317"/>
  <c r="H317"/>
  <c r="G317"/>
  <c r="I316"/>
  <c r="H316"/>
  <c r="G316"/>
  <c r="I315"/>
  <c r="H315"/>
  <c r="G315"/>
  <c r="I314"/>
  <c r="H314"/>
  <c r="G314"/>
  <c r="I313"/>
  <c r="H313"/>
  <c r="G313"/>
  <c r="I312"/>
  <c r="H312"/>
  <c r="G312"/>
  <c r="I311"/>
  <c r="H311"/>
  <c r="G311"/>
  <c r="I310"/>
  <c r="H310"/>
  <c r="G310"/>
  <c r="I340"/>
  <c r="H340"/>
  <c r="G340"/>
  <c r="I339"/>
  <c r="H339"/>
  <c r="G339"/>
  <c r="I338"/>
  <c r="H338"/>
  <c r="G338"/>
  <c r="I337"/>
  <c r="H337"/>
  <c r="G337"/>
  <c r="I336"/>
  <c r="H336"/>
  <c r="G336"/>
  <c r="I335"/>
  <c r="H335"/>
  <c r="G335"/>
  <c r="I334"/>
  <c r="H334"/>
  <c r="G334"/>
  <c r="I333"/>
  <c r="H333"/>
  <c r="G333"/>
  <c r="I332"/>
  <c r="H332"/>
  <c r="G332"/>
  <c r="I331"/>
  <c r="H331"/>
  <c r="G331"/>
  <c r="I330"/>
  <c r="H330"/>
  <c r="G330"/>
  <c r="I329"/>
  <c r="H329"/>
  <c r="G329"/>
  <c r="I328"/>
  <c r="H328"/>
  <c r="G328"/>
  <c r="I304"/>
  <c r="H304"/>
  <c r="G304"/>
  <c r="I303"/>
  <c r="H303"/>
  <c r="G303"/>
  <c r="I302"/>
  <c r="H302"/>
  <c r="G302"/>
  <c r="I301"/>
  <c r="H301"/>
  <c r="G301"/>
  <c r="I300"/>
  <c r="H300"/>
  <c r="G300"/>
  <c r="I299"/>
  <c r="H299"/>
  <c r="G299"/>
  <c r="I298"/>
  <c r="H298"/>
  <c r="G298"/>
  <c r="I297"/>
  <c r="H297"/>
  <c r="G297"/>
  <c r="I296"/>
  <c r="H296"/>
  <c r="G296"/>
  <c r="I295"/>
  <c r="H295"/>
  <c r="G295"/>
  <c r="I294"/>
  <c r="H294"/>
  <c r="G294"/>
  <c r="I293"/>
  <c r="H293"/>
  <c r="G293"/>
  <c r="I292"/>
  <c r="H292"/>
  <c r="G292"/>
  <c r="I286"/>
  <c r="H286"/>
  <c r="G286"/>
  <c r="I285"/>
  <c r="H285"/>
  <c r="G285"/>
  <c r="I284"/>
  <c r="H284"/>
  <c r="G284"/>
  <c r="I283"/>
  <c r="H283"/>
  <c r="G283"/>
  <c r="I282"/>
  <c r="H282"/>
  <c r="G282"/>
  <c r="I281"/>
  <c r="H281"/>
  <c r="G281"/>
  <c r="I280"/>
  <c r="H280"/>
  <c r="G280"/>
  <c r="I279"/>
  <c r="H279"/>
  <c r="G279"/>
  <c r="I278"/>
  <c r="H278"/>
  <c r="G278"/>
  <c r="I277"/>
  <c r="H277"/>
  <c r="G277"/>
  <c r="I276"/>
  <c r="H276"/>
  <c r="G276"/>
  <c r="I275"/>
  <c r="H275"/>
  <c r="G275"/>
  <c r="I274"/>
  <c r="H274"/>
  <c r="G274"/>
  <c r="I268"/>
  <c r="H268"/>
  <c r="G268"/>
  <c r="I267"/>
  <c r="H267"/>
  <c r="G267"/>
  <c r="I266"/>
  <c r="H266"/>
  <c r="G266"/>
  <c r="I265"/>
  <c r="H265"/>
  <c r="G265"/>
  <c r="I264"/>
  <c r="H264"/>
  <c r="G264"/>
  <c r="I263"/>
  <c r="H263"/>
  <c r="G263"/>
  <c r="I262"/>
  <c r="H262"/>
  <c r="G262"/>
  <c r="I261"/>
  <c r="H261"/>
  <c r="G261"/>
  <c r="I260"/>
  <c r="H260"/>
  <c r="G260"/>
  <c r="I259"/>
  <c r="H259"/>
  <c r="G259"/>
  <c r="I258"/>
  <c r="H258"/>
  <c r="G258"/>
  <c r="I257"/>
  <c r="H257"/>
  <c r="G257"/>
  <c r="I256"/>
  <c r="H256"/>
  <c r="G256"/>
  <c r="I250"/>
  <c r="H250"/>
  <c r="G250"/>
  <c r="I249"/>
  <c r="H249"/>
  <c r="G249"/>
  <c r="I248"/>
  <c r="H248"/>
  <c r="G248"/>
  <c r="I247"/>
  <c r="H247"/>
  <c r="G247"/>
  <c r="I246"/>
  <c r="H246"/>
  <c r="G246"/>
  <c r="I245"/>
  <c r="H245"/>
  <c r="G245"/>
  <c r="I244"/>
  <c r="H244"/>
  <c r="G244"/>
  <c r="I243"/>
  <c r="H243"/>
  <c r="G243"/>
  <c r="I242"/>
  <c r="H242"/>
  <c r="G242"/>
  <c r="I241"/>
  <c r="H241"/>
  <c r="G241"/>
  <c r="I240"/>
  <c r="H240"/>
  <c r="G240"/>
  <c r="I239"/>
  <c r="H239"/>
  <c r="G239"/>
  <c r="I238"/>
  <c r="H238"/>
  <c r="G238"/>
  <c r="I232"/>
  <c r="H232"/>
  <c r="G232"/>
  <c r="I231"/>
  <c r="H231"/>
  <c r="G231"/>
  <c r="I230"/>
  <c r="H230"/>
  <c r="G230"/>
  <c r="I229"/>
  <c r="H229"/>
  <c r="G229"/>
  <c r="I228"/>
  <c r="H228"/>
  <c r="G228"/>
  <c r="I227"/>
  <c r="H227"/>
  <c r="G227"/>
  <c r="I226"/>
  <c r="H226"/>
  <c r="G226"/>
  <c r="I225"/>
  <c r="H225"/>
  <c r="G225"/>
  <c r="I224"/>
  <c r="H224"/>
  <c r="G224"/>
  <c r="I223"/>
  <c r="H223"/>
  <c r="G223"/>
  <c r="I222"/>
  <c r="H222"/>
  <c r="G222"/>
  <c r="I221"/>
  <c r="H221"/>
  <c r="G221"/>
  <c r="I220"/>
  <c r="H220"/>
  <c r="G220"/>
  <c r="I214"/>
  <c r="H214"/>
  <c r="G214"/>
  <c r="I213"/>
  <c r="H213"/>
  <c r="G213"/>
  <c r="I212"/>
  <c r="H212"/>
  <c r="G212"/>
  <c r="I211"/>
  <c r="H211"/>
  <c r="G211"/>
  <c r="I210"/>
  <c r="H210"/>
  <c r="G210"/>
  <c r="I209"/>
  <c r="H209"/>
  <c r="G209"/>
  <c r="I208"/>
  <c r="H208"/>
  <c r="G208"/>
  <c r="I207"/>
  <c r="H207"/>
  <c r="G207"/>
  <c r="I206"/>
  <c r="H206"/>
  <c r="G206"/>
  <c r="I205"/>
  <c r="H205"/>
  <c r="G205"/>
  <c r="I204"/>
  <c r="H204"/>
  <c r="G204"/>
  <c r="I203"/>
  <c r="H203"/>
  <c r="G203"/>
  <c r="I202"/>
  <c r="H202"/>
  <c r="G202"/>
  <c r="I196"/>
  <c r="H196"/>
  <c r="G196"/>
  <c r="I195"/>
  <c r="H195"/>
  <c r="G195"/>
  <c r="I194"/>
  <c r="H194"/>
  <c r="G194"/>
  <c r="I193"/>
  <c r="H193"/>
  <c r="G193"/>
  <c r="I192"/>
  <c r="H192"/>
  <c r="G192"/>
  <c r="I191"/>
  <c r="H191"/>
  <c r="G191"/>
  <c r="I190"/>
  <c r="H190"/>
  <c r="G190"/>
  <c r="I189"/>
  <c r="H189"/>
  <c r="G189"/>
  <c r="I188"/>
  <c r="H188"/>
  <c r="G188"/>
  <c r="I187"/>
  <c r="H187"/>
  <c r="G187"/>
  <c r="I186"/>
  <c r="H186"/>
  <c r="G186"/>
  <c r="I185"/>
  <c r="H185"/>
  <c r="G185"/>
  <c r="I184"/>
  <c r="H184"/>
  <c r="G184"/>
  <c r="I178"/>
  <c r="H178"/>
  <c r="G178"/>
  <c r="I177"/>
  <c r="H177"/>
  <c r="G177"/>
  <c r="I176"/>
  <c r="H176"/>
  <c r="G176"/>
  <c r="I175"/>
  <c r="H175"/>
  <c r="G175"/>
  <c r="I174"/>
  <c r="H174"/>
  <c r="G174"/>
  <c r="I173"/>
  <c r="H173"/>
  <c r="G173"/>
  <c r="I172"/>
  <c r="H172"/>
  <c r="G172"/>
  <c r="I171"/>
  <c r="H171"/>
  <c r="G171"/>
  <c r="I170"/>
  <c r="H170"/>
  <c r="G170"/>
  <c r="I169"/>
  <c r="H169"/>
  <c r="G169"/>
  <c r="I168"/>
  <c r="H168"/>
  <c r="G168"/>
  <c r="I167"/>
  <c r="H167"/>
  <c r="G167"/>
  <c r="I166"/>
  <c r="H166"/>
  <c r="G166"/>
  <c r="I160"/>
  <c r="H160"/>
  <c r="G160"/>
  <c r="I159"/>
  <c r="H159"/>
  <c r="G159"/>
  <c r="I158"/>
  <c r="H158"/>
  <c r="G158"/>
  <c r="I157"/>
  <c r="H157"/>
  <c r="G157"/>
  <c r="I156"/>
  <c r="H156"/>
  <c r="G156"/>
  <c r="I155"/>
  <c r="H155"/>
  <c r="G155"/>
  <c r="I154"/>
  <c r="H154"/>
  <c r="G154"/>
  <c r="I153"/>
  <c r="H153"/>
  <c r="G153"/>
  <c r="I152"/>
  <c r="H152"/>
  <c r="G152"/>
  <c r="I151"/>
  <c r="H151"/>
  <c r="G151"/>
  <c r="I150"/>
  <c r="H150"/>
  <c r="G150"/>
  <c r="I149"/>
  <c r="H149"/>
  <c r="G149"/>
  <c r="I148"/>
  <c r="H148"/>
  <c r="G148"/>
  <c r="I142"/>
  <c r="H142"/>
  <c r="G142"/>
  <c r="I141"/>
  <c r="H141"/>
  <c r="G141"/>
  <c r="I140"/>
  <c r="H140"/>
  <c r="G140"/>
  <c r="I139"/>
  <c r="H139"/>
  <c r="G139"/>
  <c r="I138"/>
  <c r="H138"/>
  <c r="G138"/>
  <c r="I137"/>
  <c r="H137"/>
  <c r="G137"/>
  <c r="I136"/>
  <c r="H136"/>
  <c r="G136"/>
  <c r="I135"/>
  <c r="H135"/>
  <c r="G135"/>
  <c r="I134"/>
  <c r="H134"/>
  <c r="G134"/>
  <c r="I133"/>
  <c r="H133"/>
  <c r="G133"/>
  <c r="I132"/>
  <c r="H132"/>
  <c r="G132"/>
  <c r="I131"/>
  <c r="H131"/>
  <c r="G131"/>
  <c r="I130"/>
  <c r="H130"/>
  <c r="G130"/>
  <c r="I124"/>
  <c r="H124"/>
  <c r="G124"/>
  <c r="I123"/>
  <c r="H123"/>
  <c r="G123"/>
  <c r="I122"/>
  <c r="H122"/>
  <c r="G122"/>
  <c r="I121"/>
  <c r="H121"/>
  <c r="G121"/>
  <c r="I120"/>
  <c r="H120"/>
  <c r="G120"/>
  <c r="I119"/>
  <c r="H119"/>
  <c r="G119"/>
  <c r="I118"/>
  <c r="H118"/>
  <c r="G118"/>
  <c r="I117"/>
  <c r="H117"/>
  <c r="G117"/>
  <c r="I116"/>
  <c r="H116"/>
  <c r="G116"/>
  <c r="I115"/>
  <c r="H115"/>
  <c r="G115"/>
  <c r="I114"/>
  <c r="H114"/>
  <c r="G114"/>
  <c r="I113"/>
  <c r="H113"/>
  <c r="G113"/>
  <c r="I112"/>
  <c r="H112"/>
  <c r="G112"/>
  <c r="I106"/>
  <c r="H106"/>
  <c r="G106"/>
  <c r="I105"/>
  <c r="H105"/>
  <c r="G105"/>
  <c r="I104"/>
  <c r="H104"/>
  <c r="G104"/>
  <c r="I103"/>
  <c r="H103"/>
  <c r="G103"/>
  <c r="I102"/>
  <c r="H102"/>
  <c r="G102"/>
  <c r="I101"/>
  <c r="H101"/>
  <c r="G101"/>
  <c r="I100"/>
  <c r="H100"/>
  <c r="G100"/>
  <c r="I99"/>
  <c r="H99"/>
  <c r="G99"/>
  <c r="I98"/>
  <c r="H98"/>
  <c r="G98"/>
  <c r="I97"/>
  <c r="H97"/>
  <c r="G97"/>
  <c r="I96"/>
  <c r="H96"/>
  <c r="G96"/>
  <c r="I95"/>
  <c r="H95"/>
  <c r="G95"/>
  <c r="I94"/>
  <c r="H94"/>
  <c r="G94"/>
  <c r="I88"/>
  <c r="H88"/>
  <c r="G88"/>
  <c r="I87"/>
  <c r="H87"/>
  <c r="G87"/>
  <c r="I86"/>
  <c r="H86"/>
  <c r="G86"/>
  <c r="I85"/>
  <c r="H85"/>
  <c r="G85"/>
  <c r="I84"/>
  <c r="H84"/>
  <c r="G84"/>
  <c r="I83"/>
  <c r="H83"/>
  <c r="G83"/>
  <c r="I82"/>
  <c r="H82"/>
  <c r="G82"/>
  <c r="I81"/>
  <c r="H81"/>
  <c r="G81"/>
  <c r="I80"/>
  <c r="H80"/>
  <c r="G80"/>
  <c r="I79"/>
  <c r="H79"/>
  <c r="G79"/>
  <c r="I78"/>
  <c r="H78"/>
  <c r="G78"/>
  <c r="I77"/>
  <c r="H77"/>
  <c r="G77"/>
  <c r="I76"/>
  <c r="H76"/>
  <c r="G76"/>
  <c r="I70"/>
  <c r="H70"/>
  <c r="G70"/>
  <c r="I69"/>
  <c r="H69"/>
  <c r="G69"/>
  <c r="I68"/>
  <c r="H68"/>
  <c r="G68"/>
  <c r="I67"/>
  <c r="H67"/>
  <c r="G67"/>
  <c r="I66"/>
  <c r="H66"/>
  <c r="G66"/>
  <c r="I65"/>
  <c r="H65"/>
  <c r="G65"/>
  <c r="I64"/>
  <c r="H64"/>
  <c r="G64"/>
  <c r="I63"/>
  <c r="H63"/>
  <c r="G63"/>
  <c r="I62"/>
  <c r="H62"/>
  <c r="G62"/>
  <c r="I61"/>
  <c r="H61"/>
  <c r="G61"/>
  <c r="I60"/>
  <c r="H60"/>
  <c r="G60"/>
  <c r="I59"/>
  <c r="H59"/>
  <c r="G59"/>
  <c r="I58"/>
  <c r="H58"/>
  <c r="G58"/>
  <c r="I53"/>
  <c r="H53"/>
  <c r="G53"/>
  <c r="I52"/>
  <c r="H52"/>
  <c r="G52"/>
  <c r="I51"/>
  <c r="H51"/>
  <c r="G51"/>
  <c r="I50"/>
  <c r="H50"/>
  <c r="G50"/>
  <c r="I49"/>
  <c r="H49"/>
  <c r="G49"/>
  <c r="I48"/>
  <c r="H48"/>
  <c r="G48"/>
  <c r="I47"/>
  <c r="H47"/>
  <c r="G47"/>
  <c r="I46"/>
  <c r="H46"/>
  <c r="G46"/>
  <c r="I45"/>
  <c r="H45"/>
  <c r="G45"/>
  <c r="I44"/>
  <c r="H44"/>
  <c r="G44"/>
  <c r="I43"/>
  <c r="H43"/>
  <c r="G43"/>
  <c r="I42"/>
  <c r="H42"/>
  <c r="G42"/>
  <c r="I41"/>
  <c r="H41"/>
  <c r="G41"/>
  <c r="G29"/>
  <c r="G12"/>
  <c r="I36"/>
  <c r="H36"/>
  <c r="G36"/>
  <c r="I35"/>
  <c r="H35"/>
  <c r="G35"/>
  <c r="I34"/>
  <c r="H34"/>
  <c r="G34"/>
  <c r="I33"/>
  <c r="H33"/>
  <c r="G33"/>
  <c r="I32"/>
  <c r="H32"/>
  <c r="G32"/>
  <c r="I31"/>
  <c r="H31"/>
  <c r="G31"/>
  <c r="I30"/>
  <c r="H30"/>
  <c r="G30"/>
  <c r="I29"/>
  <c r="H29"/>
  <c r="I28"/>
  <c r="H28"/>
  <c r="G28"/>
  <c r="I27"/>
  <c r="H27"/>
  <c r="G27"/>
  <c r="I26"/>
  <c r="H26"/>
  <c r="G26"/>
  <c r="I25"/>
  <c r="H25"/>
  <c r="G25"/>
  <c r="I24"/>
  <c r="H24"/>
  <c r="G24"/>
  <c r="I19"/>
  <c r="I18"/>
  <c r="I17"/>
  <c r="I16"/>
  <c r="I15"/>
  <c r="I14"/>
  <c r="I13"/>
  <c r="I12"/>
  <c r="I11"/>
  <c r="I10"/>
  <c r="I9"/>
  <c r="I8"/>
  <c r="I7"/>
  <c r="H7"/>
  <c r="G7"/>
  <c r="G19"/>
  <c r="G18"/>
  <c r="G17"/>
  <c r="G16"/>
  <c r="G15"/>
  <c r="G14"/>
  <c r="G13"/>
  <c r="H19"/>
  <c r="H18"/>
  <c r="H17"/>
  <c r="H16"/>
  <c r="H15"/>
  <c r="H14"/>
  <c r="H13"/>
  <c r="H12"/>
  <c r="H11"/>
  <c r="H10"/>
  <c r="H9"/>
  <c r="H8"/>
  <c r="G11"/>
  <c r="G10"/>
  <c r="G9"/>
  <c r="G8"/>
  <c r="U329"/>
  <c r="U332" s="1"/>
  <c r="U311"/>
  <c r="U314" s="1"/>
  <c r="U278"/>
  <c r="U239"/>
  <c r="U242" s="1"/>
  <c r="U221"/>
  <c r="U224" s="1"/>
  <c r="U203"/>
  <c r="U206" s="1"/>
  <c r="U185"/>
  <c r="U188" s="1"/>
  <c r="U167"/>
  <c r="U170" s="1"/>
  <c r="U149"/>
  <c r="U134"/>
  <c r="U113"/>
  <c r="E107"/>
  <c r="C107"/>
  <c r="U95"/>
  <c r="C103" s="1"/>
  <c r="B133" s="1"/>
  <c r="U77"/>
  <c r="U59"/>
  <c r="C102" s="1"/>
  <c r="C133" s="1"/>
  <c r="U42"/>
  <c r="C100" s="1"/>
  <c r="U25"/>
  <c r="C101" s="1"/>
  <c r="E14" i="272"/>
  <c r="D14"/>
  <c r="C14"/>
  <c r="E13"/>
  <c r="D13"/>
  <c r="C13"/>
  <c r="E11"/>
  <c r="E21" s="1"/>
  <c r="D11"/>
  <c r="D21" s="1"/>
  <c r="C11"/>
  <c r="E10"/>
  <c r="E20" s="1"/>
  <c r="D10"/>
  <c r="D20" s="1"/>
  <c r="C10"/>
  <c r="F7"/>
  <c r="D26" s="1"/>
  <c r="F6"/>
  <c r="C26" s="1"/>
  <c r="F5"/>
  <c r="D25" s="1"/>
  <c r="F4"/>
  <c r="C25" s="1"/>
  <c r="J14" i="278" l="1"/>
  <c r="A15" i="288"/>
  <c r="O61"/>
  <c r="O77"/>
  <c r="O93"/>
  <c r="B94" i="362"/>
  <c r="A95"/>
  <c r="C15" i="275"/>
  <c r="K25" i="282"/>
  <c r="K32" s="1"/>
  <c r="E22" i="272"/>
  <c r="D133" i="273"/>
  <c r="D136" s="1"/>
  <c r="C89"/>
  <c r="C27" i="272"/>
  <c r="C21"/>
  <c r="F11"/>
  <c r="P6" i="275"/>
  <c r="B21"/>
  <c r="C20" i="272"/>
  <c r="F10"/>
  <c r="I9" i="275"/>
  <c r="B24"/>
  <c r="D27" i="272"/>
  <c r="D22"/>
  <c r="F14"/>
  <c r="O9" i="275"/>
  <c r="A24"/>
  <c r="O7"/>
  <c r="A22"/>
  <c r="L28" i="282"/>
  <c r="O8" i="275"/>
  <c r="A23"/>
  <c r="P7"/>
  <c r="B22"/>
  <c r="F13" i="272"/>
  <c r="C98" i="273"/>
  <c r="O6" i="275"/>
  <c r="A21"/>
  <c r="P8"/>
  <c r="B23"/>
  <c r="N28" i="282"/>
  <c r="N34" s="1"/>
  <c r="M26"/>
  <c r="N26"/>
  <c r="K27"/>
  <c r="M28"/>
  <c r="L25"/>
  <c r="L24"/>
  <c r="K28"/>
  <c r="K34" s="1"/>
  <c r="L27"/>
  <c r="M25"/>
  <c r="M37" s="1"/>
  <c r="U27" s="1"/>
  <c r="N25"/>
  <c r="G36"/>
  <c r="G37"/>
  <c r="G33"/>
  <c r="G32"/>
  <c r="G30"/>
  <c r="G34"/>
  <c r="I16" i="281"/>
  <c r="I15"/>
  <c r="J15"/>
  <c r="J14"/>
  <c r="E17"/>
  <c r="H16"/>
  <c r="H15"/>
  <c r="I14"/>
  <c r="H14"/>
  <c r="J15" i="278"/>
  <c r="G14"/>
  <c r="H12"/>
  <c r="H14"/>
  <c r="H13"/>
  <c r="I14"/>
  <c r="I12"/>
  <c r="G13"/>
  <c r="I13"/>
  <c r="E15"/>
  <c r="E13" i="275"/>
  <c r="J314" i="273"/>
  <c r="L314" s="1"/>
  <c r="J332"/>
  <c r="L332" s="1"/>
  <c r="J296"/>
  <c r="L296" s="1"/>
  <c r="J98"/>
  <c r="L98" s="1"/>
  <c r="J170"/>
  <c r="L170" s="1"/>
  <c r="J337"/>
  <c r="L337" s="1"/>
  <c r="J175"/>
  <c r="L175" s="1"/>
  <c r="J227"/>
  <c r="L227" s="1"/>
  <c r="J191"/>
  <c r="L191" s="1"/>
  <c r="J173"/>
  <c r="L173" s="1"/>
  <c r="J14"/>
  <c r="M14" s="1"/>
  <c r="O14" s="1"/>
  <c r="J119"/>
  <c r="L119" s="1"/>
  <c r="J65"/>
  <c r="L65" s="1"/>
  <c r="D38"/>
  <c r="J281"/>
  <c r="L281" s="1"/>
  <c r="J137"/>
  <c r="L137" s="1"/>
  <c r="J83"/>
  <c r="L83" s="1"/>
  <c r="J48"/>
  <c r="L48" s="1"/>
  <c r="J31"/>
  <c r="L31" s="1"/>
  <c r="J335"/>
  <c r="L335" s="1"/>
  <c r="J299"/>
  <c r="L299" s="1"/>
  <c r="J245"/>
  <c r="L245" s="1"/>
  <c r="J209"/>
  <c r="L209" s="1"/>
  <c r="J101"/>
  <c r="L101" s="1"/>
  <c r="J317"/>
  <c r="L317" s="1"/>
  <c r="J263"/>
  <c r="L263" s="1"/>
  <c r="J155"/>
  <c r="L155" s="1"/>
  <c r="D42"/>
  <c r="D67" s="1"/>
  <c r="M225" s="1"/>
  <c r="M231" s="1"/>
  <c r="J285"/>
  <c r="L285" s="1"/>
  <c r="J249"/>
  <c r="L249" s="1"/>
  <c r="J141"/>
  <c r="L141" s="1"/>
  <c r="J87"/>
  <c r="L87" s="1"/>
  <c r="J52"/>
  <c r="L52" s="1"/>
  <c r="J35"/>
  <c r="L35" s="1"/>
  <c r="J195"/>
  <c r="L195" s="1"/>
  <c r="J18"/>
  <c r="M18" s="1"/>
  <c r="O18" s="1"/>
  <c r="J339"/>
  <c r="L339" s="1"/>
  <c r="J303"/>
  <c r="L303" s="1"/>
  <c r="J213"/>
  <c r="L213" s="1"/>
  <c r="J177"/>
  <c r="L177" s="1"/>
  <c r="J105"/>
  <c r="L105" s="1"/>
  <c r="J321"/>
  <c r="L321" s="1"/>
  <c r="J267"/>
  <c r="L267" s="1"/>
  <c r="J159"/>
  <c r="L159" s="1"/>
  <c r="J123"/>
  <c r="L123" s="1"/>
  <c r="J69"/>
  <c r="L69" s="1"/>
  <c r="J231"/>
  <c r="L231" s="1"/>
  <c r="J313"/>
  <c r="L313" s="1"/>
  <c r="J331"/>
  <c r="L331" s="1"/>
  <c r="J295"/>
  <c r="L295" s="1"/>
  <c r="J259"/>
  <c r="L259" s="1"/>
  <c r="J151"/>
  <c r="L151" s="1"/>
  <c r="J115"/>
  <c r="L115" s="1"/>
  <c r="J97"/>
  <c r="L97" s="1"/>
  <c r="J61"/>
  <c r="L61" s="1"/>
  <c r="J241"/>
  <c r="L241" s="1"/>
  <c r="J223"/>
  <c r="L223" s="1"/>
  <c r="J187"/>
  <c r="L187" s="1"/>
  <c r="J27"/>
  <c r="L27" s="1"/>
  <c r="J10"/>
  <c r="D34"/>
  <c r="J277"/>
  <c r="L277" s="1"/>
  <c r="J169"/>
  <c r="L169" s="1"/>
  <c r="J133"/>
  <c r="L133" s="1"/>
  <c r="J79"/>
  <c r="L79" s="1"/>
  <c r="J44"/>
  <c r="L44" s="1"/>
  <c r="J205"/>
  <c r="L205" s="1"/>
  <c r="J318"/>
  <c r="L318" s="1"/>
  <c r="J174"/>
  <c r="L174" s="1"/>
  <c r="J246"/>
  <c r="L246" s="1"/>
  <c r="J322"/>
  <c r="L322" s="1"/>
  <c r="J340"/>
  <c r="L340" s="1"/>
  <c r="J304"/>
  <c r="L304" s="1"/>
  <c r="J106"/>
  <c r="L106" s="1"/>
  <c r="E8" i="272"/>
  <c r="F8" s="1"/>
  <c r="L9"/>
  <c r="D11" i="273" s="1"/>
  <c r="J30" s="1"/>
  <c r="L30" s="1"/>
  <c r="J8"/>
  <c r="J232"/>
  <c r="L232" s="1"/>
  <c r="J300"/>
  <c r="L300" s="1"/>
  <c r="J171"/>
  <c r="L171" s="1"/>
  <c r="J84"/>
  <c r="L84" s="1"/>
  <c r="J102"/>
  <c r="L102" s="1"/>
  <c r="J156"/>
  <c r="L156" s="1"/>
  <c r="J224"/>
  <c r="L224" s="1"/>
  <c r="J242"/>
  <c r="L242" s="1"/>
  <c r="J250"/>
  <c r="L250" s="1"/>
  <c r="J311"/>
  <c r="L311" s="1"/>
  <c r="J59"/>
  <c r="L59" s="1"/>
  <c r="J95"/>
  <c r="L95" s="1"/>
  <c r="J96"/>
  <c r="L96" s="1"/>
  <c r="J99"/>
  <c r="L99" s="1"/>
  <c r="J100"/>
  <c r="L100" s="1"/>
  <c r="J103"/>
  <c r="L103" s="1"/>
  <c r="J104"/>
  <c r="L104" s="1"/>
  <c r="J167"/>
  <c r="L167" s="1"/>
  <c r="J190"/>
  <c r="L190" s="1"/>
  <c r="J80"/>
  <c r="L80" s="1"/>
  <c r="J88"/>
  <c r="L88" s="1"/>
  <c r="J152"/>
  <c r="L152" s="1"/>
  <c r="J160"/>
  <c r="L160" s="1"/>
  <c r="J178"/>
  <c r="L178" s="1"/>
  <c r="J228"/>
  <c r="L228" s="1"/>
  <c r="J336"/>
  <c r="L336" s="1"/>
  <c r="J320"/>
  <c r="L320" s="1"/>
  <c r="J284"/>
  <c r="L284" s="1"/>
  <c r="J266"/>
  <c r="L266" s="1"/>
  <c r="J194"/>
  <c r="L194" s="1"/>
  <c r="J122"/>
  <c r="L122" s="1"/>
  <c r="J51"/>
  <c r="L51" s="1"/>
  <c r="J302"/>
  <c r="D41"/>
  <c r="J230"/>
  <c r="L230" s="1"/>
  <c r="J140"/>
  <c r="L140" s="1"/>
  <c r="J86"/>
  <c r="L86" s="1"/>
  <c r="J338"/>
  <c r="L338" s="1"/>
  <c r="J248"/>
  <c r="L248" s="1"/>
  <c r="J212"/>
  <c r="L212" s="1"/>
  <c r="J158"/>
  <c r="L158" s="1"/>
  <c r="J34"/>
  <c r="L34" s="1"/>
  <c r="J17"/>
  <c r="M17" s="1"/>
  <c r="P17" s="1"/>
  <c r="Q17" s="1"/>
  <c r="J176"/>
  <c r="L176" s="1"/>
  <c r="J276"/>
  <c r="L276" s="1"/>
  <c r="J258"/>
  <c r="L258" s="1"/>
  <c r="J222"/>
  <c r="L222" s="1"/>
  <c r="J186"/>
  <c r="L186" s="1"/>
  <c r="J150"/>
  <c r="L150" s="1"/>
  <c r="J114"/>
  <c r="L114" s="1"/>
  <c r="J78"/>
  <c r="L78" s="1"/>
  <c r="J43"/>
  <c r="L43" s="1"/>
  <c r="J294"/>
  <c r="L294" s="1"/>
  <c r="J204"/>
  <c r="L204" s="1"/>
  <c r="J26"/>
  <c r="L26" s="1"/>
  <c r="J168"/>
  <c r="L168" s="1"/>
  <c r="J60"/>
  <c r="L60" s="1"/>
  <c r="J330"/>
  <c r="J240"/>
  <c r="L240" s="1"/>
  <c r="J132"/>
  <c r="L132" s="1"/>
  <c r="J312"/>
  <c r="L312" s="1"/>
  <c r="J9"/>
  <c r="L9" s="1"/>
  <c r="D13" i="275"/>
  <c r="D10"/>
  <c r="D32" i="273"/>
  <c r="J257"/>
  <c r="L257" s="1"/>
  <c r="J221"/>
  <c r="L221" s="1"/>
  <c r="J185"/>
  <c r="L185" s="1"/>
  <c r="J149"/>
  <c r="L149" s="1"/>
  <c r="J113"/>
  <c r="L113" s="1"/>
  <c r="J77"/>
  <c r="L77" s="1"/>
  <c r="J42"/>
  <c r="L42" s="1"/>
  <c r="J131"/>
  <c r="L131" s="1"/>
  <c r="J239"/>
  <c r="L239" s="1"/>
  <c r="J243"/>
  <c r="J247"/>
  <c r="J329"/>
  <c r="L329" s="1"/>
  <c r="J333"/>
  <c r="L333" s="1"/>
  <c r="C12" i="275"/>
  <c r="D40" i="273"/>
  <c r="D65" s="1"/>
  <c r="J16"/>
  <c r="M16" s="1"/>
  <c r="P16" s="1"/>
  <c r="Q16" s="1"/>
  <c r="R5" i="275"/>
  <c r="D20" s="1"/>
  <c r="D33" s="1"/>
  <c r="D46" s="1"/>
  <c r="D59" s="1"/>
  <c r="D72" s="1"/>
  <c r="K5"/>
  <c r="J12" i="273"/>
  <c r="L12" s="1"/>
  <c r="J25"/>
  <c r="L25" s="1"/>
  <c r="J203"/>
  <c r="L203" s="1"/>
  <c r="J293"/>
  <c r="L293" s="1"/>
  <c r="F6" i="275"/>
  <c r="D21" s="1"/>
  <c r="C13"/>
  <c r="C10"/>
  <c r="C20"/>
  <c r="E20"/>
  <c r="P9"/>
  <c r="H9"/>
  <c r="H7"/>
  <c r="A12"/>
  <c r="A27" s="1"/>
  <c r="I7"/>
  <c r="B16"/>
  <c r="B31" s="1"/>
  <c r="E12"/>
  <c r="H6"/>
  <c r="I8"/>
  <c r="J5"/>
  <c r="A13"/>
  <c r="A28" s="1"/>
  <c r="F8"/>
  <c r="E23" s="1"/>
  <c r="D15"/>
  <c r="E15"/>
  <c r="D16"/>
  <c r="I6"/>
  <c r="H8"/>
  <c r="L5"/>
  <c r="B15"/>
  <c r="B30" s="1"/>
  <c r="F9"/>
  <c r="E10"/>
  <c r="C16"/>
  <c r="E16"/>
  <c r="F7"/>
  <c r="C22" s="1"/>
  <c r="D12"/>
  <c r="J81" i="273"/>
  <c r="L81" s="1"/>
  <c r="J157"/>
  <c r="J225"/>
  <c r="L225" s="1"/>
  <c r="J297"/>
  <c r="L297" s="1"/>
  <c r="J301"/>
  <c r="L301" s="1"/>
  <c r="J29"/>
  <c r="L29" s="1"/>
  <c r="J32"/>
  <c r="J33"/>
  <c r="J36"/>
  <c r="J62"/>
  <c r="L62" s="1"/>
  <c r="J63"/>
  <c r="J66"/>
  <c r="J67"/>
  <c r="L67" s="1"/>
  <c r="J70"/>
  <c r="L70" s="1"/>
  <c r="J134"/>
  <c r="J135"/>
  <c r="L135" s="1"/>
  <c r="J138"/>
  <c r="J139"/>
  <c r="J142"/>
  <c r="J206"/>
  <c r="L206" s="1"/>
  <c r="J207"/>
  <c r="L207" s="1"/>
  <c r="J210"/>
  <c r="J211"/>
  <c r="L211" s="1"/>
  <c r="J214"/>
  <c r="L214" s="1"/>
  <c r="J278"/>
  <c r="L278" s="1"/>
  <c r="J279"/>
  <c r="J282"/>
  <c r="L282" s="1"/>
  <c r="J283"/>
  <c r="J286"/>
  <c r="L286" s="1"/>
  <c r="D35"/>
  <c r="D39"/>
  <c r="D43"/>
  <c r="J85"/>
  <c r="L85" s="1"/>
  <c r="J153"/>
  <c r="J229"/>
  <c r="L229" s="1"/>
  <c r="J11"/>
  <c r="M11" s="1"/>
  <c r="O11" s="1"/>
  <c r="J15"/>
  <c r="J19"/>
  <c r="M19" s="1"/>
  <c r="O19" s="1"/>
  <c r="J28"/>
  <c r="J45"/>
  <c r="J46"/>
  <c r="L46" s="1"/>
  <c r="J49"/>
  <c r="L49" s="1"/>
  <c r="J50"/>
  <c r="L50" s="1"/>
  <c r="J53"/>
  <c r="J116"/>
  <c r="L116" s="1"/>
  <c r="J117"/>
  <c r="J120"/>
  <c r="L120" s="1"/>
  <c r="J121"/>
  <c r="L121" s="1"/>
  <c r="J124"/>
  <c r="L124" s="1"/>
  <c r="J188"/>
  <c r="J189"/>
  <c r="L189" s="1"/>
  <c r="J192"/>
  <c r="L192" s="1"/>
  <c r="J193"/>
  <c r="L193" s="1"/>
  <c r="J196"/>
  <c r="L196" s="1"/>
  <c r="J260"/>
  <c r="L260" s="1"/>
  <c r="J261"/>
  <c r="J264"/>
  <c r="L264" s="1"/>
  <c r="J265"/>
  <c r="L265" s="1"/>
  <c r="J268"/>
  <c r="L268" s="1"/>
  <c r="J315"/>
  <c r="L315" s="1"/>
  <c r="J319"/>
  <c r="L319" s="1"/>
  <c r="T10" i="275"/>
  <c r="E22"/>
  <c r="C106" i="273"/>
  <c r="C96"/>
  <c r="C97"/>
  <c r="C92"/>
  <c r="U98"/>
  <c r="C99"/>
  <c r="C91"/>
  <c r="U62"/>
  <c r="C94"/>
  <c r="U28"/>
  <c r="D55"/>
  <c r="U80"/>
  <c r="C104"/>
  <c r="U152"/>
  <c r="C90"/>
  <c r="U116"/>
  <c r="C105"/>
  <c r="C93"/>
  <c r="U260"/>
  <c r="U45"/>
  <c r="L68"/>
  <c r="U296"/>
  <c r="C95"/>
  <c r="L275"/>
  <c r="L302"/>
  <c r="C79" i="256"/>
  <c r="B79"/>
  <c r="D78"/>
  <c r="D77"/>
  <c r="C62"/>
  <c r="B62"/>
  <c r="D61"/>
  <c r="D60"/>
  <c r="C45"/>
  <c r="B45"/>
  <c r="D44"/>
  <c r="D43"/>
  <c r="C28"/>
  <c r="B28"/>
  <c r="D27"/>
  <c r="D26"/>
  <c r="C10"/>
  <c r="B10"/>
  <c r="D9"/>
  <c r="D8"/>
  <c r="E5" i="270"/>
  <c r="E6"/>
  <c r="E7"/>
  <c r="E4"/>
  <c r="O78" i="288" l="1"/>
  <c r="O62"/>
  <c r="O94"/>
  <c r="B95" i="362"/>
  <c r="A96"/>
  <c r="N36" i="282"/>
  <c r="V24" s="1"/>
  <c r="K25" i="272"/>
  <c r="K26" s="1"/>
  <c r="M32" i="282"/>
  <c r="F13" i="275"/>
  <c r="C22" i="272"/>
  <c r="K20" s="1"/>
  <c r="K21" s="1"/>
  <c r="B124" i="273"/>
  <c r="B115"/>
  <c r="I23" i="275"/>
  <c r="P23" s="1"/>
  <c r="B36"/>
  <c r="B49" s="1"/>
  <c r="B62" s="1"/>
  <c r="B75" s="1"/>
  <c r="B88" s="1"/>
  <c r="B101" s="1"/>
  <c r="B114" s="1"/>
  <c r="B127" s="1"/>
  <c r="B140" s="1"/>
  <c r="B153" s="1"/>
  <c r="H23"/>
  <c r="O23" s="1"/>
  <c r="A36"/>
  <c r="A49" s="1"/>
  <c r="A62" s="1"/>
  <c r="A75" s="1"/>
  <c r="A88" s="1"/>
  <c r="A101" s="1"/>
  <c r="A114" s="1"/>
  <c r="A127" s="1"/>
  <c r="A140" s="1"/>
  <c r="A153" s="1"/>
  <c r="U29" i="282"/>
  <c r="I21" i="275"/>
  <c r="P21" s="1"/>
  <c r="B34"/>
  <c r="B47" s="1"/>
  <c r="B60" s="1"/>
  <c r="B73" s="1"/>
  <c r="B86" s="1"/>
  <c r="B99" s="1"/>
  <c r="B112" s="1"/>
  <c r="B125" s="1"/>
  <c r="B138" s="1"/>
  <c r="B151" s="1"/>
  <c r="C115" i="273"/>
  <c r="C124"/>
  <c r="A40" i="275"/>
  <c r="A53" s="1"/>
  <c r="A66" s="1"/>
  <c r="A79" s="1"/>
  <c r="A92" s="1"/>
  <c r="A105" s="1"/>
  <c r="A118" s="1"/>
  <c r="A131" s="1"/>
  <c r="A144" s="1"/>
  <c r="A157" s="1"/>
  <c r="H27"/>
  <c r="O27" s="1"/>
  <c r="H21"/>
  <c r="O21" s="1"/>
  <c r="A34"/>
  <c r="A47" s="1"/>
  <c r="A60" s="1"/>
  <c r="A73" s="1"/>
  <c r="A86" s="1"/>
  <c r="A99" s="1"/>
  <c r="A112" s="1"/>
  <c r="A125" s="1"/>
  <c r="A138" s="1"/>
  <c r="A151" s="1"/>
  <c r="I24"/>
  <c r="P24" s="1"/>
  <c r="B37"/>
  <c r="B50" s="1"/>
  <c r="B63" s="1"/>
  <c r="B76" s="1"/>
  <c r="B89" s="1"/>
  <c r="B102" s="1"/>
  <c r="B115" s="1"/>
  <c r="B128" s="1"/>
  <c r="B141" s="1"/>
  <c r="B154" s="1"/>
  <c r="B44"/>
  <c r="B57" s="1"/>
  <c r="B70" s="1"/>
  <c r="B83" s="1"/>
  <c r="B96" s="1"/>
  <c r="B109" s="1"/>
  <c r="B122" s="1"/>
  <c r="B135" s="1"/>
  <c r="B148" s="1"/>
  <c r="B161" s="1"/>
  <c r="I31"/>
  <c r="P31" s="1"/>
  <c r="H22"/>
  <c r="O22" s="1"/>
  <c r="A35"/>
  <c r="A48" s="1"/>
  <c r="A61" s="1"/>
  <c r="A74" s="1"/>
  <c r="A87" s="1"/>
  <c r="A100" s="1"/>
  <c r="A113" s="1"/>
  <c r="A126" s="1"/>
  <c r="A139" s="1"/>
  <c r="A152" s="1"/>
  <c r="B43"/>
  <c r="B56" s="1"/>
  <c r="B69" s="1"/>
  <c r="B82" s="1"/>
  <c r="B95" s="1"/>
  <c r="B108" s="1"/>
  <c r="B121" s="1"/>
  <c r="B134" s="1"/>
  <c r="B147" s="1"/>
  <c r="B160" s="1"/>
  <c r="I30"/>
  <c r="P30" s="1"/>
  <c r="A41"/>
  <c r="A54" s="1"/>
  <c r="A67" s="1"/>
  <c r="A80" s="1"/>
  <c r="A93" s="1"/>
  <c r="A106" s="1"/>
  <c r="A119" s="1"/>
  <c r="A132" s="1"/>
  <c r="A145" s="1"/>
  <c r="A158" s="1"/>
  <c r="H28"/>
  <c r="O28" s="1"/>
  <c r="I22"/>
  <c r="P22" s="1"/>
  <c r="B35"/>
  <c r="B48" s="1"/>
  <c r="B61" s="1"/>
  <c r="B74" s="1"/>
  <c r="B87" s="1"/>
  <c r="B100" s="1"/>
  <c r="B113" s="1"/>
  <c r="B126" s="1"/>
  <c r="B139" s="1"/>
  <c r="B152" s="1"/>
  <c r="H24"/>
  <c r="O24" s="1"/>
  <c r="A37"/>
  <c r="A50" s="1"/>
  <c r="A63" s="1"/>
  <c r="A76" s="1"/>
  <c r="A89" s="1"/>
  <c r="A102" s="1"/>
  <c r="A115" s="1"/>
  <c r="A128" s="1"/>
  <c r="A141" s="1"/>
  <c r="A154" s="1"/>
  <c r="L37" i="282"/>
  <c r="T29" s="1"/>
  <c r="K36"/>
  <c r="O25"/>
  <c r="L32"/>
  <c r="U25"/>
  <c r="O24"/>
  <c r="L36"/>
  <c r="T26" s="1"/>
  <c r="M33"/>
  <c r="N32"/>
  <c r="N30"/>
  <c r="M34"/>
  <c r="O27"/>
  <c r="K37"/>
  <c r="M36"/>
  <c r="U28" s="1"/>
  <c r="L34"/>
  <c r="K33"/>
  <c r="O26"/>
  <c r="L30"/>
  <c r="K30"/>
  <c r="L33"/>
  <c r="N37"/>
  <c r="M30"/>
  <c r="O29"/>
  <c r="O28"/>
  <c r="N33"/>
  <c r="I15" i="278"/>
  <c r="H17" i="281"/>
  <c r="K14"/>
  <c r="I17"/>
  <c r="K15"/>
  <c r="J17"/>
  <c r="K16"/>
  <c r="H15" i="278"/>
  <c r="K14"/>
  <c r="D19" s="1"/>
  <c r="K13"/>
  <c r="A18" s="1"/>
  <c r="K12"/>
  <c r="D17" s="1"/>
  <c r="G15"/>
  <c r="F16" i="275"/>
  <c r="F15"/>
  <c r="F12"/>
  <c r="D85"/>
  <c r="D98" s="1"/>
  <c r="D111" s="1"/>
  <c r="D124" s="1"/>
  <c r="D137" s="1"/>
  <c r="D150" s="1"/>
  <c r="K20"/>
  <c r="K33" s="1"/>
  <c r="K46" s="1"/>
  <c r="K59" s="1"/>
  <c r="K72" s="1"/>
  <c r="K85" s="1"/>
  <c r="K98" s="1"/>
  <c r="K111" s="1"/>
  <c r="K124" s="1"/>
  <c r="K137" s="1"/>
  <c r="K150" s="1"/>
  <c r="D59" i="273"/>
  <c r="M247" s="1"/>
  <c r="D83"/>
  <c r="M117" s="1"/>
  <c r="J118"/>
  <c r="L118" s="1"/>
  <c r="J316"/>
  <c r="L316" s="1"/>
  <c r="J208"/>
  <c r="L208" s="1"/>
  <c r="L11"/>
  <c r="R11" s="1"/>
  <c r="J244"/>
  <c r="L244" s="1"/>
  <c r="P18"/>
  <c r="Q18" s="1"/>
  <c r="J334"/>
  <c r="L334" s="1"/>
  <c r="L17"/>
  <c r="L18"/>
  <c r="R18" s="1"/>
  <c r="L14"/>
  <c r="R14" s="1"/>
  <c r="J13"/>
  <c r="J262"/>
  <c r="J154"/>
  <c r="J64"/>
  <c r="J280"/>
  <c r="L280" s="1"/>
  <c r="L16" i="272"/>
  <c r="L10" i="273"/>
  <c r="M10"/>
  <c r="D64"/>
  <c r="M222" s="1"/>
  <c r="J82"/>
  <c r="L82" s="1"/>
  <c r="D37"/>
  <c r="D44" s="1"/>
  <c r="J298"/>
  <c r="L16"/>
  <c r="P14"/>
  <c r="Q14" s="1"/>
  <c r="D18"/>
  <c r="K204" s="1"/>
  <c r="J172"/>
  <c r="J47"/>
  <c r="L47" s="1"/>
  <c r="J226"/>
  <c r="L226" s="1"/>
  <c r="J136"/>
  <c r="D22" i="275"/>
  <c r="D27" s="1"/>
  <c r="K21" s="1"/>
  <c r="M8" i="273"/>
  <c r="D58"/>
  <c r="M246" s="1"/>
  <c r="P246" s="1"/>
  <c r="Q246" s="1"/>
  <c r="D77"/>
  <c r="D73"/>
  <c r="L8"/>
  <c r="M9"/>
  <c r="P9" s="1"/>
  <c r="Q9" s="1"/>
  <c r="C23" i="275"/>
  <c r="D57" i="273"/>
  <c r="L247"/>
  <c r="M12"/>
  <c r="O12" s="1"/>
  <c r="R12" s="1"/>
  <c r="K228"/>
  <c r="D49"/>
  <c r="C21" i="275"/>
  <c r="C27" s="1"/>
  <c r="J21" s="1"/>
  <c r="L330" i="273"/>
  <c r="K118"/>
  <c r="E21" i="275"/>
  <c r="E27" s="1"/>
  <c r="L22" s="1"/>
  <c r="D82" i="273"/>
  <c r="M185" s="1"/>
  <c r="M194" s="1"/>
  <c r="P194" s="1"/>
  <c r="Q194" s="1"/>
  <c r="L261"/>
  <c r="L53"/>
  <c r="L283"/>
  <c r="L138"/>
  <c r="L243"/>
  <c r="L188"/>
  <c r="L117"/>
  <c r="L32"/>
  <c r="D47"/>
  <c r="M203" s="1"/>
  <c r="D50"/>
  <c r="D63"/>
  <c r="M221" s="1"/>
  <c r="M227" s="1"/>
  <c r="O227" s="1"/>
  <c r="R227" s="1"/>
  <c r="D23" i="275"/>
  <c r="I16"/>
  <c r="P16"/>
  <c r="E33"/>
  <c r="E46" s="1"/>
  <c r="E59" s="1"/>
  <c r="E72" s="1"/>
  <c r="L20"/>
  <c r="I15"/>
  <c r="P15"/>
  <c r="C33"/>
  <c r="C46" s="1"/>
  <c r="C59" s="1"/>
  <c r="C72" s="1"/>
  <c r="J20"/>
  <c r="O13"/>
  <c r="H13"/>
  <c r="O12"/>
  <c r="H12"/>
  <c r="E24"/>
  <c r="E31" s="1"/>
  <c r="C24"/>
  <c r="D24"/>
  <c r="F10"/>
  <c r="P19" i="273"/>
  <c r="Q19" s="1"/>
  <c r="L19"/>
  <c r="R19" s="1"/>
  <c r="L66"/>
  <c r="L157"/>
  <c r="L142"/>
  <c r="D54"/>
  <c r="D66"/>
  <c r="L139"/>
  <c r="L63"/>
  <c r="L33"/>
  <c r="L210"/>
  <c r="L36"/>
  <c r="L153"/>
  <c r="L279"/>
  <c r="L28"/>
  <c r="L134"/>
  <c r="P11"/>
  <c r="Q11" s="1"/>
  <c r="L45"/>
  <c r="L15"/>
  <c r="M15"/>
  <c r="O225"/>
  <c r="R225" s="1"/>
  <c r="P225"/>
  <c r="Q225" s="1"/>
  <c r="M240"/>
  <c r="P240" s="1"/>
  <c r="Q240" s="1"/>
  <c r="M223"/>
  <c r="O16"/>
  <c r="O17"/>
  <c r="O231"/>
  <c r="R231" s="1"/>
  <c r="P231"/>
  <c r="Q231" s="1"/>
  <c r="AD13" i="256"/>
  <c r="AD14" s="1"/>
  <c r="AI13"/>
  <c r="AI14" s="1"/>
  <c r="AN13"/>
  <c r="AN14" s="1"/>
  <c r="D28"/>
  <c r="D45"/>
  <c r="D62"/>
  <c r="D79"/>
  <c r="D10"/>
  <c r="C16" s="1"/>
  <c r="D115" i="273" l="1"/>
  <c r="D118" s="1"/>
  <c r="A97" i="362"/>
  <c r="B96"/>
  <c r="H37" i="275"/>
  <c r="O37" s="1"/>
  <c r="V28" i="282"/>
  <c r="V26"/>
  <c r="M186" i="273"/>
  <c r="M195" s="1"/>
  <c r="P195" s="1"/>
  <c r="Q195" s="1"/>
  <c r="I36" i="275"/>
  <c r="P36" s="1"/>
  <c r="H34"/>
  <c r="O34" s="1"/>
  <c r="O9" i="273"/>
  <c r="R9" s="1"/>
  <c r="I34" i="275"/>
  <c r="P34" s="1"/>
  <c r="H36"/>
  <c r="O36" s="1"/>
  <c r="I35"/>
  <c r="P35" s="1"/>
  <c r="M33" i="273"/>
  <c r="P33" s="1"/>
  <c r="Q33" s="1"/>
  <c r="D124"/>
  <c r="D127" s="1"/>
  <c r="H35" i="275"/>
  <c r="O35" s="1"/>
  <c r="T25" i="282"/>
  <c r="T27"/>
  <c r="O32"/>
  <c r="V29"/>
  <c r="V27"/>
  <c r="S24"/>
  <c r="S26"/>
  <c r="S28"/>
  <c r="V25"/>
  <c r="T24"/>
  <c r="U24"/>
  <c r="U26"/>
  <c r="T28"/>
  <c r="S25"/>
  <c r="S29"/>
  <c r="S27"/>
  <c r="U37"/>
  <c r="O30"/>
  <c r="O36"/>
  <c r="O34"/>
  <c r="U34"/>
  <c r="O37"/>
  <c r="O33"/>
  <c r="K17" i="281"/>
  <c r="K15" i="278"/>
  <c r="C17"/>
  <c r="C19"/>
  <c r="B19"/>
  <c r="A17"/>
  <c r="A19"/>
  <c r="C18"/>
  <c r="D18"/>
  <c r="B18"/>
  <c r="B17"/>
  <c r="E85" i="275"/>
  <c r="E98" s="1"/>
  <c r="E111" s="1"/>
  <c r="E124" s="1"/>
  <c r="E137" s="1"/>
  <c r="E150" s="1"/>
  <c r="C85"/>
  <c r="C98" s="1"/>
  <c r="C111" s="1"/>
  <c r="C124" s="1"/>
  <c r="C137" s="1"/>
  <c r="C150" s="1"/>
  <c r="R20"/>
  <c r="R33" s="1"/>
  <c r="R46" s="1"/>
  <c r="R59" s="1"/>
  <c r="R72" s="1"/>
  <c r="R85" s="1"/>
  <c r="R98" s="1"/>
  <c r="R111" s="1"/>
  <c r="R124" s="1"/>
  <c r="R137" s="1"/>
  <c r="R150" s="1"/>
  <c r="M191" i="273"/>
  <c r="P191" s="1"/>
  <c r="Q191" s="1"/>
  <c r="K239"/>
  <c r="R17"/>
  <c r="K36"/>
  <c r="F23" i="275"/>
  <c r="K192" i="273"/>
  <c r="M85"/>
  <c r="P85" s="1"/>
  <c r="Q85" s="1"/>
  <c r="K318"/>
  <c r="M114"/>
  <c r="P114" s="1"/>
  <c r="Q114" s="1"/>
  <c r="K260"/>
  <c r="K151"/>
  <c r="F22" i="275"/>
  <c r="K311" i="273"/>
  <c r="K80"/>
  <c r="K206"/>
  <c r="M49"/>
  <c r="N49" s="1"/>
  <c r="R16"/>
  <c r="M138"/>
  <c r="N138" s="1"/>
  <c r="N19"/>
  <c r="K177"/>
  <c r="K178"/>
  <c r="K27"/>
  <c r="K133"/>
  <c r="K267"/>
  <c r="K315"/>
  <c r="K247"/>
  <c r="M120"/>
  <c r="P120" s="1"/>
  <c r="Q120" s="1"/>
  <c r="K66"/>
  <c r="K301"/>
  <c r="K35"/>
  <c r="K250"/>
  <c r="K332"/>
  <c r="K152"/>
  <c r="K104"/>
  <c r="K14"/>
  <c r="K168"/>
  <c r="K87"/>
  <c r="K266"/>
  <c r="M123"/>
  <c r="P123" s="1"/>
  <c r="Q123" s="1"/>
  <c r="K211"/>
  <c r="K276"/>
  <c r="P12"/>
  <c r="Q12" s="1"/>
  <c r="N17"/>
  <c r="M276"/>
  <c r="O276" s="1"/>
  <c r="R276" s="1"/>
  <c r="K26"/>
  <c r="K135"/>
  <c r="K176"/>
  <c r="K300"/>
  <c r="K303"/>
  <c r="K321"/>
  <c r="K286"/>
  <c r="K257"/>
  <c r="K42"/>
  <c r="K82"/>
  <c r="M60"/>
  <c r="O60" s="1"/>
  <c r="R60" s="1"/>
  <c r="M79"/>
  <c r="N79" s="1"/>
  <c r="M167"/>
  <c r="M168" s="1"/>
  <c r="O168" s="1"/>
  <c r="R168" s="1"/>
  <c r="L136"/>
  <c r="K136"/>
  <c r="K69"/>
  <c r="N11"/>
  <c r="K302"/>
  <c r="K191"/>
  <c r="K209"/>
  <c r="K319"/>
  <c r="K123"/>
  <c r="K114"/>
  <c r="K170"/>
  <c r="K106"/>
  <c r="K264"/>
  <c r="K150"/>
  <c r="K13"/>
  <c r="K285"/>
  <c r="K231"/>
  <c r="K245"/>
  <c r="K279"/>
  <c r="K85"/>
  <c r="K105"/>
  <c r="M311"/>
  <c r="N311" s="1"/>
  <c r="K132"/>
  <c r="K95"/>
  <c r="K283"/>
  <c r="K243"/>
  <c r="K86"/>
  <c r="K61"/>
  <c r="K240"/>
  <c r="K316"/>
  <c r="K295"/>
  <c r="K96"/>
  <c r="K223"/>
  <c r="K158"/>
  <c r="K195"/>
  <c r="K17"/>
  <c r="K115"/>
  <c r="K304"/>
  <c r="K52"/>
  <c r="K249"/>
  <c r="K337"/>
  <c r="K294"/>
  <c r="K280"/>
  <c r="K175"/>
  <c r="K103"/>
  <c r="K232"/>
  <c r="K296"/>
  <c r="K173"/>
  <c r="K48"/>
  <c r="K67"/>
  <c r="K131"/>
  <c r="K212"/>
  <c r="K25"/>
  <c r="K9"/>
  <c r="K268"/>
  <c r="K139"/>
  <c r="K229"/>
  <c r="K121"/>
  <c r="K78"/>
  <c r="K120"/>
  <c r="K208"/>
  <c r="K339"/>
  <c r="K335"/>
  <c r="K47"/>
  <c r="K330"/>
  <c r="K242"/>
  <c r="K137"/>
  <c r="K34"/>
  <c r="K259"/>
  <c r="K258"/>
  <c r="K246"/>
  <c r="K100"/>
  <c r="K149"/>
  <c r="K140"/>
  <c r="K221"/>
  <c r="K169"/>
  <c r="K62"/>
  <c r="K230"/>
  <c r="K261"/>
  <c r="K138"/>
  <c r="K117"/>
  <c r="K32"/>
  <c r="K60"/>
  <c r="N14"/>
  <c r="K113"/>
  <c r="K336"/>
  <c r="K224"/>
  <c r="K70"/>
  <c r="K185"/>
  <c r="K248"/>
  <c r="K277"/>
  <c r="K190"/>
  <c r="K282"/>
  <c r="K331"/>
  <c r="K225"/>
  <c r="K222"/>
  <c r="K244"/>
  <c r="K278"/>
  <c r="K281"/>
  <c r="K322"/>
  <c r="K156"/>
  <c r="K167"/>
  <c r="K340"/>
  <c r="K49"/>
  <c r="K88"/>
  <c r="K157"/>
  <c r="K124"/>
  <c r="K29"/>
  <c r="K83"/>
  <c r="K50"/>
  <c r="K19"/>
  <c r="K33"/>
  <c r="K265"/>
  <c r="K153"/>
  <c r="K31"/>
  <c r="K189"/>
  <c r="K45"/>
  <c r="K12"/>
  <c r="K210"/>
  <c r="D56"/>
  <c r="D78"/>
  <c r="M141" s="1"/>
  <c r="P141" s="1"/>
  <c r="Q141" s="1"/>
  <c r="D68"/>
  <c r="M226" s="1"/>
  <c r="O226" s="1"/>
  <c r="R226" s="1"/>
  <c r="D84"/>
  <c r="M277" s="1"/>
  <c r="D72"/>
  <c r="D48"/>
  <c r="L154"/>
  <c r="K154"/>
  <c r="N12"/>
  <c r="K196"/>
  <c r="K226"/>
  <c r="K11"/>
  <c r="K186"/>
  <c r="K214"/>
  <c r="K28"/>
  <c r="K329"/>
  <c r="K44"/>
  <c r="K102"/>
  <c r="K65"/>
  <c r="K263"/>
  <c r="K227"/>
  <c r="K98"/>
  <c r="K97"/>
  <c r="K299"/>
  <c r="K241"/>
  <c r="K119"/>
  <c r="K174"/>
  <c r="K10"/>
  <c r="K53"/>
  <c r="K77"/>
  <c r="K333"/>
  <c r="K194"/>
  <c r="K314"/>
  <c r="K205"/>
  <c r="K134"/>
  <c r="K18"/>
  <c r="K207"/>
  <c r="K116"/>
  <c r="K79"/>
  <c r="N16"/>
  <c r="M65"/>
  <c r="N65" s="1"/>
  <c r="M50"/>
  <c r="P50" s="1"/>
  <c r="Q50" s="1"/>
  <c r="K15"/>
  <c r="K81"/>
  <c r="K213"/>
  <c r="K63"/>
  <c r="M25"/>
  <c r="P25" s="1"/>
  <c r="Q25" s="1"/>
  <c r="K160"/>
  <c r="K284"/>
  <c r="K16"/>
  <c r="K193"/>
  <c r="K99"/>
  <c r="K203"/>
  <c r="K122"/>
  <c r="K84"/>
  <c r="K171"/>
  <c r="K313"/>
  <c r="K141"/>
  <c r="K159"/>
  <c r="K101"/>
  <c r="N18"/>
  <c r="K188"/>
  <c r="K275"/>
  <c r="K46"/>
  <c r="K312"/>
  <c r="K293"/>
  <c r="K30"/>
  <c r="K334"/>
  <c r="K317"/>
  <c r="K142"/>
  <c r="M300"/>
  <c r="P300" s="1"/>
  <c r="Q300" s="1"/>
  <c r="M52"/>
  <c r="N52" s="1"/>
  <c r="K320"/>
  <c r="M105"/>
  <c r="K59"/>
  <c r="K43"/>
  <c r="K51"/>
  <c r="K155"/>
  <c r="K187"/>
  <c r="K68"/>
  <c r="K297"/>
  <c r="M31"/>
  <c r="N31" s="1"/>
  <c r="K338"/>
  <c r="P8"/>
  <c r="Q8" s="1"/>
  <c r="N8"/>
  <c r="K8"/>
  <c r="K172"/>
  <c r="L172"/>
  <c r="L298"/>
  <c r="K298"/>
  <c r="O10"/>
  <c r="R10" s="1"/>
  <c r="P10"/>
  <c r="Q10" s="1"/>
  <c r="N10"/>
  <c r="L64"/>
  <c r="K64"/>
  <c r="N185"/>
  <c r="M84"/>
  <c r="P84" s="1"/>
  <c r="Q84" s="1"/>
  <c r="M13"/>
  <c r="L13"/>
  <c r="L262"/>
  <c r="K262"/>
  <c r="M69"/>
  <c r="O69" s="1"/>
  <c r="R69" s="1"/>
  <c r="M106"/>
  <c r="M103"/>
  <c r="M119"/>
  <c r="O119" s="1"/>
  <c r="R119" s="1"/>
  <c r="M209"/>
  <c r="M210" s="1"/>
  <c r="P210" s="1"/>
  <c r="Q210" s="1"/>
  <c r="M299"/>
  <c r="P185"/>
  <c r="Q185" s="1"/>
  <c r="O185"/>
  <c r="R185" s="1"/>
  <c r="M188"/>
  <c r="O188" s="1"/>
  <c r="R188" s="1"/>
  <c r="C30" i="275"/>
  <c r="O8" i="273"/>
  <c r="R8" s="1"/>
  <c r="M68"/>
  <c r="O68" s="1"/>
  <c r="R68" s="1"/>
  <c r="M101"/>
  <c r="M102"/>
  <c r="M83"/>
  <c r="P83" s="1"/>
  <c r="Q83" s="1"/>
  <c r="M104"/>
  <c r="N227"/>
  <c r="M59"/>
  <c r="N59" s="1"/>
  <c r="M155"/>
  <c r="M156" s="1"/>
  <c r="P156" s="1"/>
  <c r="Q156" s="1"/>
  <c r="F21" i="275"/>
  <c r="N9" i="273"/>
  <c r="M212"/>
  <c r="M213" s="1"/>
  <c r="M26"/>
  <c r="P26" s="1"/>
  <c r="Q26" s="1"/>
  <c r="M32"/>
  <c r="P32" s="1"/>
  <c r="Q32" s="1"/>
  <c r="M245"/>
  <c r="P245" s="1"/>
  <c r="Q245" s="1"/>
  <c r="M66"/>
  <c r="P66" s="1"/>
  <c r="Q66" s="1"/>
  <c r="M78"/>
  <c r="P78" s="1"/>
  <c r="Q78" s="1"/>
  <c r="M275"/>
  <c r="P275" s="1"/>
  <c r="Q275" s="1"/>
  <c r="E30" i="275"/>
  <c r="M263" i="273"/>
  <c r="O263" s="1"/>
  <c r="R263" s="1"/>
  <c r="M239"/>
  <c r="M242" s="1"/>
  <c r="P242" s="1"/>
  <c r="Q242" s="1"/>
  <c r="N221"/>
  <c r="M137"/>
  <c r="P137" s="1"/>
  <c r="Q137" s="1"/>
  <c r="M122"/>
  <c r="O122" s="1"/>
  <c r="R122" s="1"/>
  <c r="E25" i="275"/>
  <c r="M77" i="273"/>
  <c r="P77" s="1"/>
  <c r="Q77" s="1"/>
  <c r="N222"/>
  <c r="N225"/>
  <c r="P221"/>
  <c r="Q221" s="1"/>
  <c r="M48"/>
  <c r="P48" s="1"/>
  <c r="Q48" s="1"/>
  <c r="N231"/>
  <c r="N117"/>
  <c r="M113"/>
  <c r="P113" s="1"/>
  <c r="Q113" s="1"/>
  <c r="P227"/>
  <c r="Q227" s="1"/>
  <c r="O221"/>
  <c r="R221" s="1"/>
  <c r="D28" i="275"/>
  <c r="K24" s="1"/>
  <c r="L21"/>
  <c r="L27" s="1"/>
  <c r="D30"/>
  <c r="H62"/>
  <c r="O62" s="1"/>
  <c r="I60"/>
  <c r="P60" s="1"/>
  <c r="H61"/>
  <c r="O61" s="1"/>
  <c r="I62"/>
  <c r="P62" s="1"/>
  <c r="H63"/>
  <c r="O63" s="1"/>
  <c r="I61"/>
  <c r="P61" s="1"/>
  <c r="H60"/>
  <c r="O60" s="1"/>
  <c r="I49"/>
  <c r="P49" s="1"/>
  <c r="H48"/>
  <c r="O48" s="1"/>
  <c r="I37"/>
  <c r="P37" s="1"/>
  <c r="I48"/>
  <c r="P48" s="1"/>
  <c r="L33"/>
  <c r="L46" s="1"/>
  <c r="L59" s="1"/>
  <c r="L72" s="1"/>
  <c r="L85" s="1"/>
  <c r="L98" s="1"/>
  <c r="L111" s="1"/>
  <c r="L124" s="1"/>
  <c r="L137" s="1"/>
  <c r="L150" s="1"/>
  <c r="S20"/>
  <c r="S33" s="1"/>
  <c r="S46" s="1"/>
  <c r="S59" s="1"/>
  <c r="S72" s="1"/>
  <c r="S85" s="1"/>
  <c r="S98" s="1"/>
  <c r="S111" s="1"/>
  <c r="S124" s="1"/>
  <c r="S137" s="1"/>
  <c r="S150" s="1"/>
  <c r="H47"/>
  <c r="O47" s="1"/>
  <c r="H50"/>
  <c r="O50" s="1"/>
  <c r="H49"/>
  <c r="O49" s="1"/>
  <c r="Q20"/>
  <c r="Q33" s="1"/>
  <c r="Q46" s="1"/>
  <c r="Q59" s="1"/>
  <c r="Q72" s="1"/>
  <c r="Q85" s="1"/>
  <c r="Q98" s="1"/>
  <c r="Q111" s="1"/>
  <c r="Q124" s="1"/>
  <c r="Q137" s="1"/>
  <c r="Q150" s="1"/>
  <c r="J33"/>
  <c r="J46" s="1"/>
  <c r="J59" s="1"/>
  <c r="J72" s="1"/>
  <c r="J85" s="1"/>
  <c r="J98" s="1"/>
  <c r="J111" s="1"/>
  <c r="J124" s="1"/>
  <c r="J137" s="1"/>
  <c r="J150" s="1"/>
  <c r="I47"/>
  <c r="P47" s="1"/>
  <c r="F24"/>
  <c r="E28"/>
  <c r="L23" s="1"/>
  <c r="D25"/>
  <c r="C28"/>
  <c r="J23" s="1"/>
  <c r="C25"/>
  <c r="D31"/>
  <c r="C31"/>
  <c r="K22"/>
  <c r="K27" s="1"/>
  <c r="J22"/>
  <c r="M116" i="273"/>
  <c r="N116" s="1"/>
  <c r="O194"/>
  <c r="R194" s="1"/>
  <c r="O15"/>
  <c r="R15" s="1"/>
  <c r="N15"/>
  <c r="P15"/>
  <c r="Q15" s="1"/>
  <c r="M224"/>
  <c r="M51"/>
  <c r="N194"/>
  <c r="P222"/>
  <c r="Q222" s="1"/>
  <c r="M243"/>
  <c r="O243" s="1"/>
  <c r="R243" s="1"/>
  <c r="M228"/>
  <c r="O228" s="1"/>
  <c r="R228" s="1"/>
  <c r="O222"/>
  <c r="R222" s="1"/>
  <c r="N246"/>
  <c r="N240"/>
  <c r="O240"/>
  <c r="R240" s="1"/>
  <c r="M249"/>
  <c r="O249" s="1"/>
  <c r="R249" s="1"/>
  <c r="O246"/>
  <c r="R246" s="1"/>
  <c r="O117"/>
  <c r="R117" s="1"/>
  <c r="P117"/>
  <c r="Q117" s="1"/>
  <c r="N203"/>
  <c r="P203"/>
  <c r="Q203" s="1"/>
  <c r="M204"/>
  <c r="O203"/>
  <c r="R203" s="1"/>
  <c r="O247"/>
  <c r="R247" s="1"/>
  <c r="M250"/>
  <c r="P247"/>
  <c r="Q247" s="1"/>
  <c r="N247"/>
  <c r="P223"/>
  <c r="Q223" s="1"/>
  <c r="O223"/>
  <c r="R223" s="1"/>
  <c r="M229"/>
  <c r="N223"/>
  <c r="B17" i="256"/>
  <c r="C17"/>
  <c r="C18" s="1"/>
  <c r="B16"/>
  <c r="S29" i="269"/>
  <c r="S31" s="1"/>
  <c r="T14"/>
  <c r="S14"/>
  <c r="T13"/>
  <c r="S13"/>
  <c r="U8"/>
  <c r="T8"/>
  <c r="S8"/>
  <c r="U7"/>
  <c r="U6"/>
  <c r="B14"/>
  <c r="C14"/>
  <c r="C13"/>
  <c r="B13"/>
  <c r="I23"/>
  <c r="I22"/>
  <c r="I21"/>
  <c r="F21"/>
  <c r="F22" s="1"/>
  <c r="F23" s="1"/>
  <c r="I20"/>
  <c r="J9"/>
  <c r="K9" s="1"/>
  <c r="I9"/>
  <c r="J8"/>
  <c r="K8" s="1"/>
  <c r="I8"/>
  <c r="C8"/>
  <c r="B8"/>
  <c r="J7"/>
  <c r="H31" s="1"/>
  <c r="J31" s="1"/>
  <c r="I7"/>
  <c r="F7"/>
  <c r="F8" s="1"/>
  <c r="F9" s="1"/>
  <c r="D7"/>
  <c r="J6"/>
  <c r="K6" s="1"/>
  <c r="I6"/>
  <c r="D6"/>
  <c r="V36" i="282" l="1"/>
  <c r="A98" i="362"/>
  <c r="B97"/>
  <c r="V34" i="282"/>
  <c r="O300" i="273"/>
  <c r="R300" s="1"/>
  <c r="T37" i="282"/>
  <c r="N114" i="273"/>
  <c r="N195"/>
  <c r="N191"/>
  <c r="O195"/>
  <c r="R195" s="1"/>
  <c r="M189"/>
  <c r="N189" s="1"/>
  <c r="M192"/>
  <c r="O192" s="1"/>
  <c r="R192" s="1"/>
  <c r="P186"/>
  <c r="Q186" s="1"/>
  <c r="O186"/>
  <c r="R186" s="1"/>
  <c r="N186"/>
  <c r="D14" i="269"/>
  <c r="N33" i="273"/>
  <c r="O33"/>
  <c r="R33" s="1"/>
  <c r="N101"/>
  <c r="K12" i="277"/>
  <c r="N106" i="273"/>
  <c r="K17" i="277"/>
  <c r="P104" i="273"/>
  <c r="Q104" s="1"/>
  <c r="K15" i="277"/>
  <c r="O102" i="273"/>
  <c r="K13" i="277"/>
  <c r="P103" i="273"/>
  <c r="Q103" s="1"/>
  <c r="K14" i="277"/>
  <c r="P105" i="273"/>
  <c r="Q105" s="1"/>
  <c r="K16" i="277"/>
  <c r="S36" i="282"/>
  <c r="W28"/>
  <c r="D44" s="1"/>
  <c r="T34"/>
  <c r="T30"/>
  <c r="T36"/>
  <c r="T32"/>
  <c r="U33"/>
  <c r="S32"/>
  <c r="T33"/>
  <c r="V33"/>
  <c r="S33"/>
  <c r="W26"/>
  <c r="C42" s="1"/>
  <c r="W27"/>
  <c r="U32"/>
  <c r="U36"/>
  <c r="U30"/>
  <c r="W29"/>
  <c r="S34"/>
  <c r="S30"/>
  <c r="V37"/>
  <c r="V32"/>
  <c r="V30"/>
  <c r="W25"/>
  <c r="S37"/>
  <c r="W24"/>
  <c r="F40" s="1"/>
  <c r="D20" i="278"/>
  <c r="J18" s="1"/>
  <c r="A20"/>
  <c r="G18" s="1"/>
  <c r="E17"/>
  <c r="C20"/>
  <c r="I18" s="1"/>
  <c r="B20"/>
  <c r="H18" s="1"/>
  <c r="E19"/>
  <c r="E18"/>
  <c r="H30" i="269"/>
  <c r="J30" s="1"/>
  <c r="K7"/>
  <c r="K10" s="1"/>
  <c r="N6" s="1"/>
  <c r="P6" s="1"/>
  <c r="U14"/>
  <c r="O114" i="273"/>
  <c r="R114" s="1"/>
  <c r="O191"/>
  <c r="R191" s="1"/>
  <c r="M80"/>
  <c r="P80" s="1"/>
  <c r="Q80" s="1"/>
  <c r="N25"/>
  <c r="N32"/>
  <c r="N300"/>
  <c r="N119"/>
  <c r="N85"/>
  <c r="N226"/>
  <c r="P49"/>
  <c r="Q49" s="1"/>
  <c r="P119"/>
  <c r="Q119" s="1"/>
  <c r="P226"/>
  <c r="Q226" s="1"/>
  <c r="O123"/>
  <c r="R123" s="1"/>
  <c r="N120"/>
  <c r="D51"/>
  <c r="E48" s="1"/>
  <c r="O85"/>
  <c r="R85" s="1"/>
  <c r="M86"/>
  <c r="P86" s="1"/>
  <c r="Q86" s="1"/>
  <c r="N50"/>
  <c r="D79"/>
  <c r="M206"/>
  <c r="P206" s="1"/>
  <c r="Q206" s="1"/>
  <c r="O101"/>
  <c r="M140"/>
  <c r="P140" s="1"/>
  <c r="Q140" s="1"/>
  <c r="M28"/>
  <c r="O28" s="1"/>
  <c r="R28" s="1"/>
  <c r="M266"/>
  <c r="O266" s="1"/>
  <c r="R266" s="1"/>
  <c r="M87"/>
  <c r="P87" s="1"/>
  <c r="Q87" s="1"/>
  <c r="M260"/>
  <c r="P260" s="1"/>
  <c r="Q260" s="1"/>
  <c r="M30"/>
  <c r="P30" s="1"/>
  <c r="Q30" s="1"/>
  <c r="O26"/>
  <c r="R26" s="1"/>
  <c r="O66"/>
  <c r="R66" s="1"/>
  <c r="O50"/>
  <c r="R50" s="1"/>
  <c r="O78"/>
  <c r="R78" s="1"/>
  <c r="M63"/>
  <c r="N63" s="1"/>
  <c r="M278"/>
  <c r="N278" s="1"/>
  <c r="O31"/>
  <c r="R31" s="1"/>
  <c r="N105"/>
  <c r="M62"/>
  <c r="O62" s="1"/>
  <c r="R62" s="1"/>
  <c r="M81"/>
  <c r="P81" s="1"/>
  <c r="Q81" s="1"/>
  <c r="P65"/>
  <c r="Q65" s="1"/>
  <c r="F25" i="275"/>
  <c r="O156" i="273"/>
  <c r="R156" s="1"/>
  <c r="M257"/>
  <c r="M258" s="1"/>
  <c r="O258" s="1"/>
  <c r="R258" s="1"/>
  <c r="M264"/>
  <c r="M265" s="1"/>
  <c r="M157"/>
  <c r="O157" s="1"/>
  <c r="R157" s="1"/>
  <c r="O83"/>
  <c r="R83" s="1"/>
  <c r="O210"/>
  <c r="R210" s="1"/>
  <c r="N156"/>
  <c r="N83"/>
  <c r="N60"/>
  <c r="P239"/>
  <c r="Q239" s="1"/>
  <c r="O120"/>
  <c r="R120" s="1"/>
  <c r="M303"/>
  <c r="O303" s="1"/>
  <c r="R303" s="1"/>
  <c r="M53"/>
  <c r="O53" s="1"/>
  <c r="R53" s="1"/>
  <c r="M211"/>
  <c r="O211" s="1"/>
  <c r="R211" s="1"/>
  <c r="N123"/>
  <c r="P60"/>
  <c r="Q60" s="1"/>
  <c r="O49"/>
  <c r="R49" s="1"/>
  <c r="D69"/>
  <c r="N276"/>
  <c r="N263"/>
  <c r="P69"/>
  <c r="Q69" s="1"/>
  <c r="N69"/>
  <c r="N26"/>
  <c r="N209"/>
  <c r="N104"/>
  <c r="O104"/>
  <c r="P209"/>
  <c r="Q209" s="1"/>
  <c r="O138"/>
  <c r="R138" s="1"/>
  <c r="P263"/>
  <c r="Q263" s="1"/>
  <c r="M134"/>
  <c r="P134" s="1"/>
  <c r="Q134" s="1"/>
  <c r="M100"/>
  <c r="N68"/>
  <c r="P138"/>
  <c r="Q138" s="1"/>
  <c r="N210"/>
  <c r="O52"/>
  <c r="R52" s="1"/>
  <c r="M47"/>
  <c r="P47" s="1"/>
  <c r="Q47" s="1"/>
  <c r="P277"/>
  <c r="Q277" s="1"/>
  <c r="N277"/>
  <c r="M283"/>
  <c r="O283" s="1"/>
  <c r="R283" s="1"/>
  <c r="M139"/>
  <c r="O139" s="1"/>
  <c r="R139" s="1"/>
  <c r="P68"/>
  <c r="Q68" s="1"/>
  <c r="N188"/>
  <c r="M133"/>
  <c r="P133" s="1"/>
  <c r="Q133" s="1"/>
  <c r="M124"/>
  <c r="N124" s="1"/>
  <c r="O103"/>
  <c r="P101"/>
  <c r="Q101" s="1"/>
  <c r="O212"/>
  <c r="R212" s="1"/>
  <c r="O25"/>
  <c r="R25" s="1"/>
  <c r="M232"/>
  <c r="O232" s="1"/>
  <c r="R232" s="1"/>
  <c r="M82"/>
  <c r="M136"/>
  <c r="O136" s="1"/>
  <c r="R136" s="1"/>
  <c r="M70"/>
  <c r="O70" s="1"/>
  <c r="R70" s="1"/>
  <c r="M61"/>
  <c r="M88"/>
  <c r="N88" s="1"/>
  <c r="N66"/>
  <c r="P188"/>
  <c r="Q188" s="1"/>
  <c r="M301"/>
  <c r="P301" s="1"/>
  <c r="Q301" s="1"/>
  <c r="M248"/>
  <c r="N248" s="1"/>
  <c r="O79"/>
  <c r="R79" s="1"/>
  <c r="O105"/>
  <c r="P79"/>
  <c r="Q79" s="1"/>
  <c r="O275"/>
  <c r="R275" s="1"/>
  <c r="N275"/>
  <c r="M282"/>
  <c r="O282" s="1"/>
  <c r="R282" s="1"/>
  <c r="P276"/>
  <c r="Q276" s="1"/>
  <c r="M142"/>
  <c r="P142" s="1"/>
  <c r="Q142" s="1"/>
  <c r="M295"/>
  <c r="O295" s="1"/>
  <c r="R295" s="1"/>
  <c r="M241"/>
  <c r="M27"/>
  <c r="N103"/>
  <c r="M169"/>
  <c r="M131"/>
  <c r="M115"/>
  <c r="M187"/>
  <c r="M121"/>
  <c r="N167"/>
  <c r="M173"/>
  <c r="P167"/>
  <c r="Q167" s="1"/>
  <c r="O167"/>
  <c r="R167" s="1"/>
  <c r="P31"/>
  <c r="Q31" s="1"/>
  <c r="O245"/>
  <c r="R245" s="1"/>
  <c r="P212"/>
  <c r="Q212" s="1"/>
  <c r="O65"/>
  <c r="R65" s="1"/>
  <c r="N84"/>
  <c r="N239"/>
  <c r="O116"/>
  <c r="R116" s="1"/>
  <c r="P52"/>
  <c r="Q52" s="1"/>
  <c r="M149"/>
  <c r="N149" s="1"/>
  <c r="M42"/>
  <c r="P42" s="1"/>
  <c r="Q42" s="1"/>
  <c r="N155"/>
  <c r="M64"/>
  <c r="P64" s="1"/>
  <c r="Q64" s="1"/>
  <c r="M96"/>
  <c r="P155"/>
  <c r="Q155" s="1"/>
  <c r="M281"/>
  <c r="P281" s="1"/>
  <c r="Q281" s="1"/>
  <c r="M135"/>
  <c r="O135" s="1"/>
  <c r="R135" s="1"/>
  <c r="O155"/>
  <c r="R155" s="1"/>
  <c r="D85"/>
  <c r="D60"/>
  <c r="E84" s="1"/>
  <c r="M34"/>
  <c r="P311"/>
  <c r="Q311" s="1"/>
  <c r="O311"/>
  <c r="R311" s="1"/>
  <c r="M312"/>
  <c r="P13"/>
  <c r="Q13" s="1"/>
  <c r="O13"/>
  <c r="R13" s="1"/>
  <c r="R20" s="1"/>
  <c r="U7" s="1"/>
  <c r="B107" s="1"/>
  <c r="N13"/>
  <c r="M293"/>
  <c r="M46"/>
  <c r="N245"/>
  <c r="N212"/>
  <c r="N102"/>
  <c r="N122"/>
  <c r="D74"/>
  <c r="M43"/>
  <c r="P43" s="1"/>
  <c r="Q43" s="1"/>
  <c r="M95"/>
  <c r="O84"/>
  <c r="R84" s="1"/>
  <c r="M132"/>
  <c r="M44"/>
  <c r="M45"/>
  <c r="N45" s="1"/>
  <c r="M97"/>
  <c r="M294"/>
  <c r="M297" s="1"/>
  <c r="O297" s="1"/>
  <c r="R297" s="1"/>
  <c r="O277"/>
  <c r="R277" s="1"/>
  <c r="M98"/>
  <c r="M118"/>
  <c r="M67"/>
  <c r="M280"/>
  <c r="M99"/>
  <c r="K10" i="277" s="1"/>
  <c r="M170" i="273"/>
  <c r="M35"/>
  <c r="M36"/>
  <c r="M279"/>
  <c r="M29"/>
  <c r="K23" i="275"/>
  <c r="K30" s="1"/>
  <c r="R21" s="1"/>
  <c r="O299" i="273"/>
  <c r="R299" s="1"/>
  <c r="M302"/>
  <c r="N249"/>
  <c r="O32"/>
  <c r="R32" s="1"/>
  <c r="P106"/>
  <c r="Q106" s="1"/>
  <c r="P102"/>
  <c r="Q102" s="1"/>
  <c r="O113"/>
  <c r="R113" s="1"/>
  <c r="N78"/>
  <c r="O59"/>
  <c r="R59" s="1"/>
  <c r="P59"/>
  <c r="Q59" s="1"/>
  <c r="O106"/>
  <c r="O209"/>
  <c r="R209" s="1"/>
  <c r="N299"/>
  <c r="N48"/>
  <c r="P299"/>
  <c r="Q299" s="1"/>
  <c r="P168"/>
  <c r="Q168" s="1"/>
  <c r="N168"/>
  <c r="O77"/>
  <c r="R77" s="1"/>
  <c r="O239"/>
  <c r="R239" s="1"/>
  <c r="O48"/>
  <c r="R48" s="1"/>
  <c r="N77"/>
  <c r="N242"/>
  <c r="O242"/>
  <c r="R242" s="1"/>
  <c r="P122"/>
  <c r="Q122" s="1"/>
  <c r="M21" i="275"/>
  <c r="O137" i="273"/>
  <c r="R137" s="1"/>
  <c r="N137"/>
  <c r="N113"/>
  <c r="O141"/>
  <c r="R141" s="1"/>
  <c r="N141"/>
  <c r="P116"/>
  <c r="Q116" s="1"/>
  <c r="I63" i="275"/>
  <c r="P63" s="1"/>
  <c r="I75"/>
  <c r="P75" s="1"/>
  <c r="I73"/>
  <c r="P73" s="1"/>
  <c r="I74"/>
  <c r="P74" s="1"/>
  <c r="H73"/>
  <c r="O73" s="1"/>
  <c r="H76"/>
  <c r="O76" s="1"/>
  <c r="H74"/>
  <c r="O74" s="1"/>
  <c r="H75"/>
  <c r="O75" s="1"/>
  <c r="I44"/>
  <c r="P44" s="1"/>
  <c r="I50"/>
  <c r="P50" s="1"/>
  <c r="I43"/>
  <c r="P43" s="1"/>
  <c r="H41"/>
  <c r="O41" s="1"/>
  <c r="H40"/>
  <c r="O40" s="1"/>
  <c r="K31"/>
  <c r="R24" s="1"/>
  <c r="J24"/>
  <c r="J28" s="1"/>
  <c r="L30"/>
  <c r="S23" s="1"/>
  <c r="J30"/>
  <c r="L24"/>
  <c r="L31" s="1"/>
  <c r="S24" s="1"/>
  <c r="J27"/>
  <c r="M22"/>
  <c r="P51" i="273"/>
  <c r="Q51" s="1"/>
  <c r="N51"/>
  <c r="O51"/>
  <c r="R51" s="1"/>
  <c r="P224"/>
  <c r="Q224" s="1"/>
  <c r="N224"/>
  <c r="M230"/>
  <c r="O224"/>
  <c r="R224" s="1"/>
  <c r="N228"/>
  <c r="P228"/>
  <c r="Q228" s="1"/>
  <c r="P243"/>
  <c r="Q243" s="1"/>
  <c r="N243"/>
  <c r="P249"/>
  <c r="Q249" s="1"/>
  <c r="P229"/>
  <c r="Q229" s="1"/>
  <c r="O229"/>
  <c r="R229" s="1"/>
  <c r="N229"/>
  <c r="O250"/>
  <c r="R250" s="1"/>
  <c r="N250"/>
  <c r="P250"/>
  <c r="Q250" s="1"/>
  <c r="N204"/>
  <c r="M205"/>
  <c r="P204"/>
  <c r="Q204" s="1"/>
  <c r="O204"/>
  <c r="R204" s="1"/>
  <c r="M214"/>
  <c r="N213"/>
  <c r="P213"/>
  <c r="Q213" s="1"/>
  <c r="O213"/>
  <c r="R213" s="1"/>
  <c r="D17" i="256"/>
  <c r="D16"/>
  <c r="B18"/>
  <c r="D8" i="269"/>
  <c r="B21" s="1"/>
  <c r="J21" s="1"/>
  <c r="B15"/>
  <c r="D13"/>
  <c r="U13"/>
  <c r="H33"/>
  <c r="J33" s="1"/>
  <c r="T15"/>
  <c r="H32"/>
  <c r="C15"/>
  <c r="U15"/>
  <c r="S15"/>
  <c r="B98" i="362" l="1"/>
  <c r="A99"/>
  <c r="P189" i="273"/>
  <c r="Q189" s="1"/>
  <c r="O189"/>
  <c r="R189" s="1"/>
  <c r="P63"/>
  <c r="Q63" s="1"/>
  <c r="D15" i="269"/>
  <c r="N192" i="273"/>
  <c r="P192"/>
  <c r="Q192" s="1"/>
  <c r="N9" i="269"/>
  <c r="P9" s="1"/>
  <c r="R106" i="273"/>
  <c r="L17" i="277"/>
  <c r="O6" s="1"/>
  <c r="R101" i="273"/>
  <c r="L12" i="277"/>
  <c r="R102" i="273"/>
  <c r="L13" i="277"/>
  <c r="R104" i="273"/>
  <c r="L15" i="277"/>
  <c r="N97" i="273"/>
  <c r="K8" i="277"/>
  <c r="R105" i="273"/>
  <c r="L16" i="277"/>
  <c r="O98" i="273"/>
  <c r="K9" i="277"/>
  <c r="P95" i="273"/>
  <c r="Q95" s="1"/>
  <c r="K6" i="277"/>
  <c r="O100" i="273"/>
  <c r="K11" i="277"/>
  <c r="N96" i="273"/>
  <c r="K7" i="277"/>
  <c r="R103" i="273"/>
  <c r="L14" i="277"/>
  <c r="W34" i="282"/>
  <c r="E43"/>
  <c r="D43"/>
  <c r="C40"/>
  <c r="E40"/>
  <c r="D41"/>
  <c r="E41"/>
  <c r="D40"/>
  <c r="F43"/>
  <c r="F41"/>
  <c r="D45"/>
  <c r="D50" s="1"/>
  <c r="E45"/>
  <c r="C43"/>
  <c r="F42"/>
  <c r="D42"/>
  <c r="C45"/>
  <c r="E44"/>
  <c r="F44"/>
  <c r="C41"/>
  <c r="F45"/>
  <c r="C44"/>
  <c r="E42"/>
  <c r="W36"/>
  <c r="W33"/>
  <c r="W32"/>
  <c r="W30"/>
  <c r="W37"/>
  <c r="G19" i="278"/>
  <c r="H17"/>
  <c r="H19"/>
  <c r="K18"/>
  <c r="A23" s="1"/>
  <c r="J19"/>
  <c r="J17"/>
  <c r="I19"/>
  <c r="G17"/>
  <c r="I17"/>
  <c r="E20"/>
  <c r="N80" i="273"/>
  <c r="O80"/>
  <c r="R80" s="1"/>
  <c r="N266"/>
  <c r="O63"/>
  <c r="R63" s="1"/>
  <c r="N297"/>
  <c r="P264"/>
  <c r="Q264" s="1"/>
  <c r="E47"/>
  <c r="N301"/>
  <c r="E49"/>
  <c r="O30"/>
  <c r="R30" s="1"/>
  <c r="E50"/>
  <c r="O81"/>
  <c r="R81" s="1"/>
  <c r="N86"/>
  <c r="N206"/>
  <c r="O206"/>
  <c r="R206" s="1"/>
  <c r="N303"/>
  <c r="O149"/>
  <c r="R149" s="1"/>
  <c r="P62"/>
  <c r="Q62" s="1"/>
  <c r="M267"/>
  <c r="N267" s="1"/>
  <c r="M207"/>
  <c r="N207" s="1"/>
  <c r="N62"/>
  <c r="N87"/>
  <c r="P266"/>
  <c r="Q266" s="1"/>
  <c r="O278"/>
  <c r="R278" s="1"/>
  <c r="N283"/>
  <c r="N211"/>
  <c r="P149"/>
  <c r="Q149" s="1"/>
  <c r="P297"/>
  <c r="Q297" s="1"/>
  <c r="O86"/>
  <c r="R86" s="1"/>
  <c r="N257"/>
  <c r="P100"/>
  <c r="Q100" s="1"/>
  <c r="M304"/>
  <c r="N304" s="1"/>
  <c r="P211"/>
  <c r="Q211" s="1"/>
  <c r="N100"/>
  <c r="N81"/>
  <c r="P283"/>
  <c r="Q283" s="1"/>
  <c r="P53"/>
  <c r="Q53" s="1"/>
  <c r="N134"/>
  <c r="O87"/>
  <c r="R87" s="1"/>
  <c r="N30"/>
  <c r="N157"/>
  <c r="P248"/>
  <c r="Q248" s="1"/>
  <c r="P232"/>
  <c r="Q232" s="1"/>
  <c r="P282"/>
  <c r="Q282" s="1"/>
  <c r="N140"/>
  <c r="N282"/>
  <c r="O140"/>
  <c r="R140" s="1"/>
  <c r="N260"/>
  <c r="N28"/>
  <c r="O260"/>
  <c r="R260" s="1"/>
  <c r="M261"/>
  <c r="O261" s="1"/>
  <c r="R261" s="1"/>
  <c r="P28"/>
  <c r="Q28" s="1"/>
  <c r="M284"/>
  <c r="P278"/>
  <c r="Q278" s="1"/>
  <c r="N294"/>
  <c r="N135"/>
  <c r="M259"/>
  <c r="P259" s="1"/>
  <c r="Q259" s="1"/>
  <c r="M158"/>
  <c r="N158" s="1"/>
  <c r="P294"/>
  <c r="Q294" s="1"/>
  <c r="O257"/>
  <c r="R257" s="1"/>
  <c r="N258"/>
  <c r="O294"/>
  <c r="R294" s="1"/>
  <c r="P157"/>
  <c r="Q157" s="1"/>
  <c r="K28" i="275"/>
  <c r="M23"/>
  <c r="P257" i="273"/>
  <c r="Q257" s="1"/>
  <c r="P258"/>
  <c r="Q258" s="1"/>
  <c r="O47"/>
  <c r="R47" s="1"/>
  <c r="O265"/>
  <c r="R265" s="1"/>
  <c r="P265"/>
  <c r="Q265" s="1"/>
  <c r="N136"/>
  <c r="P124"/>
  <c r="Q124" s="1"/>
  <c r="N47"/>
  <c r="N42"/>
  <c r="N53"/>
  <c r="O134"/>
  <c r="R134" s="1"/>
  <c r="P303"/>
  <c r="Q303" s="1"/>
  <c r="M150"/>
  <c r="P150" s="1"/>
  <c r="Q150" s="1"/>
  <c r="N264"/>
  <c r="O264"/>
  <c r="R264" s="1"/>
  <c r="M298"/>
  <c r="N298" s="1"/>
  <c r="P136"/>
  <c r="Q136" s="1"/>
  <c r="N64"/>
  <c r="N70"/>
  <c r="P295"/>
  <c r="Q295" s="1"/>
  <c r="O95"/>
  <c r="O43"/>
  <c r="R43" s="1"/>
  <c r="N295"/>
  <c r="O124"/>
  <c r="R124" s="1"/>
  <c r="N150"/>
  <c r="P139"/>
  <c r="Q139" s="1"/>
  <c r="N61"/>
  <c r="O61"/>
  <c r="R61" s="1"/>
  <c r="O248"/>
  <c r="R248" s="1"/>
  <c r="O133"/>
  <c r="R133" s="1"/>
  <c r="O301"/>
  <c r="R301" s="1"/>
  <c r="O142"/>
  <c r="R142" s="1"/>
  <c r="N139"/>
  <c r="P88"/>
  <c r="Q88" s="1"/>
  <c r="P82"/>
  <c r="Q82" s="1"/>
  <c r="N82"/>
  <c r="O82"/>
  <c r="R82" s="1"/>
  <c r="N142"/>
  <c r="O88"/>
  <c r="R88" s="1"/>
  <c r="N232"/>
  <c r="N133"/>
  <c r="P97"/>
  <c r="Q97" s="1"/>
  <c r="P70"/>
  <c r="Q70" s="1"/>
  <c r="P61"/>
  <c r="Q61" s="1"/>
  <c r="P99"/>
  <c r="Q99" s="1"/>
  <c r="O99"/>
  <c r="N99"/>
  <c r="P293"/>
  <c r="Q293" s="1"/>
  <c r="M296"/>
  <c r="O293"/>
  <c r="R293" s="1"/>
  <c r="N293"/>
  <c r="E66"/>
  <c r="E57"/>
  <c r="E68"/>
  <c r="E63"/>
  <c r="E64"/>
  <c r="E59"/>
  <c r="E67"/>
  <c r="E58"/>
  <c r="E73"/>
  <c r="E78"/>
  <c r="M193"/>
  <c r="N187"/>
  <c r="P187"/>
  <c r="Q187" s="1"/>
  <c r="O187"/>
  <c r="R187" s="1"/>
  <c r="M196"/>
  <c r="M190"/>
  <c r="O131"/>
  <c r="R131" s="1"/>
  <c r="P131"/>
  <c r="Q131" s="1"/>
  <c r="P27"/>
  <c r="Q27" s="1"/>
  <c r="N27"/>
  <c r="O27"/>
  <c r="R27" s="1"/>
  <c r="N98"/>
  <c r="E55"/>
  <c r="E77"/>
  <c r="O36"/>
  <c r="R36" s="1"/>
  <c r="P36"/>
  <c r="Q36" s="1"/>
  <c r="N36"/>
  <c r="M286"/>
  <c r="O280"/>
  <c r="R280" s="1"/>
  <c r="N280"/>
  <c r="P280"/>
  <c r="Q280" s="1"/>
  <c r="E56"/>
  <c r="P173"/>
  <c r="Q173" s="1"/>
  <c r="O173"/>
  <c r="R173" s="1"/>
  <c r="M174"/>
  <c r="N173"/>
  <c r="P115"/>
  <c r="Q115" s="1"/>
  <c r="N115"/>
  <c r="O115"/>
  <c r="R115" s="1"/>
  <c r="N169"/>
  <c r="P169"/>
  <c r="Q169" s="1"/>
  <c r="O169"/>
  <c r="R169" s="1"/>
  <c r="P241"/>
  <c r="Q241" s="1"/>
  <c r="M244"/>
  <c r="O241"/>
  <c r="R241" s="1"/>
  <c r="N241"/>
  <c r="O97"/>
  <c r="O42"/>
  <c r="R42" s="1"/>
  <c r="N95"/>
  <c r="P135"/>
  <c r="Q135" s="1"/>
  <c r="E54"/>
  <c r="N131"/>
  <c r="E65"/>
  <c r="E82"/>
  <c r="O64"/>
  <c r="R64" s="1"/>
  <c r="O35"/>
  <c r="R35" s="1"/>
  <c r="P35"/>
  <c r="Q35" s="1"/>
  <c r="N35"/>
  <c r="P67"/>
  <c r="Q67" s="1"/>
  <c r="O67"/>
  <c r="R67" s="1"/>
  <c r="N67"/>
  <c r="O44"/>
  <c r="R44" s="1"/>
  <c r="N44"/>
  <c r="P44"/>
  <c r="Q44" s="1"/>
  <c r="O96"/>
  <c r="P96"/>
  <c r="Q96" s="1"/>
  <c r="P279"/>
  <c r="Q279" s="1"/>
  <c r="N279"/>
  <c r="M285"/>
  <c r="O279"/>
  <c r="R279" s="1"/>
  <c r="O312"/>
  <c r="R312" s="1"/>
  <c r="M313"/>
  <c r="N312"/>
  <c r="P312"/>
  <c r="Q312" s="1"/>
  <c r="N281"/>
  <c r="O281"/>
  <c r="R281" s="1"/>
  <c r="O45"/>
  <c r="R45" s="1"/>
  <c r="P45"/>
  <c r="Q45" s="1"/>
  <c r="P98"/>
  <c r="Q98" s="1"/>
  <c r="N43"/>
  <c r="E83"/>
  <c r="N29"/>
  <c r="O29"/>
  <c r="R29" s="1"/>
  <c r="P29"/>
  <c r="Q29" s="1"/>
  <c r="P170"/>
  <c r="Q170" s="1"/>
  <c r="O170"/>
  <c r="R170" s="1"/>
  <c r="M171"/>
  <c r="M176"/>
  <c r="N170"/>
  <c r="P118"/>
  <c r="Q118" s="1"/>
  <c r="N118"/>
  <c r="O118"/>
  <c r="R118" s="1"/>
  <c r="P132"/>
  <c r="Q132" s="1"/>
  <c r="O132"/>
  <c r="R132" s="1"/>
  <c r="N132"/>
  <c r="E72"/>
  <c r="P46"/>
  <c r="Q46" s="1"/>
  <c r="O46"/>
  <c r="R46" s="1"/>
  <c r="N46"/>
  <c r="N34"/>
  <c r="O34"/>
  <c r="R34" s="1"/>
  <c r="P34"/>
  <c r="Q34" s="1"/>
  <c r="N121"/>
  <c r="P121"/>
  <c r="Q121" s="1"/>
  <c r="O121"/>
  <c r="R121" s="1"/>
  <c r="K25" i="275"/>
  <c r="R23"/>
  <c r="O302" i="273"/>
  <c r="R302" s="1"/>
  <c r="P302"/>
  <c r="Q302" s="1"/>
  <c r="N302"/>
  <c r="N265"/>
  <c r="J25" i="275"/>
  <c r="I99"/>
  <c r="P99" s="1"/>
  <c r="H101"/>
  <c r="O101" s="1"/>
  <c r="H102"/>
  <c r="O102" s="1"/>
  <c r="I100"/>
  <c r="P100" s="1"/>
  <c r="I101"/>
  <c r="P101" s="1"/>
  <c r="H100"/>
  <c r="O100" s="1"/>
  <c r="H99"/>
  <c r="O99" s="1"/>
  <c r="I88"/>
  <c r="P88" s="1"/>
  <c r="H66"/>
  <c r="O66" s="1"/>
  <c r="I69"/>
  <c r="P69" s="1"/>
  <c r="I57"/>
  <c r="P57" s="1"/>
  <c r="H88"/>
  <c r="O88" s="1"/>
  <c r="H89"/>
  <c r="O89" s="1"/>
  <c r="I87"/>
  <c r="P87" s="1"/>
  <c r="S28"/>
  <c r="H67"/>
  <c r="O67" s="1"/>
  <c r="H87"/>
  <c r="O87" s="1"/>
  <c r="H86"/>
  <c r="O86" s="1"/>
  <c r="I76"/>
  <c r="P76" s="1"/>
  <c r="I86"/>
  <c r="P86" s="1"/>
  <c r="R22"/>
  <c r="H53"/>
  <c r="O53" s="1"/>
  <c r="I56"/>
  <c r="P56" s="1"/>
  <c r="H54"/>
  <c r="O54" s="1"/>
  <c r="S22"/>
  <c r="J31"/>
  <c r="Q24" s="1"/>
  <c r="L25"/>
  <c r="S21"/>
  <c r="M24"/>
  <c r="L28"/>
  <c r="Q23"/>
  <c r="Q21"/>
  <c r="N230" i="273"/>
  <c r="P230"/>
  <c r="Q230" s="1"/>
  <c r="O230"/>
  <c r="R230" s="1"/>
  <c r="R233" s="1"/>
  <c r="U220" s="1"/>
  <c r="P205"/>
  <c r="Q205" s="1"/>
  <c r="O205"/>
  <c r="R205" s="1"/>
  <c r="N205"/>
  <c r="O214"/>
  <c r="R214" s="1"/>
  <c r="P214"/>
  <c r="Q214" s="1"/>
  <c r="N214"/>
  <c r="D18" i="256"/>
  <c r="K21" i="269"/>
  <c r="K31"/>
  <c r="C20"/>
  <c r="J22" s="1"/>
  <c r="B20"/>
  <c r="C21"/>
  <c r="J32"/>
  <c r="N7"/>
  <c r="P7" s="1"/>
  <c r="H34"/>
  <c r="I32" s="1"/>
  <c r="N8"/>
  <c r="P8" s="1"/>
  <c r="C95" i="256"/>
  <c r="C91"/>
  <c r="J80"/>
  <c r="K80" s="1"/>
  <c r="I80"/>
  <c r="J79"/>
  <c r="K79" s="1"/>
  <c r="I79"/>
  <c r="J78"/>
  <c r="K78" s="1"/>
  <c r="I78"/>
  <c r="F78"/>
  <c r="F79" s="1"/>
  <c r="F80" s="1"/>
  <c r="J77"/>
  <c r="K77" s="1"/>
  <c r="I77"/>
  <c r="I63"/>
  <c r="I62"/>
  <c r="I61"/>
  <c r="F61"/>
  <c r="F62" s="1"/>
  <c r="F63" s="1"/>
  <c r="I60"/>
  <c r="I46"/>
  <c r="I45"/>
  <c r="I44"/>
  <c r="F44"/>
  <c r="F45" s="1"/>
  <c r="F46" s="1"/>
  <c r="I43"/>
  <c r="I29"/>
  <c r="I28"/>
  <c r="I27"/>
  <c r="F27"/>
  <c r="F28" s="1"/>
  <c r="F29" s="1"/>
  <c r="I26"/>
  <c r="S11"/>
  <c r="R11"/>
  <c r="X10"/>
  <c r="W10"/>
  <c r="T10"/>
  <c r="Q10"/>
  <c r="T9"/>
  <c r="Q9"/>
  <c r="S8"/>
  <c r="R8"/>
  <c r="Y84"/>
  <c r="Y83"/>
  <c r="S80"/>
  <c r="R80"/>
  <c r="X79"/>
  <c r="W79"/>
  <c r="T79"/>
  <c r="Q79"/>
  <c r="T78"/>
  <c r="Q78"/>
  <c r="S77"/>
  <c r="R77"/>
  <c r="B85" a="1"/>
  <c r="B85" s="1"/>
  <c r="S63"/>
  <c r="R63"/>
  <c r="Y66"/>
  <c r="X62"/>
  <c r="W62"/>
  <c r="T62"/>
  <c r="Q62"/>
  <c r="T61"/>
  <c r="Q61"/>
  <c r="S60"/>
  <c r="R60"/>
  <c r="S46"/>
  <c r="R46"/>
  <c r="Y45"/>
  <c r="Y50" s="1"/>
  <c r="X45"/>
  <c r="W45"/>
  <c r="T45"/>
  <c r="Q45"/>
  <c r="T44"/>
  <c r="Q44"/>
  <c r="B52"/>
  <c r="J44" s="1"/>
  <c r="K44" s="1"/>
  <c r="S43"/>
  <c r="R43"/>
  <c r="Y28"/>
  <c r="C92" s="1"/>
  <c r="S29"/>
  <c r="R29"/>
  <c r="X28"/>
  <c r="W28"/>
  <c r="T28"/>
  <c r="Q28"/>
  <c r="T27"/>
  <c r="Q27"/>
  <c r="S26"/>
  <c r="R26"/>
  <c r="C34"/>
  <c r="J28" s="1"/>
  <c r="K28" s="1"/>
  <c r="B34"/>
  <c r="J26" s="1"/>
  <c r="K26" s="1"/>
  <c r="I11"/>
  <c r="I10"/>
  <c r="I9"/>
  <c r="I8"/>
  <c r="F9"/>
  <c r="F10" s="1"/>
  <c r="F11" s="1"/>
  <c r="O39" i="255"/>
  <c r="X39" s="1"/>
  <c r="N39"/>
  <c r="W39" s="1"/>
  <c r="N40"/>
  <c r="O40"/>
  <c r="M40"/>
  <c r="L40"/>
  <c r="K40"/>
  <c r="T40" s="1"/>
  <c r="J40"/>
  <c r="M39"/>
  <c r="M41" s="1"/>
  <c r="V41" s="1"/>
  <c r="L39"/>
  <c r="L41" s="1"/>
  <c r="U41" s="1"/>
  <c r="K39"/>
  <c r="K41" s="1"/>
  <c r="T41" s="1"/>
  <c r="J39"/>
  <c r="J41" s="1"/>
  <c r="S41" s="1"/>
  <c r="K7"/>
  <c r="J7"/>
  <c r="I7"/>
  <c r="P7" s="1"/>
  <c r="H7"/>
  <c r="K6"/>
  <c r="K8" s="1"/>
  <c r="R8" s="1"/>
  <c r="J6"/>
  <c r="J8" s="1"/>
  <c r="Q8" s="1"/>
  <c r="I6"/>
  <c r="I8" s="1"/>
  <c r="P8" s="1"/>
  <c r="H6"/>
  <c r="H8" s="1"/>
  <c r="O8" s="1"/>
  <c r="K29"/>
  <c r="R30" s="1"/>
  <c r="J29"/>
  <c r="Q30" s="1"/>
  <c r="I29"/>
  <c r="P30" s="1"/>
  <c r="H29"/>
  <c r="O30" s="1"/>
  <c r="K28"/>
  <c r="K30" s="1"/>
  <c r="J28"/>
  <c r="J30" s="1"/>
  <c r="I28"/>
  <c r="I30" s="1"/>
  <c r="H28"/>
  <c r="O28" s="1"/>
  <c r="K18"/>
  <c r="R19" s="1"/>
  <c r="D23" s="1"/>
  <c r="J18"/>
  <c r="Q19" s="1"/>
  <c r="C23" s="1"/>
  <c r="I18"/>
  <c r="P19" s="1"/>
  <c r="B23" s="1"/>
  <c r="H18"/>
  <c r="O19" s="1"/>
  <c r="A23" s="1"/>
  <c r="K17"/>
  <c r="K19" s="1"/>
  <c r="R18" s="1"/>
  <c r="J17"/>
  <c r="J19" s="1"/>
  <c r="Q18" s="1"/>
  <c r="I17"/>
  <c r="I19" s="1"/>
  <c r="P18" s="1"/>
  <c r="B22" s="1"/>
  <c r="H17"/>
  <c r="H19" s="1"/>
  <c r="O18" s="1"/>
  <c r="AL6" i="101"/>
  <c r="AK6"/>
  <c r="AL5"/>
  <c r="AK5"/>
  <c r="AK4"/>
  <c r="AD29"/>
  <c r="AE27"/>
  <c r="AE26"/>
  <c r="AD28"/>
  <c r="AD27"/>
  <c r="AD26"/>
  <c r="AE15"/>
  <c r="AD15"/>
  <c r="AE14"/>
  <c r="AD14"/>
  <c r="I17" i="253"/>
  <c r="I16"/>
  <c r="I15"/>
  <c r="I14"/>
  <c r="I7"/>
  <c r="I8"/>
  <c r="I9"/>
  <c r="I6"/>
  <c r="J9"/>
  <c r="K9" s="1"/>
  <c r="J8"/>
  <c r="K8" s="1"/>
  <c r="J7"/>
  <c r="K7" s="1"/>
  <c r="J6"/>
  <c r="K6" s="1"/>
  <c r="I13" i="80"/>
  <c r="H7"/>
  <c r="H6"/>
  <c r="H5"/>
  <c r="H4"/>
  <c r="F15" i="253"/>
  <c r="F16" s="1"/>
  <c r="F17" s="1"/>
  <c r="C8"/>
  <c r="B8"/>
  <c r="F7"/>
  <c r="F8" s="1"/>
  <c r="F9" s="1"/>
  <c r="D7"/>
  <c r="D6"/>
  <c r="AE5" i="101"/>
  <c r="AD5"/>
  <c r="AE4"/>
  <c r="AD4"/>
  <c r="R23" i="251"/>
  <c r="S23"/>
  <c r="T23"/>
  <c r="R24"/>
  <c r="S24"/>
  <c r="T24"/>
  <c r="R25"/>
  <c r="S25"/>
  <c r="T25"/>
  <c r="R26"/>
  <c r="S26"/>
  <c r="T26"/>
  <c r="R27"/>
  <c r="S27"/>
  <c r="T27"/>
  <c r="R28"/>
  <c r="S28"/>
  <c r="T28"/>
  <c r="R29"/>
  <c r="S29"/>
  <c r="T29"/>
  <c r="R30"/>
  <c r="S30"/>
  <c r="T30"/>
  <c r="R31"/>
  <c r="S31"/>
  <c r="T31"/>
  <c r="R32"/>
  <c r="S32"/>
  <c r="T32"/>
  <c r="S22"/>
  <c r="T22"/>
  <c r="R22"/>
  <c r="Q23"/>
  <c r="Q24" s="1"/>
  <c r="Q25" s="1"/>
  <c r="Q26" s="1"/>
  <c r="Q27" s="1"/>
  <c r="Q28" s="1"/>
  <c r="Q29" s="1"/>
  <c r="Q30" s="1"/>
  <c r="Q31" s="1"/>
  <c r="Q32" s="1"/>
  <c r="O20"/>
  <c r="M77" i="256" l="1"/>
  <c r="M78" s="1"/>
  <c r="B99" i="362"/>
  <c r="A100"/>
  <c r="O8" i="277"/>
  <c r="AK7" i="101"/>
  <c r="AK8" s="1"/>
  <c r="AF27"/>
  <c r="U40" i="255"/>
  <c r="C44" s="1"/>
  <c r="L44" s="1"/>
  <c r="AF4" i="101"/>
  <c r="V40" i="255"/>
  <c r="D44" s="1"/>
  <c r="M44" s="1"/>
  <c r="AD6" i="101"/>
  <c r="G42" i="282"/>
  <c r="AF14" i="101"/>
  <c r="G20" i="278"/>
  <c r="AL4" i="101"/>
  <c r="AL7" s="1"/>
  <c r="AL8" s="1"/>
  <c r="W40" i="255"/>
  <c r="E44" s="1"/>
  <c r="N44" s="1"/>
  <c r="O9" i="277"/>
  <c r="AF15" i="101"/>
  <c r="AF26"/>
  <c r="O7" i="255"/>
  <c r="A11" s="1"/>
  <c r="H11" s="1"/>
  <c r="S40"/>
  <c r="A44" s="1"/>
  <c r="J44" s="1"/>
  <c r="X40"/>
  <c r="F44" s="1"/>
  <c r="O44" s="1"/>
  <c r="R96" i="273"/>
  <c r="L7" i="277"/>
  <c r="N41" i="255"/>
  <c r="W41" s="1"/>
  <c r="C22" i="269"/>
  <c r="R97" i="273"/>
  <c r="L8" i="277"/>
  <c r="R99" i="273"/>
  <c r="L10" i="277"/>
  <c r="R100" i="273"/>
  <c r="L11" i="277"/>
  <c r="O7" s="1"/>
  <c r="R98" i="273"/>
  <c r="L9" i="277"/>
  <c r="R95" i="273"/>
  <c r="L6" i="277"/>
  <c r="O10"/>
  <c r="G41" i="282"/>
  <c r="E50"/>
  <c r="M45" s="1"/>
  <c r="G44"/>
  <c r="G45"/>
  <c r="G40"/>
  <c r="C50"/>
  <c r="K45" s="1"/>
  <c r="G43"/>
  <c r="L45"/>
  <c r="L44"/>
  <c r="F53"/>
  <c r="D49"/>
  <c r="E53"/>
  <c r="E46"/>
  <c r="E49"/>
  <c r="D53"/>
  <c r="D48"/>
  <c r="D46"/>
  <c r="D52"/>
  <c r="E52"/>
  <c r="F48"/>
  <c r="F52"/>
  <c r="F46"/>
  <c r="C49"/>
  <c r="C53"/>
  <c r="C48"/>
  <c r="C52"/>
  <c r="C46"/>
  <c r="F49"/>
  <c r="F50"/>
  <c r="E48"/>
  <c r="H20" i="278"/>
  <c r="K17"/>
  <c r="B22" s="1"/>
  <c r="B23"/>
  <c r="C23"/>
  <c r="D23"/>
  <c r="J20"/>
  <c r="I20"/>
  <c r="K19"/>
  <c r="A24" s="1"/>
  <c r="I33" i="269"/>
  <c r="S31" i="275"/>
  <c r="T21"/>
  <c r="D34" s="1"/>
  <c r="P298" i="273"/>
  <c r="Q298" s="1"/>
  <c r="P304"/>
  <c r="Q304" s="1"/>
  <c r="O267"/>
  <c r="R267" s="1"/>
  <c r="P261"/>
  <c r="Q261" s="1"/>
  <c r="M262"/>
  <c r="N262" s="1"/>
  <c r="O207"/>
  <c r="R207" s="1"/>
  <c r="P207"/>
  <c r="Q207" s="1"/>
  <c r="M208"/>
  <c r="P208" s="1"/>
  <c r="Q208" s="1"/>
  <c r="S30" i="275"/>
  <c r="M268" i="273"/>
  <c r="N268" s="1"/>
  <c r="P267"/>
  <c r="Q267" s="1"/>
  <c r="N261"/>
  <c r="R125"/>
  <c r="U112" s="1"/>
  <c r="B105" s="1"/>
  <c r="R89"/>
  <c r="U76" s="1"/>
  <c r="B104" s="1"/>
  <c r="C114" s="1"/>
  <c r="O150"/>
  <c r="R150" s="1"/>
  <c r="O304"/>
  <c r="R304" s="1"/>
  <c r="O158"/>
  <c r="R158" s="1"/>
  <c r="O259"/>
  <c r="R259" s="1"/>
  <c r="O298"/>
  <c r="R298" s="1"/>
  <c r="N284"/>
  <c r="P284"/>
  <c r="Q284" s="1"/>
  <c r="O284"/>
  <c r="R284" s="1"/>
  <c r="P158"/>
  <c r="Q158" s="1"/>
  <c r="M159"/>
  <c r="M160" s="1"/>
  <c r="M25" i="275"/>
  <c r="N259" i="273"/>
  <c r="R71"/>
  <c r="U58" s="1"/>
  <c r="B102" s="1"/>
  <c r="C132" s="1"/>
  <c r="M151"/>
  <c r="P151" s="1"/>
  <c r="Q151" s="1"/>
  <c r="R54"/>
  <c r="U41" s="1"/>
  <c r="B100" s="1"/>
  <c r="R37"/>
  <c r="U24" s="1"/>
  <c r="R25" i="275"/>
  <c r="R30"/>
  <c r="R143" i="273"/>
  <c r="U130" s="1"/>
  <c r="U133" s="1"/>
  <c r="P285"/>
  <c r="Q285" s="1"/>
  <c r="N285"/>
  <c r="O285"/>
  <c r="R285" s="1"/>
  <c r="P244"/>
  <c r="Q244" s="1"/>
  <c r="N244"/>
  <c r="O244"/>
  <c r="R244" s="1"/>
  <c r="R251" s="1"/>
  <c r="U238" s="1"/>
  <c r="P286"/>
  <c r="Q286" s="1"/>
  <c r="N286"/>
  <c r="O286"/>
  <c r="R286" s="1"/>
  <c r="N190"/>
  <c r="P190"/>
  <c r="Q190" s="1"/>
  <c r="O190"/>
  <c r="R190" s="1"/>
  <c r="T24" i="275"/>
  <c r="C37" s="1"/>
  <c r="Q22"/>
  <c r="R28"/>
  <c r="M177" i="273"/>
  <c r="O176"/>
  <c r="R176" s="1"/>
  <c r="P176"/>
  <c r="Q176" s="1"/>
  <c r="N176"/>
  <c r="M314"/>
  <c r="N313"/>
  <c r="O313"/>
  <c r="R313" s="1"/>
  <c r="P313"/>
  <c r="Q313" s="1"/>
  <c r="N174"/>
  <c r="P174"/>
  <c r="Q174" s="1"/>
  <c r="M175"/>
  <c r="O174"/>
  <c r="R174" s="1"/>
  <c r="N196"/>
  <c r="P196"/>
  <c r="Q196" s="1"/>
  <c r="O196"/>
  <c r="R196" s="1"/>
  <c r="P193"/>
  <c r="Q193" s="1"/>
  <c r="O193"/>
  <c r="R193" s="1"/>
  <c r="N193"/>
  <c r="N171"/>
  <c r="P171"/>
  <c r="Q171" s="1"/>
  <c r="M172"/>
  <c r="O171"/>
  <c r="R171" s="1"/>
  <c r="P296"/>
  <c r="Q296" s="1"/>
  <c r="O296"/>
  <c r="R296" s="1"/>
  <c r="N296"/>
  <c r="R31" i="275"/>
  <c r="I102"/>
  <c r="P102" s="1"/>
  <c r="H112"/>
  <c r="O112" s="1"/>
  <c r="I114"/>
  <c r="P114" s="1"/>
  <c r="H115"/>
  <c r="O115" s="1"/>
  <c r="I112"/>
  <c r="P112" s="1"/>
  <c r="H113"/>
  <c r="O113" s="1"/>
  <c r="I113"/>
  <c r="P113" s="1"/>
  <c r="H114"/>
  <c r="O114" s="1"/>
  <c r="S27"/>
  <c r="I70"/>
  <c r="P70" s="1"/>
  <c r="H79"/>
  <c r="O79" s="1"/>
  <c r="I82"/>
  <c r="P82" s="1"/>
  <c r="H80"/>
  <c r="O80" s="1"/>
  <c r="I89"/>
  <c r="P89" s="1"/>
  <c r="R27"/>
  <c r="Q30"/>
  <c r="S25"/>
  <c r="T23"/>
  <c r="E36" s="1"/>
  <c r="Q28"/>
  <c r="U223" i="273"/>
  <c r="B98"/>
  <c r="C93" i="256"/>
  <c r="M31" i="269"/>
  <c r="P31" s="1"/>
  <c r="L31"/>
  <c r="N31"/>
  <c r="O31" s="1"/>
  <c r="I31"/>
  <c r="I30"/>
  <c r="J23"/>
  <c r="D21"/>
  <c r="B22"/>
  <c r="J20"/>
  <c r="K22"/>
  <c r="K32"/>
  <c r="D20"/>
  <c r="B35" i="256"/>
  <c r="Y10"/>
  <c r="C51"/>
  <c r="J45" s="1"/>
  <c r="K45" s="1"/>
  <c r="C52"/>
  <c r="T63"/>
  <c r="V62" s="1"/>
  <c r="C86"/>
  <c r="T80"/>
  <c r="V79" s="1"/>
  <c r="B51"/>
  <c r="J43" s="1"/>
  <c r="K43" s="1"/>
  <c r="B86"/>
  <c r="T11"/>
  <c r="V10" s="1"/>
  <c r="C85"/>
  <c r="Y67"/>
  <c r="J10"/>
  <c r="K10" s="1"/>
  <c r="C35"/>
  <c r="T46"/>
  <c r="V45" s="1"/>
  <c r="Y49"/>
  <c r="Y33"/>
  <c r="Y32"/>
  <c r="T29"/>
  <c r="V28" s="1"/>
  <c r="D34"/>
  <c r="O41" i="255"/>
  <c r="X41" s="1"/>
  <c r="B45"/>
  <c r="B44"/>
  <c r="K44" s="1"/>
  <c r="S39"/>
  <c r="T39"/>
  <c r="U39"/>
  <c r="V39"/>
  <c r="O29"/>
  <c r="A33" s="1"/>
  <c r="C22"/>
  <c r="R29"/>
  <c r="D33" s="1"/>
  <c r="D22"/>
  <c r="K22" s="1"/>
  <c r="Q29"/>
  <c r="Q7"/>
  <c r="C12" s="1"/>
  <c r="J12" s="1"/>
  <c r="Q12" s="1"/>
  <c r="A22"/>
  <c r="H22" s="1"/>
  <c r="P29"/>
  <c r="B33" s="1"/>
  <c r="R7"/>
  <c r="D11" s="1"/>
  <c r="K11" s="1"/>
  <c r="B12"/>
  <c r="B11"/>
  <c r="I11" s="1"/>
  <c r="O6"/>
  <c r="P6"/>
  <c r="B10" s="1"/>
  <c r="I10" s="1"/>
  <c r="Q6"/>
  <c r="R6"/>
  <c r="H30"/>
  <c r="Q28"/>
  <c r="P28"/>
  <c r="R28"/>
  <c r="J23"/>
  <c r="Q23" s="1"/>
  <c r="I22"/>
  <c r="O17"/>
  <c r="A21" s="1"/>
  <c r="P17"/>
  <c r="B21" s="1"/>
  <c r="Q17"/>
  <c r="C21" s="1"/>
  <c r="R17"/>
  <c r="D21" s="1"/>
  <c r="AF5" i="101"/>
  <c r="D8" i="253"/>
  <c r="C14" s="1"/>
  <c r="J16" s="1"/>
  <c r="N6"/>
  <c r="G43" i="252"/>
  <c r="F43"/>
  <c r="V81" s="1"/>
  <c r="G42"/>
  <c r="F42"/>
  <c r="V80" s="1"/>
  <c r="G41"/>
  <c r="F41"/>
  <c r="V79" s="1"/>
  <c r="G40"/>
  <c r="F40"/>
  <c r="V78" s="1"/>
  <c r="G39"/>
  <c r="F39"/>
  <c r="V77" s="1"/>
  <c r="G38"/>
  <c r="F38"/>
  <c r="V76" s="1"/>
  <c r="G37"/>
  <c r="F37"/>
  <c r="V75" s="1"/>
  <c r="G36"/>
  <c r="F36"/>
  <c r="V74" s="1"/>
  <c r="G35"/>
  <c r="F35"/>
  <c r="V73" s="1"/>
  <c r="G34"/>
  <c r="F34"/>
  <c r="G33"/>
  <c r="F33"/>
  <c r="V71" s="1"/>
  <c r="G32"/>
  <c r="F32"/>
  <c r="V70" s="1"/>
  <c r="G31"/>
  <c r="F31"/>
  <c r="V69" s="1"/>
  <c r="G30"/>
  <c r="F30"/>
  <c r="V68" s="1"/>
  <c r="E30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I47" s="1"/>
  <c r="G29"/>
  <c r="F29"/>
  <c r="F18"/>
  <c r="S79" s="1"/>
  <c r="G18"/>
  <c r="F19"/>
  <c r="S80" s="1"/>
  <c r="G19"/>
  <c r="F20"/>
  <c r="S81" s="1"/>
  <c r="G20"/>
  <c r="F7"/>
  <c r="S68" s="1"/>
  <c r="G7"/>
  <c r="F8"/>
  <c r="S69" s="1"/>
  <c r="G8"/>
  <c r="F9"/>
  <c r="S70" s="1"/>
  <c r="G9"/>
  <c r="F10"/>
  <c r="S71" s="1"/>
  <c r="G10"/>
  <c r="F11"/>
  <c r="S72" s="1"/>
  <c r="G11"/>
  <c r="F12"/>
  <c r="S73" s="1"/>
  <c r="G12"/>
  <c r="F13"/>
  <c r="S74" s="1"/>
  <c r="G13"/>
  <c r="F14"/>
  <c r="S75" s="1"/>
  <c r="G14"/>
  <c r="F15"/>
  <c r="S76" s="1"/>
  <c r="G15"/>
  <c r="F16"/>
  <c r="S77" s="1"/>
  <c r="G16"/>
  <c r="F17"/>
  <c r="S78" s="1"/>
  <c r="G17"/>
  <c r="G6"/>
  <c r="F6"/>
  <c r="E7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I24" s="1"/>
  <c r="O18" i="251"/>
  <c r="I14"/>
  <c r="G14"/>
  <c r="F14"/>
  <c r="I13"/>
  <c r="G13"/>
  <c r="F13"/>
  <c r="I12"/>
  <c r="G12"/>
  <c r="F12"/>
  <c r="I11"/>
  <c r="G11"/>
  <c r="F11"/>
  <c r="I10"/>
  <c r="G10"/>
  <c r="F10"/>
  <c r="I9"/>
  <c r="G9"/>
  <c r="F9"/>
  <c r="I8"/>
  <c r="G8"/>
  <c r="F8"/>
  <c r="I7"/>
  <c r="G7"/>
  <c r="F7"/>
  <c r="I6"/>
  <c r="G6"/>
  <c r="F6"/>
  <c r="AB5"/>
  <c r="AB6" s="1"/>
  <c r="AB7" s="1"/>
  <c r="AB8" s="1"/>
  <c r="AB9" s="1"/>
  <c r="AB10" s="1"/>
  <c r="AB11" s="1"/>
  <c r="AB12" s="1"/>
  <c r="AB13" s="1"/>
  <c r="AB14" s="1"/>
  <c r="I5"/>
  <c r="G5"/>
  <c r="F5"/>
  <c r="I4"/>
  <c r="G4"/>
  <c r="F4"/>
  <c r="M79" i="256" l="1"/>
  <c r="M80"/>
  <c r="AF16" i="101"/>
  <c r="AF18" s="1"/>
  <c r="AF19" s="1"/>
  <c r="B100" i="362"/>
  <c r="A101"/>
  <c r="AF6" i="101"/>
  <c r="AF7" s="1"/>
  <c r="AF30"/>
  <c r="AF32" s="1"/>
  <c r="AF33" s="1"/>
  <c r="C45" i="255"/>
  <c r="L45" s="1"/>
  <c r="U45" s="1"/>
  <c r="F45"/>
  <c r="D45"/>
  <c r="C22" i="278"/>
  <c r="F43" i="255"/>
  <c r="O43" s="1"/>
  <c r="C24" i="278"/>
  <c r="R107" i="273"/>
  <c r="U94" s="1"/>
  <c r="B103" s="1"/>
  <c r="C123" s="1"/>
  <c r="C11" i="255"/>
  <c r="J11" s="1"/>
  <c r="Q11" s="1"/>
  <c r="C34" i="275"/>
  <c r="A12" i="255"/>
  <c r="H12" s="1"/>
  <c r="O12" s="1"/>
  <c r="D32"/>
  <c r="F22" i="252"/>
  <c r="A45" i="255"/>
  <c r="E45"/>
  <c r="H34" i="252"/>
  <c r="I34" s="1"/>
  <c r="F46"/>
  <c r="H30"/>
  <c r="I30" s="1"/>
  <c r="V72"/>
  <c r="O12" i="277"/>
  <c r="F23" i="252"/>
  <c r="H40"/>
  <c r="I40" s="1"/>
  <c r="S67"/>
  <c r="H37"/>
  <c r="I37" s="1"/>
  <c r="O13" i="277"/>
  <c r="N7" i="253"/>
  <c r="P7" s="1"/>
  <c r="P6"/>
  <c r="C10" i="255"/>
  <c r="J10" s="1"/>
  <c r="Q10" s="1"/>
  <c r="D10"/>
  <c r="K10" s="1"/>
  <c r="H7" i="252"/>
  <c r="I7" s="1"/>
  <c r="H13"/>
  <c r="I13" s="1"/>
  <c r="H29"/>
  <c r="I29" s="1"/>
  <c r="V67"/>
  <c r="C32" i="255"/>
  <c r="D12"/>
  <c r="K12" s="1"/>
  <c r="D22" i="269"/>
  <c r="O11" i="277"/>
  <c r="M44" i="282"/>
  <c r="M50" s="1"/>
  <c r="K44"/>
  <c r="K50" s="1"/>
  <c r="G50"/>
  <c r="N45"/>
  <c r="O45" s="1"/>
  <c r="N44"/>
  <c r="N43"/>
  <c r="N42"/>
  <c r="N40"/>
  <c r="N41"/>
  <c r="L41"/>
  <c r="L40"/>
  <c r="M41"/>
  <c r="M40"/>
  <c r="K43"/>
  <c r="K42"/>
  <c r="L42"/>
  <c r="L43"/>
  <c r="K40"/>
  <c r="K41"/>
  <c r="M42"/>
  <c r="M43"/>
  <c r="G52"/>
  <c r="G49"/>
  <c r="G46"/>
  <c r="G53"/>
  <c r="L50"/>
  <c r="G48"/>
  <c r="D24" i="278"/>
  <c r="K20"/>
  <c r="D22"/>
  <c r="A22"/>
  <c r="A25" s="1"/>
  <c r="G23" s="1"/>
  <c r="E23"/>
  <c r="B24"/>
  <c r="D36" i="275"/>
  <c r="Q31"/>
  <c r="D37"/>
  <c r="E37"/>
  <c r="E34"/>
  <c r="C36"/>
  <c r="O159" i="273"/>
  <c r="R159" s="1"/>
  <c r="O262"/>
  <c r="R262" s="1"/>
  <c r="P262"/>
  <c r="Q262" s="1"/>
  <c r="N208"/>
  <c r="O208"/>
  <c r="R208" s="1"/>
  <c r="R215" s="1"/>
  <c r="U202" s="1"/>
  <c r="U205" s="1"/>
  <c r="D97" s="1"/>
  <c r="P268"/>
  <c r="Q268" s="1"/>
  <c r="O268"/>
  <c r="R268" s="1"/>
  <c r="U79"/>
  <c r="U44"/>
  <c r="U46" s="1"/>
  <c r="E100" s="1"/>
  <c r="N159"/>
  <c r="U115"/>
  <c r="D105" s="1"/>
  <c r="P159"/>
  <c r="Q159" s="1"/>
  <c r="U61"/>
  <c r="D102" s="1"/>
  <c r="R305"/>
  <c r="U292" s="1"/>
  <c r="U295" s="1"/>
  <c r="U297" s="1"/>
  <c r="E95" s="1"/>
  <c r="Q25" i="275"/>
  <c r="R287" i="273"/>
  <c r="U274" s="1"/>
  <c r="U277" s="1"/>
  <c r="O151"/>
  <c r="R151" s="1"/>
  <c r="N151"/>
  <c r="R197"/>
  <c r="U184" s="1"/>
  <c r="B92" s="1"/>
  <c r="M152"/>
  <c r="N152" s="1"/>
  <c r="U241"/>
  <c r="B99"/>
  <c r="B101"/>
  <c r="U27"/>
  <c r="U135"/>
  <c r="E96" s="1"/>
  <c r="D96"/>
  <c r="Q27" i="275"/>
  <c r="B96" i="273"/>
  <c r="N172"/>
  <c r="O172"/>
  <c r="R172" s="1"/>
  <c r="P172"/>
  <c r="Q172" s="1"/>
  <c r="N175"/>
  <c r="P175"/>
  <c r="Q175" s="1"/>
  <c r="O175"/>
  <c r="R175" s="1"/>
  <c r="T22" i="275"/>
  <c r="N314" i="273"/>
  <c r="M315"/>
  <c r="P314"/>
  <c r="Q314" s="1"/>
  <c r="O314"/>
  <c r="R314" s="1"/>
  <c r="N177"/>
  <c r="O177"/>
  <c r="R177" s="1"/>
  <c r="P177"/>
  <c r="Q177" s="1"/>
  <c r="M178"/>
  <c r="I108" i="275"/>
  <c r="P108" s="1"/>
  <c r="H125"/>
  <c r="O125" s="1"/>
  <c r="I127"/>
  <c r="P127" s="1"/>
  <c r="H106"/>
  <c r="O106" s="1"/>
  <c r="H105"/>
  <c r="O105" s="1"/>
  <c r="I115"/>
  <c r="P115" s="1"/>
  <c r="H127"/>
  <c r="O127" s="1"/>
  <c r="H126"/>
  <c r="O126" s="1"/>
  <c r="I125"/>
  <c r="P125" s="1"/>
  <c r="I126"/>
  <c r="P126" s="1"/>
  <c r="H128"/>
  <c r="O128" s="1"/>
  <c r="I95"/>
  <c r="P95" s="1"/>
  <c r="I83"/>
  <c r="P83" s="1"/>
  <c r="H93"/>
  <c r="O93" s="1"/>
  <c r="H92"/>
  <c r="O92" s="1"/>
  <c r="U225" i="273"/>
  <c r="E98" s="1"/>
  <c r="D98"/>
  <c r="O160"/>
  <c r="R160" s="1"/>
  <c r="N160"/>
  <c r="P160"/>
  <c r="Q160" s="1"/>
  <c r="Y14" i="256"/>
  <c r="C94"/>
  <c r="K20" i="269"/>
  <c r="K30"/>
  <c r="M32"/>
  <c r="P32" s="1"/>
  <c r="L32"/>
  <c r="N32"/>
  <c r="O32" s="1"/>
  <c r="K23"/>
  <c r="K33"/>
  <c r="D85" i="256"/>
  <c r="B87"/>
  <c r="D52"/>
  <c r="J46"/>
  <c r="K46" s="1"/>
  <c r="R27" a="1"/>
  <c r="S27" s="1"/>
  <c r="J29"/>
  <c r="K29" s="1"/>
  <c r="Y15"/>
  <c r="B36"/>
  <c r="J27"/>
  <c r="K27" s="1"/>
  <c r="D35"/>
  <c r="D36" s="1"/>
  <c r="J11"/>
  <c r="K11" s="1"/>
  <c r="J8"/>
  <c r="K8" s="1"/>
  <c r="D86"/>
  <c r="C87"/>
  <c r="B68"/>
  <c r="J60" s="1"/>
  <c r="K60" s="1"/>
  <c r="C68"/>
  <c r="J62" s="1"/>
  <c r="K62" s="1"/>
  <c r="B69"/>
  <c r="J61" s="1"/>
  <c r="K61" s="1"/>
  <c r="C69"/>
  <c r="J63" s="1"/>
  <c r="K63" s="1"/>
  <c r="R78" a="1"/>
  <c r="R9" a="1"/>
  <c r="C53"/>
  <c r="B53"/>
  <c r="R44" a="1"/>
  <c r="D51"/>
  <c r="C36"/>
  <c r="A43" i="255"/>
  <c r="J43" s="1"/>
  <c r="D43"/>
  <c r="M43" s="1"/>
  <c r="C43"/>
  <c r="L43" s="1"/>
  <c r="B43"/>
  <c r="K43" s="1"/>
  <c r="E43"/>
  <c r="N43" s="1"/>
  <c r="A32"/>
  <c r="B32"/>
  <c r="B34"/>
  <c r="A10"/>
  <c r="H10" s="1"/>
  <c r="I12"/>
  <c r="P12" s="1"/>
  <c r="A34"/>
  <c r="K21"/>
  <c r="H21"/>
  <c r="C34"/>
  <c r="C33"/>
  <c r="D34"/>
  <c r="I21"/>
  <c r="J21"/>
  <c r="Q21" s="1"/>
  <c r="J22"/>
  <c r="Q22" s="1"/>
  <c r="H23"/>
  <c r="K23"/>
  <c r="R23" s="1"/>
  <c r="I23"/>
  <c r="P23" s="1"/>
  <c r="C15" i="253"/>
  <c r="B14"/>
  <c r="B15"/>
  <c r="N8"/>
  <c r="K16"/>
  <c r="H42" i="252"/>
  <c r="I42" s="1"/>
  <c r="H36"/>
  <c r="I36" s="1"/>
  <c r="H32"/>
  <c r="I32" s="1"/>
  <c r="H41"/>
  <c r="I41" s="1"/>
  <c r="H38"/>
  <c r="I38" s="1"/>
  <c r="H35"/>
  <c r="I35" s="1"/>
  <c r="H31"/>
  <c r="I31" s="1"/>
  <c r="H43"/>
  <c r="I43" s="1"/>
  <c r="H39"/>
  <c r="I39" s="1"/>
  <c r="H33"/>
  <c r="I33" s="1"/>
  <c r="F45"/>
  <c r="H9"/>
  <c r="I9" s="1"/>
  <c r="H6"/>
  <c r="I6" s="1"/>
  <c r="H17"/>
  <c r="I17" s="1"/>
  <c r="H18"/>
  <c r="I18" s="1"/>
  <c r="H14"/>
  <c r="I14" s="1"/>
  <c r="H10"/>
  <c r="I10" s="1"/>
  <c r="H20"/>
  <c r="I20" s="1"/>
  <c r="H16"/>
  <c r="I16" s="1"/>
  <c r="H12"/>
  <c r="I12" s="1"/>
  <c r="H8"/>
  <c r="I8" s="1"/>
  <c r="H19"/>
  <c r="I19" s="1"/>
  <c r="H15"/>
  <c r="I15" s="1"/>
  <c r="H11"/>
  <c r="I11" s="1"/>
  <c r="E17" i="251" a="1"/>
  <c r="AF9" i="101" l="1"/>
  <c r="AF10" s="1"/>
  <c r="K45" i="255"/>
  <c r="T45" s="1"/>
  <c r="N45"/>
  <c r="W45" s="1"/>
  <c r="A102" i="362"/>
  <c r="B101"/>
  <c r="M45" i="255"/>
  <c r="V45" s="1"/>
  <c r="R28" i="256"/>
  <c r="J45" i="255"/>
  <c r="S45" s="1"/>
  <c r="O45"/>
  <c r="X45" s="1"/>
  <c r="C25" i="278"/>
  <c r="I23" s="1"/>
  <c r="B132" i="273"/>
  <c r="D132" s="1"/>
  <c r="D135" s="1"/>
  <c r="U97"/>
  <c r="D103" s="1"/>
  <c r="D25" i="278"/>
  <c r="J23" s="1"/>
  <c r="J20" i="252"/>
  <c r="J41"/>
  <c r="J10"/>
  <c r="O44" i="282"/>
  <c r="J17" i="252"/>
  <c r="E24" i="278"/>
  <c r="J12" i="252"/>
  <c r="R12" i="255"/>
  <c r="R11"/>
  <c r="R10"/>
  <c r="J15" i="252"/>
  <c r="J19"/>
  <c r="J13"/>
  <c r="J16"/>
  <c r="J14"/>
  <c r="J6"/>
  <c r="J11"/>
  <c r="J8"/>
  <c r="J18"/>
  <c r="J7"/>
  <c r="J9"/>
  <c r="N9" i="253"/>
  <c r="P9" s="1"/>
  <c r="P8"/>
  <c r="P10" i="255"/>
  <c r="O10"/>
  <c r="D53" i="256"/>
  <c r="N49" i="282"/>
  <c r="N53"/>
  <c r="V43" s="1"/>
  <c r="O40"/>
  <c r="L53"/>
  <c r="T45" s="1"/>
  <c r="M48"/>
  <c r="L49"/>
  <c r="O42"/>
  <c r="K52"/>
  <c r="S44" s="1"/>
  <c r="M52"/>
  <c r="U44" s="1"/>
  <c r="N48"/>
  <c r="O41"/>
  <c r="O43"/>
  <c r="M49"/>
  <c r="K53"/>
  <c r="S45" s="1"/>
  <c r="N46"/>
  <c r="K48"/>
  <c r="M46"/>
  <c r="N52"/>
  <c r="V40" s="1"/>
  <c r="M53"/>
  <c r="K49"/>
  <c r="L46"/>
  <c r="L48"/>
  <c r="L52"/>
  <c r="T44" s="1"/>
  <c r="N50"/>
  <c r="O50" s="1"/>
  <c r="K46"/>
  <c r="E22" i="278"/>
  <c r="B25"/>
  <c r="H23" s="1"/>
  <c r="G22"/>
  <c r="G24"/>
  <c r="K24" i="269"/>
  <c r="N20" s="1"/>
  <c r="N22" s="1"/>
  <c r="P22" s="1"/>
  <c r="F37" i="275"/>
  <c r="T25"/>
  <c r="E35"/>
  <c r="D35"/>
  <c r="C35"/>
  <c r="B97" i="273"/>
  <c r="U207"/>
  <c r="E97" s="1"/>
  <c r="R269"/>
  <c r="U256" s="1"/>
  <c r="M153"/>
  <c r="P153" s="1"/>
  <c r="Q153" s="1"/>
  <c r="O152"/>
  <c r="R152" s="1"/>
  <c r="D100"/>
  <c r="U187"/>
  <c r="U189" s="1"/>
  <c r="E92" s="1"/>
  <c r="B94"/>
  <c r="U117"/>
  <c r="E105" s="1"/>
  <c r="U63"/>
  <c r="E102" s="1"/>
  <c r="U81"/>
  <c r="E104" s="1"/>
  <c r="D104"/>
  <c r="D95"/>
  <c r="B95"/>
  <c r="P152"/>
  <c r="Q152" s="1"/>
  <c r="U243"/>
  <c r="E99" s="1"/>
  <c r="D99"/>
  <c r="D101"/>
  <c r="U29"/>
  <c r="E101" s="1"/>
  <c r="U279"/>
  <c r="E94" s="1"/>
  <c r="D94"/>
  <c r="O315"/>
  <c r="R315" s="1"/>
  <c r="M316"/>
  <c r="P315"/>
  <c r="Q315" s="1"/>
  <c r="N315"/>
  <c r="O178"/>
  <c r="R178" s="1"/>
  <c r="R179" s="1"/>
  <c r="U166" s="1"/>
  <c r="P178"/>
  <c r="Q178" s="1"/>
  <c r="N178"/>
  <c r="I96" i="275"/>
  <c r="P96" s="1"/>
  <c r="H139"/>
  <c r="O139" s="1"/>
  <c r="H152"/>
  <c r="O152" s="1"/>
  <c r="H138"/>
  <c r="O138" s="1"/>
  <c r="H151"/>
  <c r="O151" s="1"/>
  <c r="H141"/>
  <c r="O141" s="1"/>
  <c r="H154"/>
  <c r="O154" s="1"/>
  <c r="I138"/>
  <c r="P138" s="1"/>
  <c r="I151"/>
  <c r="P151" s="1"/>
  <c r="H140"/>
  <c r="O140" s="1"/>
  <c r="H153"/>
  <c r="O153" s="1"/>
  <c r="H118"/>
  <c r="O118" s="1"/>
  <c r="I140"/>
  <c r="P140" s="1"/>
  <c r="I153"/>
  <c r="P153" s="1"/>
  <c r="I121"/>
  <c r="P121" s="1"/>
  <c r="I128"/>
  <c r="P128" s="1"/>
  <c r="H119"/>
  <c r="O119" s="1"/>
  <c r="I139"/>
  <c r="P139" s="1"/>
  <c r="I152"/>
  <c r="P152" s="1"/>
  <c r="D41"/>
  <c r="K36" s="1"/>
  <c r="F34"/>
  <c r="S28" i="256"/>
  <c r="R27"/>
  <c r="M33" i="269"/>
  <c r="P33" s="1"/>
  <c r="L33"/>
  <c r="N33"/>
  <c r="O33" s="1"/>
  <c r="N30"/>
  <c r="O30" s="1"/>
  <c r="M30"/>
  <c r="P30" s="1"/>
  <c r="P34" s="1"/>
  <c r="S28" s="1"/>
  <c r="S32" s="1"/>
  <c r="S33" s="1"/>
  <c r="L30"/>
  <c r="D87" i="256"/>
  <c r="O79"/>
  <c r="M60"/>
  <c r="O60" s="1"/>
  <c r="M43"/>
  <c r="M26"/>
  <c r="C70"/>
  <c r="D69"/>
  <c r="S78"/>
  <c r="R79"/>
  <c r="S79"/>
  <c r="R78"/>
  <c r="D68"/>
  <c r="B70"/>
  <c r="R61" a="1"/>
  <c r="S61" s="1"/>
  <c r="S10"/>
  <c r="R10"/>
  <c r="S9"/>
  <c r="R9"/>
  <c r="J9"/>
  <c r="K9" s="1"/>
  <c r="M8" s="1"/>
  <c r="M11" s="1"/>
  <c r="O11" s="1"/>
  <c r="R44"/>
  <c r="S45"/>
  <c r="R45"/>
  <c r="S44"/>
  <c r="U44" i="255"/>
  <c r="U43"/>
  <c r="P11"/>
  <c r="O11"/>
  <c r="R22"/>
  <c r="P21"/>
  <c r="P22"/>
  <c r="O23"/>
  <c r="O22"/>
  <c r="O21"/>
  <c r="R21"/>
  <c r="B16" i="253"/>
  <c r="J15"/>
  <c r="K15" s="1"/>
  <c r="N14" s="1"/>
  <c r="P14" s="1"/>
  <c r="J14"/>
  <c r="K14" s="1"/>
  <c r="D15"/>
  <c r="J17"/>
  <c r="K17" s="1"/>
  <c r="C16"/>
  <c r="D14"/>
  <c r="J34" i="252"/>
  <c r="J39"/>
  <c r="J40"/>
  <c r="J38"/>
  <c r="J42"/>
  <c r="J36"/>
  <c r="J37"/>
  <c r="J31"/>
  <c r="J35"/>
  <c r="J33"/>
  <c r="J29"/>
  <c r="J43"/>
  <c r="J32"/>
  <c r="J30"/>
  <c r="I46"/>
  <c r="I48" s="1"/>
  <c r="I23"/>
  <c r="F19" i="251"/>
  <c r="E18"/>
  <c r="G18"/>
  <c r="F17"/>
  <c r="G19"/>
  <c r="F18"/>
  <c r="E17"/>
  <c r="E19"/>
  <c r="G17"/>
  <c r="T43" i="255" l="1"/>
  <c r="W43"/>
  <c r="T44"/>
  <c r="S44"/>
  <c r="W44"/>
  <c r="A103" i="362"/>
  <c r="B102"/>
  <c r="I24" i="278"/>
  <c r="J22"/>
  <c r="V44" i="255"/>
  <c r="K23" i="278"/>
  <c r="A28" s="1"/>
  <c r="V43" i="255"/>
  <c r="J24" i="278"/>
  <c r="S43" i="255"/>
  <c r="X44"/>
  <c r="X43"/>
  <c r="I22" i="278"/>
  <c r="U99" i="273"/>
  <c r="E103" s="1"/>
  <c r="N23" i="269"/>
  <c r="P23" s="1"/>
  <c r="V45" i="282"/>
  <c r="V41"/>
  <c r="V48" s="1"/>
  <c r="V42"/>
  <c r="S41"/>
  <c r="V44"/>
  <c r="W44" s="1"/>
  <c r="E60" s="1"/>
  <c r="T40"/>
  <c r="S43"/>
  <c r="T42"/>
  <c r="S42"/>
  <c r="S40"/>
  <c r="U45"/>
  <c r="U43"/>
  <c r="U41"/>
  <c r="T41"/>
  <c r="T43"/>
  <c r="U40"/>
  <c r="U42"/>
  <c r="O49"/>
  <c r="S50"/>
  <c r="O48"/>
  <c r="O53"/>
  <c r="O52"/>
  <c r="O46"/>
  <c r="G25" i="278"/>
  <c r="E25"/>
  <c r="H24"/>
  <c r="H22"/>
  <c r="N21" i="269"/>
  <c r="P21" s="1"/>
  <c r="P20"/>
  <c r="D44" i="275"/>
  <c r="B93" i="273"/>
  <c r="U259"/>
  <c r="M154"/>
  <c r="P154" s="1"/>
  <c r="Q154" s="1"/>
  <c r="O153"/>
  <c r="R153" s="1"/>
  <c r="N153"/>
  <c r="D92"/>
  <c r="C38" i="275"/>
  <c r="D40"/>
  <c r="K35" s="1"/>
  <c r="E38"/>
  <c r="O316" i="273"/>
  <c r="R316" s="1"/>
  <c r="P316"/>
  <c r="Q316" s="1"/>
  <c r="M317"/>
  <c r="N316"/>
  <c r="U169"/>
  <c r="B91"/>
  <c r="I141" i="275"/>
  <c r="P141" s="1"/>
  <c r="I154"/>
  <c r="P154" s="1"/>
  <c r="H132"/>
  <c r="O132" s="1"/>
  <c r="I134"/>
  <c r="P134" s="1"/>
  <c r="H131"/>
  <c r="O131" s="1"/>
  <c r="I109"/>
  <c r="P109" s="1"/>
  <c r="D43"/>
  <c r="C41"/>
  <c r="J37" s="1"/>
  <c r="F36"/>
  <c r="D38"/>
  <c r="E41"/>
  <c r="E43"/>
  <c r="C43"/>
  <c r="K37"/>
  <c r="K41" s="1"/>
  <c r="O78" i="256"/>
  <c r="M63"/>
  <c r="O63" s="1"/>
  <c r="B95"/>
  <c r="B93"/>
  <c r="B92"/>
  <c r="B94"/>
  <c r="O77"/>
  <c r="O80"/>
  <c r="M62"/>
  <c r="O62" s="1"/>
  <c r="M61"/>
  <c r="O61" s="1"/>
  <c r="O43"/>
  <c r="M44"/>
  <c r="O44" s="1"/>
  <c r="M45"/>
  <c r="O45" s="1"/>
  <c r="M46"/>
  <c r="O46" s="1"/>
  <c r="O26"/>
  <c r="M27"/>
  <c r="O27" s="1"/>
  <c r="M28"/>
  <c r="O28" s="1"/>
  <c r="M29"/>
  <c r="O29" s="1"/>
  <c r="R62"/>
  <c r="R61"/>
  <c r="S62"/>
  <c r="X84"/>
  <c r="Z84"/>
  <c r="AA84"/>
  <c r="X83"/>
  <c r="Z83"/>
  <c r="AA83"/>
  <c r="D70"/>
  <c r="AA15"/>
  <c r="X15"/>
  <c r="D94" s="1"/>
  <c r="Z15"/>
  <c r="E94" s="1"/>
  <c r="X14"/>
  <c r="AA14"/>
  <c r="Z14"/>
  <c r="O8"/>
  <c r="M10"/>
  <c r="O10" s="1"/>
  <c r="M9"/>
  <c r="O9" s="1"/>
  <c r="X50"/>
  <c r="D93" s="1"/>
  <c r="AA50"/>
  <c r="Z50"/>
  <c r="E93" s="1"/>
  <c r="X49"/>
  <c r="AA49"/>
  <c r="Z49"/>
  <c r="AA33"/>
  <c r="X33"/>
  <c r="D92" s="1"/>
  <c r="Z33"/>
  <c r="E92" s="1"/>
  <c r="X32"/>
  <c r="AA32"/>
  <c r="Z32"/>
  <c r="D16" i="253"/>
  <c r="N15"/>
  <c r="P15" s="1"/>
  <c r="N16"/>
  <c r="P16" s="1"/>
  <c r="I25" i="252"/>
  <c r="N18" s="1"/>
  <c r="N29"/>
  <c r="N39"/>
  <c r="N43"/>
  <c r="N31"/>
  <c r="N35"/>
  <c r="N42"/>
  <c r="N34"/>
  <c r="N33"/>
  <c r="N37"/>
  <c r="N41"/>
  <c r="N38"/>
  <c r="N30"/>
  <c r="N36"/>
  <c r="N40"/>
  <c r="N32"/>
  <c r="N10"/>
  <c r="K4" i="251" a="1"/>
  <c r="Q4" a="1"/>
  <c r="I25" i="278" l="1"/>
  <c r="H25"/>
  <c r="C28"/>
  <c r="J25"/>
  <c r="B103" i="362"/>
  <c r="A104"/>
  <c r="B104" s="1"/>
  <c r="K24" i="278"/>
  <c r="C29" s="1"/>
  <c r="B28"/>
  <c r="D28"/>
  <c r="K31" i="252"/>
  <c r="L31" s="1"/>
  <c r="O31" s="1"/>
  <c r="K35"/>
  <c r="L35" s="1"/>
  <c r="O35" s="1"/>
  <c r="K39"/>
  <c r="L39" s="1"/>
  <c r="K43"/>
  <c r="L43" s="1"/>
  <c r="K33"/>
  <c r="L33" s="1"/>
  <c r="K37"/>
  <c r="L37" s="1"/>
  <c r="K41"/>
  <c r="L41" s="1"/>
  <c r="K30"/>
  <c r="L30" s="1"/>
  <c r="K34"/>
  <c r="L34" s="1"/>
  <c r="K38"/>
  <c r="L38" s="1"/>
  <c r="K42"/>
  <c r="L42" s="1"/>
  <c r="K32"/>
  <c r="L32" s="1"/>
  <c r="O32" s="1"/>
  <c r="K36"/>
  <c r="L36" s="1"/>
  <c r="K40"/>
  <c r="L40" s="1"/>
  <c r="K29"/>
  <c r="L29" s="1"/>
  <c r="N20"/>
  <c r="N13"/>
  <c r="N6"/>
  <c r="N15"/>
  <c r="N8"/>
  <c r="W45" i="282"/>
  <c r="F61" s="1"/>
  <c r="V53"/>
  <c r="S48"/>
  <c r="S52"/>
  <c r="T53"/>
  <c r="D60"/>
  <c r="W41"/>
  <c r="E57" s="1"/>
  <c r="U50"/>
  <c r="E61"/>
  <c r="U52"/>
  <c r="F60"/>
  <c r="C60"/>
  <c r="W42"/>
  <c r="F58" s="1"/>
  <c r="S49"/>
  <c r="W43"/>
  <c r="F59" s="1"/>
  <c r="W40"/>
  <c r="E56" s="1"/>
  <c r="S53"/>
  <c r="S46"/>
  <c r="U53"/>
  <c r="U46"/>
  <c r="U48"/>
  <c r="U49"/>
  <c r="V49"/>
  <c r="T49"/>
  <c r="V50"/>
  <c r="T50"/>
  <c r="V46"/>
  <c r="V52"/>
  <c r="T52"/>
  <c r="T48"/>
  <c r="T46"/>
  <c r="K22" i="278"/>
  <c r="B27" s="1"/>
  <c r="N154" i="273"/>
  <c r="U261"/>
  <c r="E93" s="1"/>
  <c r="D93"/>
  <c r="O154"/>
  <c r="R154" s="1"/>
  <c r="R161" s="1"/>
  <c r="U148" s="1"/>
  <c r="U151" s="1"/>
  <c r="U153" s="1"/>
  <c r="E90" s="1"/>
  <c r="F35" i="275"/>
  <c r="F38" s="1"/>
  <c r="K34"/>
  <c r="K43" s="1"/>
  <c r="R36" s="1"/>
  <c r="C44"/>
  <c r="C40"/>
  <c r="E40"/>
  <c r="E44"/>
  <c r="M318" i="273"/>
  <c r="P317"/>
  <c r="Q317" s="1"/>
  <c r="O317"/>
  <c r="R317" s="1"/>
  <c r="N317"/>
  <c r="U171"/>
  <c r="E91" s="1"/>
  <c r="D91"/>
  <c r="I147" i="275"/>
  <c r="P147" s="1"/>
  <c r="I160"/>
  <c r="P160" s="1"/>
  <c r="I122"/>
  <c r="P122" s="1"/>
  <c r="H144"/>
  <c r="O144" s="1"/>
  <c r="H157"/>
  <c r="O157" s="1"/>
  <c r="H145"/>
  <c r="O145" s="1"/>
  <c r="H158"/>
  <c r="O158" s="1"/>
  <c r="J36"/>
  <c r="L36"/>
  <c r="L37"/>
  <c r="K44"/>
  <c r="B91" i="256"/>
  <c r="AA67"/>
  <c r="Z67"/>
  <c r="E91" s="1"/>
  <c r="X67"/>
  <c r="D91" s="1"/>
  <c r="AA66"/>
  <c r="X66"/>
  <c r="Z66"/>
  <c r="N17" i="253"/>
  <c r="P17" s="1"/>
  <c r="K9" i="252"/>
  <c r="L9" s="1"/>
  <c r="K13"/>
  <c r="L13" s="1"/>
  <c r="K17"/>
  <c r="L17" s="1"/>
  <c r="K6"/>
  <c r="L6" s="1"/>
  <c r="K10"/>
  <c r="L10" s="1"/>
  <c r="K14"/>
  <c r="L14" s="1"/>
  <c r="K18"/>
  <c r="L18" s="1"/>
  <c r="K7"/>
  <c r="L7" s="1"/>
  <c r="K11"/>
  <c r="L11" s="1"/>
  <c r="K15"/>
  <c r="L15" s="1"/>
  <c r="K19"/>
  <c r="L19" s="1"/>
  <c r="K8"/>
  <c r="L8" s="1"/>
  <c r="K12"/>
  <c r="L12" s="1"/>
  <c r="K16"/>
  <c r="L16" s="1"/>
  <c r="K20"/>
  <c r="L20" s="1"/>
  <c r="N11"/>
  <c r="N9"/>
  <c r="N19"/>
  <c r="N17"/>
  <c r="N7"/>
  <c r="N12"/>
  <c r="N14"/>
  <c r="N16"/>
  <c r="Y14" i="251"/>
  <c r="U14"/>
  <c r="Q14"/>
  <c r="X13"/>
  <c r="T13"/>
  <c r="AA12"/>
  <c r="W12"/>
  <c r="S12"/>
  <c r="Z11"/>
  <c r="V11"/>
  <c r="R11"/>
  <c r="Y10"/>
  <c r="U10"/>
  <c r="Q10"/>
  <c r="X9"/>
  <c r="T9"/>
  <c r="AA8"/>
  <c r="W8"/>
  <c r="S8"/>
  <c r="Z7"/>
  <c r="V7"/>
  <c r="R7"/>
  <c r="Y6"/>
  <c r="U6"/>
  <c r="Q6"/>
  <c r="X5"/>
  <c r="T5"/>
  <c r="AA4"/>
  <c r="W4"/>
  <c r="S4"/>
  <c r="AA14"/>
  <c r="X32" s="1"/>
  <c r="W14"/>
  <c r="S14"/>
  <c r="Z13"/>
  <c r="X31" s="1"/>
  <c r="V13"/>
  <c r="R13"/>
  <c r="Y12"/>
  <c r="X30" s="1"/>
  <c r="U12"/>
  <c r="Q12"/>
  <c r="X11"/>
  <c r="X29" s="1"/>
  <c r="T11"/>
  <c r="AA10"/>
  <c r="W10"/>
  <c r="X28" s="1"/>
  <c r="S10"/>
  <c r="Z9"/>
  <c r="V9"/>
  <c r="X27" s="1"/>
  <c r="R9"/>
  <c r="Y8"/>
  <c r="U8"/>
  <c r="X26" s="1"/>
  <c r="Q8"/>
  <c r="X7"/>
  <c r="T7"/>
  <c r="X25" s="1"/>
  <c r="AA6"/>
  <c r="W6"/>
  <c r="S6"/>
  <c r="X24" s="1"/>
  <c r="Z5"/>
  <c r="V5"/>
  <c r="R5"/>
  <c r="X23" s="1"/>
  <c r="Y4"/>
  <c r="U4"/>
  <c r="Q4"/>
  <c r="X22" s="1"/>
  <c r="Z14"/>
  <c r="V14"/>
  <c r="R14"/>
  <c r="Y13"/>
  <c r="U13"/>
  <c r="Q13"/>
  <c r="X12"/>
  <c r="T12"/>
  <c r="AA11"/>
  <c r="W11"/>
  <c r="S11"/>
  <c r="Z10"/>
  <c r="V10"/>
  <c r="R10"/>
  <c r="Y9"/>
  <c r="U9"/>
  <c r="Q9"/>
  <c r="X8"/>
  <c r="T8"/>
  <c r="AA7"/>
  <c r="W7"/>
  <c r="S7"/>
  <c r="Z6"/>
  <c r="V6"/>
  <c r="R6"/>
  <c r="Y5"/>
  <c r="U5"/>
  <c r="Q5"/>
  <c r="X4"/>
  <c r="T4"/>
  <c r="AA13"/>
  <c r="V12"/>
  <c r="Q11"/>
  <c r="W9"/>
  <c r="R8"/>
  <c r="X6"/>
  <c r="S5"/>
  <c r="W13"/>
  <c r="R12"/>
  <c r="X10"/>
  <c r="S9"/>
  <c r="Y7"/>
  <c r="T6"/>
  <c r="Z4"/>
  <c r="X14"/>
  <c r="S13"/>
  <c r="Y11"/>
  <c r="T10"/>
  <c r="Z8"/>
  <c r="U7"/>
  <c r="AA5"/>
  <c r="V4"/>
  <c r="T14"/>
  <c r="Z12"/>
  <c r="U11"/>
  <c r="AA9"/>
  <c r="V8"/>
  <c r="Q7"/>
  <c r="W5"/>
  <c r="R4"/>
  <c r="K5"/>
  <c r="K4"/>
  <c r="K6"/>
  <c r="M7" i="252" l="1"/>
  <c r="O7"/>
  <c r="M42"/>
  <c r="O42"/>
  <c r="M39"/>
  <c r="O39"/>
  <c r="M20"/>
  <c r="O20"/>
  <c r="M19"/>
  <c r="O19"/>
  <c r="M18"/>
  <c r="O18"/>
  <c r="M17"/>
  <c r="O17"/>
  <c r="M40"/>
  <c r="O40"/>
  <c r="M38"/>
  <c r="O38"/>
  <c r="M37"/>
  <c r="O37"/>
  <c r="M8"/>
  <c r="O8"/>
  <c r="M29"/>
  <c r="O29"/>
  <c r="M41"/>
  <c r="O41"/>
  <c r="M16"/>
  <c r="O16"/>
  <c r="M15"/>
  <c r="O15"/>
  <c r="M14"/>
  <c r="O14"/>
  <c r="M13"/>
  <c r="O13"/>
  <c r="M36"/>
  <c r="O36"/>
  <c r="M34"/>
  <c r="O34"/>
  <c r="M33"/>
  <c r="O33"/>
  <c r="M6"/>
  <c r="O6"/>
  <c r="M12"/>
  <c r="O12"/>
  <c r="M11"/>
  <c r="O11"/>
  <c r="M10"/>
  <c r="O10"/>
  <c r="M9"/>
  <c r="O9"/>
  <c r="M30"/>
  <c r="O30"/>
  <c r="M43"/>
  <c r="O43"/>
  <c r="K25" i="278"/>
  <c r="A29"/>
  <c r="B29"/>
  <c r="B30" s="1"/>
  <c r="H28" s="1"/>
  <c r="D29"/>
  <c r="E28"/>
  <c r="T71" i="252"/>
  <c r="C61" i="282"/>
  <c r="D61"/>
  <c r="D66" s="1"/>
  <c r="W72" i="252"/>
  <c r="W74"/>
  <c r="M32"/>
  <c r="W70"/>
  <c r="T74"/>
  <c r="T70"/>
  <c r="T73"/>
  <c r="T75"/>
  <c r="T76"/>
  <c r="T79"/>
  <c r="T77"/>
  <c r="W78"/>
  <c r="M35"/>
  <c r="W73"/>
  <c r="T81"/>
  <c r="T78"/>
  <c r="W77"/>
  <c r="W80"/>
  <c r="W75"/>
  <c r="M31"/>
  <c r="W69"/>
  <c r="D57" i="282"/>
  <c r="C56"/>
  <c r="E58"/>
  <c r="C59"/>
  <c r="E59"/>
  <c r="D59"/>
  <c r="D56"/>
  <c r="F56"/>
  <c r="C58"/>
  <c r="G60"/>
  <c r="D58"/>
  <c r="F57"/>
  <c r="C57"/>
  <c r="W53"/>
  <c r="W48"/>
  <c r="W49"/>
  <c r="F66"/>
  <c r="W50"/>
  <c r="W52"/>
  <c r="W46"/>
  <c r="D27" i="278"/>
  <c r="A27"/>
  <c r="C27"/>
  <c r="D90" i="273"/>
  <c r="B90"/>
  <c r="R34" i="275"/>
  <c r="K40"/>
  <c r="J35"/>
  <c r="J34"/>
  <c r="J43" s="1"/>
  <c r="Q34" s="1"/>
  <c r="K38"/>
  <c r="L34"/>
  <c r="L35"/>
  <c r="M319" i="273"/>
  <c r="O318"/>
  <c r="R318" s="1"/>
  <c r="P318"/>
  <c r="Q318" s="1"/>
  <c r="N318"/>
  <c r="I135" i="275"/>
  <c r="P135" s="1"/>
  <c r="M37"/>
  <c r="L41"/>
  <c r="M36"/>
  <c r="J41"/>
  <c r="R37"/>
  <c r="R35"/>
  <c r="M4" i="251" a="1"/>
  <c r="M11" s="1"/>
  <c r="U29" s="1"/>
  <c r="V29" s="1"/>
  <c r="T67" i="252"/>
  <c r="T69"/>
  <c r="W68"/>
  <c r="T72"/>
  <c r="T80"/>
  <c r="W81"/>
  <c r="W71"/>
  <c r="W76"/>
  <c r="W79"/>
  <c r="T68"/>
  <c r="W67"/>
  <c r="E29" i="278" l="1"/>
  <c r="G61" i="282"/>
  <c r="H27" i="278"/>
  <c r="M7" i="251"/>
  <c r="U25" s="1"/>
  <c r="V25" s="1"/>
  <c r="M10"/>
  <c r="U28" s="1"/>
  <c r="V28" s="1"/>
  <c r="M12"/>
  <c r="U30" s="1"/>
  <c r="V30" s="1"/>
  <c r="D68" i="282"/>
  <c r="M4" i="251"/>
  <c r="U22" s="1"/>
  <c r="V22" s="1"/>
  <c r="M9"/>
  <c r="U27" s="1"/>
  <c r="V27" s="1"/>
  <c r="C62" i="282"/>
  <c r="M6" i="251"/>
  <c r="U24" s="1"/>
  <c r="V24" s="1"/>
  <c r="M8"/>
  <c r="U26" s="1"/>
  <c r="V26" s="1"/>
  <c r="M13"/>
  <c r="U31" s="1"/>
  <c r="V31" s="1"/>
  <c r="M14"/>
  <c r="U32" s="1"/>
  <c r="V32" s="1"/>
  <c r="M5"/>
  <c r="U23" s="1"/>
  <c r="V23" s="1"/>
  <c r="D64" i="282"/>
  <c r="L56" s="1"/>
  <c r="E62"/>
  <c r="G56"/>
  <c r="G58"/>
  <c r="G57"/>
  <c r="F62"/>
  <c r="G59"/>
  <c r="D62"/>
  <c r="L61"/>
  <c r="L60"/>
  <c r="N60"/>
  <c r="N61"/>
  <c r="C69"/>
  <c r="E66"/>
  <c r="D69"/>
  <c r="E69"/>
  <c r="D65"/>
  <c r="F69"/>
  <c r="C66"/>
  <c r="E64"/>
  <c r="E68"/>
  <c r="F65"/>
  <c r="F64"/>
  <c r="F68"/>
  <c r="C64"/>
  <c r="C68"/>
  <c r="E65"/>
  <c r="C65"/>
  <c r="H29" i="278"/>
  <c r="D30"/>
  <c r="J27" s="1"/>
  <c r="C30"/>
  <c r="E27"/>
  <c r="A30"/>
  <c r="G27" s="1"/>
  <c r="R43" i="275"/>
  <c r="L38"/>
  <c r="L43"/>
  <c r="S34" s="1"/>
  <c r="J40"/>
  <c r="J44"/>
  <c r="Q37" s="1"/>
  <c r="J38"/>
  <c r="M34"/>
  <c r="L40"/>
  <c r="M35"/>
  <c r="L44"/>
  <c r="M320" i="273"/>
  <c r="N319"/>
  <c r="P319"/>
  <c r="Q319" s="1"/>
  <c r="O319"/>
  <c r="R319" s="1"/>
  <c r="I148" i="275"/>
  <c r="P148" s="1"/>
  <c r="I161"/>
  <c r="P161" s="1"/>
  <c r="R38"/>
  <c r="Q36"/>
  <c r="R40"/>
  <c r="R41"/>
  <c r="R44"/>
  <c r="O11" i="251"/>
  <c r="O7" l="1"/>
  <c r="O4"/>
  <c r="H30" i="278"/>
  <c r="O14" i="251"/>
  <c r="O10"/>
  <c r="O5"/>
  <c r="O12"/>
  <c r="O9"/>
  <c r="O6"/>
  <c r="O8"/>
  <c r="L57" i="282"/>
  <c r="O13" i="251"/>
  <c r="G62" i="282"/>
  <c r="N59"/>
  <c r="N58"/>
  <c r="M61"/>
  <c r="M60"/>
  <c r="K56"/>
  <c r="K57"/>
  <c r="L59"/>
  <c r="L58"/>
  <c r="K59"/>
  <c r="K58"/>
  <c r="M57"/>
  <c r="M56"/>
  <c r="M58"/>
  <c r="M59"/>
  <c r="N57"/>
  <c r="N56"/>
  <c r="K60"/>
  <c r="K61"/>
  <c r="L66"/>
  <c r="G69"/>
  <c r="G64"/>
  <c r="G65"/>
  <c r="G68"/>
  <c r="N66"/>
  <c r="G66"/>
  <c r="E30" i="278"/>
  <c r="G28"/>
  <c r="G29"/>
  <c r="I28"/>
  <c r="I29"/>
  <c r="I27"/>
  <c r="J28"/>
  <c r="J29"/>
  <c r="S36" i="275"/>
  <c r="M38"/>
  <c r="Q41"/>
  <c r="Q35"/>
  <c r="S37"/>
  <c r="S35"/>
  <c r="M321" i="273"/>
  <c r="P320"/>
  <c r="Q320" s="1"/>
  <c r="O320"/>
  <c r="R320" s="1"/>
  <c r="N320"/>
  <c r="Q43" i="275"/>
  <c r="T34"/>
  <c r="E47" s="1"/>
  <c r="O17" i="251" l="1"/>
  <c r="O19" s="1"/>
  <c r="O58" i="282"/>
  <c r="O59"/>
  <c r="O57"/>
  <c r="M66"/>
  <c r="O61"/>
  <c r="O56"/>
  <c r="O60"/>
  <c r="N69"/>
  <c r="V61" s="1"/>
  <c r="M62"/>
  <c r="K62"/>
  <c r="L69"/>
  <c r="T59" s="1"/>
  <c r="L62"/>
  <c r="N62"/>
  <c r="L64"/>
  <c r="K64"/>
  <c r="L68"/>
  <c r="T58" s="1"/>
  <c r="L65"/>
  <c r="M69"/>
  <c r="U61" s="1"/>
  <c r="K65"/>
  <c r="N68"/>
  <c r="V60" s="1"/>
  <c r="N64"/>
  <c r="K68"/>
  <c r="S58" s="1"/>
  <c r="M64"/>
  <c r="M68"/>
  <c r="U58" s="1"/>
  <c r="N65"/>
  <c r="K66"/>
  <c r="M65"/>
  <c r="K69"/>
  <c r="S59" s="1"/>
  <c r="G30" i="278"/>
  <c r="I30"/>
  <c r="K28"/>
  <c r="B33" s="1"/>
  <c r="K29"/>
  <c r="B34" s="1"/>
  <c r="K27"/>
  <c r="J30"/>
  <c r="S40" i="275"/>
  <c r="Q40"/>
  <c r="C47"/>
  <c r="D47"/>
  <c r="T36"/>
  <c r="E49" s="1"/>
  <c r="S43"/>
  <c r="Q44"/>
  <c r="Q38"/>
  <c r="T37"/>
  <c r="E50" s="1"/>
  <c r="S38"/>
  <c r="S41"/>
  <c r="S44"/>
  <c r="T35"/>
  <c r="D48" s="1"/>
  <c r="O321" i="273"/>
  <c r="R321" s="1"/>
  <c r="P321"/>
  <c r="Q321" s="1"/>
  <c r="M322"/>
  <c r="N321"/>
  <c r="W29" i="251" l="1"/>
  <c r="W23"/>
  <c r="W27"/>
  <c r="W22"/>
  <c r="W30"/>
  <c r="W31"/>
  <c r="W26"/>
  <c r="W24"/>
  <c r="W28"/>
  <c r="W25"/>
  <c r="W32"/>
  <c r="AC4" a="1"/>
  <c r="AC8" s="1"/>
  <c r="Y22"/>
  <c r="Z22" s="1"/>
  <c r="AB22"/>
  <c r="AB24"/>
  <c r="Y28"/>
  <c r="Z28" s="1"/>
  <c r="AB32"/>
  <c r="Y24"/>
  <c r="Z24" s="1"/>
  <c r="AB31"/>
  <c r="AB27"/>
  <c r="Y29"/>
  <c r="Z29" s="1"/>
  <c r="AB29"/>
  <c r="Y25"/>
  <c r="Z25" s="1"/>
  <c r="Y27"/>
  <c r="Z27" s="1"/>
  <c r="AB25"/>
  <c r="Y23"/>
  <c r="Z23" s="1"/>
  <c r="Y26"/>
  <c r="Z26" s="1"/>
  <c r="AB26"/>
  <c r="AB28"/>
  <c r="AB23"/>
  <c r="Y32"/>
  <c r="Z32" s="1"/>
  <c r="Y30"/>
  <c r="Z30" s="1"/>
  <c r="AB30"/>
  <c r="I17" a="1"/>
  <c r="K18" s="1"/>
  <c r="O62" i="282"/>
  <c r="O66"/>
  <c r="V59"/>
  <c r="U56"/>
  <c r="S57"/>
  <c r="U60"/>
  <c r="S61"/>
  <c r="V56"/>
  <c r="S60"/>
  <c r="T60"/>
  <c r="T56"/>
  <c r="U57"/>
  <c r="V58"/>
  <c r="U59"/>
  <c r="T57"/>
  <c r="T61"/>
  <c r="S56"/>
  <c r="V57"/>
  <c r="T65"/>
  <c r="O65"/>
  <c r="O64"/>
  <c r="O68"/>
  <c r="O69"/>
  <c r="V66"/>
  <c r="K30" i="278"/>
  <c r="C34"/>
  <c r="C33"/>
  <c r="D34"/>
  <c r="A34"/>
  <c r="B32"/>
  <c r="A32"/>
  <c r="D32"/>
  <c r="C32"/>
  <c r="A33"/>
  <c r="D33"/>
  <c r="C48" i="275"/>
  <c r="D49"/>
  <c r="C49"/>
  <c r="C56" s="1"/>
  <c r="E48"/>
  <c r="D50"/>
  <c r="C50"/>
  <c r="T38"/>
  <c r="E54"/>
  <c r="L50" s="1"/>
  <c r="O322" i="273"/>
  <c r="R322" s="1"/>
  <c r="R323" s="1"/>
  <c r="U310" s="1"/>
  <c r="N322"/>
  <c r="P322"/>
  <c r="Q322" s="1"/>
  <c r="F47" i="275"/>
  <c r="Y31" i="251"/>
  <c r="Z31" s="1"/>
  <c r="AC6" l="1"/>
  <c r="AC13"/>
  <c r="AC5"/>
  <c r="AC9"/>
  <c r="AC10"/>
  <c r="AC7"/>
  <c r="AC4"/>
  <c r="AA32"/>
  <c r="AC32"/>
  <c r="AA30"/>
  <c r="AC30"/>
  <c r="AA23"/>
  <c r="AC23"/>
  <c r="AA27"/>
  <c r="AC27"/>
  <c r="AA24"/>
  <c r="AC24"/>
  <c r="AA25"/>
  <c r="AC25"/>
  <c r="AA31"/>
  <c r="AC31"/>
  <c r="AA28"/>
  <c r="AC28"/>
  <c r="AA22"/>
  <c r="AC22"/>
  <c r="AA26"/>
  <c r="AC26"/>
  <c r="AA29"/>
  <c r="AC29"/>
  <c r="AC11"/>
  <c r="AC14"/>
  <c r="AC12"/>
  <c r="K17"/>
  <c r="J18"/>
  <c r="K10" s="1"/>
  <c r="I19"/>
  <c r="I17"/>
  <c r="K9" s="1"/>
  <c r="K19"/>
  <c r="K11" s="1"/>
  <c r="I18"/>
  <c r="J17"/>
  <c r="J19"/>
  <c r="V65" i="282"/>
  <c r="C35" i="278"/>
  <c r="I34" s="1"/>
  <c r="U62" i="282"/>
  <c r="V62"/>
  <c r="W57"/>
  <c r="C73" s="1"/>
  <c r="T62"/>
  <c r="W60"/>
  <c r="F76" s="1"/>
  <c r="T66"/>
  <c r="W58"/>
  <c r="V69"/>
  <c r="W59"/>
  <c r="E75" s="1"/>
  <c r="W61"/>
  <c r="D77" s="1"/>
  <c r="T69"/>
  <c r="V64"/>
  <c r="W56"/>
  <c r="E72" s="1"/>
  <c r="S62"/>
  <c r="T68"/>
  <c r="T64"/>
  <c r="V68"/>
  <c r="U69"/>
  <c r="U65"/>
  <c r="S69"/>
  <c r="S66"/>
  <c r="U64"/>
  <c r="U68"/>
  <c r="U66"/>
  <c r="S65"/>
  <c r="S64"/>
  <c r="S68"/>
  <c r="E34" i="278"/>
  <c r="E33"/>
  <c r="D35"/>
  <c r="J34" s="1"/>
  <c r="A35"/>
  <c r="E32"/>
  <c r="B35"/>
  <c r="F49" i="275"/>
  <c r="D56"/>
  <c r="E56"/>
  <c r="E53"/>
  <c r="L47" s="1"/>
  <c r="E57"/>
  <c r="E51"/>
  <c r="L49"/>
  <c r="L54" s="1"/>
  <c r="D54"/>
  <c r="B89" i="273"/>
  <c r="U313"/>
  <c r="I33" i="278" l="1"/>
  <c r="I32"/>
  <c r="E76" i="282"/>
  <c r="C76"/>
  <c r="D76"/>
  <c r="D72"/>
  <c r="F72"/>
  <c r="E73"/>
  <c r="C77"/>
  <c r="F73"/>
  <c r="C72"/>
  <c r="D73"/>
  <c r="W62"/>
  <c r="E77"/>
  <c r="F77"/>
  <c r="F75"/>
  <c r="C75"/>
  <c r="D75"/>
  <c r="C74"/>
  <c r="E74"/>
  <c r="D74"/>
  <c r="F74"/>
  <c r="W65"/>
  <c r="W68"/>
  <c r="W69"/>
  <c r="W64"/>
  <c r="W66"/>
  <c r="J32" i="278"/>
  <c r="J33"/>
  <c r="H33"/>
  <c r="H34"/>
  <c r="E35"/>
  <c r="G34"/>
  <c r="G33"/>
  <c r="H32"/>
  <c r="G32"/>
  <c r="L48" i="275"/>
  <c r="L57" s="1"/>
  <c r="S50" s="1"/>
  <c r="L56"/>
  <c r="S47" s="1"/>
  <c r="C57"/>
  <c r="F50"/>
  <c r="C54"/>
  <c r="K50"/>
  <c r="K49"/>
  <c r="D57"/>
  <c r="D53"/>
  <c r="K47" s="1"/>
  <c r="D51"/>
  <c r="F48"/>
  <c r="C53"/>
  <c r="C51"/>
  <c r="U315" i="273"/>
  <c r="E89" s="1"/>
  <c r="D89"/>
  <c r="I35" i="278" l="1"/>
  <c r="G76" i="282"/>
  <c r="C81"/>
  <c r="K75" s="1"/>
  <c r="C82"/>
  <c r="K76" s="1"/>
  <c r="G73"/>
  <c r="G72"/>
  <c r="F85"/>
  <c r="G74"/>
  <c r="D85"/>
  <c r="G75"/>
  <c r="G77"/>
  <c r="E82"/>
  <c r="C85"/>
  <c r="D81"/>
  <c r="E85"/>
  <c r="F82"/>
  <c r="F81"/>
  <c r="D82"/>
  <c r="E84"/>
  <c r="E81"/>
  <c r="D84"/>
  <c r="D80"/>
  <c r="D78"/>
  <c r="E78"/>
  <c r="C80"/>
  <c r="C84"/>
  <c r="C78"/>
  <c r="F80"/>
  <c r="F84"/>
  <c r="F78"/>
  <c r="E80"/>
  <c r="J35" i="278"/>
  <c r="G35"/>
  <c r="K32"/>
  <c r="A37" s="1"/>
  <c r="K33"/>
  <c r="B38" s="1"/>
  <c r="H35"/>
  <c r="K34"/>
  <c r="K48" i="275"/>
  <c r="K53" s="1"/>
  <c r="S48"/>
  <c r="S49"/>
  <c r="L51"/>
  <c r="L53"/>
  <c r="K54"/>
  <c r="J50"/>
  <c r="M50" s="1"/>
  <c r="J49"/>
  <c r="J48"/>
  <c r="J47"/>
  <c r="K56"/>
  <c r="R49" s="1"/>
  <c r="F51"/>
  <c r="K77" i="282" l="1"/>
  <c r="K82" s="1"/>
  <c r="B37" i="278"/>
  <c r="K74" i="282"/>
  <c r="K81" s="1"/>
  <c r="K73"/>
  <c r="K72"/>
  <c r="N72"/>
  <c r="N73"/>
  <c r="N77"/>
  <c r="N76"/>
  <c r="M73"/>
  <c r="M72"/>
  <c r="N74"/>
  <c r="N75"/>
  <c r="M74"/>
  <c r="M75"/>
  <c r="L74"/>
  <c r="L75"/>
  <c r="L72"/>
  <c r="L73"/>
  <c r="L76"/>
  <c r="L77"/>
  <c r="M77"/>
  <c r="M76"/>
  <c r="G85"/>
  <c r="G81"/>
  <c r="G78"/>
  <c r="G82"/>
  <c r="G80"/>
  <c r="G84"/>
  <c r="K35" i="278"/>
  <c r="C39"/>
  <c r="D39"/>
  <c r="A39"/>
  <c r="C38"/>
  <c r="D38"/>
  <c r="A38"/>
  <c r="B39"/>
  <c r="D37"/>
  <c r="C37"/>
  <c r="S54" i="275"/>
  <c r="S56"/>
  <c r="K57"/>
  <c r="R50" s="1"/>
  <c r="K51"/>
  <c r="S57"/>
  <c r="S51"/>
  <c r="S53"/>
  <c r="J54"/>
  <c r="M49"/>
  <c r="J51"/>
  <c r="M47"/>
  <c r="J56"/>
  <c r="Q47" s="1"/>
  <c r="J53"/>
  <c r="R47"/>
  <c r="J57"/>
  <c r="Q50" s="1"/>
  <c r="M48"/>
  <c r="K85" i="282" l="1"/>
  <c r="S75" s="1"/>
  <c r="M81"/>
  <c r="O77"/>
  <c r="L85"/>
  <c r="T75" s="1"/>
  <c r="M85"/>
  <c r="U73" s="1"/>
  <c r="N85"/>
  <c r="V75" s="1"/>
  <c r="L82"/>
  <c r="M82"/>
  <c r="O72"/>
  <c r="M78"/>
  <c r="O74"/>
  <c r="O75"/>
  <c r="O76"/>
  <c r="N81"/>
  <c r="M84"/>
  <c r="U74" s="1"/>
  <c r="O73"/>
  <c r="M80"/>
  <c r="N82"/>
  <c r="K80"/>
  <c r="K84"/>
  <c r="S72" s="1"/>
  <c r="L78"/>
  <c r="L80"/>
  <c r="L84"/>
  <c r="T76" s="1"/>
  <c r="N78"/>
  <c r="N80"/>
  <c r="N84"/>
  <c r="V76" s="1"/>
  <c r="L81"/>
  <c r="K78"/>
  <c r="E37" i="278"/>
  <c r="E38"/>
  <c r="E39"/>
  <c r="C40"/>
  <c r="I38" s="1"/>
  <c r="A40"/>
  <c r="D40"/>
  <c r="J38" s="1"/>
  <c r="B40"/>
  <c r="H39" s="1"/>
  <c r="R56" i="275"/>
  <c r="R54"/>
  <c r="R48"/>
  <c r="T50"/>
  <c r="E63" s="1"/>
  <c r="M51"/>
  <c r="Q49"/>
  <c r="T47"/>
  <c r="E60" s="1"/>
  <c r="Q48"/>
  <c r="G4" i="239"/>
  <c r="G5" s="1"/>
  <c r="H4"/>
  <c r="H5" s="1"/>
  <c r="G6"/>
  <c r="H6"/>
  <c r="G7"/>
  <c r="H7"/>
  <c r="G8"/>
  <c r="H8"/>
  <c r="F8"/>
  <c r="F7"/>
  <c r="F6"/>
  <c r="F4"/>
  <c r="F5" s="1"/>
  <c r="S73" i="282" l="1"/>
  <c r="S80" s="1"/>
  <c r="S77"/>
  <c r="J37" i="278"/>
  <c r="T77" i="282"/>
  <c r="T82" s="1"/>
  <c r="O85"/>
  <c r="O82"/>
  <c r="T73"/>
  <c r="U75"/>
  <c r="U81" s="1"/>
  <c r="V77"/>
  <c r="V82" s="1"/>
  <c r="V73"/>
  <c r="U77"/>
  <c r="V72"/>
  <c r="O81"/>
  <c r="V74"/>
  <c r="T74"/>
  <c r="T81" s="1"/>
  <c r="U72"/>
  <c r="U80" s="1"/>
  <c r="T72"/>
  <c r="U76"/>
  <c r="S76"/>
  <c r="S74"/>
  <c r="O78"/>
  <c r="O84"/>
  <c r="O80"/>
  <c r="E40" i="278"/>
  <c r="G37"/>
  <c r="G39"/>
  <c r="J39"/>
  <c r="I39"/>
  <c r="H38"/>
  <c r="H37"/>
  <c r="I37"/>
  <c r="G38"/>
  <c r="D63" i="275"/>
  <c r="Q53"/>
  <c r="R51"/>
  <c r="C63"/>
  <c r="D60"/>
  <c r="C60"/>
  <c r="R57"/>
  <c r="R53"/>
  <c r="Q51"/>
  <c r="Q57"/>
  <c r="T48"/>
  <c r="E61" s="1"/>
  <c r="Q54"/>
  <c r="T49"/>
  <c r="Q56"/>
  <c r="S85" i="282" l="1"/>
  <c r="J40" i="278"/>
  <c r="U85" i="282"/>
  <c r="T85"/>
  <c r="V85"/>
  <c r="W77"/>
  <c r="F93" s="1"/>
  <c r="W75"/>
  <c r="C91" s="1"/>
  <c r="W73"/>
  <c r="F89" s="1"/>
  <c r="W74"/>
  <c r="E90" s="1"/>
  <c r="W76"/>
  <c r="C92" s="1"/>
  <c r="T80"/>
  <c r="U82"/>
  <c r="U78"/>
  <c r="U84"/>
  <c r="W72"/>
  <c r="C88" s="1"/>
  <c r="T84"/>
  <c r="T78"/>
  <c r="S81"/>
  <c r="S82"/>
  <c r="S78"/>
  <c r="V84"/>
  <c r="V78"/>
  <c r="V80"/>
  <c r="W80" s="1"/>
  <c r="V81"/>
  <c r="S84"/>
  <c r="G40" i="278"/>
  <c r="K37"/>
  <c r="D42" s="1"/>
  <c r="H40"/>
  <c r="K38"/>
  <c r="B43" s="1"/>
  <c r="I40"/>
  <c r="K39"/>
  <c r="B44" s="1"/>
  <c r="D61" i="275"/>
  <c r="D62"/>
  <c r="E62"/>
  <c r="C61"/>
  <c r="C62"/>
  <c r="T51"/>
  <c r="F60"/>
  <c r="W85" i="282" l="1"/>
  <c r="D93"/>
  <c r="C93"/>
  <c r="C98" s="1"/>
  <c r="E93"/>
  <c r="W82"/>
  <c r="D89"/>
  <c r="E92"/>
  <c r="E89"/>
  <c r="C89"/>
  <c r="F91"/>
  <c r="F101" s="1"/>
  <c r="E91"/>
  <c r="D90"/>
  <c r="F90"/>
  <c r="D91"/>
  <c r="C90"/>
  <c r="D88"/>
  <c r="E88"/>
  <c r="F88"/>
  <c r="F92"/>
  <c r="D92"/>
  <c r="C96"/>
  <c r="F96"/>
  <c r="W84"/>
  <c r="W81"/>
  <c r="W78"/>
  <c r="D44" i="278"/>
  <c r="C44"/>
  <c r="A43"/>
  <c r="C42"/>
  <c r="K40"/>
  <c r="B42"/>
  <c r="A44"/>
  <c r="C43"/>
  <c r="D43"/>
  <c r="A42"/>
  <c r="C66" i="275"/>
  <c r="J60" s="1"/>
  <c r="F63"/>
  <c r="C67"/>
  <c r="J63" s="1"/>
  <c r="C69"/>
  <c r="C70"/>
  <c r="C64"/>
  <c r="N25" i="233"/>
  <c r="P35"/>
  <c r="O20"/>
  <c r="B11"/>
  <c r="B12" s="1"/>
  <c r="G93" i="282" l="1"/>
  <c r="E98"/>
  <c r="M92" s="1"/>
  <c r="G89"/>
  <c r="C101"/>
  <c r="Q35" i="233"/>
  <c r="R35" s="1"/>
  <c r="P25"/>
  <c r="Q25" s="1"/>
  <c r="J61" i="275"/>
  <c r="J66" s="1"/>
  <c r="C45" i="278"/>
  <c r="I44" s="1"/>
  <c r="E96" i="282"/>
  <c r="M89" s="1"/>
  <c r="E101"/>
  <c r="G88"/>
  <c r="G91"/>
  <c r="D101"/>
  <c r="F97"/>
  <c r="N90" s="1"/>
  <c r="G90"/>
  <c r="D96"/>
  <c r="L88" s="1"/>
  <c r="G92"/>
  <c r="K88"/>
  <c r="K89"/>
  <c r="N89"/>
  <c r="N88"/>
  <c r="K92"/>
  <c r="K93"/>
  <c r="F94"/>
  <c r="C94"/>
  <c r="D94"/>
  <c r="E94"/>
  <c r="D100"/>
  <c r="C100"/>
  <c r="E100"/>
  <c r="F98"/>
  <c r="E97"/>
  <c r="F100"/>
  <c r="D98"/>
  <c r="C97"/>
  <c r="D97"/>
  <c r="E44" i="278"/>
  <c r="A45"/>
  <c r="G42" s="1"/>
  <c r="E42"/>
  <c r="E43"/>
  <c r="D45"/>
  <c r="J43" s="1"/>
  <c r="B45"/>
  <c r="H42" s="1"/>
  <c r="F61" i="275"/>
  <c r="J62"/>
  <c r="J69" s="1"/>
  <c r="Q60" s="1"/>
  <c r="D67"/>
  <c r="K63" s="1"/>
  <c r="D69"/>
  <c r="E70"/>
  <c r="E64"/>
  <c r="E66"/>
  <c r="L60" s="1"/>
  <c r="D70"/>
  <c r="D66"/>
  <c r="D64"/>
  <c r="E67"/>
  <c r="L63" s="1"/>
  <c r="E69"/>
  <c r="F62"/>
  <c r="P20" i="233"/>
  <c r="Q20" s="1"/>
  <c r="A18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B31" s="1"/>
  <c r="C31" s="1"/>
  <c r="P30"/>
  <c r="Q30" s="1"/>
  <c r="N91" i="282" l="1"/>
  <c r="N97" s="1"/>
  <c r="M93"/>
  <c r="M98" s="1"/>
  <c r="J70" i="275"/>
  <c r="Q63" s="1"/>
  <c r="M88" i="282"/>
  <c r="O88" s="1"/>
  <c r="I42" i="278"/>
  <c r="I43"/>
  <c r="B25" i="233"/>
  <c r="C25" s="1"/>
  <c r="G101" i="282"/>
  <c r="G96"/>
  <c r="L89"/>
  <c r="L96" s="1"/>
  <c r="L91"/>
  <c r="L90"/>
  <c r="M90"/>
  <c r="M91"/>
  <c r="K91"/>
  <c r="K90"/>
  <c r="N92"/>
  <c r="N100" s="1"/>
  <c r="V88" s="1"/>
  <c r="N93"/>
  <c r="K96"/>
  <c r="L93"/>
  <c r="L92"/>
  <c r="K98"/>
  <c r="G94"/>
  <c r="G100"/>
  <c r="G98"/>
  <c r="G97"/>
  <c r="N96"/>
  <c r="G44" i="278"/>
  <c r="H43"/>
  <c r="H44"/>
  <c r="J44"/>
  <c r="J42"/>
  <c r="E45"/>
  <c r="G43"/>
  <c r="F64" i="275"/>
  <c r="J67"/>
  <c r="M63"/>
  <c r="J64"/>
  <c r="L62"/>
  <c r="L67" s="1"/>
  <c r="K62"/>
  <c r="K67" s="1"/>
  <c r="Q62"/>
  <c r="K61"/>
  <c r="K60"/>
  <c r="L61"/>
  <c r="B19" i="233"/>
  <c r="C19" s="1"/>
  <c r="B27"/>
  <c r="C27" s="1"/>
  <c r="B18"/>
  <c r="C18" s="1"/>
  <c r="B24"/>
  <c r="C24" s="1"/>
  <c r="A32"/>
  <c r="B32" s="1"/>
  <c r="C32" s="1"/>
  <c r="B29"/>
  <c r="C29" s="1"/>
  <c r="B28"/>
  <c r="C28" s="1"/>
  <c r="B22"/>
  <c r="C22" s="1"/>
  <c r="B26"/>
  <c r="C26" s="1"/>
  <c r="B23"/>
  <c r="C23" s="1"/>
  <c r="B21"/>
  <c r="C21" s="1"/>
  <c r="B20"/>
  <c r="C20" s="1"/>
  <c r="B30"/>
  <c r="C30" s="1"/>
  <c r="I45" i="278" l="1"/>
  <c r="Q61" i="275"/>
  <c r="Q66" s="1"/>
  <c r="M96" i="282"/>
  <c r="O96" s="1"/>
  <c r="K42" i="278"/>
  <c r="B47" s="1"/>
  <c r="G45"/>
  <c r="A33" i="233"/>
  <c r="A34" s="1"/>
  <c r="O92" i="282"/>
  <c r="O89"/>
  <c r="L97"/>
  <c r="O91"/>
  <c r="O93"/>
  <c r="L98"/>
  <c r="V92"/>
  <c r="V90"/>
  <c r="N101"/>
  <c r="M94"/>
  <c r="M101"/>
  <c r="U91" s="1"/>
  <c r="O90"/>
  <c r="N94"/>
  <c r="M97"/>
  <c r="M100"/>
  <c r="L100"/>
  <c r="T88" s="1"/>
  <c r="L101"/>
  <c r="T89" s="1"/>
  <c r="N98"/>
  <c r="K101"/>
  <c r="L94"/>
  <c r="K97"/>
  <c r="K100"/>
  <c r="K94"/>
  <c r="H45" i="278"/>
  <c r="K44"/>
  <c r="D49" s="1"/>
  <c r="K43"/>
  <c r="B48" s="1"/>
  <c r="J45"/>
  <c r="L69" i="275"/>
  <c r="S60" s="1"/>
  <c r="M62"/>
  <c r="Q67"/>
  <c r="K66"/>
  <c r="K64"/>
  <c r="M60"/>
  <c r="L66"/>
  <c r="L70"/>
  <c r="S63" s="1"/>
  <c r="K69"/>
  <c r="K70"/>
  <c r="R63" s="1"/>
  <c r="M61"/>
  <c r="L64"/>
  <c r="Q69"/>
  <c r="D47" i="278" l="1"/>
  <c r="A47"/>
  <c r="Q70" i="275"/>
  <c r="Q64"/>
  <c r="C47" i="278"/>
  <c r="B33" i="233"/>
  <c r="C33" s="1"/>
  <c r="K45" i="278"/>
  <c r="O98" i="282"/>
  <c r="T91"/>
  <c r="S88"/>
  <c r="S92"/>
  <c r="S89"/>
  <c r="S93"/>
  <c r="S91"/>
  <c r="S90"/>
  <c r="T90"/>
  <c r="T92"/>
  <c r="V89"/>
  <c r="V91"/>
  <c r="V93"/>
  <c r="V98" s="1"/>
  <c r="U92"/>
  <c r="U88"/>
  <c r="U90"/>
  <c r="U97" s="1"/>
  <c r="U89"/>
  <c r="U93"/>
  <c r="T93"/>
  <c r="O97"/>
  <c r="V100"/>
  <c r="O94"/>
  <c r="O100"/>
  <c r="O101"/>
  <c r="B49" i="278"/>
  <c r="B50" s="1"/>
  <c r="D48"/>
  <c r="C48"/>
  <c r="A48"/>
  <c r="C49"/>
  <c r="A49"/>
  <c r="S62" i="275"/>
  <c r="M64"/>
  <c r="S61"/>
  <c r="R61"/>
  <c r="T63"/>
  <c r="C76" s="1"/>
  <c r="R60"/>
  <c r="R62"/>
  <c r="B34" i="233"/>
  <c r="C34" s="1"/>
  <c r="A35"/>
  <c r="D50" i="278" l="1"/>
  <c r="J48" s="1"/>
  <c r="E47"/>
  <c r="A50"/>
  <c r="G47" s="1"/>
  <c r="U98" i="282"/>
  <c r="V94"/>
  <c r="T98"/>
  <c r="V97"/>
  <c r="U101"/>
  <c r="W93"/>
  <c r="C109" s="1"/>
  <c r="W89"/>
  <c r="D105" s="1"/>
  <c r="W90"/>
  <c r="F106" s="1"/>
  <c r="W92"/>
  <c r="F108" s="1"/>
  <c r="V96"/>
  <c r="V101"/>
  <c r="W91"/>
  <c r="E107" s="1"/>
  <c r="W88"/>
  <c r="U100"/>
  <c r="U94"/>
  <c r="U96"/>
  <c r="T97"/>
  <c r="T101"/>
  <c r="T94"/>
  <c r="T100"/>
  <c r="T96"/>
  <c r="S98"/>
  <c r="S101"/>
  <c r="S94"/>
  <c r="S97"/>
  <c r="S96"/>
  <c r="S100"/>
  <c r="C50" i="278"/>
  <c r="I47" s="1"/>
  <c r="H47"/>
  <c r="H48"/>
  <c r="H49"/>
  <c r="E49"/>
  <c r="E48"/>
  <c r="E76" i="275"/>
  <c r="D76"/>
  <c r="S64"/>
  <c r="S67"/>
  <c r="R70"/>
  <c r="S66"/>
  <c r="S70"/>
  <c r="S69"/>
  <c r="T61"/>
  <c r="C74" s="1"/>
  <c r="C83" s="1"/>
  <c r="R67"/>
  <c r="T62"/>
  <c r="C75" s="1"/>
  <c r="R66"/>
  <c r="R69"/>
  <c r="R64"/>
  <c r="T60"/>
  <c r="D73" s="1"/>
  <c r="A36" i="233"/>
  <c r="B35"/>
  <c r="C35" s="1"/>
  <c r="J47" i="278" l="1"/>
  <c r="K47" s="1"/>
  <c r="J49"/>
  <c r="I48"/>
  <c r="G49"/>
  <c r="G48"/>
  <c r="E50"/>
  <c r="I49"/>
  <c r="D109" i="282"/>
  <c r="E108"/>
  <c r="E109"/>
  <c r="D108"/>
  <c r="C105"/>
  <c r="F105"/>
  <c r="D106"/>
  <c r="W98"/>
  <c r="F109"/>
  <c r="C108"/>
  <c r="E106"/>
  <c r="C107"/>
  <c r="F107"/>
  <c r="F104"/>
  <c r="D104"/>
  <c r="D107"/>
  <c r="E105"/>
  <c r="C104"/>
  <c r="C106"/>
  <c r="G106" s="1"/>
  <c r="E104"/>
  <c r="W101"/>
  <c r="W100"/>
  <c r="W96"/>
  <c r="W97"/>
  <c r="W94"/>
  <c r="H50" i="278"/>
  <c r="D74" i="275"/>
  <c r="D83" s="1"/>
  <c r="E74"/>
  <c r="E83" s="1"/>
  <c r="D75"/>
  <c r="D82" s="1"/>
  <c r="C73"/>
  <c r="C82" s="1"/>
  <c r="E73"/>
  <c r="E75"/>
  <c r="T64"/>
  <c r="A37" i="233"/>
  <c r="B36"/>
  <c r="C36" s="1"/>
  <c r="J50" i="278" l="1"/>
  <c r="G50"/>
  <c r="I50"/>
  <c r="K48"/>
  <c r="K49"/>
  <c r="C112" i="282"/>
  <c r="K105" s="1"/>
  <c r="G108"/>
  <c r="G109"/>
  <c r="G105"/>
  <c r="G107"/>
  <c r="G104"/>
  <c r="C117"/>
  <c r="C113"/>
  <c r="K107" s="1"/>
  <c r="D117"/>
  <c r="E114"/>
  <c r="E116"/>
  <c r="E113"/>
  <c r="C114"/>
  <c r="D116"/>
  <c r="D110"/>
  <c r="D112"/>
  <c r="F112"/>
  <c r="F110"/>
  <c r="F116"/>
  <c r="C110"/>
  <c r="D114"/>
  <c r="E117"/>
  <c r="D113"/>
  <c r="E110"/>
  <c r="E112"/>
  <c r="C116"/>
  <c r="F114"/>
  <c r="F117"/>
  <c r="F113"/>
  <c r="E82" i="275"/>
  <c r="F76"/>
  <c r="D80"/>
  <c r="K76" s="1"/>
  <c r="F74"/>
  <c r="B37" i="233"/>
  <c r="C37" s="1"/>
  <c r="A38"/>
  <c r="K50" i="278" l="1"/>
  <c r="K104" i="282"/>
  <c r="K112" s="1"/>
  <c r="K106"/>
  <c r="K113" s="1"/>
  <c r="L105"/>
  <c r="L104"/>
  <c r="N109"/>
  <c r="N108"/>
  <c r="M108"/>
  <c r="M109"/>
  <c r="M106"/>
  <c r="M107"/>
  <c r="L107"/>
  <c r="L106"/>
  <c r="N107"/>
  <c r="N106"/>
  <c r="M104"/>
  <c r="M105"/>
  <c r="L109"/>
  <c r="L108"/>
  <c r="N104"/>
  <c r="N105"/>
  <c r="K108"/>
  <c r="K109"/>
  <c r="K117" s="1"/>
  <c r="S107" s="1"/>
  <c r="G117"/>
  <c r="G116"/>
  <c r="G113"/>
  <c r="G114"/>
  <c r="G110"/>
  <c r="G112"/>
  <c r="K75" i="275"/>
  <c r="K80" s="1"/>
  <c r="D79"/>
  <c r="K74" s="1"/>
  <c r="K83" s="1"/>
  <c r="R74" s="1"/>
  <c r="D77"/>
  <c r="F75"/>
  <c r="C80"/>
  <c r="J76" s="1"/>
  <c r="E79"/>
  <c r="L74" s="1"/>
  <c r="E77"/>
  <c r="E80"/>
  <c r="L76" s="1"/>
  <c r="C79"/>
  <c r="J74" s="1"/>
  <c r="F73"/>
  <c r="C77"/>
  <c r="B38" i="233"/>
  <c r="C38" s="1"/>
  <c r="A39"/>
  <c r="M114" i="282" l="1"/>
  <c r="O104"/>
  <c r="N114"/>
  <c r="O107"/>
  <c r="L117"/>
  <c r="T105" s="1"/>
  <c r="O105"/>
  <c r="S105"/>
  <c r="O109"/>
  <c r="S109"/>
  <c r="O106"/>
  <c r="M116"/>
  <c r="U104" s="1"/>
  <c r="O108"/>
  <c r="M112"/>
  <c r="L114"/>
  <c r="N117"/>
  <c r="V109" s="1"/>
  <c r="N112"/>
  <c r="N116"/>
  <c r="V108" s="1"/>
  <c r="M117"/>
  <c r="K110"/>
  <c r="K114"/>
  <c r="K116"/>
  <c r="L113"/>
  <c r="L110"/>
  <c r="L116"/>
  <c r="T106" s="1"/>
  <c r="L112"/>
  <c r="N110"/>
  <c r="N113"/>
  <c r="M113"/>
  <c r="M110"/>
  <c r="L75" i="275"/>
  <c r="L80" s="1"/>
  <c r="R76"/>
  <c r="M76"/>
  <c r="L83"/>
  <c r="S76" s="1"/>
  <c r="F77"/>
  <c r="L73"/>
  <c r="J75"/>
  <c r="K73"/>
  <c r="J83"/>
  <c r="Q76" s="1"/>
  <c r="M74"/>
  <c r="J73"/>
  <c r="B39" i="233"/>
  <c r="C39" s="1"/>
  <c r="A40"/>
  <c r="T109" i="282" l="1"/>
  <c r="T107"/>
  <c r="U106"/>
  <c r="U108"/>
  <c r="T108"/>
  <c r="V106"/>
  <c r="V104"/>
  <c r="T104"/>
  <c r="O117"/>
  <c r="S104"/>
  <c r="S106"/>
  <c r="S108"/>
  <c r="V107"/>
  <c r="U109"/>
  <c r="V105"/>
  <c r="U105"/>
  <c r="U107"/>
  <c r="O114"/>
  <c r="O112"/>
  <c r="O113"/>
  <c r="O116"/>
  <c r="O110"/>
  <c r="S117"/>
  <c r="R83" i="275"/>
  <c r="Q74"/>
  <c r="J80"/>
  <c r="M75"/>
  <c r="L77"/>
  <c r="L82"/>
  <c r="S75" s="1"/>
  <c r="L79"/>
  <c r="J79"/>
  <c r="M73"/>
  <c r="J82"/>
  <c r="Q75" s="1"/>
  <c r="J77"/>
  <c r="K79"/>
  <c r="K77"/>
  <c r="K82"/>
  <c r="R75" s="1"/>
  <c r="S74"/>
  <c r="T76"/>
  <c r="E89" s="1"/>
  <c r="A41" i="233"/>
  <c r="B40"/>
  <c r="C40" s="1"/>
  <c r="T117" i="282" l="1"/>
  <c r="U116"/>
  <c r="T114"/>
  <c r="U112"/>
  <c r="W109"/>
  <c r="E125" s="1"/>
  <c r="T113"/>
  <c r="U113"/>
  <c r="V113"/>
  <c r="W108"/>
  <c r="F124" s="1"/>
  <c r="S114"/>
  <c r="W106"/>
  <c r="D122" s="1"/>
  <c r="W104"/>
  <c r="E120" s="1"/>
  <c r="W105"/>
  <c r="F121" s="1"/>
  <c r="W107"/>
  <c r="C123" s="1"/>
  <c r="V114"/>
  <c r="V117"/>
  <c r="U114"/>
  <c r="U110"/>
  <c r="S112"/>
  <c r="S110"/>
  <c r="S116"/>
  <c r="S113"/>
  <c r="V116"/>
  <c r="V110"/>
  <c r="V112"/>
  <c r="U117"/>
  <c r="T116"/>
  <c r="T110"/>
  <c r="T112"/>
  <c r="D89" i="275"/>
  <c r="C89"/>
  <c r="Q83"/>
  <c r="R73"/>
  <c r="R79" s="1"/>
  <c r="S73"/>
  <c r="M77"/>
  <c r="Q80"/>
  <c r="T75"/>
  <c r="C88" s="1"/>
  <c r="S83"/>
  <c r="T74"/>
  <c r="D87" s="1"/>
  <c r="R80"/>
  <c r="Q73"/>
  <c r="S80"/>
  <c r="B41" i="233"/>
  <c r="C41" s="1"/>
  <c r="A42"/>
  <c r="F122" i="282" l="1"/>
  <c r="E122"/>
  <c r="D120"/>
  <c r="D123"/>
  <c r="D129" s="1"/>
  <c r="L123" s="1"/>
  <c r="C121"/>
  <c r="D121"/>
  <c r="D125"/>
  <c r="C125"/>
  <c r="F125"/>
  <c r="F130" s="1"/>
  <c r="N124" s="1"/>
  <c r="E121"/>
  <c r="E128" s="1"/>
  <c r="M120" s="1"/>
  <c r="E123"/>
  <c r="D124"/>
  <c r="E124"/>
  <c r="E130" s="1"/>
  <c r="M124" s="1"/>
  <c r="C120"/>
  <c r="C122"/>
  <c r="F123"/>
  <c r="F120"/>
  <c r="C124"/>
  <c r="W113"/>
  <c r="W114"/>
  <c r="W112"/>
  <c r="W117"/>
  <c r="W116"/>
  <c r="W110"/>
  <c r="C87" i="275"/>
  <c r="E88"/>
  <c r="E87"/>
  <c r="D88"/>
  <c r="D93" s="1"/>
  <c r="K88" s="1"/>
  <c r="R82"/>
  <c r="F89"/>
  <c r="R77"/>
  <c r="S82"/>
  <c r="S79"/>
  <c r="S77"/>
  <c r="Q77"/>
  <c r="Q82"/>
  <c r="Q79"/>
  <c r="T73"/>
  <c r="T77" s="1"/>
  <c r="B42" i="233"/>
  <c r="C42" s="1"/>
  <c r="A43"/>
  <c r="E129" i="282" l="1"/>
  <c r="M123" s="1"/>
  <c r="E132"/>
  <c r="M125"/>
  <c r="M130" s="1"/>
  <c r="E126"/>
  <c r="D128"/>
  <c r="L121" s="1"/>
  <c r="F133"/>
  <c r="F129"/>
  <c r="N122" s="1"/>
  <c r="D130"/>
  <c r="L124" s="1"/>
  <c r="F128"/>
  <c r="N121" s="1"/>
  <c r="F132"/>
  <c r="F126"/>
  <c r="G125"/>
  <c r="C130"/>
  <c r="G124"/>
  <c r="G120"/>
  <c r="C126"/>
  <c r="C132"/>
  <c r="C128"/>
  <c r="K121" s="1"/>
  <c r="E133"/>
  <c r="M121"/>
  <c r="D126"/>
  <c r="N125"/>
  <c r="N130" s="1"/>
  <c r="G121"/>
  <c r="C133"/>
  <c r="L122"/>
  <c r="L129" s="1"/>
  <c r="G123"/>
  <c r="G122"/>
  <c r="C129"/>
  <c r="D132"/>
  <c r="D133"/>
  <c r="C86" i="275"/>
  <c r="E86"/>
  <c r="D86"/>
  <c r="E96"/>
  <c r="K89"/>
  <c r="K93" s="1"/>
  <c r="B43" i="233"/>
  <c r="C43" s="1"/>
  <c r="A44"/>
  <c r="B44" s="1"/>
  <c r="C44" s="1"/>
  <c r="M122" i="282" l="1"/>
  <c r="M126" s="1"/>
  <c r="L120"/>
  <c r="L132" s="1"/>
  <c r="T120" s="1"/>
  <c r="N123"/>
  <c r="N129" s="1"/>
  <c r="L125"/>
  <c r="L133" s="1"/>
  <c r="T123" s="1"/>
  <c r="G132"/>
  <c r="G130"/>
  <c r="N120"/>
  <c r="N132" s="1"/>
  <c r="K122"/>
  <c r="G129"/>
  <c r="K123"/>
  <c r="G126"/>
  <c r="G133"/>
  <c r="M133"/>
  <c r="K120"/>
  <c r="G128"/>
  <c r="K124"/>
  <c r="M128"/>
  <c r="K125"/>
  <c r="O121"/>
  <c r="C93" i="275"/>
  <c r="J89" s="1"/>
  <c r="F88"/>
  <c r="C96"/>
  <c r="F87"/>
  <c r="D96"/>
  <c r="E93"/>
  <c r="L89" s="1"/>
  <c r="M129" i="282" l="1"/>
  <c r="M132"/>
  <c r="U122" s="1"/>
  <c r="K133"/>
  <c r="S125" s="1"/>
  <c r="L128"/>
  <c r="L126"/>
  <c r="N133"/>
  <c r="V121" s="1"/>
  <c r="N126"/>
  <c r="T121"/>
  <c r="T128" s="1"/>
  <c r="T125"/>
  <c r="L130"/>
  <c r="N128"/>
  <c r="O125"/>
  <c r="K132"/>
  <c r="O120"/>
  <c r="K128"/>
  <c r="K126"/>
  <c r="V120"/>
  <c r="V122"/>
  <c r="V124"/>
  <c r="K130"/>
  <c r="O124"/>
  <c r="U125"/>
  <c r="U123"/>
  <c r="K129"/>
  <c r="O122"/>
  <c r="U121"/>
  <c r="O123"/>
  <c r="T122"/>
  <c r="T124"/>
  <c r="J88" i="275"/>
  <c r="J93" s="1"/>
  <c r="L88"/>
  <c r="M89"/>
  <c r="C95"/>
  <c r="C92"/>
  <c r="J87" s="1"/>
  <c r="F86"/>
  <c r="F90" s="1"/>
  <c r="C90"/>
  <c r="E90"/>
  <c r="E92"/>
  <c r="L87" s="1"/>
  <c r="L96" s="1"/>
  <c r="S87" s="1"/>
  <c r="E95"/>
  <c r="D92"/>
  <c r="K87" s="1"/>
  <c r="D90"/>
  <c r="D95"/>
  <c r="O129" i="282" l="1"/>
  <c r="U120"/>
  <c r="U128" s="1"/>
  <c r="U124"/>
  <c r="U130" s="1"/>
  <c r="O132"/>
  <c r="S123"/>
  <c r="O130"/>
  <c r="T132"/>
  <c r="O128"/>
  <c r="S121"/>
  <c r="T133"/>
  <c r="S122"/>
  <c r="V125"/>
  <c r="O133"/>
  <c r="V123"/>
  <c r="T126"/>
  <c r="O126"/>
  <c r="U133"/>
  <c r="S124"/>
  <c r="U129"/>
  <c r="V128"/>
  <c r="V132"/>
  <c r="T130"/>
  <c r="T129"/>
  <c r="S120"/>
  <c r="M88" i="275"/>
  <c r="L93"/>
  <c r="M87"/>
  <c r="K96"/>
  <c r="R89" s="1"/>
  <c r="J96"/>
  <c r="Q89" s="1"/>
  <c r="K86"/>
  <c r="L86"/>
  <c r="S89"/>
  <c r="J86"/>
  <c r="U126" i="282" l="1"/>
  <c r="U132"/>
  <c r="S133"/>
  <c r="S129"/>
  <c r="W123"/>
  <c r="C139" s="1"/>
  <c r="W122"/>
  <c r="E138" s="1"/>
  <c r="W121"/>
  <c r="C137" s="1"/>
  <c r="V126"/>
  <c r="V133"/>
  <c r="W125"/>
  <c r="D141" s="1"/>
  <c r="V130"/>
  <c r="V129"/>
  <c r="S128"/>
  <c r="W128" s="1"/>
  <c r="S132"/>
  <c r="W132" s="1"/>
  <c r="S126"/>
  <c r="W120"/>
  <c r="W124"/>
  <c r="S130"/>
  <c r="R87" i="275"/>
  <c r="Q87"/>
  <c r="L92"/>
  <c r="L95"/>
  <c r="L90"/>
  <c r="S96"/>
  <c r="T89"/>
  <c r="C102" s="1"/>
  <c r="J95"/>
  <c r="Q88" s="1"/>
  <c r="J90"/>
  <c r="J92"/>
  <c r="M86"/>
  <c r="M90" s="1"/>
  <c r="K90"/>
  <c r="K95"/>
  <c r="R88" s="1"/>
  <c r="K92"/>
  <c r="D138" i="282" l="1"/>
  <c r="W133"/>
  <c r="W129"/>
  <c r="F139"/>
  <c r="D139"/>
  <c r="D145" s="1"/>
  <c r="L138" s="1"/>
  <c r="E139"/>
  <c r="E145" s="1"/>
  <c r="M139" s="1"/>
  <c r="C138"/>
  <c r="C145" s="1"/>
  <c r="K139" s="1"/>
  <c r="F138"/>
  <c r="E137"/>
  <c r="D137"/>
  <c r="F137"/>
  <c r="C141"/>
  <c r="C149" s="1"/>
  <c r="W130"/>
  <c r="E141"/>
  <c r="F141"/>
  <c r="D140"/>
  <c r="F140"/>
  <c r="E140"/>
  <c r="C140"/>
  <c r="W126"/>
  <c r="D136"/>
  <c r="F136"/>
  <c r="E136"/>
  <c r="C136"/>
  <c r="E102" i="275"/>
  <c r="D102"/>
  <c r="R96"/>
  <c r="T87"/>
  <c r="E100" s="1"/>
  <c r="Q96"/>
  <c r="R93"/>
  <c r="Q93"/>
  <c r="S86"/>
  <c r="S88"/>
  <c r="R86"/>
  <c r="Q86"/>
  <c r="F145" i="282" l="1"/>
  <c r="N138" s="1"/>
  <c r="G139"/>
  <c r="K138"/>
  <c r="K145" s="1"/>
  <c r="F149"/>
  <c r="G138"/>
  <c r="M138"/>
  <c r="M145" s="1"/>
  <c r="G137"/>
  <c r="D149"/>
  <c r="L139"/>
  <c r="L145" s="1"/>
  <c r="G141"/>
  <c r="E149"/>
  <c r="E146"/>
  <c r="M141" s="1"/>
  <c r="F144"/>
  <c r="N137" s="1"/>
  <c r="F142"/>
  <c r="F148"/>
  <c r="D148"/>
  <c r="D144"/>
  <c r="L137" s="1"/>
  <c r="D142"/>
  <c r="F146"/>
  <c r="N141" s="1"/>
  <c r="C144"/>
  <c r="C142"/>
  <c r="C148"/>
  <c r="G136"/>
  <c r="C146"/>
  <c r="K141" s="1"/>
  <c r="G140"/>
  <c r="D146"/>
  <c r="E144"/>
  <c r="E142"/>
  <c r="E148"/>
  <c r="T88" i="275"/>
  <c r="E101" s="1"/>
  <c r="D100"/>
  <c r="D109" s="1"/>
  <c r="C100"/>
  <c r="C109" s="1"/>
  <c r="F102"/>
  <c r="E109"/>
  <c r="S92"/>
  <c r="S90"/>
  <c r="S95"/>
  <c r="Q90"/>
  <c r="Q92"/>
  <c r="Q95"/>
  <c r="T86"/>
  <c r="E99" s="1"/>
  <c r="R90"/>
  <c r="R92"/>
  <c r="R95"/>
  <c r="S93"/>
  <c r="G145" i="282" l="1"/>
  <c r="N139"/>
  <c r="N145" s="1"/>
  <c r="O145" s="1"/>
  <c r="M140"/>
  <c r="M146" s="1"/>
  <c r="O138"/>
  <c r="G149"/>
  <c r="O139"/>
  <c r="N140"/>
  <c r="N146" s="1"/>
  <c r="L136"/>
  <c r="L144" s="1"/>
  <c r="K140"/>
  <c r="K146" s="1"/>
  <c r="N136"/>
  <c r="G144"/>
  <c r="K137"/>
  <c r="G142"/>
  <c r="M136"/>
  <c r="M137"/>
  <c r="G146"/>
  <c r="L141"/>
  <c r="O141" s="1"/>
  <c r="K136"/>
  <c r="G148"/>
  <c r="L140"/>
  <c r="C99" i="275"/>
  <c r="T90"/>
  <c r="D99"/>
  <c r="D101"/>
  <c r="D106" s="1"/>
  <c r="K102" s="1"/>
  <c r="C101"/>
  <c r="C106" s="1"/>
  <c r="J102" s="1"/>
  <c r="F100"/>
  <c r="N149" i="282" l="1"/>
  <c r="V139" s="1"/>
  <c r="N148"/>
  <c r="V136" s="1"/>
  <c r="O140"/>
  <c r="N142"/>
  <c r="N144"/>
  <c r="L149"/>
  <c r="T139" s="1"/>
  <c r="L148"/>
  <c r="T140" s="1"/>
  <c r="M149"/>
  <c r="U137" s="1"/>
  <c r="K142"/>
  <c r="K148"/>
  <c r="O136"/>
  <c r="K144"/>
  <c r="M144"/>
  <c r="M148"/>
  <c r="M142"/>
  <c r="K149"/>
  <c r="S137" s="1"/>
  <c r="O137"/>
  <c r="L146"/>
  <c r="O146" s="1"/>
  <c r="L142"/>
  <c r="J101" i="275"/>
  <c r="J106" s="1"/>
  <c r="C108"/>
  <c r="E105"/>
  <c r="L100" s="1"/>
  <c r="E103"/>
  <c r="E108"/>
  <c r="E106"/>
  <c r="L102" s="1"/>
  <c r="F101"/>
  <c r="K101"/>
  <c r="V137" i="282" l="1"/>
  <c r="V144" s="1"/>
  <c r="V140"/>
  <c r="V141"/>
  <c r="V138"/>
  <c r="T141"/>
  <c r="T146" s="1"/>
  <c r="T137"/>
  <c r="O142"/>
  <c r="U139"/>
  <c r="U141"/>
  <c r="U136"/>
  <c r="U138"/>
  <c r="U140"/>
  <c r="O148"/>
  <c r="S138"/>
  <c r="S140"/>
  <c r="O149"/>
  <c r="S139"/>
  <c r="S141"/>
  <c r="S136"/>
  <c r="O144"/>
  <c r="T138"/>
  <c r="T136"/>
  <c r="C103" i="275"/>
  <c r="F99"/>
  <c r="F103" s="1"/>
  <c r="C105"/>
  <c r="J100" s="1"/>
  <c r="D108"/>
  <c r="D103"/>
  <c r="D105"/>
  <c r="M102"/>
  <c r="L109"/>
  <c r="S100" s="1"/>
  <c r="L99"/>
  <c r="K106"/>
  <c r="L101"/>
  <c r="L106" s="1"/>
  <c r="V149" i="282" l="1"/>
  <c r="V142"/>
  <c r="V148"/>
  <c r="V145"/>
  <c r="V146"/>
  <c r="T149"/>
  <c r="W137"/>
  <c r="F153" s="1"/>
  <c r="T142"/>
  <c r="T144"/>
  <c r="T148"/>
  <c r="S149"/>
  <c r="W139"/>
  <c r="W138"/>
  <c r="F154" s="1"/>
  <c r="S145"/>
  <c r="U145"/>
  <c r="T145"/>
  <c r="S146"/>
  <c r="W140"/>
  <c r="E156" s="1"/>
  <c r="U146"/>
  <c r="S144"/>
  <c r="W136"/>
  <c r="F152" s="1"/>
  <c r="S142"/>
  <c r="S148"/>
  <c r="U149"/>
  <c r="U148"/>
  <c r="U144"/>
  <c r="U142"/>
  <c r="W141"/>
  <c r="J99" i="275"/>
  <c r="J105" s="1"/>
  <c r="S102"/>
  <c r="M101"/>
  <c r="J109"/>
  <c r="Q102" s="1"/>
  <c r="K99"/>
  <c r="K100"/>
  <c r="L103"/>
  <c r="L105"/>
  <c r="L108"/>
  <c r="S101" s="1"/>
  <c r="E152" i="282" l="1"/>
  <c r="D153"/>
  <c r="C153"/>
  <c r="E153"/>
  <c r="C156"/>
  <c r="D154"/>
  <c r="W149"/>
  <c r="D155"/>
  <c r="F155"/>
  <c r="F157"/>
  <c r="D157"/>
  <c r="F156"/>
  <c r="F164" s="1"/>
  <c r="D156"/>
  <c r="W142"/>
  <c r="W144"/>
  <c r="W148"/>
  <c r="C152"/>
  <c r="W146"/>
  <c r="E154"/>
  <c r="E155"/>
  <c r="E157"/>
  <c r="D152"/>
  <c r="F160"/>
  <c r="N153" s="1"/>
  <c r="C157"/>
  <c r="W145"/>
  <c r="C154"/>
  <c r="C155"/>
  <c r="J108" i="275"/>
  <c r="Q99" s="1"/>
  <c r="S109"/>
  <c r="J103"/>
  <c r="M99"/>
  <c r="Q100"/>
  <c r="S106"/>
  <c r="K105"/>
  <c r="K109"/>
  <c r="R102" s="1"/>
  <c r="M100"/>
  <c r="S99"/>
  <c r="K108"/>
  <c r="K103"/>
  <c r="E164" i="282" l="1"/>
  <c r="E160"/>
  <c r="M153" s="1"/>
  <c r="C162"/>
  <c r="K156" s="1"/>
  <c r="G153"/>
  <c r="D161"/>
  <c r="L154" s="1"/>
  <c r="N152"/>
  <c r="N160" s="1"/>
  <c r="D165"/>
  <c r="G152"/>
  <c r="C158"/>
  <c r="C164"/>
  <c r="C160"/>
  <c r="K152" s="1"/>
  <c r="D162"/>
  <c r="F158"/>
  <c r="E165"/>
  <c r="F162"/>
  <c r="N156" s="1"/>
  <c r="G157"/>
  <c r="G155"/>
  <c r="C165"/>
  <c r="F165"/>
  <c r="D164"/>
  <c r="D160"/>
  <c r="L153" s="1"/>
  <c r="D158"/>
  <c r="F161"/>
  <c r="N154" s="1"/>
  <c r="G154"/>
  <c r="C161"/>
  <c r="E158"/>
  <c r="G156"/>
  <c r="E161"/>
  <c r="M155" s="1"/>
  <c r="E162"/>
  <c r="M156" s="1"/>
  <c r="M103" i="275"/>
  <c r="Q101"/>
  <c r="Q109"/>
  <c r="T102"/>
  <c r="R100"/>
  <c r="S103"/>
  <c r="S105"/>
  <c r="S108"/>
  <c r="R99"/>
  <c r="R101"/>
  <c r="Q105"/>
  <c r="M152" i="282" l="1"/>
  <c r="M160" s="1"/>
  <c r="N157"/>
  <c r="N162" s="1"/>
  <c r="K157"/>
  <c r="K162" s="1"/>
  <c r="L155"/>
  <c r="L161" s="1"/>
  <c r="L152"/>
  <c r="G162"/>
  <c r="N164"/>
  <c r="V152" s="1"/>
  <c r="L157"/>
  <c r="L156"/>
  <c r="G164"/>
  <c r="M154"/>
  <c r="G165"/>
  <c r="N155"/>
  <c r="G160"/>
  <c r="K153"/>
  <c r="K160" s="1"/>
  <c r="M157"/>
  <c r="M165" s="1"/>
  <c r="U155" s="1"/>
  <c r="K154"/>
  <c r="K164" s="1"/>
  <c r="G161"/>
  <c r="K155"/>
  <c r="G158"/>
  <c r="Q103" i="275"/>
  <c r="T100"/>
  <c r="D113" s="1"/>
  <c r="E115"/>
  <c r="C115"/>
  <c r="D115"/>
  <c r="Q108"/>
  <c r="Q106"/>
  <c r="T101"/>
  <c r="E114" s="1"/>
  <c r="R109"/>
  <c r="R105"/>
  <c r="R108"/>
  <c r="T99"/>
  <c r="R103"/>
  <c r="R106"/>
  <c r="F14" i="9"/>
  <c r="C14"/>
  <c r="B14"/>
  <c r="B24" i="8"/>
  <c r="B22"/>
  <c r="B23" s="1"/>
  <c r="M164" i="282" l="1"/>
  <c r="U152" s="1"/>
  <c r="N165"/>
  <c r="V157" s="1"/>
  <c r="L158"/>
  <c r="N161"/>
  <c r="L160"/>
  <c r="O160" s="1"/>
  <c r="L162"/>
  <c r="L164"/>
  <c r="T154" s="1"/>
  <c r="O152"/>
  <c r="O156"/>
  <c r="L165"/>
  <c r="O157"/>
  <c r="V156"/>
  <c r="V154"/>
  <c r="S156"/>
  <c r="S152"/>
  <c r="O155"/>
  <c r="U153"/>
  <c r="M162"/>
  <c r="U157"/>
  <c r="N158"/>
  <c r="M161"/>
  <c r="M158"/>
  <c r="O153"/>
  <c r="K165"/>
  <c r="S155" s="1"/>
  <c r="K158"/>
  <c r="O154"/>
  <c r="K161"/>
  <c r="S154"/>
  <c r="C114" i="275"/>
  <c r="C119" s="1"/>
  <c r="J115" s="1"/>
  <c r="T103"/>
  <c r="E112"/>
  <c r="C112"/>
  <c r="E113"/>
  <c r="E122" s="1"/>
  <c r="C113"/>
  <c r="C122" s="1"/>
  <c r="D112"/>
  <c r="D114"/>
  <c r="D122"/>
  <c r="F115"/>
  <c r="E119"/>
  <c r="L115" s="1"/>
  <c r="U154" i="282" l="1"/>
  <c r="U164" s="1"/>
  <c r="U156"/>
  <c r="U162" s="1"/>
  <c r="V155"/>
  <c r="V162"/>
  <c r="V153"/>
  <c r="V164"/>
  <c r="O162"/>
  <c r="T152"/>
  <c r="O164"/>
  <c r="T156"/>
  <c r="W156" s="1"/>
  <c r="S153"/>
  <c r="T155"/>
  <c r="T161" s="1"/>
  <c r="T153"/>
  <c r="T157"/>
  <c r="O158"/>
  <c r="O161"/>
  <c r="S161"/>
  <c r="O165"/>
  <c r="S157"/>
  <c r="S164"/>
  <c r="V161"/>
  <c r="U165"/>
  <c r="U160"/>
  <c r="F113" i="275"/>
  <c r="D118"/>
  <c r="K112" s="1"/>
  <c r="L114"/>
  <c r="L119" s="1"/>
  <c r="C118"/>
  <c r="J113" s="1"/>
  <c r="C116"/>
  <c r="F112"/>
  <c r="C121"/>
  <c r="D121"/>
  <c r="D116"/>
  <c r="D119"/>
  <c r="K115" s="1"/>
  <c r="F114"/>
  <c r="E118"/>
  <c r="L113" s="1"/>
  <c r="L122" s="1"/>
  <c r="S113" s="1"/>
  <c r="E121"/>
  <c r="E116"/>
  <c r="J114"/>
  <c r="F18" i="228"/>
  <c r="O3"/>
  <c r="X3" s="1"/>
  <c r="F8" s="1"/>
  <c r="J5"/>
  <c r="K5"/>
  <c r="L5"/>
  <c r="M5"/>
  <c r="J6"/>
  <c r="K6"/>
  <c r="L6"/>
  <c r="M6"/>
  <c r="K4"/>
  <c r="L4"/>
  <c r="M4"/>
  <c r="J4"/>
  <c r="K3"/>
  <c r="T3" s="1"/>
  <c r="B8" s="1"/>
  <c r="L3"/>
  <c r="U3" s="1"/>
  <c r="C8" s="1"/>
  <c r="M3"/>
  <c r="V3" s="1"/>
  <c r="J3"/>
  <c r="S3" s="1"/>
  <c r="C30" i="227"/>
  <c r="C25"/>
  <c r="C20"/>
  <c r="C15"/>
  <c r="H4" a="1"/>
  <c r="H6" s="1"/>
  <c r="U161" i="282" l="1"/>
  <c r="W161" s="1"/>
  <c r="W154"/>
  <c r="C170" s="1"/>
  <c r="U158"/>
  <c r="V158"/>
  <c r="V165"/>
  <c r="V160"/>
  <c r="T164"/>
  <c r="W164" s="1"/>
  <c r="W152"/>
  <c r="D168" s="1"/>
  <c r="T160"/>
  <c r="T162"/>
  <c r="W155"/>
  <c r="F171" s="1"/>
  <c r="S5" i="228"/>
  <c r="A9" s="1"/>
  <c r="W153" i="282"/>
  <c r="E169" s="1"/>
  <c r="B9" i="227"/>
  <c r="V4" i="228"/>
  <c r="D10" s="1"/>
  <c r="M10" s="1"/>
  <c r="T165" i="282"/>
  <c r="U6" i="228"/>
  <c r="C11" s="1"/>
  <c r="L11" s="1"/>
  <c r="B10" i="227"/>
  <c r="S160" i="282"/>
  <c r="T158"/>
  <c r="S6" i="228"/>
  <c r="A11" s="1"/>
  <c r="J11" s="1"/>
  <c r="F172" i="282"/>
  <c r="D172"/>
  <c r="E172"/>
  <c r="V6" i="228"/>
  <c r="D11" s="1"/>
  <c r="M11" s="1"/>
  <c r="W157" i="282"/>
  <c r="C173" s="1"/>
  <c r="T5" i="228"/>
  <c r="B9" s="1"/>
  <c r="T6"/>
  <c r="B11" s="1"/>
  <c r="K11" s="1"/>
  <c r="S162" i="282"/>
  <c r="F170"/>
  <c r="V5" i="228"/>
  <c r="D9" s="1"/>
  <c r="C172" i="282"/>
  <c r="U5" i="228"/>
  <c r="C9" s="1"/>
  <c r="S158" i="282"/>
  <c r="S165"/>
  <c r="K113" i="275"/>
  <c r="K122" s="1"/>
  <c r="R113" s="1"/>
  <c r="J112"/>
  <c r="J118" s="1"/>
  <c r="J119"/>
  <c r="M115"/>
  <c r="J122"/>
  <c r="L112"/>
  <c r="S115"/>
  <c r="F116"/>
  <c r="K114"/>
  <c r="H5" i="227"/>
  <c r="H4"/>
  <c r="B8"/>
  <c r="K8" i="228"/>
  <c r="T8" s="1"/>
  <c r="B13" s="1"/>
  <c r="K13" s="1"/>
  <c r="T13" s="1"/>
  <c r="A8"/>
  <c r="J8" s="1"/>
  <c r="S8" s="1"/>
  <c r="A13" s="1"/>
  <c r="J13" s="1"/>
  <c r="S13" s="1"/>
  <c r="D8"/>
  <c r="M8" s="1"/>
  <c r="V8" s="1"/>
  <c r="D13" s="1"/>
  <c r="M13" s="1"/>
  <c r="V13" s="1"/>
  <c r="S4"/>
  <c r="A10" s="1"/>
  <c r="J10" s="1"/>
  <c r="U4"/>
  <c r="C10" s="1"/>
  <c r="L10" s="1"/>
  <c r="T4"/>
  <c r="B10" s="1"/>
  <c r="K10" s="1"/>
  <c r="L8"/>
  <c r="U8" s="1"/>
  <c r="C13" s="1"/>
  <c r="L13" s="1"/>
  <c r="U13" s="1"/>
  <c r="D170" i="282" l="1"/>
  <c r="D180" s="1"/>
  <c r="E170"/>
  <c r="M113" i="275"/>
  <c r="W160" i="282"/>
  <c r="C168"/>
  <c r="C180" s="1"/>
  <c r="E168"/>
  <c r="E180" s="1"/>
  <c r="F168"/>
  <c r="F180" s="1"/>
  <c r="C169"/>
  <c r="W162"/>
  <c r="J9" i="228"/>
  <c r="S9" s="1"/>
  <c r="A14" s="1"/>
  <c r="J14" s="1"/>
  <c r="S14" s="1"/>
  <c r="E171" i="282"/>
  <c r="C171"/>
  <c r="D171"/>
  <c r="D177" s="1"/>
  <c r="L171" s="1"/>
  <c r="D169"/>
  <c r="D176" s="1"/>
  <c r="L169" s="1"/>
  <c r="O8" i="228"/>
  <c r="X8" s="1"/>
  <c r="W158" i="282"/>
  <c r="F169"/>
  <c r="W165"/>
  <c r="C178"/>
  <c r="K172" s="1"/>
  <c r="G172"/>
  <c r="M9" i="228"/>
  <c r="V9" s="1"/>
  <c r="D14" s="1"/>
  <c r="M14" s="1"/>
  <c r="V14" s="1"/>
  <c r="K9"/>
  <c r="T9" s="1"/>
  <c r="B14" s="1"/>
  <c r="K14" s="1"/>
  <c r="T14" s="1"/>
  <c r="F173" i="282"/>
  <c r="D173"/>
  <c r="E173"/>
  <c r="F177"/>
  <c r="N171" s="1"/>
  <c r="K118" i="275"/>
  <c r="J116"/>
  <c r="J121"/>
  <c r="Q112" s="1"/>
  <c r="K119"/>
  <c r="K121"/>
  <c r="R112" s="1"/>
  <c r="L118"/>
  <c r="L121"/>
  <c r="L116"/>
  <c r="Q113"/>
  <c r="Q115"/>
  <c r="R115"/>
  <c r="S122"/>
  <c r="M112"/>
  <c r="K116"/>
  <c r="M114"/>
  <c r="L9" i="228"/>
  <c r="U10" s="1"/>
  <c r="G170" i="282" l="1"/>
  <c r="E177"/>
  <c r="M171" s="1"/>
  <c r="C176"/>
  <c r="K168" s="1"/>
  <c r="E176"/>
  <c r="M168" s="1"/>
  <c r="G168"/>
  <c r="E174"/>
  <c r="F176"/>
  <c r="N169" s="1"/>
  <c r="S10" i="228"/>
  <c r="A15" s="1"/>
  <c r="J15" s="1"/>
  <c r="S15" s="1"/>
  <c r="C174" i="282"/>
  <c r="S11" i="228"/>
  <c r="A16" s="1"/>
  <c r="N170" i="282"/>
  <c r="N177" s="1"/>
  <c r="G171"/>
  <c r="C177"/>
  <c r="C181"/>
  <c r="D181"/>
  <c r="F13" i="228"/>
  <c r="L168" i="282"/>
  <c r="L176" s="1"/>
  <c r="G169"/>
  <c r="V11" i="228"/>
  <c r="D16" s="1"/>
  <c r="D174" i="282"/>
  <c r="G180"/>
  <c r="D178"/>
  <c r="L173" s="1"/>
  <c r="L181" s="1"/>
  <c r="T11" i="228"/>
  <c r="B16" s="1"/>
  <c r="T10"/>
  <c r="B15" s="1"/>
  <c r="K15" s="1"/>
  <c r="T15" s="1"/>
  <c r="K173" i="282"/>
  <c r="K178" s="1"/>
  <c r="L170"/>
  <c r="L177" s="1"/>
  <c r="F181"/>
  <c r="E178"/>
  <c r="M172" s="1"/>
  <c r="M170"/>
  <c r="V10" i="228"/>
  <c r="D15" s="1"/>
  <c r="M15" s="1"/>
  <c r="V15" s="1"/>
  <c r="G173" i="282"/>
  <c r="F174"/>
  <c r="F178"/>
  <c r="N172" s="1"/>
  <c r="E181"/>
  <c r="M116" i="275"/>
  <c r="Q118"/>
  <c r="Q114"/>
  <c r="S112"/>
  <c r="S114"/>
  <c r="T115"/>
  <c r="E128" s="1"/>
  <c r="R122"/>
  <c r="T113"/>
  <c r="C126" s="1"/>
  <c r="Q122"/>
  <c r="R118"/>
  <c r="R114"/>
  <c r="U9" i="228"/>
  <c r="U11"/>
  <c r="C16" s="1"/>
  <c r="C15"/>
  <c r="L15" s="1"/>
  <c r="U15" s="1"/>
  <c r="K169" i="282" l="1"/>
  <c r="O169" s="1"/>
  <c r="G177"/>
  <c r="M169"/>
  <c r="M176" s="1"/>
  <c r="K171"/>
  <c r="G176"/>
  <c r="N168"/>
  <c r="N176" s="1"/>
  <c r="K170"/>
  <c r="O170" s="1"/>
  <c r="G181"/>
  <c r="G174"/>
  <c r="L172"/>
  <c r="L174" s="1"/>
  <c r="T171"/>
  <c r="T173"/>
  <c r="T169"/>
  <c r="G178"/>
  <c r="M180"/>
  <c r="U172" s="1"/>
  <c r="M177"/>
  <c r="M173"/>
  <c r="M181" s="1"/>
  <c r="N173"/>
  <c r="N178" s="1"/>
  <c r="T112" i="275"/>
  <c r="E125" s="1"/>
  <c r="C128"/>
  <c r="D128"/>
  <c r="E126"/>
  <c r="D126"/>
  <c r="Q119"/>
  <c r="Q121"/>
  <c r="Q116"/>
  <c r="R121"/>
  <c r="R119"/>
  <c r="R116"/>
  <c r="T114"/>
  <c r="S119"/>
  <c r="S118"/>
  <c r="S121"/>
  <c r="S116"/>
  <c r="C14" i="228"/>
  <c r="M16"/>
  <c r="V16" s="1"/>
  <c r="K16"/>
  <c r="L16"/>
  <c r="J16"/>
  <c r="O13"/>
  <c r="K176" i="282" l="1"/>
  <c r="O176" s="1"/>
  <c r="K181"/>
  <c r="O171"/>
  <c r="K177"/>
  <c r="O177" s="1"/>
  <c r="O168"/>
  <c r="N180"/>
  <c r="V172" s="1"/>
  <c r="K174"/>
  <c r="K180"/>
  <c r="S170" s="1"/>
  <c r="O172"/>
  <c r="L180"/>
  <c r="T172" s="1"/>
  <c r="T178" s="1"/>
  <c r="L178"/>
  <c r="T181"/>
  <c r="U169"/>
  <c r="U171"/>
  <c r="X13" i="228"/>
  <c r="N181" i="282"/>
  <c r="N174"/>
  <c r="S173"/>
  <c r="T116" i="275"/>
  <c r="S171" i="282"/>
  <c r="U170"/>
  <c r="U168"/>
  <c r="S169"/>
  <c r="M178"/>
  <c r="U173"/>
  <c r="U178" s="1"/>
  <c r="O173"/>
  <c r="M174"/>
  <c r="C127" i="275"/>
  <c r="C125"/>
  <c r="D125"/>
  <c r="D127"/>
  <c r="E127"/>
  <c r="F126"/>
  <c r="E135"/>
  <c r="D135"/>
  <c r="U16" i="228"/>
  <c r="T16"/>
  <c r="S16"/>
  <c r="L14"/>
  <c r="V170" i="282" l="1"/>
  <c r="V168"/>
  <c r="S168"/>
  <c r="S172"/>
  <c r="S178" s="1"/>
  <c r="O174"/>
  <c r="O180"/>
  <c r="O178"/>
  <c r="T168"/>
  <c r="T170"/>
  <c r="T177" s="1"/>
  <c r="V169"/>
  <c r="V171"/>
  <c r="W171" s="1"/>
  <c r="S181"/>
  <c r="O181"/>
  <c r="V173"/>
  <c r="U176"/>
  <c r="U180"/>
  <c r="U174"/>
  <c r="S177"/>
  <c r="U181"/>
  <c r="U177"/>
  <c r="D132" i="275"/>
  <c r="K127" s="1"/>
  <c r="E132"/>
  <c r="L127" s="1"/>
  <c r="F128"/>
  <c r="C132"/>
  <c r="J128" s="1"/>
  <c r="C135"/>
  <c r="U14" i="228"/>
  <c r="V180" i="282" l="1"/>
  <c r="V176"/>
  <c r="S180"/>
  <c r="S174"/>
  <c r="W172"/>
  <c r="C188" s="1"/>
  <c r="S176"/>
  <c r="T174"/>
  <c r="T180"/>
  <c r="W168"/>
  <c r="C184" s="1"/>
  <c r="T176"/>
  <c r="W170"/>
  <c r="F186" s="1"/>
  <c r="D187"/>
  <c r="C187"/>
  <c r="V177"/>
  <c r="W177" s="1"/>
  <c r="W169"/>
  <c r="C185" s="1"/>
  <c r="V178"/>
  <c r="W178" s="1"/>
  <c r="V181"/>
  <c r="W181" s="1"/>
  <c r="F187"/>
  <c r="W173"/>
  <c r="E187"/>
  <c r="V174"/>
  <c r="K128" i="275"/>
  <c r="K132" s="1"/>
  <c r="J127"/>
  <c r="J132" s="1"/>
  <c r="L128"/>
  <c r="L132" s="1"/>
  <c r="F127"/>
  <c r="D134"/>
  <c r="D131"/>
  <c r="K126" s="1"/>
  <c r="D129"/>
  <c r="E131"/>
  <c r="L126" s="1"/>
  <c r="E129"/>
  <c r="E134"/>
  <c r="C134"/>
  <c r="C131"/>
  <c r="J126" s="1"/>
  <c r="F125"/>
  <c r="C129"/>
  <c r="J59" i="107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F59"/>
  <c r="G59"/>
  <c r="F60"/>
  <c r="G60"/>
  <c r="F61"/>
  <c r="G61"/>
  <c r="F62"/>
  <c r="G62"/>
  <c r="F63"/>
  <c r="G63"/>
  <c r="F64"/>
  <c r="G64"/>
  <c r="F65"/>
  <c r="G65"/>
  <c r="F66"/>
  <c r="G66"/>
  <c r="F67"/>
  <c r="G67"/>
  <c r="F68"/>
  <c r="G68"/>
  <c r="K58"/>
  <c r="J58"/>
  <c r="G58"/>
  <c r="F58"/>
  <c r="N83" i="105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O76"/>
  <c r="O78"/>
  <c r="O79"/>
  <c r="O80"/>
  <c r="O75"/>
  <c r="O96" s="1"/>
  <c r="O68"/>
  <c r="O69"/>
  <c r="O90" s="1"/>
  <c r="O70"/>
  <c r="O91" s="1"/>
  <c r="O71"/>
  <c r="O92" s="1"/>
  <c r="O72"/>
  <c r="O93" s="1"/>
  <c r="O73"/>
  <c r="O94" s="1"/>
  <c r="O74"/>
  <c r="O95" s="1"/>
  <c r="O65"/>
  <c r="O66"/>
  <c r="O61"/>
  <c r="O82" s="1"/>
  <c r="N62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4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AQ31" i="107"/>
  <c r="AQ32"/>
  <c r="AQ33"/>
  <c r="AQ34"/>
  <c r="AQ35"/>
  <c r="AQ36"/>
  <c r="AQ37"/>
  <c r="AQ38"/>
  <c r="AQ39"/>
  <c r="AQ40"/>
  <c r="AQ30"/>
  <c r="AC31"/>
  <c r="AC32" s="1"/>
  <c r="AD27"/>
  <c r="AD26"/>
  <c r="AD25"/>
  <c r="AE25" s="1"/>
  <c r="AE30" s="1"/>
  <c r="AP30" s="1"/>
  <c r="I43"/>
  <c r="I44"/>
  <c r="I45"/>
  <c r="I46"/>
  <c r="I47"/>
  <c r="I48"/>
  <c r="I49"/>
  <c r="I50"/>
  <c r="I51"/>
  <c r="I52"/>
  <c r="I42"/>
  <c r="F43"/>
  <c r="F44"/>
  <c r="F45"/>
  <c r="F46"/>
  <c r="F47"/>
  <c r="F48"/>
  <c r="F49"/>
  <c r="F50"/>
  <c r="F51"/>
  <c r="F52"/>
  <c r="F42"/>
  <c r="W176" i="282" l="1"/>
  <c r="D188"/>
  <c r="W180"/>
  <c r="F188"/>
  <c r="E188"/>
  <c r="E186"/>
  <c r="E193" s="1"/>
  <c r="M187" s="1"/>
  <c r="F193"/>
  <c r="N186" s="1"/>
  <c r="F184"/>
  <c r="C186"/>
  <c r="C193" s="1"/>
  <c r="F185"/>
  <c r="D186"/>
  <c r="D193" s="1"/>
  <c r="L187" s="1"/>
  <c r="D184"/>
  <c r="E184"/>
  <c r="AF33" i="107"/>
  <c r="E185" i="282"/>
  <c r="D185"/>
  <c r="AF31" i="107"/>
  <c r="AF37"/>
  <c r="AF30"/>
  <c r="C192" i="282"/>
  <c r="K184" s="1"/>
  <c r="D189"/>
  <c r="E189"/>
  <c r="C189"/>
  <c r="AF40" i="107"/>
  <c r="AF36"/>
  <c r="AF32"/>
  <c r="F189" i="282"/>
  <c r="AF38" i="107"/>
  <c r="AF34"/>
  <c r="G187" i="282"/>
  <c r="AF39" i="107"/>
  <c r="AF35"/>
  <c r="W174" i="282"/>
  <c r="M127" i="275"/>
  <c r="M128"/>
  <c r="F129"/>
  <c r="K135"/>
  <c r="R128" s="1"/>
  <c r="J125"/>
  <c r="L125"/>
  <c r="K125"/>
  <c r="J135"/>
  <c r="Q128" s="1"/>
  <c r="M126"/>
  <c r="L135"/>
  <c r="S128" s="1"/>
  <c r="AE32" i="107"/>
  <c r="AP32" s="1"/>
  <c r="AC33"/>
  <c r="AE31"/>
  <c r="AP31" s="1"/>
  <c r="F6" i="226"/>
  <c r="F7" s="1"/>
  <c r="F8" s="1"/>
  <c r="R31" i="99"/>
  <c r="R32" s="1"/>
  <c r="A31"/>
  <c r="A32" s="1"/>
  <c r="A33" s="1"/>
  <c r="A34" s="1"/>
  <c r="A35" s="1"/>
  <c r="A36" s="1"/>
  <c r="A37" s="1"/>
  <c r="A38" s="1"/>
  <c r="A39" s="1"/>
  <c r="A40" s="1"/>
  <c r="AB5"/>
  <c r="AB6" s="1"/>
  <c r="AB7" s="1"/>
  <c r="AB8" s="1"/>
  <c r="AB9" s="1"/>
  <c r="AB10" s="1"/>
  <c r="AB11" s="1"/>
  <c r="AB12" s="1"/>
  <c r="AB13" s="1"/>
  <c r="AB14" s="1"/>
  <c r="S61" i="224"/>
  <c r="V61" s="1"/>
  <c r="Y61" s="1"/>
  <c r="S62"/>
  <c r="V62" s="1"/>
  <c r="Y62" s="1"/>
  <c r="S63"/>
  <c r="V63" s="1"/>
  <c r="Y63" s="1"/>
  <c r="S64"/>
  <c r="V64" s="1"/>
  <c r="Y64" s="1"/>
  <c r="S65"/>
  <c r="V65" s="1"/>
  <c r="Y65" s="1"/>
  <c r="S66"/>
  <c r="V66" s="1"/>
  <c r="Y66" s="1"/>
  <c r="S67"/>
  <c r="V67" s="1"/>
  <c r="Y67" s="1"/>
  <c r="S68"/>
  <c r="V68" s="1"/>
  <c r="Y68" s="1"/>
  <c r="S69"/>
  <c r="V69" s="1"/>
  <c r="Y69" s="1"/>
  <c r="S70"/>
  <c r="V70" s="1"/>
  <c r="Y70" s="1"/>
  <c r="S60"/>
  <c r="V60" s="1"/>
  <c r="Y60" s="1"/>
  <c r="P5" i="225"/>
  <c r="P6" s="1"/>
  <c r="P7" s="1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4"/>
  <c r="H4"/>
  <c r="I4"/>
  <c r="J4"/>
  <c r="H5"/>
  <c r="I5"/>
  <c r="J5"/>
  <c r="H6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H16"/>
  <c r="I16"/>
  <c r="J16"/>
  <c r="H17"/>
  <c r="I17"/>
  <c r="J17"/>
  <c r="H18"/>
  <c r="I18"/>
  <c r="J18"/>
  <c r="H19"/>
  <c r="I19"/>
  <c r="J19"/>
  <c r="H20"/>
  <c r="I20"/>
  <c r="J20"/>
  <c r="H21"/>
  <c r="I21"/>
  <c r="J21"/>
  <c r="H22"/>
  <c r="I22"/>
  <c r="J22"/>
  <c r="H23"/>
  <c r="I23"/>
  <c r="J23"/>
  <c r="H24"/>
  <c r="I24"/>
  <c r="J24"/>
  <c r="H25"/>
  <c r="I25"/>
  <c r="J25"/>
  <c r="H26"/>
  <c r="I26"/>
  <c r="J26"/>
  <c r="H27"/>
  <c r="I27"/>
  <c r="J27"/>
  <c r="H28"/>
  <c r="I28"/>
  <c r="J28"/>
  <c r="H29"/>
  <c r="I29"/>
  <c r="J29"/>
  <c r="H30"/>
  <c r="I30"/>
  <c r="J30"/>
  <c r="H31"/>
  <c r="I31"/>
  <c r="J31"/>
  <c r="H32"/>
  <c r="I32"/>
  <c r="J32"/>
  <c r="H33"/>
  <c r="I33"/>
  <c r="J33"/>
  <c r="H34"/>
  <c r="I34"/>
  <c r="J34"/>
  <c r="H35"/>
  <c r="I35"/>
  <c r="J35"/>
  <c r="H36"/>
  <c r="I36"/>
  <c r="J36"/>
  <c r="H37"/>
  <c r="I37"/>
  <c r="J37"/>
  <c r="H38"/>
  <c r="I38"/>
  <c r="J38"/>
  <c r="H39"/>
  <c r="I39"/>
  <c r="J39"/>
  <c r="H40"/>
  <c r="I40"/>
  <c r="J40"/>
  <c r="H41"/>
  <c r="I41"/>
  <c r="J41"/>
  <c r="H42"/>
  <c r="I42"/>
  <c r="J42"/>
  <c r="H43"/>
  <c r="I43"/>
  <c r="J43"/>
  <c r="H44"/>
  <c r="I44"/>
  <c r="J44"/>
  <c r="H45"/>
  <c r="I45"/>
  <c r="J45"/>
  <c r="H46"/>
  <c r="I46"/>
  <c r="J46"/>
  <c r="H47"/>
  <c r="I47"/>
  <c r="J47"/>
  <c r="H48"/>
  <c r="I48"/>
  <c r="J48"/>
  <c r="H49"/>
  <c r="I49"/>
  <c r="J49"/>
  <c r="H50"/>
  <c r="I50"/>
  <c r="J50"/>
  <c r="H51"/>
  <c r="I51"/>
  <c r="J51"/>
  <c r="H52"/>
  <c r="I52"/>
  <c r="J52"/>
  <c r="H53"/>
  <c r="I53"/>
  <c r="J53"/>
  <c r="N11" i="102"/>
  <c r="N12" s="1"/>
  <c r="O7"/>
  <c r="O6"/>
  <c r="O5"/>
  <c r="P5" s="1"/>
  <c r="D194" i="282" l="1"/>
  <c r="L188" s="1"/>
  <c r="G188"/>
  <c r="N187"/>
  <c r="N193" s="1"/>
  <c r="F196"/>
  <c r="E196"/>
  <c r="C190"/>
  <c r="F192"/>
  <c r="N185" s="1"/>
  <c r="C196"/>
  <c r="M186"/>
  <c r="M193" s="1"/>
  <c r="D192"/>
  <c r="L185" s="1"/>
  <c r="G186"/>
  <c r="G184"/>
  <c r="D196"/>
  <c r="Q10" i="102"/>
  <c r="D190" i="282"/>
  <c r="E190"/>
  <c r="E192"/>
  <c r="G185"/>
  <c r="N10" i="225" a="1"/>
  <c r="P10" s="1"/>
  <c r="E197" i="282"/>
  <c r="O22" i="225"/>
  <c r="P11" i="102"/>
  <c r="P10"/>
  <c r="P12"/>
  <c r="F190" i="282"/>
  <c r="F197"/>
  <c r="Q58" i="102"/>
  <c r="Q56"/>
  <c r="Q54"/>
  <c r="Q52"/>
  <c r="Q50"/>
  <c r="Q48"/>
  <c r="Q46"/>
  <c r="Q44"/>
  <c r="Q42"/>
  <c r="Q40"/>
  <c r="Q38"/>
  <c r="Q36"/>
  <c r="Q34"/>
  <c r="Q32"/>
  <c r="Q30"/>
  <c r="Q28"/>
  <c r="Q26"/>
  <c r="Q24"/>
  <c r="Q22"/>
  <c r="Q20"/>
  <c r="Q18"/>
  <c r="Q16"/>
  <c r="Q14"/>
  <c r="Q12"/>
  <c r="N13"/>
  <c r="Q59"/>
  <c r="Q57"/>
  <c r="Q55"/>
  <c r="Q53"/>
  <c r="Q51"/>
  <c r="Q49"/>
  <c r="Q47"/>
  <c r="Q45"/>
  <c r="Q43"/>
  <c r="Q41"/>
  <c r="Q39"/>
  <c r="Q37"/>
  <c r="Q35"/>
  <c r="Q33"/>
  <c r="Q31"/>
  <c r="Q29"/>
  <c r="Q27"/>
  <c r="Q25"/>
  <c r="Q23"/>
  <c r="Q21"/>
  <c r="Q19"/>
  <c r="Q17"/>
  <c r="Q15"/>
  <c r="Q13"/>
  <c r="Q11"/>
  <c r="R33" i="99"/>
  <c r="D197" i="282"/>
  <c r="G5" i="226" a="1"/>
  <c r="G8" s="1"/>
  <c r="F194" i="282"/>
  <c r="N188" s="1"/>
  <c r="E194"/>
  <c r="L186"/>
  <c r="L193" s="1"/>
  <c r="G189"/>
  <c r="C194"/>
  <c r="K189" s="1"/>
  <c r="C197"/>
  <c r="K186"/>
  <c r="G193"/>
  <c r="K187"/>
  <c r="K185"/>
  <c r="Q126" i="275"/>
  <c r="L131"/>
  <c r="L134"/>
  <c r="S127" s="1"/>
  <c r="L129"/>
  <c r="J131"/>
  <c r="M125"/>
  <c r="M129" s="1"/>
  <c r="J129"/>
  <c r="J134"/>
  <c r="Q127" s="1"/>
  <c r="S126"/>
  <c r="T128"/>
  <c r="C141" s="1"/>
  <c r="R126"/>
  <c r="K131"/>
  <c r="K134"/>
  <c r="R127" s="1"/>
  <c r="K129"/>
  <c r="AC34" i="107"/>
  <c r="AE33"/>
  <c r="AP33" s="1"/>
  <c r="L7" i="224"/>
  <c r="L8" s="1"/>
  <c r="Q19"/>
  <c r="A32"/>
  <c r="A33" s="1"/>
  <c r="A34" s="1"/>
  <c r="B28"/>
  <c r="B27"/>
  <c r="B26"/>
  <c r="C26" s="1"/>
  <c r="C31" s="1"/>
  <c r="I7"/>
  <c r="Z28" s="1"/>
  <c r="I8"/>
  <c r="I9"/>
  <c r="Z30" s="1"/>
  <c r="I10"/>
  <c r="I11"/>
  <c r="Z32" s="1"/>
  <c r="I12"/>
  <c r="Z33" s="1"/>
  <c r="I13"/>
  <c r="Z34" s="1"/>
  <c r="I14"/>
  <c r="I15"/>
  <c r="Z36" s="1"/>
  <c r="I16"/>
  <c r="I6"/>
  <c r="Z27" s="1"/>
  <c r="F7"/>
  <c r="S28" s="1"/>
  <c r="V28" s="1"/>
  <c r="G7"/>
  <c r="F8"/>
  <c r="S29" s="1"/>
  <c r="V29" s="1"/>
  <c r="G8"/>
  <c r="F9"/>
  <c r="S30" s="1"/>
  <c r="V30" s="1"/>
  <c r="G9"/>
  <c r="F10"/>
  <c r="S31" s="1"/>
  <c r="V31" s="1"/>
  <c r="G10"/>
  <c r="F11"/>
  <c r="S32" s="1"/>
  <c r="V32" s="1"/>
  <c r="G11"/>
  <c r="F12"/>
  <c r="S33" s="1"/>
  <c r="V33" s="1"/>
  <c r="G12"/>
  <c r="F13"/>
  <c r="S34" s="1"/>
  <c r="V34" s="1"/>
  <c r="G13"/>
  <c r="F14"/>
  <c r="S35" s="1"/>
  <c r="V35" s="1"/>
  <c r="G14"/>
  <c r="F15"/>
  <c r="S36" s="1"/>
  <c r="V36" s="1"/>
  <c r="G15"/>
  <c r="F16"/>
  <c r="S37" s="1"/>
  <c r="V37" s="1"/>
  <c r="G16"/>
  <c r="G6"/>
  <c r="F6"/>
  <c r="S27" s="1"/>
  <c r="V27" s="1"/>
  <c r="N105" i="223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81"/>
  <c r="N82" s="1"/>
  <c r="N57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S33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M23"/>
  <c r="E17"/>
  <c r="N43" s="1"/>
  <c r="Q43" s="1"/>
  <c r="T43" s="1"/>
  <c r="E18"/>
  <c r="N44" s="1"/>
  <c r="Q44" s="1"/>
  <c r="T44" s="1"/>
  <c r="E19"/>
  <c r="N45" s="1"/>
  <c r="Q45" s="1"/>
  <c r="T45" s="1"/>
  <c r="E20"/>
  <c r="N46" s="1"/>
  <c r="Q46" s="1"/>
  <c r="T46" s="1"/>
  <c r="G17"/>
  <c r="G18"/>
  <c r="G19"/>
  <c r="G20"/>
  <c r="G16"/>
  <c r="E16"/>
  <c r="N42" s="1"/>
  <c r="Q42" s="1"/>
  <c r="T42" s="1"/>
  <c r="G15"/>
  <c r="E15"/>
  <c r="N41" s="1"/>
  <c r="Q41" s="1"/>
  <c r="T41" s="1"/>
  <c r="G14"/>
  <c r="E14"/>
  <c r="N40" s="1"/>
  <c r="Q40" s="1"/>
  <c r="T40" s="1"/>
  <c r="G13"/>
  <c r="E13"/>
  <c r="N39" s="1"/>
  <c r="Q39" s="1"/>
  <c r="T39" s="1"/>
  <c r="G12"/>
  <c r="E12"/>
  <c r="N38" s="1"/>
  <c r="Q38" s="1"/>
  <c r="T38" s="1"/>
  <c r="G11"/>
  <c r="E11"/>
  <c r="N37" s="1"/>
  <c r="Q37" s="1"/>
  <c r="T37" s="1"/>
  <c r="G10"/>
  <c r="E10"/>
  <c r="N36" s="1"/>
  <c r="Q36" s="1"/>
  <c r="T36" s="1"/>
  <c r="G9"/>
  <c r="E9"/>
  <c r="N35" s="1"/>
  <c r="Q35" s="1"/>
  <c r="T35" s="1"/>
  <c r="G8"/>
  <c r="E8"/>
  <c r="N34" s="1"/>
  <c r="Q34" s="1"/>
  <c r="T34" s="1"/>
  <c r="G7"/>
  <c r="E7"/>
  <c r="N33" s="1"/>
  <c r="Q33" s="1"/>
  <c r="T33" s="1"/>
  <c r="G6"/>
  <c r="E6"/>
  <c r="N32" s="1"/>
  <c r="Q32" s="1"/>
  <c r="T32" s="1"/>
  <c r="L189" i="282" l="1"/>
  <c r="L194" s="1"/>
  <c r="L184"/>
  <c r="L196" s="1"/>
  <c r="N184"/>
  <c r="N192" s="1"/>
  <c r="G196"/>
  <c r="G192"/>
  <c r="G190"/>
  <c r="D34" i="224"/>
  <c r="O77" i="223"/>
  <c r="O12" i="225"/>
  <c r="P12"/>
  <c r="M184" i="282"/>
  <c r="M185"/>
  <c r="O185" s="1"/>
  <c r="Q13" i="225"/>
  <c r="N13"/>
  <c r="P11"/>
  <c r="Q11"/>
  <c r="N12"/>
  <c r="G6" i="226"/>
  <c r="O13" i="225"/>
  <c r="N11"/>
  <c r="Q12"/>
  <c r="O11"/>
  <c r="P13"/>
  <c r="D23" i="223" a="1"/>
  <c r="E24" s="1"/>
  <c r="G7" i="226"/>
  <c r="Q10" i="225"/>
  <c r="O10"/>
  <c r="N10"/>
  <c r="G5" i="226"/>
  <c r="Z29" i="224"/>
  <c r="N83" i="223"/>
  <c r="O76"/>
  <c r="O75"/>
  <c r="P75" s="1"/>
  <c r="P82" s="1"/>
  <c r="Z37" i="224"/>
  <c r="D31"/>
  <c r="D32"/>
  <c r="D37"/>
  <c r="D40"/>
  <c r="D36"/>
  <c r="D41"/>
  <c r="D35"/>
  <c r="D38"/>
  <c r="D33"/>
  <c r="D39"/>
  <c r="M188" i="282"/>
  <c r="M189"/>
  <c r="Z35" i="224"/>
  <c r="Z31"/>
  <c r="C32"/>
  <c r="C33"/>
  <c r="O187" i="282"/>
  <c r="A35" i="224"/>
  <c r="C34"/>
  <c r="N14" i="102"/>
  <c r="P13"/>
  <c r="K197" i="282"/>
  <c r="S187" s="1"/>
  <c r="K192"/>
  <c r="K193"/>
  <c r="O193" s="1"/>
  <c r="O186"/>
  <c r="G194"/>
  <c r="K188"/>
  <c r="K190" s="1"/>
  <c r="G197"/>
  <c r="R34" i="99"/>
  <c r="N189" i="282"/>
  <c r="D141" i="275"/>
  <c r="Q135"/>
  <c r="E141"/>
  <c r="T126"/>
  <c r="C139" s="1"/>
  <c r="Q125"/>
  <c r="Q134" s="1"/>
  <c r="R132"/>
  <c r="S135"/>
  <c r="S132"/>
  <c r="R125"/>
  <c r="Q132"/>
  <c r="T127"/>
  <c r="D140" s="1"/>
  <c r="S125"/>
  <c r="R135"/>
  <c r="AC35" i="107"/>
  <c r="AE34"/>
  <c r="AP34" s="1"/>
  <c r="K11" i="224" a="1"/>
  <c r="M13" s="1"/>
  <c r="L197" i="282" l="1"/>
  <c r="T187" s="1"/>
  <c r="N196"/>
  <c r="V186" s="1"/>
  <c r="L190"/>
  <c r="L192"/>
  <c r="K196"/>
  <c r="S188" s="1"/>
  <c r="O184"/>
  <c r="W4" i="225" a="1"/>
  <c r="AI15" s="1"/>
  <c r="M192" i="282"/>
  <c r="D24" i="223"/>
  <c r="N4" i="225" a="1"/>
  <c r="N6" s="1"/>
  <c r="E23" i="223"/>
  <c r="D23"/>
  <c r="T189" i="282"/>
  <c r="N197"/>
  <c r="T186"/>
  <c r="T188"/>
  <c r="O189"/>
  <c r="N190"/>
  <c r="N84" i="223"/>
  <c r="P83"/>
  <c r="M197" i="282"/>
  <c r="U189" s="1"/>
  <c r="Q81" i="223"/>
  <c r="Q83"/>
  <c r="Q85"/>
  <c r="Q87"/>
  <c r="Q89"/>
  <c r="Q91"/>
  <c r="Q93"/>
  <c r="Q82"/>
  <c r="Q86"/>
  <c r="Q88"/>
  <c r="Q92"/>
  <c r="Q84"/>
  <c r="Q90"/>
  <c r="Q94"/>
  <c r="Q80"/>
  <c r="K194" i="282"/>
  <c r="O188"/>
  <c r="N15" i="102"/>
  <c r="P14"/>
  <c r="A36" i="224"/>
  <c r="C35"/>
  <c r="M194" i="282"/>
  <c r="M196"/>
  <c r="M190"/>
  <c r="T184"/>
  <c r="R35" i="99"/>
  <c r="N194" i="282"/>
  <c r="T185"/>
  <c r="S185"/>
  <c r="S189"/>
  <c r="P80" i="223"/>
  <c r="P81"/>
  <c r="D139" i="275"/>
  <c r="C140"/>
  <c r="E139"/>
  <c r="Q131"/>
  <c r="E140"/>
  <c r="C148"/>
  <c r="Q129"/>
  <c r="T125"/>
  <c r="T129" s="1"/>
  <c r="S134"/>
  <c r="S131"/>
  <c r="S129"/>
  <c r="R134"/>
  <c r="R129"/>
  <c r="R131"/>
  <c r="AC36" i="107"/>
  <c r="AE35"/>
  <c r="AP35" s="1"/>
  <c r="M11" i="224"/>
  <c r="M12"/>
  <c r="K11"/>
  <c r="L11"/>
  <c r="L13"/>
  <c r="K13"/>
  <c r="K12"/>
  <c r="L12"/>
  <c r="T193" i="282" l="1"/>
  <c r="O192"/>
  <c r="V188"/>
  <c r="V184"/>
  <c r="O196"/>
  <c r="S184"/>
  <c r="S192" s="1"/>
  <c r="S186"/>
  <c r="S193" s="1"/>
  <c r="AM33" i="225"/>
  <c r="W14"/>
  <c r="BL15"/>
  <c r="AJ21"/>
  <c r="BI33"/>
  <c r="Y7"/>
  <c r="AF14"/>
  <c r="AU18"/>
  <c r="AB14"/>
  <c r="AU9"/>
  <c r="AG4"/>
  <c r="AO52"/>
  <c r="AU29"/>
  <c r="BT52"/>
  <c r="AX5"/>
  <c r="AB7"/>
  <c r="AE9"/>
  <c r="BH52"/>
  <c r="AM14"/>
  <c r="BE6"/>
  <c r="AX20"/>
  <c r="BD6"/>
  <c r="AA42"/>
  <c r="BG53"/>
  <c r="AZ17"/>
  <c r="AC50"/>
  <c r="AH23"/>
  <c r="AH19"/>
  <c r="AM21"/>
  <c r="BN46"/>
  <c r="AA25"/>
  <c r="Z40"/>
  <c r="BI21"/>
  <c r="AP19"/>
  <c r="AK34"/>
  <c r="AV33"/>
  <c r="BD15"/>
  <c r="AJ38"/>
  <c r="BQ29"/>
  <c r="AN33"/>
  <c r="AD30"/>
  <c r="BC19"/>
  <c r="AW18"/>
  <c r="AP4"/>
  <c r="AP34"/>
  <c r="AH38"/>
  <c r="BM15"/>
  <c r="BO35"/>
  <c r="BM39"/>
  <c r="AA44"/>
  <c r="BM5"/>
  <c r="BE15"/>
  <c r="X33"/>
  <c r="AK14"/>
  <c r="BG38"/>
  <c r="BT24"/>
  <c r="AL52"/>
  <c r="AX11"/>
  <c r="AX10"/>
  <c r="BK19"/>
  <c r="BE7"/>
  <c r="BI30"/>
  <c r="AB10"/>
  <c r="AW41"/>
  <c r="BS9"/>
  <c r="AS35"/>
  <c r="AS41"/>
  <c r="AW6"/>
  <c r="AQ18"/>
  <c r="AI49"/>
  <c r="AI48"/>
  <c r="AZ29"/>
  <c r="BK25"/>
  <c r="AC39"/>
  <c r="BQ5"/>
  <c r="Y20"/>
  <c r="AF11"/>
  <c r="AT30"/>
  <c r="X5"/>
  <c r="AT25"/>
  <c r="AI27"/>
  <c r="BH41"/>
  <c r="BG44"/>
  <c r="AK25"/>
  <c r="AX22"/>
  <c r="BB47"/>
  <c r="AQ44"/>
  <c r="BQ27"/>
  <c r="W24"/>
  <c r="BI10"/>
  <c r="BP21"/>
  <c r="AM10"/>
  <c r="BQ40"/>
  <c r="AG29"/>
  <c r="AG13"/>
  <c r="AR23"/>
  <c r="AJ26"/>
  <c r="BQ48"/>
  <c r="AO25"/>
  <c r="BK5"/>
  <c r="BK6"/>
  <c r="AG15"/>
  <c r="BT38"/>
  <c r="BA13"/>
  <c r="AC53"/>
  <c r="AD42"/>
  <c r="AE48"/>
  <c r="AR17"/>
  <c r="AM44"/>
  <c r="BC14"/>
  <c r="AV4"/>
  <c r="AI46"/>
  <c r="BA25"/>
  <c r="BJ30"/>
  <c r="Y35"/>
  <c r="BD16"/>
  <c r="BC26"/>
  <c r="BB34"/>
  <c r="BQ20"/>
  <c r="BG25"/>
  <c r="BG34"/>
  <c r="BG22"/>
  <c r="AL36"/>
  <c r="AX13"/>
  <c r="Z49"/>
  <c r="AP9"/>
  <c r="AI38"/>
  <c r="BQ24"/>
  <c r="AS29"/>
  <c r="AY13"/>
  <c r="AI5"/>
  <c r="AF29"/>
  <c r="BH14"/>
  <c r="BA35"/>
  <c r="BI36"/>
  <c r="BB53"/>
  <c r="BA39"/>
  <c r="AE18"/>
  <c r="BG9"/>
  <c r="BT20"/>
  <c r="BM41"/>
  <c r="AP23"/>
  <c r="AZ20"/>
  <c r="BE4"/>
  <c r="BS15"/>
  <c r="AG5"/>
  <c r="W53"/>
  <c r="BD24"/>
  <c r="BP5"/>
  <c r="BT17"/>
  <c r="AE36"/>
  <c r="AR4"/>
  <c r="AA19"/>
  <c r="BP33"/>
  <c r="AA29"/>
  <c r="AZ7"/>
  <c r="BK45"/>
  <c r="BT14"/>
  <c r="AQ26"/>
  <c r="AN37"/>
  <c r="AW33"/>
  <c r="BE46"/>
  <c r="BO21"/>
  <c r="AJ25"/>
  <c r="AA17"/>
  <c r="BH30"/>
  <c r="Z11"/>
  <c r="AN21"/>
  <c r="AN13"/>
  <c r="Z8"/>
  <c r="AR25"/>
  <c r="AM13"/>
  <c r="AN26"/>
  <c r="BD30"/>
  <c r="AI44"/>
  <c r="AL42"/>
  <c r="AT49"/>
  <c r="AV10"/>
  <c r="AJ18"/>
  <c r="AL28"/>
  <c r="AQ9"/>
  <c r="BO18"/>
  <c r="AC13"/>
  <c r="BE32"/>
  <c r="BM43"/>
  <c r="AU22"/>
  <c r="BI23"/>
  <c r="AA5"/>
  <c r="AL6"/>
  <c r="AT24"/>
  <c r="BJ32"/>
  <c r="BO11"/>
  <c r="AW14"/>
  <c r="BM24"/>
  <c r="BR16"/>
  <c r="X30"/>
  <c r="W38"/>
  <c r="Y45"/>
  <c r="BJ41"/>
  <c r="AG44"/>
  <c r="AN9"/>
  <c r="BD27"/>
  <c r="AZ13"/>
  <c r="BT26"/>
  <c r="AE32"/>
  <c r="BC46"/>
  <c r="BB37"/>
  <c r="AS34"/>
  <c r="W47"/>
  <c r="AF24"/>
  <c r="AL44"/>
  <c r="AS22"/>
  <c r="AX7"/>
  <c r="AZ9"/>
  <c r="X25"/>
  <c r="BD33"/>
  <c r="AS13"/>
  <c r="AA15"/>
  <c r="X26"/>
  <c r="AI19"/>
  <c r="AN30"/>
  <c r="BO38"/>
  <c r="BQ45"/>
  <c r="AU34"/>
  <c r="BP30"/>
  <c r="BD18"/>
  <c r="AF31"/>
  <c r="BE10"/>
  <c r="BP13"/>
  <c r="AQ36"/>
  <c r="AD46"/>
  <c r="Y40"/>
  <c r="AP15"/>
  <c r="BT5"/>
  <c r="BL7"/>
  <c r="AQ42"/>
  <c r="AJ35"/>
  <c r="AU40"/>
  <c r="AY17"/>
  <c r="AP5"/>
  <c r="AO24"/>
  <c r="AB5"/>
  <c r="BN28"/>
  <c r="BB19"/>
  <c r="BE36"/>
  <c r="AR28"/>
  <c r="BO47"/>
  <c r="BQ31"/>
  <c r="BM9"/>
  <c r="BI48"/>
  <c r="AX51"/>
  <c r="BS18"/>
  <c r="AF16"/>
  <c r="AT26"/>
  <c r="BB44"/>
  <c r="AD15"/>
  <c r="AP30"/>
  <c r="AF7"/>
  <c r="AY7"/>
  <c r="AO35"/>
  <c r="BK46"/>
  <c r="AG35"/>
  <c r="X43"/>
  <c r="W8"/>
  <c r="AE11"/>
  <c r="BR30"/>
  <c r="AL14"/>
  <c r="AQ22"/>
  <c r="AB20"/>
  <c r="AB36"/>
  <c r="AQ46"/>
  <c r="AR48"/>
  <c r="BF4"/>
  <c r="BB11"/>
  <c r="AI14"/>
  <c r="BR28"/>
  <c r="AN35"/>
  <c r="AS16"/>
  <c r="BG19"/>
  <c r="AJ28"/>
  <c r="AI22"/>
  <c r="AS33"/>
  <c r="AY40"/>
  <c r="BA47"/>
  <c r="Y27"/>
  <c r="AM28"/>
  <c r="AE5"/>
  <c r="AB33"/>
  <c r="AI12"/>
  <c r="BQ15"/>
  <c r="AM38"/>
  <c r="BK51"/>
  <c r="Y15"/>
  <c r="BL9"/>
  <c r="AF40"/>
  <c r="BF5"/>
  <c r="AU37"/>
  <c r="AU4"/>
  <c r="AT13"/>
  <c r="BF16"/>
  <c r="Y43"/>
  <c r="AV7"/>
  <c r="BI41"/>
  <c r="AH5"/>
  <c r="AP24"/>
  <c r="AY38"/>
  <c r="AF22"/>
  <c r="BF10"/>
  <c r="AE28"/>
  <c r="BT4"/>
  <c r="AL27"/>
  <c r="BD25"/>
  <c r="W27"/>
  <c r="BJ12"/>
  <c r="AO27"/>
  <c r="W21"/>
  <c r="BP29"/>
  <c r="AQ8"/>
  <c r="AJ5"/>
  <c r="BC44"/>
  <c r="AT35"/>
  <c r="BK23"/>
  <c r="AE25"/>
  <c r="AR6"/>
  <c r="AH36"/>
  <c r="BH23"/>
  <c r="BL5"/>
  <c r="BG47"/>
  <c r="BA48"/>
  <c r="X41"/>
  <c r="AV28"/>
  <c r="AM11"/>
  <c r="BR5"/>
  <c r="AW48"/>
  <c r="AO37"/>
  <c r="BR14"/>
  <c r="AV11"/>
  <c r="AD32"/>
  <c r="Y4"/>
  <c r="BI29"/>
  <c r="AK41"/>
  <c r="AH29"/>
  <c r="Z36"/>
  <c r="AD13"/>
  <c r="AU7"/>
  <c r="BE41"/>
  <c r="BC21"/>
  <c r="BR18"/>
  <c r="AA37"/>
  <c r="AN4"/>
  <c r="BJ29"/>
  <c r="AZ40"/>
  <c r="BO48"/>
  <c r="AN6"/>
  <c r="BM12"/>
  <c r="BM16"/>
  <c r="AB19"/>
  <c r="BC20"/>
  <c r="AE22"/>
  <c r="BF23"/>
  <c r="AG25"/>
  <c r="BG26"/>
  <c r="AI28"/>
  <c r="BE29"/>
  <c r="BL30"/>
  <c r="BS31"/>
  <c r="AA33"/>
  <c r="AI34"/>
  <c r="AP35"/>
  <c r="AT36"/>
  <c r="AM37"/>
  <c r="AF38"/>
  <c r="X39"/>
  <c r="BO39"/>
  <c r="BH40"/>
  <c r="AZ41"/>
  <c r="AS42"/>
  <c r="AL43"/>
  <c r="AD44"/>
  <c r="W45"/>
  <c r="BN45"/>
  <c r="BF46"/>
  <c r="AY47"/>
  <c r="AP48"/>
  <c r="X49"/>
  <c r="BD49"/>
  <c r="AL50"/>
  <c r="BR50"/>
  <c r="AZ51"/>
  <c r="BS5"/>
  <c r="AW12"/>
  <c r="AX16"/>
  <c r="BQ18"/>
  <c r="AV20"/>
  <c r="X22"/>
  <c r="AX23"/>
  <c r="Y25"/>
  <c r="AZ26"/>
  <c r="AB28"/>
  <c r="AY29"/>
  <c r="BG30"/>
  <c r="BN31"/>
  <c r="BT32"/>
  <c r="AC34"/>
  <c r="AK35"/>
  <c r="AP36"/>
  <c r="AI37"/>
  <c r="AB38"/>
  <c r="BR38"/>
  <c r="BK39"/>
  <c r="BD40"/>
  <c r="AV41"/>
  <c r="AO42"/>
  <c r="AH43"/>
  <c r="Z44"/>
  <c r="BQ44"/>
  <c r="BJ45"/>
  <c r="BB46"/>
  <c r="AU47"/>
  <c r="AM48"/>
  <c r="BS48"/>
  <c r="BA49"/>
  <c r="AI50"/>
  <c r="BO50"/>
  <c r="AW51"/>
  <c r="AP10"/>
  <c r="AD18"/>
  <c r="AT21"/>
  <c r="AU24"/>
  <c r="AX27"/>
  <c r="AK30"/>
  <c r="AY32"/>
  <c r="BM34"/>
  <c r="BQ36"/>
  <c r="BB38"/>
  <c r="AN40"/>
  <c r="Y42"/>
  <c r="BH43"/>
  <c r="AC8"/>
  <c r="AH14"/>
  <c r="AV17"/>
  <c r="AU19"/>
  <c r="Y21"/>
  <c r="AY22"/>
  <c r="Y24"/>
  <c r="AY25"/>
  <c r="AW11"/>
  <c r="AY18"/>
  <c r="BJ21"/>
  <c r="BL24"/>
  <c r="AT27"/>
  <c r="AP29"/>
  <c r="AC31"/>
  <c r="AW32"/>
  <c r="BR33"/>
  <c r="BC35"/>
  <c r="BP36"/>
  <c r="BS37"/>
  <c r="AI39"/>
  <c r="AL40"/>
  <c r="AP41"/>
  <c r="BD42"/>
  <c r="BG43"/>
  <c r="BJ44"/>
  <c r="Z46"/>
  <c r="AD47"/>
  <c r="AG48"/>
  <c r="AF49"/>
  <c r="BT49"/>
  <c r="BJ50"/>
  <c r="BH51"/>
  <c r="AV9"/>
  <c r="BP15"/>
  <c r="AO19"/>
  <c r="AK21"/>
  <c r="AE23"/>
  <c r="AS25"/>
  <c r="AM27"/>
  <c r="AI29"/>
  <c r="W31"/>
  <c r="AR32"/>
  <c r="BM33"/>
  <c r="AX35"/>
  <c r="BL36"/>
  <c r="BO37"/>
  <c r="AE39"/>
  <c r="AH40"/>
  <c r="AL41"/>
  <c r="AZ42"/>
  <c r="BC43"/>
  <c r="BF44"/>
  <c r="BT45"/>
  <c r="Z47"/>
  <c r="AC48"/>
  <c r="AC49"/>
  <c r="BQ49"/>
  <c r="BG50"/>
  <c r="BE51"/>
  <c r="AY15"/>
  <c r="BG20"/>
  <c r="AI25"/>
  <c r="Y29"/>
  <c r="W32"/>
  <c r="AQ35"/>
  <c r="BJ37"/>
  <c r="BP39"/>
  <c r="AT42"/>
  <c r="BA44"/>
  <c r="AL46"/>
  <c r="X48"/>
  <c r="AO49"/>
  <c r="BC50"/>
  <c r="BQ51"/>
  <c r="AY52"/>
  <c r="AG53"/>
  <c r="BM53"/>
  <c r="BK15"/>
  <c r="AA20"/>
  <c r="AC23"/>
  <c r="AE26"/>
  <c r="AE29"/>
  <c r="AX31"/>
  <c r="BK33"/>
  <c r="AA36"/>
  <c r="BN37"/>
  <c r="AY39"/>
  <c r="AJ41"/>
  <c r="BT42"/>
  <c r="BE44"/>
  <c r="AP46"/>
  <c r="AB48"/>
  <c r="AR49"/>
  <c r="BF50"/>
  <c r="BT51"/>
  <c r="BB52"/>
  <c r="AJ53"/>
  <c r="BP53"/>
  <c r="AI16"/>
  <c r="AZ22"/>
  <c r="BD28"/>
  <c r="BM32"/>
  <c r="AD37"/>
  <c r="BT40"/>
  <c r="AI45"/>
  <c r="AH48"/>
  <c r="BK50"/>
  <c r="BC52"/>
  <c r="AU5"/>
  <c r="AW16"/>
  <c r="AS20"/>
  <c r="AU23"/>
  <c r="AJ4"/>
  <c r="AV15"/>
  <c r="BO19"/>
  <c r="BP22"/>
  <c r="BS25"/>
  <c r="BN27"/>
  <c r="BS29"/>
  <c r="AP31"/>
  <c r="BL32"/>
  <c r="AW34"/>
  <c r="BR35"/>
  <c r="AB37"/>
  <c r="AP38"/>
  <c r="AT39"/>
  <c r="AW40"/>
  <c r="BK41"/>
  <c r="BN42"/>
  <c r="BR43"/>
  <c r="AH45"/>
  <c r="AK46"/>
  <c r="AN47"/>
  <c r="AX48"/>
  <c r="AN49"/>
  <c r="AD50"/>
  <c r="AB51"/>
  <c r="BP51"/>
  <c r="AG11"/>
  <c r="AJ17"/>
  <c r="BI19"/>
  <c r="BB21"/>
  <c r="BQ23"/>
  <c r="BM25"/>
  <c r="BF27"/>
  <c r="BN29"/>
  <c r="AK31"/>
  <c r="BG32"/>
  <c r="AR34"/>
  <c r="BM35"/>
  <c r="X37"/>
  <c r="AL38"/>
  <c r="AP39"/>
  <c r="AS40"/>
  <c r="BG41"/>
  <c r="BJ42"/>
  <c r="BN43"/>
  <c r="AD45"/>
  <c r="AG46"/>
  <c r="AJ47"/>
  <c r="AU48"/>
  <c r="AK49"/>
  <c r="AA50"/>
  <c r="Y51"/>
  <c r="BM51"/>
  <c r="BO16"/>
  <c r="AG22"/>
  <c r="W26"/>
  <c r="BG29"/>
  <c r="AD33"/>
  <c r="BS35"/>
  <c r="AG38"/>
  <c r="BI40"/>
  <c r="BP42"/>
  <c r="X45"/>
  <c r="BH46"/>
  <c r="AQ48"/>
  <c r="BE49"/>
  <c r="BS50"/>
  <c r="AA52"/>
  <c r="BG52"/>
  <c r="AO53"/>
  <c r="AJ7"/>
  <c r="AB17"/>
  <c r="BM20"/>
  <c r="BN23"/>
  <c r="BP26"/>
  <c r="BM29"/>
  <c r="AB32"/>
  <c r="AO34"/>
  <c r="AZ36"/>
  <c r="AK38"/>
  <c r="BT39"/>
  <c r="BF41"/>
  <c r="AQ43"/>
  <c r="AB45"/>
  <c r="Z18"/>
  <c r="AS24"/>
  <c r="BT28"/>
  <c r="AI32"/>
  <c r="AA35"/>
  <c r="BH37"/>
  <c r="AB40"/>
  <c r="AH42"/>
  <c r="AZ44"/>
  <c r="BQ46"/>
  <c r="BN48"/>
  <c r="BB50"/>
  <c r="BJ7"/>
  <c r="AP18"/>
  <c r="BI22"/>
  <c r="BS26"/>
  <c r="AR30"/>
  <c r="AY33"/>
  <c r="BA36"/>
  <c r="BH38"/>
  <c r="AA41"/>
  <c r="AR43"/>
  <c r="AY45"/>
  <c r="BP47"/>
  <c r="BI49"/>
  <c r="AO51"/>
  <c r="BQ19"/>
  <c r="AK28"/>
  <c r="AJ34"/>
  <c r="AU39"/>
  <c r="AF44"/>
  <c r="AZ47"/>
  <c r="AM50"/>
  <c r="AQ52"/>
  <c r="BE53"/>
  <c r="AM19"/>
  <c r="AQ25"/>
  <c r="BS30"/>
  <c r="AW35"/>
  <c r="AD39"/>
  <c r="AX42"/>
  <c r="BS45"/>
  <c r="AT48"/>
  <c r="Z50"/>
  <c r="BD51"/>
  <c r="BJ52"/>
  <c r="AZ53"/>
  <c r="BL11"/>
  <c r="AC24"/>
  <c r="AD31"/>
  <c r="AJ36"/>
  <c r="BL41"/>
  <c r="AW46"/>
  <c r="AE50"/>
  <c r="BS52"/>
  <c r="AG12"/>
  <c r="BF19"/>
  <c r="AJ24"/>
  <c r="AK27"/>
  <c r="AB30"/>
  <c r="AQ32"/>
  <c r="BD34"/>
  <c r="BJ36"/>
  <c r="AV38"/>
  <c r="AG40"/>
  <c r="BP41"/>
  <c r="BB43"/>
  <c r="AM45"/>
  <c r="X47"/>
  <c r="BB48"/>
  <c r="BP49"/>
  <c r="AF51"/>
  <c r="AH52"/>
  <c r="BN52"/>
  <c r="AV53"/>
  <c r="AX14"/>
  <c r="AM23"/>
  <c r="AQ29"/>
  <c r="AY34"/>
  <c r="AR38"/>
  <c r="AQ41"/>
  <c r="BS43"/>
  <c r="BK47"/>
  <c r="AU50"/>
  <c r="AU52"/>
  <c r="BI53"/>
  <c r="BI11"/>
  <c r="BR4"/>
  <c r="BM52"/>
  <c r="AY51"/>
  <c r="AK50"/>
  <c r="W49"/>
  <c r="AX47"/>
  <c r="BL45"/>
  <c r="AC44"/>
  <c r="AR42"/>
  <c r="BF40"/>
  <c r="W39"/>
  <c r="AL37"/>
  <c r="AM35"/>
  <c r="Z33"/>
  <c r="BK30"/>
  <c r="AF28"/>
  <c r="AD25"/>
  <c r="AC22"/>
  <c r="W19"/>
  <c r="Z14"/>
  <c r="BT7"/>
  <c r="AP53"/>
  <c r="AB52"/>
  <c r="BL50"/>
  <c r="AX49"/>
  <c r="AJ48"/>
  <c r="AX46"/>
  <c r="BM44"/>
  <c r="AD43"/>
  <c r="AR41"/>
  <c r="BG39"/>
  <c r="X38"/>
  <c r="AK36"/>
  <c r="X34"/>
  <c r="BI31"/>
  <c r="AT29"/>
  <c r="AR26"/>
  <c r="AQ23"/>
  <c r="AN20"/>
  <c r="AM16"/>
  <c r="BS10"/>
  <c r="AA4"/>
  <c r="AO5"/>
  <c r="BC6"/>
  <c r="BQ7"/>
  <c r="AG9"/>
  <c r="AU10"/>
  <c r="AL5"/>
  <c r="W7"/>
  <c r="BF8"/>
  <c r="AR10"/>
  <c r="BJ11"/>
  <c r="Z13"/>
  <c r="AN14"/>
  <c r="BB15"/>
  <c r="BP16"/>
  <c r="AF18"/>
  <c r="AL4"/>
  <c r="BA6"/>
  <c r="BN8"/>
  <c r="Y11"/>
  <c r="BI12"/>
  <c r="AT14"/>
  <c r="AE16"/>
  <c r="BO17"/>
  <c r="AV19"/>
  <c r="BJ20"/>
  <c r="Z22"/>
  <c r="AN23"/>
  <c r="BB24"/>
  <c r="BP25"/>
  <c r="AF27"/>
  <c r="AU13"/>
  <c r="AA7"/>
  <c r="AI53"/>
  <c r="BS51"/>
  <c r="BE50"/>
  <c r="AQ49"/>
  <c r="Z48"/>
  <c r="AO46"/>
  <c r="BD44"/>
  <c r="BR42"/>
  <c r="AI41"/>
  <c r="AZ4"/>
  <c r="AK20"/>
  <c r="AM26"/>
  <c r="AJ30"/>
  <c r="AP33"/>
  <c r="AI36"/>
  <c r="BA38"/>
  <c r="BR40"/>
  <c r="AA43"/>
  <c r="AR45"/>
  <c r="BJ47"/>
  <c r="AV49"/>
  <c r="AJ51"/>
  <c r="BM13"/>
  <c r="AC20"/>
  <c r="AK24"/>
  <c r="AS28"/>
  <c r="AY31"/>
  <c r="BE34"/>
  <c r="AT37"/>
  <c r="AZ39"/>
  <c r="BR41"/>
  <c r="AK44"/>
  <c r="AR46"/>
  <c r="BC48"/>
  <c r="AQ50"/>
  <c r="BL6"/>
  <c r="BT22"/>
  <c r="BM30"/>
  <c r="AV36"/>
  <c r="AF41"/>
  <c r="AT45"/>
  <c r="BG48"/>
  <c r="AK51"/>
  <c r="BO52"/>
  <c r="BK10"/>
  <c r="BA21"/>
  <c r="BE27"/>
  <c r="BD32"/>
  <c r="W37"/>
  <c r="AR40"/>
  <c r="BL43"/>
  <c r="BL46"/>
  <c r="BJ48"/>
  <c r="AP50"/>
  <c r="AD52"/>
  <c r="BR52"/>
  <c r="BH53"/>
  <c r="BA17"/>
  <c r="BB25"/>
  <c r="BF31"/>
  <c r="BT37"/>
  <c r="AB43"/>
  <c r="AP47"/>
  <c r="AS51"/>
  <c r="AK53"/>
  <c r="BM14"/>
  <c r="AG21"/>
  <c r="W25"/>
  <c r="X28"/>
  <c r="BE30"/>
  <c r="BS32"/>
  <c r="AH35"/>
  <c r="AH37"/>
  <c r="BQ38"/>
  <c r="BB40"/>
  <c r="AN42"/>
  <c r="Y44"/>
  <c r="BH45"/>
  <c r="AT47"/>
  <c r="BR48"/>
  <c r="AH50"/>
  <c r="AV51"/>
  <c r="AP52"/>
  <c r="X53"/>
  <c r="BD53"/>
  <c r="BC18"/>
  <c r="BO24"/>
  <c r="AZ30"/>
  <c r="BF35"/>
  <c r="AJ39"/>
  <c r="AJ42"/>
  <c r="BL44"/>
  <c r="AY48"/>
  <c r="AC51"/>
  <c r="BK52"/>
  <c r="BQ53"/>
  <c r="AN10"/>
  <c r="BK53"/>
  <c r="AW52"/>
  <c r="AI51"/>
  <c r="BS49"/>
  <c r="BE48"/>
  <c r="AB47"/>
  <c r="AQ45"/>
  <c r="BF43"/>
  <c r="BT41"/>
  <c r="AK40"/>
  <c r="AZ38"/>
  <c r="BN36"/>
  <c r="BI34"/>
  <c r="AV32"/>
  <c r="AG30"/>
  <c r="AS27"/>
  <c r="AQ24"/>
  <c r="AO21"/>
  <c r="W18"/>
  <c r="BF12"/>
  <c r="AB6"/>
  <c r="Z53"/>
  <c r="BJ51"/>
  <c r="AV50"/>
  <c r="AH49"/>
  <c r="BL47"/>
  <c r="AC46"/>
  <c r="AR44"/>
  <c r="BF42"/>
  <c r="W41"/>
  <c r="AL39"/>
  <c r="AZ37"/>
  <c r="BG35"/>
  <c r="AT33"/>
  <c r="AE31"/>
  <c r="BG28"/>
  <c r="BE25"/>
  <c r="BC22"/>
  <c r="BA19"/>
  <c r="BS14"/>
  <c r="AB9"/>
  <c r="AQ4"/>
  <c r="BE5"/>
  <c r="BS6"/>
  <c r="AI8"/>
  <c r="AW9"/>
  <c r="X4"/>
  <c r="BG5"/>
  <c r="AR7"/>
  <c r="AD9"/>
  <c r="BL10"/>
  <c r="AB12"/>
  <c r="AP13"/>
  <c r="BD14"/>
  <c r="BR15"/>
  <c r="AH17"/>
  <c r="AV18"/>
  <c r="BP4"/>
  <c r="AE7"/>
  <c r="AR9"/>
  <c r="AU11"/>
  <c r="AF13"/>
  <c r="BO14"/>
  <c r="BA16"/>
  <c r="AL18"/>
  <c r="BL19"/>
  <c r="AB21"/>
  <c r="AP22"/>
  <c r="BD23"/>
  <c r="BR24"/>
  <c r="AH26"/>
  <c r="AV27"/>
  <c r="AA12"/>
  <c r="AN5"/>
  <c r="BQ52"/>
  <c r="BC51"/>
  <c r="AO50"/>
  <c r="AA49"/>
  <c r="BC47"/>
  <c r="BR45"/>
  <c r="AH44"/>
  <c r="AW42"/>
  <c r="AL23"/>
  <c r="BE31"/>
  <c r="AX37"/>
  <c r="X42"/>
  <c r="AV46"/>
  <c r="AT50"/>
  <c r="BM17"/>
  <c r="AF26"/>
  <c r="AK33"/>
  <c r="AW38"/>
  <c r="W43"/>
  <c r="BF47"/>
  <c r="AG51"/>
  <c r="BH26"/>
  <c r="Z39"/>
  <c r="AE47"/>
  <c r="AI52"/>
  <c r="AO18"/>
  <c r="AQ30"/>
  <c r="BF38"/>
  <c r="AX45"/>
  <c r="BH49"/>
  <c r="AT52"/>
  <c r="BB8"/>
  <c r="W30"/>
  <c r="BF39"/>
  <c r="AW49"/>
  <c r="AA9"/>
  <c r="BH22"/>
  <c r="AX29"/>
  <c r="AB34"/>
  <c r="Z38"/>
  <c r="AU41"/>
  <c r="BP44"/>
  <c r="AL48"/>
  <c r="BN50"/>
  <c r="BF52"/>
  <c r="BT53"/>
  <c r="BO27"/>
  <c r="AY37"/>
  <c r="AX43"/>
  <c r="BM49"/>
  <c r="AS53"/>
  <c r="BF6"/>
  <c r="BO51"/>
  <c r="AM49"/>
  <c r="AJ46"/>
  <c r="BM42"/>
  <c r="AR39"/>
  <c r="BQ35"/>
  <c r="AO31"/>
  <c r="BO25"/>
  <c r="BN19"/>
  <c r="BH9"/>
  <c r="AR52"/>
  <c r="BN49"/>
  <c r="BT46"/>
  <c r="AY43"/>
  <c r="AD40"/>
  <c r="BH36"/>
  <c r="AM32"/>
  <c r="AE27"/>
  <c r="AD21"/>
  <c r="AK12"/>
  <c r="Y5"/>
  <c r="BA7"/>
  <c r="AE10"/>
  <c r="AZ6"/>
  <c r="BT9"/>
  <c r="BH12"/>
  <c r="AL15"/>
  <c r="BN17"/>
  <c r="X6"/>
  <c r="AZ10"/>
  <c r="Y14"/>
  <c r="AS17"/>
  <c r="AT20"/>
  <c r="X23"/>
  <c r="AZ25"/>
  <c r="BK14"/>
  <c r="AY53"/>
  <c r="W51"/>
  <c r="AS48"/>
  <c r="AA45"/>
  <c r="BD41"/>
  <c r="AX39"/>
  <c r="BL37"/>
  <c r="Y36"/>
  <c r="BJ33"/>
  <c r="AU31"/>
  <c r="AD29"/>
  <c r="AB26"/>
  <c r="Z23"/>
  <c r="X20"/>
  <c r="BI15"/>
  <c r="AC10"/>
  <c r="BJ53"/>
  <c r="AV52"/>
  <c r="AH51"/>
  <c r="BR49"/>
  <c r="BD48"/>
  <c r="AA47"/>
  <c r="AP45"/>
  <c r="BD43"/>
  <c r="BS41"/>
  <c r="AJ40"/>
  <c r="AX38"/>
  <c r="BM36"/>
  <c r="BH34"/>
  <c r="AS32"/>
  <c r="AF30"/>
  <c r="AP27"/>
  <c r="AN24"/>
  <c r="AL21"/>
  <c r="BS17"/>
  <c r="AY12"/>
  <c r="Z6"/>
  <c r="BS4"/>
  <c r="AI6"/>
  <c r="AW7"/>
  <c r="BK8"/>
  <c r="AA10"/>
  <c r="BI4"/>
  <c r="AT6"/>
  <c r="AF8"/>
  <c r="BO9"/>
  <c r="AP11"/>
  <c r="BD12"/>
  <c r="BR13"/>
  <c r="AH15"/>
  <c r="AV16"/>
  <c r="BJ17"/>
  <c r="Z19"/>
  <c r="BO5"/>
  <c r="AD8"/>
  <c r="AS10"/>
  <c r="AH12"/>
  <c r="BQ13"/>
  <c r="BC15"/>
  <c r="AN17"/>
  <c r="Y19"/>
  <c r="AP20"/>
  <c r="BD21"/>
  <c r="BR22"/>
  <c r="AH24"/>
  <c r="AV25"/>
  <c r="BJ26"/>
  <c r="Z28"/>
  <c r="BB7"/>
  <c r="Y52"/>
  <c r="AU49"/>
  <c r="AT46"/>
  <c r="Z43"/>
  <c r="BC39"/>
  <c r="AF36"/>
  <c r="BC31"/>
  <c r="AK26"/>
  <c r="AG20"/>
  <c r="BD10"/>
  <c r="AZ52"/>
  <c r="X50"/>
  <c r="AF47"/>
  <c r="BJ43"/>
  <c r="AO40"/>
  <c r="BR36"/>
  <c r="BA32"/>
  <c r="AY27"/>
  <c r="AU21"/>
  <c r="BR12"/>
  <c r="BO4"/>
  <c r="Y10"/>
  <c r="AC27"/>
  <c r="BE33"/>
  <c r="BL38"/>
  <c r="AV43"/>
  <c r="BT47"/>
  <c r="AR51"/>
  <c r="BO20"/>
  <c r="BM28"/>
  <c r="BT34"/>
  <c r="X40"/>
  <c r="AV44"/>
  <c r="BK48"/>
  <c r="AI13"/>
  <c r="AS31"/>
  <c r="BB41"/>
  <c r="Y49"/>
  <c r="Y53"/>
  <c r="AN22"/>
  <c r="AI33"/>
  <c r="BM40"/>
  <c r="AI47"/>
  <c r="X51"/>
  <c r="AB53"/>
  <c r="AY19"/>
  <c r="W34"/>
  <c r="AP44"/>
  <c r="W52"/>
  <c r="BL17"/>
  <c r="BI25"/>
  <c r="AI31"/>
  <c r="BK35"/>
  <c r="AN39"/>
  <c r="BI42"/>
  <c r="AF46"/>
  <c r="AJ49"/>
  <c r="BL51"/>
  <c r="AF53"/>
  <c r="AM20"/>
  <c r="AK32"/>
  <c r="AC40"/>
  <c r="BD45"/>
  <c r="BI51"/>
  <c r="AU14"/>
  <c r="AU53"/>
  <c r="BQ50"/>
  <c r="AO48"/>
  <c r="BT44"/>
  <c r="AY41"/>
  <c r="AD38"/>
  <c r="AG34"/>
  <c r="BC29"/>
  <c r="BB23"/>
  <c r="BI16"/>
  <c r="AO4"/>
  <c r="AT51"/>
  <c r="BP48"/>
  <c r="BF45"/>
  <c r="AK42"/>
  <c r="BN38"/>
  <c r="AE35"/>
  <c r="BA30"/>
  <c r="BP24"/>
  <c r="BF18"/>
  <c r="AP7"/>
  <c r="W6"/>
  <c r="AY8"/>
  <c r="AS4"/>
  <c r="BN7"/>
  <c r="AD11"/>
  <c r="BF13"/>
  <c r="AJ16"/>
  <c r="BL18"/>
  <c r="BG7"/>
  <c r="BP11"/>
  <c r="AM15"/>
  <c r="BG18"/>
  <c r="AR21"/>
  <c r="BT23"/>
  <c r="AX26"/>
  <c r="BJ10"/>
  <c r="BA52"/>
  <c r="Y50"/>
  <c r="AH47"/>
  <c r="BK43"/>
  <c r="BL40"/>
  <c r="AB39"/>
  <c r="AQ37"/>
  <c r="AU35"/>
  <c r="AG33"/>
  <c r="BQ30"/>
  <c r="AQ28"/>
  <c r="AM25"/>
  <c r="AM22"/>
  <c r="AK19"/>
  <c r="AP14"/>
  <c r="AO8"/>
  <c r="AT53"/>
  <c r="AF52"/>
  <c r="BP50"/>
  <c r="BB49"/>
  <c r="AN48"/>
  <c r="BD46"/>
  <c r="BR44"/>
  <c r="AI43"/>
  <c r="AX41"/>
  <c r="BL39"/>
  <c r="AC38"/>
  <c r="AR36"/>
  <c r="AE34"/>
  <c r="BO31"/>
  <c r="BB29"/>
  <c r="BA26"/>
  <c r="BA23"/>
  <c r="AY20"/>
  <c r="BC16"/>
  <c r="AI11"/>
  <c r="W4"/>
  <c r="AK5"/>
  <c r="AY6"/>
  <c r="BM7"/>
  <c r="AC9"/>
  <c r="AQ10"/>
  <c r="AF5"/>
  <c r="BP6"/>
  <c r="BA8"/>
  <c r="AL10"/>
  <c r="BF11"/>
  <c r="BT12"/>
  <c r="AJ14"/>
  <c r="AX15"/>
  <c r="BL16"/>
  <c r="AB18"/>
  <c r="AF4"/>
  <c r="AS6"/>
  <c r="BH8"/>
  <c r="BR10"/>
  <c r="BC12"/>
  <c r="AO14"/>
  <c r="Z16"/>
  <c r="BI17"/>
  <c r="AR19"/>
  <c r="BF20"/>
  <c r="BT21"/>
  <c r="AJ23"/>
  <c r="AX24"/>
  <c r="BL25"/>
  <c r="AB27"/>
  <c r="AP28"/>
  <c r="BS53"/>
  <c r="AQ51"/>
  <c r="BM48"/>
  <c r="BB45"/>
  <c r="AG42"/>
  <c r="BJ38"/>
  <c r="Z35"/>
  <c r="AV30"/>
  <c r="BI24"/>
  <c r="AX18"/>
  <c r="Z7"/>
  <c r="BR51"/>
  <c r="AP49"/>
  <c r="AN46"/>
  <c r="BQ42"/>
  <c r="AV39"/>
  <c r="X36"/>
  <c r="AT31"/>
  <c r="Y26"/>
  <c r="W20"/>
  <c r="Z10"/>
  <c r="AW5"/>
  <c r="AA8"/>
  <c r="BC10"/>
  <c r="AH7"/>
  <c r="BB10"/>
  <c r="AH13"/>
  <c r="BJ15"/>
  <c r="AN18"/>
  <c r="BN6"/>
  <c r="AJ11"/>
  <c r="BE14"/>
  <c r="AA18"/>
  <c r="BR20"/>
  <c r="AV23"/>
  <c r="Z26"/>
  <c r="AT28"/>
  <c r="BH29"/>
  <c r="X31"/>
  <c r="AL32"/>
  <c r="AZ33"/>
  <c r="BN34"/>
  <c r="AD36"/>
  <c r="AX6"/>
  <c r="BB9"/>
  <c r="AE12"/>
  <c r="AS14"/>
  <c r="BG16"/>
  <c r="AC6"/>
  <c r="AH10"/>
  <c r="AO13"/>
  <c r="AQ16"/>
  <c r="X19"/>
  <c r="BK20"/>
  <c r="AV22"/>
  <c r="AG24"/>
  <c r="BQ25"/>
  <c r="BB27"/>
  <c r="AM29"/>
  <c r="BP8"/>
  <c r="AR13"/>
  <c r="AU17"/>
  <c r="AI20"/>
  <c r="AW22"/>
  <c r="BK24"/>
  <c r="Z27"/>
  <c r="AO29"/>
  <c r="AA31"/>
  <c r="BK32"/>
  <c r="AV34"/>
  <c r="AG36"/>
  <c r="AW37"/>
  <c r="BK38"/>
  <c r="AW30"/>
  <c r="AE41"/>
  <c r="BL49"/>
  <c r="BE24"/>
  <c r="BD37"/>
  <c r="BM46"/>
  <c r="BG23"/>
  <c r="BO45"/>
  <c r="AW13"/>
  <c r="AR37"/>
  <c r="AB49"/>
  <c r="W5"/>
  <c r="BM38"/>
  <c r="BA53"/>
  <c r="BL28"/>
  <c r="BC37"/>
  <c r="AT44"/>
  <c r="AX50"/>
  <c r="BL53"/>
  <c r="BF36"/>
  <c r="AG49"/>
  <c r="AW8"/>
  <c r="BC49"/>
  <c r="AJ43"/>
  <c r="AS36"/>
  <c r="BE26"/>
  <c r="AN11"/>
  <c r="AF50"/>
  <c r="BT43"/>
  <c r="AE37"/>
  <c r="BS27"/>
  <c r="BC13"/>
  <c r="AK7"/>
  <c r="AD6"/>
  <c r="AR12"/>
  <c r="AX17"/>
  <c r="X10"/>
  <c r="X17"/>
  <c r="BF22"/>
  <c r="BL27"/>
  <c r="AM51"/>
  <c r="AV45"/>
  <c r="BS39"/>
  <c r="AX36"/>
  <c r="AA32"/>
  <c r="BM26"/>
  <c r="BI20"/>
  <c r="BG11"/>
  <c r="BL52"/>
  <c r="AJ50"/>
  <c r="AV47"/>
  <c r="AB44"/>
  <c r="BE40"/>
  <c r="AJ37"/>
  <c r="Y33"/>
  <c r="AC28"/>
  <c r="Y22"/>
  <c r="BT13"/>
  <c r="BC4"/>
  <c r="AG7"/>
  <c r="BI9"/>
  <c r="Y6"/>
  <c r="AT9"/>
  <c r="AN12"/>
  <c r="BP14"/>
  <c r="AT17"/>
  <c r="AM5"/>
  <c r="BN9"/>
  <c r="AV13"/>
  <c r="BQ16"/>
  <c r="Z20"/>
  <c r="BB22"/>
  <c r="AF25"/>
  <c r="BH27"/>
  <c r="BE52"/>
  <c r="AM47"/>
  <c r="AV40"/>
  <c r="BI32"/>
  <c r="BG21"/>
  <c r="AH53"/>
  <c r="Y48"/>
  <c r="AH41"/>
  <c r="BG33"/>
  <c r="W23"/>
  <c r="AI4"/>
  <c r="BG8"/>
  <c r="AV5"/>
  <c r="BJ9"/>
  <c r="BN13"/>
  <c r="Z17"/>
  <c r="BH5"/>
  <c r="AC12"/>
  <c r="AP16"/>
  <c r="AL20"/>
  <c r="AD24"/>
  <c r="AN27"/>
  <c r="AR29"/>
  <c r="AN31"/>
  <c r="BR32"/>
  <c r="AX34"/>
  <c r="AK4"/>
  <c r="AB8"/>
  <c r="BA11"/>
  <c r="X15"/>
  <c r="AD4"/>
  <c r="AF9"/>
  <c r="AC14"/>
  <c r="BP17"/>
  <c r="AO20"/>
  <c r="BQ22"/>
  <c r="Z25"/>
  <c r="AG27"/>
  <c r="BL4"/>
  <c r="AQ11"/>
  <c r="AT16"/>
  <c r="BL20"/>
  <c r="BC23"/>
  <c r="AV26"/>
  <c r="BK29"/>
  <c r="BR31"/>
  <c r="AA34"/>
  <c r="AY36"/>
  <c r="AE38"/>
  <c r="BI39"/>
  <c r="Y41"/>
  <c r="AM42"/>
  <c r="BA43"/>
  <c r="BO44"/>
  <c r="AE46"/>
  <c r="AS47"/>
  <c r="AR11"/>
  <c r="BI52"/>
  <c r="AG50"/>
  <c r="AR47"/>
  <c r="X44"/>
  <c r="BA40"/>
  <c r="AF37"/>
  <c r="BQ32"/>
  <c r="W28"/>
  <c r="BQ21"/>
  <c r="BE13"/>
  <c r="AL53"/>
  <c r="BH50"/>
  <c r="AD48"/>
  <c r="BH44"/>
  <c r="AM41"/>
  <c r="BP37"/>
  <c r="BO33"/>
  <c r="AK29"/>
  <c r="AG23"/>
  <c r="BT15"/>
  <c r="AE4"/>
  <c r="BG6"/>
  <c r="AK9"/>
  <c r="AQ5"/>
  <c r="BL8"/>
  <c r="BN11"/>
  <c r="AR14"/>
  <c r="BT16"/>
  <c r="AT4"/>
  <c r="W9"/>
  <c r="BN12"/>
  <c r="AK16"/>
  <c r="AZ19"/>
  <c r="AD22"/>
  <c r="BF24"/>
  <c r="AJ27"/>
  <c r="X29"/>
  <c r="AL30"/>
  <c r="AZ31"/>
  <c r="BN32"/>
  <c r="AD34"/>
  <c r="AR35"/>
  <c r="BM4"/>
  <c r="BP7"/>
  <c r="BO10"/>
  <c r="AE13"/>
  <c r="AS15"/>
  <c r="BG17"/>
  <c r="BR7"/>
  <c r="BD11"/>
  <c r="BF14"/>
  <c r="BH17"/>
  <c r="BM19"/>
  <c r="AX21"/>
  <c r="AI23"/>
  <c r="BS24"/>
  <c r="BD26"/>
  <c r="AO28"/>
  <c r="BN5"/>
  <c r="AC11"/>
  <c r="AF15"/>
  <c r="BN18"/>
  <c r="AI21"/>
  <c r="AW23"/>
  <c r="BJ25"/>
  <c r="AA28"/>
  <c r="AC30"/>
  <c r="BM31"/>
  <c r="AX33"/>
  <c r="AI35"/>
  <c r="BK36"/>
  <c r="AA38"/>
  <c r="AO39"/>
  <c r="BC40"/>
  <c r="BQ41"/>
  <c r="AG43"/>
  <c r="AU44"/>
  <c r="BI45"/>
  <c r="Y47"/>
  <c r="AU12"/>
  <c r="AS50"/>
  <c r="AN44"/>
  <c r="AV37"/>
  <c r="AY28"/>
  <c r="BI14"/>
  <c r="BT50"/>
  <c r="Z45"/>
  <c r="AC16"/>
  <c r="BK34"/>
  <c r="AO44"/>
  <c r="Z4"/>
  <c r="AE30"/>
  <c r="BN40"/>
  <c r="AS49"/>
  <c r="BF33"/>
  <c r="W50"/>
  <c r="BA24"/>
  <c r="AC42"/>
  <c r="AN51"/>
  <c r="Z21"/>
  <c r="AB46"/>
  <c r="BK18"/>
  <c r="BK31"/>
  <c r="BJ39"/>
  <c r="BA46"/>
  <c r="Z52"/>
  <c r="BM21"/>
  <c r="AX40"/>
  <c r="AE52"/>
  <c r="AE53"/>
  <c r="BS47"/>
  <c r="AD41"/>
  <c r="BB33"/>
  <c r="BO22"/>
  <c r="BF53"/>
  <c r="AZ48"/>
  <c r="BN41"/>
  <c r="AZ34"/>
  <c r="AE24"/>
  <c r="AY5"/>
  <c r="BO8"/>
  <c r="AK8"/>
  <c r="X14"/>
  <c r="AD19"/>
  <c r="AM12"/>
  <c r="AE19"/>
  <c r="AL24"/>
  <c r="BT8"/>
  <c r="BG49"/>
  <c r="AP43"/>
  <c r="BE38"/>
  <c r="BP34"/>
  <c r="AO30"/>
  <c r="AZ24"/>
  <c r="AI18"/>
  <c r="BB6"/>
  <c r="BN51"/>
  <c r="AL49"/>
  <c r="AH46"/>
  <c r="BL42"/>
  <c r="AQ39"/>
  <c r="BN35"/>
  <c r="AM31"/>
  <c r="BN25"/>
  <c r="BJ19"/>
  <c r="BC9"/>
  <c r="BA5"/>
  <c r="AE8"/>
  <c r="BG10"/>
  <c r="AM7"/>
  <c r="BH10"/>
  <c r="AL13"/>
  <c r="BN15"/>
  <c r="AR18"/>
  <c r="X7"/>
  <c r="AO11"/>
  <c r="BJ14"/>
  <c r="AG18"/>
  <c r="X21"/>
  <c r="AZ23"/>
  <c r="AD26"/>
  <c r="BK13"/>
  <c r="BI50"/>
  <c r="BI44"/>
  <c r="BR37"/>
  <c r="AL29"/>
  <c r="AA16"/>
  <c r="AL51"/>
  <c r="AU45"/>
  <c r="BD38"/>
  <c r="AM30"/>
  <c r="AH18"/>
  <c r="AE6"/>
  <c r="AO9"/>
  <c r="AO6"/>
  <c r="AL11"/>
  <c r="AV14"/>
  <c r="BF17"/>
  <c r="X8"/>
  <c r="BS12"/>
  <c r="AI17"/>
  <c r="AZ21"/>
  <c r="BJ24"/>
  <c r="BT27"/>
  <c r="Z30"/>
  <c r="BD31"/>
  <c r="AJ33"/>
  <c r="AF35"/>
  <c r="Z5"/>
  <c r="BM8"/>
  <c r="BG12"/>
  <c r="AZ15"/>
  <c r="AD5"/>
  <c r="AB11"/>
  <c r="BQ14"/>
  <c r="AT18"/>
  <c r="AH21"/>
  <c r="AO23"/>
  <c r="AU25"/>
  <c r="Y28"/>
  <c r="AH6"/>
  <c r="AP12"/>
  <c r="AK18"/>
  <c r="AP21"/>
  <c r="AI24"/>
  <c r="BC27"/>
  <c r="AI30"/>
  <c r="AO32"/>
  <c r="BQ34"/>
  <c r="BO36"/>
  <c r="AU38"/>
  <c r="AA40"/>
  <c r="AO41"/>
  <c r="BC42"/>
  <c r="BQ43"/>
  <c r="AG45"/>
  <c r="AU46"/>
  <c r="BI47"/>
  <c r="Y8"/>
  <c r="AC52"/>
  <c r="AY49"/>
  <c r="AZ46"/>
  <c r="AE43"/>
  <c r="BH39"/>
  <c r="AN36"/>
  <c r="BJ31"/>
  <c r="AU26"/>
  <c r="AR20"/>
  <c r="W11"/>
  <c r="BD52"/>
  <c r="AB50"/>
  <c r="AL47"/>
  <c r="BO43"/>
  <c r="AT40"/>
  <c r="Z37"/>
  <c r="BH32"/>
  <c r="BI27"/>
  <c r="BF21"/>
  <c r="AJ13"/>
  <c r="BK4"/>
  <c r="AO7"/>
  <c r="BQ9"/>
  <c r="AJ6"/>
  <c r="BD9"/>
  <c r="AV12"/>
  <c r="Z15"/>
  <c r="BB17"/>
  <c r="AZ5"/>
  <c r="AD10"/>
  <c r="BG13"/>
  <c r="AC17"/>
  <c r="AH20"/>
  <c r="BJ22"/>
  <c r="AN25"/>
  <c r="BP27"/>
  <c r="AN29"/>
  <c r="BB30"/>
  <c r="BP31"/>
  <c r="AF33"/>
  <c r="AT34"/>
  <c r="BH35"/>
  <c r="BC5"/>
  <c r="BD8"/>
  <c r="AS11"/>
  <c r="BH13"/>
  <c r="W16"/>
  <c r="BQ4"/>
  <c r="BR8"/>
  <c r="AQ12"/>
  <c r="AU15"/>
  <c r="AM18"/>
  <c r="AJ20"/>
  <c r="BS21"/>
  <c r="BE23"/>
  <c r="AP25"/>
  <c r="AA27"/>
  <c r="BK28"/>
  <c r="AI7"/>
  <c r="AD12"/>
  <c r="AG16"/>
  <c r="AX19"/>
  <c r="BK21"/>
  <c r="AA24"/>
  <c r="AO26"/>
  <c r="BC28"/>
  <c r="AY30"/>
  <c r="AJ32"/>
  <c r="BS33"/>
  <c r="BE35"/>
  <c r="AC37"/>
  <c r="AQ38"/>
  <c r="BE39"/>
  <c r="BS40"/>
  <c r="AI42"/>
  <c r="AW43"/>
  <c r="BK44"/>
  <c r="AA46"/>
  <c r="AO47"/>
  <c r="BJ5"/>
  <c r="AE49"/>
  <c r="BB42"/>
  <c r="BB35"/>
  <c r="AX25"/>
  <c r="BJ8"/>
  <c r="BF49"/>
  <c r="AN43"/>
  <c r="AW36"/>
  <c r="BL26"/>
  <c r="AY11"/>
  <c r="BI7"/>
  <c r="BJ6"/>
  <c r="BP12"/>
  <c r="X18"/>
  <c r="BM10"/>
  <c r="BD17"/>
  <c r="AF23"/>
  <c r="AH28"/>
  <c r="BN30"/>
  <c r="AR33"/>
  <c r="BT35"/>
  <c r="AH9"/>
  <c r="AE14"/>
  <c r="BD5"/>
  <c r="W13"/>
  <c r="BI18"/>
  <c r="AK22"/>
  <c r="BF25"/>
  <c r="AC29"/>
  <c r="BQ12"/>
  <c r="BS19"/>
  <c r="AV24"/>
  <c r="Z29"/>
  <c r="AZ32"/>
  <c r="W36"/>
  <c r="BC38"/>
  <c r="AG41"/>
  <c r="BI43"/>
  <c r="AM46"/>
  <c r="AC15"/>
  <c r="AF45"/>
  <c r="AG32"/>
  <c r="BP52"/>
  <c r="BJ40"/>
  <c r="AJ22"/>
  <c r="BE9"/>
  <c r="BL14"/>
  <c r="AQ13"/>
  <c r="AB25"/>
  <c r="BL31"/>
  <c r="AR5"/>
  <c r="BO15"/>
  <c r="AJ15"/>
  <c r="AY23"/>
  <c r="BM6"/>
  <c r="BE21"/>
  <c r="AS30"/>
  <c r="Y37"/>
  <c r="AE42"/>
  <c r="BQ47"/>
  <c r="AW50"/>
  <c r="BH42"/>
  <c r="BH28"/>
  <c r="Z51"/>
  <c r="AN38"/>
  <c r="AM17"/>
  <c r="AE51"/>
  <c r="AL45"/>
  <c r="AT38"/>
  <c r="AA30"/>
  <c r="BK17"/>
  <c r="BF51"/>
  <c r="X46"/>
  <c r="AF39"/>
  <c r="Y31"/>
  <c r="AS19"/>
  <c r="BI5"/>
  <c r="AC4"/>
  <c r="BP10"/>
  <c r="X16"/>
  <c r="AL7"/>
  <c r="W15"/>
  <c r="AF21"/>
  <c r="AL26"/>
  <c r="BL29"/>
  <c r="AP32"/>
  <c r="BR34"/>
  <c r="BI6"/>
  <c r="AL12"/>
  <c r="BN16"/>
  <c r="AT10"/>
  <c r="BB16"/>
  <c r="BP20"/>
  <c r="AM24"/>
  <c r="BG27"/>
  <c r="AJ9"/>
  <c r="BE17"/>
  <c r="BD22"/>
  <c r="AH27"/>
  <c r="AG31"/>
  <c r="BA34"/>
  <c r="BA37"/>
  <c r="AE40"/>
  <c r="BG42"/>
  <c r="AK45"/>
  <c r="BM47"/>
  <c r="BP46"/>
  <c r="BR29"/>
  <c r="BB51"/>
  <c r="AA39"/>
  <c r="AG19"/>
  <c r="AH4"/>
  <c r="AB16"/>
  <c r="AB15"/>
  <c r="AP26"/>
  <c r="AT32"/>
  <c r="BR6"/>
  <c r="W17"/>
  <c r="BJ16"/>
  <c r="AR24"/>
  <c r="AX9"/>
  <c r="BK22"/>
  <c r="AL31"/>
  <c r="BE37"/>
  <c r="BK42"/>
  <c r="AK47"/>
  <c r="BI35"/>
  <c r="AM9"/>
  <c r="AT43"/>
  <c r="BQ37"/>
  <c r="BH24"/>
  <c r="BF32"/>
  <c r="AQ6"/>
  <c r="AG39"/>
  <c r="AW25"/>
  <c r="AS26"/>
  <c r="AQ7"/>
  <c r="BT33"/>
  <c r="AJ19"/>
  <c r="AP8"/>
  <c r="BE43"/>
  <c r="AU32"/>
  <c r="BE12"/>
  <c r="BA18"/>
  <c r="Z9"/>
  <c r="AD28"/>
  <c r="BR17"/>
  <c r="BS11"/>
  <c r="BJ27"/>
  <c r="AK11"/>
  <c r="BL21"/>
  <c r="AW47"/>
  <c r="AK37"/>
  <c r="AB22"/>
  <c r="BO23"/>
  <c r="AL16"/>
  <c r="Z32"/>
  <c r="AD14"/>
  <c r="AI10"/>
  <c r="AF32"/>
  <c r="BJ49"/>
  <c r="AH31"/>
  <c r="W46"/>
  <c r="AI40"/>
  <c r="W33"/>
  <c r="AW20"/>
  <c r="BM27"/>
  <c r="AL19"/>
  <c r="BG14"/>
  <c r="X35"/>
  <c r="BB28"/>
  <c r="BE11"/>
  <c r="BT10"/>
  <c r="AN8"/>
  <c r="AV42"/>
  <c r="AQ17"/>
  <c r="AU43"/>
  <c r="AG47"/>
  <c r="W44"/>
  <c r="BK40"/>
  <c r="BS36"/>
  <c r="BP32"/>
  <c r="AN28"/>
  <c r="AW21"/>
  <c r="BD13"/>
  <c r="AZ28"/>
  <c r="AT23"/>
  <c r="AF19"/>
  <c r="Z12"/>
  <c r="BG15"/>
  <c r="BK9"/>
  <c r="AZ35"/>
  <c r="BH31"/>
  <c r="AX28"/>
  <c r="AT22"/>
  <c r="AK13"/>
  <c r="AZ18"/>
  <c r="AF12"/>
  <c r="BA9"/>
  <c r="BI8"/>
  <c r="AW28"/>
  <c r="BP40"/>
  <c r="AD49"/>
  <c r="AO12"/>
  <c r="AN32"/>
  <c r="BO41"/>
  <c r="BO49"/>
  <c r="BS23"/>
  <c r="AE45"/>
  <c r="BE22"/>
  <c r="AS44"/>
  <c r="AA53"/>
  <c r="AS43"/>
  <c r="AY35"/>
  <c r="AG26"/>
  <c r="BQ11"/>
  <c r="BN21"/>
  <c r="BE8"/>
  <c r="AT8"/>
  <c r="AX30"/>
  <c r="BT19"/>
  <c r="AP17"/>
  <c r="AC7"/>
  <c r="AE33"/>
  <c r="AN50"/>
  <c r="BD36"/>
  <c r="AA51"/>
  <c r="BS46"/>
  <c r="AC43"/>
  <c r="BQ39"/>
  <c r="BG36"/>
  <c r="BG31"/>
  <c r="BK26"/>
  <c r="AA21"/>
  <c r="BN10"/>
  <c r="AQ27"/>
  <c r="AD23"/>
  <c r="AW17"/>
  <c r="BF9"/>
  <c r="AK15"/>
  <c r="BF7"/>
  <c r="BF34"/>
  <c r="AV31"/>
  <c r="X27"/>
  <c r="BB20"/>
  <c r="AX12"/>
  <c r="BH16"/>
  <c r="AG10"/>
  <c r="Y9"/>
  <c r="Y17"/>
  <c r="X32"/>
  <c r="BC41"/>
  <c r="AX53"/>
  <c r="AO33"/>
  <c r="BH47"/>
  <c r="BE47"/>
  <c r="AC45"/>
  <c r="AY42"/>
  <c r="W40"/>
  <c r="AS37"/>
  <c r="AQ34"/>
  <c r="BT30"/>
  <c r="BQ26"/>
  <c r="AO22"/>
  <c r="AG17"/>
  <c r="AX8"/>
  <c r="AW27"/>
  <c r="AB24"/>
  <c r="BE20"/>
  <c r="AH16"/>
  <c r="BR9"/>
  <c r="AY16"/>
  <c r="Y12"/>
  <c r="AP6"/>
  <c r="BJ34"/>
  <c r="AH32"/>
  <c r="BD29"/>
  <c r="BT25"/>
  <c r="BN20"/>
  <c r="AY14"/>
  <c r="BH6"/>
  <c r="BF15"/>
  <c r="AW10"/>
  <c r="AY10"/>
  <c r="AS5"/>
  <c r="AF20"/>
  <c r="BA31"/>
  <c r="BB39"/>
  <c r="AS46"/>
  <c r="X52"/>
  <c r="BJ18"/>
  <c r="BC30"/>
  <c r="BP38"/>
  <c r="BG45"/>
  <c r="AU51"/>
  <c r="AA48"/>
  <c r="AW45"/>
  <c r="BS42"/>
  <c r="AQ40"/>
  <c r="AG37"/>
  <c r="AH33"/>
  <c r="AG28"/>
  <c r="BR21"/>
  <c r="AQ14"/>
  <c r="AU28"/>
  <c r="BJ23"/>
  <c r="AW19"/>
  <c r="BM11"/>
  <c r="AD16"/>
  <c r="AO10"/>
  <c r="AV35"/>
  <c r="BT31"/>
  <c r="BJ28"/>
  <c r="AH22"/>
  <c r="BL13"/>
  <c r="BT18"/>
  <c r="BR11"/>
  <c r="W10"/>
  <c r="BA15"/>
  <c r="BK37"/>
  <c r="BD50"/>
  <c r="BK27"/>
  <c r="BP43"/>
  <c r="AA11"/>
  <c r="BP23"/>
  <c r="BB18"/>
  <c r="BK11"/>
  <c r="BH18"/>
  <c r="BB13"/>
  <c r="BH7"/>
  <c r="AU8"/>
  <c r="BK7"/>
  <c r="AC25"/>
  <c r="AL35"/>
  <c r="AP42"/>
  <c r="BT48"/>
  <c r="BJ4"/>
  <c r="BM23"/>
  <c r="AN34"/>
  <c r="AB42"/>
  <c r="BO53"/>
  <c r="AD20"/>
  <c r="AT5"/>
  <c r="AY9"/>
  <c r="BG4"/>
  <c r="BO32"/>
  <c r="AQ47"/>
  <c r="BA20"/>
  <c r="BN39"/>
  <c r="AG52"/>
  <c r="BE42"/>
  <c r="AX52"/>
  <c r="Z41"/>
  <c r="W22"/>
  <c r="AD27"/>
  <c r="AJ44"/>
  <c r="BA51"/>
  <c r="AY50"/>
  <c r="AC32"/>
  <c r="BC45"/>
  <c r="AQ21"/>
  <c r="BR39"/>
  <c r="AJ52"/>
  <c r="Z31"/>
  <c r="Y46"/>
  <c r="W48"/>
  <c r="AS45"/>
  <c r="BO42"/>
  <c r="AM40"/>
  <c r="BI37"/>
  <c r="BL34"/>
  <c r="AQ31"/>
  <c r="AU27"/>
  <c r="BS22"/>
  <c r="AC18"/>
  <c r="BP9"/>
  <c r="BR27"/>
  <c r="AW24"/>
  <c r="AC21"/>
  <c r="BS16"/>
  <c r="BQ10"/>
  <c r="AE17"/>
  <c r="BA12"/>
  <c r="AD7"/>
  <c r="AB35"/>
  <c r="AX32"/>
  <c r="BT29"/>
  <c r="BB26"/>
  <c r="AV21"/>
  <c r="AR15"/>
  <c r="BO7"/>
  <c r="AN16"/>
  <c r="AH11"/>
  <c r="AX4"/>
  <c r="AA6"/>
  <c r="AS18"/>
  <c r="AU30"/>
  <c r="BI38"/>
  <c r="AZ45"/>
  <c r="AP51"/>
  <c r="AO16"/>
  <c r="AW29"/>
  <c r="Y38"/>
  <c r="BN44"/>
  <c r="BM50"/>
  <c r="AA14"/>
  <c r="BM45"/>
  <c r="AK43"/>
  <c r="BG40"/>
  <c r="BM37"/>
  <c r="BC33"/>
  <c r="BI28"/>
  <c r="AA23"/>
  <c r="AQ15"/>
  <c r="BP28"/>
  <c r="BC24"/>
  <c r="BR19"/>
  <c r="BB12"/>
  <c r="AK17"/>
  <c r="X11"/>
  <c r="BL35"/>
  <c r="BB32"/>
  <c r="AB29"/>
  <c r="BN22"/>
  <c r="AW15"/>
  <c r="BA4"/>
  <c r="AZ12"/>
  <c r="BD4"/>
  <c r="AV6"/>
  <c r="BO34"/>
  <c r="BH48"/>
  <c r="AK23"/>
  <c r="AN41"/>
  <c r="AM53"/>
  <c r="BN24"/>
  <c r="BH19"/>
  <c r="AA13"/>
  <c r="BH4"/>
  <c r="AZ14"/>
  <c r="X9"/>
  <c r="AS9"/>
  <c r="AM4"/>
  <c r="BM22"/>
  <c r="BA33"/>
  <c r="AB41"/>
  <c r="BR47"/>
  <c r="AD53"/>
  <c r="AY21"/>
  <c r="BC32"/>
  <c r="AP40"/>
  <c r="AK52"/>
  <c r="BH21"/>
  <c r="AL8"/>
  <c r="AT11"/>
  <c r="AM6"/>
  <c r="Y30"/>
  <c r="AJ45"/>
  <c r="AO15"/>
  <c r="BG37"/>
  <c r="BA50"/>
  <c r="BR46"/>
  <c r="AN53"/>
  <c r="AF43"/>
  <c r="AW26"/>
  <c r="AC35"/>
  <c r="BD47"/>
  <c r="AW53"/>
  <c r="AC19"/>
  <c r="AC36"/>
  <c r="BF48"/>
  <c r="BA28"/>
  <c r="BB31"/>
  <c r="AO17"/>
  <c r="BR26"/>
  <c r="BO46"/>
  <c r="BC36"/>
  <c r="BS20"/>
  <c r="Y23"/>
  <c r="AE15"/>
  <c r="AR31"/>
  <c r="AS12"/>
  <c r="BS8"/>
  <c r="AC41"/>
  <c r="BQ28"/>
  <c r="W29"/>
  <c r="BK12"/>
  <c r="BP35"/>
  <c r="AB23"/>
  <c r="BL12"/>
  <c r="BA45"/>
  <c r="BA10"/>
  <c r="BO12"/>
  <c r="AS8"/>
  <c r="BS44"/>
  <c r="AF34"/>
  <c r="BE16"/>
  <c r="AU20"/>
  <c r="BH11"/>
  <c r="AV29"/>
  <c r="AF6"/>
  <c r="AC5"/>
  <c r="BB36"/>
  <c r="AN52"/>
  <c r="AM39"/>
  <c r="AO45"/>
  <c r="BS38"/>
  <c r="BA29"/>
  <c r="BQ17"/>
  <c r="AC26"/>
  <c r="BI13"/>
  <c r="AT12"/>
  <c r="BH33"/>
  <c r="BL23"/>
  <c r="AT7"/>
  <c r="BC7"/>
  <c r="AL25"/>
  <c r="BP45"/>
  <c r="X24"/>
  <c r="BK49"/>
  <c r="AY46"/>
  <c r="AO43"/>
  <c r="AW39"/>
  <c r="AM36"/>
  <c r="Y32"/>
  <c r="AA26"/>
  <c r="AQ20"/>
  <c r="BC11"/>
  <c r="BO26"/>
  <c r="BA22"/>
  <c r="Y18"/>
  <c r="AR8"/>
  <c r="BA14"/>
  <c r="AJ8"/>
  <c r="AL34"/>
  <c r="AB31"/>
  <c r="AZ27"/>
  <c r="BP19"/>
  <c r="AZ11"/>
  <c r="AL17"/>
  <c r="AI9"/>
  <c r="AM8"/>
  <c r="BB14"/>
  <c r="AL33"/>
  <c r="BA42"/>
  <c r="AR50"/>
  <c r="AE21"/>
  <c r="BC34"/>
  <c r="AZ43"/>
  <c r="AS52"/>
  <c r="BO29"/>
  <c r="AV48"/>
  <c r="AU33"/>
  <c r="BN47"/>
  <c r="AK6"/>
  <c r="BO40"/>
  <c r="BN33"/>
  <c r="BR23"/>
  <c r="BE28"/>
  <c r="AE20"/>
  <c r="BB4"/>
  <c r="BD35"/>
  <c r="AJ29"/>
  <c r="BK16"/>
  <c r="AJ12"/>
  <c r="AY4"/>
  <c r="AP37"/>
  <c r="BT11"/>
  <c r="AO38"/>
  <c r="BC53"/>
  <c r="BE45"/>
  <c r="AU42"/>
  <c r="AK39"/>
  <c r="AD35"/>
  <c r="BO30"/>
  <c r="BC25"/>
  <c r="BE18"/>
  <c r="AH8"/>
  <c r="AY26"/>
  <c r="AS21"/>
  <c r="Y16"/>
  <c r="BD7"/>
  <c r="X13"/>
  <c r="AG6"/>
  <c r="Z34"/>
  <c r="AH30"/>
  <c r="BH25"/>
  <c r="AN19"/>
  <c r="AZ8"/>
  <c r="AT15"/>
  <c r="AV8"/>
  <c r="AU6"/>
  <c r="BH20"/>
  <c r="AM34"/>
  <c r="BI46"/>
  <c r="AT19"/>
  <c r="AH39"/>
  <c r="BG51"/>
  <c r="BG46"/>
  <c r="AE44"/>
  <c r="BA41"/>
  <c r="Y39"/>
  <c r="AU36"/>
  <c r="AC33"/>
  <c r="BF29"/>
  <c r="AH25"/>
  <c r="BD20"/>
  <c r="AG14"/>
  <c r="AW4"/>
  <c r="AI26"/>
  <c r="BL22"/>
  <c r="AQ19"/>
  <c r="BS13"/>
  <c r="BQ6"/>
  <c r="BN14"/>
  <c r="AF10"/>
  <c r="AB4"/>
  <c r="BL33"/>
  <c r="AJ31"/>
  <c r="BF28"/>
  <c r="Z24"/>
  <c r="BM18"/>
  <c r="W12"/>
  <c r="BP18"/>
  <c r="BJ13"/>
  <c r="BS7"/>
  <c r="BC8"/>
  <c r="BT6"/>
  <c r="BG24"/>
  <c r="W35"/>
  <c r="AF42"/>
  <c r="BL48"/>
  <c r="BR53"/>
  <c r="AS23"/>
  <c r="Y34"/>
  <c r="AT41"/>
  <c r="AK48"/>
  <c r="AQ53"/>
  <c r="AC47"/>
  <c r="AY44"/>
  <c r="W42"/>
  <c r="AS39"/>
  <c r="BJ35"/>
  <c r="AW31"/>
  <c r="BR25"/>
  <c r="BE19"/>
  <c r="AJ10"/>
  <c r="BI26"/>
  <c r="AA22"/>
  <c r="AF17"/>
  <c r="AG8"/>
  <c r="BO13"/>
  <c r="AN7"/>
  <c r="AH34"/>
  <c r="BF30"/>
  <c r="BF26"/>
  <c r="BD19"/>
  <c r="AK10"/>
  <c r="AR16"/>
  <c r="BQ8"/>
  <c r="AS7"/>
  <c r="AY24"/>
  <c r="Z42"/>
  <c r="BN53"/>
  <c r="BQ33"/>
  <c r="AF48"/>
  <c r="AR27"/>
  <c r="AL22"/>
  <c r="AU16"/>
  <c r="AL9"/>
  <c r="AD17"/>
  <c r="X12"/>
  <c r="BB5"/>
  <c r="BO6"/>
  <c r="AN15"/>
  <c r="BO28"/>
  <c r="BF37"/>
  <c r="AW44"/>
  <c r="AZ50"/>
  <c r="Y13"/>
  <c r="BA27"/>
  <c r="BT36"/>
  <c r="BJ46"/>
  <c r="BN26"/>
  <c r="BH15"/>
  <c r="AZ16"/>
  <c r="BN4"/>
  <c r="BC17"/>
  <c r="AS38"/>
  <c r="AD51"/>
  <c r="BS28"/>
  <c r="AX44"/>
  <c r="AB13"/>
  <c r="AQ33"/>
  <c r="AZ49"/>
  <c r="AO36"/>
  <c r="AM52"/>
  <c r="AR53"/>
  <c r="BS34"/>
  <c r="AM43"/>
  <c r="AN45"/>
  <c r="AR22"/>
  <c r="BD39"/>
  <c r="O190" i="282"/>
  <c r="N5" i="225"/>
  <c r="N7"/>
  <c r="N4"/>
  <c r="I6" i="223" a="1"/>
  <c r="I7" s="1"/>
  <c r="O6" a="1"/>
  <c r="O197" i="282"/>
  <c r="V185"/>
  <c r="V187"/>
  <c r="R36" i="99"/>
  <c r="A37" i="224"/>
  <c r="C36"/>
  <c r="S194" i="282"/>
  <c r="V189"/>
  <c r="T197"/>
  <c r="T196"/>
  <c r="T190"/>
  <c r="T192"/>
  <c r="U188"/>
  <c r="U184"/>
  <c r="U186"/>
  <c r="N85" i="223"/>
  <c r="P84"/>
  <c r="T194" i="282"/>
  <c r="S197"/>
  <c r="N16" i="102"/>
  <c r="P15"/>
  <c r="O194" i="282"/>
  <c r="U185"/>
  <c r="U187"/>
  <c r="E138" i="275"/>
  <c r="C138"/>
  <c r="D138"/>
  <c r="F139"/>
  <c r="F141"/>
  <c r="D148"/>
  <c r="D145"/>
  <c r="K141" s="1"/>
  <c r="AC37" i="107"/>
  <c r="AE36"/>
  <c r="AP36" s="1"/>
  <c r="S6" i="224" a="1"/>
  <c r="K6" a="1"/>
  <c r="K7" s="1"/>
  <c r="V196" i="282" l="1"/>
  <c r="W184"/>
  <c r="D200" s="1"/>
  <c r="S196"/>
  <c r="S190"/>
  <c r="W186"/>
  <c r="F202" s="1"/>
  <c r="S4" i="225" a="1"/>
  <c r="S7" s="1"/>
  <c r="U7" s="1"/>
  <c r="I6" i="223"/>
  <c r="K6" s="1" a="1"/>
  <c r="Q6"/>
  <c r="S8"/>
  <c r="U10"/>
  <c r="W12"/>
  <c r="R14"/>
  <c r="Y15"/>
  <c r="P17"/>
  <c r="V18"/>
  <c r="AC19"/>
  <c r="R10"/>
  <c r="Q14"/>
  <c r="S7"/>
  <c r="U9"/>
  <c r="W11"/>
  <c r="X13"/>
  <c r="O15"/>
  <c r="V16"/>
  <c r="AB17"/>
  <c r="S19"/>
  <c r="Z20"/>
  <c r="O8"/>
  <c r="Q10"/>
  <c r="S12"/>
  <c r="P14"/>
  <c r="V15"/>
  <c r="AB16"/>
  <c r="T18"/>
  <c r="Z19"/>
  <c r="O7"/>
  <c r="Q9"/>
  <c r="AB12"/>
  <c r="O17"/>
  <c r="T17"/>
  <c r="Y17"/>
  <c r="X16"/>
  <c r="AA6"/>
  <c r="P11"/>
  <c r="T15"/>
  <c r="X19"/>
  <c r="Z8"/>
  <c r="O13"/>
  <c r="S10"/>
  <c r="W14"/>
  <c r="AA18"/>
  <c r="AC7"/>
  <c r="R12"/>
  <c r="U8"/>
  <c r="Y12"/>
  <c r="AC16"/>
  <c r="P6"/>
  <c r="T10"/>
  <c r="X7"/>
  <c r="AB11"/>
  <c r="Q16"/>
  <c r="U20"/>
  <c r="W9"/>
  <c r="Y6"/>
  <c r="AA8"/>
  <c r="AC10"/>
  <c r="P13"/>
  <c r="X14"/>
  <c r="O16"/>
  <c r="U17"/>
  <c r="AB18"/>
  <c r="S20"/>
  <c r="S11"/>
  <c r="AB14"/>
  <c r="AA7"/>
  <c r="AC9"/>
  <c r="P12"/>
  <c r="AC13"/>
  <c r="U15"/>
  <c r="AA16"/>
  <c r="R18"/>
  <c r="Y19"/>
  <c r="U6"/>
  <c r="W8"/>
  <c r="Y10"/>
  <c r="AA12"/>
  <c r="U14"/>
  <c r="AA15"/>
  <c r="S17"/>
  <c r="Y18"/>
  <c r="P20"/>
  <c r="W7"/>
  <c r="Y9"/>
  <c r="AA13"/>
  <c r="U18"/>
  <c r="Z18"/>
  <c r="Q19"/>
  <c r="P18"/>
  <c r="AB7"/>
  <c r="Q12"/>
  <c r="U16"/>
  <c r="Y20"/>
  <c r="AA9"/>
  <c r="P7"/>
  <c r="T11"/>
  <c r="X15"/>
  <c r="AB19"/>
  <c r="O9"/>
  <c r="S13"/>
  <c r="V9"/>
  <c r="Z13"/>
  <c r="O18"/>
  <c r="Q7"/>
  <c r="U11"/>
  <c r="Y8"/>
  <c r="AC12"/>
  <c r="R17"/>
  <c r="T6"/>
  <c r="X10"/>
  <c r="R7"/>
  <c r="T9"/>
  <c r="W13"/>
  <c r="AC14"/>
  <c r="T16"/>
  <c r="AA17"/>
  <c r="R19"/>
  <c r="X20"/>
  <c r="T12"/>
  <c r="R6"/>
  <c r="T8"/>
  <c r="V10"/>
  <c r="X12"/>
  <c r="T14"/>
  <c r="Z15"/>
  <c r="Q17"/>
  <c r="X18"/>
  <c r="O20"/>
  <c r="AC6"/>
  <c r="P9"/>
  <c r="R11"/>
  <c r="T13"/>
  <c r="Z14"/>
  <c r="R16"/>
  <c r="X17"/>
  <c r="O19"/>
  <c r="V20"/>
  <c r="P8"/>
  <c r="V11"/>
  <c r="Z16"/>
  <c r="U13"/>
  <c r="Q13"/>
  <c r="AC18"/>
  <c r="Z11"/>
  <c r="AC17"/>
  <c r="Z10"/>
  <c r="AA19"/>
  <c r="W20"/>
  <c r="AC8"/>
  <c r="V17"/>
  <c r="AB10"/>
  <c r="U12"/>
  <c r="AC20"/>
  <c r="S6"/>
  <c r="AA14"/>
  <c r="R8"/>
  <c r="Z9"/>
  <c r="S18"/>
  <c r="Y11"/>
  <c r="O6"/>
  <c r="Q18"/>
  <c r="Z6"/>
  <c r="Y14"/>
  <c r="T20"/>
  <c r="U19"/>
  <c r="AA11"/>
  <c r="AC15"/>
  <c r="R15"/>
  <c r="O10"/>
  <c r="AC11"/>
  <c r="V13"/>
  <c r="AB6"/>
  <c r="T7"/>
  <c r="AB15"/>
  <c r="AA10"/>
  <c r="T19"/>
  <c r="Z12"/>
  <c r="O12"/>
  <c r="Y13"/>
  <c r="W18"/>
  <c r="S9"/>
  <c r="Z7"/>
  <c r="AB13"/>
  <c r="W19"/>
  <c r="AB8"/>
  <c r="P16"/>
  <c r="V7"/>
  <c r="Q15"/>
  <c r="AA20"/>
  <c r="V14"/>
  <c r="R20"/>
  <c r="V19"/>
  <c r="R13"/>
  <c r="X6"/>
  <c r="Q8"/>
  <c r="Y16"/>
  <c r="P10"/>
  <c r="W10"/>
  <c r="P19"/>
  <c r="V12"/>
  <c r="O14"/>
  <c r="U7"/>
  <c r="AB9"/>
  <c r="S15"/>
  <c r="V6"/>
  <c r="O11"/>
  <c r="W17"/>
  <c r="X9"/>
  <c r="W16"/>
  <c r="X8"/>
  <c r="W15"/>
  <c r="S16"/>
  <c r="AB20"/>
  <c r="S14"/>
  <c r="Y7"/>
  <c r="R9"/>
  <c r="Z17"/>
  <c r="Q11"/>
  <c r="X11"/>
  <c r="Q20"/>
  <c r="W6"/>
  <c r="P15"/>
  <c r="V8"/>
  <c r="U197" i="282"/>
  <c r="N86" i="223"/>
  <c r="P85"/>
  <c r="K8" i="224"/>
  <c r="W185" i="282"/>
  <c r="W188"/>
  <c r="E204" s="1"/>
  <c r="U194"/>
  <c r="U193"/>
  <c r="W187"/>
  <c r="F203" s="1"/>
  <c r="N17" i="102"/>
  <c r="P16"/>
  <c r="V190" i="282"/>
  <c r="V192"/>
  <c r="A38" i="224"/>
  <c r="C37"/>
  <c r="K6"/>
  <c r="D202" i="282"/>
  <c r="U196"/>
  <c r="U192"/>
  <c r="U190"/>
  <c r="V194"/>
  <c r="R37" i="99"/>
  <c r="V197" i="282"/>
  <c r="V193"/>
  <c r="W189"/>
  <c r="F205" s="1"/>
  <c r="E148" i="275"/>
  <c r="F140"/>
  <c r="C145"/>
  <c r="J141" s="1"/>
  <c r="E145"/>
  <c r="L141" s="1"/>
  <c r="K140"/>
  <c r="AC38" i="107"/>
  <c r="AE37"/>
  <c r="AP37" s="1"/>
  <c r="AA11" i="224"/>
  <c r="T16"/>
  <c r="W7"/>
  <c r="U13"/>
  <c r="AB16"/>
  <c r="AB8"/>
  <c r="Z14"/>
  <c r="V10"/>
  <c r="W15"/>
  <c r="S6"/>
  <c r="X7"/>
  <c r="AC8"/>
  <c r="W10"/>
  <c r="AB11"/>
  <c r="V13"/>
  <c r="AA14"/>
  <c r="U16"/>
  <c r="X6"/>
  <c r="AC7"/>
  <c r="W9"/>
  <c r="AB10"/>
  <c r="V12"/>
  <c r="AA13"/>
  <c r="U15"/>
  <c r="Z16"/>
  <c r="V7"/>
  <c r="AA8"/>
  <c r="U10"/>
  <c r="Z11"/>
  <c r="T13"/>
  <c r="Y14"/>
  <c r="V14"/>
  <c r="X8"/>
  <c r="S15"/>
  <c r="Y9"/>
  <c r="Z15"/>
  <c r="Z10"/>
  <c r="W6"/>
  <c r="AB7"/>
  <c r="V9"/>
  <c r="AA10"/>
  <c r="U12"/>
  <c r="Z13"/>
  <c r="T15"/>
  <c r="Y16"/>
  <c r="AB6"/>
  <c r="V8"/>
  <c r="AA9"/>
  <c r="U11"/>
  <c r="Z12"/>
  <c r="T14"/>
  <c r="Y15"/>
  <c r="U6"/>
  <c r="Z7"/>
  <c r="T9"/>
  <c r="Y10"/>
  <c r="S12"/>
  <c r="X13"/>
  <c r="AA16"/>
  <c r="AB12"/>
  <c r="S7"/>
  <c r="AC13"/>
  <c r="T8"/>
  <c r="AC14"/>
  <c r="U9"/>
  <c r="AA6"/>
  <c r="U8"/>
  <c r="Z9"/>
  <c r="T11"/>
  <c r="Y12"/>
  <c r="S14"/>
  <c r="X15"/>
  <c r="AC16"/>
  <c r="U7"/>
  <c r="Z8"/>
  <c r="T10"/>
  <c r="Y11"/>
  <c r="S13"/>
  <c r="X14"/>
  <c r="AC15"/>
  <c r="Y6"/>
  <c r="S8"/>
  <c r="X9"/>
  <c r="AC10"/>
  <c r="W12"/>
  <c r="AB13"/>
  <c r="S16"/>
  <c r="W11"/>
  <c r="X16"/>
  <c r="X12"/>
  <c r="X11"/>
  <c r="T7"/>
  <c r="AC12"/>
  <c r="Y7"/>
  <c r="W13"/>
  <c r="W8"/>
  <c r="U14"/>
  <c r="S11"/>
  <c r="T12"/>
  <c r="Y8"/>
  <c r="W14"/>
  <c r="S9"/>
  <c r="AB14"/>
  <c r="AB9"/>
  <c r="V15"/>
  <c r="Z6"/>
  <c r="AA7"/>
  <c r="S10"/>
  <c r="AB15"/>
  <c r="X10"/>
  <c r="V16"/>
  <c r="V11"/>
  <c r="AC9"/>
  <c r="W16"/>
  <c r="V6"/>
  <c r="T6"/>
  <c r="AC11"/>
  <c r="AC6"/>
  <c r="AA12"/>
  <c r="AA15"/>
  <c r="Y13"/>
  <c r="F200" i="282" l="1"/>
  <c r="E200"/>
  <c r="C200"/>
  <c r="E202"/>
  <c r="C202"/>
  <c r="W196"/>
  <c r="S5" i="225"/>
  <c r="U5" s="1"/>
  <c r="S43"/>
  <c r="U43" s="1"/>
  <c r="S44"/>
  <c r="U44" s="1"/>
  <c r="S8"/>
  <c r="U8" s="1"/>
  <c r="S50"/>
  <c r="U50" s="1"/>
  <c r="S40"/>
  <c r="U40" s="1"/>
  <c r="S20"/>
  <c r="U20" s="1"/>
  <c r="S34"/>
  <c r="U34" s="1"/>
  <c r="S38"/>
  <c r="U38" s="1"/>
  <c r="S14"/>
  <c r="U14" s="1"/>
  <c r="S28"/>
  <c r="U28" s="1"/>
  <c r="S12"/>
  <c r="U12" s="1"/>
  <c r="S53"/>
  <c r="U53" s="1"/>
  <c r="S24"/>
  <c r="U24" s="1"/>
  <c r="S39"/>
  <c r="U39" s="1"/>
  <c r="S30"/>
  <c r="U30" s="1"/>
  <c r="S41"/>
  <c r="U41" s="1"/>
  <c r="S16"/>
  <c r="U16" s="1"/>
  <c r="S25"/>
  <c r="U25" s="1"/>
  <c r="S13"/>
  <c r="U13" s="1"/>
  <c r="S17"/>
  <c r="U17" s="1"/>
  <c r="W197" i="282"/>
  <c r="S15" i="225"/>
  <c r="U15" s="1"/>
  <c r="S47"/>
  <c r="U47" s="1"/>
  <c r="S22"/>
  <c r="U22" s="1"/>
  <c r="S11"/>
  <c r="U11" s="1"/>
  <c r="S26"/>
  <c r="U26" s="1"/>
  <c r="S52"/>
  <c r="U52" s="1"/>
  <c r="S46"/>
  <c r="U46" s="1"/>
  <c r="S21"/>
  <c r="U21" s="1"/>
  <c r="S48"/>
  <c r="U48" s="1"/>
  <c r="S18"/>
  <c r="U18" s="1"/>
  <c r="S29"/>
  <c r="U29" s="1"/>
  <c r="S32"/>
  <c r="U32" s="1"/>
  <c r="S31"/>
  <c r="U31" s="1"/>
  <c r="S6"/>
  <c r="U6" s="1"/>
  <c r="S4"/>
  <c r="U4" s="1"/>
  <c r="S33"/>
  <c r="U33" s="1"/>
  <c r="S35"/>
  <c r="U35" s="1"/>
  <c r="S10"/>
  <c r="U10" s="1"/>
  <c r="S19"/>
  <c r="U19" s="1"/>
  <c r="S27"/>
  <c r="U27" s="1"/>
  <c r="S9"/>
  <c r="U9" s="1"/>
  <c r="S42"/>
  <c r="U42" s="1"/>
  <c r="S45"/>
  <c r="U45" s="1"/>
  <c r="S51"/>
  <c r="U51" s="1"/>
  <c r="S37"/>
  <c r="U37" s="1"/>
  <c r="S23"/>
  <c r="U23" s="1"/>
  <c r="S36"/>
  <c r="U36" s="1"/>
  <c r="S49"/>
  <c r="U49" s="1"/>
  <c r="O6" i="224" a="1"/>
  <c r="O15" s="1"/>
  <c r="Q15" s="1"/>
  <c r="W193" i="282"/>
  <c r="W194"/>
  <c r="F209"/>
  <c r="N202" s="1"/>
  <c r="N18" i="102"/>
  <c r="P17"/>
  <c r="C201" i="282"/>
  <c r="D201"/>
  <c r="A39" i="224"/>
  <c r="C38"/>
  <c r="C203" i="282"/>
  <c r="D203"/>
  <c r="D209" s="1"/>
  <c r="L203" s="1"/>
  <c r="D205"/>
  <c r="E205"/>
  <c r="E210" s="1"/>
  <c r="M204" s="1"/>
  <c r="C205"/>
  <c r="F201"/>
  <c r="F213" s="1"/>
  <c r="E203"/>
  <c r="F204"/>
  <c r="C204"/>
  <c r="D204"/>
  <c r="W190"/>
  <c r="E201"/>
  <c r="R38" i="99"/>
  <c r="W192" i="282"/>
  <c r="N87" i="223"/>
  <c r="P86"/>
  <c r="L140" i="275"/>
  <c r="L145" s="1"/>
  <c r="M141"/>
  <c r="F138"/>
  <c r="F142" s="1"/>
  <c r="C142"/>
  <c r="C144"/>
  <c r="D147"/>
  <c r="D144"/>
  <c r="D142"/>
  <c r="K145"/>
  <c r="J140"/>
  <c r="E147"/>
  <c r="E142"/>
  <c r="E144"/>
  <c r="L139" s="1"/>
  <c r="C147"/>
  <c r="AC39" i="107"/>
  <c r="AE38"/>
  <c r="AP38" s="1"/>
  <c r="K8" i="223"/>
  <c r="M8" s="1"/>
  <c r="O34" s="1"/>
  <c r="K15"/>
  <c r="M15" s="1"/>
  <c r="O41" s="1"/>
  <c r="K14"/>
  <c r="M14" s="1"/>
  <c r="O40" s="1"/>
  <c r="K13"/>
  <c r="M13" s="1"/>
  <c r="O39" s="1"/>
  <c r="K12"/>
  <c r="M12" s="1"/>
  <c r="O38" s="1"/>
  <c r="K7"/>
  <c r="M7" s="1"/>
  <c r="O33" s="1"/>
  <c r="K17"/>
  <c r="M17" s="1"/>
  <c r="O43" s="1"/>
  <c r="K18"/>
  <c r="M18" s="1"/>
  <c r="O44" s="1"/>
  <c r="K9"/>
  <c r="M9" s="1"/>
  <c r="O35" s="1"/>
  <c r="K19"/>
  <c r="M19" s="1"/>
  <c r="O45" s="1"/>
  <c r="K10"/>
  <c r="M10" s="1"/>
  <c r="O36" s="1"/>
  <c r="K20"/>
  <c r="M20" s="1"/>
  <c r="O46" s="1"/>
  <c r="K11"/>
  <c r="M11" s="1"/>
  <c r="O37" s="1"/>
  <c r="K6"/>
  <c r="M6" s="1"/>
  <c r="O32" s="1"/>
  <c r="K16"/>
  <c r="M16" s="1"/>
  <c r="O42" s="1"/>
  <c r="G200" i="282" l="1"/>
  <c r="E212"/>
  <c r="G202"/>
  <c r="E209"/>
  <c r="M203" s="1"/>
  <c r="C212"/>
  <c r="O12" i="224"/>
  <c r="Q12" s="1"/>
  <c r="T33" s="1"/>
  <c r="O10"/>
  <c r="Q10" s="1"/>
  <c r="T64" s="1"/>
  <c r="O13"/>
  <c r="Q13" s="1"/>
  <c r="T34" s="1"/>
  <c r="O6"/>
  <c r="Q6" s="1"/>
  <c r="T60" s="1"/>
  <c r="O16"/>
  <c r="Q16" s="1"/>
  <c r="T37" s="1"/>
  <c r="O8"/>
  <c r="Q8" s="1"/>
  <c r="T29" s="1"/>
  <c r="O14"/>
  <c r="Q14" s="1"/>
  <c r="T35" s="1"/>
  <c r="O11"/>
  <c r="Q11" s="1"/>
  <c r="T65" s="1"/>
  <c r="O9"/>
  <c r="Q9" s="1"/>
  <c r="T30" s="1"/>
  <c r="O21" i="225"/>
  <c r="O23" s="1"/>
  <c r="N16" s="1" a="1"/>
  <c r="Q16" s="1"/>
  <c r="O7" i="224"/>
  <c r="Q7" s="1"/>
  <c r="T28" s="1"/>
  <c r="F208" i="282"/>
  <c r="N201" s="1"/>
  <c r="F210"/>
  <c r="N205" s="1"/>
  <c r="G203"/>
  <c r="D213"/>
  <c r="D206"/>
  <c r="D208"/>
  <c r="N88" i="223"/>
  <c r="P87"/>
  <c r="D210" i="282"/>
  <c r="L205" s="1"/>
  <c r="D212"/>
  <c r="G205"/>
  <c r="F206"/>
  <c r="A40" i="224"/>
  <c r="C39"/>
  <c r="T31"/>
  <c r="E213" i="282"/>
  <c r="E208"/>
  <c r="M200" s="1"/>
  <c r="L202"/>
  <c r="F212"/>
  <c r="C209"/>
  <c r="G201"/>
  <c r="C213"/>
  <c r="C208"/>
  <c r="K201" s="1"/>
  <c r="C206"/>
  <c r="T36" i="224"/>
  <c r="T69"/>
  <c r="R39" i="99"/>
  <c r="C210" i="282"/>
  <c r="K204" s="1"/>
  <c r="G204"/>
  <c r="M205"/>
  <c r="M210" s="1"/>
  <c r="E206"/>
  <c r="N19" i="102"/>
  <c r="P18"/>
  <c r="N203" i="282"/>
  <c r="L138" i="275"/>
  <c r="L142" s="1"/>
  <c r="J138"/>
  <c r="J139"/>
  <c r="J145"/>
  <c r="M140"/>
  <c r="L148"/>
  <c r="S141" s="1"/>
  <c r="K138"/>
  <c r="K139"/>
  <c r="AC40" i="107"/>
  <c r="AE40" s="1"/>
  <c r="AP40" s="1"/>
  <c r="AE39"/>
  <c r="AP39" s="1"/>
  <c r="O53" i="223"/>
  <c r="O52"/>
  <c r="O51"/>
  <c r="P51" s="1"/>
  <c r="M22"/>
  <c r="M24" s="1"/>
  <c r="R39" s="1"/>
  <c r="M202" i="282" l="1"/>
  <c r="T66" i="224"/>
  <c r="T27"/>
  <c r="T68"/>
  <c r="T67"/>
  <c r="T70"/>
  <c r="T32"/>
  <c r="T62"/>
  <c r="T63"/>
  <c r="O17" i="225"/>
  <c r="P17"/>
  <c r="P18"/>
  <c r="Q18"/>
  <c r="O18"/>
  <c r="P16"/>
  <c r="N16"/>
  <c r="N18"/>
  <c r="Q19"/>
  <c r="N17"/>
  <c r="N19"/>
  <c r="P19"/>
  <c r="T61" i="224"/>
  <c r="G212" i="282"/>
  <c r="O16" i="225"/>
  <c r="O19"/>
  <c r="Q17"/>
  <c r="N200" i="282"/>
  <c r="N208" s="1"/>
  <c r="Q18" i="224"/>
  <c r="Q20" s="1"/>
  <c r="W68" s="1"/>
  <c r="L204" i="282"/>
  <c r="L210" s="1"/>
  <c r="M201"/>
  <c r="N20" i="102"/>
  <c r="P19"/>
  <c r="R40" i="99"/>
  <c r="G206" i="282"/>
  <c r="L201"/>
  <c r="L200"/>
  <c r="M209"/>
  <c r="K202"/>
  <c r="G209"/>
  <c r="G210"/>
  <c r="M212"/>
  <c r="U204" s="1"/>
  <c r="N213"/>
  <c r="V201" s="1"/>
  <c r="G208"/>
  <c r="K200"/>
  <c r="A41" i="224"/>
  <c r="C41" s="1"/>
  <c r="C40"/>
  <c r="N89" i="223"/>
  <c r="P88"/>
  <c r="G213" i="282"/>
  <c r="L209"/>
  <c r="N209"/>
  <c r="K205"/>
  <c r="K210" s="1"/>
  <c r="K203"/>
  <c r="N204"/>
  <c r="L144" i="275"/>
  <c r="L147"/>
  <c r="S140" s="1"/>
  <c r="S139"/>
  <c r="K147"/>
  <c r="R140" s="1"/>
  <c r="K142"/>
  <c r="K144"/>
  <c r="M139"/>
  <c r="J148"/>
  <c r="Q141" s="1"/>
  <c r="K148"/>
  <c r="R141" s="1"/>
  <c r="M138"/>
  <c r="J147"/>
  <c r="Q140" s="1"/>
  <c r="J142"/>
  <c r="J144"/>
  <c r="K16" i="224" a="1"/>
  <c r="K18" s="1"/>
  <c r="R35" i="223"/>
  <c r="R40"/>
  <c r="Q58"/>
  <c r="Q62"/>
  <c r="Q64"/>
  <c r="Q68"/>
  <c r="Q70"/>
  <c r="Q57"/>
  <c r="Q59"/>
  <c r="Q61"/>
  <c r="Q63"/>
  <c r="Q65"/>
  <c r="Q67"/>
  <c r="Q69"/>
  <c r="Q60"/>
  <c r="Q66"/>
  <c r="Q56"/>
  <c r="G23" a="1"/>
  <c r="H24" s="1"/>
  <c r="I12" s="1"/>
  <c r="R32"/>
  <c r="R37"/>
  <c r="R43"/>
  <c r="R44"/>
  <c r="R34"/>
  <c r="R41"/>
  <c r="R33"/>
  <c r="R36"/>
  <c r="R46"/>
  <c r="R38"/>
  <c r="P58"/>
  <c r="P60"/>
  <c r="P62"/>
  <c r="P64"/>
  <c r="P66"/>
  <c r="P68"/>
  <c r="P70"/>
  <c r="P57"/>
  <c r="P61"/>
  <c r="P65"/>
  <c r="P69"/>
  <c r="P56"/>
  <c r="P59"/>
  <c r="P63"/>
  <c r="P67"/>
  <c r="R45"/>
  <c r="R42"/>
  <c r="G24"/>
  <c r="M206" i="282" l="1"/>
  <c r="W36" i="224"/>
  <c r="Q4" i="225" a="1"/>
  <c r="Q4" s="1"/>
  <c r="W66" i="224"/>
  <c r="W34"/>
  <c r="W64"/>
  <c r="K16"/>
  <c r="M213" i="282"/>
  <c r="U203" s="1"/>
  <c r="G23" i="223"/>
  <c r="I11" s="1"/>
  <c r="O201" i="282"/>
  <c r="W32" i="224"/>
  <c r="W28"/>
  <c r="M208" i="282"/>
  <c r="M16" i="224"/>
  <c r="W31"/>
  <c r="W29"/>
  <c r="W27"/>
  <c r="W63"/>
  <c r="W62"/>
  <c r="W60"/>
  <c r="W69"/>
  <c r="M17"/>
  <c r="W30"/>
  <c r="W67"/>
  <c r="W61"/>
  <c r="W70"/>
  <c r="L16"/>
  <c r="W37"/>
  <c r="W35"/>
  <c r="W33"/>
  <c r="W65"/>
  <c r="K17"/>
  <c r="K213" i="282"/>
  <c r="S201" s="1"/>
  <c r="U32" i="223" a="1"/>
  <c r="U37" s="1"/>
  <c r="L17" i="224"/>
  <c r="L18"/>
  <c r="M18"/>
  <c r="U200" i="282"/>
  <c r="V203"/>
  <c r="U201"/>
  <c r="N210"/>
  <c r="O210" s="1"/>
  <c r="O203"/>
  <c r="O205"/>
  <c r="K212"/>
  <c r="K208"/>
  <c r="K206"/>
  <c r="O200"/>
  <c r="O204"/>
  <c r="N212"/>
  <c r="L206"/>
  <c r="L208"/>
  <c r="L212"/>
  <c r="T200" s="1"/>
  <c r="N21" i="102"/>
  <c r="P20"/>
  <c r="U202" i="282"/>
  <c r="N90" i="223"/>
  <c r="P89"/>
  <c r="V205" i="282"/>
  <c r="N206"/>
  <c r="K209"/>
  <c r="O209" s="1"/>
  <c r="O202"/>
  <c r="L213"/>
  <c r="S148" i="275"/>
  <c r="S138"/>
  <c r="S144" s="1"/>
  <c r="S145"/>
  <c r="R138"/>
  <c r="Q138"/>
  <c r="M142"/>
  <c r="R139"/>
  <c r="T141"/>
  <c r="E154" s="1"/>
  <c r="T140"/>
  <c r="E153" s="1"/>
  <c r="Q145"/>
  <c r="Q139"/>
  <c r="R145"/>
  <c r="H23" i="223"/>
  <c r="Q5" i="225" l="1"/>
  <c r="Q7"/>
  <c r="Q6"/>
  <c r="Z60" i="224" a="1"/>
  <c r="Z65" s="1"/>
  <c r="Y27" a="1"/>
  <c r="Y33" s="1"/>
  <c r="U205" i="282"/>
  <c r="U206" s="1"/>
  <c r="S203"/>
  <c r="V213"/>
  <c r="U38" i="223"/>
  <c r="S205" i="282"/>
  <c r="U33" i="223"/>
  <c r="M6" i="224" a="1"/>
  <c r="M6" s="1"/>
  <c r="U212" i="282"/>
  <c r="U44" i="223"/>
  <c r="U41"/>
  <c r="U36"/>
  <c r="U208" i="282"/>
  <c r="U45" i="223"/>
  <c r="U46"/>
  <c r="U34"/>
  <c r="U42"/>
  <c r="U40"/>
  <c r="U35"/>
  <c r="U43"/>
  <c r="U39"/>
  <c r="U32"/>
  <c r="V200" i="282"/>
  <c r="V202"/>
  <c r="T203"/>
  <c r="T205"/>
  <c r="N91" i="223"/>
  <c r="P90"/>
  <c r="O212" i="282"/>
  <c r="S204"/>
  <c r="V204"/>
  <c r="T202"/>
  <c r="T204"/>
  <c r="O206"/>
  <c r="S200"/>
  <c r="T201"/>
  <c r="S202"/>
  <c r="N22" i="102"/>
  <c r="P21"/>
  <c r="O208" i="282"/>
  <c r="O213"/>
  <c r="U209"/>
  <c r="C154" i="275"/>
  <c r="D154"/>
  <c r="S142"/>
  <c r="C153"/>
  <c r="D153"/>
  <c r="S147"/>
  <c r="R147"/>
  <c r="R144"/>
  <c r="T138"/>
  <c r="D151" s="1"/>
  <c r="R148"/>
  <c r="Q147"/>
  <c r="Q144"/>
  <c r="Q142"/>
  <c r="R142"/>
  <c r="Q148"/>
  <c r="T139"/>
  <c r="E152" s="1"/>
  <c r="Z62" i="224" l="1"/>
  <c r="Z69"/>
  <c r="Z64"/>
  <c r="Z66"/>
  <c r="U210" i="282"/>
  <c r="Z61" i="224"/>
  <c r="Z68"/>
  <c r="S213" i="282"/>
  <c r="Z70" i="224"/>
  <c r="Z63"/>
  <c r="Y27"/>
  <c r="Z67"/>
  <c r="Z60"/>
  <c r="Y31"/>
  <c r="U213" i="282"/>
  <c r="M7" i="224"/>
  <c r="W205" i="282"/>
  <c r="E221" s="1"/>
  <c r="Y34" i="224"/>
  <c r="Y32"/>
  <c r="Y28"/>
  <c r="Y37"/>
  <c r="Y36"/>
  <c r="Y30"/>
  <c r="Y35"/>
  <c r="Y29"/>
  <c r="T212" i="282"/>
  <c r="M8" i="224"/>
  <c r="O99" i="223"/>
  <c r="P99" s="1"/>
  <c r="P118" s="1"/>
  <c r="O100"/>
  <c r="O101"/>
  <c r="W204" i="282"/>
  <c r="E220" s="1"/>
  <c r="S210"/>
  <c r="V208"/>
  <c r="V212"/>
  <c r="V206"/>
  <c r="T210"/>
  <c r="S212"/>
  <c r="W202"/>
  <c r="E218" s="1"/>
  <c r="S209"/>
  <c r="T213"/>
  <c r="T209"/>
  <c r="T206"/>
  <c r="N92" i="223"/>
  <c r="P91"/>
  <c r="W201" i="282"/>
  <c r="W203"/>
  <c r="D219" s="1"/>
  <c r="N23" i="102"/>
  <c r="P22"/>
  <c r="S206" i="282"/>
  <c r="S208"/>
  <c r="W200"/>
  <c r="F216" s="1"/>
  <c r="V210"/>
  <c r="T208"/>
  <c r="V209"/>
  <c r="C152" i="275"/>
  <c r="C151"/>
  <c r="E151"/>
  <c r="D152"/>
  <c r="T142"/>
  <c r="D158"/>
  <c r="K153" s="1"/>
  <c r="F154"/>
  <c r="C158"/>
  <c r="J153" s="1"/>
  <c r="E158"/>
  <c r="R4" i="208"/>
  <c r="R5" s="1"/>
  <c r="O117" i="221"/>
  <c r="N117"/>
  <c r="N115"/>
  <c r="O115"/>
  <c r="P102"/>
  <c r="P101"/>
  <c r="P100"/>
  <c r="P99"/>
  <c r="O99"/>
  <c r="O100"/>
  <c r="O101"/>
  <c r="O102"/>
  <c r="N102"/>
  <c r="N100"/>
  <c r="N101"/>
  <c r="N99"/>
  <c r="J75"/>
  <c r="I75"/>
  <c r="J74"/>
  <c r="I74"/>
  <c r="J73"/>
  <c r="I73"/>
  <c r="J72"/>
  <c r="I72"/>
  <c r="J71"/>
  <c r="I71"/>
  <c r="J70"/>
  <c r="I70"/>
  <c r="J69"/>
  <c r="I69"/>
  <c r="J68"/>
  <c r="I68"/>
  <c r="J67"/>
  <c r="I67"/>
  <c r="J66"/>
  <c r="I66"/>
  <c r="J65"/>
  <c r="I65"/>
  <c r="J64"/>
  <c r="I64"/>
  <c r="J63"/>
  <c r="I63"/>
  <c r="J62"/>
  <c r="I62"/>
  <c r="J61"/>
  <c r="I61"/>
  <c r="J60"/>
  <c r="I60"/>
  <c r="J59"/>
  <c r="I59"/>
  <c r="J58"/>
  <c r="I58"/>
  <c r="J57"/>
  <c r="I57"/>
  <c r="J56"/>
  <c r="I56"/>
  <c r="J55"/>
  <c r="I55"/>
  <c r="J54"/>
  <c r="I54"/>
  <c r="J53"/>
  <c r="I53"/>
  <c r="J52"/>
  <c r="I52"/>
  <c r="J51"/>
  <c r="I51"/>
  <c r="J50"/>
  <c r="I50"/>
  <c r="J49"/>
  <c r="I49"/>
  <c r="H36"/>
  <c r="I36"/>
  <c r="G36"/>
  <c r="H35"/>
  <c r="I35"/>
  <c r="G35"/>
  <c r="I8"/>
  <c r="J8"/>
  <c r="D221" i="282" l="1"/>
  <c r="D218"/>
  <c r="D225" s="1"/>
  <c r="L219" s="1"/>
  <c r="W213"/>
  <c r="C221"/>
  <c r="F221"/>
  <c r="E226"/>
  <c r="M220" s="1"/>
  <c r="Q109" i="223"/>
  <c r="P109"/>
  <c r="P116"/>
  <c r="P117"/>
  <c r="P111"/>
  <c r="P106"/>
  <c r="P107"/>
  <c r="P110"/>
  <c r="P112"/>
  <c r="Q104"/>
  <c r="O105" i="221"/>
  <c r="N114" s="1"/>
  <c r="P105"/>
  <c r="R105" s="1"/>
  <c r="P105" i="223"/>
  <c r="P108"/>
  <c r="P113"/>
  <c r="P104"/>
  <c r="Q112"/>
  <c r="N105" i="221"/>
  <c r="O114" s="1"/>
  <c r="Q106" i="223"/>
  <c r="P114"/>
  <c r="P115"/>
  <c r="Q118"/>
  <c r="C216" i="282"/>
  <c r="Q105" i="223"/>
  <c r="Q110"/>
  <c r="Q117"/>
  <c r="Q114"/>
  <c r="Q108"/>
  <c r="Q107"/>
  <c r="Q113"/>
  <c r="Q115"/>
  <c r="F218" i="282"/>
  <c r="Q111" i="223"/>
  <c r="Q116"/>
  <c r="F220" i="282"/>
  <c r="C218"/>
  <c r="G218" s="1"/>
  <c r="W212"/>
  <c r="H37" i="221"/>
  <c r="P115"/>
  <c r="W208" i="282"/>
  <c r="N24" i="102"/>
  <c r="P23"/>
  <c r="N93" i="223"/>
  <c r="P92"/>
  <c r="D220" i="282"/>
  <c r="E217"/>
  <c r="F217"/>
  <c r="F224" s="1"/>
  <c r="C217"/>
  <c r="D217"/>
  <c r="W206"/>
  <c r="E216"/>
  <c r="D216"/>
  <c r="W209"/>
  <c r="C220"/>
  <c r="E219"/>
  <c r="E225" s="1"/>
  <c r="F219"/>
  <c r="C219"/>
  <c r="W210"/>
  <c r="K154" i="275"/>
  <c r="K158" s="1"/>
  <c r="E160"/>
  <c r="D160"/>
  <c r="F153"/>
  <c r="J154"/>
  <c r="C161"/>
  <c r="F151"/>
  <c r="C160"/>
  <c r="C157"/>
  <c r="J152" s="1"/>
  <c r="C155"/>
  <c r="L153"/>
  <c r="M153" s="1"/>
  <c r="L154"/>
  <c r="N103" i="221"/>
  <c r="O112" s="1"/>
  <c r="N104"/>
  <c r="O113" s="1"/>
  <c r="O103"/>
  <c r="N112" s="1"/>
  <c r="O104"/>
  <c r="N113" s="1"/>
  <c r="P103"/>
  <c r="R103" s="1"/>
  <c r="P104"/>
  <c r="R104" s="1"/>
  <c r="I37"/>
  <c r="J36"/>
  <c r="J35"/>
  <c r="G37"/>
  <c r="G221" i="282" l="1"/>
  <c r="P114" i="221"/>
  <c r="M221" i="282"/>
  <c r="M226" s="1"/>
  <c r="F228"/>
  <c r="F226"/>
  <c r="N220" s="1"/>
  <c r="F222"/>
  <c r="L218"/>
  <c r="L225" s="1"/>
  <c r="C225"/>
  <c r="K218" s="1"/>
  <c r="C222"/>
  <c r="M219"/>
  <c r="M218"/>
  <c r="N217"/>
  <c r="N216"/>
  <c r="C226"/>
  <c r="G220"/>
  <c r="D229"/>
  <c r="N94" i="223"/>
  <c r="P94" s="1"/>
  <c r="P93"/>
  <c r="C224" i="282"/>
  <c r="F229"/>
  <c r="E224"/>
  <c r="M216" s="1"/>
  <c r="E228"/>
  <c r="C228"/>
  <c r="G217"/>
  <c r="C229"/>
  <c r="Q114" i="221"/>
  <c r="R114" s="1"/>
  <c r="G219" i="282"/>
  <c r="F225"/>
  <c r="N218" s="1"/>
  <c r="D228"/>
  <c r="D224"/>
  <c r="L216" s="1"/>
  <c r="D222"/>
  <c r="D226"/>
  <c r="L221" s="1"/>
  <c r="E229"/>
  <c r="E222"/>
  <c r="N25" i="102"/>
  <c r="P24"/>
  <c r="G216" i="282"/>
  <c r="L158" i="275"/>
  <c r="J151"/>
  <c r="J160" s="1"/>
  <c r="Q153" s="1"/>
  <c r="J161"/>
  <c r="Q154" s="1"/>
  <c r="D161"/>
  <c r="J158"/>
  <c r="M154"/>
  <c r="D155"/>
  <c r="F152"/>
  <c r="F155" s="1"/>
  <c r="D157"/>
  <c r="K151" s="1"/>
  <c r="E161"/>
  <c r="E155"/>
  <c r="E157"/>
  <c r="P112" i="221"/>
  <c r="Q112" s="1"/>
  <c r="R112" s="1"/>
  <c r="N119"/>
  <c r="P113"/>
  <c r="Q113" s="1"/>
  <c r="R113" s="1"/>
  <c r="J37"/>
  <c r="G42" s="1"/>
  <c r="J157" i="275" l="1"/>
  <c r="N221" i="282"/>
  <c r="N226" s="1"/>
  <c r="K219"/>
  <c r="M217"/>
  <c r="M222" s="1"/>
  <c r="G45" i="221"/>
  <c r="G229" i="282"/>
  <c r="L220"/>
  <c r="L228" s="1"/>
  <c r="T218" s="1"/>
  <c r="G222"/>
  <c r="G46" i="221"/>
  <c r="G43"/>
  <c r="N219" i="282"/>
  <c r="G224"/>
  <c r="K216"/>
  <c r="O218"/>
  <c r="M225"/>
  <c r="L217"/>
  <c r="G226"/>
  <c r="K221"/>
  <c r="G228"/>
  <c r="N224"/>
  <c r="N228"/>
  <c r="V218" s="1"/>
  <c r="N26" i="102"/>
  <c r="P25"/>
  <c r="K217" i="282"/>
  <c r="M228"/>
  <c r="U220" s="1"/>
  <c r="G225"/>
  <c r="K220"/>
  <c r="J155" i="275"/>
  <c r="Q152"/>
  <c r="Q161" s="1"/>
  <c r="Q151"/>
  <c r="Q160" s="1"/>
  <c r="L152"/>
  <c r="L151"/>
  <c r="K160"/>
  <c r="R153" s="1"/>
  <c r="Q158"/>
  <c r="J8"/>
  <c r="J59" i="276" s="1"/>
  <c r="K152" i="275"/>
  <c r="J9"/>
  <c r="G41" i="221"/>
  <c r="G44"/>
  <c r="N222" i="282" l="1"/>
  <c r="O219"/>
  <c r="M224"/>
  <c r="N225"/>
  <c r="M229"/>
  <c r="U221" s="1"/>
  <c r="U226" s="1"/>
  <c r="L222"/>
  <c r="K225"/>
  <c r="N229"/>
  <c r="V219" s="1"/>
  <c r="L226"/>
  <c r="U218"/>
  <c r="U216"/>
  <c r="O220"/>
  <c r="K226"/>
  <c r="N27" i="102"/>
  <c r="P26"/>
  <c r="L229" i="282"/>
  <c r="L224"/>
  <c r="K228"/>
  <c r="S216" s="1"/>
  <c r="K224"/>
  <c r="K222"/>
  <c r="O216"/>
  <c r="K229"/>
  <c r="S217" s="1"/>
  <c r="O217"/>
  <c r="O221"/>
  <c r="V216"/>
  <c r="V220"/>
  <c r="T220"/>
  <c r="T216"/>
  <c r="J6" i="275"/>
  <c r="J57" i="276" s="1"/>
  <c r="W331" i="273"/>
  <c r="M338" s="1"/>
  <c r="O338" s="1"/>
  <c r="R338" s="1"/>
  <c r="J60" i="276"/>
  <c r="J7" i="275"/>
  <c r="W329" i="273" s="1"/>
  <c r="M332" s="1"/>
  <c r="Q157" i="275"/>
  <c r="Q155"/>
  <c r="R151"/>
  <c r="K6" s="1"/>
  <c r="K57" i="276" s="1"/>
  <c r="L161" i="275"/>
  <c r="S154" s="1"/>
  <c r="L9" s="1"/>
  <c r="W328" i="273"/>
  <c r="M329" s="1"/>
  <c r="W330"/>
  <c r="M335" s="1"/>
  <c r="J13" i="275"/>
  <c r="K8"/>
  <c r="K59" i="276" s="1"/>
  <c r="L157" i="275"/>
  <c r="L155"/>
  <c r="L160"/>
  <c r="S153" s="1"/>
  <c r="M151"/>
  <c r="K161"/>
  <c r="M152"/>
  <c r="K155"/>
  <c r="K157"/>
  <c r="W35" i="221"/>
  <c r="W34"/>
  <c r="J30"/>
  <c r="I30"/>
  <c r="J29"/>
  <c r="I29"/>
  <c r="J28"/>
  <c r="I28"/>
  <c r="J27"/>
  <c r="I27"/>
  <c r="J26"/>
  <c r="I26"/>
  <c r="J25"/>
  <c r="I25"/>
  <c r="J24"/>
  <c r="I24"/>
  <c r="J23"/>
  <c r="I23"/>
  <c r="J22"/>
  <c r="I22"/>
  <c r="J21"/>
  <c r="I21"/>
  <c r="J20"/>
  <c r="I20"/>
  <c r="J19"/>
  <c r="I19"/>
  <c r="J18"/>
  <c r="I18"/>
  <c r="J17"/>
  <c r="I17"/>
  <c r="J16"/>
  <c r="I16"/>
  <c r="J15"/>
  <c r="I15"/>
  <c r="J14"/>
  <c r="I14"/>
  <c r="J13"/>
  <c r="I13"/>
  <c r="J12"/>
  <c r="I12"/>
  <c r="J11"/>
  <c r="I11"/>
  <c r="J10"/>
  <c r="I10"/>
  <c r="J9"/>
  <c r="I9"/>
  <c r="J7"/>
  <c r="I7"/>
  <c r="J6"/>
  <c r="I6"/>
  <c r="J5"/>
  <c r="I5"/>
  <c r="J4"/>
  <c r="I4"/>
  <c r="V217" i="282" l="1"/>
  <c r="O225"/>
  <c r="V221"/>
  <c r="O226"/>
  <c r="U217"/>
  <c r="U224" s="1"/>
  <c r="U219"/>
  <c r="U228"/>
  <c r="S221"/>
  <c r="W216"/>
  <c r="F232" s="1"/>
  <c r="S224"/>
  <c r="T219"/>
  <c r="T221"/>
  <c r="T226" s="1"/>
  <c r="V224"/>
  <c r="V228"/>
  <c r="O222"/>
  <c r="O228"/>
  <c r="S218"/>
  <c r="S220"/>
  <c r="V226"/>
  <c r="T228"/>
  <c r="O229"/>
  <c r="S219"/>
  <c r="O224"/>
  <c r="T217"/>
  <c r="N28" i="102"/>
  <c r="P27"/>
  <c r="V225" i="282"/>
  <c r="P338" i="273"/>
  <c r="Q338" s="1"/>
  <c r="N338"/>
  <c r="J15" i="275"/>
  <c r="Y331" i="273"/>
  <c r="M340" s="1"/>
  <c r="N340" s="1"/>
  <c r="L60" i="276"/>
  <c r="J12" i="275"/>
  <c r="J58" i="276"/>
  <c r="J10" i="275"/>
  <c r="J16"/>
  <c r="R160"/>
  <c r="M155"/>
  <c r="S151"/>
  <c r="T151" s="1"/>
  <c r="S152"/>
  <c r="L7" s="1"/>
  <c r="L58" i="276" s="1"/>
  <c r="R152" i="275"/>
  <c r="R154"/>
  <c r="N329" i="273"/>
  <c r="O329"/>
  <c r="R329" s="1"/>
  <c r="P329"/>
  <c r="Q329" s="1"/>
  <c r="X330"/>
  <c r="M336" s="1"/>
  <c r="N335"/>
  <c r="O335"/>
  <c r="R335" s="1"/>
  <c r="P335"/>
  <c r="Q335" s="1"/>
  <c r="S158" i="275"/>
  <c r="L8"/>
  <c r="L59" i="276" s="1"/>
  <c r="T153" i="275"/>
  <c r="P332" i="273"/>
  <c r="Q332" s="1"/>
  <c r="N332"/>
  <c r="O332"/>
  <c r="R332" s="1"/>
  <c r="K15" i="275"/>
  <c r="X328" i="273"/>
  <c r="M330" s="1"/>
  <c r="O38" i="219"/>
  <c r="W26"/>
  <c r="O37"/>
  <c r="K39"/>
  <c r="K40"/>
  <c r="K41"/>
  <c r="K42"/>
  <c r="K43"/>
  <c r="K38"/>
  <c r="G45" s="1"/>
  <c r="J43"/>
  <c r="I43"/>
  <c r="J42"/>
  <c r="I42"/>
  <c r="J41"/>
  <c r="I41"/>
  <c r="J40"/>
  <c r="I40"/>
  <c r="J39"/>
  <c r="I39"/>
  <c r="J38"/>
  <c r="I38"/>
  <c r="V222" i="282" l="1"/>
  <c r="V229"/>
  <c r="W217"/>
  <c r="C233" s="1"/>
  <c r="U229"/>
  <c r="U225"/>
  <c r="G48" i="219"/>
  <c r="U222" i="282"/>
  <c r="S222"/>
  <c r="T222"/>
  <c r="G46" i="219"/>
  <c r="G49" s="1"/>
  <c r="N29" i="102"/>
  <c r="P28"/>
  <c r="G47" i="219"/>
  <c r="T229" i="282"/>
  <c r="T224"/>
  <c r="W224" s="1"/>
  <c r="S226"/>
  <c r="W226" s="1"/>
  <c r="W220"/>
  <c r="C236" s="1"/>
  <c r="S228"/>
  <c r="W228" s="1"/>
  <c r="W219"/>
  <c r="D235" s="1"/>
  <c r="T225"/>
  <c r="E232"/>
  <c r="S229"/>
  <c r="C232"/>
  <c r="D232"/>
  <c r="W218"/>
  <c r="C234" s="1"/>
  <c r="S225"/>
  <c r="W221"/>
  <c r="D237" s="1"/>
  <c r="P340" i="273"/>
  <c r="Q340" s="1"/>
  <c r="O340"/>
  <c r="R340" s="1"/>
  <c r="S160" i="275"/>
  <c r="L6"/>
  <c r="S157"/>
  <c r="S161"/>
  <c r="S155"/>
  <c r="N330" i="273"/>
  <c r="O330"/>
  <c r="R330" s="1"/>
  <c r="P330"/>
  <c r="Q330" s="1"/>
  <c r="O336"/>
  <c r="R336" s="1"/>
  <c r="N336"/>
  <c r="P336"/>
  <c r="Q336" s="1"/>
  <c r="W8" i="275"/>
  <c r="Y330" i="273"/>
  <c r="M337" s="1"/>
  <c r="L13" i="275"/>
  <c r="M8"/>
  <c r="L16"/>
  <c r="Y329" i="273"/>
  <c r="M334" s="1"/>
  <c r="R161" i="275"/>
  <c r="K9"/>
  <c r="K60" i="276" s="1"/>
  <c r="T154" i="275"/>
  <c r="R158"/>
  <c r="K7"/>
  <c r="K58" i="276" s="1"/>
  <c r="T152" i="275"/>
  <c r="R155"/>
  <c r="R157"/>
  <c r="Q47" i="220"/>
  <c r="R47" s="1"/>
  <c r="Q46"/>
  <c r="R46" s="1"/>
  <c r="Q45"/>
  <c r="R45" s="1"/>
  <c r="P47"/>
  <c r="S47" s="1"/>
  <c r="P46"/>
  <c r="S46" s="1"/>
  <c r="P45"/>
  <c r="S45" s="1"/>
  <c r="P51"/>
  <c r="Q36"/>
  <c r="R36" s="1"/>
  <c r="Q35"/>
  <c r="R35" s="1"/>
  <c r="Q34"/>
  <c r="R34" s="1"/>
  <c r="P36"/>
  <c r="S36" s="1"/>
  <c r="P35"/>
  <c r="S35" s="1"/>
  <c r="P34"/>
  <c r="S34" s="1"/>
  <c r="P40"/>
  <c r="Q25"/>
  <c r="R25" s="1"/>
  <c r="Q24"/>
  <c r="R24" s="1"/>
  <c r="Q23"/>
  <c r="R23" s="1"/>
  <c r="P25"/>
  <c r="S25" s="1"/>
  <c r="P24"/>
  <c r="S24" s="1"/>
  <c r="P23"/>
  <c r="S23" s="1"/>
  <c r="P29"/>
  <c r="P18"/>
  <c r="Q14"/>
  <c r="R14" s="1"/>
  <c r="Q13"/>
  <c r="R13" s="1"/>
  <c r="Q12"/>
  <c r="R12" s="1"/>
  <c r="P14"/>
  <c r="S14" s="1"/>
  <c r="P13"/>
  <c r="S13" s="1"/>
  <c r="P12"/>
  <c r="S12" s="1"/>
  <c r="P4"/>
  <c r="Q4"/>
  <c r="P5"/>
  <c r="Q5"/>
  <c r="P6"/>
  <c r="Q6"/>
  <c r="O6"/>
  <c r="O5"/>
  <c r="J33" i="219"/>
  <c r="I33"/>
  <c r="J32"/>
  <c r="I32"/>
  <c r="J31"/>
  <c r="I31"/>
  <c r="J30"/>
  <c r="I30"/>
  <c r="J29"/>
  <c r="I29"/>
  <c r="J28"/>
  <c r="I28"/>
  <c r="J27"/>
  <c r="I27"/>
  <c r="J26"/>
  <c r="I26"/>
  <c r="J25"/>
  <c r="I25"/>
  <c r="J24"/>
  <c r="I24"/>
  <c r="J23"/>
  <c r="I23"/>
  <c r="J22"/>
  <c r="I22"/>
  <c r="J21"/>
  <c r="I21"/>
  <c r="J20"/>
  <c r="I20"/>
  <c r="J19"/>
  <c r="I19"/>
  <c r="J18"/>
  <c r="I18"/>
  <c r="J17"/>
  <c r="I17"/>
  <c r="J16"/>
  <c r="I16"/>
  <c r="J15"/>
  <c r="I15"/>
  <c r="J14"/>
  <c r="I14"/>
  <c r="J13"/>
  <c r="I13"/>
  <c r="J12"/>
  <c r="I12"/>
  <c r="J11"/>
  <c r="I11"/>
  <c r="J10"/>
  <c r="I10"/>
  <c r="J9"/>
  <c r="I9"/>
  <c r="J8"/>
  <c r="I8"/>
  <c r="J7"/>
  <c r="I7"/>
  <c r="J6"/>
  <c r="I6"/>
  <c r="J5"/>
  <c r="I5"/>
  <c r="J4"/>
  <c r="I4"/>
  <c r="R4" i="220" l="1"/>
  <c r="D233" i="282"/>
  <c r="D245" s="1"/>
  <c r="E233"/>
  <c r="E240" s="1"/>
  <c r="M232" s="1"/>
  <c r="F233"/>
  <c r="F240" s="1"/>
  <c r="N232" s="1"/>
  <c r="G50" i="219"/>
  <c r="W225" i="282"/>
  <c r="C235"/>
  <c r="C241" s="1"/>
  <c r="N30" i="102"/>
  <c r="P29"/>
  <c r="E235" i="282"/>
  <c r="F235"/>
  <c r="E236"/>
  <c r="D236"/>
  <c r="F236"/>
  <c r="C240"/>
  <c r="K233" s="1"/>
  <c r="C244"/>
  <c r="G232"/>
  <c r="D234"/>
  <c r="F234"/>
  <c r="E234"/>
  <c r="E237"/>
  <c r="C237"/>
  <c r="C242" s="1"/>
  <c r="K236" s="1"/>
  <c r="F237"/>
  <c r="W222"/>
  <c r="W229"/>
  <c r="L12" i="275"/>
  <c r="L57" i="276"/>
  <c r="M6" i="275"/>
  <c r="L10"/>
  <c r="Y328" i="273"/>
  <c r="M331" s="1"/>
  <c r="N331" s="1"/>
  <c r="V8" i="275"/>
  <c r="L15"/>
  <c r="M15" s="1"/>
  <c r="X329" i="273"/>
  <c r="M333" s="1"/>
  <c r="K16" i="275"/>
  <c r="M16" s="1"/>
  <c r="V6"/>
  <c r="M7"/>
  <c r="K10"/>
  <c r="V7"/>
  <c r="K12"/>
  <c r="O337" i="273"/>
  <c r="R337" s="1"/>
  <c r="P337"/>
  <c r="Q337" s="1"/>
  <c r="N337"/>
  <c r="T155" i="275"/>
  <c r="M9"/>
  <c r="X331" i="273"/>
  <c r="M339" s="1"/>
  <c r="W6" i="275"/>
  <c r="K13"/>
  <c r="M13" s="1"/>
  <c r="W7"/>
  <c r="O334" i="273"/>
  <c r="R334" s="1"/>
  <c r="P334"/>
  <c r="Q334" s="1"/>
  <c r="N334"/>
  <c r="R5" i="220"/>
  <c r="R48"/>
  <c r="N51" s="1"/>
  <c r="S48"/>
  <c r="R37"/>
  <c r="N40" s="1"/>
  <c r="S37"/>
  <c r="S26"/>
  <c r="R26"/>
  <c r="N29" s="1"/>
  <c r="R15"/>
  <c r="N18" s="1"/>
  <c r="S15"/>
  <c r="Q7"/>
  <c r="O7"/>
  <c r="R6"/>
  <c r="P7"/>
  <c r="D240" i="282" l="1"/>
  <c r="L232" s="1"/>
  <c r="G233"/>
  <c r="N233"/>
  <c r="N240" s="1"/>
  <c r="C238"/>
  <c r="E245"/>
  <c r="D244"/>
  <c r="C245"/>
  <c r="E244"/>
  <c r="E241"/>
  <c r="M235" s="1"/>
  <c r="K234"/>
  <c r="F241"/>
  <c r="N235" s="1"/>
  <c r="F244"/>
  <c r="F238"/>
  <c r="K232"/>
  <c r="F245"/>
  <c r="D242"/>
  <c r="G234"/>
  <c r="G235"/>
  <c r="D238"/>
  <c r="G237"/>
  <c r="K237"/>
  <c r="D241"/>
  <c r="L235" s="1"/>
  <c r="M233"/>
  <c r="E238"/>
  <c r="G236"/>
  <c r="F242"/>
  <c r="N237" s="1"/>
  <c r="N31" i="102"/>
  <c r="P30"/>
  <c r="O40" i="220"/>
  <c r="Q40" s="1"/>
  <c r="R40" s="1"/>
  <c r="K235" i="282"/>
  <c r="E242"/>
  <c r="M236" s="1"/>
  <c r="L233"/>
  <c r="M12" i="275"/>
  <c r="M10"/>
  <c r="O331" i="273"/>
  <c r="R331" s="1"/>
  <c r="P331"/>
  <c r="Q331" s="1"/>
  <c r="O339"/>
  <c r="R339" s="1"/>
  <c r="P339"/>
  <c r="Q339" s="1"/>
  <c r="N339"/>
  <c r="O333"/>
  <c r="R333" s="1"/>
  <c r="N333"/>
  <c r="P333"/>
  <c r="Q333" s="1"/>
  <c r="O51" i="220"/>
  <c r="Q51" s="1"/>
  <c r="R51" s="1"/>
  <c r="O29"/>
  <c r="Q29" s="1"/>
  <c r="R29" s="1"/>
  <c r="O18"/>
  <c r="Q18" s="1"/>
  <c r="R18" s="1"/>
  <c r="Q9" i="218"/>
  <c r="Q5"/>
  <c r="V4"/>
  <c r="U4"/>
  <c r="AA7" s="1"/>
  <c r="AA22" s="1"/>
  <c r="T4"/>
  <c r="AA6" s="1"/>
  <c r="AA21" s="1"/>
  <c r="G240" i="282" l="1"/>
  <c r="M237"/>
  <c r="M245" s="1"/>
  <c r="U235" s="1"/>
  <c r="G245"/>
  <c r="G238"/>
  <c r="G241"/>
  <c r="N236"/>
  <c r="N242" s="1"/>
  <c r="N234"/>
  <c r="N241" s="1"/>
  <c r="M234"/>
  <c r="M244" s="1"/>
  <c r="G244"/>
  <c r="O235"/>
  <c r="M240"/>
  <c r="G242"/>
  <c r="L237"/>
  <c r="O233"/>
  <c r="K241"/>
  <c r="N245"/>
  <c r="L234"/>
  <c r="K242"/>
  <c r="K244"/>
  <c r="K240"/>
  <c r="K238"/>
  <c r="O232"/>
  <c r="L240"/>
  <c r="N32" i="102"/>
  <c r="P31"/>
  <c r="L236" i="282"/>
  <c r="K245"/>
  <c r="S237" s="1"/>
  <c r="R341" i="273"/>
  <c r="U328" s="1"/>
  <c r="U331" s="1"/>
  <c r="Z5" i="218"/>
  <c r="Z30" s="1"/>
  <c r="Q11"/>
  <c r="U15" s="1"/>
  <c r="Q7"/>
  <c r="U14" s="1"/>
  <c r="Q8"/>
  <c r="T10" s="1"/>
  <c r="Q10"/>
  <c r="Q6"/>
  <c r="T20"/>
  <c r="S4"/>
  <c r="Y15" s="1"/>
  <c r="Q4"/>
  <c r="AA8"/>
  <c r="AA23" s="1"/>
  <c r="AA13"/>
  <c r="AA15"/>
  <c r="AA11"/>
  <c r="AA9"/>
  <c r="AA10" s="1"/>
  <c r="AA24" s="1"/>
  <c r="M242" i="282" l="1"/>
  <c r="M241"/>
  <c r="M238"/>
  <c r="O234"/>
  <c r="U237"/>
  <c r="S235"/>
  <c r="AA12" i="218"/>
  <c r="AA25" s="1"/>
  <c r="N238" i="282"/>
  <c r="U233"/>
  <c r="U245" s="1"/>
  <c r="N244"/>
  <c r="V232" s="1"/>
  <c r="L242"/>
  <c r="O236"/>
  <c r="S236"/>
  <c r="S234"/>
  <c r="O237"/>
  <c r="S232"/>
  <c r="U236"/>
  <c r="U242" s="1"/>
  <c r="U232"/>
  <c r="V235"/>
  <c r="V233"/>
  <c r="S233"/>
  <c r="N33" i="102"/>
  <c r="P32"/>
  <c r="U234" i="282"/>
  <c r="L245"/>
  <c r="T237" s="1"/>
  <c r="L238"/>
  <c r="O240"/>
  <c r="L241"/>
  <c r="L244"/>
  <c r="V237"/>
  <c r="B106" i="273"/>
  <c r="U333"/>
  <c r="E106" s="1"/>
  <c r="D106"/>
  <c r="U19" i="218"/>
  <c r="Y7"/>
  <c r="Y8"/>
  <c r="AA5"/>
  <c r="AB5" s="1"/>
  <c r="T19"/>
  <c r="T21" s="1"/>
  <c r="Y6"/>
  <c r="Y9"/>
  <c r="U16"/>
  <c r="Z15"/>
  <c r="AB15" s="1"/>
  <c r="T14"/>
  <c r="V14" s="1"/>
  <c r="T9"/>
  <c r="T11" s="1"/>
  <c r="U9"/>
  <c r="T15"/>
  <c r="V15" s="1"/>
  <c r="Y11"/>
  <c r="Y13"/>
  <c r="U20"/>
  <c r="V20" s="1"/>
  <c r="U10"/>
  <c r="V10" s="1"/>
  <c r="AA14"/>
  <c r="AA26" s="1"/>
  <c r="O242" i="282" l="1"/>
  <c r="O241"/>
  <c r="V236"/>
  <c r="V242" s="1"/>
  <c r="O238"/>
  <c r="V234"/>
  <c r="W237"/>
  <c r="F253" s="1"/>
  <c r="T234"/>
  <c r="T232"/>
  <c r="W232" s="1"/>
  <c r="C248" s="1"/>
  <c r="V245"/>
  <c r="S244"/>
  <c r="S240"/>
  <c r="S238"/>
  <c r="V240"/>
  <c r="N34" i="102"/>
  <c r="P33"/>
  <c r="S241" i="282"/>
  <c r="B123" i="273"/>
  <c r="D123" s="1"/>
  <c r="D126" s="1"/>
  <c r="B114"/>
  <c r="D114" s="1"/>
  <c r="D117" s="1"/>
  <c r="U241" i="282"/>
  <c r="S245"/>
  <c r="U244"/>
  <c r="U238"/>
  <c r="U240"/>
  <c r="O244"/>
  <c r="T236"/>
  <c r="T235"/>
  <c r="T233"/>
  <c r="W233" s="1"/>
  <c r="O245"/>
  <c r="S242"/>
  <c r="AA30" i="218"/>
  <c r="Z11"/>
  <c r="AB11" s="1"/>
  <c r="U11"/>
  <c r="V11" s="1"/>
  <c r="T16"/>
  <c r="V16" s="1"/>
  <c r="V19"/>
  <c r="Z8" s="1"/>
  <c r="V9"/>
  <c r="Z6" s="1"/>
  <c r="Z21" s="1"/>
  <c r="AB21" s="1"/>
  <c r="U21"/>
  <c r="V21" s="1"/>
  <c r="Z9"/>
  <c r="AB9" s="1"/>
  <c r="Z13"/>
  <c r="AB13" s="1"/>
  <c r="AA16"/>
  <c r="AA27" s="1"/>
  <c r="W236" i="282" l="1"/>
  <c r="F252" s="1"/>
  <c r="F258" s="1"/>
  <c r="N252" s="1"/>
  <c r="V244"/>
  <c r="V238"/>
  <c r="E248"/>
  <c r="V241"/>
  <c r="D253"/>
  <c r="E249"/>
  <c r="F249"/>
  <c r="C249"/>
  <c r="W235"/>
  <c r="D251" s="1"/>
  <c r="D248"/>
  <c r="T240"/>
  <c r="W240" s="1"/>
  <c r="T238"/>
  <c r="T244"/>
  <c r="T242"/>
  <c r="W242" s="1"/>
  <c r="T241"/>
  <c r="D249"/>
  <c r="T245"/>
  <c r="W245" s="1"/>
  <c r="W234"/>
  <c r="N35" i="102"/>
  <c r="P34"/>
  <c r="F248" i="282"/>
  <c r="C253"/>
  <c r="E253"/>
  <c r="Z7" i="218"/>
  <c r="Z10" s="1"/>
  <c r="AB10" s="1"/>
  <c r="Z23"/>
  <c r="AB23" s="1"/>
  <c r="Z12"/>
  <c r="AB12" s="1"/>
  <c r="AB8"/>
  <c r="AB6"/>
  <c r="AA17"/>
  <c r="AA28" s="1"/>
  <c r="D252" i="282" l="1"/>
  <c r="D258" s="1"/>
  <c r="L253" s="1"/>
  <c r="C252"/>
  <c r="E252"/>
  <c r="E258" s="1"/>
  <c r="M252" s="1"/>
  <c r="W244"/>
  <c r="W241"/>
  <c r="N253"/>
  <c r="N258" s="1"/>
  <c r="Z22" i="218"/>
  <c r="AB22" s="1"/>
  <c r="G248" i="282"/>
  <c r="AB7" i="218"/>
  <c r="G249" i="282"/>
  <c r="N36" i="102"/>
  <c r="P35"/>
  <c r="D261" i="282"/>
  <c r="F256"/>
  <c r="N249" s="1"/>
  <c r="F250"/>
  <c r="F260" s="1"/>
  <c r="E250"/>
  <c r="C250"/>
  <c r="C258"/>
  <c r="D256"/>
  <c r="L249" s="1"/>
  <c r="C256"/>
  <c r="K249" s="1"/>
  <c r="W238"/>
  <c r="E256"/>
  <c r="M248" s="1"/>
  <c r="D250"/>
  <c r="C251"/>
  <c r="C261" s="1"/>
  <c r="E251"/>
  <c r="E261" s="1"/>
  <c r="F251"/>
  <c r="G253"/>
  <c r="Z14" i="218"/>
  <c r="Z26" s="1"/>
  <c r="AB26" s="1"/>
  <c r="Z25"/>
  <c r="AB25" s="1"/>
  <c r="Z24"/>
  <c r="AB24" s="1"/>
  <c r="AE21"/>
  <c r="AE22"/>
  <c r="AE25"/>
  <c r="AE24"/>
  <c r="AE23"/>
  <c r="AE26"/>
  <c r="AE27"/>
  <c r="D254" i="282" l="1"/>
  <c r="G252"/>
  <c r="L248"/>
  <c r="L256" s="1"/>
  <c r="G258"/>
  <c r="N248"/>
  <c r="N256" s="1"/>
  <c r="L252"/>
  <c r="G250"/>
  <c r="C257"/>
  <c r="K251" s="1"/>
  <c r="C260"/>
  <c r="C254"/>
  <c r="K253"/>
  <c r="G251"/>
  <c r="M249"/>
  <c r="M256" s="1"/>
  <c r="G256"/>
  <c r="K248"/>
  <c r="K252"/>
  <c r="E254"/>
  <c r="E257"/>
  <c r="M251" s="1"/>
  <c r="E260"/>
  <c r="F254"/>
  <c r="F261"/>
  <c r="G261" s="1"/>
  <c r="AB14" i="218"/>
  <c r="D257" i="282"/>
  <c r="L251" s="1"/>
  <c r="L261" s="1"/>
  <c r="D260"/>
  <c r="F257"/>
  <c r="N251" s="1"/>
  <c r="N261" s="1"/>
  <c r="N37" i="102"/>
  <c r="P36"/>
  <c r="M253" i="282"/>
  <c r="Z16" i="218"/>
  <c r="Z27" s="1"/>
  <c r="AB27" s="1"/>
  <c r="O252" i="282" l="1"/>
  <c r="L258"/>
  <c r="G254"/>
  <c r="O249"/>
  <c r="L250"/>
  <c r="L257" s="1"/>
  <c r="T251"/>
  <c r="T249"/>
  <c r="O253"/>
  <c r="N250"/>
  <c r="N254" s="1"/>
  <c r="V251"/>
  <c r="V253"/>
  <c r="V249"/>
  <c r="O251"/>
  <c r="M250"/>
  <c r="N38" i="102"/>
  <c r="P37"/>
  <c r="K261" i="282"/>
  <c r="S251" s="1"/>
  <c r="M261"/>
  <c r="U253" s="1"/>
  <c r="O248"/>
  <c r="K256"/>
  <c r="O256" s="1"/>
  <c r="G260"/>
  <c r="M258"/>
  <c r="K250"/>
  <c r="K260" s="1"/>
  <c r="S248" s="1"/>
  <c r="G257"/>
  <c r="K258"/>
  <c r="T253"/>
  <c r="Z17" i="218"/>
  <c r="AB17" s="1"/>
  <c r="AB16"/>
  <c r="L260" i="282" l="1"/>
  <c r="T248" s="1"/>
  <c r="L254"/>
  <c r="U249"/>
  <c r="O258"/>
  <c r="N257"/>
  <c r="N260"/>
  <c r="V248" s="1"/>
  <c r="M257"/>
  <c r="M254"/>
  <c r="M260"/>
  <c r="T261"/>
  <c r="V261"/>
  <c r="Z28" i="218"/>
  <c r="AB28" s="1"/>
  <c r="AC22" s="1"/>
  <c r="AD22" s="1"/>
  <c r="S252" i="282"/>
  <c r="N39" i="102"/>
  <c r="P38"/>
  <c r="K257" i="282"/>
  <c r="O250"/>
  <c r="O254" s="1"/>
  <c r="S250"/>
  <c r="K254"/>
  <c r="O261"/>
  <c r="S249"/>
  <c r="S256" s="1"/>
  <c r="S253"/>
  <c r="U251"/>
  <c r="W251" s="1"/>
  <c r="AC24" i="218"/>
  <c r="AD24" s="1"/>
  <c r="AC21" l="1"/>
  <c r="AD21" s="1"/>
  <c r="T252" i="282"/>
  <c r="T258" s="1"/>
  <c r="T250"/>
  <c r="T257" s="1"/>
  <c r="AC26" i="218"/>
  <c r="AD26" s="1"/>
  <c r="AC27"/>
  <c r="AD27" s="1"/>
  <c r="AC23"/>
  <c r="AD23" s="1"/>
  <c r="AC25"/>
  <c r="AD25" s="1"/>
  <c r="V250" i="282"/>
  <c r="V252"/>
  <c r="O257"/>
  <c r="O260"/>
  <c r="U261"/>
  <c r="D267"/>
  <c r="C267"/>
  <c r="F267"/>
  <c r="S257"/>
  <c r="U250"/>
  <c r="U248"/>
  <c r="U252"/>
  <c r="V257"/>
  <c r="S260"/>
  <c r="W249"/>
  <c r="C265" s="1"/>
  <c r="S261"/>
  <c r="V256"/>
  <c r="N40" i="102"/>
  <c r="P39"/>
  <c r="E267" i="282"/>
  <c r="S258"/>
  <c r="W253"/>
  <c r="T256"/>
  <c r="S254"/>
  <c r="W252" l="1"/>
  <c r="C268" s="1"/>
  <c r="W261"/>
  <c r="T260"/>
  <c r="V254"/>
  <c r="T254"/>
  <c r="V260"/>
  <c r="V258"/>
  <c r="D269"/>
  <c r="E269"/>
  <c r="F269"/>
  <c r="U257"/>
  <c r="W257" s="1"/>
  <c r="W250"/>
  <c r="E266" s="1"/>
  <c r="U258"/>
  <c r="N41" i="102"/>
  <c r="P40"/>
  <c r="G267" i="282"/>
  <c r="C269"/>
  <c r="D265"/>
  <c r="F265"/>
  <c r="E265"/>
  <c r="U260"/>
  <c r="U254"/>
  <c r="U256"/>
  <c r="W256" s="1"/>
  <c r="W248"/>
  <c r="P10" i="217"/>
  <c r="K39" i="216"/>
  <c r="M5" i="217"/>
  <c r="M6"/>
  <c r="M7"/>
  <c r="M8"/>
  <c r="M9"/>
  <c r="M10"/>
  <c r="M11"/>
  <c r="M12"/>
  <c r="M13"/>
  <c r="M14"/>
  <c r="M15"/>
  <c r="M4"/>
  <c r="Q8"/>
  <c r="Q6"/>
  <c r="Q5"/>
  <c r="Q10"/>
  <c r="I5"/>
  <c r="J5"/>
  <c r="K5"/>
  <c r="J27" s="1"/>
  <c r="L5"/>
  <c r="I6"/>
  <c r="J6"/>
  <c r="K6"/>
  <c r="K27" s="1"/>
  <c r="L6"/>
  <c r="I7"/>
  <c r="J7"/>
  <c r="K7"/>
  <c r="L27" s="1"/>
  <c r="L7"/>
  <c r="I8"/>
  <c r="J8"/>
  <c r="K8"/>
  <c r="I28" s="1"/>
  <c r="L8"/>
  <c r="I9"/>
  <c r="J9"/>
  <c r="K9"/>
  <c r="J28" s="1"/>
  <c r="L9"/>
  <c r="I10"/>
  <c r="J10"/>
  <c r="K10"/>
  <c r="K28" s="1"/>
  <c r="L10"/>
  <c r="I11"/>
  <c r="J11"/>
  <c r="K11"/>
  <c r="L28" s="1"/>
  <c r="L11"/>
  <c r="I12"/>
  <c r="J12"/>
  <c r="K12"/>
  <c r="I29" s="1"/>
  <c r="L12"/>
  <c r="I13"/>
  <c r="J13"/>
  <c r="K13"/>
  <c r="J29" s="1"/>
  <c r="L13"/>
  <c r="I14"/>
  <c r="J14"/>
  <c r="K14"/>
  <c r="K29" s="1"/>
  <c r="L14"/>
  <c r="I15"/>
  <c r="J15"/>
  <c r="K15"/>
  <c r="L29" s="1"/>
  <c r="L15"/>
  <c r="L4"/>
  <c r="K4"/>
  <c r="I27" s="1"/>
  <c r="J4"/>
  <c r="I4"/>
  <c r="L6" i="216"/>
  <c r="L26"/>
  <c r="L25"/>
  <c r="L20"/>
  <c r="L19"/>
  <c r="L18"/>
  <c r="L8"/>
  <c r="L7"/>
  <c r="L12"/>
  <c r="L13"/>
  <c r="L14"/>
  <c r="L44"/>
  <c r="M44"/>
  <c r="N44"/>
  <c r="L45"/>
  <c r="M45"/>
  <c r="N45"/>
  <c r="L46"/>
  <c r="M46"/>
  <c r="N46"/>
  <c r="K46"/>
  <c r="K45"/>
  <c r="N39"/>
  <c r="N40"/>
  <c r="N41"/>
  <c r="K44"/>
  <c r="I31"/>
  <c r="H35"/>
  <c r="Q40" s="1"/>
  <c r="I33"/>
  <c r="I35"/>
  <c r="I30"/>
  <c r="L39"/>
  <c r="M39"/>
  <c r="L40"/>
  <c r="M40"/>
  <c r="L41"/>
  <c r="M41"/>
  <c r="K41"/>
  <c r="K40"/>
  <c r="H41"/>
  <c r="H40"/>
  <c r="H39"/>
  <c r="H47"/>
  <c r="H46"/>
  <c r="H45"/>
  <c r="H44"/>
  <c r="I23"/>
  <c r="J23"/>
  <c r="K23"/>
  <c r="I24"/>
  <c r="J24"/>
  <c r="K24"/>
  <c r="I25"/>
  <c r="J25"/>
  <c r="K25"/>
  <c r="I26"/>
  <c r="J26"/>
  <c r="K26"/>
  <c r="H26"/>
  <c r="H25"/>
  <c r="H24"/>
  <c r="H23"/>
  <c r="I17"/>
  <c r="J17"/>
  <c r="K17"/>
  <c r="I18"/>
  <c r="J18"/>
  <c r="K18"/>
  <c r="I19"/>
  <c r="J19"/>
  <c r="K19"/>
  <c r="I20"/>
  <c r="J20"/>
  <c r="K20"/>
  <c r="H20"/>
  <c r="H19"/>
  <c r="H18"/>
  <c r="H17"/>
  <c r="K14"/>
  <c r="K13"/>
  <c r="K12"/>
  <c r="K11"/>
  <c r="K8"/>
  <c r="K7"/>
  <c r="K6"/>
  <c r="K5"/>
  <c r="J5"/>
  <c r="J6"/>
  <c r="J7"/>
  <c r="J8"/>
  <c r="J11"/>
  <c r="J12"/>
  <c r="J13"/>
  <c r="J14"/>
  <c r="I6"/>
  <c r="I14"/>
  <c r="H14"/>
  <c r="I13"/>
  <c r="H13"/>
  <c r="I12"/>
  <c r="H12"/>
  <c r="I11"/>
  <c r="H11"/>
  <c r="I8"/>
  <c r="H8"/>
  <c r="I7"/>
  <c r="H7"/>
  <c r="H6"/>
  <c r="I5"/>
  <c r="H5"/>
  <c r="H22" i="215"/>
  <c r="K13"/>
  <c r="J13"/>
  <c r="I13"/>
  <c r="K8"/>
  <c r="K7"/>
  <c r="K6"/>
  <c r="J8"/>
  <c r="J7"/>
  <c r="J6"/>
  <c r="I8"/>
  <c r="I7"/>
  <c r="I6"/>
  <c r="H13"/>
  <c r="H7"/>
  <c r="H8"/>
  <c r="H6"/>
  <c r="I19" s="1"/>
  <c r="K12"/>
  <c r="J12"/>
  <c r="I12"/>
  <c r="H12"/>
  <c r="K11"/>
  <c r="J11"/>
  <c r="I11"/>
  <c r="H11"/>
  <c r="K10"/>
  <c r="J10"/>
  <c r="I10"/>
  <c r="H10"/>
  <c r="D277" i="282" l="1"/>
  <c r="F268"/>
  <c r="F274" s="1"/>
  <c r="N268" s="1"/>
  <c r="E268"/>
  <c r="E274" s="1"/>
  <c r="D268"/>
  <c r="D274" s="1"/>
  <c r="L268" s="1"/>
  <c r="F277"/>
  <c r="W258"/>
  <c r="W260"/>
  <c r="H19" i="215"/>
  <c r="I22"/>
  <c r="J19" i="217"/>
  <c r="J18"/>
  <c r="W254" i="282"/>
  <c r="C264"/>
  <c r="F264"/>
  <c r="D264"/>
  <c r="E264"/>
  <c r="G269"/>
  <c r="N42" i="102"/>
  <c r="P41"/>
  <c r="I18" i="215"/>
  <c r="I20" s="1"/>
  <c r="H18"/>
  <c r="E277" i="282"/>
  <c r="C266"/>
  <c r="D266"/>
  <c r="F266"/>
  <c r="P8" i="217"/>
  <c r="R8" s="1"/>
  <c r="C277" i="282"/>
  <c r="C274"/>
  <c r="K269" s="1"/>
  <c r="E273"/>
  <c r="M267" s="1"/>
  <c r="Q39" i="216"/>
  <c r="Q41" s="1"/>
  <c r="J24" i="217"/>
  <c r="J23"/>
  <c r="U5"/>
  <c r="G265" i="282"/>
  <c r="U6" i="217"/>
  <c r="J22"/>
  <c r="J17"/>
  <c r="I19"/>
  <c r="I21"/>
  <c r="I24"/>
  <c r="I23"/>
  <c r="I22"/>
  <c r="I17"/>
  <c r="J21"/>
  <c r="I18"/>
  <c r="H33" i="216"/>
  <c r="Q7" i="217"/>
  <c r="U7" s="1"/>
  <c r="I32" i="216"/>
  <c r="H31"/>
  <c r="L17"/>
  <c r="L23"/>
  <c r="L5"/>
  <c r="H30" s="1"/>
  <c r="L11"/>
  <c r="M31"/>
  <c r="L24"/>
  <c r="C25" i="214"/>
  <c r="C26" s="1"/>
  <c r="D25"/>
  <c r="D26" s="1"/>
  <c r="E25"/>
  <c r="E26" s="1"/>
  <c r="F25"/>
  <c r="F26" s="1"/>
  <c r="C27"/>
  <c r="D27"/>
  <c r="E27"/>
  <c r="F27"/>
  <c r="C28"/>
  <c r="D28"/>
  <c r="E28"/>
  <c r="F28"/>
  <c r="C29"/>
  <c r="D29"/>
  <c r="E29"/>
  <c r="F29"/>
  <c r="B29"/>
  <c r="B28"/>
  <c r="B27"/>
  <c r="B25"/>
  <c r="B26" s="1"/>
  <c r="K15"/>
  <c r="I6"/>
  <c r="I7"/>
  <c r="M268" i="282" l="1"/>
  <c r="M269"/>
  <c r="G268"/>
  <c r="K23" i="217"/>
  <c r="M18" i="215"/>
  <c r="H20"/>
  <c r="J20" s="1"/>
  <c r="K17" i="217"/>
  <c r="K24"/>
  <c r="M266" i="282"/>
  <c r="M273" s="1"/>
  <c r="G277"/>
  <c r="K18" i="217"/>
  <c r="K19"/>
  <c r="L269" i="282"/>
  <c r="L274" s="1"/>
  <c r="C272"/>
  <c r="K264" s="1"/>
  <c r="C276"/>
  <c r="G264"/>
  <c r="C270"/>
  <c r="P6" i="217"/>
  <c r="R6" s="1"/>
  <c r="S6" s="1"/>
  <c r="T6" s="1"/>
  <c r="K22"/>
  <c r="N269" i="282"/>
  <c r="N274" s="1"/>
  <c r="E272"/>
  <c r="E270"/>
  <c r="E276"/>
  <c r="D273"/>
  <c r="L267" s="1"/>
  <c r="F272"/>
  <c r="N265" s="1"/>
  <c r="F270"/>
  <c r="F276"/>
  <c r="G266"/>
  <c r="C273"/>
  <c r="G274"/>
  <c r="K268"/>
  <c r="F273"/>
  <c r="N267" s="1"/>
  <c r="N43" i="102"/>
  <c r="P42"/>
  <c r="D276" i="282"/>
  <c r="D272"/>
  <c r="L265" s="1"/>
  <c r="D270"/>
  <c r="K21" i="217"/>
  <c r="P5"/>
  <c r="H32" i="216"/>
  <c r="M30"/>
  <c r="M32"/>
  <c r="J33"/>
  <c r="J19" i="215"/>
  <c r="J18"/>
  <c r="M19"/>
  <c r="M6" i="214"/>
  <c r="M7"/>
  <c r="M8"/>
  <c r="M9"/>
  <c r="M10"/>
  <c r="M11"/>
  <c r="M12"/>
  <c r="M13"/>
  <c r="M14"/>
  <c r="M274" i="282" l="1"/>
  <c r="O269"/>
  <c r="N264"/>
  <c r="L264"/>
  <c r="L272" s="1"/>
  <c r="L266"/>
  <c r="L273" s="1"/>
  <c r="G276"/>
  <c r="K274"/>
  <c r="O268"/>
  <c r="M264"/>
  <c r="M265"/>
  <c r="N44" i="102"/>
  <c r="P43"/>
  <c r="N277" i="282"/>
  <c r="V265" s="1"/>
  <c r="F41" i="214"/>
  <c r="F42" s="1"/>
  <c r="F43"/>
  <c r="F44"/>
  <c r="F45"/>
  <c r="K266" i="282"/>
  <c r="K276" s="1"/>
  <c r="G273"/>
  <c r="K267"/>
  <c r="G272"/>
  <c r="K265"/>
  <c r="K272" s="1"/>
  <c r="P7" i="217"/>
  <c r="R7" s="1"/>
  <c r="S7" s="1"/>
  <c r="T7" s="1"/>
  <c r="L277" i="282"/>
  <c r="T265" s="1"/>
  <c r="N266"/>
  <c r="G270"/>
  <c r="J30" i="216"/>
  <c r="K30" s="1"/>
  <c r="L30" s="1"/>
  <c r="J31"/>
  <c r="K31" s="1"/>
  <c r="L31" s="1"/>
  <c r="K19" i="215"/>
  <c r="L19" s="1"/>
  <c r="K18"/>
  <c r="L18" s="1"/>
  <c r="M17" i="214"/>
  <c r="M16"/>
  <c r="M19"/>
  <c r="U35" s="1"/>
  <c r="M18"/>
  <c r="O274" i="282" l="1"/>
  <c r="N276"/>
  <c r="V266" s="1"/>
  <c r="L270"/>
  <c r="N272"/>
  <c r="N270"/>
  <c r="L276"/>
  <c r="T264" s="1"/>
  <c r="V269"/>
  <c r="S264"/>
  <c r="S268"/>
  <c r="U32" i="214"/>
  <c r="N45" i="102"/>
  <c r="P44"/>
  <c r="U29" i="214"/>
  <c r="U33"/>
  <c r="U30"/>
  <c r="N273" i="282"/>
  <c r="U31" i="214"/>
  <c r="K277" i="282"/>
  <c r="S265" s="1"/>
  <c r="O265"/>
  <c r="O267"/>
  <c r="U37" i="214"/>
  <c r="M276" i="282"/>
  <c r="M272"/>
  <c r="M270"/>
  <c r="U34" i="214"/>
  <c r="K270" i="282"/>
  <c r="K273"/>
  <c r="O266"/>
  <c r="S266"/>
  <c r="U36" i="214"/>
  <c r="M277" i="282"/>
  <c r="U265" s="1"/>
  <c r="T267"/>
  <c r="T269"/>
  <c r="V267"/>
  <c r="O264"/>
  <c r="R5" i="217"/>
  <c r="S5" s="1"/>
  <c r="T5" s="1"/>
  <c r="J32" i="216"/>
  <c r="K32" s="1"/>
  <c r="L32" s="1"/>
  <c r="F19" i="214"/>
  <c r="E19"/>
  <c r="D19"/>
  <c r="C19"/>
  <c r="B19"/>
  <c r="F18"/>
  <c r="E18"/>
  <c r="D18"/>
  <c r="C18"/>
  <c r="B18"/>
  <c r="F17"/>
  <c r="E17"/>
  <c r="D17"/>
  <c r="C17"/>
  <c r="B17"/>
  <c r="F16"/>
  <c r="E16"/>
  <c r="D16"/>
  <c r="C16"/>
  <c r="B16"/>
  <c r="J15"/>
  <c r="I15"/>
  <c r="K14"/>
  <c r="J14"/>
  <c r="I14"/>
  <c r="L13"/>
  <c r="K13"/>
  <c r="J13"/>
  <c r="I13"/>
  <c r="L12"/>
  <c r="K12"/>
  <c r="J12"/>
  <c r="I12"/>
  <c r="L11"/>
  <c r="K11"/>
  <c r="J11"/>
  <c r="I11"/>
  <c r="L10"/>
  <c r="K10"/>
  <c r="J10"/>
  <c r="I10"/>
  <c r="L9"/>
  <c r="K9"/>
  <c r="J9"/>
  <c r="I9"/>
  <c r="L8"/>
  <c r="K8"/>
  <c r="J8"/>
  <c r="I8"/>
  <c r="L7"/>
  <c r="K7"/>
  <c r="J7"/>
  <c r="L6"/>
  <c r="K6"/>
  <c r="J6"/>
  <c r="O18" i="187"/>
  <c r="O273" i="282" l="1"/>
  <c r="T266"/>
  <c r="V268"/>
  <c r="V277"/>
  <c r="V264"/>
  <c r="O272"/>
  <c r="T268"/>
  <c r="O270"/>
  <c r="S267"/>
  <c r="S273" s="1"/>
  <c r="D43" i="214"/>
  <c r="D45"/>
  <c r="D41"/>
  <c r="D42" s="1"/>
  <c r="D44"/>
  <c r="E43"/>
  <c r="E45"/>
  <c r="E41"/>
  <c r="E42" s="1"/>
  <c r="E44"/>
  <c r="N46" i="102"/>
  <c r="P45"/>
  <c r="R11" i="214"/>
  <c r="R15"/>
  <c r="R10"/>
  <c r="R17"/>
  <c r="R9"/>
  <c r="R13"/>
  <c r="R8"/>
  <c r="R12"/>
  <c r="R14"/>
  <c r="R16"/>
  <c r="T273" i="282"/>
  <c r="V273"/>
  <c r="S272"/>
  <c r="S276"/>
  <c r="T12" i="214"/>
  <c r="T11"/>
  <c r="T15"/>
  <c r="T10"/>
  <c r="T14"/>
  <c r="T9"/>
  <c r="T13"/>
  <c r="T8"/>
  <c r="B41"/>
  <c r="B42" s="1"/>
  <c r="B43"/>
  <c r="B45"/>
  <c r="B44"/>
  <c r="U9"/>
  <c r="U13"/>
  <c r="U16"/>
  <c r="U8"/>
  <c r="U12"/>
  <c r="U11"/>
  <c r="U15"/>
  <c r="U10"/>
  <c r="U14"/>
  <c r="V274" i="282"/>
  <c r="W265"/>
  <c r="C281" s="1"/>
  <c r="C41" i="214"/>
  <c r="C42" s="1"/>
  <c r="C43"/>
  <c r="C44"/>
  <c r="C45"/>
  <c r="U267" i="282"/>
  <c r="W267" s="1"/>
  <c r="F283" s="1"/>
  <c r="U269"/>
  <c r="U264"/>
  <c r="U268"/>
  <c r="U266"/>
  <c r="O277"/>
  <c r="S269"/>
  <c r="T272"/>
  <c r="T277"/>
  <c r="O276"/>
  <c r="Q9" i="214"/>
  <c r="Q10"/>
  <c r="Q11"/>
  <c r="Q12"/>
  <c r="Q13"/>
  <c r="Q14"/>
  <c r="Q15"/>
  <c r="Q16"/>
  <c r="Q8"/>
  <c r="Q17"/>
  <c r="S12"/>
  <c r="S16"/>
  <c r="S17"/>
  <c r="S9"/>
  <c r="S13"/>
  <c r="S10"/>
  <c r="S14"/>
  <c r="S8"/>
  <c r="S11"/>
  <c r="S15"/>
  <c r="L16"/>
  <c r="L18"/>
  <c r="L17"/>
  <c r="L19"/>
  <c r="T34" s="1"/>
  <c r="K18"/>
  <c r="K17"/>
  <c r="K16"/>
  <c r="K19"/>
  <c r="J17"/>
  <c r="J19"/>
  <c r="R32" s="1"/>
  <c r="J16"/>
  <c r="J18"/>
  <c r="B21"/>
  <c r="V270" i="282" l="1"/>
  <c r="T270"/>
  <c r="V276"/>
  <c r="W264"/>
  <c r="D280" s="1"/>
  <c r="V272"/>
  <c r="T276"/>
  <c r="T274"/>
  <c r="R35" i="214"/>
  <c r="R31"/>
  <c r="T35"/>
  <c r="T32"/>
  <c r="T33"/>
  <c r="W269" i="282"/>
  <c r="C285" s="1"/>
  <c r="U273"/>
  <c r="W273" s="1"/>
  <c r="E283"/>
  <c r="R34" i="214"/>
  <c r="R30"/>
  <c r="T29"/>
  <c r="T31"/>
  <c r="U274" i="282"/>
  <c r="R38" i="214"/>
  <c r="T30"/>
  <c r="R37"/>
  <c r="R33"/>
  <c r="S274" i="282"/>
  <c r="N47" i="102"/>
  <c r="P46"/>
  <c r="T36" i="214"/>
  <c r="U277" i="282"/>
  <c r="F281"/>
  <c r="D281"/>
  <c r="S277"/>
  <c r="C283"/>
  <c r="U276"/>
  <c r="U270"/>
  <c r="U272"/>
  <c r="R29" i="214"/>
  <c r="D283" i="282"/>
  <c r="S270"/>
  <c r="W266"/>
  <c r="R36" i="214"/>
  <c r="W268" i="282"/>
  <c r="E281"/>
  <c r="S38" i="214"/>
  <c r="S31"/>
  <c r="S35"/>
  <c r="S32"/>
  <c r="S36"/>
  <c r="S33"/>
  <c r="S30"/>
  <c r="S34"/>
  <c r="S29"/>
  <c r="S37"/>
  <c r="F280" i="282" l="1"/>
  <c r="F288" s="1"/>
  <c r="N281" s="1"/>
  <c r="W276"/>
  <c r="E280"/>
  <c r="E288" s="1"/>
  <c r="M280" s="1"/>
  <c r="C280"/>
  <c r="W272"/>
  <c r="W277"/>
  <c r="E285"/>
  <c r="E293" s="1"/>
  <c r="F282"/>
  <c r="D282"/>
  <c r="C282"/>
  <c r="C293"/>
  <c r="G283"/>
  <c r="N48" i="102"/>
  <c r="P47"/>
  <c r="F285" i="282"/>
  <c r="F293" s="1"/>
  <c r="D285"/>
  <c r="D293" s="1"/>
  <c r="W274"/>
  <c r="G281"/>
  <c r="W270"/>
  <c r="F284"/>
  <c r="C284"/>
  <c r="D284"/>
  <c r="E284"/>
  <c r="E282"/>
  <c r="D288"/>
  <c r="L280" s="1"/>
  <c r="E290" l="1"/>
  <c r="M284" s="1"/>
  <c r="G280"/>
  <c r="C288"/>
  <c r="K281" s="1"/>
  <c r="F292"/>
  <c r="F286"/>
  <c r="C292"/>
  <c r="G285"/>
  <c r="N280"/>
  <c r="N288" s="1"/>
  <c r="N49" i="102"/>
  <c r="P48"/>
  <c r="D290" i="282"/>
  <c r="L285" s="1"/>
  <c r="D292"/>
  <c r="C290"/>
  <c r="K284" s="1"/>
  <c r="G284"/>
  <c r="C286"/>
  <c r="G293"/>
  <c r="G282"/>
  <c r="C289"/>
  <c r="E289"/>
  <c r="M283" s="1"/>
  <c r="F290"/>
  <c r="N284" s="1"/>
  <c r="M281"/>
  <c r="M288" s="1"/>
  <c r="D289"/>
  <c r="L283" s="1"/>
  <c r="E286"/>
  <c r="D286"/>
  <c r="F289"/>
  <c r="N283" s="1"/>
  <c r="L281"/>
  <c r="L288" s="1"/>
  <c r="E292"/>
  <c r="N10" i="211"/>
  <c r="N15"/>
  <c r="N8"/>
  <c r="N9"/>
  <c r="G11" i="210"/>
  <c r="N9" s="1"/>
  <c r="N15"/>
  <c r="S11" i="209"/>
  <c r="T11"/>
  <c r="R11"/>
  <c r="H16" i="206"/>
  <c r="G16"/>
  <c r="H14"/>
  <c r="Q12" s="1"/>
  <c r="K10"/>
  <c r="J10"/>
  <c r="I10"/>
  <c r="P8" s="1"/>
  <c r="S8" s="1"/>
  <c r="H10"/>
  <c r="G10"/>
  <c r="Q8" s="1"/>
  <c r="R8" s="1"/>
  <c r="K9"/>
  <c r="J9"/>
  <c r="I9"/>
  <c r="H9"/>
  <c r="G9"/>
  <c r="K8"/>
  <c r="J8"/>
  <c r="I8"/>
  <c r="P6" s="1"/>
  <c r="S6" s="1"/>
  <c r="H8"/>
  <c r="G8"/>
  <c r="Q6" s="1"/>
  <c r="R6" s="1"/>
  <c r="K7"/>
  <c r="J7"/>
  <c r="I7"/>
  <c r="P5" s="1"/>
  <c r="S5" s="1"/>
  <c r="H7"/>
  <c r="G7"/>
  <c r="Q5" s="1"/>
  <c r="R5" s="1"/>
  <c r="T11" i="200"/>
  <c r="S11"/>
  <c r="S12" s="1"/>
  <c r="S13" s="1"/>
  <c r="T10"/>
  <c r="R8"/>
  <c r="R11"/>
  <c r="R12" s="1"/>
  <c r="R13" s="1"/>
  <c r="R9"/>
  <c r="S9" s="1"/>
  <c r="T9" s="1"/>
  <c r="S6"/>
  <c r="S8" s="1"/>
  <c r="N7" i="203"/>
  <c r="X7"/>
  <c r="X6"/>
  <c r="O7"/>
  <c r="N125" i="204"/>
  <c r="O125" s="1"/>
  <c r="P125" s="1"/>
  <c r="Q125" s="1"/>
  <c r="R125" s="1"/>
  <c r="S125" s="1"/>
  <c r="T125" s="1"/>
  <c r="U125" s="1"/>
  <c r="V125" s="1"/>
  <c r="W125" s="1"/>
  <c r="C125"/>
  <c r="D125" s="1"/>
  <c r="E125" s="1"/>
  <c r="F125" s="1"/>
  <c r="G125" s="1"/>
  <c r="H125" s="1"/>
  <c r="I125" s="1"/>
  <c r="J125" s="1"/>
  <c r="K125" s="1"/>
  <c r="L125" s="1"/>
  <c r="N95"/>
  <c r="O95" s="1"/>
  <c r="P95" s="1"/>
  <c r="Q95" s="1"/>
  <c r="R95" s="1"/>
  <c r="S95" s="1"/>
  <c r="T95" s="1"/>
  <c r="U95" s="1"/>
  <c r="V95" s="1"/>
  <c r="W95" s="1"/>
  <c r="C95"/>
  <c r="D95" s="1"/>
  <c r="E95" s="1"/>
  <c r="F95" s="1"/>
  <c r="G95" s="1"/>
  <c r="H95" s="1"/>
  <c r="I95" s="1"/>
  <c r="J95" s="1"/>
  <c r="K95" s="1"/>
  <c r="L95" s="1"/>
  <c r="N65"/>
  <c r="O65" s="1"/>
  <c r="P65" s="1"/>
  <c r="Q65" s="1"/>
  <c r="R65" s="1"/>
  <c r="S65" s="1"/>
  <c r="T65" s="1"/>
  <c r="U65" s="1"/>
  <c r="V65" s="1"/>
  <c r="W65" s="1"/>
  <c r="C65"/>
  <c r="D65" s="1"/>
  <c r="E65" s="1"/>
  <c r="F65" s="1"/>
  <c r="G65" s="1"/>
  <c r="H65" s="1"/>
  <c r="I65" s="1"/>
  <c r="J65" s="1"/>
  <c r="K65" s="1"/>
  <c r="L65" s="1"/>
  <c r="N35"/>
  <c r="O35" s="1"/>
  <c r="P35" s="1"/>
  <c r="Q35" s="1"/>
  <c r="R35" s="1"/>
  <c r="S35" s="1"/>
  <c r="T35" s="1"/>
  <c r="U35" s="1"/>
  <c r="V35" s="1"/>
  <c r="W35" s="1"/>
  <c r="C35"/>
  <c r="D35" s="1"/>
  <c r="E35" s="1"/>
  <c r="F35" s="1"/>
  <c r="G35" s="1"/>
  <c r="H35" s="1"/>
  <c r="I35" s="1"/>
  <c r="J35" s="1"/>
  <c r="K35" s="1"/>
  <c r="L35" s="1"/>
  <c r="N5"/>
  <c r="O5" s="1"/>
  <c r="P5" s="1"/>
  <c r="Q5" s="1"/>
  <c r="R5" s="1"/>
  <c r="S5" s="1"/>
  <c r="T5" s="1"/>
  <c r="U5" s="1"/>
  <c r="V5" s="1"/>
  <c r="W5" s="1"/>
  <c r="C5"/>
  <c r="D5" s="1"/>
  <c r="E5" s="1"/>
  <c r="F5" s="1"/>
  <c r="G5" s="1"/>
  <c r="H5" s="1"/>
  <c r="I5" s="1"/>
  <c r="J5" s="1"/>
  <c r="K5" s="1"/>
  <c r="L5" s="1"/>
  <c r="AA7" i="203"/>
  <c r="AA12"/>
  <c r="AA11"/>
  <c r="AA10"/>
  <c r="AA9"/>
  <c r="AA8"/>
  <c r="N11"/>
  <c r="X9"/>
  <c r="G288" i="282" l="1"/>
  <c r="M285"/>
  <c r="M290" s="1"/>
  <c r="N11" i="211"/>
  <c r="O7" s="1"/>
  <c r="P7" s="1"/>
  <c r="K280" i="282"/>
  <c r="K288" s="1"/>
  <c r="O288" s="1"/>
  <c r="N282"/>
  <c r="N292" s="1"/>
  <c r="V280" s="1"/>
  <c r="G286"/>
  <c r="P11" i="203"/>
  <c r="U11" i="209"/>
  <c r="T12" s="1"/>
  <c r="M282" i="282"/>
  <c r="M289" s="1"/>
  <c r="L293"/>
  <c r="T281" s="1"/>
  <c r="N285"/>
  <c r="L284"/>
  <c r="O284" s="1"/>
  <c r="G15" i="206"/>
  <c r="G14" s="1"/>
  <c r="I14" s="1"/>
  <c r="G292" i="282"/>
  <c r="P7" i="203"/>
  <c r="R12" i="209"/>
  <c r="L282" i="282"/>
  <c r="G290"/>
  <c r="K285"/>
  <c r="I16" i="206"/>
  <c r="K282" i="282"/>
  <c r="G289"/>
  <c r="K283"/>
  <c r="N50" i="102"/>
  <c r="P49"/>
  <c r="O281" i="282"/>
  <c r="N10" i="210"/>
  <c r="N8"/>
  <c r="N7"/>
  <c r="R9" i="206"/>
  <c r="S9"/>
  <c r="H15"/>
  <c r="R12" s="1"/>
  <c r="S12" s="1"/>
  <c r="T6" i="200"/>
  <c r="T8" s="1"/>
  <c r="T12" s="1"/>
  <c r="T13" s="1"/>
  <c r="X10" i="203"/>
  <c r="M293" i="282" l="1"/>
  <c r="U285" s="1"/>
  <c r="N289"/>
  <c r="O9" i="211"/>
  <c r="P9" s="1"/>
  <c r="O280" i="282"/>
  <c r="N286"/>
  <c r="T285"/>
  <c r="V284"/>
  <c r="T283"/>
  <c r="V282"/>
  <c r="N290"/>
  <c r="L290"/>
  <c r="L286"/>
  <c r="N293"/>
  <c r="S12" i="209"/>
  <c r="M292" i="282"/>
  <c r="U280" s="1"/>
  <c r="M286"/>
  <c r="K289"/>
  <c r="O282"/>
  <c r="N51" i="102"/>
  <c r="P50"/>
  <c r="O283" i="282"/>
  <c r="K293"/>
  <c r="S285" s="1"/>
  <c r="L289"/>
  <c r="L292"/>
  <c r="O285"/>
  <c r="K286"/>
  <c r="K290"/>
  <c r="K292"/>
  <c r="S282" s="1"/>
  <c r="O10" i="211"/>
  <c r="P10" s="1"/>
  <c r="N16"/>
  <c r="P15" s="1"/>
  <c r="O8"/>
  <c r="P8" s="1"/>
  <c r="N11" i="210"/>
  <c r="O9" s="1"/>
  <c r="P9" s="1"/>
  <c r="L14" i="206"/>
  <c r="I15"/>
  <c r="X12" i="203"/>
  <c r="X11"/>
  <c r="X14"/>
  <c r="X13"/>
  <c r="U283" i="282" l="1"/>
  <c r="U281"/>
  <c r="U288" s="1"/>
  <c r="P11" i="211"/>
  <c r="O16" s="1"/>
  <c r="R15" s="1"/>
  <c r="U282" i="282"/>
  <c r="T293"/>
  <c r="V292"/>
  <c r="U284"/>
  <c r="O290"/>
  <c r="O286"/>
  <c r="V281"/>
  <c r="V283"/>
  <c r="V285"/>
  <c r="V290" s="1"/>
  <c r="S283"/>
  <c r="S289" s="1"/>
  <c r="O289"/>
  <c r="T282"/>
  <c r="T280"/>
  <c r="T284"/>
  <c r="N52" i="102"/>
  <c r="P51"/>
  <c r="O292" i="282"/>
  <c r="S280"/>
  <c r="S284"/>
  <c r="S281"/>
  <c r="O293"/>
  <c r="N16" i="210"/>
  <c r="P15" s="1"/>
  <c r="O7"/>
  <c r="P7" s="1"/>
  <c r="O10"/>
  <c r="P10" s="1"/>
  <c r="O8"/>
  <c r="P8" s="1"/>
  <c r="N12" i="206"/>
  <c r="J14"/>
  <c r="K14" s="1"/>
  <c r="X16" i="203"/>
  <c r="U293" i="282" l="1"/>
  <c r="U289"/>
  <c r="U292"/>
  <c r="U286"/>
  <c r="U290"/>
  <c r="V286"/>
  <c r="V289"/>
  <c r="V288"/>
  <c r="V293"/>
  <c r="W285"/>
  <c r="C301" s="1"/>
  <c r="W280"/>
  <c r="D296" s="1"/>
  <c r="S288"/>
  <c r="S292"/>
  <c r="S286"/>
  <c r="T290"/>
  <c r="T292"/>
  <c r="T288"/>
  <c r="T286"/>
  <c r="W281"/>
  <c r="S293"/>
  <c r="T289"/>
  <c r="W283"/>
  <c r="W282"/>
  <c r="W284"/>
  <c r="S290"/>
  <c r="N53" i="102"/>
  <c r="P52"/>
  <c r="P11" i="210"/>
  <c r="O16" s="1"/>
  <c r="R15" s="1"/>
  <c r="Q15" i="211"/>
  <c r="O12" i="206"/>
  <c r="P12" s="1"/>
  <c r="T12" s="1"/>
  <c r="X18" i="203"/>
  <c r="Q7"/>
  <c r="R7" s="1"/>
  <c r="S7" s="1"/>
  <c r="AB9" l="1"/>
  <c r="AC9" s="1"/>
  <c r="D301" i="282"/>
  <c r="F301"/>
  <c r="E301"/>
  <c r="W293"/>
  <c r="W289"/>
  <c r="W292"/>
  <c r="F300"/>
  <c r="E300"/>
  <c r="D299"/>
  <c r="F299"/>
  <c r="E299"/>
  <c r="F297"/>
  <c r="D297"/>
  <c r="E297"/>
  <c r="N54" i="102"/>
  <c r="P53"/>
  <c r="F298" i="282"/>
  <c r="C298"/>
  <c r="E298"/>
  <c r="D298"/>
  <c r="D300"/>
  <c r="W286"/>
  <c r="F296"/>
  <c r="E296"/>
  <c r="C300"/>
  <c r="C297"/>
  <c r="W288"/>
  <c r="Q15" i="210"/>
  <c r="W290" i="282"/>
  <c r="C299"/>
  <c r="C296"/>
  <c r="AB8" i="203"/>
  <c r="AC8" s="1"/>
  <c r="AB11"/>
  <c r="AC11" s="1"/>
  <c r="AB7"/>
  <c r="AC7" s="1"/>
  <c r="AB10"/>
  <c r="AC10" s="1"/>
  <c r="AB12"/>
  <c r="AC12" s="1"/>
  <c r="Q11"/>
  <c r="R11" s="1"/>
  <c r="S11" s="1"/>
  <c r="G301" i="282" l="1"/>
  <c r="E306"/>
  <c r="M300" s="1"/>
  <c r="D308"/>
  <c r="G297"/>
  <c r="C309"/>
  <c r="D309"/>
  <c r="C306"/>
  <c r="G300"/>
  <c r="F305"/>
  <c r="N298" s="1"/>
  <c r="G299"/>
  <c r="E302"/>
  <c r="E304"/>
  <c r="M296" s="1"/>
  <c r="E308"/>
  <c r="D304"/>
  <c r="L296" s="1"/>
  <c r="D305"/>
  <c r="L299" s="1"/>
  <c r="F306"/>
  <c r="N301" s="1"/>
  <c r="G298"/>
  <c r="C305"/>
  <c r="K299" s="1"/>
  <c r="C304"/>
  <c r="K297" s="1"/>
  <c r="G296"/>
  <c r="C302"/>
  <c r="C308"/>
  <c r="D306"/>
  <c r="L301" s="1"/>
  <c r="F304"/>
  <c r="N297" s="1"/>
  <c r="F308"/>
  <c r="F302"/>
  <c r="D302"/>
  <c r="E305"/>
  <c r="M299" s="1"/>
  <c r="N55" i="102"/>
  <c r="P54"/>
  <c r="E309" i="282"/>
  <c r="F309"/>
  <c r="U7" i="203"/>
  <c r="T7"/>
  <c r="U11"/>
  <c r="T11"/>
  <c r="M301" i="282" l="1"/>
  <c r="M306" s="1"/>
  <c r="M298"/>
  <c r="L297"/>
  <c r="L309" s="1"/>
  <c r="T299" s="1"/>
  <c r="L298"/>
  <c r="L305" s="1"/>
  <c r="N299"/>
  <c r="K296"/>
  <c r="K304" s="1"/>
  <c r="G308"/>
  <c r="N296"/>
  <c r="N304" s="1"/>
  <c r="O299"/>
  <c r="M308"/>
  <c r="U300" s="1"/>
  <c r="G306"/>
  <c r="K301"/>
  <c r="K309" s="1"/>
  <c r="M297"/>
  <c r="M305"/>
  <c r="L300"/>
  <c r="G302"/>
  <c r="G304"/>
  <c r="N300"/>
  <c r="K300"/>
  <c r="G309"/>
  <c r="N56" i="102"/>
  <c r="P55"/>
  <c r="K298" i="282"/>
  <c r="G305"/>
  <c r="O19" i="200"/>
  <c r="P19"/>
  <c r="Q19"/>
  <c r="R19"/>
  <c r="S19"/>
  <c r="T19"/>
  <c r="P18"/>
  <c r="Q18"/>
  <c r="R18"/>
  <c r="S18"/>
  <c r="T18"/>
  <c r="O18"/>
  <c r="T17"/>
  <c r="T21" s="1"/>
  <c r="S17"/>
  <c r="S21" s="1"/>
  <c r="R17"/>
  <c r="R21" s="1"/>
  <c r="Q17"/>
  <c r="Q21" s="1"/>
  <c r="P17"/>
  <c r="P21" s="1"/>
  <c r="O17"/>
  <c r="O21" s="1"/>
  <c r="O297" i="282" l="1"/>
  <c r="L304"/>
  <c r="N302"/>
  <c r="L302"/>
  <c r="N309"/>
  <c r="V297" s="1"/>
  <c r="N305"/>
  <c r="N308"/>
  <c r="V298" s="1"/>
  <c r="O296"/>
  <c r="L308"/>
  <c r="T298" s="1"/>
  <c r="T305" s="1"/>
  <c r="T297"/>
  <c r="T301"/>
  <c r="S297"/>
  <c r="S299"/>
  <c r="K305"/>
  <c r="O298"/>
  <c r="M309"/>
  <c r="M304"/>
  <c r="O300"/>
  <c r="K306"/>
  <c r="K302"/>
  <c r="N306"/>
  <c r="U298"/>
  <c r="M302"/>
  <c r="N57" i="102"/>
  <c r="P56"/>
  <c r="K308" i="282"/>
  <c r="S298" s="1"/>
  <c r="L306"/>
  <c r="O301"/>
  <c r="S301"/>
  <c r="U296"/>
  <c r="S20" i="200"/>
  <c r="S22" s="1"/>
  <c r="P20"/>
  <c r="P22" s="1"/>
  <c r="T20"/>
  <c r="T22" s="1"/>
  <c r="O20"/>
  <c r="O22" s="1"/>
  <c r="Q20"/>
  <c r="Q22" s="1"/>
  <c r="R20"/>
  <c r="R22" s="1"/>
  <c r="H15" i="198"/>
  <c r="S101" s="1"/>
  <c r="K7"/>
  <c r="K8"/>
  <c r="K9"/>
  <c r="K10"/>
  <c r="H18"/>
  <c r="G18"/>
  <c r="J10"/>
  <c r="I10"/>
  <c r="P52" s="1"/>
  <c r="S52" s="1"/>
  <c r="H10"/>
  <c r="G10"/>
  <c r="Q10" s="1"/>
  <c r="J9"/>
  <c r="I9"/>
  <c r="P30" s="1"/>
  <c r="S30" s="1"/>
  <c r="H9"/>
  <c r="G9"/>
  <c r="Q72" s="1"/>
  <c r="R72" s="1"/>
  <c r="J8"/>
  <c r="I8"/>
  <c r="P29" s="1"/>
  <c r="S29" s="1"/>
  <c r="H8"/>
  <c r="G8"/>
  <c r="Q71" s="1"/>
  <c r="R71" s="1"/>
  <c r="J7"/>
  <c r="I7"/>
  <c r="P70" s="1"/>
  <c r="S70" s="1"/>
  <c r="H7"/>
  <c r="G7"/>
  <c r="Q28" s="1"/>
  <c r="R28" s="1"/>
  <c r="H16" i="197"/>
  <c r="G16"/>
  <c r="H14"/>
  <c r="K10"/>
  <c r="J10"/>
  <c r="I10"/>
  <c r="P22" s="1"/>
  <c r="S22" s="1"/>
  <c r="H10"/>
  <c r="G10"/>
  <c r="Q22" s="1"/>
  <c r="R22" s="1"/>
  <c r="K9"/>
  <c r="J9"/>
  <c r="I9"/>
  <c r="H9"/>
  <c r="G9"/>
  <c r="K8"/>
  <c r="J8"/>
  <c r="I8"/>
  <c r="P20" s="1"/>
  <c r="S20" s="1"/>
  <c r="H8"/>
  <c r="G8"/>
  <c r="Q20" s="1"/>
  <c r="R20" s="1"/>
  <c r="K7"/>
  <c r="J7"/>
  <c r="I7"/>
  <c r="P19" s="1"/>
  <c r="S19" s="1"/>
  <c r="H7"/>
  <c r="G7"/>
  <c r="Q19" s="1"/>
  <c r="R19" s="1"/>
  <c r="N9" i="196"/>
  <c r="N6"/>
  <c r="N7" s="1"/>
  <c r="N5"/>
  <c r="C13" i="195"/>
  <c r="D13"/>
  <c r="E13"/>
  <c r="B13"/>
  <c r="E14"/>
  <c r="D14"/>
  <c r="C14"/>
  <c r="B14"/>
  <c r="E12"/>
  <c r="D12"/>
  <c r="C12"/>
  <c r="B12"/>
  <c r="C41" i="192"/>
  <c r="C48" s="1"/>
  <c r="D41"/>
  <c r="D47" s="1"/>
  <c r="E41"/>
  <c r="E47" s="1"/>
  <c r="B41"/>
  <c r="B47" s="1"/>
  <c r="E42"/>
  <c r="D42"/>
  <c r="C42"/>
  <c r="B42"/>
  <c r="E32" i="194"/>
  <c r="E33" s="1"/>
  <c r="D32"/>
  <c r="D33" s="1"/>
  <c r="C32"/>
  <c r="C33" s="1"/>
  <c r="B32"/>
  <c r="B33" s="1"/>
  <c r="E30"/>
  <c r="E31" s="1"/>
  <c r="D30"/>
  <c r="D31" s="1"/>
  <c r="C30"/>
  <c r="C31" s="1"/>
  <c r="B30"/>
  <c r="B31" s="1"/>
  <c r="E29"/>
  <c r="D29"/>
  <c r="C29"/>
  <c r="B29"/>
  <c r="I20"/>
  <c r="I3"/>
  <c r="I10" s="1"/>
  <c r="C15"/>
  <c r="C16" s="1"/>
  <c r="D15"/>
  <c r="D16" s="1"/>
  <c r="E15"/>
  <c r="E16" s="1"/>
  <c r="B15"/>
  <c r="B16" s="1"/>
  <c r="C13"/>
  <c r="D13"/>
  <c r="D14" s="1"/>
  <c r="E13"/>
  <c r="E14" s="1"/>
  <c r="B13"/>
  <c r="C12"/>
  <c r="D12"/>
  <c r="E12"/>
  <c r="B12"/>
  <c r="C16" i="193"/>
  <c r="G8" s="1"/>
  <c r="D16"/>
  <c r="H9" s="1"/>
  <c r="C17"/>
  <c r="D17"/>
  <c r="B17"/>
  <c r="B16"/>
  <c r="F7" s="1"/>
  <c r="C15" i="192"/>
  <c r="D15"/>
  <c r="E15"/>
  <c r="B15"/>
  <c r="E14"/>
  <c r="D14"/>
  <c r="C14"/>
  <c r="B14"/>
  <c r="B21" l="1"/>
  <c r="B22"/>
  <c r="B23"/>
  <c r="B24"/>
  <c r="B25"/>
  <c r="B26"/>
  <c r="B27"/>
  <c r="B20"/>
  <c r="C21"/>
  <c r="C22"/>
  <c r="C23"/>
  <c r="C24"/>
  <c r="C25"/>
  <c r="C26"/>
  <c r="C27"/>
  <c r="C20"/>
  <c r="D20"/>
  <c r="D21"/>
  <c r="D22"/>
  <c r="D23"/>
  <c r="D24"/>
  <c r="D25"/>
  <c r="D26"/>
  <c r="D27"/>
  <c r="E20"/>
  <c r="E23"/>
  <c r="E25"/>
  <c r="E21"/>
  <c r="E22"/>
  <c r="E24"/>
  <c r="E26"/>
  <c r="E27"/>
  <c r="C81"/>
  <c r="C80"/>
  <c r="C79"/>
  <c r="C78"/>
  <c r="C77"/>
  <c r="C76"/>
  <c r="C75"/>
  <c r="C74"/>
  <c r="D81"/>
  <c r="D80"/>
  <c r="D79"/>
  <c r="D78"/>
  <c r="D77"/>
  <c r="D76"/>
  <c r="D75"/>
  <c r="D74"/>
  <c r="E81"/>
  <c r="E80"/>
  <c r="E79"/>
  <c r="E78"/>
  <c r="E77"/>
  <c r="E76"/>
  <c r="E75"/>
  <c r="E74"/>
  <c r="B81"/>
  <c r="B80"/>
  <c r="B79"/>
  <c r="B78"/>
  <c r="B77"/>
  <c r="B76"/>
  <c r="B75"/>
  <c r="B74"/>
  <c r="O304" i="282"/>
  <c r="O309"/>
  <c r="T309"/>
  <c r="Q91" i="198"/>
  <c r="R91" s="1"/>
  <c r="T296" i="282"/>
  <c r="T304" s="1"/>
  <c r="V301"/>
  <c r="O305"/>
  <c r="V299"/>
  <c r="V296"/>
  <c r="V300"/>
  <c r="B54" i="192"/>
  <c r="E53"/>
  <c r="E52"/>
  <c r="E48"/>
  <c r="T300" i="282"/>
  <c r="B50" i="192"/>
  <c r="E49"/>
  <c r="B51"/>
  <c r="O302" i="282"/>
  <c r="D52" i="192"/>
  <c r="D48"/>
  <c r="F13" i="194"/>
  <c r="F15" s="1"/>
  <c r="F16" s="1"/>
  <c r="I4" s="1"/>
  <c r="D54" i="192"/>
  <c r="B53"/>
  <c r="E51"/>
  <c r="D50"/>
  <c r="B49"/>
  <c r="Q94" i="198"/>
  <c r="R94" s="1"/>
  <c r="D51" i="192"/>
  <c r="Q92" i="198"/>
  <c r="R92" s="1"/>
  <c r="O306" i="282"/>
  <c r="E54" i="192"/>
  <c r="D53"/>
  <c r="B52"/>
  <c r="E50"/>
  <c r="D49"/>
  <c r="B48"/>
  <c r="Q93" i="198"/>
  <c r="R93" s="1"/>
  <c r="U297" i="282"/>
  <c r="U304" s="1"/>
  <c r="W298"/>
  <c r="E314" s="1"/>
  <c r="S305"/>
  <c r="C47" i="192"/>
  <c r="S59" i="198"/>
  <c r="P91"/>
  <c r="S91" s="1"/>
  <c r="P92"/>
  <c r="S92" s="1"/>
  <c r="P93"/>
  <c r="S93" s="1"/>
  <c r="P94"/>
  <c r="S94" s="1"/>
  <c r="G6" i="193"/>
  <c r="S63" i="198"/>
  <c r="G13" i="193"/>
  <c r="G9"/>
  <c r="C54" i="192"/>
  <c r="C53"/>
  <c r="C52"/>
  <c r="C51"/>
  <c r="C50"/>
  <c r="C49"/>
  <c r="S42" i="198"/>
  <c r="S84"/>
  <c r="S105"/>
  <c r="U308" i="282"/>
  <c r="S300"/>
  <c r="S309"/>
  <c r="S17" i="198"/>
  <c r="N58" i="102"/>
  <c r="P57"/>
  <c r="G15" i="197"/>
  <c r="G14" s="1"/>
  <c r="I14" s="1"/>
  <c r="S21" i="198"/>
  <c r="O308" i="282"/>
  <c r="S296"/>
  <c r="F14" i="195"/>
  <c r="N8" i="196"/>
  <c r="N10" s="1"/>
  <c r="S38" i="198"/>
  <c r="S80"/>
  <c r="U299" i="282"/>
  <c r="U301"/>
  <c r="P8" i="198"/>
  <c r="S8" s="1"/>
  <c r="P50"/>
  <c r="S50" s="1"/>
  <c r="Q29"/>
  <c r="R29" s="1"/>
  <c r="Q8"/>
  <c r="R8" s="1"/>
  <c r="Q50"/>
  <c r="R50" s="1"/>
  <c r="P71"/>
  <c r="S71" s="1"/>
  <c r="P31"/>
  <c r="S31" s="1"/>
  <c r="Q52"/>
  <c r="R52" s="1"/>
  <c r="P73"/>
  <c r="S73" s="1"/>
  <c r="P10"/>
  <c r="S10" s="1"/>
  <c r="Q31"/>
  <c r="R31" s="1"/>
  <c r="Q73"/>
  <c r="R73" s="1"/>
  <c r="Q30"/>
  <c r="R30" s="1"/>
  <c r="P51"/>
  <c r="S51" s="1"/>
  <c r="Q9"/>
  <c r="R9" s="1"/>
  <c r="Q51"/>
  <c r="R51" s="1"/>
  <c r="P9"/>
  <c r="S9" s="1"/>
  <c r="P72"/>
  <c r="S72" s="1"/>
  <c r="Q7"/>
  <c r="R7" s="1"/>
  <c r="P7"/>
  <c r="S7" s="1"/>
  <c r="P28"/>
  <c r="S28" s="1"/>
  <c r="Q49"/>
  <c r="R49" s="1"/>
  <c r="Q70"/>
  <c r="R70" s="1"/>
  <c r="P49"/>
  <c r="S49" s="1"/>
  <c r="R10"/>
  <c r="G16"/>
  <c r="G15" s="1"/>
  <c r="I15" s="1"/>
  <c r="H16"/>
  <c r="P99" s="1"/>
  <c r="I18"/>
  <c r="I16" i="197"/>
  <c r="R23"/>
  <c r="S23"/>
  <c r="H15"/>
  <c r="P7"/>
  <c r="S7" s="1"/>
  <c r="P8"/>
  <c r="S8" s="1"/>
  <c r="Q7"/>
  <c r="R7" s="1"/>
  <c r="Q8"/>
  <c r="R8" s="1"/>
  <c r="F13" i="195"/>
  <c r="F30" i="194"/>
  <c r="I27"/>
  <c r="C14"/>
  <c r="B14"/>
  <c r="H14" i="193"/>
  <c r="F12"/>
  <c r="H10"/>
  <c r="F8"/>
  <c r="H15"/>
  <c r="G14"/>
  <c r="F13"/>
  <c r="H11"/>
  <c r="G10"/>
  <c r="F9"/>
  <c r="H7"/>
  <c r="F6"/>
  <c r="G15"/>
  <c r="F14"/>
  <c r="H12"/>
  <c r="G11"/>
  <c r="F10"/>
  <c r="H8"/>
  <c r="G7"/>
  <c r="H6"/>
  <c r="F15"/>
  <c r="H13"/>
  <c r="G12"/>
  <c r="F11"/>
  <c r="Q16" i="189"/>
  <c r="Q17"/>
  <c r="Q18"/>
  <c r="Q15"/>
  <c r="O16"/>
  <c r="P16" s="1"/>
  <c r="O17"/>
  <c r="O18"/>
  <c r="P18" s="1"/>
  <c r="O15"/>
  <c r="P15" s="1"/>
  <c r="O7"/>
  <c r="O8"/>
  <c r="O9"/>
  <c r="O6"/>
  <c r="P7"/>
  <c r="P8"/>
  <c r="P9"/>
  <c r="P6"/>
  <c r="Q7" i="187"/>
  <c r="Q8"/>
  <c r="Q9"/>
  <c r="Q6"/>
  <c r="P7"/>
  <c r="R7" s="1"/>
  <c r="P8"/>
  <c r="P9"/>
  <c r="R9" s="1"/>
  <c r="P6"/>
  <c r="R6" s="1"/>
  <c r="N5" i="188"/>
  <c r="N6"/>
  <c r="N4"/>
  <c r="F12"/>
  <c r="C12"/>
  <c r="D12"/>
  <c r="E12"/>
  <c r="B12"/>
  <c r="O10" i="186"/>
  <c r="F15"/>
  <c r="J7"/>
  <c r="G15"/>
  <c r="G13"/>
  <c r="J9"/>
  <c r="I9"/>
  <c r="H9"/>
  <c r="O9" s="1"/>
  <c r="G9"/>
  <c r="F9"/>
  <c r="N9" s="1"/>
  <c r="J8"/>
  <c r="I8"/>
  <c r="H8"/>
  <c r="O8" s="1"/>
  <c r="P8" s="1"/>
  <c r="G8"/>
  <c r="F8"/>
  <c r="N8" s="1"/>
  <c r="I7"/>
  <c r="H7"/>
  <c r="O7" s="1"/>
  <c r="P7" s="1"/>
  <c r="G7"/>
  <c r="F7"/>
  <c r="N7" s="1"/>
  <c r="O5" i="80"/>
  <c r="O6"/>
  <c r="O7"/>
  <c r="O4"/>
  <c r="H8"/>
  <c r="R4" s="1"/>
  <c r="C6"/>
  <c r="B6"/>
  <c r="D5"/>
  <c r="D4"/>
  <c r="H6" i="52"/>
  <c r="H5"/>
  <c r="F8" i="183"/>
  <c r="F9" s="1"/>
  <c r="E8"/>
  <c r="E9" s="1"/>
  <c r="F7"/>
  <c r="F6"/>
  <c r="E7"/>
  <c r="E6"/>
  <c r="B11" i="179"/>
  <c r="G11" s="1"/>
  <c r="F11"/>
  <c r="I10"/>
  <c r="B5"/>
  <c r="G5" s="1"/>
  <c r="I11"/>
  <c r="F10"/>
  <c r="B10"/>
  <c r="G10" s="1"/>
  <c r="I9"/>
  <c r="F9"/>
  <c r="B9"/>
  <c r="G9" s="1"/>
  <c r="I8"/>
  <c r="F8"/>
  <c r="B8"/>
  <c r="G8" s="1"/>
  <c r="I7"/>
  <c r="F7"/>
  <c r="B7"/>
  <c r="G7" s="1"/>
  <c r="I6"/>
  <c r="F6"/>
  <c r="B6"/>
  <c r="G6" s="1"/>
  <c r="I5"/>
  <c r="F5"/>
  <c r="I4"/>
  <c r="F4"/>
  <c r="B4"/>
  <c r="E16" i="156"/>
  <c r="E13"/>
  <c r="E12"/>
  <c r="E10"/>
  <c r="E9"/>
  <c r="E5"/>
  <c r="E6"/>
  <c r="E14"/>
  <c r="E7"/>
  <c r="E15"/>
  <c r="E8"/>
  <c r="E11"/>
  <c r="G16"/>
  <c r="F16"/>
  <c r="G15"/>
  <c r="F15"/>
  <c r="G14"/>
  <c r="F14"/>
  <c r="G13"/>
  <c r="F13"/>
  <c r="G12"/>
  <c r="F12"/>
  <c r="G11"/>
  <c r="F11"/>
  <c r="G10"/>
  <c r="F10"/>
  <c r="G9"/>
  <c r="F9"/>
  <c r="G8"/>
  <c r="F8"/>
  <c r="G7"/>
  <c r="F7"/>
  <c r="G6"/>
  <c r="F6"/>
  <c r="G5"/>
  <c r="F5"/>
  <c r="V20" i="109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O18" i="99"/>
  <c r="F4" i="108"/>
  <c r="F3"/>
  <c r="N7" i="107"/>
  <c r="N8"/>
  <c r="N9"/>
  <c r="N10"/>
  <c r="N11"/>
  <c r="N12"/>
  <c r="N13"/>
  <c r="N14"/>
  <c r="N15"/>
  <c r="N16"/>
  <c r="N6"/>
  <c r="J26"/>
  <c r="J27" s="1"/>
  <c r="J28" s="1"/>
  <c r="J29" s="1"/>
  <c r="J30" s="1"/>
  <c r="J31" s="1"/>
  <c r="J32" s="1"/>
  <c r="J33" s="1"/>
  <c r="J34" s="1"/>
  <c r="J35" s="1"/>
  <c r="J36" s="1"/>
  <c r="G16"/>
  <c r="F14"/>
  <c r="F10"/>
  <c r="F16" s="1"/>
  <c r="R8"/>
  <c r="R7"/>
  <c r="R6"/>
  <c r="H13" i="101" a="1"/>
  <c r="K13" s="1"/>
  <c r="J6" a="1"/>
  <c r="J6" s="1"/>
  <c r="G4" i="179" l="1"/>
  <c r="K9" s="1" a="1"/>
  <c r="K9" s="1"/>
  <c r="K4" s="1" a="1"/>
  <c r="X18" a="1"/>
  <c r="B13" i="188"/>
  <c r="H5" s="1"/>
  <c r="V306" i="282"/>
  <c r="T308"/>
  <c r="T302"/>
  <c r="T306"/>
  <c r="V308"/>
  <c r="W299"/>
  <c r="C315" s="1"/>
  <c r="V305"/>
  <c r="V309"/>
  <c r="V302"/>
  <c r="F15" i="107"/>
  <c r="F14" i="194"/>
  <c r="I5" s="1"/>
  <c r="I6" s="1"/>
  <c r="I9" s="1"/>
  <c r="I11" s="1"/>
  <c r="V304" i="282"/>
  <c r="F15" i="195"/>
  <c r="F16" s="1"/>
  <c r="D22" s="1"/>
  <c r="I22" s="1"/>
  <c r="P9" i="186"/>
  <c r="P10" s="1"/>
  <c r="E10" i="183"/>
  <c r="E12" s="1"/>
  <c r="E14" s="1"/>
  <c r="F14" i="186"/>
  <c r="F13" s="1"/>
  <c r="H13" s="1"/>
  <c r="R95" i="198"/>
  <c r="U309" i="282"/>
  <c r="U305"/>
  <c r="W297"/>
  <c r="F313" s="1"/>
  <c r="E13" i="183"/>
  <c r="G14" i="186"/>
  <c r="K13" s="1"/>
  <c r="C13" i="188"/>
  <c r="I9" s="1"/>
  <c r="F7" i="108"/>
  <c r="E13" i="188"/>
  <c r="K4" s="1"/>
  <c r="R10" i="107"/>
  <c r="H11" i="156"/>
  <c r="H15"/>
  <c r="H7" i="52"/>
  <c r="D13" i="188"/>
  <c r="J5" s="1"/>
  <c r="R8" i="187"/>
  <c r="R10" s="1"/>
  <c r="S95" i="198"/>
  <c r="P103"/>
  <c r="S103" s="1"/>
  <c r="S99"/>
  <c r="P107"/>
  <c r="S107" s="1"/>
  <c r="W296" i="282"/>
  <c r="C312" s="1"/>
  <c r="S308"/>
  <c r="S304"/>
  <c r="S302"/>
  <c r="N59" i="102"/>
  <c r="P59" s="1"/>
  <c r="P58"/>
  <c r="S306" i="282"/>
  <c r="W300"/>
  <c r="C316" s="1"/>
  <c r="F6" i="108"/>
  <c r="P10" i="187"/>
  <c r="F314" i="282"/>
  <c r="D314"/>
  <c r="C314"/>
  <c r="U306"/>
  <c r="W301"/>
  <c r="U302"/>
  <c r="G10" i="80"/>
  <c r="K4" s="1"/>
  <c r="N4" s="1"/>
  <c r="F10"/>
  <c r="J5" s="1"/>
  <c r="S32" i="198"/>
  <c r="R32"/>
  <c r="S74"/>
  <c r="R74"/>
  <c r="S53"/>
  <c r="R53"/>
  <c r="P78"/>
  <c r="P57"/>
  <c r="P15"/>
  <c r="P36"/>
  <c r="L15"/>
  <c r="S11"/>
  <c r="I16"/>
  <c r="R11"/>
  <c r="P26" i="197"/>
  <c r="S26" s="1"/>
  <c r="P14"/>
  <c r="L14"/>
  <c r="S11"/>
  <c r="I15"/>
  <c r="R11"/>
  <c r="F32" i="194"/>
  <c r="F33" s="1"/>
  <c r="I21" s="1"/>
  <c r="F31"/>
  <c r="I22" s="1"/>
  <c r="P17" i="189"/>
  <c r="P19" s="1"/>
  <c r="O10"/>
  <c r="P10" s="1"/>
  <c r="R15"/>
  <c r="R18"/>
  <c r="R16"/>
  <c r="N7" i="188"/>
  <c r="H15" i="186"/>
  <c r="D6" i="80"/>
  <c r="H16" i="156"/>
  <c r="H5"/>
  <c r="H10"/>
  <c r="H12"/>
  <c r="H7"/>
  <c r="H9"/>
  <c r="H6"/>
  <c r="H8"/>
  <c r="H13"/>
  <c r="H14"/>
  <c r="J17" i="101"/>
  <c r="J16"/>
  <c r="J15"/>
  <c r="J14"/>
  <c r="J13"/>
  <c r="I17"/>
  <c r="I16"/>
  <c r="I15"/>
  <c r="I14"/>
  <c r="I13"/>
  <c r="H17"/>
  <c r="H16"/>
  <c r="H15"/>
  <c r="H14"/>
  <c r="H13"/>
  <c r="K17"/>
  <c r="K16"/>
  <c r="K15"/>
  <c r="K14"/>
  <c r="J8"/>
  <c r="J7"/>
  <c r="I14" i="99"/>
  <c r="F14"/>
  <c r="G14"/>
  <c r="I13"/>
  <c r="G13"/>
  <c r="F13"/>
  <c r="I12"/>
  <c r="G12"/>
  <c r="F12"/>
  <c r="I11"/>
  <c r="G11"/>
  <c r="F11"/>
  <c r="I10"/>
  <c r="G10"/>
  <c r="F10"/>
  <c r="I9"/>
  <c r="G9"/>
  <c r="F9"/>
  <c r="I8"/>
  <c r="G8"/>
  <c r="F8"/>
  <c r="I7"/>
  <c r="G7"/>
  <c r="F7"/>
  <c r="I6"/>
  <c r="G6"/>
  <c r="F6"/>
  <c r="I5"/>
  <c r="G5"/>
  <c r="F5"/>
  <c r="I4"/>
  <c r="G4"/>
  <c r="F4"/>
  <c r="B17" i="98"/>
  <c r="H7" i="188" l="1"/>
  <c r="X18" i="179"/>
  <c r="Z22"/>
  <c r="Y22"/>
  <c r="X22"/>
  <c r="Y20"/>
  <c r="X20"/>
  <c r="Z19"/>
  <c r="Y19"/>
  <c r="X19"/>
  <c r="Z18"/>
  <c r="Y18"/>
  <c r="Z21"/>
  <c r="Y21"/>
  <c r="X21"/>
  <c r="Z20"/>
  <c r="H10" i="188"/>
  <c r="H11"/>
  <c r="H6"/>
  <c r="H8"/>
  <c r="H4"/>
  <c r="H9"/>
  <c r="F13"/>
  <c r="K5"/>
  <c r="W308" i="282"/>
  <c r="J8" i="188"/>
  <c r="I4"/>
  <c r="F11" i="108"/>
  <c r="B24" i="195"/>
  <c r="G24" s="1"/>
  <c r="D25"/>
  <c r="I25" s="1"/>
  <c r="D27"/>
  <c r="I27" s="1"/>
  <c r="E315" i="282"/>
  <c r="E321" s="1"/>
  <c r="M314" s="1"/>
  <c r="F315"/>
  <c r="F321" s="1"/>
  <c r="N314" s="1"/>
  <c r="K10" i="179"/>
  <c r="B28" i="195"/>
  <c r="G28" s="1"/>
  <c r="D21"/>
  <c r="I21" s="1"/>
  <c r="E22"/>
  <c r="J22" s="1"/>
  <c r="N99" i="198"/>
  <c r="N103" s="1"/>
  <c r="E28" i="195"/>
  <c r="J28" s="1"/>
  <c r="C25"/>
  <c r="H25" s="1"/>
  <c r="D315" i="282"/>
  <c r="D321" s="1"/>
  <c r="L315" s="1"/>
  <c r="W305"/>
  <c r="M10" i="179"/>
  <c r="L11"/>
  <c r="E27" i="195"/>
  <c r="J27" s="1"/>
  <c r="E25"/>
  <c r="J25" s="1"/>
  <c r="C22"/>
  <c r="H22" s="1"/>
  <c r="D26"/>
  <c r="I26" s="1"/>
  <c r="C28"/>
  <c r="H28" s="1"/>
  <c r="C23"/>
  <c r="H23" s="1"/>
  <c r="B27"/>
  <c r="G27" s="1"/>
  <c r="B23"/>
  <c r="G23" s="1"/>
  <c r="E26"/>
  <c r="J26" s="1"/>
  <c r="L9" i="179"/>
  <c r="M9"/>
  <c r="L10"/>
  <c r="E23" i="195"/>
  <c r="J23" s="1"/>
  <c r="C24"/>
  <c r="H24" s="1"/>
  <c r="D24"/>
  <c r="I24" s="1"/>
  <c r="C27"/>
  <c r="H27" s="1"/>
  <c r="B22"/>
  <c r="G22" s="1"/>
  <c r="B26"/>
  <c r="G26" s="1"/>
  <c r="B21"/>
  <c r="G21" s="1"/>
  <c r="K11" i="179"/>
  <c r="M11"/>
  <c r="E24" i="195"/>
  <c r="J24" s="1"/>
  <c r="D28"/>
  <c r="I28" s="1"/>
  <c r="E21"/>
  <c r="J21" s="1"/>
  <c r="D23"/>
  <c r="I23" s="1"/>
  <c r="C26"/>
  <c r="H26" s="1"/>
  <c r="C21"/>
  <c r="H21" s="1"/>
  <c r="B25"/>
  <c r="G25" s="1"/>
  <c r="W309" i="282"/>
  <c r="I7" i="188"/>
  <c r="J10"/>
  <c r="W304" i="282"/>
  <c r="E313"/>
  <c r="J9" i="188"/>
  <c r="J4"/>
  <c r="I8"/>
  <c r="I5"/>
  <c r="C313" i="282"/>
  <c r="C320" s="1"/>
  <c r="D313"/>
  <c r="J7" i="188"/>
  <c r="J6"/>
  <c r="I11"/>
  <c r="I6"/>
  <c r="E17" i="99" a="1"/>
  <c r="G18" s="1"/>
  <c r="K9" i="188"/>
  <c r="J11"/>
  <c r="I10"/>
  <c r="K7"/>
  <c r="K11"/>
  <c r="K8"/>
  <c r="H14" i="186"/>
  <c r="I13" s="1"/>
  <c r="J13" s="1"/>
  <c r="K6" i="188"/>
  <c r="K10"/>
  <c r="D317" i="282"/>
  <c r="C317"/>
  <c r="C322" s="1"/>
  <c r="K316" s="1"/>
  <c r="F317"/>
  <c r="W302"/>
  <c r="E317"/>
  <c r="E316"/>
  <c r="D316"/>
  <c r="F316"/>
  <c r="D312"/>
  <c r="E312"/>
  <c r="F312"/>
  <c r="T10" i="187"/>
  <c r="K4" i="179"/>
  <c r="K6"/>
  <c r="S26" i="99"/>
  <c r="S27"/>
  <c r="S25"/>
  <c r="T25" s="1"/>
  <c r="K6" i="80"/>
  <c r="N6" s="1"/>
  <c r="N14" i="197"/>
  <c r="O14" s="1"/>
  <c r="K5" i="179"/>
  <c r="G314" i="282"/>
  <c r="C321"/>
  <c r="W306"/>
  <c r="C324"/>
  <c r="K7" i="80"/>
  <c r="N7" s="1"/>
  <c r="J4"/>
  <c r="L4" s="1"/>
  <c r="K5"/>
  <c r="N5" s="1"/>
  <c r="J7"/>
  <c r="M5"/>
  <c r="J6"/>
  <c r="M6" s="1"/>
  <c r="N36" i="198"/>
  <c r="N40" s="1"/>
  <c r="N78"/>
  <c r="P65"/>
  <c r="S65" s="1"/>
  <c r="S57"/>
  <c r="P61"/>
  <c r="S61" s="1"/>
  <c r="N15"/>
  <c r="N19" s="1"/>
  <c r="N57"/>
  <c r="S78"/>
  <c r="P82"/>
  <c r="S82" s="1"/>
  <c r="P86"/>
  <c r="S86" s="1"/>
  <c r="P19"/>
  <c r="S19" s="1"/>
  <c r="S15"/>
  <c r="P23"/>
  <c r="S23" s="1"/>
  <c r="P40"/>
  <c r="S40" s="1"/>
  <c r="S36"/>
  <c r="P44"/>
  <c r="S44" s="1"/>
  <c r="J15"/>
  <c r="K15" s="1"/>
  <c r="N26" i="197"/>
  <c r="J14"/>
  <c r="K14" s="1"/>
  <c r="I23" i="194"/>
  <c r="I26" s="1"/>
  <c r="I28" s="1"/>
  <c r="R17" i="189"/>
  <c r="R19" s="1"/>
  <c r="T19" s="1"/>
  <c r="Q7"/>
  <c r="Q6"/>
  <c r="Q8"/>
  <c r="Q9"/>
  <c r="B15" i="98"/>
  <c r="A15"/>
  <c r="C15"/>
  <c r="H12" i="188" l="1"/>
  <c r="Q14" i="197"/>
  <c r="R14" s="1"/>
  <c r="N107" i="198"/>
  <c r="U107" s="1"/>
  <c r="T99"/>
  <c r="G315" i="282"/>
  <c r="F325"/>
  <c r="M315"/>
  <c r="M321" s="1"/>
  <c r="G312"/>
  <c r="U78" i="198"/>
  <c r="F19" i="99"/>
  <c r="U99" i="198"/>
  <c r="O99"/>
  <c r="O107" s="1"/>
  <c r="Q107" s="1"/>
  <c r="R107" s="1"/>
  <c r="U19"/>
  <c r="J12" i="188"/>
  <c r="C318" i="282"/>
  <c r="C325"/>
  <c r="N315"/>
  <c r="N321" s="1"/>
  <c r="E325"/>
  <c r="I12" i="188"/>
  <c r="G313" i="282"/>
  <c r="N8" i="80"/>
  <c r="G17" i="99"/>
  <c r="D325" i="282"/>
  <c r="E322"/>
  <c r="M316" s="1"/>
  <c r="E19" i="99"/>
  <c r="E17"/>
  <c r="F17"/>
  <c r="G19"/>
  <c r="E18"/>
  <c r="F18"/>
  <c r="N3" i="188"/>
  <c r="T57" i="198"/>
  <c r="T40"/>
  <c r="F322" i="282"/>
  <c r="N316" s="1"/>
  <c r="G317"/>
  <c r="K317"/>
  <c r="E318"/>
  <c r="E324"/>
  <c r="E320"/>
  <c r="K314"/>
  <c r="G321"/>
  <c r="K315"/>
  <c r="T30" i="99"/>
  <c r="T31"/>
  <c r="T32"/>
  <c r="T33"/>
  <c r="T34"/>
  <c r="T35"/>
  <c r="T36"/>
  <c r="T37"/>
  <c r="T38"/>
  <c r="T39"/>
  <c r="T40"/>
  <c r="D324" i="282"/>
  <c r="D320"/>
  <c r="L313" s="1"/>
  <c r="D318"/>
  <c r="G316"/>
  <c r="M4" i="80"/>
  <c r="O26" i="197"/>
  <c r="T26"/>
  <c r="U26"/>
  <c r="U57" i="198"/>
  <c r="T19"/>
  <c r="L7" i="80"/>
  <c r="K312" i="282"/>
  <c r="L314"/>
  <c r="K313"/>
  <c r="U31" i="99"/>
  <c r="U33"/>
  <c r="U35"/>
  <c r="U37"/>
  <c r="U39"/>
  <c r="U32"/>
  <c r="U40"/>
  <c r="U30"/>
  <c r="U34"/>
  <c r="U38"/>
  <c r="U36"/>
  <c r="F320" i="282"/>
  <c r="N313" s="1"/>
  <c r="F324"/>
  <c r="F318"/>
  <c r="D322"/>
  <c r="L316" s="1"/>
  <c r="U103" i="198"/>
  <c r="T103"/>
  <c r="L5" i="80"/>
  <c r="L6"/>
  <c r="M7"/>
  <c r="U40" i="198"/>
  <c r="T36"/>
  <c r="U36"/>
  <c r="T78"/>
  <c r="T15"/>
  <c r="O36"/>
  <c r="N44"/>
  <c r="O15"/>
  <c r="U15"/>
  <c r="N23"/>
  <c r="O57"/>
  <c r="N65"/>
  <c r="N61"/>
  <c r="N82"/>
  <c r="O78"/>
  <c r="N86"/>
  <c r="Q10" i="189"/>
  <c r="K12" i="188"/>
  <c r="G6" i="98" a="1"/>
  <c r="H6" s="1"/>
  <c r="H12" s="1"/>
  <c r="G16" s="1"/>
  <c r="T11" i="91"/>
  <c r="T12"/>
  <c r="T9"/>
  <c r="T8"/>
  <c r="T6"/>
  <c r="T5"/>
  <c r="P15" i="89" a="1"/>
  <c r="P15" s="1"/>
  <c r="P5" a="1"/>
  <c r="Q6" s="1"/>
  <c r="H23"/>
  <c r="H22"/>
  <c r="D7"/>
  <c r="D8"/>
  <c r="D9"/>
  <c r="D10"/>
  <c r="D11"/>
  <c r="D12"/>
  <c r="D13"/>
  <c r="D14"/>
  <c r="D15"/>
  <c r="D16"/>
  <c r="D6"/>
  <c r="E7"/>
  <c r="E8"/>
  <c r="E9"/>
  <c r="E10"/>
  <c r="E11"/>
  <c r="E12"/>
  <c r="E13"/>
  <c r="E14"/>
  <c r="E15"/>
  <c r="E16"/>
  <c r="E6"/>
  <c r="M11" i="88"/>
  <c r="J11"/>
  <c r="E10"/>
  <c r="E7"/>
  <c r="E5"/>
  <c r="E6" s="1"/>
  <c r="O4" i="86"/>
  <c r="O7"/>
  <c r="N7"/>
  <c r="O6"/>
  <c r="N6"/>
  <c r="O5"/>
  <c r="N5"/>
  <c r="N4"/>
  <c r="J6" i="84"/>
  <c r="J5"/>
  <c r="J3"/>
  <c r="E3"/>
  <c r="E11" s="1"/>
  <c r="E14" s="1"/>
  <c r="J4"/>
  <c r="E5"/>
  <c r="K22" i="83"/>
  <c r="AN5" a="1"/>
  <c r="AN5" s="1"/>
  <c r="E6" i="84"/>
  <c r="E4"/>
  <c r="AK5" i="83"/>
  <c r="K21"/>
  <c r="U22"/>
  <c r="W9" s="1"/>
  <c r="U21"/>
  <c r="AC4" s="1"/>
  <c r="AC6" s="1"/>
  <c r="V19"/>
  <c r="V18"/>
  <c r="Y18" s="1"/>
  <c r="V17"/>
  <c r="Y17" s="1"/>
  <c r="V16"/>
  <c r="V15"/>
  <c r="V14"/>
  <c r="V13"/>
  <c r="Y13" s="1"/>
  <c r="V12"/>
  <c r="V11"/>
  <c r="V10"/>
  <c r="Y10" s="1"/>
  <c r="V9"/>
  <c r="Y9" s="1"/>
  <c r="V8"/>
  <c r="V7"/>
  <c r="V6"/>
  <c r="V5"/>
  <c r="E7"/>
  <c r="E4"/>
  <c r="E3"/>
  <c r="F7" s="1"/>
  <c r="F9" s="1"/>
  <c r="E13" s="1"/>
  <c r="Q4"/>
  <c r="Q6" s="1"/>
  <c r="P4"/>
  <c r="L5"/>
  <c r="L7"/>
  <c r="L8"/>
  <c r="L9"/>
  <c r="L10"/>
  <c r="L11"/>
  <c r="L12"/>
  <c r="L13"/>
  <c r="L14"/>
  <c r="L15"/>
  <c r="L16"/>
  <c r="L17"/>
  <c r="L18"/>
  <c r="L19"/>
  <c r="L6"/>
  <c r="I21" i="81"/>
  <c r="J21"/>
  <c r="I22"/>
  <c r="J22"/>
  <c r="O12"/>
  <c r="O19" a="1"/>
  <c r="O19" s="1"/>
  <c r="O13"/>
  <c r="O14"/>
  <c r="E2"/>
  <c r="E3"/>
  <c r="S4" i="79"/>
  <c r="T4"/>
  <c r="U4"/>
  <c r="V4"/>
  <c r="W4"/>
  <c r="X4"/>
  <c r="Y4"/>
  <c r="Z4"/>
  <c r="AA4"/>
  <c r="AB4"/>
  <c r="R4"/>
  <c r="B47"/>
  <c r="B46"/>
  <c r="C11"/>
  <c r="C12" s="1"/>
  <c r="C13" s="1"/>
  <c r="C14" s="1"/>
  <c r="C15" s="1"/>
  <c r="C16" s="1"/>
  <c r="C17" s="1"/>
  <c r="C18" s="1"/>
  <c r="C19" s="1"/>
  <c r="C20" s="1"/>
  <c r="D7"/>
  <c r="D6"/>
  <c r="D5"/>
  <c r="E5" s="1"/>
  <c r="C32"/>
  <c r="C33" s="1"/>
  <c r="C34" s="1"/>
  <c r="C35" s="1"/>
  <c r="C36" s="1"/>
  <c r="C37" s="1"/>
  <c r="C38" s="1"/>
  <c r="C39" s="1"/>
  <c r="C40" s="1"/>
  <c r="C41" s="1"/>
  <c r="A25"/>
  <c r="A26"/>
  <c r="A27"/>
  <c r="A28"/>
  <c r="A29"/>
  <c r="A30"/>
  <c r="A31"/>
  <c r="A32"/>
  <c r="A33"/>
  <c r="A34"/>
  <c r="A24"/>
  <c r="G68" i="64"/>
  <c r="H64"/>
  <c r="H63"/>
  <c r="H62"/>
  <c r="I62" s="1"/>
  <c r="I67" s="1"/>
  <c r="G44"/>
  <c r="H40"/>
  <c r="H39"/>
  <c r="H38"/>
  <c r="I38" s="1"/>
  <c r="I43" s="1"/>
  <c r="B13" i="78"/>
  <c r="B12"/>
  <c r="B11"/>
  <c r="B10"/>
  <c r="B9"/>
  <c r="B8"/>
  <c r="B7"/>
  <c r="B6"/>
  <c r="L5"/>
  <c r="L6" s="1"/>
  <c r="L7" s="1"/>
  <c r="L8" s="1"/>
  <c r="L9" s="1"/>
  <c r="L10" s="1"/>
  <c r="B5"/>
  <c r="A5"/>
  <c r="D4"/>
  <c r="B4"/>
  <c r="F4" l="1"/>
  <c r="A6"/>
  <c r="D6" s="1"/>
  <c r="D5"/>
  <c r="F5" s="1"/>
  <c r="E4"/>
  <c r="M8"/>
  <c r="F13"/>
  <c r="E13"/>
  <c r="M5"/>
  <c r="M9"/>
  <c r="M6"/>
  <c r="M10"/>
  <c r="M7"/>
  <c r="J12" i="88"/>
  <c r="T107" i="198"/>
  <c r="O23"/>
  <c r="Q23" s="1"/>
  <c r="Q15"/>
  <c r="R15" s="1"/>
  <c r="Q26" i="197"/>
  <c r="R26" s="1"/>
  <c r="T13" i="91"/>
  <c r="O103" i="198"/>
  <c r="Q103" s="1"/>
  <c r="R103" s="1"/>
  <c r="Q99"/>
  <c r="R99" s="1"/>
  <c r="J73" i="64"/>
  <c r="N317" i="282"/>
  <c r="N322" s="1"/>
  <c r="G325"/>
  <c r="G322"/>
  <c r="J81" i="64"/>
  <c r="K4" i="99" a="1"/>
  <c r="K6" s="1"/>
  <c r="F21" i="107" s="1"/>
  <c r="I68" i="64"/>
  <c r="R4" i="83"/>
  <c r="X8"/>
  <c r="X12"/>
  <c r="X16"/>
  <c r="M317" i="282"/>
  <c r="M322" s="1"/>
  <c r="G324"/>
  <c r="Q4" i="99" a="1"/>
  <c r="W13" s="1"/>
  <c r="J75" i="64"/>
  <c r="G318" i="282"/>
  <c r="J69" i="64"/>
  <c r="J7" i="84"/>
  <c r="J8" s="1"/>
  <c r="M8" i="80"/>
  <c r="L317" i="282"/>
  <c r="L322" s="1"/>
  <c r="L312"/>
  <c r="L320" s="1"/>
  <c r="J67" i="64"/>
  <c r="J79"/>
  <c r="J71"/>
  <c r="E8" i="84"/>
  <c r="E9" s="1"/>
  <c r="L21" i="83"/>
  <c r="J77" i="64"/>
  <c r="T9" i="86"/>
  <c r="T10" s="1"/>
  <c r="T11" s="1"/>
  <c r="K23" i="89"/>
  <c r="G69" i="64"/>
  <c r="N8" i="86"/>
  <c r="N12"/>
  <c r="N15" s="1"/>
  <c r="L321" i="282"/>
  <c r="K321"/>
  <c r="O314"/>
  <c r="M312"/>
  <c r="M313"/>
  <c r="O313" s="1"/>
  <c r="J43" i="64"/>
  <c r="J80"/>
  <c r="J78"/>
  <c r="J76"/>
  <c r="J74"/>
  <c r="J72"/>
  <c r="J70"/>
  <c r="J68"/>
  <c r="AF6" i="83"/>
  <c r="AK6"/>
  <c r="E7" i="84"/>
  <c r="L22" i="83"/>
  <c r="I44" i="64"/>
  <c r="X6" i="83"/>
  <c r="X14"/>
  <c r="W19"/>
  <c r="AK7"/>
  <c r="K318" i="282"/>
  <c r="K320"/>
  <c r="K324"/>
  <c r="S312" s="1"/>
  <c r="O316"/>
  <c r="X11" i="83"/>
  <c r="X15"/>
  <c r="X19"/>
  <c r="W16"/>
  <c r="E12" i="88"/>
  <c r="M12"/>
  <c r="N312" i="282"/>
  <c r="K325"/>
  <c r="O315"/>
  <c r="G320"/>
  <c r="K322"/>
  <c r="L8" i="80"/>
  <c r="U82" i="198"/>
  <c r="T82"/>
  <c r="T23"/>
  <c r="U23"/>
  <c r="T61"/>
  <c r="U61"/>
  <c r="U86"/>
  <c r="T86"/>
  <c r="U65"/>
  <c r="T65"/>
  <c r="U44"/>
  <c r="T44"/>
  <c r="O40"/>
  <c r="Q40" s="1"/>
  <c r="R40" s="1"/>
  <c r="O44"/>
  <c r="Q44" s="1"/>
  <c r="R44" s="1"/>
  <c r="Q36"/>
  <c r="R36" s="1"/>
  <c r="O19"/>
  <c r="O86"/>
  <c r="Q86" s="1"/>
  <c r="R86" s="1"/>
  <c r="Q78"/>
  <c r="R78" s="1"/>
  <c r="O82"/>
  <c r="Q82" s="1"/>
  <c r="R82" s="1"/>
  <c r="O61"/>
  <c r="Q61" s="1"/>
  <c r="R61" s="1"/>
  <c r="O65"/>
  <c r="Q65" s="1"/>
  <c r="R65" s="1"/>
  <c r="Q57"/>
  <c r="R57" s="1"/>
  <c r="H8" i="98"/>
  <c r="H7"/>
  <c r="H13" s="1"/>
  <c r="G17" s="1"/>
  <c r="I7"/>
  <c r="I13" s="1"/>
  <c r="I17" s="1"/>
  <c r="G8"/>
  <c r="I8"/>
  <c r="G6"/>
  <c r="G12" s="1"/>
  <c r="F16" s="1"/>
  <c r="G7"/>
  <c r="G13" s="1"/>
  <c r="F17" s="1"/>
  <c r="I6"/>
  <c r="I12" s="1"/>
  <c r="I16" s="1"/>
  <c r="P16" i="89"/>
  <c r="P8"/>
  <c r="P6"/>
  <c r="Q9"/>
  <c r="Q7"/>
  <c r="Q5"/>
  <c r="P9"/>
  <c r="P7"/>
  <c r="P5"/>
  <c r="Q8"/>
  <c r="B19"/>
  <c r="E13" i="88"/>
  <c r="J13"/>
  <c r="O8" i="86"/>
  <c r="T12"/>
  <c r="T15" s="1"/>
  <c r="J9" i="84"/>
  <c r="J12" s="1"/>
  <c r="AN8" i="83"/>
  <c r="AN6"/>
  <c r="AO8"/>
  <c r="AO6"/>
  <c r="AO9"/>
  <c r="AO7"/>
  <c r="AO5"/>
  <c r="AN9"/>
  <c r="AN7"/>
  <c r="E4" i="81"/>
  <c r="E5" s="1"/>
  <c r="O5" s="1"/>
  <c r="W11" i="83"/>
  <c r="W5"/>
  <c r="W8"/>
  <c r="W12"/>
  <c r="E8"/>
  <c r="G8" s="1"/>
  <c r="W15"/>
  <c r="W7"/>
  <c r="Y16"/>
  <c r="W18"/>
  <c r="W14"/>
  <c r="W10"/>
  <c r="W6"/>
  <c r="X10"/>
  <c r="Y14"/>
  <c r="X18"/>
  <c r="Y6"/>
  <c r="W17"/>
  <c r="W13"/>
  <c r="Y12"/>
  <c r="X17"/>
  <c r="X13"/>
  <c r="X9"/>
  <c r="Y5"/>
  <c r="Y8"/>
  <c r="P5"/>
  <c r="R5" s="1"/>
  <c r="X5"/>
  <c r="Y19"/>
  <c r="Y15"/>
  <c r="Y11"/>
  <c r="Y7"/>
  <c r="X7"/>
  <c r="G7"/>
  <c r="O21" i="81"/>
  <c r="O20"/>
  <c r="C46" i="79"/>
  <c r="C47"/>
  <c r="D26"/>
  <c r="E26" s="1"/>
  <c r="E34" s="1"/>
  <c r="F10"/>
  <c r="E11"/>
  <c r="E13"/>
  <c r="E15"/>
  <c r="E17"/>
  <c r="E19"/>
  <c r="E12"/>
  <c r="E14"/>
  <c r="E16"/>
  <c r="E18"/>
  <c r="E20"/>
  <c r="E10"/>
  <c r="F17"/>
  <c r="F15"/>
  <c r="F13"/>
  <c r="F11"/>
  <c r="D27"/>
  <c r="D28"/>
  <c r="F20"/>
  <c r="F18"/>
  <c r="F16"/>
  <c r="F14"/>
  <c r="F12"/>
  <c r="F19"/>
  <c r="J44" i="64"/>
  <c r="J57"/>
  <c r="J55"/>
  <c r="J53"/>
  <c r="J51"/>
  <c r="J49"/>
  <c r="J47"/>
  <c r="J45"/>
  <c r="G45"/>
  <c r="J56"/>
  <c r="J54"/>
  <c r="J52"/>
  <c r="J50"/>
  <c r="J48"/>
  <c r="J46"/>
  <c r="B14" i="78"/>
  <c r="M4"/>
  <c r="M11"/>
  <c r="A7"/>
  <c r="F6" l="1"/>
  <c r="E6"/>
  <c r="E5"/>
  <c r="D7"/>
  <c r="T16" i="86"/>
  <c r="Q19" i="198"/>
  <c r="R19" s="1"/>
  <c r="N325" i="282"/>
  <c r="V317" s="1"/>
  <c r="K5" i="99"/>
  <c r="F20" i="107" s="1"/>
  <c r="O321" i="282"/>
  <c r="R3" i="80"/>
  <c r="R5" s="1"/>
  <c r="R6" s="1"/>
  <c r="L325" i="282"/>
  <c r="T315" s="1"/>
  <c r="S11" i="99"/>
  <c r="R12"/>
  <c r="W4"/>
  <c r="R14"/>
  <c r="S12"/>
  <c r="R5"/>
  <c r="Z6"/>
  <c r="X7"/>
  <c r="W8"/>
  <c r="U9"/>
  <c r="AA9"/>
  <c r="X11"/>
  <c r="W12"/>
  <c r="U13"/>
  <c r="T14"/>
  <c r="AA4"/>
  <c r="Z7"/>
  <c r="W6"/>
  <c r="U8"/>
  <c r="R10"/>
  <c r="Z13"/>
  <c r="V4"/>
  <c r="Q12"/>
  <c r="AA12"/>
  <c r="Y13"/>
  <c r="U4"/>
  <c r="T5"/>
  <c r="R6"/>
  <c r="X6"/>
  <c r="X14"/>
  <c r="U10"/>
  <c r="T6"/>
  <c r="S9"/>
  <c r="T8"/>
  <c r="T9"/>
  <c r="X10"/>
  <c r="Y14"/>
  <c r="S6"/>
  <c r="R7"/>
  <c r="AA7"/>
  <c r="V8"/>
  <c r="S10"/>
  <c r="R11"/>
  <c r="AA11"/>
  <c r="V12"/>
  <c r="J17" i="84"/>
  <c r="Y10" i="99"/>
  <c r="X13"/>
  <c r="U12"/>
  <c r="T11"/>
  <c r="Q13"/>
  <c r="Q6"/>
  <c r="U7"/>
  <c r="V13"/>
  <c r="U14"/>
  <c r="R4"/>
  <c r="Z5"/>
  <c r="Y6"/>
  <c r="W7"/>
  <c r="R8"/>
  <c r="S13"/>
  <c r="O317" i="282"/>
  <c r="O312"/>
  <c r="K4" i="99"/>
  <c r="F19" i="107" s="1"/>
  <c r="L324" i="282"/>
  <c r="T314" s="1"/>
  <c r="L318"/>
  <c r="N10" i="86"/>
  <c r="N11" s="1"/>
  <c r="V9" i="99"/>
  <c r="Z9"/>
  <c r="W11"/>
  <c r="Y12"/>
  <c r="V14"/>
  <c r="AA5"/>
  <c r="T13"/>
  <c r="V5"/>
  <c r="U6"/>
  <c r="S7"/>
  <c r="Y7"/>
  <c r="AA10"/>
  <c r="Z11"/>
  <c r="X12"/>
  <c r="Y4"/>
  <c r="W10"/>
  <c r="X5"/>
  <c r="V11"/>
  <c r="V6"/>
  <c r="T12"/>
  <c r="Q7"/>
  <c r="Z12"/>
  <c r="Y8"/>
  <c r="W14"/>
  <c r="X9"/>
  <c r="X4"/>
  <c r="V10"/>
  <c r="S5"/>
  <c r="Q11"/>
  <c r="AA14"/>
  <c r="Q4"/>
  <c r="O322" i="282"/>
  <c r="K16" i="98" a="1"/>
  <c r="K17" s="1"/>
  <c r="Y11" i="99"/>
  <c r="Y5"/>
  <c r="AA6"/>
  <c r="X8"/>
  <c r="U5"/>
  <c r="V7"/>
  <c r="Z8"/>
  <c r="S14"/>
  <c r="T4"/>
  <c r="Z4"/>
  <c r="Q8"/>
  <c r="AA8"/>
  <c r="Y9"/>
  <c r="T10"/>
  <c r="R9"/>
  <c r="S4"/>
  <c r="Q10"/>
  <c r="Q5"/>
  <c r="Z10"/>
  <c r="W5"/>
  <c r="U11"/>
  <c r="T7"/>
  <c r="R13"/>
  <c r="S8"/>
  <c r="Q14"/>
  <c r="Q9"/>
  <c r="Z14"/>
  <c r="W9"/>
  <c r="AA13"/>
  <c r="E10" i="84"/>
  <c r="E12" s="1"/>
  <c r="E15" s="1"/>
  <c r="E20"/>
  <c r="E19"/>
  <c r="G20" i="98" a="1"/>
  <c r="G20" s="1"/>
  <c r="S317" i="282"/>
  <c r="N320"/>
  <c r="N324"/>
  <c r="N318"/>
  <c r="S316"/>
  <c r="M318"/>
  <c r="M320"/>
  <c r="M324"/>
  <c r="G70" i="64"/>
  <c r="I69"/>
  <c r="M12" i="78"/>
  <c r="S315" i="282"/>
  <c r="M325"/>
  <c r="S313"/>
  <c r="V313"/>
  <c r="S314"/>
  <c r="J10" i="84"/>
  <c r="J13" s="1"/>
  <c r="R23" i="198"/>
  <c r="P22" i="89"/>
  <c r="P21"/>
  <c r="E14" i="88"/>
  <c r="M13"/>
  <c r="M15" s="1"/>
  <c r="T14" i="86"/>
  <c r="J18" i="84"/>
  <c r="O7" i="81"/>
  <c r="K5"/>
  <c r="L5" s="1"/>
  <c r="E9" i="83"/>
  <c r="G9" s="1"/>
  <c r="E11" s="1"/>
  <c r="E14" s="1"/>
  <c r="E15" s="1"/>
  <c r="X20"/>
  <c r="AB5" s="1"/>
  <c r="AD5" s="1"/>
  <c r="W20"/>
  <c r="AB4" s="1"/>
  <c r="Y20"/>
  <c r="AB6" s="1"/>
  <c r="AD6" s="1"/>
  <c r="O6" i="81"/>
  <c r="K17"/>
  <c r="L17" s="1"/>
  <c r="K18"/>
  <c r="L18" s="1"/>
  <c r="K19"/>
  <c r="L19" s="1"/>
  <c r="K6"/>
  <c r="L6" s="1"/>
  <c r="K7"/>
  <c r="L7" s="1"/>
  <c r="K8"/>
  <c r="L8" s="1"/>
  <c r="K9"/>
  <c r="L9" s="1"/>
  <c r="K10"/>
  <c r="L10" s="1"/>
  <c r="K11"/>
  <c r="L11" s="1"/>
  <c r="K12"/>
  <c r="L12" s="1"/>
  <c r="K13"/>
  <c r="L13" s="1"/>
  <c r="K14"/>
  <c r="L14" s="1"/>
  <c r="K15"/>
  <c r="L15" s="1"/>
  <c r="K16"/>
  <c r="L16" s="1"/>
  <c r="E32" i="79"/>
  <c r="E35"/>
  <c r="E31"/>
  <c r="E41"/>
  <c r="E33"/>
  <c r="E40"/>
  <c r="E39"/>
  <c r="E38"/>
  <c r="E36"/>
  <c r="E37"/>
  <c r="F32"/>
  <c r="F34"/>
  <c r="F36"/>
  <c r="F38"/>
  <c r="F40"/>
  <c r="F33"/>
  <c r="F35"/>
  <c r="F37"/>
  <c r="F39"/>
  <c r="F41"/>
  <c r="F31"/>
  <c r="G46" i="64"/>
  <c r="I45"/>
  <c r="A8" i="78"/>
  <c r="D8" s="1"/>
  <c r="F8" l="1"/>
  <c r="E8"/>
  <c r="F7"/>
  <c r="E7"/>
  <c r="N14" i="86"/>
  <c r="N16"/>
  <c r="S324" i="282"/>
  <c r="V315"/>
  <c r="V325" s="1"/>
  <c r="O318"/>
  <c r="T317"/>
  <c r="T321"/>
  <c r="M4" i="99" a="1"/>
  <c r="M5" s="1"/>
  <c r="T313" i="282"/>
  <c r="T316"/>
  <c r="T312"/>
  <c r="O324"/>
  <c r="U312"/>
  <c r="K16" i="98"/>
  <c r="O320" i="282"/>
  <c r="M14" i="88"/>
  <c r="S325" i="282"/>
  <c r="U316"/>
  <c r="U314"/>
  <c r="V312"/>
  <c r="V314"/>
  <c r="V316"/>
  <c r="V322" s="1"/>
  <c r="U315"/>
  <c r="U317"/>
  <c r="F31" i="107"/>
  <c r="F27"/>
  <c r="F33"/>
  <c r="F36"/>
  <c r="F30"/>
  <c r="F32"/>
  <c r="F28"/>
  <c r="F34"/>
  <c r="F29"/>
  <c r="F35"/>
  <c r="F26"/>
  <c r="G21" i="98"/>
  <c r="G19" s="1"/>
  <c r="S318" i="282"/>
  <c r="S321"/>
  <c r="U313"/>
  <c r="S320"/>
  <c r="G71" i="64"/>
  <c r="I70"/>
  <c r="S322" i="282"/>
  <c r="O325"/>
  <c r="J14" i="88"/>
  <c r="J15"/>
  <c r="E15"/>
  <c r="AD4" i="83"/>
  <c r="AF5"/>
  <c r="G47" i="64"/>
  <c r="I46"/>
  <c r="A9" i="78"/>
  <c r="D9" l="1"/>
  <c r="W315" i="282"/>
  <c r="V321"/>
  <c r="T325"/>
  <c r="M6" i="99"/>
  <c r="O6" s="1"/>
  <c r="T324" i="282"/>
  <c r="W317"/>
  <c r="M12" i="99"/>
  <c r="A56" s="1"/>
  <c r="T322" i="282"/>
  <c r="M10" i="99"/>
  <c r="A54" s="1"/>
  <c r="M4"/>
  <c r="O4" s="1"/>
  <c r="T318" i="282"/>
  <c r="M9" i="99"/>
  <c r="A53" s="1"/>
  <c r="M11"/>
  <c r="A55" s="1"/>
  <c r="M14"/>
  <c r="O14" s="1"/>
  <c r="M7"/>
  <c r="A51" s="1"/>
  <c r="M13"/>
  <c r="A57" s="1"/>
  <c r="M8"/>
  <c r="O8" s="1"/>
  <c r="T320" i="282"/>
  <c r="W312"/>
  <c r="W314"/>
  <c r="U320"/>
  <c r="W313"/>
  <c r="U322"/>
  <c r="H59" i="107"/>
  <c r="L59" s="1"/>
  <c r="G27"/>
  <c r="O7"/>
  <c r="U321" i="282"/>
  <c r="A50" i="99"/>
  <c r="G72" i="64"/>
  <c r="I71"/>
  <c r="U318" i="282"/>
  <c r="H66" i="107"/>
  <c r="L66" s="1"/>
  <c r="G34"/>
  <c r="O14"/>
  <c r="H68"/>
  <c r="L68" s="1"/>
  <c r="G36"/>
  <c r="O16"/>
  <c r="H67"/>
  <c r="L67" s="1"/>
  <c r="G35"/>
  <c r="O15"/>
  <c r="H64"/>
  <c r="L64" s="1"/>
  <c r="G32"/>
  <c r="O12"/>
  <c r="H61"/>
  <c r="L61" s="1"/>
  <c r="G29"/>
  <c r="O9"/>
  <c r="G30"/>
  <c r="H62"/>
  <c r="L62" s="1"/>
  <c r="O10"/>
  <c r="H63"/>
  <c r="L63" s="1"/>
  <c r="G31"/>
  <c r="O11"/>
  <c r="W316" i="282"/>
  <c r="U325"/>
  <c r="H58" i="107"/>
  <c r="L58" s="1"/>
  <c r="G26"/>
  <c r="O6"/>
  <c r="H60"/>
  <c r="L60" s="1"/>
  <c r="G28"/>
  <c r="O8"/>
  <c r="H65"/>
  <c r="L65" s="1"/>
  <c r="G33"/>
  <c r="O13"/>
  <c r="V318" i="282"/>
  <c r="V320"/>
  <c r="V324"/>
  <c r="U324"/>
  <c r="A49" i="99"/>
  <c r="O5"/>
  <c r="G48" i="64"/>
  <c r="I47"/>
  <c r="A10" i="78"/>
  <c r="F9" l="1"/>
  <c r="E9"/>
  <c r="D10"/>
  <c r="W325" i="282"/>
  <c r="O10" i="99"/>
  <c r="W321" i="282"/>
  <c r="O11" i="99"/>
  <c r="A48"/>
  <c r="A58"/>
  <c r="W320" i="282"/>
  <c r="A52" i="99"/>
  <c r="O13"/>
  <c r="W322" i="282"/>
  <c r="O9" i="99"/>
  <c r="O12"/>
  <c r="O7"/>
  <c r="G14" i="107"/>
  <c r="W318" i="282"/>
  <c r="W324"/>
  <c r="O17" i="107"/>
  <c r="F5" i="108" s="1"/>
  <c r="F9" s="1"/>
  <c r="F10" s="1"/>
  <c r="F12" s="1"/>
  <c r="G45" i="107"/>
  <c r="J45" s="1"/>
  <c r="H29"/>
  <c r="G73" i="64"/>
  <c r="I72"/>
  <c r="G42" i="107"/>
  <c r="J42" s="1"/>
  <c r="H26"/>
  <c r="G48"/>
  <c r="J48" s="1"/>
  <c r="H32"/>
  <c r="G50"/>
  <c r="J50" s="1"/>
  <c r="H34"/>
  <c r="G49"/>
  <c r="J49" s="1"/>
  <c r="H33"/>
  <c r="G43"/>
  <c r="J43" s="1"/>
  <c r="H27"/>
  <c r="G51"/>
  <c r="J51" s="1"/>
  <c r="H35"/>
  <c r="G44"/>
  <c r="J44" s="1"/>
  <c r="H28"/>
  <c r="G47"/>
  <c r="J47" s="1"/>
  <c r="H31"/>
  <c r="G46"/>
  <c r="J46" s="1"/>
  <c r="H30"/>
  <c r="G52"/>
  <c r="J52" s="1"/>
  <c r="H36"/>
  <c r="G49" i="64"/>
  <c r="I48"/>
  <c r="A11" i="78"/>
  <c r="F10" l="1"/>
  <c r="E10"/>
  <c r="D11"/>
  <c r="G15" i="107"/>
  <c r="H15" s="1"/>
  <c r="G20" s="1"/>
  <c r="F7"/>
  <c r="F6" s="1"/>
  <c r="O17" i="99"/>
  <c r="O19" s="1"/>
  <c r="I17" s="1" a="1"/>
  <c r="I19" s="1"/>
  <c r="H14" i="107"/>
  <c r="G74" i="64"/>
  <c r="I73"/>
  <c r="G50"/>
  <c r="I49"/>
  <c r="A12" i="78"/>
  <c r="D12" s="1"/>
  <c r="F12" l="1"/>
  <c r="E12"/>
  <c r="F11"/>
  <c r="E11"/>
  <c r="G21" i="107"/>
  <c r="J21" s="1"/>
  <c r="F9"/>
  <c r="G19"/>
  <c r="H19" s="1"/>
  <c r="I19" s="1"/>
  <c r="I14"/>
  <c r="J14" s="1"/>
  <c r="AC4" i="99" a="1"/>
  <c r="AC8" s="1"/>
  <c r="B52" s="1"/>
  <c r="J18"/>
  <c r="K10" s="1"/>
  <c r="I18"/>
  <c r="J17"/>
  <c r="K17"/>
  <c r="I17"/>
  <c r="K9" s="1"/>
  <c r="J19"/>
  <c r="K19"/>
  <c r="K11" s="1"/>
  <c r="K18"/>
  <c r="F8" i="107"/>
  <c r="O19"/>
  <c r="J20"/>
  <c r="K20"/>
  <c r="H20"/>
  <c r="I20" s="1"/>
  <c r="G75" i="64"/>
  <c r="I74"/>
  <c r="G51"/>
  <c r="I50"/>
  <c r="K21" i="107" l="1"/>
  <c r="H21"/>
  <c r="I21" s="1"/>
  <c r="AC10" i="99"/>
  <c r="B54" s="1"/>
  <c r="J19" i="107"/>
  <c r="K19"/>
  <c r="AC11" i="99"/>
  <c r="B55" s="1"/>
  <c r="AC14"/>
  <c r="B58" s="1"/>
  <c r="AC9"/>
  <c r="B53" s="1"/>
  <c r="AC13"/>
  <c r="B57" s="1"/>
  <c r="AC12"/>
  <c r="B56" s="1"/>
  <c r="AC6"/>
  <c r="B50" s="1"/>
  <c r="AC5"/>
  <c r="B49" s="1"/>
  <c r="AC7"/>
  <c r="B51" s="1"/>
  <c r="AC4"/>
  <c r="B48" s="1"/>
  <c r="G76" i="64"/>
  <c r="I75"/>
  <c r="G52"/>
  <c r="I51"/>
  <c r="B27" i="99" l="1"/>
  <c r="B26"/>
  <c r="B25"/>
  <c r="C25" s="1"/>
  <c r="C32" s="1"/>
  <c r="G77" i="64"/>
  <c r="I76"/>
  <c r="G53"/>
  <c r="I52"/>
  <c r="D38" i="99" l="1"/>
  <c r="D35"/>
  <c r="D40"/>
  <c r="D37"/>
  <c r="D32"/>
  <c r="D30"/>
  <c r="D31"/>
  <c r="D39"/>
  <c r="D36"/>
  <c r="D33"/>
  <c r="D34"/>
  <c r="C36"/>
  <c r="C38"/>
  <c r="C30"/>
  <c r="C31"/>
  <c r="C40"/>
  <c r="C35"/>
  <c r="C39"/>
  <c r="C37"/>
  <c r="C33"/>
  <c r="C34"/>
  <c r="G78" i="64"/>
  <c r="I77"/>
  <c r="G54"/>
  <c r="I53"/>
  <c r="G79" l="1"/>
  <c r="I78"/>
  <c r="G55"/>
  <c r="I54"/>
  <c r="G80" l="1"/>
  <c r="I79"/>
  <c r="G56"/>
  <c r="I55"/>
  <c r="G81" l="1"/>
  <c r="I81" s="1"/>
  <c r="I80"/>
  <c r="G57"/>
  <c r="I57" s="1"/>
  <c r="I56"/>
  <c r="B14" i="77" l="1"/>
  <c r="I11"/>
  <c r="I10"/>
  <c r="I9"/>
  <c r="I8"/>
  <c r="I7"/>
  <c r="I6"/>
  <c r="I5"/>
  <c r="H5"/>
  <c r="H6" s="1"/>
  <c r="H7" s="1"/>
  <c r="H8" s="1"/>
  <c r="H9" s="1"/>
  <c r="H10" s="1"/>
  <c r="A5"/>
  <c r="I4"/>
  <c r="E4"/>
  <c r="D5" l="1"/>
  <c r="E5" s="1"/>
  <c r="F5" s="1"/>
  <c r="A6"/>
  <c r="F4"/>
  <c r="I12"/>
  <c r="E17" i="73"/>
  <c r="E16"/>
  <c r="D18" i="76"/>
  <c r="D17"/>
  <c r="E6" i="73"/>
  <c r="E7"/>
  <c r="E8"/>
  <c r="E9"/>
  <c r="E10"/>
  <c r="E5"/>
  <c r="D6" i="76"/>
  <c r="D7"/>
  <c r="D8"/>
  <c r="D9"/>
  <c r="D10"/>
  <c r="D11"/>
  <c r="D5"/>
  <c r="D14"/>
  <c r="G11"/>
  <c r="G10"/>
  <c r="D3"/>
  <c r="G9"/>
  <c r="G8"/>
  <c r="G7"/>
  <c r="G6"/>
  <c r="G5"/>
  <c r="Y3" i="74"/>
  <c r="Z3" s="1"/>
  <c r="AA3" s="1"/>
  <c r="AB3" s="1"/>
  <c r="AC3" s="1"/>
  <c r="AD3" s="1"/>
  <c r="AE3" s="1"/>
  <c r="AF3" s="1"/>
  <c r="AG3" s="1"/>
  <c r="B21" i="75"/>
  <c r="B20"/>
  <c r="B19"/>
  <c r="D4"/>
  <c r="D5" s="1"/>
  <c r="B14" i="74"/>
  <c r="R13"/>
  <c r="R12"/>
  <c r="R11"/>
  <c r="R10"/>
  <c r="R9"/>
  <c r="R8"/>
  <c r="R7"/>
  <c r="R6"/>
  <c r="R5"/>
  <c r="A5"/>
  <c r="A6" s="1"/>
  <c r="R4"/>
  <c r="I4"/>
  <c r="C4"/>
  <c r="J4" s="1"/>
  <c r="E13" i="73"/>
  <c r="E3"/>
  <c r="H10"/>
  <c r="H9"/>
  <c r="H8"/>
  <c r="H7"/>
  <c r="H6"/>
  <c r="H5"/>
  <c r="I5" i="74" l="1"/>
  <c r="K5" s="1"/>
  <c r="G16"/>
  <c r="H6" i="76"/>
  <c r="H8"/>
  <c r="H10"/>
  <c r="F6" i="75"/>
  <c r="G6" s="1"/>
  <c r="E5"/>
  <c r="H11" i="76"/>
  <c r="F17" i="75"/>
  <c r="G17" s="1"/>
  <c r="F13"/>
  <c r="G13" s="1"/>
  <c r="F9"/>
  <c r="G9" s="1"/>
  <c r="F5"/>
  <c r="G5" s="1"/>
  <c r="H9" i="76"/>
  <c r="F16" i="75"/>
  <c r="G16" s="1"/>
  <c r="F8"/>
  <c r="G8" s="1"/>
  <c r="F4"/>
  <c r="G4" s="1"/>
  <c r="F15"/>
  <c r="G15" s="1"/>
  <c r="F11"/>
  <c r="G11" s="1"/>
  <c r="F7"/>
  <c r="G7" s="1"/>
  <c r="H7" i="76"/>
  <c r="F12" i="75"/>
  <c r="G12" s="1"/>
  <c r="E4"/>
  <c r="F18"/>
  <c r="G18" s="1"/>
  <c r="F14"/>
  <c r="G14" s="1"/>
  <c r="F10"/>
  <c r="G10" s="1"/>
  <c r="D6" i="77"/>
  <c r="E6" s="1"/>
  <c r="A7"/>
  <c r="J4"/>
  <c r="K4" s="1"/>
  <c r="H5" i="76"/>
  <c r="D6" i="75"/>
  <c r="E6" s="1"/>
  <c r="K4" i="74"/>
  <c r="A7"/>
  <c r="C5"/>
  <c r="D4"/>
  <c r="I10" i="73"/>
  <c r="I9"/>
  <c r="I8"/>
  <c r="I7"/>
  <c r="I6"/>
  <c r="I5"/>
  <c r="F9" i="72"/>
  <c r="F16" s="1"/>
  <c r="G6" i="71"/>
  <c r="G7" s="1"/>
  <c r="G5"/>
  <c r="I6" i="74" l="1"/>
  <c r="I7" s="1"/>
  <c r="H5" i="71"/>
  <c r="H5" i="75"/>
  <c r="H12" i="76"/>
  <c r="D15" s="1"/>
  <c r="D16" s="1"/>
  <c r="F15" i="72"/>
  <c r="F17" s="1"/>
  <c r="H4" i="75"/>
  <c r="H6" i="71"/>
  <c r="H7" s="1"/>
  <c r="H11" s="1"/>
  <c r="D7" i="77"/>
  <c r="E7" s="1"/>
  <c r="F7" s="1"/>
  <c r="J6" s="1"/>
  <c r="K6" s="1"/>
  <c r="A8"/>
  <c r="F6"/>
  <c r="D7" i="75"/>
  <c r="E7" s="1"/>
  <c r="H6"/>
  <c r="C6" i="74"/>
  <c r="D5"/>
  <c r="J5"/>
  <c r="A8"/>
  <c r="I11" i="73"/>
  <c r="E14" s="1"/>
  <c r="G11" i="71"/>
  <c r="G8"/>
  <c r="G9" s="1"/>
  <c r="E8" i="64"/>
  <c r="E12" s="1"/>
  <c r="K6" i="74" l="1"/>
  <c r="D19" i="76"/>
  <c r="D21" s="1"/>
  <c r="E15" i="73"/>
  <c r="E18" s="1"/>
  <c r="D8" i="77"/>
  <c r="E8" s="1"/>
  <c r="F8" s="1"/>
  <c r="J7" s="1"/>
  <c r="K7" s="1"/>
  <c r="A9"/>
  <c r="J5"/>
  <c r="K5" s="1"/>
  <c r="D8" i="75"/>
  <c r="E8" s="1"/>
  <c r="H7"/>
  <c r="A9" i="74"/>
  <c r="K7"/>
  <c r="I8"/>
  <c r="J6"/>
  <c r="C7"/>
  <c r="D6"/>
  <c r="H8" i="71"/>
  <c r="H9" s="1"/>
  <c r="G12"/>
  <c r="G13"/>
  <c r="E9" i="64"/>
  <c r="E10" s="1"/>
  <c r="E13" s="1"/>
  <c r="E14" s="1"/>
  <c r="E16" l="1"/>
  <c r="E17"/>
  <c r="D9" i="77"/>
  <c r="E9" s="1"/>
  <c r="F9" s="1"/>
  <c r="J8" s="1"/>
  <c r="K8" s="1"/>
  <c r="A10"/>
  <c r="D9" i="75"/>
  <c r="E9" s="1"/>
  <c r="H8"/>
  <c r="A10" i="74"/>
  <c r="I9"/>
  <c r="K8"/>
  <c r="C8"/>
  <c r="D7"/>
  <c r="J7"/>
  <c r="H13" i="71"/>
  <c r="H12"/>
  <c r="J19" i="62"/>
  <c r="I19"/>
  <c r="H19"/>
  <c r="F19"/>
  <c r="M6" s="1"/>
  <c r="E7" i="60"/>
  <c r="E5"/>
  <c r="E4"/>
  <c r="K23" i="59"/>
  <c r="K24" s="1"/>
  <c r="K28" s="1"/>
  <c r="J23"/>
  <c r="J24" s="1"/>
  <c r="J28" s="1"/>
  <c r="C22"/>
  <c r="D22"/>
  <c r="C23"/>
  <c r="D23"/>
  <c r="C24"/>
  <c r="D24"/>
  <c r="C25"/>
  <c r="D25"/>
  <c r="C26"/>
  <c r="D26"/>
  <c r="C27"/>
  <c r="D27"/>
  <c r="C28"/>
  <c r="D28"/>
  <c r="C29"/>
  <c r="D29"/>
  <c r="C30"/>
  <c r="D30"/>
  <c r="D21"/>
  <c r="C21"/>
  <c r="C16"/>
  <c r="J21" s="1"/>
  <c r="M24" i="55"/>
  <c r="M23"/>
  <c r="M17"/>
  <c r="P17" s="1"/>
  <c r="M19"/>
  <c r="M18"/>
  <c r="AD6" i="56"/>
  <c r="Y6"/>
  <c r="Y8" s="1"/>
  <c r="B7" i="57"/>
  <c r="E4"/>
  <c r="E3"/>
  <c r="Y10" i="56"/>
  <c r="Y11" s="1"/>
  <c r="AD7" s="1"/>
  <c r="Y5"/>
  <c r="Y7" s="1"/>
  <c r="C57" i="54"/>
  <c r="B40"/>
  <c r="C43" s="1"/>
  <c r="C29"/>
  <c r="B11"/>
  <c r="B9"/>
  <c r="B14" i="57" l="1"/>
  <c r="B13"/>
  <c r="B15" s="1"/>
  <c r="M31" i="55"/>
  <c r="M21"/>
  <c r="P21" s="1"/>
  <c r="M25" s="1"/>
  <c r="M32"/>
  <c r="M8" i="62"/>
  <c r="E12" i="57"/>
  <c r="E13" s="1"/>
  <c r="E15" s="1"/>
  <c r="P19" i="55"/>
  <c r="P18"/>
  <c r="M30"/>
  <c r="P35" s="1"/>
  <c r="D10" i="77"/>
  <c r="E10" s="1"/>
  <c r="F10" s="1"/>
  <c r="J9" s="1"/>
  <c r="K9" s="1"/>
  <c r="A11"/>
  <c r="D10" i="75"/>
  <c r="E10" s="1"/>
  <c r="H9"/>
  <c r="J8" i="74"/>
  <c r="C9"/>
  <c r="D8"/>
  <c r="K9"/>
  <c r="I10"/>
  <c r="A11"/>
  <c r="S8" i="56"/>
  <c r="S12" s="1"/>
  <c r="E8" i="60"/>
  <c r="J25" i="59"/>
  <c r="J26" s="1"/>
  <c r="J29" s="1"/>
  <c r="E23"/>
  <c r="E22"/>
  <c r="E27"/>
  <c r="C15"/>
  <c r="K21" s="1"/>
  <c r="K25" s="1"/>
  <c r="K26" s="1"/>
  <c r="K29" s="1"/>
  <c r="E26"/>
  <c r="E28"/>
  <c r="E30"/>
  <c r="E21"/>
  <c r="E24"/>
  <c r="E29"/>
  <c r="E25"/>
  <c r="AD5" i="56"/>
  <c r="AD9" s="1"/>
  <c r="AD11" s="1"/>
  <c r="Y12"/>
  <c r="Y15" s="1"/>
  <c r="Y16" s="1"/>
  <c r="B21" i="57"/>
  <c r="E21" s="1"/>
  <c r="B20"/>
  <c r="E20" s="1"/>
  <c r="C15" i="54"/>
  <c r="M18" i="62" l="1"/>
  <c r="M17"/>
  <c r="M12"/>
  <c r="E10" i="60"/>
  <c r="E11" s="1"/>
  <c r="S9" i="56"/>
  <c r="S10" s="1"/>
  <c r="X29" i="55"/>
  <c r="X36" s="1"/>
  <c r="M35"/>
  <c r="X31"/>
  <c r="M36"/>
  <c r="P36" s="1"/>
  <c r="X33"/>
  <c r="X37" s="1"/>
  <c r="M34"/>
  <c r="D11" i="77"/>
  <c r="E11" s="1"/>
  <c r="F11" s="1"/>
  <c r="J10" s="1"/>
  <c r="K10" s="1"/>
  <c r="A12"/>
  <c r="D11" i="75"/>
  <c r="E11" s="1"/>
  <c r="H10"/>
  <c r="C10" i="74"/>
  <c r="D9"/>
  <c r="J9"/>
  <c r="A12"/>
  <c r="I11"/>
  <c r="K10"/>
  <c r="K30" i="59"/>
  <c r="X30" i="55"/>
  <c r="X34"/>
  <c r="AD10" i="56"/>
  <c r="AD12" s="1"/>
  <c r="J30" i="59"/>
  <c r="E31"/>
  <c r="G33" s="1"/>
  <c r="AB3" i="53"/>
  <c r="AB6"/>
  <c r="AY6" i="29"/>
  <c r="AY3"/>
  <c r="U7" i="50"/>
  <c r="T7"/>
  <c r="O9"/>
  <c r="P9"/>
  <c r="N9"/>
  <c r="Q7"/>
  <c r="Q8"/>
  <c r="Q6"/>
  <c r="M6"/>
  <c r="M7"/>
  <c r="M8"/>
  <c r="N5"/>
  <c r="O5"/>
  <c r="P5"/>
  <c r="C7" i="52"/>
  <c r="G6" s="1"/>
  <c r="B7"/>
  <c r="G5" s="1"/>
  <c r="D6"/>
  <c r="D5"/>
  <c r="K13" i="50"/>
  <c r="I13"/>
  <c r="J13"/>
  <c r="H13"/>
  <c r="G15"/>
  <c r="G16"/>
  <c r="G17"/>
  <c r="G14"/>
  <c r="C21"/>
  <c r="D21"/>
  <c r="B21"/>
  <c r="A23"/>
  <c r="A24"/>
  <c r="A22"/>
  <c r="G7"/>
  <c r="G8"/>
  <c r="G9"/>
  <c r="G6"/>
  <c r="D9"/>
  <c r="J9" s="1"/>
  <c r="C9"/>
  <c r="I9" s="1"/>
  <c r="B9"/>
  <c r="H9" s="1"/>
  <c r="E8"/>
  <c r="K8" s="1"/>
  <c r="E7"/>
  <c r="K7" s="1"/>
  <c r="E6"/>
  <c r="K6" s="1"/>
  <c r="B20" i="49"/>
  <c r="G20" s="1"/>
  <c r="G19"/>
  <c r="C8"/>
  <c r="M8" s="1"/>
  <c r="B8"/>
  <c r="G8" s="1"/>
  <c r="D7"/>
  <c r="N7" s="1"/>
  <c r="D6"/>
  <c r="H4" i="48"/>
  <c r="D5" s="1"/>
  <c r="D7" s="1"/>
  <c r="C3"/>
  <c r="D3" s="1"/>
  <c r="B12" i="47"/>
  <c r="A5"/>
  <c r="C4"/>
  <c r="G10" i="46"/>
  <c r="G8"/>
  <c r="G6"/>
  <c r="B8"/>
  <c r="B6"/>
  <c r="B10" s="1"/>
  <c r="B19" i="45"/>
  <c r="C12"/>
  <c r="B12"/>
  <c r="A5"/>
  <c r="A6" s="1"/>
  <c r="A7" s="1"/>
  <c r="A8" s="1"/>
  <c r="A9" s="1"/>
  <c r="A10" s="1"/>
  <c r="A11" s="1"/>
  <c r="M14" i="62" l="1"/>
  <c r="M15" s="1"/>
  <c r="S15" i="56"/>
  <c r="S16"/>
  <c r="S13"/>
  <c r="S14" s="1"/>
  <c r="X38" i="55"/>
  <c r="X40" s="1"/>
  <c r="X32"/>
  <c r="Q9" i="50"/>
  <c r="S7" s="1"/>
  <c r="V7"/>
  <c r="V12" s="1"/>
  <c r="G7" i="52"/>
  <c r="AY4" i="29"/>
  <c r="AY5" s="1"/>
  <c r="AY8" s="1"/>
  <c r="AY9" s="1"/>
  <c r="E3" i="48"/>
  <c r="F3" s="1"/>
  <c r="G3" s="1"/>
  <c r="AB4" i="53"/>
  <c r="AB5" s="1"/>
  <c r="AB17"/>
  <c r="G15" i="46"/>
  <c r="G19"/>
  <c r="G20"/>
  <c r="J17" i="50"/>
  <c r="D7" i="52"/>
  <c r="E14" i="78"/>
  <c r="F16" s="1"/>
  <c r="F14"/>
  <c r="D12" i="77"/>
  <c r="D12" i="75"/>
  <c r="E12" s="1"/>
  <c r="H11"/>
  <c r="K11" i="74"/>
  <c r="I12"/>
  <c r="A13"/>
  <c r="J10"/>
  <c r="C11"/>
  <c r="D10"/>
  <c r="P34" i="55"/>
  <c r="K16" i="50"/>
  <c r="I17"/>
  <c r="K15"/>
  <c r="K14"/>
  <c r="H17"/>
  <c r="E9"/>
  <c r="D8" i="49"/>
  <c r="I8" s="1"/>
  <c r="I6"/>
  <c r="H8"/>
  <c r="G23"/>
  <c r="N6"/>
  <c r="I7"/>
  <c r="L8"/>
  <c r="B23"/>
  <c r="G5" i="48"/>
  <c r="C5"/>
  <c r="C7" s="1"/>
  <c r="F5"/>
  <c r="F7" s="1"/>
  <c r="E5"/>
  <c r="E7" s="1"/>
  <c r="B5"/>
  <c r="A6" i="47"/>
  <c r="C5"/>
  <c r="G12" i="46"/>
  <c r="G13" s="1"/>
  <c r="G14" s="1"/>
  <c r="B11"/>
  <c r="B13" s="1"/>
  <c r="B12"/>
  <c r="E4" i="45"/>
  <c r="E6"/>
  <c r="G6" s="1"/>
  <c r="E8"/>
  <c r="G8" s="1"/>
  <c r="E10"/>
  <c r="G10" s="1"/>
  <c r="E5"/>
  <c r="G5" s="1"/>
  <c r="E7"/>
  <c r="G7" s="1"/>
  <c r="E9"/>
  <c r="G9" s="1"/>
  <c r="E11"/>
  <c r="G11" s="1"/>
  <c r="K10" i="48" l="1"/>
  <c r="B7"/>
  <c r="G7"/>
  <c r="B14" i="46"/>
  <c r="N6" i="50" a="1"/>
  <c r="N7" s="1"/>
  <c r="V11"/>
  <c r="K4" i="48"/>
  <c r="K6" s="1"/>
  <c r="AB8" i="53"/>
  <c r="AB9" s="1"/>
  <c r="AB11"/>
  <c r="F17" i="78"/>
  <c r="F18" s="1"/>
  <c r="H5" s="1"/>
  <c r="E12" i="77"/>
  <c r="F12" s="1"/>
  <c r="E13"/>
  <c r="F13" s="1"/>
  <c r="D13" i="75"/>
  <c r="E13" s="1"/>
  <c r="H12"/>
  <c r="I13" i="74"/>
  <c r="K12"/>
  <c r="C12"/>
  <c r="J11"/>
  <c r="D11"/>
  <c r="K9" i="50"/>
  <c r="H6" s="1"/>
  <c r="B22" s="1"/>
  <c r="K17"/>
  <c r="H14" s="1" a="1"/>
  <c r="H6" i="49"/>
  <c r="H15" s="1"/>
  <c r="G6"/>
  <c r="G15" s="1"/>
  <c r="N8"/>
  <c r="L6" s="1" a="1"/>
  <c r="H7"/>
  <c r="G7"/>
  <c r="H5" i="48"/>
  <c r="C6" i="47"/>
  <c r="A7"/>
  <c r="G4" i="45"/>
  <c r="G12" s="1"/>
  <c r="B18" s="1"/>
  <c r="B15"/>
  <c r="B16" s="1"/>
  <c r="E12"/>
  <c r="H7" i="48" l="1"/>
  <c r="K5" s="1"/>
  <c r="K7" s="1"/>
  <c r="K8" s="1"/>
  <c r="B21" i="45"/>
  <c r="B22"/>
  <c r="O6" i="50"/>
  <c r="P7"/>
  <c r="P8"/>
  <c r="O7"/>
  <c r="O8"/>
  <c r="N8"/>
  <c r="N6"/>
  <c r="P6"/>
  <c r="J14"/>
  <c r="I15"/>
  <c r="H16"/>
  <c r="I16"/>
  <c r="J15"/>
  <c r="H14"/>
  <c r="I14"/>
  <c r="J16"/>
  <c r="H15"/>
  <c r="H11" i="78"/>
  <c r="H9"/>
  <c r="AB14" i="53"/>
  <c r="AB18" s="1"/>
  <c r="AB12"/>
  <c r="H8" i="78"/>
  <c r="H12"/>
  <c r="I13" s="1"/>
  <c r="J13" s="1"/>
  <c r="H4"/>
  <c r="I4" s="1"/>
  <c r="J4" s="1"/>
  <c r="H7"/>
  <c r="H10"/>
  <c r="H6"/>
  <c r="F14" i="77"/>
  <c r="J11"/>
  <c r="D14" i="75"/>
  <c r="E14" s="1"/>
  <c r="H13"/>
  <c r="K13" i="74"/>
  <c r="J12"/>
  <c r="C13"/>
  <c r="D12"/>
  <c r="I7" i="50"/>
  <c r="C23" s="1"/>
  <c r="I6"/>
  <c r="J8"/>
  <c r="D24" s="1"/>
  <c r="I8"/>
  <c r="C24" s="1"/>
  <c r="J6"/>
  <c r="D22" s="1"/>
  <c r="H7"/>
  <c r="B23" s="1"/>
  <c r="H8"/>
  <c r="B24" s="1"/>
  <c r="J7"/>
  <c r="D23" s="1"/>
  <c r="B15" i="49"/>
  <c r="L6"/>
  <c r="L7"/>
  <c r="C15"/>
  <c r="M7"/>
  <c r="M6"/>
  <c r="B16"/>
  <c r="G16"/>
  <c r="H16"/>
  <c r="C16"/>
  <c r="I15"/>
  <c r="C7" i="47"/>
  <c r="A8"/>
  <c r="W12" i="50" l="1"/>
  <c r="W11"/>
  <c r="I8" i="78"/>
  <c r="J8" s="1"/>
  <c r="N7" s="1"/>
  <c r="O7" s="1"/>
  <c r="U11" i="50"/>
  <c r="X11"/>
  <c r="U12"/>
  <c r="X12"/>
  <c r="I12" i="78"/>
  <c r="J12" s="1"/>
  <c r="N11" s="1"/>
  <c r="O11" s="1"/>
  <c r="I5"/>
  <c r="J5" s="1"/>
  <c r="N4" s="1"/>
  <c r="O4" s="1"/>
  <c r="I9"/>
  <c r="J9" s="1"/>
  <c r="N8" s="1"/>
  <c r="O8" s="1"/>
  <c r="I7"/>
  <c r="J7" s="1"/>
  <c r="N6" s="1"/>
  <c r="O6" s="1"/>
  <c r="I10"/>
  <c r="J10" s="1"/>
  <c r="N9" s="1"/>
  <c r="O9" s="1"/>
  <c r="I11"/>
  <c r="J11" s="1"/>
  <c r="N10" s="1"/>
  <c r="O10" s="1"/>
  <c r="I6"/>
  <c r="J6" s="1"/>
  <c r="N5" s="1"/>
  <c r="O5" s="1"/>
  <c r="K11" i="77"/>
  <c r="K12" s="1"/>
  <c r="J12"/>
  <c r="K14"/>
  <c r="K15" s="1"/>
  <c r="D15" i="75"/>
  <c r="E15" s="1"/>
  <c r="H14"/>
  <c r="D13" i="74"/>
  <c r="G13" s="1"/>
  <c r="J13"/>
  <c r="N7" s="1"/>
  <c r="C22" i="50"/>
  <c r="B27" s="1"/>
  <c r="B15"/>
  <c r="B14"/>
  <c r="B28" s="1"/>
  <c r="B30" s="1"/>
  <c r="D15" i="49"/>
  <c r="I16"/>
  <c r="I17" s="1"/>
  <c r="G21" s="1"/>
  <c r="G22" s="1"/>
  <c r="G24" s="1"/>
  <c r="D16"/>
  <c r="C8" i="47"/>
  <c r="A9"/>
  <c r="N5" i="74" l="1"/>
  <c r="N12" i="78"/>
  <c r="O14"/>
  <c r="O15" s="1"/>
  <c r="O12"/>
  <c r="D16" i="75"/>
  <c r="E16" s="1"/>
  <c r="H15"/>
  <c r="J14" i="74"/>
  <c r="B29" i="50"/>
  <c r="D17" i="49"/>
  <c r="B21" s="1"/>
  <c r="B22" s="1"/>
  <c r="B24" s="1"/>
  <c r="C9" i="47"/>
  <c r="A10"/>
  <c r="N4" i="74" l="1"/>
  <c r="D17" i="75"/>
  <c r="E17" s="1"/>
  <c r="H16"/>
  <c r="C10" i="47"/>
  <c r="A11"/>
  <c r="B17" s="1"/>
  <c r="B19" s="1"/>
  <c r="N6" i="74" l="1"/>
  <c r="N8" s="1"/>
  <c r="N9" s="1"/>
  <c r="N10" s="1"/>
  <c r="E4" s="1"/>
  <c r="F4" s="1"/>
  <c r="D18" i="75"/>
  <c r="H17"/>
  <c r="C11" i="47"/>
  <c r="C12" s="1"/>
  <c r="B14" s="1"/>
  <c r="D4" s="1"/>
  <c r="E18" i="75" l="1"/>
  <c r="H18" s="1"/>
  <c r="H20" s="1"/>
  <c r="E6" i="74"/>
  <c r="F6" s="1"/>
  <c r="E10"/>
  <c r="F10" s="1"/>
  <c r="E7"/>
  <c r="F7" s="1"/>
  <c r="E11"/>
  <c r="F11" s="1"/>
  <c r="E8"/>
  <c r="F8" s="1"/>
  <c r="E12"/>
  <c r="F12" s="1"/>
  <c r="E5"/>
  <c r="F5" s="1"/>
  <c r="E9"/>
  <c r="F9" s="1"/>
  <c r="D7" i="47"/>
  <c r="F7" s="1"/>
  <c r="D11"/>
  <c r="D8"/>
  <c r="F8" s="1"/>
  <c r="D5"/>
  <c r="F5" s="1"/>
  <c r="D9"/>
  <c r="F9" s="1"/>
  <c r="D6"/>
  <c r="F6" s="1"/>
  <c r="D10"/>
  <c r="F10" s="1"/>
  <c r="F4"/>
  <c r="F11" l="1"/>
  <c r="G9" i="74"/>
  <c r="S9"/>
  <c r="T9" s="1"/>
  <c r="S11"/>
  <c r="T11" s="1"/>
  <c r="G11"/>
  <c r="G6"/>
  <c r="S6"/>
  <c r="T6" s="1"/>
  <c r="G5"/>
  <c r="S5"/>
  <c r="T5" s="1"/>
  <c r="S7"/>
  <c r="T7" s="1"/>
  <c r="G7"/>
  <c r="S12"/>
  <c r="T12" s="1"/>
  <c r="G12"/>
  <c r="S13"/>
  <c r="T13" s="1"/>
  <c r="S4"/>
  <c r="T4" s="1"/>
  <c r="G4"/>
  <c r="S8"/>
  <c r="T8" s="1"/>
  <c r="G8"/>
  <c r="G10"/>
  <c r="S10"/>
  <c r="T10" s="1"/>
  <c r="F12" i="47"/>
  <c r="B18" s="1"/>
  <c r="B20" s="1"/>
  <c r="B21" s="1"/>
  <c r="G15" i="74" l="1"/>
  <c r="T15"/>
  <c r="T16" s="1"/>
  <c r="T18"/>
  <c r="T19" s="1"/>
  <c r="J35" i="44" l="1"/>
  <c r="I35"/>
  <c r="J34"/>
  <c r="I34"/>
  <c r="B17"/>
  <c r="B18" s="1"/>
  <c r="F15"/>
  <c r="E15"/>
  <c r="D15"/>
  <c r="C15"/>
  <c r="F11"/>
  <c r="F12" s="1"/>
  <c r="E11"/>
  <c r="E12" s="1"/>
  <c r="D11"/>
  <c r="D12" s="1"/>
  <c r="C11"/>
  <c r="A30" i="23"/>
  <c r="A31" s="1"/>
  <c r="B29"/>
  <c r="A5"/>
  <c r="B5" s="1"/>
  <c r="B4"/>
  <c r="F13" i="44" l="1"/>
  <c r="F16" s="1"/>
  <c r="E13"/>
  <c r="E17" s="1"/>
  <c r="A6" i="23"/>
  <c r="B19" i="44"/>
  <c r="D13"/>
  <c r="D17" s="1"/>
  <c r="C12"/>
  <c r="C13" s="1"/>
  <c r="C17" s="1"/>
  <c r="B31" i="23"/>
  <c r="A32"/>
  <c r="B30"/>
  <c r="A5" i="43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5" i="42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U25" i="38"/>
  <c r="AU26" s="1"/>
  <c r="AU27" s="1"/>
  <c r="AU28" s="1"/>
  <c r="AU19"/>
  <c r="AU20" s="1"/>
  <c r="AU21" s="1"/>
  <c r="AU22" s="1"/>
  <c r="AU23" s="1"/>
  <c r="AP18"/>
  <c r="AP19" s="1"/>
  <c r="AP20" s="1"/>
  <c r="AP21" s="1"/>
  <c r="AP22" s="1"/>
  <c r="AP23" s="1"/>
  <c r="AP24" s="1"/>
  <c r="AP25" s="1"/>
  <c r="AK18"/>
  <c r="AK19" s="1"/>
  <c r="AK20" s="1"/>
  <c r="AK21" s="1"/>
  <c r="AK22" s="1"/>
  <c r="AK23" s="1"/>
  <c r="AK24" s="1"/>
  <c r="AK25" s="1"/>
  <c r="AK26" s="1"/>
  <c r="AK27" s="1"/>
  <c r="AF18"/>
  <c r="AF19" s="1"/>
  <c r="AF20" s="1"/>
  <c r="AF21" s="1"/>
  <c r="AF22" s="1"/>
  <c r="AF23" s="1"/>
  <c r="AF24" s="1"/>
  <c r="AF25" s="1"/>
  <c r="AF26" s="1"/>
  <c r="AF27" s="1"/>
  <c r="AF28" s="1"/>
  <c r="AF29" s="1"/>
  <c r="AU12"/>
  <c r="AU13" s="1"/>
  <c r="AU14" s="1"/>
  <c r="AU15" s="1"/>
  <c r="AU16" s="1"/>
  <c r="AU17" s="1"/>
  <c r="B5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AU4"/>
  <c r="AU5" s="1"/>
  <c r="AU6" s="1"/>
  <c r="AU7" s="1"/>
  <c r="AU8" s="1"/>
  <c r="AU9" s="1"/>
  <c r="AU10" s="1"/>
  <c r="AP4"/>
  <c r="AP5" s="1"/>
  <c r="AP6" s="1"/>
  <c r="AP7" s="1"/>
  <c r="AP8" s="1"/>
  <c r="AP9" s="1"/>
  <c r="AP10" s="1"/>
  <c r="AP11" s="1"/>
  <c r="AP12" s="1"/>
  <c r="AK4"/>
  <c r="AK5" s="1"/>
  <c r="AK6" s="1"/>
  <c r="AK7" s="1"/>
  <c r="AK8" s="1"/>
  <c r="AK9" s="1"/>
  <c r="AK10" s="1"/>
  <c r="AK11" s="1"/>
  <c r="AK12" s="1"/>
  <c r="AK13" s="1"/>
  <c r="AK14" s="1"/>
  <c r="AF4"/>
  <c r="AF5" s="1"/>
  <c r="AF6" s="1"/>
  <c r="AF7" s="1"/>
  <c r="AF8" s="1"/>
  <c r="AF9" s="1"/>
  <c r="AF10" s="1"/>
  <c r="AF11" s="1"/>
  <c r="AF12" s="1"/>
  <c r="AF13" s="1"/>
  <c r="AF14" s="1"/>
  <c r="AF15" s="1"/>
  <c r="AF16" s="1"/>
  <c r="AA4"/>
  <c r="AA5" s="1"/>
  <c r="AA6" s="1"/>
  <c r="AA7" s="1"/>
  <c r="AA8" s="1"/>
  <c r="AA9" s="1"/>
  <c r="AA10" s="1"/>
  <c r="AA11" s="1"/>
  <c r="AA12" s="1"/>
  <c r="AA13" s="1"/>
  <c r="AA14" s="1"/>
  <c r="AA15" s="1"/>
  <c r="AA16" s="1"/>
  <c r="AA17" s="1"/>
  <c r="V4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Q4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L4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A80" i="36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C78"/>
  <c r="D78" s="1"/>
  <c r="E78" s="1"/>
  <c r="F78" s="1"/>
  <c r="G78" s="1"/>
  <c r="H78" s="1"/>
  <c r="I78" s="1"/>
  <c r="J78" s="1"/>
  <c r="K78" s="1"/>
  <c r="L78" s="1"/>
  <c r="M78" s="1"/>
  <c r="N78" s="1"/>
  <c r="O78" s="1"/>
  <c r="P78" s="1"/>
  <c r="Q78" s="1"/>
  <c r="R78" s="1"/>
  <c r="S78" s="1"/>
  <c r="T78" s="1"/>
  <c r="A55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C53"/>
  <c r="D53" s="1"/>
  <c r="E53" s="1"/>
  <c r="F53" s="1"/>
  <c r="G53" s="1"/>
  <c r="H53" s="1"/>
  <c r="I53" s="1"/>
  <c r="J53" s="1"/>
  <c r="K53" s="1"/>
  <c r="L53" s="1"/>
  <c r="M53" s="1"/>
  <c r="N53" s="1"/>
  <c r="O53" s="1"/>
  <c r="P53" s="1"/>
  <c r="Q53" s="1"/>
  <c r="R53" s="1"/>
  <c r="S53" s="1"/>
  <c r="T53" s="1"/>
  <c r="A30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C28"/>
  <c r="D28" s="1"/>
  <c r="E28" s="1"/>
  <c r="F28" s="1"/>
  <c r="G28" s="1"/>
  <c r="H28" s="1"/>
  <c r="I28" s="1"/>
  <c r="J28" s="1"/>
  <c r="K28" s="1"/>
  <c r="L28" s="1"/>
  <c r="M28" s="1"/>
  <c r="N28" s="1"/>
  <c r="O28" s="1"/>
  <c r="P28" s="1"/>
  <c r="Q28" s="1"/>
  <c r="R28" s="1"/>
  <c r="S28" s="1"/>
  <c r="T28" s="1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C3"/>
  <c r="D3" s="1"/>
  <c r="E3" s="1"/>
  <c r="F3" s="1"/>
  <c r="G3" s="1"/>
  <c r="H3" s="1"/>
  <c r="I3" s="1"/>
  <c r="J3" s="1"/>
  <c r="K3" s="1"/>
  <c r="L3" s="1"/>
  <c r="M3" s="1"/>
  <c r="N3" s="1"/>
  <c r="O3" s="1"/>
  <c r="P3" s="1"/>
  <c r="Q3" s="1"/>
  <c r="R3" s="1"/>
  <c r="S3" s="1"/>
  <c r="T3" s="1"/>
  <c r="C5" i="32"/>
  <c r="C6" s="1"/>
  <c r="C7" s="1"/>
  <c r="C8" s="1"/>
  <c r="C9" s="1"/>
  <c r="C10" s="1"/>
  <c r="C11" s="1"/>
  <c r="C12" s="1"/>
  <c r="C13" s="1"/>
  <c r="C14" s="1"/>
  <c r="C15" s="1"/>
  <c r="A5"/>
  <c r="A6" s="1"/>
  <c r="A7" s="1"/>
  <c r="A8" s="1"/>
  <c r="A9" s="1"/>
  <c r="A10" s="1"/>
  <c r="A11" s="1"/>
  <c r="A12" s="1"/>
  <c r="A13" s="1"/>
  <c r="A14" s="1"/>
  <c r="A15" s="1"/>
  <c r="H54" i="31"/>
  <c r="C54"/>
  <c r="B54"/>
  <c r="H53"/>
  <c r="G53"/>
  <c r="C53"/>
  <c r="B53"/>
  <c r="A38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D29"/>
  <c r="D18"/>
  <c r="D17"/>
  <c r="D16"/>
  <c r="D15"/>
  <c r="D14"/>
  <c r="D13"/>
  <c r="D12"/>
  <c r="D11"/>
  <c r="D10"/>
  <c r="D9"/>
  <c r="D8"/>
  <c r="D7"/>
  <c r="D6"/>
  <c r="D5"/>
  <c r="A5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D4"/>
  <c r="E18" i="44" l="1"/>
  <c r="F17"/>
  <c r="F18"/>
  <c r="E16"/>
  <c r="K7" i="31"/>
  <c r="K6"/>
  <c r="D53"/>
  <c r="G51" s="1"/>
  <c r="C16" i="44"/>
  <c r="D21" i="31"/>
  <c r="H52" s="1"/>
  <c r="D18" i="44"/>
  <c r="D23" i="31"/>
  <c r="D26" s="1"/>
  <c r="D31" s="1"/>
  <c r="K4"/>
  <c r="K5" s="1"/>
  <c r="K8"/>
  <c r="A7" i="23"/>
  <c r="B6"/>
  <c r="D19" i="44"/>
  <c r="E19"/>
  <c r="C19"/>
  <c r="B20"/>
  <c r="F19"/>
  <c r="C18"/>
  <c r="D16"/>
  <c r="A33" i="23"/>
  <c r="B32"/>
  <c r="G52" i="31"/>
  <c r="D20"/>
  <c r="M4" i="30"/>
  <c r="M5" s="1"/>
  <c r="M6"/>
  <c r="M7"/>
  <c r="M8"/>
  <c r="L8"/>
  <c r="L7"/>
  <c r="L6"/>
  <c r="L4"/>
  <c r="L5" s="1"/>
  <c r="D24" i="31" l="1"/>
  <c r="D25" s="1"/>
  <c r="D28" s="1"/>
  <c r="A8" i="23"/>
  <c r="B7"/>
  <c r="B21" i="44"/>
  <c r="C20"/>
  <c r="E20"/>
  <c r="D20"/>
  <c r="F20"/>
  <c r="B33" i="23"/>
  <c r="A34"/>
  <c r="H51" i="31"/>
  <c r="E41" i="30"/>
  <c r="B16"/>
  <c r="A16"/>
  <c r="B15"/>
  <c r="A15"/>
  <c r="D5" i="29"/>
  <c r="D6" s="1"/>
  <c r="D7" s="1"/>
  <c r="D8" s="1"/>
  <c r="B8" i="23" l="1"/>
  <c r="A9"/>
  <c r="F21" i="44"/>
  <c r="E21"/>
  <c r="D21"/>
  <c r="C21"/>
  <c r="B22"/>
  <c r="A35" i="23"/>
  <c r="B34"/>
  <c r="A10" l="1"/>
  <c r="B9"/>
  <c r="E22" i="44"/>
  <c r="F22"/>
  <c r="D22"/>
  <c r="C22"/>
  <c r="B23"/>
  <c r="B35" i="23"/>
  <c r="A36"/>
  <c r="A11" l="1"/>
  <c r="B10"/>
  <c r="D23" i="44"/>
  <c r="F23"/>
  <c r="E23"/>
  <c r="C23"/>
  <c r="B24"/>
  <c r="A37" i="23"/>
  <c r="B36"/>
  <c r="A12" l="1"/>
  <c r="B11"/>
  <c r="B25" i="44"/>
  <c r="C24"/>
  <c r="F24"/>
  <c r="E24"/>
  <c r="D24"/>
  <c r="B37" i="23"/>
  <c r="A38"/>
  <c r="M5" i="28"/>
  <c r="M6" s="1"/>
  <c r="M7"/>
  <c r="M8"/>
  <c r="M9"/>
  <c r="L9"/>
  <c r="L8"/>
  <c r="L7"/>
  <c r="L5"/>
  <c r="L6" s="1"/>
  <c r="E40"/>
  <c r="E39"/>
  <c r="B16"/>
  <c r="A16"/>
  <c r="B15"/>
  <c r="A15"/>
  <c r="K39" i="26"/>
  <c r="I38" i="25"/>
  <c r="I37"/>
  <c r="I36"/>
  <c r="I35"/>
  <c r="I34"/>
  <c r="R51" i="26"/>
  <c r="Q51"/>
  <c r="P51"/>
  <c r="W43"/>
  <c r="W42"/>
  <c r="W41"/>
  <c r="W40"/>
  <c r="W39"/>
  <c r="W38"/>
  <c r="W37"/>
  <c r="W36"/>
  <c r="W35"/>
  <c r="W34"/>
  <c r="W33"/>
  <c r="W32"/>
  <c r="W31"/>
  <c r="W30"/>
  <c r="W29"/>
  <c r="W28"/>
  <c r="W27"/>
  <c r="W26"/>
  <c r="W25"/>
  <c r="W24"/>
  <c r="W23"/>
  <c r="W22"/>
  <c r="W21"/>
  <c r="W20"/>
  <c r="W19"/>
  <c r="W18"/>
  <c r="W17"/>
  <c r="W16"/>
  <c r="W15"/>
  <c r="W14"/>
  <c r="W13"/>
  <c r="W12"/>
  <c r="W11"/>
  <c r="W10"/>
  <c r="W9"/>
  <c r="W8"/>
  <c r="W7"/>
  <c r="W6"/>
  <c r="W5"/>
  <c r="W4"/>
  <c r="I6"/>
  <c r="I7" s="1"/>
  <c r="I8" s="1"/>
  <c r="I9" s="1"/>
  <c r="I10" s="1"/>
  <c r="I11" s="1"/>
  <c r="I12" s="1"/>
  <c r="I13" s="1"/>
  <c r="I14" s="1"/>
  <c r="I15" s="1"/>
  <c r="I22" i="25"/>
  <c r="I21"/>
  <c r="I20"/>
  <c r="I18"/>
  <c r="I19" s="1"/>
  <c r="K7"/>
  <c r="J7"/>
  <c r="I7"/>
  <c r="N7" s="1"/>
  <c r="K12" s="1"/>
  <c r="E5"/>
  <c r="A5"/>
  <c r="A6" s="1"/>
  <c r="A7" s="1"/>
  <c r="A8" s="1"/>
  <c r="A9" s="1"/>
  <c r="A10" s="1"/>
  <c r="A11" s="1"/>
  <c r="A12" s="1"/>
  <c r="A13" s="1"/>
  <c r="A14" s="1"/>
  <c r="A15" s="1"/>
  <c r="E4"/>
  <c r="E3"/>
  <c r="E11" s="1"/>
  <c r="E14" s="1"/>
  <c r="B61" i="24"/>
  <c r="G60"/>
  <c r="B21"/>
  <c r="B22" s="1"/>
  <c r="B23" s="1"/>
  <c r="B24" s="1"/>
  <c r="B25" s="1"/>
  <c r="B26" s="1"/>
  <c r="B27" s="1"/>
  <c r="B28" s="1"/>
  <c r="G28" s="1"/>
  <c r="G20"/>
  <c r="F19"/>
  <c r="E19"/>
  <c r="D19"/>
  <c r="F16"/>
  <c r="E16"/>
  <c r="D16"/>
  <c r="C16"/>
  <c r="F13"/>
  <c r="F15" s="1"/>
  <c r="E13"/>
  <c r="E15" s="1"/>
  <c r="D13"/>
  <c r="D15" s="1"/>
  <c r="C13"/>
  <c r="C15" s="1"/>
  <c r="F12"/>
  <c r="F14" s="1"/>
  <c r="E12"/>
  <c r="E14" s="1"/>
  <c r="D12"/>
  <c r="D14" s="1"/>
  <c r="D17" s="1"/>
  <c r="C12"/>
  <c r="C19" s="1"/>
  <c r="H8" i="22"/>
  <c r="G8"/>
  <c r="F8"/>
  <c r="H6"/>
  <c r="G6"/>
  <c r="F6"/>
  <c r="H4"/>
  <c r="H7" s="1"/>
  <c r="G4"/>
  <c r="G5" s="1"/>
  <c r="F4"/>
  <c r="F7" s="1"/>
  <c r="M4" i="21"/>
  <c r="M5" s="1"/>
  <c r="N4"/>
  <c r="N5" s="1"/>
  <c r="M6"/>
  <c r="N6"/>
  <c r="M7"/>
  <c r="N7"/>
  <c r="M8"/>
  <c r="N8"/>
  <c r="L8"/>
  <c r="L7"/>
  <c r="L6"/>
  <c r="L4"/>
  <c r="L5" s="1"/>
  <c r="H8"/>
  <c r="G8"/>
  <c r="F8"/>
  <c r="H7"/>
  <c r="G7"/>
  <c r="F7"/>
  <c r="H6"/>
  <c r="G6"/>
  <c r="F6"/>
  <c r="H4"/>
  <c r="H5" s="1"/>
  <c r="G4"/>
  <c r="G5" s="1"/>
  <c r="F4"/>
  <c r="F5" s="1"/>
  <c r="C140" i="17"/>
  <c r="B140"/>
  <c r="A108"/>
  <c r="B108" s="1"/>
  <c r="A4"/>
  <c r="B4" s="1"/>
  <c r="E4" i="15" a="1"/>
  <c r="E7" s="1"/>
  <c r="L6" i="13"/>
  <c r="P8"/>
  <c r="O14" s="1"/>
  <c r="G8"/>
  <c r="D23" s="1"/>
  <c r="Q7"/>
  <c r="S7" s="1"/>
  <c r="I7"/>
  <c r="H7"/>
  <c r="Q6"/>
  <c r="S6" s="1"/>
  <c r="I6"/>
  <c r="H6"/>
  <c r="Q5"/>
  <c r="S5" s="1"/>
  <c r="L5"/>
  <c r="I5"/>
  <c r="H5"/>
  <c r="Q4"/>
  <c r="S4" s="1"/>
  <c r="L4"/>
  <c r="I4"/>
  <c r="H4"/>
  <c r="K21" i="12"/>
  <c r="J21"/>
  <c r="K20"/>
  <c r="J20"/>
  <c r="K19"/>
  <c r="J19"/>
  <c r="K18"/>
  <c r="J18"/>
  <c r="K17"/>
  <c r="J17"/>
  <c r="K16"/>
  <c r="J16"/>
  <c r="K15"/>
  <c r="J15"/>
  <c r="K13"/>
  <c r="J13"/>
  <c r="K12"/>
  <c r="J12"/>
  <c r="K11"/>
  <c r="J11"/>
  <c r="K10"/>
  <c r="J10"/>
  <c r="K9"/>
  <c r="J9"/>
  <c r="K8"/>
  <c r="J8"/>
  <c r="K7"/>
  <c r="J7"/>
  <c r="K6"/>
  <c r="G22" i="11"/>
  <c r="L20"/>
  <c r="G20"/>
  <c r="L19"/>
  <c r="G19"/>
  <c r="L18"/>
  <c r="G18"/>
  <c r="L17"/>
  <c r="G17"/>
  <c r="L16"/>
  <c r="G16"/>
  <c r="L15"/>
  <c r="G15"/>
  <c r="L14"/>
  <c r="G14"/>
  <c r="L12"/>
  <c r="G12"/>
  <c r="L11"/>
  <c r="G11"/>
  <c r="L10"/>
  <c r="G10"/>
  <c r="L9"/>
  <c r="G9"/>
  <c r="L8"/>
  <c r="G8"/>
  <c r="L7"/>
  <c r="G7"/>
  <c r="L6"/>
  <c r="L5"/>
  <c r="G5"/>
  <c r="F12" i="9"/>
  <c r="D12" s="1"/>
  <c r="C12"/>
  <c r="B12"/>
  <c r="F15"/>
  <c r="C15"/>
  <c r="B15"/>
  <c r="F13"/>
  <c r="C13"/>
  <c r="B13"/>
  <c r="O7" i="25" l="1"/>
  <c r="V51" i="26"/>
  <c r="I8" i="11"/>
  <c r="I12"/>
  <c r="I16"/>
  <c r="I9"/>
  <c r="I13"/>
  <c r="I6"/>
  <c r="I10"/>
  <c r="I14"/>
  <c r="I7"/>
  <c r="I11"/>
  <c r="I15"/>
  <c r="C33" i="368"/>
  <c r="Q63" i="26"/>
  <c r="Q62"/>
  <c r="G13" i="11"/>
  <c r="G27" i="26"/>
  <c r="G6" i="11"/>
  <c r="K14" i="12"/>
  <c r="O11" i="13"/>
  <c r="L7" i="25"/>
  <c r="G39" i="26"/>
  <c r="H5" i="22"/>
  <c r="G26" i="24"/>
  <c r="L13" i="11"/>
  <c r="J14" i="12"/>
  <c r="D20" i="13"/>
  <c r="E6" i="15"/>
  <c r="A109" i="17"/>
  <c r="B109" s="1"/>
  <c r="F5" i="22"/>
  <c r="F17" i="24"/>
  <c r="F23" s="1"/>
  <c r="G22"/>
  <c r="G36" i="26"/>
  <c r="L35"/>
  <c r="S8" i="13"/>
  <c r="N14" s="1"/>
  <c r="E6" i="25"/>
  <c r="E18" s="1"/>
  <c r="E19" s="1"/>
  <c r="S51" i="26"/>
  <c r="T51" s="1"/>
  <c r="L33"/>
  <c r="M33" s="1"/>
  <c r="M38" s="1"/>
  <c r="L22"/>
  <c r="H8" i="13"/>
  <c r="F11" s="1"/>
  <c r="R5"/>
  <c r="E4" i="15"/>
  <c r="G31" i="26"/>
  <c r="K40"/>
  <c r="L23"/>
  <c r="E8" i="15"/>
  <c r="D14" i="9"/>
  <c r="D15" s="1"/>
  <c r="I8" i="13"/>
  <c r="F14" s="1"/>
  <c r="R6"/>
  <c r="E5" i="15"/>
  <c r="E17" i="24"/>
  <c r="E28" s="1"/>
  <c r="G21"/>
  <c r="G34" i="26"/>
  <c r="L34"/>
  <c r="L20"/>
  <c r="L21" s="1"/>
  <c r="L24"/>
  <c r="D13" i="9"/>
  <c r="B12" i="23"/>
  <c r="A13"/>
  <c r="F25" i="44"/>
  <c r="B26"/>
  <c r="E25"/>
  <c r="D25"/>
  <c r="C25"/>
  <c r="A39" i="23"/>
  <c r="B39" s="1"/>
  <c r="B38"/>
  <c r="U51" i="26"/>
  <c r="G37"/>
  <c r="G25"/>
  <c r="G29"/>
  <c r="G35"/>
  <c r="G38"/>
  <c r="G24"/>
  <c r="G28"/>
  <c r="G33"/>
  <c r="G26"/>
  <c r="G30"/>
  <c r="K11" i="25"/>
  <c r="D28" i="24"/>
  <c r="D26"/>
  <c r="D24"/>
  <c r="D22"/>
  <c r="D20"/>
  <c r="D61"/>
  <c r="D60"/>
  <c r="D27"/>
  <c r="D25"/>
  <c r="D23"/>
  <c r="D21"/>
  <c r="G24"/>
  <c r="B29"/>
  <c r="G61"/>
  <c r="B62"/>
  <c r="C14"/>
  <c r="C17" s="1"/>
  <c r="G23"/>
  <c r="G27"/>
  <c r="G25"/>
  <c r="G7" i="22"/>
  <c r="A5" i="17"/>
  <c r="R4" i="13"/>
  <c r="R7"/>
  <c r="G14"/>
  <c r="D21"/>
  <c r="G11"/>
  <c r="D22"/>
  <c r="B13" i="8"/>
  <c r="B14" s="1"/>
  <c r="B15" s="1"/>
  <c r="B11"/>
  <c r="B10"/>
  <c r="B9"/>
  <c r="M7" i="25" l="1"/>
  <c r="J12" s="1"/>
  <c r="N12" s="1"/>
  <c r="Q56" i="26"/>
  <c r="U56" s="1"/>
  <c r="F20" i="24"/>
  <c r="E26"/>
  <c r="F28"/>
  <c r="A110" i="17"/>
  <c r="B110" s="1"/>
  <c r="F21" i="24"/>
  <c r="F27"/>
  <c r="F26"/>
  <c r="M12" i="25"/>
  <c r="G32" i="26"/>
  <c r="H11" i="13"/>
  <c r="H14" s="1"/>
  <c r="I14" s="1"/>
  <c r="E23" i="24"/>
  <c r="E60"/>
  <c r="W51" i="26"/>
  <c r="E20" i="24"/>
  <c r="E24"/>
  <c r="E12" i="25"/>
  <c r="E13" s="1"/>
  <c r="E15" s="1"/>
  <c r="E22" i="24"/>
  <c r="E25"/>
  <c r="F60"/>
  <c r="F24"/>
  <c r="F25"/>
  <c r="N40" i="26"/>
  <c r="N42"/>
  <c r="N44"/>
  <c r="N46"/>
  <c r="N48"/>
  <c r="N50"/>
  <c r="N52"/>
  <c r="N54"/>
  <c r="N56"/>
  <c r="N58"/>
  <c r="N60"/>
  <c r="N62"/>
  <c r="N64"/>
  <c r="N66"/>
  <c r="N68"/>
  <c r="N70"/>
  <c r="N72"/>
  <c r="N74"/>
  <c r="N76"/>
  <c r="N39"/>
  <c r="N41"/>
  <c r="N43"/>
  <c r="N45"/>
  <c r="N47"/>
  <c r="N49"/>
  <c r="N51"/>
  <c r="N53"/>
  <c r="N55"/>
  <c r="N57"/>
  <c r="N59"/>
  <c r="N61"/>
  <c r="N63"/>
  <c r="N65"/>
  <c r="N67"/>
  <c r="N69"/>
  <c r="N71"/>
  <c r="N73"/>
  <c r="N75"/>
  <c r="N77"/>
  <c r="N38"/>
  <c r="K41"/>
  <c r="M40"/>
  <c r="G21" i="11"/>
  <c r="B10" i="248"/>
  <c r="B17" i="8"/>
  <c r="B18" s="1"/>
  <c r="E27" i="24"/>
  <c r="E21"/>
  <c r="E61"/>
  <c r="F61"/>
  <c r="F22"/>
  <c r="M39" i="26"/>
  <c r="A14" i="23"/>
  <c r="B13"/>
  <c r="E26" i="44"/>
  <c r="B27"/>
  <c r="F26"/>
  <c r="D26"/>
  <c r="C26"/>
  <c r="Q55" i="26"/>
  <c r="U55" s="1"/>
  <c r="R55"/>
  <c r="R56"/>
  <c r="L12" i="25"/>
  <c r="G29" i="24"/>
  <c r="B30"/>
  <c r="C30" s="1"/>
  <c r="D29"/>
  <c r="C62"/>
  <c r="C61"/>
  <c r="C29"/>
  <c r="C27"/>
  <c r="C23"/>
  <c r="C28"/>
  <c r="C24"/>
  <c r="C60"/>
  <c r="C25"/>
  <c r="C21"/>
  <c r="C20"/>
  <c r="C26"/>
  <c r="C22"/>
  <c r="G62"/>
  <c r="B63"/>
  <c r="E29"/>
  <c r="E62"/>
  <c r="D62"/>
  <c r="F62"/>
  <c r="F29"/>
  <c r="B5" i="17"/>
  <c r="A6"/>
  <c r="R8" i="13"/>
  <c r="N11" s="1"/>
  <c r="P11" s="1"/>
  <c r="P14" s="1"/>
  <c r="Q14" s="1"/>
  <c r="D8" i="7"/>
  <c r="D7"/>
  <c r="D6"/>
  <c r="D5"/>
  <c r="D4"/>
  <c r="A5" i="6"/>
  <c r="C4"/>
  <c r="C5" s="1"/>
  <c r="C6" s="1"/>
  <c r="C7" s="1"/>
  <c r="C8" s="1"/>
  <c r="C9" s="1"/>
  <c r="C10" s="1"/>
  <c r="C11" s="1"/>
  <c r="D3" i="5" a="1"/>
  <c r="H4" s="1"/>
  <c r="A5" i="4"/>
  <c r="A6" s="1"/>
  <c r="A7" s="1"/>
  <c r="A8" s="1"/>
  <c r="A9" s="1"/>
  <c r="A10" s="1"/>
  <c r="A11" s="1"/>
  <c r="A12" s="1"/>
  <c r="A13" s="1"/>
  <c r="D4" i="3" a="1"/>
  <c r="D7" s="1"/>
  <c r="D11" i="2"/>
  <c r="C11"/>
  <c r="B11"/>
  <c r="J11" i="25" l="1"/>
  <c r="N11" s="1"/>
  <c r="P7"/>
  <c r="A6" i="6"/>
  <c r="A7" s="1"/>
  <c r="A8" s="1"/>
  <c r="A9" s="1"/>
  <c r="A10" s="1"/>
  <c r="A11" s="1"/>
  <c r="A111" i="17"/>
  <c r="A112" s="1"/>
  <c r="D4" i="5"/>
  <c r="B7" i="248"/>
  <c r="B9" s="1"/>
  <c r="D6" i="3"/>
  <c r="D9" i="7"/>
  <c r="E5" s="1"/>
  <c r="D4" i="3"/>
  <c r="B19" i="8"/>
  <c r="D5" i="3"/>
  <c r="F3" i="5"/>
  <c r="K42" i="26"/>
  <c r="M41"/>
  <c r="B14" i="23"/>
  <c r="A15"/>
  <c r="D27" i="44"/>
  <c r="B28"/>
  <c r="F27"/>
  <c r="E27"/>
  <c r="C27"/>
  <c r="S56" i="26"/>
  <c r="T56"/>
  <c r="G63" i="24"/>
  <c r="B64"/>
  <c r="E63"/>
  <c r="D63"/>
  <c r="F63"/>
  <c r="C63"/>
  <c r="G30"/>
  <c r="B31"/>
  <c r="D30"/>
  <c r="E30"/>
  <c r="F30"/>
  <c r="A7" i="17"/>
  <c r="B6"/>
  <c r="G3" i="5"/>
  <c r="E4"/>
  <c r="I4"/>
  <c r="D3"/>
  <c r="H3"/>
  <c r="F4"/>
  <c r="E3"/>
  <c r="I3"/>
  <c r="G4"/>
  <c r="C15" i="6" l="1"/>
  <c r="C14"/>
  <c r="C16"/>
  <c r="B111" i="17"/>
  <c r="E6" i="7"/>
  <c r="E7"/>
  <c r="E8"/>
  <c r="B13" i="248"/>
  <c r="E4" i="7"/>
  <c r="K43" i="26"/>
  <c r="M42"/>
  <c r="A16" i="23"/>
  <c r="B15"/>
  <c r="B29" i="44"/>
  <c r="C28"/>
  <c r="F28"/>
  <c r="E28"/>
  <c r="D28"/>
  <c r="G31" i="24"/>
  <c r="B32"/>
  <c r="F31"/>
  <c r="D31"/>
  <c r="E31"/>
  <c r="C31"/>
  <c r="G64"/>
  <c r="B65"/>
  <c r="E64"/>
  <c r="F64"/>
  <c r="D64"/>
  <c r="C64"/>
  <c r="B7" i="17"/>
  <c r="A8"/>
  <c r="B112"/>
  <c r="A113"/>
  <c r="K44" i="26" l="1"/>
  <c r="M43"/>
  <c r="B16" i="23"/>
  <c r="A17"/>
  <c r="F29" i="44"/>
  <c r="C29"/>
  <c r="B30"/>
  <c r="E29"/>
  <c r="D29"/>
  <c r="G65" i="24"/>
  <c r="B66"/>
  <c r="F65"/>
  <c r="D65"/>
  <c r="E65"/>
  <c r="C65"/>
  <c r="G32"/>
  <c r="B33"/>
  <c r="F32"/>
  <c r="E32"/>
  <c r="D32"/>
  <c r="C32"/>
  <c r="A9" i="17"/>
  <c r="B8"/>
  <c r="B113"/>
  <c r="A114"/>
  <c r="K45" i="26" l="1"/>
  <c r="M44"/>
  <c r="A18" i="23"/>
  <c r="B17"/>
  <c r="E30" i="44"/>
  <c r="C30"/>
  <c r="B31"/>
  <c r="F30"/>
  <c r="D30"/>
  <c r="G33" i="24"/>
  <c r="B34"/>
  <c r="D33"/>
  <c r="F33"/>
  <c r="E33"/>
  <c r="C33"/>
  <c r="G66"/>
  <c r="B67"/>
  <c r="F66"/>
  <c r="D66"/>
  <c r="E66"/>
  <c r="C66"/>
  <c r="B9" i="17"/>
  <c r="A10"/>
  <c r="B114"/>
  <c r="A115"/>
  <c r="K46" i="26" l="1"/>
  <c r="M45"/>
  <c r="A19" i="23"/>
  <c r="B18"/>
  <c r="D31" i="44"/>
  <c r="C31"/>
  <c r="B32"/>
  <c r="F31"/>
  <c r="E31"/>
  <c r="G67" i="24"/>
  <c r="B68"/>
  <c r="D67"/>
  <c r="F67"/>
  <c r="E67"/>
  <c r="C67"/>
  <c r="G34"/>
  <c r="B35"/>
  <c r="D34"/>
  <c r="F34"/>
  <c r="E34"/>
  <c r="C34"/>
  <c r="A11" i="17"/>
  <c r="B10"/>
  <c r="B115"/>
  <c r="A116"/>
  <c r="K47" i="26" l="1"/>
  <c r="M46"/>
  <c r="A20" i="23"/>
  <c r="B19"/>
  <c r="B33" i="44"/>
  <c r="C32"/>
  <c r="D32"/>
  <c r="F32"/>
  <c r="E32"/>
  <c r="G35" i="24"/>
  <c r="B36"/>
  <c r="E35"/>
  <c r="F35"/>
  <c r="D35"/>
  <c r="C35"/>
  <c r="G68"/>
  <c r="B69"/>
  <c r="F68"/>
  <c r="E68"/>
  <c r="D68"/>
  <c r="C68"/>
  <c r="B116" i="17"/>
  <c r="A117"/>
  <c r="B11"/>
  <c r="A12"/>
  <c r="K48" i="26" l="1"/>
  <c r="M47"/>
  <c r="B20" i="23"/>
  <c r="A21"/>
  <c r="F33" i="44"/>
  <c r="D33"/>
  <c r="C33"/>
  <c r="B34"/>
  <c r="E33"/>
  <c r="G69" i="24"/>
  <c r="B70"/>
  <c r="F69"/>
  <c r="D69"/>
  <c r="E69"/>
  <c r="C69"/>
  <c r="G36"/>
  <c r="B37"/>
  <c r="D36"/>
  <c r="E36"/>
  <c r="F36"/>
  <c r="C36"/>
  <c r="B12" i="17"/>
  <c r="A13"/>
  <c r="B117"/>
  <c r="A118"/>
  <c r="K49" i="26" l="1"/>
  <c r="M48"/>
  <c r="A22" i="23"/>
  <c r="B21"/>
  <c r="B35" i="44"/>
  <c r="E34"/>
  <c r="D34"/>
  <c r="C34"/>
  <c r="F34"/>
  <c r="G37" i="24"/>
  <c r="B38"/>
  <c r="D37"/>
  <c r="E37"/>
  <c r="F37"/>
  <c r="C37"/>
  <c r="G70"/>
  <c r="B71"/>
  <c r="D70"/>
  <c r="E70"/>
  <c r="F70"/>
  <c r="C70"/>
  <c r="B118" i="17"/>
  <c r="A119"/>
  <c r="B13"/>
  <c r="A14"/>
  <c r="K50" i="26" l="1"/>
  <c r="M49"/>
  <c r="B22" i="23"/>
  <c r="A23"/>
  <c r="F35" i="44"/>
  <c r="C35"/>
  <c r="E35"/>
  <c r="B36"/>
  <c r="D35"/>
  <c r="G71" i="24"/>
  <c r="B72"/>
  <c r="D71"/>
  <c r="E71"/>
  <c r="F71"/>
  <c r="C71"/>
  <c r="G38"/>
  <c r="B39"/>
  <c r="F38"/>
  <c r="E38"/>
  <c r="D38"/>
  <c r="C38"/>
  <c r="A15" i="17"/>
  <c r="B14"/>
  <c r="B119"/>
  <c r="A120"/>
  <c r="K51" i="26" l="1"/>
  <c r="M50"/>
  <c r="B23" i="23"/>
  <c r="A24"/>
  <c r="B24" s="1"/>
  <c r="B37" i="44"/>
  <c r="C36"/>
  <c r="F36"/>
  <c r="E36"/>
  <c r="D36"/>
  <c r="G39" i="24"/>
  <c r="B40"/>
  <c r="E39"/>
  <c r="F39"/>
  <c r="D39"/>
  <c r="C39"/>
  <c r="G72"/>
  <c r="B73"/>
  <c r="E72"/>
  <c r="D72"/>
  <c r="F72"/>
  <c r="C72"/>
  <c r="B15" i="17"/>
  <c r="A16"/>
  <c r="B120"/>
  <c r="A121"/>
  <c r="K52" i="26" l="1"/>
  <c r="M51"/>
  <c r="F37" i="44"/>
  <c r="B38"/>
  <c r="E37"/>
  <c r="D37"/>
  <c r="C37"/>
  <c r="G73" i="24"/>
  <c r="B74"/>
  <c r="D73"/>
  <c r="F73"/>
  <c r="E73"/>
  <c r="C73"/>
  <c r="G40"/>
  <c r="B41"/>
  <c r="E40"/>
  <c r="F40"/>
  <c r="D40"/>
  <c r="C40"/>
  <c r="B121" i="17"/>
  <c r="A122"/>
  <c r="B16"/>
  <c r="A17"/>
  <c r="K53" i="26" l="1"/>
  <c r="M52"/>
  <c r="E38" i="44"/>
  <c r="B39"/>
  <c r="F38"/>
  <c r="D38"/>
  <c r="C38"/>
  <c r="G41" i="24"/>
  <c r="B42"/>
  <c r="D41"/>
  <c r="F41"/>
  <c r="E41"/>
  <c r="C41"/>
  <c r="G74"/>
  <c r="B75"/>
  <c r="F74"/>
  <c r="D74"/>
  <c r="E74"/>
  <c r="C74"/>
  <c r="B17" i="17"/>
  <c r="A18"/>
  <c r="B122"/>
  <c r="A123"/>
  <c r="K54" i="26" l="1"/>
  <c r="M53"/>
  <c r="D39" i="44"/>
  <c r="B40"/>
  <c r="F39"/>
  <c r="E39"/>
  <c r="C39"/>
  <c r="G75" i="24"/>
  <c r="B76"/>
  <c r="F75"/>
  <c r="E75"/>
  <c r="D75"/>
  <c r="C75"/>
  <c r="G42"/>
  <c r="B43"/>
  <c r="D42"/>
  <c r="F42"/>
  <c r="E42"/>
  <c r="C42"/>
  <c r="A19" i="17"/>
  <c r="B18"/>
  <c r="B123"/>
  <c r="A124"/>
  <c r="K55" i="26" l="1"/>
  <c r="M54"/>
  <c r="B41" i="44"/>
  <c r="C40"/>
  <c r="F40"/>
  <c r="E40"/>
  <c r="D40"/>
  <c r="G43" i="24"/>
  <c r="B44"/>
  <c r="F43"/>
  <c r="D43"/>
  <c r="E43"/>
  <c r="C43"/>
  <c r="G76"/>
  <c r="B77"/>
  <c r="F76"/>
  <c r="D76"/>
  <c r="E76"/>
  <c r="C76"/>
  <c r="B124" i="17"/>
  <c r="A125"/>
  <c r="B19"/>
  <c r="A20"/>
  <c r="K56" i="26" l="1"/>
  <c r="M55"/>
  <c r="F41" i="44"/>
  <c r="C41"/>
  <c r="B42"/>
  <c r="E41"/>
  <c r="D41"/>
  <c r="G77" i="24"/>
  <c r="B78"/>
  <c r="E77"/>
  <c r="F77"/>
  <c r="D77"/>
  <c r="C77"/>
  <c r="B45"/>
  <c r="G44"/>
  <c r="D44"/>
  <c r="E44"/>
  <c r="F44"/>
  <c r="C44"/>
  <c r="B20" i="17"/>
  <c r="A21"/>
  <c r="B125"/>
  <c r="A126"/>
  <c r="K57" i="26" l="1"/>
  <c r="M56"/>
  <c r="E42" i="44"/>
  <c r="C42"/>
  <c r="B43"/>
  <c r="F42"/>
  <c r="D42"/>
  <c r="B46" i="24"/>
  <c r="G45"/>
  <c r="D45"/>
  <c r="E45"/>
  <c r="F45"/>
  <c r="C45"/>
  <c r="G78"/>
  <c r="B79"/>
  <c r="F78"/>
  <c r="E78"/>
  <c r="D78"/>
  <c r="C78"/>
  <c r="B126" i="17"/>
  <c r="A127"/>
  <c r="B21"/>
  <c r="A22"/>
  <c r="K58" i="26" l="1"/>
  <c r="M57"/>
  <c r="D43" i="44"/>
  <c r="C43"/>
  <c r="B44"/>
  <c r="F43"/>
  <c r="E43"/>
  <c r="G79" i="24"/>
  <c r="B80"/>
  <c r="E79"/>
  <c r="F79"/>
  <c r="D79"/>
  <c r="C79"/>
  <c r="B47"/>
  <c r="G46"/>
  <c r="F46"/>
  <c r="E46"/>
  <c r="D46"/>
  <c r="C46"/>
  <c r="A23" i="17"/>
  <c r="B22"/>
  <c r="B127"/>
  <c r="A128"/>
  <c r="K59" i="26" l="1"/>
  <c r="M58"/>
  <c r="B45" i="44"/>
  <c r="C44"/>
  <c r="D44"/>
  <c r="F44"/>
  <c r="E44"/>
  <c r="G47" i="24"/>
  <c r="B48"/>
  <c r="D47"/>
  <c r="F47"/>
  <c r="E47"/>
  <c r="C47"/>
  <c r="G80"/>
  <c r="B81"/>
  <c r="D80"/>
  <c r="E80"/>
  <c r="F80"/>
  <c r="C80"/>
  <c r="B128" i="17"/>
  <c r="A129"/>
  <c r="B23"/>
  <c r="A24"/>
  <c r="K60" i="26" l="1"/>
  <c r="M59"/>
  <c r="F45" i="44"/>
  <c r="D45"/>
  <c r="C45"/>
  <c r="B46"/>
  <c r="E45"/>
  <c r="G81" i="24"/>
  <c r="B82"/>
  <c r="F81"/>
  <c r="D81"/>
  <c r="E81"/>
  <c r="C81"/>
  <c r="B49"/>
  <c r="G48"/>
  <c r="D48"/>
  <c r="F48"/>
  <c r="E48"/>
  <c r="C48"/>
  <c r="B129" i="17"/>
  <c r="A130"/>
  <c r="A25"/>
  <c r="B24"/>
  <c r="K61" i="26" l="1"/>
  <c r="M60"/>
  <c r="E46" i="44"/>
  <c r="D46"/>
  <c r="C46"/>
  <c r="B47"/>
  <c r="F46"/>
  <c r="B50" i="24"/>
  <c r="G49"/>
  <c r="F49"/>
  <c r="E49"/>
  <c r="D49"/>
  <c r="C49"/>
  <c r="G82"/>
  <c r="B83"/>
  <c r="F82"/>
  <c r="D82"/>
  <c r="E82"/>
  <c r="C82"/>
  <c r="B25" i="17"/>
  <c r="A26"/>
  <c r="B130"/>
  <c r="A131"/>
  <c r="K62" i="26" l="1"/>
  <c r="M61"/>
  <c r="D47" i="44"/>
  <c r="E47"/>
  <c r="C47"/>
  <c r="B48"/>
  <c r="F47"/>
  <c r="G83" i="24"/>
  <c r="B84"/>
  <c r="F83"/>
  <c r="D83"/>
  <c r="E83"/>
  <c r="C83"/>
  <c r="B51"/>
  <c r="G50"/>
  <c r="F50"/>
  <c r="E50"/>
  <c r="D50"/>
  <c r="C50"/>
  <c r="A27" i="17"/>
  <c r="B26"/>
  <c r="B131"/>
  <c r="A132"/>
  <c r="K63" i="26" l="1"/>
  <c r="M62"/>
  <c r="B49" i="44"/>
  <c r="C48"/>
  <c r="E48"/>
  <c r="D48"/>
  <c r="F48"/>
  <c r="G51" i="24"/>
  <c r="B52"/>
  <c r="F51"/>
  <c r="E51"/>
  <c r="D51"/>
  <c r="C51"/>
  <c r="G84"/>
  <c r="B85"/>
  <c r="F84"/>
  <c r="D84"/>
  <c r="E84"/>
  <c r="C84"/>
  <c r="B27" i="17"/>
  <c r="A28"/>
  <c r="B132"/>
  <c r="A133"/>
  <c r="B133" s="1"/>
  <c r="K64" i="26" l="1"/>
  <c r="M63"/>
  <c r="F49" i="44"/>
  <c r="E49"/>
  <c r="D49"/>
  <c r="C49"/>
  <c r="B50"/>
  <c r="G85" i="24"/>
  <c r="B86"/>
  <c r="D85"/>
  <c r="E85"/>
  <c r="F85"/>
  <c r="C85"/>
  <c r="B53"/>
  <c r="G52"/>
  <c r="D52"/>
  <c r="F52"/>
  <c r="E52"/>
  <c r="C52"/>
  <c r="B28" i="17"/>
  <c r="A29"/>
  <c r="K65" i="26" l="1"/>
  <c r="M64"/>
  <c r="E50" i="44"/>
  <c r="F50"/>
  <c r="D50"/>
  <c r="C50"/>
  <c r="B51"/>
  <c r="B54" i="24"/>
  <c r="G53"/>
  <c r="E53"/>
  <c r="D53"/>
  <c r="F53"/>
  <c r="C53"/>
  <c r="G86"/>
  <c r="B87"/>
  <c r="E86"/>
  <c r="D86"/>
  <c r="F86"/>
  <c r="C86"/>
  <c r="B29" i="17"/>
  <c r="A30"/>
  <c r="K66" i="26" l="1"/>
  <c r="M65"/>
  <c r="D51" i="44"/>
  <c r="B52"/>
  <c r="F51"/>
  <c r="E51"/>
  <c r="C51"/>
  <c r="G87" i="24"/>
  <c r="B88"/>
  <c r="F87"/>
  <c r="D87"/>
  <c r="E87"/>
  <c r="C87"/>
  <c r="B55"/>
  <c r="G54"/>
  <c r="F54"/>
  <c r="D54"/>
  <c r="E54"/>
  <c r="C54"/>
  <c r="B30" i="17"/>
  <c r="A31"/>
  <c r="K67" i="26" l="1"/>
  <c r="M66"/>
  <c r="B53" i="44"/>
  <c r="C52"/>
  <c r="F52"/>
  <c r="E52"/>
  <c r="D52"/>
  <c r="G55" i="24"/>
  <c r="B56"/>
  <c r="F55"/>
  <c r="E55"/>
  <c r="D55"/>
  <c r="C55"/>
  <c r="G88"/>
  <c r="B89"/>
  <c r="E88"/>
  <c r="F88"/>
  <c r="D88"/>
  <c r="C88"/>
  <c r="B31" i="17"/>
  <c r="A32"/>
  <c r="K68" i="26" l="1"/>
  <c r="M67"/>
  <c r="F53" i="44"/>
  <c r="E53"/>
  <c r="D53"/>
  <c r="C53"/>
  <c r="B54"/>
  <c r="G89" i="24"/>
  <c r="B90"/>
  <c r="D89"/>
  <c r="F89"/>
  <c r="E89"/>
  <c r="C89"/>
  <c r="B57"/>
  <c r="G56"/>
  <c r="F56"/>
  <c r="D56"/>
  <c r="E56"/>
  <c r="C56"/>
  <c r="B32" i="17"/>
  <c r="A33"/>
  <c r="K69" i="26" l="1"/>
  <c r="M68"/>
  <c r="E54" i="44"/>
  <c r="D54"/>
  <c r="B55"/>
  <c r="F54"/>
  <c r="C54"/>
  <c r="B58" i="24"/>
  <c r="G57"/>
  <c r="D57"/>
  <c r="F57"/>
  <c r="E57"/>
  <c r="C57"/>
  <c r="G90"/>
  <c r="B91"/>
  <c r="D90"/>
  <c r="F90"/>
  <c r="E90"/>
  <c r="C90"/>
  <c r="B33" i="17"/>
  <c r="A34"/>
  <c r="K70" i="26" l="1"/>
  <c r="M69"/>
  <c r="D55" i="44"/>
  <c r="B56"/>
  <c r="C55"/>
  <c r="F55"/>
  <c r="E55"/>
  <c r="B59" i="24"/>
  <c r="G58"/>
  <c r="F58"/>
  <c r="D58"/>
  <c r="E58"/>
  <c r="C58"/>
  <c r="G91"/>
  <c r="B92"/>
  <c r="E91"/>
  <c r="F91"/>
  <c r="D91"/>
  <c r="C91"/>
  <c r="B34" i="17"/>
  <c r="A35"/>
  <c r="K71" i="26" l="1"/>
  <c r="M70"/>
  <c r="B57" i="44"/>
  <c r="C56"/>
  <c r="F56"/>
  <c r="E56"/>
  <c r="D56"/>
  <c r="G59" i="24"/>
  <c r="F59"/>
  <c r="D59"/>
  <c r="E59"/>
  <c r="C59"/>
  <c r="G92"/>
  <c r="B93"/>
  <c r="D92"/>
  <c r="F92"/>
  <c r="E92"/>
  <c r="C92"/>
  <c r="B35" i="17"/>
  <c r="A36"/>
  <c r="K72" i="26" l="1"/>
  <c r="M71"/>
  <c r="F57" i="44"/>
  <c r="E57"/>
  <c r="B58"/>
  <c r="D57"/>
  <c r="C57"/>
  <c r="G93" i="24"/>
  <c r="B94"/>
  <c r="F93"/>
  <c r="E93"/>
  <c r="D93"/>
  <c r="C93"/>
  <c r="B36" i="17"/>
  <c r="A37"/>
  <c r="K73" i="26" l="1"/>
  <c r="M72"/>
  <c r="E58" i="44"/>
  <c r="D58"/>
  <c r="C58"/>
  <c r="B59"/>
  <c r="F58"/>
  <c r="G94" i="24"/>
  <c r="B95"/>
  <c r="F94"/>
  <c r="D94"/>
  <c r="E94"/>
  <c r="C94"/>
  <c r="B37" i="17"/>
  <c r="A38"/>
  <c r="K74" i="26" l="1"/>
  <c r="M73"/>
  <c r="D59" i="44"/>
  <c r="B60"/>
  <c r="C59"/>
  <c r="F59"/>
  <c r="E59"/>
  <c r="G95" i="24"/>
  <c r="B96"/>
  <c r="E95"/>
  <c r="D95"/>
  <c r="F95"/>
  <c r="C95"/>
  <c r="B38" i="17"/>
  <c r="A39"/>
  <c r="K75" i="26" l="1"/>
  <c r="M74"/>
  <c r="B61" i="44"/>
  <c r="C60"/>
  <c r="F60"/>
  <c r="E60"/>
  <c r="D60"/>
  <c r="G96" i="24"/>
  <c r="B97"/>
  <c r="E96"/>
  <c r="F96"/>
  <c r="D96"/>
  <c r="C96"/>
  <c r="B39" i="17"/>
  <c r="A40"/>
  <c r="K76" i="26" l="1"/>
  <c r="M75"/>
  <c r="F61" i="44"/>
  <c r="E61"/>
  <c r="D61"/>
  <c r="C61"/>
  <c r="B62"/>
  <c r="G97" i="24"/>
  <c r="B98"/>
  <c r="F97"/>
  <c r="D97"/>
  <c r="E97"/>
  <c r="C97"/>
  <c r="B40" i="17"/>
  <c r="A41"/>
  <c r="K77" i="26" l="1"/>
  <c r="M77" s="1"/>
  <c r="M76"/>
  <c r="E62" i="44"/>
  <c r="D62"/>
  <c r="B63"/>
  <c r="F62"/>
  <c r="C62"/>
  <c r="G98" i="24"/>
  <c r="B99"/>
  <c r="F98"/>
  <c r="D98"/>
  <c r="E98"/>
  <c r="C98"/>
  <c r="B41" i="17"/>
  <c r="A42"/>
  <c r="D63" i="44" l="1"/>
  <c r="B64"/>
  <c r="C63"/>
  <c r="F63"/>
  <c r="E63"/>
  <c r="G99" i="24"/>
  <c r="B100"/>
  <c r="D99"/>
  <c r="F99"/>
  <c r="E99"/>
  <c r="C99"/>
  <c r="B42" i="17"/>
  <c r="A43"/>
  <c r="B65" i="44" l="1"/>
  <c r="C64"/>
  <c r="F64"/>
  <c r="E64"/>
  <c r="D64"/>
  <c r="G100" i="24"/>
  <c r="F100"/>
  <c r="E100"/>
  <c r="D100"/>
  <c r="C100"/>
  <c r="B43" i="17"/>
  <c r="A44"/>
  <c r="F65" i="44" l="1"/>
  <c r="E65"/>
  <c r="B66"/>
  <c r="D65"/>
  <c r="C65"/>
  <c r="B44" i="17"/>
  <c r="A45"/>
  <c r="E66" i="44" l="1"/>
  <c r="D66"/>
  <c r="C66"/>
  <c r="F66"/>
  <c r="B45" i="17"/>
  <c r="A46"/>
  <c r="B46" l="1"/>
  <c r="A47"/>
  <c r="B47" l="1"/>
  <c r="A48"/>
  <c r="B48" l="1"/>
  <c r="A49"/>
  <c r="B49" l="1"/>
  <c r="A50"/>
  <c r="B50" l="1"/>
  <c r="A51"/>
  <c r="B51" l="1"/>
  <c r="A52"/>
  <c r="B52" l="1"/>
  <c r="A53"/>
  <c r="B53" l="1"/>
  <c r="A54"/>
  <c r="B54" l="1"/>
  <c r="A55"/>
  <c r="B55" l="1"/>
  <c r="A56"/>
  <c r="B56" l="1"/>
  <c r="A57"/>
  <c r="B57" l="1"/>
  <c r="A58"/>
  <c r="B58" l="1"/>
  <c r="A59"/>
  <c r="B59" l="1"/>
  <c r="A60"/>
  <c r="B60" l="1"/>
  <c r="A61"/>
  <c r="B61" l="1"/>
  <c r="A62"/>
  <c r="B62" l="1"/>
  <c r="A63"/>
  <c r="B63" l="1"/>
  <c r="A64"/>
  <c r="B64" l="1"/>
  <c r="A65"/>
  <c r="B65" l="1"/>
  <c r="A66"/>
  <c r="B66" l="1"/>
  <c r="A67"/>
  <c r="B67" l="1"/>
  <c r="A68"/>
  <c r="B68" l="1"/>
  <c r="A69"/>
  <c r="B69" l="1"/>
  <c r="A70"/>
  <c r="B70" l="1"/>
  <c r="A71"/>
  <c r="B71" l="1"/>
  <c r="A72"/>
  <c r="B72" l="1"/>
  <c r="A73"/>
  <c r="B73" l="1"/>
  <c r="A74"/>
  <c r="B74" l="1"/>
  <c r="A75"/>
  <c r="B75" l="1"/>
  <c r="A76"/>
  <c r="B76" l="1"/>
  <c r="A77"/>
  <c r="B77" l="1"/>
  <c r="A78"/>
  <c r="B78" l="1"/>
  <c r="A79"/>
  <c r="B79" l="1"/>
  <c r="A80"/>
  <c r="B80" l="1"/>
  <c r="A81"/>
  <c r="B81" l="1"/>
  <c r="A82"/>
  <c r="B82" l="1"/>
  <c r="A83"/>
  <c r="B83" l="1"/>
  <c r="A84"/>
  <c r="B84" l="1"/>
  <c r="A85"/>
  <c r="B85" l="1"/>
  <c r="A86"/>
  <c r="B86" l="1"/>
  <c r="A87"/>
  <c r="B87" l="1"/>
  <c r="A88"/>
  <c r="B88" l="1"/>
  <c r="A89"/>
  <c r="B89" l="1"/>
  <c r="A90"/>
  <c r="B90" l="1"/>
  <c r="A91"/>
  <c r="B91" l="1"/>
  <c r="A92"/>
  <c r="B92" l="1"/>
  <c r="A93"/>
  <c r="B93" l="1"/>
  <c r="A94"/>
  <c r="B94" l="1"/>
  <c r="A95"/>
  <c r="B95" l="1"/>
  <c r="A96"/>
  <c r="B96" l="1"/>
  <c r="A97"/>
  <c r="B97" l="1"/>
  <c r="A98"/>
  <c r="B98" l="1"/>
  <c r="A99"/>
  <c r="B99" l="1"/>
  <c r="A100"/>
  <c r="B100" l="1"/>
  <c r="A101"/>
  <c r="B101" l="1"/>
  <c r="A102"/>
  <c r="B102" l="1"/>
  <c r="A103"/>
  <c r="B103" l="1"/>
  <c r="A104"/>
  <c r="B104" s="1"/>
  <c r="M6" i="83" l="1"/>
  <c r="M18"/>
  <c r="M13"/>
  <c r="M16"/>
  <c r="M9"/>
  <c r="M14"/>
  <c r="M11"/>
  <c r="M12"/>
  <c r="M10"/>
  <c r="M15"/>
  <c r="M19"/>
  <c r="M7"/>
  <c r="M8"/>
  <c r="M17"/>
  <c r="M5"/>
  <c r="M21" l="1"/>
  <c r="M22"/>
  <c r="P6"/>
  <c r="R6" s="1"/>
  <c r="I18" i="214" l="1"/>
  <c r="I17"/>
  <c r="I19"/>
  <c r="I16"/>
  <c r="I21" l="1"/>
  <c r="Q38"/>
  <c r="Q37"/>
  <c r="Q30"/>
  <c r="Q31"/>
  <c r="Q32"/>
  <c r="Q34"/>
  <c r="Q35"/>
  <c r="Q36"/>
  <c r="Q29"/>
  <c r="Q33"/>
  <c r="G4" i="286" l="1"/>
  <c r="Z21" i="302" l="1"/>
  <c r="AC20" l="1"/>
  <c r="Z20"/>
  <c r="AA20" s="1"/>
  <c r="AB20" s="1"/>
  <c r="AC19"/>
  <c r="Z19"/>
  <c r="AA19" s="1"/>
  <c r="AB19" s="1"/>
  <c r="Z27" l="1"/>
  <c r="AC25" l="1"/>
  <c r="Z25"/>
  <c r="AA25" s="1"/>
  <c r="AB25" s="1"/>
  <c r="AC26"/>
  <c r="Z26"/>
  <c r="AA26" s="1"/>
  <c r="AB26" s="1"/>
  <c r="G35" i="340" l="1"/>
  <c r="G14"/>
  <c r="G21"/>
  <c r="G28"/>
  <c r="G26"/>
  <c r="G33"/>
  <c r="G19"/>
  <c r="G12"/>
  <c r="G34"/>
  <c r="G13"/>
  <c r="G27"/>
  <c r="G20"/>
  <c r="G25"/>
  <c r="G32"/>
  <c r="G18"/>
  <c r="G11"/>
  <c r="F21"/>
  <c r="F35"/>
  <c r="F28"/>
  <c r="F14"/>
  <c r="H34"/>
  <c r="H27"/>
  <c r="H20"/>
  <c r="H13"/>
  <c r="H32"/>
  <c r="H25"/>
  <c r="H11"/>
  <c r="H18"/>
  <c r="H14"/>
  <c r="H35"/>
  <c r="H21"/>
  <c r="H28"/>
  <c r="H12"/>
  <c r="H33"/>
  <c r="H26"/>
  <c r="H19"/>
  <c r="I28"/>
  <c r="I35"/>
  <c r="I14"/>
  <c r="I21"/>
  <c r="I26"/>
  <c r="I12"/>
  <c r="I33"/>
  <c r="I19"/>
  <c r="F13"/>
  <c r="F27"/>
  <c r="F34"/>
  <c r="F20"/>
  <c r="I13"/>
  <c r="I20"/>
  <c r="I27"/>
  <c r="I34"/>
  <c r="I25"/>
  <c r="I32"/>
  <c r="I18"/>
  <c r="I11"/>
  <c r="F11"/>
  <c r="F32"/>
  <c r="F25"/>
  <c r="F18"/>
  <c r="F26"/>
  <c r="F19"/>
  <c r="F33"/>
  <c r="F12"/>
  <c r="D25" l="1"/>
  <c r="D18"/>
  <c r="D32"/>
  <c r="D11"/>
  <c r="R5" i="401" l="1" a="1"/>
  <c r="R5" s="1"/>
  <c r="R6" l="1"/>
  <c r="O5" s="1"/>
  <c r="P5" s="1"/>
  <c r="O7" l="1"/>
  <c r="P7" s="1"/>
  <c r="O13"/>
  <c r="P13" s="1"/>
  <c r="O11"/>
  <c r="P11" s="1"/>
  <c r="O12"/>
  <c r="P12" s="1"/>
  <c r="O4"/>
  <c r="P4" s="1"/>
  <c r="O9"/>
  <c r="P9" s="1"/>
  <c r="O10"/>
  <c r="P10" s="1"/>
  <c r="O6"/>
  <c r="P6" s="1"/>
  <c r="O8"/>
  <c r="P8" s="1"/>
  <c r="P14" l="1"/>
  <c r="V4" i="73"/>
  <c r="V5" l="1"/>
  <c r="V9" l="1"/>
  <c r="V7"/>
  <c r="V12"/>
  <c r="V11"/>
  <c r="V8"/>
  <c r="V10"/>
  <c r="Y9" l="1"/>
  <c r="Y12" s="1"/>
  <c r="Y13" s="1"/>
  <c r="Y15" s="1"/>
  <c r="Z5" i="401" l="1" a="1"/>
  <c r="L16" i="431" l="1"/>
  <c r="J9"/>
  <c r="K17"/>
  <c r="L17" s="1"/>
  <c r="J11" s="1"/>
  <c r="F7" i="427"/>
  <c r="G15"/>
  <c r="H15" s="1"/>
  <c r="F9" s="1"/>
  <c r="H14"/>
  <c r="L46" i="431"/>
  <c r="J39"/>
  <c r="K47"/>
  <c r="L47" s="1"/>
  <c r="J41" s="1"/>
  <c r="M46" l="1"/>
  <c r="N46" s="1"/>
  <c r="O46" s="1"/>
  <c r="F8" i="427"/>
  <c r="F6"/>
  <c r="I14"/>
  <c r="J14" s="1"/>
  <c r="K14" s="1"/>
  <c r="J10" i="431"/>
  <c r="J8"/>
  <c r="J40"/>
  <c r="J38"/>
  <c r="M16"/>
  <c r="N16" s="1"/>
  <c r="O16" s="1"/>
  <c r="I55" i="463" l="1"/>
  <c r="J55" s="1"/>
  <c r="I38"/>
  <c r="J38" s="1"/>
  <c r="H15" i="462"/>
  <c r="I15" s="1"/>
  <c r="H16" l="1"/>
  <c r="I16" s="1"/>
  <c r="L16"/>
  <c r="K16"/>
  <c r="I56" i="463"/>
  <c r="J56" s="1"/>
  <c r="L56"/>
  <c r="M56"/>
  <c r="I39"/>
  <c r="J39" s="1"/>
  <c r="L39"/>
  <c r="M39"/>
  <c r="L17" i="462"/>
  <c r="H17"/>
  <c r="I17" s="1"/>
  <c r="K17"/>
  <c r="X23" i="466" l="1" a="1"/>
  <c r="Z23" l="1"/>
  <c r="Y24"/>
  <c r="Y23"/>
  <c r="X24"/>
  <c r="X23"/>
  <c r="Z24"/>
  <c r="X25"/>
  <c r="Y25"/>
  <c r="Z25"/>
  <c r="AE20" l="1" a="1"/>
  <c r="AF25" l="1"/>
  <c r="AG25"/>
  <c r="AI22"/>
  <c r="AI20"/>
  <c r="AF24"/>
  <c r="AJ20"/>
  <c r="AE24"/>
  <c r="AG22"/>
  <c r="AF22"/>
  <c r="AG24"/>
  <c r="AE25"/>
  <c r="AI25"/>
  <c r="AG20"/>
  <c r="AI24"/>
  <c r="AJ21"/>
  <c r="AH24"/>
  <c r="AE20"/>
  <c r="AH23"/>
  <c r="AI23"/>
  <c r="AF21"/>
  <c r="AI21"/>
  <c r="AE22"/>
  <c r="AH25"/>
  <c r="AG23"/>
  <c r="AH21"/>
  <c r="AE23"/>
  <c r="AJ22"/>
  <c r="AH20"/>
  <c r="AJ25"/>
  <c r="AE21"/>
  <c r="AJ23"/>
  <c r="AF20"/>
  <c r="AG21"/>
  <c r="AH22"/>
  <c r="AJ24"/>
  <c r="AF23"/>
  <c r="J23" l="1"/>
  <c r="J22"/>
  <c r="K22" s="1"/>
  <c r="M30"/>
  <c r="J29"/>
  <c r="K29" s="1"/>
  <c r="X23" i="468" a="1"/>
  <c r="Y23" s="1"/>
  <c r="Z23" l="1"/>
  <c r="Z25"/>
  <c r="J30" i="466"/>
  <c r="K30" s="1"/>
  <c r="N30"/>
  <c r="J31"/>
  <c r="K31" s="1"/>
  <c r="M31"/>
  <c r="N31"/>
  <c r="N23"/>
  <c r="K23"/>
  <c r="M23"/>
  <c r="N24"/>
  <c r="M24"/>
  <c r="J24"/>
  <c r="K24" s="1"/>
  <c r="Y25" i="468"/>
  <c r="X23"/>
  <c r="X24"/>
  <c r="X25"/>
  <c r="Z24"/>
  <c r="Y24"/>
  <c r="AE20" l="1" a="1"/>
  <c r="AF24" s="1"/>
  <c r="AI24" l="1"/>
  <c r="AJ23"/>
  <c r="AI25"/>
  <c r="AJ21"/>
  <c r="AJ24"/>
  <c r="AI22"/>
  <c r="AF23"/>
  <c r="AG22"/>
  <c r="AG25"/>
  <c r="AE22"/>
  <c r="AE21"/>
  <c r="AH20"/>
  <c r="AG24"/>
  <c r="AF25"/>
  <c r="AH21"/>
  <c r="AG21"/>
  <c r="AI20"/>
  <c r="AF21"/>
  <c r="AH24"/>
  <c r="AE23"/>
  <c r="AE24"/>
  <c r="AH23"/>
  <c r="AG20"/>
  <c r="AJ22"/>
  <c r="AH25"/>
  <c r="AI21"/>
  <c r="AE25"/>
  <c r="AG23"/>
  <c r="AF20"/>
  <c r="AF22"/>
  <c r="AI23"/>
  <c r="AJ25"/>
  <c r="AH22"/>
  <c r="AJ20"/>
  <c r="AE20"/>
  <c r="M32" l="1"/>
  <c r="J30"/>
  <c r="K30" s="1"/>
  <c r="M31"/>
  <c r="J22"/>
  <c r="K22" s="1"/>
  <c r="N24"/>
  <c r="J23"/>
  <c r="K23" s="1"/>
  <c r="J32" l="1"/>
  <c r="K32" s="1"/>
  <c r="N32"/>
  <c r="J24"/>
  <c r="K24" s="1"/>
  <c r="M24"/>
  <c r="N31"/>
  <c r="N23"/>
  <c r="M23"/>
  <c r="J31"/>
  <c r="K31" s="1"/>
  <c r="AA10"/>
  <c r="AA13"/>
  <c r="AA11"/>
  <c r="AA14"/>
  <c r="AA12"/>
  <c r="AA15"/>
  <c r="I21" i="463" l="1"/>
  <c r="J21" s="1"/>
  <c r="K20" i="461"/>
  <c r="H19"/>
  <c r="I19" s="1"/>
  <c r="K86" i="463"/>
  <c r="L86" s="1"/>
  <c r="H20" i="461" l="1"/>
  <c r="I20" s="1"/>
  <c r="N87" i="463"/>
  <c r="O87"/>
  <c r="K87"/>
  <c r="L87" s="1"/>
  <c r="L22"/>
  <c r="M22"/>
  <c r="I22"/>
  <c r="J22" s="1"/>
  <c r="L20" i="461"/>
  <c r="O88" i="463"/>
  <c r="N88"/>
  <c r="K88"/>
  <c r="L88" s="1"/>
  <c r="L23"/>
  <c r="M23"/>
  <c r="I23"/>
  <c r="J23" s="1"/>
  <c r="N89"/>
  <c r="K89"/>
  <c r="L89" s="1"/>
  <c r="O89"/>
  <c r="R21" i="401" l="1" a="1"/>
  <c r="AH5" a="1"/>
  <c r="AD10" i="468" l="1" a="1"/>
  <c r="AD15" s="1"/>
  <c r="AD12" l="1"/>
  <c r="AD8" s="1"/>
  <c r="AD13"/>
  <c r="AE6" s="1"/>
  <c r="AE8"/>
  <c r="AD10"/>
  <c r="AD14"/>
  <c r="AD11"/>
  <c r="AG10" l="1" a="1"/>
  <c r="AG15" s="1"/>
  <c r="AH8" s="1"/>
  <c r="AD7"/>
  <c r="AE7"/>
  <c r="AD6"/>
  <c r="AG10" l="1"/>
  <c r="AG6" s="1"/>
  <c r="AG11"/>
  <c r="AG7" s="1"/>
  <c r="AG13"/>
  <c r="AH6" s="1"/>
  <c r="AG14"/>
  <c r="AH7" s="1"/>
  <c r="AG12"/>
  <c r="AG8" s="1"/>
  <c r="Z21" i="401" l="1" a="1"/>
  <c r="AP5" a="1"/>
  <c r="AX5" l="1" a="1"/>
  <c r="X23" i="471" l="1" a="1"/>
  <c r="J22" l="1"/>
  <c r="K22" s="1"/>
  <c r="M24"/>
  <c r="J30"/>
  <c r="K30" s="1"/>
  <c r="N31"/>
  <c r="M32"/>
  <c r="N32" l="1"/>
  <c r="J32"/>
  <c r="K32" s="1"/>
  <c r="J23"/>
  <c r="K23" s="1"/>
  <c r="N23"/>
  <c r="M23"/>
  <c r="N24"/>
  <c r="M31"/>
  <c r="J31"/>
  <c r="K31" s="1"/>
  <c r="J24"/>
  <c r="K24" s="1"/>
  <c r="T12" i="486" l="1"/>
  <c r="S13"/>
  <c r="T13" s="1"/>
  <c r="R7" s="1"/>
  <c r="R5"/>
  <c r="R4" l="1"/>
  <c r="R6"/>
  <c r="U12"/>
  <c r="V12" s="1"/>
  <c r="W12" s="1"/>
  <c r="S15" i="499" l="1"/>
  <c r="T15" s="1"/>
  <c r="R9" s="1"/>
  <c r="T14"/>
  <c r="R7"/>
  <c r="L14"/>
  <c r="K15"/>
  <c r="L15" s="1"/>
  <c r="J9" s="1"/>
  <c r="J7"/>
  <c r="K21" i="502" l="1"/>
  <c r="L13" s="1"/>
  <c r="M13" s="1"/>
  <c r="U14" i="499"/>
  <c r="V14" s="1"/>
  <c r="W14" s="1"/>
  <c r="M14"/>
  <c r="N14" s="1"/>
  <c r="O14" s="1"/>
  <c r="R6"/>
  <c r="R8"/>
  <c r="J6"/>
  <c r="J8"/>
  <c r="L16" i="502" l="1"/>
  <c r="M16" s="1"/>
  <c r="L17"/>
  <c r="M17" s="1"/>
  <c r="L15"/>
  <c r="M15" s="1"/>
  <c r="L14"/>
  <c r="M14" s="1"/>
  <c r="M19" l="1"/>
  <c r="M18"/>
  <c r="M20"/>
  <c r="N7" i="514" l="1"/>
  <c r="P14"/>
  <c r="O15"/>
  <c r="AA4" l="1"/>
  <c r="AA6" s="1"/>
  <c r="AA7" s="1"/>
  <c r="AB10" s="1" a="1"/>
  <c r="P15"/>
  <c r="N9" s="1"/>
  <c r="N6"/>
  <c r="N8"/>
  <c r="AB10" l="1"/>
  <c r="AB12"/>
  <c r="AB13"/>
  <c r="AB11"/>
  <c r="Q14"/>
  <c r="R14" s="1"/>
  <c r="S14" s="1"/>
  <c r="AE6" l="1"/>
  <c r="AE14"/>
  <c r="AE17"/>
  <c r="AE13"/>
  <c r="AE18"/>
  <c r="AE24" l="1"/>
  <c r="AE25"/>
  <c r="I7" i="583" l="1"/>
  <c r="H41" i="604" l="1"/>
  <c r="I41"/>
  <c r="H45" l="1"/>
  <c r="H46" s="1"/>
  <c r="O23" i="350" l="1"/>
  <c r="H30" i="613"/>
  <c r="P23" i="350"/>
  <c r="I15" i="606"/>
  <c r="J15" s="1"/>
  <c r="J14"/>
  <c r="H7"/>
  <c r="H13" i="604"/>
  <c r="H48" i="613"/>
  <c r="U23" i="350"/>
  <c r="V23"/>
  <c r="H48" i="604"/>
  <c r="H30"/>
  <c r="I12" i="581"/>
  <c r="H13" i="613"/>
  <c r="G14" i="607"/>
  <c r="F15"/>
  <c r="G15" s="1"/>
  <c r="E7"/>
  <c r="M8" l="1"/>
  <c r="E9"/>
  <c r="H14"/>
  <c r="I14" s="1"/>
  <c r="J14" s="1"/>
  <c r="H8" i="606"/>
  <c r="H6"/>
  <c r="P8"/>
  <c r="H9"/>
  <c r="E8" i="607"/>
  <c r="E6"/>
  <c r="K14" i="606"/>
  <c r="L14" s="1"/>
  <c r="M14" s="1"/>
  <c r="Q8" l="1"/>
  <c r="Q11" a="1"/>
  <c r="Q11" s="1"/>
  <c r="P11" a="1"/>
  <c r="P11" s="1"/>
  <c r="N8" i="607"/>
  <c r="N11" a="1"/>
  <c r="N11" s="1"/>
  <c r="M11" a="1"/>
  <c r="M11" s="1"/>
  <c r="M12" l="1"/>
  <c r="M13"/>
  <c r="P12" i="606"/>
  <c r="P13"/>
  <c r="Q12"/>
  <c r="Q13"/>
  <c r="N13" i="607"/>
  <c r="N12"/>
  <c r="AA71" i="463" l="1" a="1"/>
  <c r="AA20" i="471" a="1"/>
  <c r="AE6" a="1"/>
  <c r="W29" i="463" a="1"/>
  <c r="X20" i="471" a="1"/>
  <c r="V6" i="461" a="1"/>
  <c r="AD6" i="471" a="1"/>
  <c r="W50" i="463" a="1"/>
  <c r="W6" i="462" a="1"/>
  <c r="R9" i="401" a="1"/>
  <c r="X6" i="463" a="1"/>
  <c r="AA23" i="471" a="1"/>
  <c r="AB23" l="1"/>
  <c r="AC25"/>
  <c r="AC23"/>
  <c r="AB24"/>
  <c r="AB25"/>
  <c r="AC24"/>
  <c r="AA23"/>
  <c r="AA24"/>
  <c r="AA25"/>
  <c r="X8" i="463"/>
  <c r="Z6"/>
  <c r="Y7"/>
  <c r="X7"/>
  <c r="Y6"/>
  <c r="Z8"/>
  <c r="Y8"/>
  <c r="X6"/>
  <c r="Z7"/>
  <c r="S9" i="401"/>
  <c r="S10"/>
  <c r="R10"/>
  <c r="R9"/>
  <c r="X8" i="462"/>
  <c r="X7"/>
  <c r="Y8"/>
  <c r="Y7"/>
  <c r="W8"/>
  <c r="Y6"/>
  <c r="W7"/>
  <c r="X6"/>
  <c r="W6"/>
  <c r="W50" i="463"/>
  <c r="W51"/>
  <c r="X51"/>
  <c r="X50"/>
  <c r="AD7" i="471"/>
  <c r="AD11" s="1"/>
  <c r="AD6"/>
  <c r="AD10" s="1"/>
  <c r="AD8"/>
  <c r="AD12" s="1"/>
  <c r="W6" i="461"/>
  <c r="W7"/>
  <c r="V7"/>
  <c r="V6"/>
  <c r="Z21" i="471"/>
  <c r="X20"/>
  <c r="AE20" s="1" a="1"/>
  <c r="X21"/>
  <c r="Z20"/>
  <c r="Y20"/>
  <c r="Y22"/>
  <c r="Y21"/>
  <c r="X22"/>
  <c r="Z22"/>
  <c r="X29" i="463"/>
  <c r="X30"/>
  <c r="W30"/>
  <c r="W29"/>
  <c r="AE6" i="471"/>
  <c r="AD13" s="1"/>
  <c r="AE8"/>
  <c r="AD15" s="1"/>
  <c r="AE7"/>
  <c r="AD14" s="1"/>
  <c r="AB20"/>
  <c r="Y23" s="1"/>
  <c r="AA22"/>
  <c r="X25" s="1"/>
  <c r="AC20"/>
  <c r="Z23" s="1"/>
  <c r="AC21"/>
  <c r="Z24" s="1"/>
  <c r="AC22"/>
  <c r="Z25" s="1"/>
  <c r="AA21"/>
  <c r="X24" s="1"/>
  <c r="AB21"/>
  <c r="Y24" s="1"/>
  <c r="AA20"/>
  <c r="X23" s="1"/>
  <c r="AB22"/>
  <c r="Y25" s="1"/>
  <c r="AC71" i="463"/>
  <c r="AB71"/>
  <c r="AA74"/>
  <c r="AB73"/>
  <c r="AC74"/>
  <c r="AB74"/>
  <c r="AD71"/>
  <c r="AA71"/>
  <c r="AD74"/>
  <c r="AD73"/>
  <c r="AA73"/>
  <c r="AC73"/>
  <c r="AA72"/>
  <c r="AD72"/>
  <c r="AB72"/>
  <c r="AC72"/>
  <c r="Z50" a="1"/>
  <c r="Y6" i="461" a="1"/>
  <c r="AB6" i="463" a="1"/>
  <c r="AA6" i="462" a="1"/>
  <c r="Z29" i="463" a="1"/>
  <c r="R13" i="401" a="1"/>
  <c r="AF71" i="463" a="1"/>
  <c r="AF74" l="1"/>
  <c r="AF71"/>
  <c r="AF72"/>
  <c r="AF73"/>
  <c r="R14" i="401"/>
  <c r="Z6" s="1"/>
  <c r="R13"/>
  <c r="Z5" s="1"/>
  <c r="Z29" i="463"/>
  <c r="Z30"/>
  <c r="AA6" i="462"/>
  <c r="AA7"/>
  <c r="AA8"/>
  <c r="AB6" i="463"/>
  <c r="AB7"/>
  <c r="AB8"/>
  <c r="Y7" i="461"/>
  <c r="Y6"/>
  <c r="Z50" i="463"/>
  <c r="Z51"/>
  <c r="AH20" i="471"/>
  <c r="AJ25"/>
  <c r="AE21"/>
  <c r="AH24"/>
  <c r="AH21"/>
  <c r="AJ20"/>
  <c r="AE23"/>
  <c r="AG23"/>
  <c r="AJ24"/>
  <c r="AF22"/>
  <c r="AF20"/>
  <c r="AF25"/>
  <c r="AH22"/>
  <c r="AG24"/>
  <c r="AF24"/>
  <c r="AI24"/>
  <c r="AG21"/>
  <c r="AF23"/>
  <c r="AJ21"/>
  <c r="AI21"/>
  <c r="AE20"/>
  <c r="AG10" s="1" a="1"/>
  <c r="AI25"/>
  <c r="AI23"/>
  <c r="AI20"/>
  <c r="AG22"/>
  <c r="AF21"/>
  <c r="AI22"/>
  <c r="AE25"/>
  <c r="AJ22"/>
  <c r="AG20"/>
  <c r="AG25"/>
  <c r="AH23"/>
  <c r="AJ23"/>
  <c r="AH25"/>
  <c r="AE22"/>
  <c r="AE24"/>
  <c r="W9" i="401" l="1"/>
  <c r="X9" s="1"/>
  <c r="W4"/>
  <c r="X4" s="1"/>
  <c r="X14" s="1"/>
  <c r="W12"/>
  <c r="X12" s="1"/>
  <c r="W13"/>
  <c r="X13" s="1"/>
  <c r="W10"/>
  <c r="X10" s="1"/>
  <c r="W7"/>
  <c r="X7" s="1"/>
  <c r="W11"/>
  <c r="X11" s="1"/>
  <c r="W5"/>
  <c r="X5" s="1"/>
  <c r="W6"/>
  <c r="X6" s="1"/>
  <c r="W8"/>
  <c r="X8" s="1"/>
  <c r="AG13" i="471"/>
  <c r="AH6" s="1"/>
  <c r="AG14"/>
  <c r="AH7" s="1"/>
  <c r="AG15"/>
  <c r="AH8" s="1"/>
  <c r="AG10"/>
  <c r="AG6" s="1"/>
  <c r="AG11"/>
  <c r="AG7" s="1"/>
  <c r="AG12"/>
  <c r="AG8" s="1"/>
  <c r="Z9" i="401" a="1"/>
  <c r="Z10"/>
  <c r="AA10"/>
  <c r="Z9"/>
  <c r="AA9"/>
  <c r="Z13" a="1"/>
  <c r="Z14" l="1"/>
  <c r="Z13"/>
  <c r="R21" l="1"/>
  <c r="AH5"/>
  <c r="AH6"/>
  <c r="R22"/>
  <c r="AE9" l="1"/>
  <c r="AF9" s="1"/>
  <c r="AE5"/>
  <c r="AF5" s="1"/>
  <c r="AE6"/>
  <c r="AF6" s="1"/>
  <c r="AE8"/>
  <c r="AF8" s="1"/>
  <c r="AE11"/>
  <c r="AF11" s="1"/>
  <c r="AE4"/>
  <c r="AF4" s="1"/>
  <c r="AF14" s="1"/>
  <c r="AE10"/>
  <c r="AF10" s="1"/>
  <c r="AE13"/>
  <c r="AF13" s="1"/>
  <c r="AE7"/>
  <c r="AF7" s="1"/>
  <c r="AE12"/>
  <c r="AF12" s="1"/>
  <c r="O27"/>
  <c r="P27" s="1"/>
  <c r="O24"/>
  <c r="P24" s="1"/>
  <c r="O25"/>
  <c r="P25" s="1"/>
  <c r="O22"/>
  <c r="P22" s="1"/>
  <c r="O21"/>
  <c r="P21" s="1"/>
  <c r="O20"/>
  <c r="P20" s="1"/>
  <c r="P30" s="1"/>
  <c r="O23"/>
  <c r="P23" s="1"/>
  <c r="O26"/>
  <c r="P26" s="1"/>
  <c r="O28"/>
  <c r="P28" s="1"/>
  <c r="O29"/>
  <c r="P29" s="1"/>
  <c r="AH9" a="1"/>
  <c r="AH10"/>
  <c r="AH9"/>
  <c r="AI9"/>
  <c r="AI10"/>
  <c r="R25" a="1"/>
  <c r="S26"/>
  <c r="R26"/>
  <c r="S25"/>
  <c r="R25"/>
  <c r="R29" a="1"/>
  <c r="AH13" a="1"/>
  <c r="AH13" l="1"/>
  <c r="AP5" s="1"/>
  <c r="AH14"/>
  <c r="AP6" s="1"/>
  <c r="R30"/>
  <c r="Z22" s="1"/>
  <c r="R29"/>
  <c r="Z21" s="1"/>
  <c r="AM6" l="1"/>
  <c r="AN6" s="1"/>
  <c r="AM9"/>
  <c r="AN9" s="1"/>
  <c r="AM11"/>
  <c r="AN11" s="1"/>
  <c r="AM8"/>
  <c r="AN8" s="1"/>
  <c r="AM13"/>
  <c r="AN13" s="1"/>
  <c r="AM5"/>
  <c r="AN5" s="1"/>
  <c r="AM10"/>
  <c r="AN10" s="1"/>
  <c r="AM4"/>
  <c r="AN4" s="1"/>
  <c r="AN14" s="1"/>
  <c r="AM7"/>
  <c r="AN7" s="1"/>
  <c r="AM12"/>
  <c r="AN12" s="1"/>
  <c r="W27"/>
  <c r="X27" s="1"/>
  <c r="W25"/>
  <c r="X25" s="1"/>
  <c r="W22"/>
  <c r="X22" s="1"/>
  <c r="W21"/>
  <c r="X21" s="1"/>
  <c r="W23"/>
  <c r="X23" s="1"/>
  <c r="W26"/>
  <c r="X26" s="1"/>
  <c r="W20"/>
  <c r="X20" s="1"/>
  <c r="X30" s="1"/>
  <c r="W24"/>
  <c r="X24" s="1"/>
  <c r="W29"/>
  <c r="X29" s="1"/>
  <c r="W28"/>
  <c r="X28" s="1"/>
  <c r="Z25" a="1"/>
  <c r="AA26"/>
  <c r="AA25"/>
  <c r="Z25"/>
  <c r="Z26"/>
  <c r="Z29" a="1"/>
  <c r="AP9" a="1"/>
  <c r="Z30" l="1"/>
  <c r="Z29"/>
  <c r="AP9"/>
  <c r="AQ9"/>
  <c r="AP10"/>
  <c r="AQ10"/>
  <c r="AP13" a="1"/>
  <c r="AP14" l="1"/>
  <c r="AX6" s="1"/>
  <c r="AP13"/>
  <c r="AX5" s="1"/>
  <c r="AU6" l="1"/>
  <c r="AV6" s="1"/>
  <c r="AU7"/>
  <c r="AV7" s="1"/>
  <c r="AU9"/>
  <c r="AV9" s="1"/>
  <c r="AU13"/>
  <c r="AV13" s="1"/>
  <c r="AU5"/>
  <c r="AV5" s="1"/>
  <c r="AU12"/>
  <c r="AV12" s="1"/>
  <c r="AU10"/>
  <c r="AV10" s="1"/>
  <c r="AU11"/>
  <c r="AV11" s="1"/>
  <c r="AU8"/>
  <c r="AV8" s="1"/>
  <c r="AU4"/>
  <c r="AV4" s="1"/>
  <c r="AV14" s="1"/>
  <c r="AX9" a="1"/>
  <c r="AX10"/>
  <c r="AY10"/>
  <c r="AY9"/>
  <c r="AX9"/>
  <c r="AX13" a="1"/>
  <c r="AX13" l="1"/>
  <c r="AX14"/>
</calcChain>
</file>

<file path=xl/sharedStrings.xml><?xml version="1.0" encoding="utf-8"?>
<sst xmlns="http://schemas.openxmlformats.org/spreadsheetml/2006/main" count="19298" uniqueCount="4257">
  <si>
    <t>Table of Contents</t>
  </si>
  <si>
    <t>Results of Marketing Campaign</t>
  </si>
  <si>
    <t>(sales in millions of euros)</t>
  </si>
  <si>
    <t>Brand A</t>
  </si>
  <si>
    <t>Brand B</t>
  </si>
  <si>
    <t>Brand C</t>
  </si>
  <si>
    <t>London</t>
  </si>
  <si>
    <t>Paris</t>
  </si>
  <si>
    <t>Rome</t>
  </si>
  <si>
    <t>Madrid</t>
  </si>
  <si>
    <t>Vienna</t>
  </si>
  <si>
    <t>Berlin</t>
  </si>
  <si>
    <t>Total</t>
  </si>
  <si>
    <t>Average Income by Age</t>
  </si>
  <si>
    <t>Equipment Sales</t>
  </si>
  <si>
    <t>Unit Price</t>
  </si>
  <si>
    <t>Quantity</t>
  </si>
  <si>
    <t>Revenue</t>
  </si>
  <si>
    <t>Desks</t>
  </si>
  <si>
    <t>Lamps</t>
  </si>
  <si>
    <t>Chairs</t>
  </si>
  <si>
    <t>Pen Sets</t>
  </si>
  <si>
    <t>Age</t>
  </si>
  <si>
    <t>Income</t>
  </si>
  <si>
    <t>Transpose</t>
  </si>
  <si>
    <t>Area Code</t>
  </si>
  <si>
    <t>Population</t>
  </si>
  <si>
    <t>Frequency/Distribution Functions</t>
  </si>
  <si>
    <t>x</t>
  </si>
  <si>
    <t>f(x)</t>
  </si>
  <si>
    <t>F(x)</t>
  </si>
  <si>
    <t>Frequency Function</t>
  </si>
  <si>
    <t>f</t>
  </si>
  <si>
    <t>Geometric Mean</t>
  </si>
  <si>
    <t>If you earn 5% interest in year 1, 8% in year 2 and 10% interest in year 3, the average interest is given by the geometric mean</t>
  </si>
  <si>
    <t>Interest - year 1</t>
  </si>
  <si>
    <t>Int1</t>
  </si>
  <si>
    <t>Interest - year 2</t>
  </si>
  <si>
    <t>Int2</t>
  </si>
  <si>
    <t>Interest - year 3</t>
  </si>
  <si>
    <t>Int3</t>
  </si>
  <si>
    <t>Return from year 1</t>
  </si>
  <si>
    <t>= 1 + Int1</t>
  </si>
  <si>
    <t>Return from year 2</t>
  </si>
  <si>
    <t>= 1 + Int2</t>
  </si>
  <si>
    <t>Return from year 3</t>
  </si>
  <si>
    <t>= 1 + Int3</t>
  </si>
  <si>
    <t>Return after year 1</t>
  </si>
  <si>
    <t>= 1 +  Int1</t>
  </si>
  <si>
    <t>Return after year 2</t>
  </si>
  <si>
    <t>= (1 + Int1) * (1 + Int2)</t>
  </si>
  <si>
    <t>Return after year 3</t>
  </si>
  <si>
    <t>= (1 + Int1) * (1 + Int2) * (1 + Int3)</t>
  </si>
  <si>
    <t>Average annual return</t>
  </si>
  <si>
    <t>= SQRT((1 + Int1) * (1 + Int2) * (1 + Int3)) = GEOMEAN(1 + Int1, 1+ Int2, 1 + Int3)</t>
  </si>
  <si>
    <t>Average interest</t>
  </si>
  <si>
    <t>= 1 - Average annual return</t>
  </si>
  <si>
    <t>Total return</t>
  </si>
  <si>
    <t>= (1 + Average Interest) ^ 3 = Return after 3 years as calculated above</t>
  </si>
  <si>
    <t>Combined sample</t>
  </si>
  <si>
    <t>sample 1</t>
  </si>
  <si>
    <t>sample 2</t>
  </si>
  <si>
    <t>combined</t>
  </si>
  <si>
    <t>mean</t>
  </si>
  <si>
    <t>varp</t>
  </si>
  <si>
    <t>size</t>
  </si>
  <si>
    <t>var</t>
  </si>
  <si>
    <t>stdev</t>
  </si>
  <si>
    <t>Rank and Percentile</t>
  </si>
  <si>
    <t>Point</t>
  </si>
  <si>
    <t>Scores</t>
  </si>
  <si>
    <t>Rank</t>
  </si>
  <si>
    <t>Percent</t>
  </si>
  <si>
    <t>Descriptive Statistics data analysis tool</t>
  </si>
  <si>
    <t>Calculations using Excel functions</t>
  </si>
  <si>
    <t>Calculation of MAD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</si>
  <si>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</si>
  <si>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</si>
  <si>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</si>
  <si>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</si>
  <si>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</si>
  <si>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</si>
  <si>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</si>
  <si>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</si>
  <si>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</si>
  <si>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</si>
  <si>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</si>
  <si>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</si>
  <si>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</si>
  <si>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Geometric mean</t>
  </si>
  <si>
    <t>Harmonic mean</t>
  </si>
  <si>
    <t>Harmonic Mean</t>
  </si>
  <si>
    <t>AAD</t>
  </si>
  <si>
    <t>MAD</t>
  </si>
  <si>
    <t>IQR</t>
  </si>
  <si>
    <t>Descriptive Statistics</t>
  </si>
  <si>
    <t>Two sample example using Descriptive Statistics data analysis tool</t>
  </si>
  <si>
    <t>Sample 1</t>
  </si>
  <si>
    <t>Sample 2</t>
  </si>
  <si>
    <t>Mean and Variance based on Frequency Tables</t>
  </si>
  <si>
    <t>freq</t>
  </si>
  <si>
    <t>fx</t>
  </si>
  <si>
    <r>
      <t>fx</t>
    </r>
    <r>
      <rPr>
        <vertAlign val="superscript"/>
        <sz val="11"/>
        <color theme="1"/>
        <rFont val="Calibri"/>
        <family val="2"/>
        <scheme val="minor"/>
      </rPr>
      <t>2</t>
    </r>
  </si>
  <si>
    <t>lower</t>
  </si>
  <si>
    <t>upper</t>
  </si>
  <si>
    <t>midpt</t>
  </si>
  <si>
    <t>n</t>
  </si>
  <si>
    <t>mean-sq</t>
  </si>
  <si>
    <t>Frequency</t>
  </si>
  <si>
    <t>Bins</t>
  </si>
  <si>
    <t>over 80</t>
  </si>
  <si>
    <t>Histogram data analysis tool</t>
  </si>
  <si>
    <t>Bin</t>
  </si>
  <si>
    <t>More</t>
  </si>
  <si>
    <t>Power</t>
  </si>
  <si>
    <t>Sample size for t-test (single sample)</t>
  </si>
  <si>
    <t>Alpha</t>
  </si>
  <si>
    <t>Effect Size</t>
  </si>
  <si>
    <t>Normal distribution</t>
  </si>
  <si>
    <t>IQ Score</t>
  </si>
  <si>
    <t xml:space="preserve">   =NORMDIST(A4,100,16,FALSE)</t>
  </si>
  <si>
    <t>z-scores</t>
  </si>
  <si>
    <t>Comparing the IQ of two populations</t>
  </si>
  <si>
    <t>One with standard IQ scores, the other with a mean 16 points higher</t>
  </si>
  <si>
    <t>P1</t>
  </si>
  <si>
    <t>P2</t>
  </si>
  <si>
    <t>IQ Example - mean = 100, std dev = 16</t>
  </si>
  <si>
    <t>z</t>
  </si>
  <si>
    <t>Conversion from frequency table</t>
  </si>
  <si>
    <t>Frequency Table</t>
  </si>
  <si>
    <t>Raw Data (with duplicates)</t>
  </si>
  <si>
    <t>Score</t>
  </si>
  <si>
    <t>Freq</t>
  </si>
  <si>
    <t>Cum</t>
  </si>
  <si>
    <t>Row</t>
  </si>
  <si>
    <t>Alternative Version</t>
  </si>
  <si>
    <t>Conversion to frequency table</t>
  </si>
  <si>
    <t>Raw Data</t>
  </si>
  <si>
    <t>Table Lookup</t>
  </si>
  <si>
    <t>Method 1</t>
  </si>
  <si>
    <t>Method 2</t>
  </si>
  <si>
    <t>a</t>
  </si>
  <si>
    <t>b</t>
  </si>
  <si>
    <t>c</t>
  </si>
  <si>
    <t>d</t>
  </si>
  <si>
    <t>row</t>
  </si>
  <si>
    <t>col</t>
  </si>
  <si>
    <t>value</t>
  </si>
  <si>
    <t>rindex</t>
  </si>
  <si>
    <t>cindex</t>
  </si>
  <si>
    <t>Method 3</t>
  </si>
  <si>
    <t>Method 4</t>
  </si>
  <si>
    <t>α = .10</t>
  </si>
  <si>
    <t>&gt;10</t>
  </si>
  <si>
    <t>α = .05</t>
  </si>
  <si>
    <t>weight</t>
  </si>
  <si>
    <t>α = .01</t>
  </si>
  <si>
    <t>α</t>
  </si>
  <si>
    <t>offset</t>
  </si>
  <si>
    <t>Boxplot (aka box and whiskers plot)</t>
  </si>
  <si>
    <t>Min</t>
  </si>
  <si>
    <t>Q1-Min</t>
  </si>
  <si>
    <t>Med-Q1</t>
  </si>
  <si>
    <t>Q3-Med</t>
  </si>
  <si>
    <t>Max-Q3</t>
  </si>
  <si>
    <t>Boxplot - Alternative Approach</t>
  </si>
  <si>
    <t>Q1</t>
  </si>
  <si>
    <t>T- vs Normal Distribution</t>
  </si>
  <si>
    <t>Calculating the pdf of the t-distribution</t>
  </si>
  <si>
    <t>k</t>
  </si>
  <si>
    <t>(k+1)/2</t>
  </si>
  <si>
    <t>k/2</t>
  </si>
  <si>
    <t>Gamma((k+1)/2)</t>
  </si>
  <si>
    <t>Gamma(k/2)</t>
  </si>
  <si>
    <t>Sqrt(pi*k)</t>
  </si>
  <si>
    <t>Constant</t>
  </si>
  <si>
    <t>norm</t>
  </si>
  <si>
    <t>One sample t test</t>
  </si>
  <si>
    <t>Subject</t>
  </si>
  <si>
    <t>Weight Loss</t>
  </si>
  <si>
    <t>=COUNT(B4:B15)</t>
  </si>
  <si>
    <t>=AVERAGE(B4:B15)</t>
  </si>
  <si>
    <t>Std Dev</t>
  </si>
  <si>
    <t>Std Err</t>
  </si>
  <si>
    <t>=E5/SQRT(E3)</t>
  </si>
  <si>
    <t>Hyp Mean</t>
  </si>
  <si>
    <t>df</t>
  </si>
  <si>
    <t>=E3-1</t>
  </si>
  <si>
    <t>t stat</t>
  </si>
  <si>
    <t>=(E4-E8)/E6</t>
  </si>
  <si>
    <t>p value</t>
  </si>
  <si>
    <t>t crit</t>
  </si>
  <si>
    <t>Normal</t>
  </si>
  <si>
    <t>T Test: One Sample</t>
  </si>
  <si>
    <t>SUMMARY</t>
  </si>
  <si>
    <t>t</t>
  </si>
  <si>
    <t>Cohen d</t>
  </si>
  <si>
    <t>Effect r</t>
  </si>
  <si>
    <t>T TEST</t>
  </si>
  <si>
    <t xml:space="preserve"> </t>
  </si>
  <si>
    <t>p-value</t>
  </si>
  <si>
    <t>t-crit</t>
  </si>
  <si>
    <t>reject</t>
  </si>
  <si>
    <t>One Tail</t>
  </si>
  <si>
    <t>Two Tail</t>
  </si>
  <si>
    <t>Sample Data</t>
  </si>
  <si>
    <t>Column1</t>
  </si>
  <si>
    <t>Confidence Level(95.0%)</t>
  </si>
  <si>
    <t>Group 1</t>
  </si>
  <si>
    <t>QQ Tables</t>
  </si>
  <si>
    <t>Interval</t>
  </si>
  <si>
    <t>Data</t>
  </si>
  <si>
    <t>Std Data</t>
  </si>
  <si>
    <t>Raw data</t>
  </si>
  <si>
    <t>T test: two independent samples</t>
  </si>
  <si>
    <t>pooled var</t>
  </si>
  <si>
    <t>New</t>
  </si>
  <si>
    <t>Old</t>
  </si>
  <si>
    <t>std dev</t>
  </si>
  <si>
    <t>T Test: Two Independent Samples</t>
  </si>
  <si>
    <t>t-Test: Two-Sample Assuming Equal Variances</t>
  </si>
  <si>
    <t>Hyp Mean Diff</t>
  </si>
  <si>
    <t>Groups</t>
  </si>
  <si>
    <t>Variance</t>
  </si>
  <si>
    <t>Observations</t>
  </si>
  <si>
    <t>Pooled</t>
  </si>
  <si>
    <t>Pooled Variance</t>
  </si>
  <si>
    <t>Hypothesized Mean Difference</t>
  </si>
  <si>
    <t>T TEST: Equal Variances</t>
  </si>
  <si>
    <t>t Stat</t>
  </si>
  <si>
    <t>P(T&lt;=t) one-tail</t>
  </si>
  <si>
    <t>t Critical one-tail</t>
  </si>
  <si>
    <t>P(T&lt;=t) two-tail</t>
  </si>
  <si>
    <t>T TEST: Unequal Variances</t>
  </si>
  <si>
    <t>t Critical two-tail</t>
  </si>
  <si>
    <t>t-Test: Two-Sample Assuming Unequal Variances</t>
  </si>
  <si>
    <t>TTEST</t>
  </si>
  <si>
    <t>=TTEST(A4:A13,B4:B13,2,3)</t>
  </si>
  <si>
    <t>=TTEST(A4:A13,B4:B13,2,2)</t>
  </si>
  <si>
    <t>Control</t>
  </si>
  <si>
    <t>Drug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</si>
  <si>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: ρ = 0</t>
    </r>
  </si>
  <si>
    <t>Two sample t test with paired samples</t>
  </si>
  <si>
    <t>Person</t>
  </si>
  <si>
    <t>Before</t>
  </si>
  <si>
    <t>After</t>
  </si>
  <si>
    <t>Difference</t>
  </si>
  <si>
    <t>t-Test: Paired Two Sample for Means</t>
  </si>
  <si>
    <t>Pearson Correlation</t>
  </si>
  <si>
    <t>sample size n</t>
  </si>
  <si>
    <t>=COUNT(D4:D18)</t>
  </si>
  <si>
    <t xml:space="preserve">s.e. = std dev / sqrt(n) </t>
  </si>
  <si>
    <t>=D21/SQRT(D23)</t>
  </si>
  <si>
    <t>t = mean / s.e.</t>
  </si>
  <si>
    <t>=(D20-0)/D24</t>
  </si>
  <si>
    <t>df = n-1</t>
  </si>
  <si>
    <t>=D23-1</t>
  </si>
  <si>
    <t>=TDIST(D25,D26,2)</t>
  </si>
  <si>
    <t>=TTEST(B4:B18,C4:C18,2,1)</t>
  </si>
  <si>
    <t>=TINV(0.05,D26)</t>
  </si>
  <si>
    <t>Compared to independent samples</t>
  </si>
  <si>
    <t>Indep</t>
  </si>
  <si>
    <t>Paired</t>
  </si>
  <si>
    <t>Mean Difference</t>
  </si>
  <si>
    <t>t-stat</t>
  </si>
  <si>
    <t>p-value (two-tail)</t>
  </si>
  <si>
    <t>T Test: Two Paired Samples</t>
  </si>
  <si>
    <t>Null Hyp</t>
  </si>
  <si>
    <t>Wilcoxon Rank-Sum Test Table</t>
  </si>
  <si>
    <t>Critical values for W with alpha = .01, two-tailed</t>
  </si>
  <si>
    <r>
      <rPr>
        <sz val="10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\</t>
    </r>
    <r>
      <rPr>
        <vertAlign val="superscript"/>
        <sz val="16"/>
        <color theme="1"/>
        <rFont val="Calibri"/>
        <family val="2"/>
        <scheme val="minor"/>
      </rPr>
      <t>n1</t>
    </r>
  </si>
  <si>
    <t>--</t>
  </si>
  <si>
    <t>Critical values for W with alpha = .05, two-tailed</t>
  </si>
  <si>
    <t>Critical values for W with alpha = .20, two-tailed</t>
  </si>
  <si>
    <t>-</t>
  </si>
  <si>
    <t>Mann-Whitney Table</t>
  </si>
  <si>
    <r>
      <rPr>
        <sz val="10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\</t>
    </r>
    <r>
      <rPr>
        <vertAlign val="superscript"/>
        <sz val="16"/>
        <color theme="1"/>
        <rFont val="Calibri"/>
        <family val="2"/>
        <scheme val="minor"/>
      </rPr>
      <t>n2</t>
    </r>
  </si>
  <si>
    <t>Critical values for U with alpha = .05, two-tailed</t>
  </si>
  <si>
    <t>Critical values for U with alpha = .01, two-tailed</t>
  </si>
  <si>
    <t>Critical values for U with alpha = .10, two-tailed</t>
  </si>
  <si>
    <t>Critical values for U with alpha = .02, two-tailed</t>
  </si>
  <si>
    <t>http://www.math.tu-dresden.de/~avoss/Applied_Statistics/Whitney-Mann-TableII.pdf</t>
  </si>
  <si>
    <t>(two tailed significance levels)</t>
  </si>
  <si>
    <t>alpha values</t>
  </si>
  <si>
    <t xml:space="preserve">For a one-tailed test, alpha is half the value given; </t>
  </si>
  <si>
    <t xml:space="preserve">e.g. α = .025 (one-tailed) is equivalent to α = .05 (two-tailed) </t>
  </si>
  <si>
    <r>
      <t xml:space="preserve">n = the number of subjects and the value given is the critical W value for a particular n and </t>
    </r>
    <r>
      <rPr>
        <sz val="11"/>
        <color theme="1"/>
        <rFont val="Calibri"/>
        <family val="2"/>
      </rPr>
      <t>α</t>
    </r>
  </si>
  <si>
    <r>
      <t xml:space="preserve">The obtained value of W-obs is statistically significant if it is </t>
    </r>
    <r>
      <rPr>
        <sz val="11"/>
        <color theme="1"/>
        <rFont val="Calibri"/>
        <family val="2"/>
      </rPr>
      <t>≤ the value W-crit given in the table</t>
    </r>
  </si>
  <si>
    <t>E.g.: if W-obs 22 and n = 22 and α = ,05 (two-tailed) or = .025 (one-tailed) then since W-crit = 25,</t>
  </si>
  <si>
    <t>the conclusion is that the difference is unlikely due solely to chance.</t>
  </si>
  <si>
    <t>Runs Table</t>
  </si>
  <si>
    <t>n1</t>
  </si>
  <si>
    <t>n2</t>
  </si>
  <si>
    <t>r - lower</t>
  </si>
  <si>
    <t>r - upper</t>
  </si>
  <si>
    <t>Range listed for r are the values for which null hypothesis (that the runs are random) is not rejected at 5% level</t>
  </si>
  <si>
    <r>
      <t xml:space="preserve">n \ </t>
    </r>
    <r>
      <rPr>
        <vertAlign val="superscript"/>
        <sz val="18"/>
        <color theme="1"/>
        <rFont val="Calibri"/>
        <family val="2"/>
      </rPr>
      <t>α</t>
    </r>
  </si>
  <si>
    <t>  ___</t>
  </si>
  <si>
    <t>  ___</t>
  </si>
  <si>
    <t>___</t>
  </si>
  <si>
    <t>Shapiro-Wilk Tables</t>
  </si>
  <si>
    <t>n =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</si>
  <si>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</si>
  <si>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</si>
  <si>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</si>
  <si>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</si>
  <si>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</si>
  <si>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</si>
  <si>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</si>
  <si>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</si>
  <si>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</si>
  <si>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</si>
  <si>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</si>
  <si>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</si>
  <si>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</si>
  <si>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r>
      <t xml:space="preserve">n \ </t>
    </r>
    <r>
      <rPr>
        <vertAlign val="superscript"/>
        <sz val="16"/>
        <color theme="1"/>
        <rFont val="Calibri"/>
        <family val="2"/>
        <scheme val="minor"/>
      </rPr>
      <t>p</t>
    </r>
  </si>
  <si>
    <r>
      <t xml:space="preserve">Studentized Q Table - critical value for q(k, df, </t>
    </r>
    <r>
      <rPr>
        <b/>
        <sz val="11"/>
        <color theme="1"/>
        <rFont val="Calibri"/>
        <family val="2"/>
      </rPr>
      <t>α)</t>
    </r>
  </si>
  <si>
    <t xml:space="preserve">k --&gt; </t>
  </si>
  <si>
    <t>Inf</t>
  </si>
  <si>
    <t>Spearman's Rho Significance Table</t>
  </si>
  <si>
    <r>
      <t xml:space="preserve">n \ </t>
    </r>
    <r>
      <rPr>
        <vertAlign val="superscript"/>
        <sz val="16"/>
        <color theme="1"/>
        <rFont val="Calibri"/>
        <family val="2"/>
      </rPr>
      <t>α</t>
    </r>
  </si>
  <si>
    <t>The table contains critical values for 2-tail tests. For 1-tail tests, divide α by 2.</t>
  </si>
  <si>
    <t>If the calculated Spearman's rho is greater than the critical value from the table, then reject the null hypothesis that there is no correlation</t>
  </si>
  <si>
    <t>Kendall's Tau Significance Table</t>
  </si>
  <si>
    <t>Binomial distribution</t>
  </si>
  <si>
    <t>p</t>
  </si>
  <si>
    <t>Proportion distribution</t>
  </si>
  <si>
    <t>Chi-square distribution</t>
  </si>
  <si>
    <t>Calculating the pdf</t>
  </si>
  <si>
    <t>df = 5</t>
  </si>
  <si>
    <t>df = 10</t>
  </si>
  <si>
    <t>Chi-Square Test</t>
  </si>
  <si>
    <t>Goodness of Fit</t>
  </si>
  <si>
    <t>Sample</t>
  </si>
  <si>
    <t>One sample testing of variance</t>
  </si>
  <si>
    <t>var (pop)</t>
  </si>
  <si>
    <t>var (sample)</t>
  </si>
  <si>
    <t>alpha</t>
  </si>
  <si>
    <t>std dev (pop)</t>
  </si>
  <si>
    <t>chi-sq</t>
  </si>
  <si>
    <t>std dev (sample)</t>
  </si>
  <si>
    <t>Zone</t>
  </si>
  <si>
    <t>Female</t>
  </si>
  <si>
    <t>Expected Sample</t>
  </si>
  <si>
    <t>=CHITEST(B4:B11,E4:E11)</t>
  </si>
  <si>
    <t>Σ(O-E)^2/E</t>
  </si>
  <si>
    <t>χ2</t>
  </si>
  <si>
    <t>χ2-crit</t>
  </si>
  <si>
    <t>Hits/min</t>
  </si>
  <si>
    <t>Hits x Count</t>
  </si>
  <si>
    <t>Poisson</t>
  </si>
  <si>
    <t>x-crit</t>
  </si>
  <si>
    <t>λ (mean)</t>
  </si>
  <si>
    <t>Die</t>
  </si>
  <si>
    <t>Obs</t>
  </si>
  <si>
    <t>Exp</t>
  </si>
  <si>
    <t>Chi-square Test</t>
  </si>
  <si>
    <t>Observed Values</t>
  </si>
  <si>
    <t>Expected Values</t>
  </si>
  <si>
    <t>Using MMULT</t>
  </si>
  <si>
    <t>Therapy 1</t>
  </si>
  <si>
    <t>Therapy 2</t>
  </si>
  <si>
    <t>Cured</t>
  </si>
  <si>
    <t>Not Cured</t>
  </si>
  <si>
    <t>Maximum Likelihood Test</t>
  </si>
  <si>
    <r>
      <rPr>
        <sz val="11"/>
        <color theme="1"/>
        <rFont val="Calibri"/>
        <family val="2"/>
      </rPr>
      <t xml:space="preserve">Σ </t>
    </r>
    <r>
      <rPr>
        <sz val="11"/>
        <color theme="1"/>
        <rFont val="Calibri"/>
        <family val="2"/>
        <scheme val="minor"/>
      </rPr>
      <t>(Observed - Expected) ^ 2 / Expected</t>
    </r>
  </si>
  <si>
    <r>
      <t xml:space="preserve">2 </t>
    </r>
    <r>
      <rPr>
        <sz val="11"/>
        <color theme="1"/>
        <rFont val="Calibri"/>
        <family val="2"/>
      </rPr>
      <t xml:space="preserve">Σ </t>
    </r>
    <r>
      <rPr>
        <sz val="11"/>
        <color theme="1"/>
        <rFont val="Calibri"/>
        <family val="2"/>
        <scheme val="minor"/>
      </rPr>
      <t>Observed * ln (Observed / Expected)</t>
    </r>
  </si>
  <si>
    <t>P-value</t>
  </si>
  <si>
    <t>r</t>
  </si>
  <si>
    <t>χ2 =</t>
  </si>
  <si>
    <t>(Observed - Expected) ^ 2 / Expected</t>
  </si>
  <si>
    <t>Wealthy</t>
  </si>
  <si>
    <t>Middle Class</t>
  </si>
  <si>
    <t>Poor</t>
  </si>
  <si>
    <t>High Sch</t>
  </si>
  <si>
    <t>Univ</t>
  </si>
  <si>
    <t>None</t>
  </si>
  <si>
    <t>Expected Values (using MMULT)</t>
  </si>
  <si>
    <t>Observed</t>
  </si>
  <si>
    <t>Effect size</t>
  </si>
  <si>
    <t>Risk %</t>
  </si>
  <si>
    <t>Odds</t>
  </si>
  <si>
    <t>Ratio</t>
  </si>
  <si>
    <t>Male</t>
  </si>
  <si>
    <t>B</t>
  </si>
  <si>
    <t>C</t>
  </si>
  <si>
    <t>D</t>
  </si>
  <si>
    <t>E</t>
  </si>
  <si>
    <t>F</t>
  </si>
  <si>
    <t>Odds Ratio</t>
  </si>
  <si>
    <t>Rows</t>
  </si>
  <si>
    <t>Cols</t>
  </si>
  <si>
    <t>CHI-SQUARE</t>
  </si>
  <si>
    <t>Pearson's</t>
  </si>
  <si>
    <t>Cramer V</t>
  </si>
  <si>
    <t>Max likelihood</t>
  </si>
  <si>
    <t xml:space="preserve">r </t>
  </si>
  <si>
    <r>
      <t>s</t>
    </r>
    <r>
      <rPr>
        <vertAlign val="subscript"/>
        <sz val="11"/>
        <color theme="1"/>
        <rFont val="Calibri"/>
        <family val="2"/>
        <scheme val="minor"/>
      </rPr>
      <t>r</t>
    </r>
  </si>
  <si>
    <t xml:space="preserve">t </t>
  </si>
  <si>
    <t xml:space="preserve">df </t>
  </si>
  <si>
    <t>y</t>
  </si>
  <si>
    <r>
      <t xml:space="preserve">Correlation Testing </t>
    </r>
    <r>
      <rPr>
        <sz val="11"/>
        <color theme="1"/>
        <rFont val="Calibri"/>
        <family val="2"/>
        <scheme val="minor"/>
      </rPr>
      <t>(using dichotomous independent variable)</t>
    </r>
  </si>
  <si>
    <t>=CORREL(Y3:AV3,Y4:AV4)</t>
  </si>
  <si>
    <t>=SQRT((1-AY3^2)/AY6)</t>
  </si>
  <si>
    <t>=(AY3-0)/AY4</t>
  </si>
  <si>
    <t>=COUNT(Y3:AV3)-2</t>
  </si>
  <si>
    <t>=TDIST(AY5,AY6,2)</t>
  </si>
  <si>
    <t>=IF(AY8&lt;AY7,"yes","no")</t>
  </si>
  <si>
    <t>=CORREL(B3:Y3,B4:Y4)</t>
  </si>
  <si>
    <t>=COUNT(B3:Y3)-2</t>
  </si>
  <si>
    <t>=SQRT((1-AB3^2)/AB6)</t>
  </si>
  <si>
    <t>=(AB3-0)/AB4</t>
  </si>
  <si>
    <t>=TDIST(AB5,AB6,2)</t>
  </si>
  <si>
    <t>=IF(AB8&lt;AB7,"yes","no")</t>
  </si>
  <si>
    <t>Correlation - Scatter Diagrams</t>
  </si>
  <si>
    <t>Correlation coeff</t>
  </si>
  <si>
    <t>Poverty</t>
  </si>
  <si>
    <t>Infant Mort</t>
  </si>
  <si>
    <t>White</t>
  </si>
  <si>
    <t>Crime</t>
  </si>
  <si>
    <t>Doctors</t>
  </si>
  <si>
    <t>Traf Deaths</t>
  </si>
  <si>
    <t>University</t>
  </si>
  <si>
    <t>Unemployed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</si>
  <si>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</si>
  <si>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</si>
  <si>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</si>
  <si>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</si>
  <si>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</si>
  <si>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</si>
  <si>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</si>
  <si>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</si>
  <si>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</si>
  <si>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</si>
  <si>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</si>
  <si>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</si>
  <si>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</si>
  <si>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</si>
  <si>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</si>
  <si>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</si>
  <si>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</si>
  <si>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</si>
  <si>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</si>
  <si>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</si>
  <si>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</si>
  <si>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</si>
  <si>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</si>
  <si>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</si>
  <si>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</si>
  <si>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</si>
  <si>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</si>
  <si>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</si>
  <si>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</si>
  <si>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</si>
  <si>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</si>
  <si>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</si>
  <si>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</si>
  <si>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</si>
  <si>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</si>
  <si>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</si>
  <si>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</si>
  <si>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</si>
  <si>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</si>
  <si>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</si>
  <si>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</si>
  <si>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</si>
  <si>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</si>
  <si>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</si>
  <si>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</si>
  <si>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</si>
  <si>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</si>
  <si>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</si>
  <si>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</si>
  <si>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</si>
  <si>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Poverty - % below poverty level</t>
  </si>
  <si>
    <t>Infant Mort - infant mortality per 1,000 births, death prior to 1 yr, excludes fetal death, residents only</t>
  </si>
  <si>
    <t>White - % of the population that is white</t>
  </si>
  <si>
    <t>Crime - violent crime (murder, forcible rape, robbery, and aggravated assault) per 100,000 people</t>
  </si>
  <si>
    <t>Doctors - # doctors per 100,000 residents, excludes some categories of doctors</t>
  </si>
  <si>
    <t>Traf Deaths - # of traffic fatalities per 100 million vehicle miles</t>
  </si>
  <si>
    <t>University - % of residents 25 yrs or older with at least a bachelor's degree</t>
  </si>
  <si>
    <t>Unemployment - % of civilian labor force</t>
  </si>
  <si>
    <t>Income - median household income</t>
  </si>
  <si>
    <t>State Rankings</t>
  </si>
  <si>
    <t>State</t>
  </si>
  <si>
    <t>ρ</t>
  </si>
  <si>
    <t>Hypothesis testing using Fisher transformation</t>
  </si>
  <si>
    <t>r'</t>
  </si>
  <si>
    <t>ρ'</t>
  </si>
  <si>
    <r>
      <t>s</t>
    </r>
    <r>
      <rPr>
        <vertAlign val="subscript"/>
        <sz val="11"/>
        <color theme="1"/>
        <rFont val="Calibri"/>
        <family val="2"/>
        <scheme val="minor"/>
      </rPr>
      <t>r'</t>
    </r>
  </si>
  <si>
    <t>r'-crit</t>
  </si>
  <si>
    <t>z-crit</t>
  </si>
  <si>
    <t>lower ρ'</t>
  </si>
  <si>
    <t>upper ρ'</t>
  </si>
  <si>
    <t>lower ρ</t>
  </si>
  <si>
    <t>upper ρ</t>
  </si>
  <si>
    <t>standard normal test</t>
  </si>
  <si>
    <t>confidence interval</t>
  </si>
  <si>
    <t>normal test</t>
  </si>
  <si>
    <t>t-test</t>
  </si>
  <si>
    <t>Correlation coefficients</t>
  </si>
  <si>
    <r>
      <t>Adjusted R</t>
    </r>
    <r>
      <rPr>
        <vertAlign val="super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</si>
  <si>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PW,I</t>
    </r>
  </si>
  <si>
    <r>
      <t>r</t>
    </r>
    <r>
      <rPr>
        <vertAlign val="subscript"/>
        <sz val="11"/>
        <color theme="1"/>
        <rFont val="Calibri"/>
        <family val="2"/>
        <scheme val="minor"/>
      </rPr>
      <t>P(W,I)</t>
    </r>
  </si>
  <si>
    <t>Spearman's rank coefficient</t>
  </si>
  <si>
    <t>IQ</t>
  </si>
  <si>
    <t>Rank IQ</t>
  </si>
  <si>
    <t>Diff-Sq</t>
  </si>
  <si>
    <t>Spearman's Rho = 1 - (6 * Sum of Diff-Sq) / (n * (n ^ 2 - 1)) =</t>
  </si>
  <si>
    <t>Rap</t>
  </si>
  <si>
    <t>Rank Rap</t>
  </si>
  <si>
    <t>Pearson</t>
  </si>
  <si>
    <t>Spearman</t>
  </si>
  <si>
    <t>r1</t>
  </si>
  <si>
    <t>r2</t>
  </si>
  <si>
    <t>r2'</t>
  </si>
  <si>
    <t>r1'</t>
  </si>
  <si>
    <t>s</t>
  </si>
  <si>
    <t>Cigarettes</t>
  </si>
  <si>
    <t>Kendall's tau</t>
  </si>
  <si>
    <t>C(n, 2)</t>
  </si>
  <si>
    <t>tau</t>
  </si>
  <si>
    <t>std error</t>
  </si>
  <si>
    <t>A+B+C</t>
  </si>
  <si>
    <t>A+B</t>
  </si>
  <si>
    <t>B+C</t>
  </si>
  <si>
    <t>A</t>
  </si>
  <si>
    <t>A/(A+D)</t>
  </si>
  <si>
    <t>C/(C+D)</t>
  </si>
  <si>
    <t>Multiple correlation coefficient</t>
  </si>
  <si>
    <r>
      <t>r</t>
    </r>
    <r>
      <rPr>
        <vertAlign val="subscript"/>
        <sz val="11"/>
        <color theme="1"/>
        <rFont val="Calibri"/>
        <family val="2"/>
        <scheme val="minor"/>
      </rPr>
      <t>WI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</si>
  <si>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</si>
  <si>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</si>
  <si>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WI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</si>
  <si>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</si>
  <si>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t>Partial correlation coefficients</t>
  </si>
  <si>
    <r>
      <t>R</t>
    </r>
    <r>
      <rPr>
        <vertAlign val="subscript"/>
        <sz val="11"/>
        <color theme="1"/>
        <rFont val="Calibri"/>
        <family val="2"/>
        <scheme val="minor"/>
      </rPr>
      <t>P,WI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</si>
  <si>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P,WI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</si>
  <si>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</t>
    </r>
    <r>
      <rPr>
        <sz val="11"/>
        <color theme="1"/>
        <rFont val="Calibri"/>
        <family val="2"/>
        <scheme val="minor"/>
      </rPr>
      <t xml:space="preserve"> </t>
    </r>
    <r>
      <rPr>
        <vertAlign val="super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</si>
  <si>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P(I,W)</t>
    </r>
  </si>
  <si>
    <r>
      <t>r</t>
    </r>
    <r>
      <rPr>
        <vertAlign val="subscript"/>
        <sz val="11"/>
        <color theme="1"/>
        <rFont val="Calibri"/>
        <family val="2"/>
        <scheme val="minor"/>
      </rPr>
      <t>P(W,I)</t>
    </r>
    <r>
      <rPr>
        <vertAlign val="super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</si>
  <si>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P(I,W)</t>
    </r>
    <r>
      <rPr>
        <vertAlign val="superscript"/>
        <sz val="11"/>
        <color theme="1"/>
        <rFont val="Calibri"/>
        <family val="2"/>
        <scheme val="minor"/>
      </rPr>
      <t>2</t>
    </r>
  </si>
  <si>
    <r>
      <t>1-R</t>
    </r>
    <r>
      <rPr>
        <vertAlign val="subscript"/>
        <sz val="11"/>
        <color theme="1"/>
        <rFont val="Calibri"/>
        <family val="2"/>
        <scheme val="minor"/>
      </rPr>
      <t>P,WI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</si>
  <si>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PW,I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</si>
  <si>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PI,W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</si>
  <si>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PW,I</t>
    </r>
    <r>
      <rPr>
        <vertAlign val="superscript"/>
        <sz val="11"/>
        <color theme="1"/>
        <rFont val="Calibri"/>
        <family val="2"/>
        <scheme val="minor"/>
      </rPr>
      <t>2</t>
    </r>
  </si>
  <si>
    <t>Inversions</t>
  </si>
  <si>
    <t>Life Exp</t>
  </si>
  <si>
    <t>Ranks</t>
  </si>
  <si>
    <t>Spearman's rho</t>
  </si>
  <si>
    <t>Ties - Life</t>
  </si>
  <si>
    <t>Ties - Cig</t>
  </si>
  <si>
    <t>Ties - Both</t>
  </si>
  <si>
    <t>Correlation</t>
  </si>
  <si>
    <t>count</t>
  </si>
  <si>
    <t>Std Norm</t>
  </si>
  <si>
    <t>QQ Plot</t>
  </si>
  <si>
    <t>Skew</t>
  </si>
  <si>
    <t>S.E. Skew</t>
  </si>
  <si>
    <t>Kurt</t>
  </si>
  <si>
    <t>S.E. Kurt</t>
  </si>
  <si>
    <t>Skewness and Kurtosis</t>
  </si>
  <si>
    <t>Spearman's Rho</t>
  </si>
  <si>
    <t>Pearson's Corr Coeff</t>
  </si>
  <si>
    <t>Alternative approach (no ties)</t>
  </si>
  <si>
    <t>r12</t>
  </si>
  <si>
    <t>r13</t>
  </si>
  <si>
    <t>r23</t>
  </si>
  <si>
    <t>(independent samples)</t>
  </si>
  <si>
    <t>Two sample hypothesis testing of correlation - dependent samples</t>
  </si>
  <si>
    <t>Two sample hypothesis testing of correlation using Fisher transformation</t>
  </si>
  <si>
    <t>=COUNT(A4:A18)</t>
  </si>
  <si>
    <t>x12 - x1</t>
  </si>
  <si>
    <t>x11 - x2</t>
  </si>
  <si>
    <t>x10 - x3</t>
  </si>
  <si>
    <t>x9 - x4</t>
  </si>
  <si>
    <t>x8 - x5</t>
  </si>
  <si>
    <t>x7 - x6</t>
  </si>
  <si>
    <t>SS</t>
  </si>
  <si>
    <r>
      <t>W = b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/SS</t>
    </r>
  </si>
  <si>
    <t>Sorted</t>
  </si>
  <si>
    <t>Kolmogrov-Smirnov</t>
  </si>
  <si>
    <t>Cumul</t>
  </si>
  <si>
    <r>
      <t>S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(x)</t>
    </r>
  </si>
  <si>
    <t>Z-Score</t>
  </si>
  <si>
    <r>
      <t>(O-E)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/E</t>
    </r>
  </si>
  <si>
    <t>n = count</t>
  </si>
  <si>
    <t>sq-sum/n</t>
  </si>
  <si>
    <r>
      <t>D</t>
    </r>
    <r>
      <rPr>
        <vertAlign val="subscript"/>
        <sz val="11"/>
        <color theme="1"/>
        <rFont val="Calibri"/>
        <family val="2"/>
        <scheme val="minor"/>
      </rPr>
      <t>n,</t>
    </r>
    <r>
      <rPr>
        <vertAlign val="subscript"/>
        <sz val="11"/>
        <color theme="1"/>
        <rFont val="Calibri"/>
        <family val="2"/>
      </rPr>
      <t xml:space="preserve">α </t>
    </r>
    <r>
      <rPr>
        <sz val="11"/>
        <color theme="1"/>
        <rFont val="Calibri"/>
        <family val="2"/>
      </rPr>
      <t>=</t>
    </r>
  </si>
  <si>
    <t>Chi-sq</t>
  </si>
  <si>
    <r>
      <t>D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=</t>
    </r>
  </si>
  <si>
    <t>midpt-sq</t>
  </si>
  <si>
    <r>
      <t>D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= max</t>
    </r>
  </si>
  <si>
    <r>
      <t>D</t>
    </r>
    <r>
      <rPr>
        <vertAlign val="subscript"/>
        <sz val="11"/>
        <color theme="1"/>
        <rFont val="Calibri"/>
        <family val="2"/>
        <scheme val="minor"/>
      </rPr>
      <t>n,</t>
    </r>
    <r>
      <rPr>
        <vertAlign val="subscript"/>
        <sz val="11"/>
        <color theme="1"/>
        <rFont val="Calibri"/>
        <family val="2"/>
      </rPr>
      <t>α</t>
    </r>
  </si>
  <si>
    <t>=J14</t>
  </si>
  <si>
    <t>=N5^2</t>
  </si>
  <si>
    <t>=N7-N6</t>
  </si>
  <si>
    <t>=SQRT(N9)</t>
  </si>
  <si>
    <t>=N8*J14/(J14-1)</t>
  </si>
  <si>
    <t>Calculate mean and std dev</t>
  </si>
  <si>
    <t>x15 - x1</t>
  </si>
  <si>
    <t>x14 - x2</t>
  </si>
  <si>
    <t>x13 - x3</t>
  </si>
  <si>
    <t>x12 - x4</t>
  </si>
  <si>
    <t>x11 - x5</t>
  </si>
  <si>
    <t>x10 - x6</t>
  </si>
  <si>
    <t>x9 - x7</t>
  </si>
  <si>
    <t>Test for Normality - Chi-Square</t>
  </si>
  <si>
    <t>Up to</t>
  </si>
  <si>
    <t>P(x&lt;=b)</t>
  </si>
  <si>
    <t>P(a&lt;x&lt;=b)</t>
  </si>
  <si>
    <t>Exp Freq</t>
  </si>
  <si>
    <t>Obs Freq</t>
  </si>
  <si>
    <t>over 7</t>
  </si>
  <si>
    <t>over 8</t>
  </si>
  <si>
    <t>x = midpt</t>
  </si>
  <si>
    <t>Test for Normality - Histogram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</si>
  <si>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</si>
  <si>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Transformations - Log</t>
  </si>
  <si>
    <t>Log transform</t>
  </si>
  <si>
    <t>Skewness and kurtosis</t>
  </si>
  <si>
    <t>=AB5^2/(AB5^2+AB6)</t>
  </si>
  <si>
    <t>=SQRT(AB11)</t>
  </si>
  <si>
    <t>Regression</t>
  </si>
  <si>
    <t>cov(x,y)</t>
  </si>
  <si>
    <t>varp(x)</t>
  </si>
  <si>
    <t>slope b</t>
  </si>
  <si>
    <t>intercept a</t>
  </si>
  <si>
    <t>Cig (x)</t>
  </si>
  <si>
    <t>Life Exp (y)</t>
  </si>
  <si>
    <t>Prediction</t>
  </si>
  <si>
    <t>ŷ</t>
  </si>
  <si>
    <t>Life Exp (ŷ)</t>
  </si>
  <si>
    <t>=COVAR(A4:A18,B4:B18)</t>
  </si>
  <si>
    <t>=VARP(A4:A18)</t>
  </si>
  <si>
    <t>=E2/E3</t>
  </si>
  <si>
    <t>=AVERAGE(B4:B18)-E4*AVERAGE(A4:A18)</t>
  </si>
  <si>
    <t>Prediction using TREND</t>
  </si>
  <si>
    <t>Prediction using FORECAST</t>
  </si>
  <si>
    <t>Prediction using y = a + b * x</t>
  </si>
  <si>
    <t>Error (e)</t>
  </si>
  <si>
    <t>MS</t>
  </si>
  <si>
    <t>T</t>
  </si>
  <si>
    <t>Reg</t>
  </si>
  <si>
    <t>Res</t>
  </si>
  <si>
    <t>Regression Testing</t>
  </si>
  <si>
    <t>mean y</t>
  </si>
  <si>
    <t>F-crit</t>
  </si>
  <si>
    <t>Alternative 1</t>
  </si>
  <si>
    <t>Alternative 2</t>
  </si>
  <si>
    <t>=G8/G9</t>
  </si>
  <si>
    <t>=FINV(E12,F8,F9)</t>
  </si>
  <si>
    <t>=FDIST(E11,F8,F9)</t>
  </si>
  <si>
    <t>=IF(E14&lt;E12,"yes","no")</t>
  </si>
  <si>
    <t>Alternative ways to calculate SS-Res</t>
  </si>
  <si>
    <t>=AB4-AB5</t>
  </si>
  <si>
    <t>=SUMXMY2(U5:U19,V5:V19)</t>
  </si>
  <si>
    <t>Correlations</t>
  </si>
  <si>
    <t>x and ŷ</t>
  </si>
  <si>
    <t>y and ŷ</t>
  </si>
  <si>
    <t>x and y</t>
  </si>
  <si>
    <r>
      <t>s</t>
    </r>
    <r>
      <rPr>
        <vertAlign val="subscript"/>
        <sz val="11"/>
        <color theme="1"/>
        <rFont val="Calibri"/>
        <family val="2"/>
        <scheme val="minor"/>
      </rPr>
      <t>Res</t>
    </r>
  </si>
  <si>
    <r>
      <t>s</t>
    </r>
    <r>
      <rPr>
        <vertAlign val="subscript"/>
        <sz val="11"/>
        <color theme="1"/>
        <rFont val="Calibri"/>
        <family val="2"/>
        <scheme val="minor"/>
      </rPr>
      <t>x</t>
    </r>
  </si>
  <si>
    <r>
      <t>s</t>
    </r>
    <r>
      <rPr>
        <vertAlign val="subscript"/>
        <sz val="11"/>
        <color theme="1"/>
        <rFont val="Calibri"/>
        <family val="2"/>
        <scheme val="minor"/>
      </rPr>
      <t>b</t>
    </r>
  </si>
  <si>
    <r>
      <t>s</t>
    </r>
    <r>
      <rPr>
        <vertAlign val="subscript"/>
        <sz val="11"/>
        <color theme="1"/>
        <rFont val="Calibri"/>
        <family val="2"/>
        <scheme val="minor"/>
      </rPr>
      <t>y</t>
    </r>
  </si>
  <si>
    <r>
      <t>s</t>
    </r>
    <r>
      <rPr>
        <vertAlign val="subscript"/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</rPr>
      <t>∙</t>
    </r>
    <r>
      <rPr>
        <vertAlign val="subscript"/>
        <sz val="11"/>
        <color theme="1"/>
        <rFont val="Calibri"/>
        <family val="2"/>
        <scheme val="minor"/>
      </rPr>
      <t>x</t>
    </r>
  </si>
  <si>
    <t>=CORREL(A4:A18,B4:B18)</t>
  </si>
  <si>
    <t>=STDEV(A4:A18)</t>
  </si>
  <si>
    <t>=STDEV(B4:B18)</t>
  </si>
  <si>
    <t>Confidence interval</t>
  </si>
  <si>
    <t>Test the slope of the regression line</t>
  </si>
  <si>
    <t>=E4*E6/E5</t>
  </si>
  <si>
    <t>=E6*SQRT((1-E4^2)*(E3-1)/(E3-2))</t>
  </si>
  <si>
    <t>=E8/(E5*SQRT(E3-1))</t>
  </si>
  <si>
    <t>=E7/E9</t>
  </si>
  <si>
    <t>=E3-2</t>
  </si>
  <si>
    <t>=TDIST(ABS(E10),E11,2)</t>
  </si>
  <si>
    <t>=TINV(0.05,E11)</t>
  </si>
  <si>
    <t>=IF(E12&lt;E13,"yes","no")</t>
  </si>
  <si>
    <t>=E7-E14*E9</t>
  </si>
  <si>
    <t>=E7+E14*E9</t>
  </si>
  <si>
    <t>Use of LINEST</t>
  </si>
  <si>
    <t>Slope (b)</t>
  </si>
  <si>
    <t>Intercept (a)</t>
  </si>
  <si>
    <r>
      <t>S.E. of slope (s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)</t>
    </r>
  </si>
  <si>
    <r>
      <t>S.E. of intercept (s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)</t>
    </r>
  </si>
  <si>
    <t>R Square</t>
  </si>
  <si>
    <r>
      <t>S.E. of estimate (s</t>
    </r>
    <r>
      <rPr>
        <vertAlign val="subscript"/>
        <sz val="11"/>
        <color theme="1"/>
        <rFont val="Calibri"/>
        <family val="2"/>
        <scheme val="minor"/>
      </rPr>
      <t>Res</t>
    </r>
    <r>
      <rPr>
        <sz val="11"/>
        <color theme="1"/>
        <rFont val="Calibri"/>
        <family val="2"/>
        <scheme val="minor"/>
      </rPr>
      <t>)</t>
    </r>
  </si>
  <si>
    <r>
      <t>df</t>
    </r>
    <r>
      <rPr>
        <vertAlign val="subscript"/>
        <sz val="11"/>
        <color theme="1"/>
        <rFont val="Calibri"/>
        <family val="2"/>
        <scheme val="minor"/>
      </rPr>
      <t>Res</t>
    </r>
  </si>
  <si>
    <r>
      <t>SS</t>
    </r>
    <r>
      <rPr>
        <vertAlign val="subscript"/>
        <sz val="11"/>
        <color theme="1"/>
        <rFont val="Calibri"/>
        <family val="2"/>
        <scheme val="minor"/>
      </rPr>
      <t>Reg</t>
    </r>
  </si>
  <si>
    <r>
      <t>SS</t>
    </r>
    <r>
      <rPr>
        <vertAlign val="subscript"/>
        <sz val="11"/>
        <color theme="1"/>
        <rFont val="Calibri"/>
        <family val="2"/>
        <scheme val="minor"/>
      </rPr>
      <t>Res</t>
    </r>
  </si>
  <si>
    <t>SUMMARY OUTPUT</t>
  </si>
  <si>
    <t>Regression Statistics</t>
  </si>
  <si>
    <t>Multiple R</t>
  </si>
  <si>
    <t>Adjusted R Square</t>
  </si>
  <si>
    <t>ANOVA</t>
  </si>
  <si>
    <t>Residual</t>
  </si>
  <si>
    <t>Intercept</t>
  </si>
  <si>
    <t>Significance F</t>
  </si>
  <si>
    <t>Coefficients</t>
  </si>
  <si>
    <t>Lower 95%</t>
  </si>
  <si>
    <t>Upper 95%</t>
  </si>
  <si>
    <t>RESIDUAL OUTPUT</t>
  </si>
  <si>
    <t>Observation</t>
  </si>
  <si>
    <t>Residuals</t>
  </si>
  <si>
    <t>Standard Residuals</t>
  </si>
  <si>
    <t>PROBABILITY OUTPUT</t>
  </si>
  <si>
    <t>Percentile</t>
  </si>
  <si>
    <t>Predicted Life Exp</t>
  </si>
  <si>
    <t>Comparison of two slopes</t>
  </si>
  <si>
    <r>
      <t>s</t>
    </r>
    <r>
      <rPr>
        <vertAlign val="subscript"/>
        <sz val="11"/>
        <color theme="1"/>
        <rFont val="Calibri"/>
        <family val="2"/>
        <scheme val="minor"/>
      </rPr>
      <t>b1-b2</t>
    </r>
  </si>
  <si>
    <t>= TINV(0.05,df)</t>
  </si>
  <si>
    <t>Using pooled error variance</t>
  </si>
  <si>
    <r>
      <t>s</t>
    </r>
    <r>
      <rPr>
        <vertAlign val="subscript"/>
        <sz val="11"/>
        <color theme="1"/>
        <rFont val="Calibri"/>
        <family val="2"/>
        <scheme val="minor"/>
      </rPr>
      <t>Res</t>
    </r>
    <r>
      <rPr>
        <vertAlign val="superscript"/>
        <sz val="11"/>
        <color theme="1"/>
        <rFont val="Calibri"/>
        <family val="2"/>
        <scheme val="minor"/>
      </rPr>
      <t>2</t>
    </r>
  </si>
  <si>
    <t>=SLOPE(B4:B18,A4:A18)</t>
  </si>
  <si>
    <t>=STEYX(B4:B18,A4:A18)</t>
  </si>
  <si>
    <t>=J6/(J4*SQRT(J3-1))</t>
  </si>
  <si>
    <t>=J5/J7</t>
  </si>
  <si>
    <t>=J3-2</t>
  </si>
  <si>
    <t>=TDIST(ABS(J8),J9,2)</t>
  </si>
  <si>
    <t>=TINV(0.05,J9)</t>
  </si>
  <si>
    <t>=IF(J10&lt;J11,"yes","no")</t>
  </si>
  <si>
    <t>=J5-J12*J7</t>
  </si>
  <si>
    <t>=J5+J12*J7</t>
  </si>
  <si>
    <t>Testing two slopes</t>
  </si>
  <si>
    <t>Men</t>
  </si>
  <si>
    <t>Women</t>
  </si>
  <si>
    <t>=SLOPE(y,x)</t>
  </si>
  <si>
    <t>=STEYX(y,x)</t>
  </si>
  <si>
    <t>=STDEV(x)</t>
  </si>
  <si>
    <r>
      <t>s</t>
    </r>
    <r>
      <rPr>
        <vertAlign val="subscript"/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</rPr>
      <t>∙x</t>
    </r>
  </si>
  <si>
    <r>
      <t>= s</t>
    </r>
    <r>
      <rPr>
        <vertAlign val="subscript"/>
        <sz val="11"/>
        <color theme="1"/>
        <rFont val="Calibri"/>
        <family val="2"/>
        <scheme val="minor"/>
      </rPr>
      <t>y∙x</t>
    </r>
    <r>
      <rPr>
        <sz val="11"/>
        <color theme="1"/>
        <rFont val="Calibri"/>
        <family val="2"/>
        <scheme val="minor"/>
      </rPr>
      <t xml:space="preserve"> / (s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* SQRT(n-1))</t>
    </r>
  </si>
  <si>
    <t>=COUNT(x)</t>
  </si>
  <si>
    <r>
      <t>= TINV(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>,df)</t>
    </r>
  </si>
  <si>
    <t>= TDIST(|t|,df,2)</t>
  </si>
  <si>
    <r>
      <t>= ((n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-2)s</t>
    </r>
    <r>
      <rPr>
        <vertAlign val="subscript"/>
        <sz val="11"/>
        <color theme="1"/>
        <rFont val="Calibri"/>
        <family val="2"/>
        <scheme val="minor"/>
      </rPr>
      <t>y.x1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+(n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-2)s</t>
    </r>
    <r>
      <rPr>
        <vertAlign val="subscript"/>
        <sz val="11"/>
        <color theme="1"/>
        <rFont val="Calibri"/>
        <family val="2"/>
        <scheme val="minor"/>
      </rPr>
      <t>y.x2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)/(n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+n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-4)</t>
    </r>
  </si>
  <si>
    <r>
      <t>= SQRT(s</t>
    </r>
    <r>
      <rPr>
        <vertAlign val="subscript"/>
        <sz val="11"/>
        <color theme="1"/>
        <rFont val="Calibri"/>
        <family val="2"/>
        <scheme val="minor"/>
      </rPr>
      <t>b1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+s</t>
    </r>
    <r>
      <rPr>
        <vertAlign val="subscript"/>
        <sz val="11"/>
        <color theme="1"/>
        <rFont val="Calibri"/>
        <family val="2"/>
        <scheme val="minor"/>
      </rPr>
      <t>b2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</si>
  <si>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Confidence and Prediction Intervals</t>
  </si>
  <si>
    <t>Confidence interval for the forecasted value</t>
  </si>
  <si>
    <t>Prediction interval</t>
  </si>
  <si>
    <t>Test for y-intercept</t>
  </si>
  <si>
    <t>mean(x)</t>
  </si>
  <si>
    <r>
      <t>SS</t>
    </r>
    <r>
      <rPr>
        <vertAlign val="subscript"/>
        <sz val="11"/>
        <color theme="1"/>
        <rFont val="Calibri"/>
        <family val="2"/>
        <scheme val="minor"/>
      </rPr>
      <t>x</t>
    </r>
  </si>
  <si>
    <t>se</t>
  </si>
  <si>
    <t>Lower</t>
  </si>
  <si>
    <t>Upper</t>
  </si>
  <si>
    <r>
      <t>x</t>
    </r>
    <r>
      <rPr>
        <vertAlign val="subscript"/>
        <sz val="11"/>
        <color theme="1"/>
        <rFont val="Calibri"/>
        <family val="2"/>
        <scheme val="minor"/>
      </rPr>
      <t>0</t>
    </r>
  </si>
  <si>
    <r>
      <t>ŷ</t>
    </r>
    <r>
      <rPr>
        <vertAlign val="subscript"/>
        <sz val="11"/>
        <color theme="1"/>
        <rFont val="Calibri"/>
        <family val="2"/>
      </rPr>
      <t>0</t>
    </r>
  </si>
  <si>
    <r>
      <t>= FORECAST(y,x,x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</si>
  <si>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= STEYX(y,x)</t>
  </si>
  <si>
    <t>= AVERAGE(x)</t>
  </si>
  <si>
    <r>
      <t xml:space="preserve"> = ŷ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- t-crit * se</t>
    </r>
  </si>
  <si>
    <r>
      <t xml:space="preserve"> = ŷ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+ t-crit * se</t>
    </r>
  </si>
  <si>
    <t>= n - 2</t>
  </si>
  <si>
    <r>
      <rPr>
        <sz val="11"/>
        <color theme="1"/>
        <rFont val="Calibri"/>
        <family val="2"/>
        <scheme val="minor"/>
      </rPr>
      <t>= DEVSQ(x)</t>
    </r>
  </si>
  <si>
    <r>
      <t>= s</t>
    </r>
    <r>
      <rPr>
        <vertAlign val="subscript"/>
        <sz val="11"/>
        <color theme="1"/>
        <rFont val="Calibri"/>
        <family val="2"/>
        <scheme val="minor"/>
      </rPr>
      <t>Res</t>
    </r>
    <r>
      <rPr>
        <sz val="11"/>
        <color theme="1"/>
        <rFont val="Calibri"/>
        <family val="2"/>
        <scheme val="minor"/>
      </rPr>
      <t>*SQRT(1/n+(x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-x̄)^2/SS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)</t>
    </r>
  </si>
  <si>
    <t>Exponential Regression</t>
  </si>
  <si>
    <t>Original Data</t>
  </si>
  <si>
    <t>Log Transformed Data</t>
  </si>
  <si>
    <t>ln y</t>
  </si>
  <si>
    <r>
      <t>e</t>
    </r>
    <r>
      <rPr>
        <vertAlign val="superscript"/>
        <sz val="11"/>
        <color theme="1"/>
        <rFont val="Calibri"/>
        <family val="2"/>
        <scheme val="minor"/>
      </rPr>
      <t>a</t>
    </r>
  </si>
  <si>
    <r>
      <t>e</t>
    </r>
    <r>
      <rPr>
        <vertAlign val="superscript"/>
        <sz val="11"/>
        <color theme="1"/>
        <rFont val="Calibri"/>
        <family val="2"/>
        <scheme val="minor"/>
      </rPr>
      <t>b</t>
    </r>
  </si>
  <si>
    <t>Use of LOGEST</t>
  </si>
  <si>
    <t>Slope: Exp(b)</t>
  </si>
  <si>
    <t>Intercept: Exp(a)</t>
  </si>
  <si>
    <t>S.E. of slope</t>
  </si>
  <si>
    <t>R-Squared</t>
  </si>
  <si>
    <t>Use of slope and intercept for prediction</t>
  </si>
  <si>
    <t>Use of GROWTH</t>
  </si>
  <si>
    <t>Two Sample t-Test by Regression</t>
  </si>
  <si>
    <t>Predicted y</t>
  </si>
  <si>
    <t>Comparison</t>
  </si>
  <si>
    <r>
      <t>t</t>
    </r>
    <r>
      <rPr>
        <vertAlign val="superscript"/>
        <sz val="11"/>
        <color theme="1"/>
        <rFont val="Calibri"/>
        <family val="2"/>
        <scheme val="minor"/>
      </rPr>
      <t>2</t>
    </r>
  </si>
  <si>
    <t>Sig F</t>
  </si>
  <si>
    <t>P(T&lt;t) two-tail</t>
  </si>
  <si>
    <t>√(F/(F+df))</t>
  </si>
  <si>
    <t>Method of Least Squares</t>
  </si>
  <si>
    <t>Price</t>
  </si>
  <si>
    <t>X</t>
  </si>
  <si>
    <t>Y</t>
  </si>
  <si>
    <t>const</t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</si>
  <si>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</si>
  <si>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A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C</t>
    </r>
  </si>
  <si>
    <t>Color</t>
  </si>
  <si>
    <t>Quality</t>
  </si>
  <si>
    <t>Predicted Price</t>
  </si>
  <si>
    <t>Equations</t>
  </si>
  <si>
    <t>Covariance matrix</t>
  </si>
  <si>
    <t>b1</t>
  </si>
  <si>
    <t>b2</t>
  </si>
  <si>
    <t>b0</t>
  </si>
  <si>
    <t>Covariance matrix using COV function</t>
  </si>
  <si>
    <t>Ŷ</t>
  </si>
  <si>
    <t>Sample size requirements</t>
  </si>
  <si>
    <r>
      <t xml:space="preserve">Significance level </t>
    </r>
    <r>
      <rPr>
        <sz val="11"/>
        <color theme="1"/>
        <rFont val="Calibri"/>
        <family val="2"/>
      </rPr>
      <t>α = .01</t>
    </r>
  </si>
  <si>
    <r>
      <t xml:space="preserve">Significance level </t>
    </r>
    <r>
      <rPr>
        <sz val="11"/>
        <color theme="1"/>
        <rFont val="Calibri"/>
        <family val="2"/>
      </rPr>
      <t>α = .05</t>
    </r>
  </si>
  <si>
    <t>N/A</t>
  </si>
  <si>
    <t>N/A = not applicable</t>
  </si>
  <si>
    <r>
      <t>Table lists the minimum value of R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that can be detected by a given sample size and # of dependent variables k</t>
    </r>
  </si>
  <si>
    <t>Multiple Regression</t>
  </si>
  <si>
    <t>Forecast using TREND</t>
  </si>
  <si>
    <t>intercept</t>
  </si>
  <si>
    <t>b3</t>
  </si>
  <si>
    <t>Output from LINEST</t>
  </si>
  <si>
    <r>
      <t>S.E. of slope (s</t>
    </r>
    <r>
      <rPr>
        <vertAlign val="subscript"/>
        <sz val="10"/>
        <color theme="1"/>
        <rFont val="Calibri"/>
        <family val="2"/>
        <scheme val="minor"/>
      </rPr>
      <t>b</t>
    </r>
    <r>
      <rPr>
        <sz val="10"/>
        <color theme="1"/>
        <rFont val="Calibri"/>
        <family val="2"/>
        <scheme val="minor"/>
      </rPr>
      <t>)</t>
    </r>
  </si>
  <si>
    <r>
      <t>S.E. of intercept (s</t>
    </r>
    <r>
      <rPr>
        <vertAlign val="subscript"/>
        <sz val="10"/>
        <color theme="1"/>
        <rFont val="Calibri"/>
        <family val="2"/>
        <scheme val="minor"/>
      </rPr>
      <t>a</t>
    </r>
    <r>
      <rPr>
        <sz val="10"/>
        <color theme="1"/>
        <rFont val="Calibri"/>
        <family val="2"/>
        <scheme val="minor"/>
      </rPr>
      <t>)</t>
    </r>
  </si>
  <si>
    <r>
      <t>S.E. of estimate (s</t>
    </r>
    <r>
      <rPr>
        <vertAlign val="subscript"/>
        <sz val="10"/>
        <color theme="1"/>
        <rFont val="Calibri"/>
        <family val="2"/>
        <scheme val="minor"/>
      </rPr>
      <t>Res</t>
    </r>
    <r>
      <rPr>
        <sz val="10"/>
        <color theme="1"/>
        <rFont val="Calibri"/>
        <family val="2"/>
        <scheme val="minor"/>
      </rPr>
      <t>)</t>
    </r>
  </si>
  <si>
    <r>
      <t>df</t>
    </r>
    <r>
      <rPr>
        <vertAlign val="subscript"/>
        <sz val="10"/>
        <color theme="1"/>
        <rFont val="Calibri"/>
        <family val="2"/>
        <scheme val="minor"/>
      </rPr>
      <t>Res</t>
    </r>
  </si>
  <si>
    <r>
      <t>SS</t>
    </r>
    <r>
      <rPr>
        <vertAlign val="subscript"/>
        <sz val="10"/>
        <color theme="1"/>
        <rFont val="Calibri"/>
        <family val="2"/>
        <scheme val="minor"/>
      </rPr>
      <t>Reg</t>
    </r>
  </si>
  <si>
    <r>
      <t>SS</t>
    </r>
    <r>
      <rPr>
        <vertAlign val="subscript"/>
        <sz val="10"/>
        <color theme="1"/>
        <rFont val="Calibri"/>
        <family val="2"/>
        <scheme val="minor"/>
      </rPr>
      <t>Res</t>
    </r>
  </si>
  <si>
    <t>Lower 95.0%</t>
  </si>
  <si>
    <t>Upper 95.0%</t>
  </si>
  <si>
    <t>Predicted Poverty</t>
  </si>
  <si>
    <t>Model with all three independent variables</t>
  </si>
  <si>
    <t>Model only with Infant mortality</t>
  </si>
  <si>
    <t xml:space="preserve">Multiple Regression </t>
  </si>
  <si>
    <t>Price - Color</t>
  </si>
  <si>
    <t>Price - Quality</t>
  </si>
  <si>
    <t>Color - Quality</t>
  </si>
  <si>
    <t>Regression data analysis tool output</t>
  </si>
  <si>
    <t>Regression data analysis (formulas inserted)</t>
  </si>
  <si>
    <t>Std Residuals</t>
  </si>
  <si>
    <t>df1</t>
  </si>
  <si>
    <t>df2</t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</si>
  <si>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</si>
  <si>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  <r>
      <rPr>
        <sz val="11"/>
        <color theme="1"/>
        <rFont val="Calibri"/>
        <family val="2"/>
        <scheme val="minor"/>
      </rP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</si>
  <si>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t>s.e.</t>
  </si>
  <si>
    <t>Polynomial Regression</t>
  </si>
  <si>
    <t>Hours per Month</t>
  </si>
  <si>
    <t>Hours</t>
  </si>
  <si>
    <t>Month</t>
  </si>
  <si>
    <t>MonSq</t>
  </si>
  <si>
    <t>Predicted Hours</t>
  </si>
  <si>
    <t>Use</t>
  </si>
  <si>
    <t>Linear Regression Model</t>
  </si>
  <si>
    <t>Quadratic Regression Model</t>
  </si>
  <si>
    <t>Hours of Use</t>
  </si>
  <si>
    <t>Interaction Model</t>
  </si>
  <si>
    <t>Interaction</t>
  </si>
  <si>
    <t>Votes</t>
  </si>
  <si>
    <t>Money</t>
  </si>
  <si>
    <t>Regression Model - Interaction</t>
  </si>
  <si>
    <t>Regression analysis on interaction model</t>
  </si>
  <si>
    <t>Regression analysis without interaction</t>
  </si>
  <si>
    <r>
      <t>SS</t>
    </r>
    <r>
      <rPr>
        <i/>
        <vertAlign val="subscript"/>
        <sz val="11"/>
        <color theme="1"/>
        <rFont val="Calibri"/>
        <family val="2"/>
        <scheme val="minor"/>
      </rPr>
      <t>Res</t>
    </r>
    <r>
      <rPr>
        <i/>
        <sz val="11"/>
        <color theme="1"/>
        <rFont val="Calibri"/>
        <family val="2"/>
        <scheme val="minor"/>
      </rPr>
      <t xml:space="preserve"> = SS</t>
    </r>
    <r>
      <rPr>
        <i/>
        <vertAlign val="subscript"/>
        <sz val="11"/>
        <color theme="1"/>
        <rFont val="Calibri"/>
        <family val="2"/>
        <scheme val="minor"/>
      </rPr>
      <t xml:space="preserve">T </t>
    </r>
    <r>
      <rPr>
        <i/>
        <sz val="11"/>
        <color theme="1"/>
        <rFont val="Calibri"/>
        <family val="2"/>
        <scheme val="minor"/>
      </rPr>
      <t>(1 – 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)</t>
    </r>
  </si>
  <si>
    <t>Pairwise Correlations</t>
  </si>
  <si>
    <t>Multiple Regression (Alternative Approach)</t>
  </si>
  <si>
    <t>Multicollinearity</t>
  </si>
  <si>
    <t>X1</t>
  </si>
  <si>
    <t>X2</t>
  </si>
  <si>
    <t>Predicted Y</t>
  </si>
  <si>
    <t>Regression with only X1 variable</t>
  </si>
  <si>
    <t>Regression with X1 and X2 variables</t>
  </si>
  <si>
    <t>Two Sample Variance Testing</t>
  </si>
  <si>
    <t>F-Test Two-Sample for Variances</t>
  </si>
  <si>
    <t>P(F&lt;=f) one-tail</t>
  </si>
  <si>
    <t>F Critical one-tail</t>
  </si>
  <si>
    <t>Excel data analysis tool</t>
  </si>
  <si>
    <t>=E7/F7</t>
  </si>
  <si>
    <t>=IF(E12&lt;E11,"yes","no")</t>
  </si>
  <si>
    <t>Two-sample F-test for variances (two-tailed)</t>
  </si>
  <si>
    <t>Correlation testing and chi-square</t>
  </si>
  <si>
    <r>
      <t xml:space="preserve">Correlation and t test </t>
    </r>
    <r>
      <rPr>
        <sz val="11"/>
        <color theme="1"/>
        <rFont val="Calibri"/>
        <family val="2"/>
        <scheme val="minor"/>
      </rPr>
      <t>(using dichotomous independent variable)</t>
    </r>
  </si>
  <si>
    <t>y = 1 for therapy 1 and y = 0 for therapy 2</t>
  </si>
  <si>
    <t>x = 1 for cured and x = 0 for not cured</t>
  </si>
  <si>
    <t>x̄</t>
  </si>
  <si>
    <t>ȳ</t>
  </si>
  <si>
    <t>x - x̄</t>
  </si>
  <si>
    <t>y - ȳ</t>
  </si>
  <si>
    <t>(x - x̄)(y - ȳ)</t>
  </si>
  <si>
    <r>
      <t>(x - x̄)</t>
    </r>
    <r>
      <rPr>
        <vertAlign val="superscript"/>
        <sz val="11"/>
        <color rgb="FF000000"/>
        <rFont val="Calibri"/>
        <family val="2"/>
        <scheme val="minor"/>
      </rPr>
      <t>2</t>
    </r>
  </si>
  <si>
    <r>
      <t>(y - ȳ)</t>
    </r>
    <r>
      <rPr>
        <vertAlign val="superscript"/>
        <sz val="11"/>
        <color rgb="FF000000"/>
        <rFont val="Calibri"/>
        <family val="2"/>
        <scheme val="minor"/>
      </rPr>
      <t>2</t>
    </r>
  </si>
  <si>
    <t>Σ</t>
  </si>
  <si>
    <r>
      <t>χ2 = nr</t>
    </r>
    <r>
      <rPr>
        <vertAlign val="superscript"/>
        <sz val="11"/>
        <color theme="1"/>
        <rFont val="Calibri"/>
        <family val="2"/>
        <scheme val="minor"/>
      </rPr>
      <t>2</t>
    </r>
  </si>
  <si>
    <t>Flavor 1</t>
  </si>
  <si>
    <t>Flavor 2</t>
  </si>
  <si>
    <t>Flavor 3</t>
  </si>
  <si>
    <t>One-way ANOVA</t>
  </si>
  <si>
    <t>ANOVA: Single Factor</t>
  </si>
  <si>
    <t>DESCRIPTION</t>
  </si>
  <si>
    <t>Sources</t>
  </si>
  <si>
    <t>P value</t>
  </si>
  <si>
    <t xml:space="preserve"> F crit</t>
  </si>
  <si>
    <t>Between Groups</t>
  </si>
  <si>
    <t>Within Groups</t>
  </si>
  <si>
    <t>Anova: Single Factor</t>
  </si>
  <si>
    <t>Average</t>
  </si>
  <si>
    <t>Source of Variation</t>
  </si>
  <si>
    <t>F crit</t>
  </si>
  <si>
    <t>SS for Between Groups</t>
  </si>
  <si>
    <r>
      <t>a</t>
    </r>
    <r>
      <rPr>
        <i/>
        <vertAlign val="subscript"/>
        <sz val="11"/>
        <color theme="1"/>
        <rFont val="Calibri"/>
        <family val="2"/>
        <scheme val="minor"/>
      </rPr>
      <t>j</t>
    </r>
  </si>
  <si>
    <r>
      <t>x̄</t>
    </r>
    <r>
      <rPr>
        <i/>
        <vertAlign val="subscript"/>
        <sz val="11"/>
        <color theme="1"/>
        <rFont val="Calibri"/>
        <family val="2"/>
        <scheme val="minor"/>
      </rPr>
      <t>j</t>
    </r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</si>
  <si>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</si>
  <si>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</si>
  <si>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</si>
  <si>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</si>
  <si>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</si>
  <si>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</si>
  <si>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</si>
  <si>
    <r>
      <t>e</t>
    </r>
    <r>
      <rPr>
        <vertAlign val="subscript"/>
        <sz val="11"/>
        <color theme="1"/>
        <rFont val="Calibri"/>
        <family val="2"/>
        <scheme val="minor"/>
      </rPr>
      <t>4</t>
    </r>
  </si>
  <si>
    <t>Error terms</t>
  </si>
  <si>
    <r>
      <t>Var(e</t>
    </r>
    <r>
      <rPr>
        <sz val="11"/>
        <color theme="1"/>
        <rFont val="Calibri"/>
        <family val="2"/>
        <scheme val="minor"/>
      </rPr>
      <t>)</t>
    </r>
  </si>
  <si>
    <r>
      <t>MS</t>
    </r>
    <r>
      <rPr>
        <vertAlign val="subscript"/>
        <sz val="11"/>
        <color theme="1"/>
        <rFont val="Calibri"/>
        <family val="2"/>
        <scheme val="minor"/>
      </rPr>
      <t>W</t>
    </r>
  </si>
  <si>
    <t xml:space="preserve">k </t>
  </si>
  <si>
    <r>
      <t>(n-k)/(n-1) MS</t>
    </r>
    <r>
      <rPr>
        <vertAlign val="subscript"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</t>
    </r>
  </si>
  <si>
    <t>MSW - alternative approach</t>
  </si>
  <si>
    <t>df ∙ Var</t>
  </si>
  <si>
    <t>MSW</t>
  </si>
  <si>
    <t>SS Between Groups</t>
  </si>
  <si>
    <t>MS Within Groups</t>
  </si>
  <si>
    <t>Single Factor ANOVA</t>
  </si>
  <si>
    <t>Levene's test for homogeneity of variances</t>
  </si>
  <si>
    <r>
      <t>s</t>
    </r>
    <r>
      <rPr>
        <i/>
        <vertAlign val="subscript"/>
        <sz val="11"/>
        <color theme="1"/>
        <rFont val="Calibri"/>
        <family val="2"/>
        <scheme val="minor"/>
      </rPr>
      <t>j</t>
    </r>
    <r>
      <rPr>
        <i/>
        <vertAlign val="superscript"/>
        <sz val="11"/>
        <color theme="1"/>
        <rFont val="Calibri"/>
        <family val="2"/>
        <scheme val="minor"/>
      </rPr>
      <t>2</t>
    </r>
  </si>
  <si>
    <t>Test of means</t>
  </si>
  <si>
    <t>Absolute value of residuals</t>
  </si>
  <si>
    <t>Bartlett's test for homogeneity of variances</t>
  </si>
  <si>
    <t>1/df</t>
  </si>
  <si>
    <t>ln(var)</t>
  </si>
  <si>
    <t>Error (W)</t>
  </si>
  <si>
    <t>B-num</t>
  </si>
  <si>
    <t>B-den</t>
  </si>
  <si>
    <t xml:space="preserve">B-crit </t>
  </si>
  <si>
    <t>Test with revised data</t>
  </si>
  <si>
    <t>med</t>
  </si>
  <si>
    <t>Outliers</t>
  </si>
  <si>
    <r>
      <t>df</t>
    </r>
    <r>
      <rPr>
        <i/>
        <vertAlign val="subscript"/>
        <sz val="11"/>
        <color theme="1"/>
        <rFont val="Calibri"/>
        <family val="2"/>
        <scheme val="minor"/>
      </rPr>
      <t>j</t>
    </r>
  </si>
  <si>
    <t>Standardized value of residuals</t>
  </si>
  <si>
    <r>
      <t>s</t>
    </r>
    <r>
      <rPr>
        <vertAlign val="subscript"/>
        <sz val="11"/>
        <color theme="1"/>
        <rFont val="Calibri"/>
        <family val="2"/>
        <scheme val="minor"/>
      </rPr>
      <t>W</t>
    </r>
  </si>
  <si>
    <t>Planned comparisons</t>
  </si>
  <si>
    <t>c^2/n</t>
  </si>
  <si>
    <t>T-TEST</t>
  </si>
  <si>
    <t>cx̄</t>
  </si>
  <si>
    <t>CONTRAST</t>
  </si>
  <si>
    <t xml:space="preserve">CONTRAST </t>
  </si>
  <si>
    <r>
      <t>x̄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- x̄</t>
    </r>
    <r>
      <rPr>
        <vertAlign val="subscript"/>
        <sz val="11"/>
        <color theme="1"/>
        <rFont val="Calibri"/>
        <family val="2"/>
        <scheme val="minor"/>
      </rPr>
      <t>2</t>
    </r>
  </si>
  <si>
    <t>=I7-I8</t>
  </si>
  <si>
    <t>=I16</t>
  </si>
  <si>
    <t>=SQRT(O7*(1/G7+1/G8))</t>
  </si>
  <si>
    <t>=O6/O8</t>
  </si>
  <si>
    <t>=H16</t>
  </si>
  <si>
    <t>=TDIST(ABS(O9),O10,2)</t>
  </si>
  <si>
    <r>
      <t>df</t>
    </r>
    <r>
      <rPr>
        <vertAlign val="subscript"/>
        <sz val="11"/>
        <color theme="1"/>
        <rFont val="Calibri"/>
        <family val="2"/>
        <scheme val="minor"/>
      </rPr>
      <t>W</t>
    </r>
  </si>
  <si>
    <t>Men Drug</t>
  </si>
  <si>
    <t>Men Control</t>
  </si>
  <si>
    <t>Women Drug</t>
  </si>
  <si>
    <t>Women Control</t>
  </si>
  <si>
    <t>Wom Drug</t>
  </si>
  <si>
    <t>Wom Control</t>
  </si>
  <si>
    <t>sig</t>
  </si>
  <si>
    <t xml:space="preserve">Dunn/Sidák </t>
  </si>
  <si>
    <t>Bonferroni</t>
  </si>
  <si>
    <t>Tukey HSD post-hoc test</t>
  </si>
  <si>
    <t xml:space="preserve">Unplanned Comparisons </t>
  </si>
  <si>
    <t>Tukey's HSD</t>
  </si>
  <si>
    <r>
      <t>μ</t>
    </r>
    <r>
      <rPr>
        <vertAlign val="subscript"/>
        <sz val="11"/>
        <color theme="1"/>
        <rFont val="Calibri"/>
        <family val="2"/>
      </rPr>
      <t xml:space="preserve">WD </t>
    </r>
    <r>
      <rPr>
        <sz val="11"/>
        <color theme="1"/>
        <rFont val="Calibri"/>
        <family val="2"/>
      </rPr>
      <t>- μ</t>
    </r>
    <r>
      <rPr>
        <vertAlign val="subscript"/>
        <sz val="11"/>
        <color theme="1"/>
        <rFont val="Calibri"/>
        <family val="2"/>
      </rPr>
      <t>WC</t>
    </r>
  </si>
  <si>
    <t>q-crit</t>
  </si>
  <si>
    <t>t-crit adj</t>
  </si>
  <si>
    <r>
      <t>μ</t>
    </r>
    <r>
      <rPr>
        <vertAlign val="subscript"/>
        <sz val="11"/>
        <color theme="1"/>
        <rFont val="Calibri"/>
        <family val="2"/>
      </rPr>
      <t xml:space="preserve">WD </t>
    </r>
    <r>
      <rPr>
        <sz val="11"/>
        <color theme="1"/>
        <rFont val="Calibri"/>
        <family val="2"/>
      </rPr>
      <t>- μ</t>
    </r>
    <r>
      <rPr>
        <vertAlign val="subscript"/>
        <sz val="11"/>
        <color theme="1"/>
        <rFont val="Calibri"/>
        <family val="2"/>
      </rPr>
      <t>MC</t>
    </r>
  </si>
  <si>
    <t>Q Test Table Lookup</t>
  </si>
  <si>
    <t>match</t>
  </si>
  <si>
    <t>row1</t>
  </si>
  <si>
    <t>row2</t>
  </si>
  <si>
    <t>value1</t>
  </si>
  <si>
    <t>value2</t>
  </si>
  <si>
    <t>REGWQ</t>
  </si>
  <si>
    <t>i</t>
  </si>
  <si>
    <t>j</t>
  </si>
  <si>
    <t>mean i</t>
  </si>
  <si>
    <t>mean j</t>
  </si>
  <si>
    <t>REGWQ post-hoc test</t>
  </si>
  <si>
    <t>mean i - mean j</t>
  </si>
  <si>
    <t>MD - MC</t>
  </si>
  <si>
    <t>MD - WD</t>
  </si>
  <si>
    <t>MD - WC</t>
  </si>
  <si>
    <t>MC - WD</t>
  </si>
  <si>
    <t>MC - WC</t>
  </si>
  <si>
    <t>WD - WC</t>
  </si>
  <si>
    <t>Contrast</t>
  </si>
  <si>
    <t>q</t>
  </si>
  <si>
    <t>diff-crit</t>
  </si>
  <si>
    <t>inf</t>
  </si>
  <si>
    <r>
      <t>α</t>
    </r>
    <r>
      <rPr>
        <vertAlign val="subscript"/>
        <sz val="11"/>
        <color theme="1"/>
        <rFont val="Calibri"/>
        <family val="2"/>
      </rPr>
      <t>p</t>
    </r>
  </si>
  <si>
    <t>Scheffé's post-hoc test</t>
  </si>
  <si>
    <t>F-stat</t>
  </si>
  <si>
    <t>dfB</t>
  </si>
  <si>
    <t>dfW</t>
  </si>
  <si>
    <t>Scheffé's Test</t>
  </si>
  <si>
    <t>ANOVA using Regression</t>
  </si>
  <si>
    <t>Model with Dummy Variables</t>
  </si>
  <si>
    <t>t1</t>
  </si>
  <si>
    <t>t2</t>
  </si>
  <si>
    <t>Analysis of means</t>
  </si>
  <si>
    <t>grp effect</t>
  </si>
  <si>
    <t>Brown-Forsythe F* Test</t>
  </si>
  <si>
    <t>m</t>
  </si>
  <si>
    <t>df*</t>
  </si>
  <si>
    <t>Brown-Forsythe F*</t>
  </si>
  <si>
    <t>m-num</t>
  </si>
  <si>
    <t>F-parts</t>
  </si>
  <si>
    <r>
      <t>ω</t>
    </r>
    <r>
      <rPr>
        <vertAlign val="superscript"/>
        <sz val="11"/>
        <color theme="1"/>
        <rFont val="Calibri"/>
        <family val="2"/>
      </rPr>
      <t>2</t>
    </r>
  </si>
  <si>
    <t>Log Transform</t>
  </si>
  <si>
    <t>median</t>
  </si>
  <si>
    <t>Residuals from median</t>
  </si>
  <si>
    <t>Levene's Test (Raw data)</t>
  </si>
  <si>
    <t>Levene's Test (Log transformation)</t>
  </si>
  <si>
    <t>Single Factor ANOVA with Contrasts</t>
  </si>
  <si>
    <t>Single Factor ANOVA with Pairwise Comparison</t>
  </si>
  <si>
    <t>Levene's test on means (extra example)</t>
  </si>
  <si>
    <t>Anova: Two-Factor Without Replication</t>
  </si>
  <si>
    <t>Error</t>
  </si>
  <si>
    <t>Columns</t>
  </si>
  <si>
    <t>Wheat</t>
  </si>
  <si>
    <t>Corn</t>
  </si>
  <si>
    <t>Soy</t>
  </si>
  <si>
    <t>Blend X</t>
  </si>
  <si>
    <t>Blend Y</t>
  </si>
  <si>
    <t>Blend Z</t>
  </si>
  <si>
    <t>Rice</t>
  </si>
  <si>
    <t>Two Factor ANOVA without replication</t>
  </si>
  <si>
    <t>Two-way ANOVA</t>
  </si>
  <si>
    <t>Anova: Two-Factor With Replication</t>
  </si>
  <si>
    <t>Within</t>
  </si>
  <si>
    <t>Crop</t>
  </si>
  <si>
    <t>Fertilizer</t>
  </si>
  <si>
    <t>COLUMNS (CROP)</t>
  </si>
  <si>
    <t>ROWS(FERTLIZER)</t>
  </si>
  <si>
    <t>Fertilizer (Rows)</t>
  </si>
  <si>
    <t>Crop (Columns)</t>
  </si>
  <si>
    <t>Yield</t>
  </si>
  <si>
    <t>SSW</t>
  </si>
  <si>
    <t>Means</t>
  </si>
  <si>
    <t>MEAN</t>
  </si>
  <si>
    <t>Formulas for SS terms</t>
  </si>
  <si>
    <t>=DEVSQ(J17:J19)/I17</t>
  </si>
  <si>
    <t>=DEVSQ(J21:J24)/I21</t>
  </si>
  <si>
    <t>=P10-P5-P6-P8</t>
  </si>
  <si>
    <t>=SUM(M4:M15)</t>
  </si>
  <si>
    <t>=DEVSQ(C4:G15)</t>
  </si>
  <si>
    <t xml:space="preserve">Alternative way of calculating SSW </t>
  </si>
  <si>
    <t>SSBet</t>
  </si>
  <si>
    <t>SST</t>
  </si>
  <si>
    <t>Gender</t>
  </si>
  <si>
    <t>Sample Scores</t>
  </si>
  <si>
    <t>A x B</t>
  </si>
  <si>
    <t>AB-A-B</t>
  </si>
  <si>
    <t>A x C</t>
  </si>
  <si>
    <t>AC-A-C</t>
  </si>
  <si>
    <t>B x C</t>
  </si>
  <si>
    <t>BC-B-C</t>
  </si>
  <si>
    <t>A x B x C</t>
  </si>
  <si>
    <t>ABC-A-B-C-AB-BC-AC</t>
  </si>
  <si>
    <t>T - all</t>
  </si>
  <si>
    <t>A (Gender)</t>
  </si>
  <si>
    <t>Error (Within)</t>
  </si>
  <si>
    <t>3-way ANOVA</t>
  </si>
  <si>
    <t>AB Bet</t>
  </si>
  <si>
    <t>AC Bet</t>
  </si>
  <si>
    <t>BC Bet</t>
  </si>
  <si>
    <t>ABC Bet</t>
  </si>
  <si>
    <t>=DEVSQ(D4:O11)</t>
  </si>
  <si>
    <t>=DEVSQ(V9:V10)*Y6</t>
  </si>
  <si>
    <t>=DEVSQ(T11:U11)*Y7</t>
  </si>
  <si>
    <t>=DEVSQ(V19:V20)*Y8</t>
  </si>
  <si>
    <t>=DEVSQ(T9:U10)*Y9</t>
  </si>
  <si>
    <t>=Z9-Z6-Z7</t>
  </si>
  <si>
    <t>=DEVSQ(T14:U15)*Y11</t>
  </si>
  <si>
    <t>=Z11-Z6-Z8</t>
  </si>
  <si>
    <t>=DEVSQ(T19:U20)*Y13</t>
  </si>
  <si>
    <t>=Z13-Z7-Z8</t>
  </si>
  <si>
    <t>=DEVSQ(Q4:Q11)*Y15</t>
  </si>
  <si>
    <t>=Z15-Z6-Z7-Z8-Z10-Z12-Z14</t>
  </si>
  <si>
    <t>=Z5-Z6-Z7-Z8-Z10-Z12-Z14-Z16</t>
  </si>
  <si>
    <t>Formulas for SS</t>
  </si>
  <si>
    <t>Counts</t>
  </si>
  <si>
    <t>Country</t>
  </si>
  <si>
    <t>Italian</t>
  </si>
  <si>
    <t>Foreign</t>
  </si>
  <si>
    <t>B (Nationality)</t>
  </si>
  <si>
    <t>Position</t>
  </si>
  <si>
    <t>Seated</t>
  </si>
  <si>
    <t>Prone</t>
  </si>
  <si>
    <t>C (Position)</t>
  </si>
  <si>
    <t>Two Factor ANOVA with replication</t>
  </si>
  <si>
    <t>Two-way ANOVA using regression</t>
  </si>
  <si>
    <t>t3</t>
  </si>
  <si>
    <t>t1*t2</t>
  </si>
  <si>
    <t>t1*t3</t>
  </si>
  <si>
    <t>t1 = 1 if Blend X, = 0 otherwise</t>
  </si>
  <si>
    <t>t2 = 1 if Corn, = 0 otherwise</t>
  </si>
  <si>
    <t>t3 = 1 if Soy, = 0 otherwise</t>
  </si>
  <si>
    <t>Contrasts for two-way ANOVA</t>
  </si>
  <si>
    <t>Arm</t>
  </si>
  <si>
    <t>Foot</t>
  </si>
  <si>
    <t>Neck</t>
  </si>
  <si>
    <t>Cold</t>
  </si>
  <si>
    <t>Dry</t>
  </si>
  <si>
    <t>Humid</t>
  </si>
  <si>
    <t>Climate</t>
  </si>
  <si>
    <t>Body Location</t>
  </si>
  <si>
    <t>MAIN EFFECT (Body Location)</t>
  </si>
  <si>
    <t>MAIN EFFECT (Climate)</t>
  </si>
  <si>
    <t>SIMPLE EFFECT (Humid x Body Location)</t>
  </si>
  <si>
    <t>SIMPLE EFFECT (Foot x Climate)</t>
  </si>
  <si>
    <t xml:space="preserve"> Variation</t>
  </si>
  <si>
    <t>Anova: Single Factor (Simple Effect: Cold vs Body Location)</t>
  </si>
  <si>
    <t>Anova: Single Factor (Main Effect: Climate)</t>
  </si>
  <si>
    <t>Body Part</t>
  </si>
  <si>
    <t>Calculating coefficients from ANOVA</t>
  </si>
  <si>
    <t>b5</t>
  </si>
  <si>
    <t>b4</t>
  </si>
  <si>
    <t>MST</t>
  </si>
  <si>
    <t>R</t>
  </si>
  <si>
    <t>Regression (Row)</t>
  </si>
  <si>
    <t>Regression (Columns)</t>
  </si>
  <si>
    <t>t1 = 1 if Blend X, = -1 Blend Y</t>
  </si>
  <si>
    <t>t2 = 1 if Corn, -1 if Rice; = 0 otherwise</t>
  </si>
  <si>
    <t>t3 = 1 if Soy, -1 if Rice; = 0 otherwise</t>
  </si>
  <si>
    <t>Equally weighted means</t>
  </si>
  <si>
    <t>Calculation of coefficients</t>
  </si>
  <si>
    <t>α + β model</t>
  </si>
  <si>
    <t>α + αβ model</t>
  </si>
  <si>
    <t>β + αβ model</t>
  </si>
  <si>
    <t>Summary</t>
  </si>
  <si>
    <t>R Square x SST</t>
  </si>
  <si>
    <t>α+β+αβ</t>
  </si>
  <si>
    <t>α+αβ</t>
  </si>
  <si>
    <t>β+αβ</t>
  </si>
  <si>
    <t>α+β</t>
  </si>
  <si>
    <t>AB</t>
  </si>
  <si>
    <t>ANOVA Results</t>
  </si>
  <si>
    <t>Blend (Rows)</t>
  </si>
  <si>
    <t>SSReg</t>
  </si>
  <si>
    <t>dfReg</t>
  </si>
  <si>
    <t>Total (as sum)</t>
  </si>
  <si>
    <t>ω</t>
  </si>
  <si>
    <r>
      <t>H = X(X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</si>
  <si>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t>Cig</t>
  </si>
  <si>
    <t>Standardized</t>
  </si>
  <si>
    <t>Studentized</t>
  </si>
  <si>
    <t>Testing for normality</t>
  </si>
  <si>
    <t>Testing homogeneity of variances and linearity</t>
  </si>
  <si>
    <t>Least Squares Method</t>
  </si>
  <si>
    <t>Normality</t>
  </si>
  <si>
    <t>Residual plots</t>
  </si>
  <si>
    <r>
      <t>E/</t>
    </r>
    <r>
      <rPr>
        <sz val="11"/>
        <color theme="1"/>
        <rFont val="Calibri"/>
        <family val="2"/>
      </rPr>
      <t>√MS</t>
    </r>
    <r>
      <rPr>
        <vertAlign val="subscript"/>
        <sz val="11"/>
        <color theme="1"/>
        <rFont val="Calibri"/>
        <family val="2"/>
      </rPr>
      <t>Res</t>
    </r>
  </si>
  <si>
    <r>
      <t>E/</t>
    </r>
    <r>
      <rPr>
        <sz val="11"/>
        <color theme="1"/>
        <rFont val="Calibri"/>
        <family val="2"/>
      </rPr>
      <t>s.e.</t>
    </r>
  </si>
  <si>
    <t>E/√MSRes</t>
  </si>
  <si>
    <t>E/s.e.</t>
  </si>
  <si>
    <t>Stud E</t>
  </si>
  <si>
    <t>QQ Tables - y</t>
  </si>
  <si>
    <t>QQ Tables - stud. res</t>
  </si>
  <si>
    <t>Homogeneity of variances</t>
  </si>
  <si>
    <t>Stud. E</t>
  </si>
  <si>
    <t>Diagonal</t>
  </si>
  <si>
    <t>Residual Plots</t>
  </si>
  <si>
    <t>QQ Table reversing axes</t>
  </si>
  <si>
    <t>Problem plots for homogeneity of variances</t>
  </si>
  <si>
    <t>Fit Plots</t>
  </si>
  <si>
    <t>Pred Price</t>
  </si>
  <si>
    <t>Determinant</t>
  </si>
  <si>
    <t>Det</t>
  </si>
  <si>
    <t>Rule</t>
  </si>
  <si>
    <t>x =</t>
  </si>
  <si>
    <t>y =</t>
  </si>
  <si>
    <t xml:space="preserve">z = </t>
  </si>
  <si>
    <t>det A =</t>
  </si>
  <si>
    <r>
      <t>det A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</si>
  <si>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det A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</t>
    </r>
  </si>
  <si>
    <r>
      <t>det A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</t>
    </r>
  </si>
  <si>
    <t>Answer using MDETERM</t>
  </si>
  <si>
    <t>Alternative derivations of Multiple R</t>
  </si>
  <si>
    <t>= (1.05)(1.05)(1.1)(1.1)</t>
  </si>
  <si>
    <t>= 1.334025 ^ 0.25 -1</t>
  </si>
  <si>
    <t>= GEOMEAN(1.05,1.05,1.1,1.1) - 1</t>
  </si>
  <si>
    <t>effect</t>
  </si>
  <si>
    <t>Single Sample Hypothesis Testing of the Mean</t>
  </si>
  <si>
    <t>population</t>
  </si>
  <si>
    <t>test</t>
  </si>
  <si>
    <t>tails</t>
  </si>
  <si>
    <t>right crit</t>
  </si>
  <si>
    <t>sample size</t>
  </si>
  <si>
    <t>power</t>
  </si>
  <si>
    <t>beta</t>
  </si>
  <si>
    <t>Calculate power for given effect size</t>
  </si>
  <si>
    <t>What mean can be detected with power .80</t>
  </si>
  <si>
    <t>What sample size is needed to achieve power of .80 for given value of mean</t>
  </si>
  <si>
    <t>What sample size is needed to achieve power of .80 for given effect size</t>
  </si>
  <si>
    <t>sample mean</t>
  </si>
  <si>
    <t>Sample size</t>
  </si>
  <si>
    <t>Hypothetic mean</t>
  </si>
  <si>
    <t>Standard deviation</t>
  </si>
  <si>
    <t>Actual mean</t>
  </si>
  <si>
    <t>Beta</t>
  </si>
  <si>
    <t>Right critical value</t>
  </si>
  <si>
    <t>Power - Normal Distribution (What if analysis)</t>
  </si>
  <si>
    <t>Standard error</t>
  </si>
  <si>
    <t>=B4/SQRT(B6)</t>
  </si>
  <si>
    <t>=B3+B9*B4</t>
  </si>
  <si>
    <t>=1-B11</t>
  </si>
  <si>
    <t>=B3+B8*B7</t>
  </si>
  <si>
    <t>t-critical</t>
  </si>
  <si>
    <t>Mean at t-critical</t>
  </si>
  <si>
    <t>=(B11-B3)/B4</t>
  </si>
  <si>
    <t>Cook's Distance</t>
  </si>
  <si>
    <t>Pred Y</t>
  </si>
  <si>
    <t>Leverage</t>
  </si>
  <si>
    <t>Mod MSE</t>
  </si>
  <si>
    <t>RStudent</t>
  </si>
  <si>
    <t>T-test</t>
  </si>
  <si>
    <t>Cook's D</t>
  </si>
  <si>
    <t>Version 1</t>
  </si>
  <si>
    <t>Version 2</t>
  </si>
  <si>
    <t>Price (Y)</t>
  </si>
  <si>
    <t>Test for significance of eliminating White and Crime</t>
  </si>
  <si>
    <t>dfE</t>
  </si>
  <si>
    <t>SSE</t>
  </si>
  <si>
    <t>MSE</t>
  </si>
  <si>
    <t>complete</t>
  </si>
  <si>
    <t>reduced</t>
  </si>
  <si>
    <t>difference</t>
  </si>
  <si>
    <t>=AE4-AD4</t>
  </si>
  <si>
    <t>=AE5-AD5</t>
  </si>
  <si>
    <t>=AF4/AF5</t>
  </si>
  <si>
    <t>=AF6/AD6</t>
  </si>
  <si>
    <t>=FDIST(AF7,AF5,AD5)</t>
  </si>
  <si>
    <t>=IF(AF9&lt;AF8,"yes","no")</t>
  </si>
  <si>
    <t>Observed Data</t>
  </si>
  <si>
    <t>t1 * t2</t>
  </si>
  <si>
    <t>y = freq</t>
  </si>
  <si>
    <t>Expected Data</t>
  </si>
  <si>
    <t>R-Square</t>
  </si>
  <si>
    <t>=AD14-AE14</t>
  </si>
  <si>
    <t>=AE15-AD15</t>
  </si>
  <si>
    <t>=FDIST(AF16,AF15,AD15)</t>
  </si>
  <si>
    <t>=IF(AF18&lt;AF17,"yes","no")</t>
  </si>
  <si>
    <t>AIC</t>
  </si>
  <si>
    <t>AIC for the two models</t>
  </si>
  <si>
    <t>AICc</t>
  </si>
  <si>
    <t>Solving equations using Cramer's Rule</t>
  </si>
  <si>
    <t>Gaussian Elimination</t>
  </si>
  <si>
    <t>Homogeneous linear equations - trivial solution only</t>
  </si>
  <si>
    <t>Non-homogeneous linear equations - unique solution</t>
  </si>
  <si>
    <t>Homogeneous linear equations - infinite number of solutions</t>
  </si>
  <si>
    <t>Invert a matrix</t>
  </si>
  <si>
    <t>Low Fault</t>
  </si>
  <si>
    <t>High Fault</t>
  </si>
  <si>
    <t>Marginal</t>
  </si>
  <si>
    <t>t1 = 1 if Low, -1 if High</t>
  </si>
  <si>
    <t>t2 = 1 if Guilty, -1 if Innocent</t>
  </si>
  <si>
    <t>y -obs</t>
  </si>
  <si>
    <r>
      <rPr>
        <sz val="11"/>
        <color theme="1"/>
        <rFont val="Calibri"/>
        <family val="2"/>
      </rPr>
      <t>ŷ</t>
    </r>
    <r>
      <rPr>
        <sz val="11"/>
        <color theme="1"/>
        <rFont val="Calibri"/>
        <family val="2"/>
        <scheme val="minor"/>
      </rPr>
      <t xml:space="preserve"> = exp</t>
    </r>
  </si>
  <si>
    <r>
      <t xml:space="preserve">ln </t>
    </r>
    <r>
      <rPr>
        <sz val="11"/>
        <color theme="1"/>
        <rFont val="Calibri"/>
        <family val="2"/>
      </rPr>
      <t>ŷ</t>
    </r>
  </si>
  <si>
    <t>Equiprob</t>
  </si>
  <si>
    <t>Saturated</t>
  </si>
  <si>
    <t>t1 = 1 if Guilty, -1 if Innocent</t>
  </si>
  <si>
    <t>t2 = 1 if Low Fault, -1 if High Fault</t>
  </si>
  <si>
    <t>t3 = 1 if High Morality, -1 if Low Morality, 0 otherwise</t>
  </si>
  <si>
    <t>t4 = 1 if Neutral Morality, -1 if Low Morality, 0 otherwise</t>
  </si>
  <si>
    <t>%</t>
  </si>
  <si>
    <t>Count (y)</t>
  </si>
  <si>
    <r>
      <t>Count (</t>
    </r>
    <r>
      <rPr>
        <sz val="11"/>
        <color theme="1"/>
        <rFont val="Calibri"/>
        <family val="2"/>
      </rPr>
      <t>ŷ)</t>
    </r>
  </si>
  <si>
    <t>Expectation</t>
  </si>
  <si>
    <t>Prob</t>
  </si>
  <si>
    <t>Eqipiprob Model</t>
  </si>
  <si>
    <t>no</t>
  </si>
  <si>
    <t>No</t>
  </si>
  <si>
    <t>Observations and Marginals</t>
  </si>
  <si>
    <t>Ln of Observations and Marginals</t>
  </si>
  <si>
    <t>Therapy</t>
  </si>
  <si>
    <t>Outcome</t>
  </si>
  <si>
    <t>Std Res</t>
  </si>
  <si>
    <t>Log-linear regression (2-way)</t>
  </si>
  <si>
    <t>Log-linear regression (alternative coding)</t>
  </si>
  <si>
    <t>Log-linear regression (using Excel data analysis tool)</t>
  </si>
  <si>
    <t>Log-linear regression (all models)</t>
  </si>
  <si>
    <t>Independence Model (A, B)</t>
  </si>
  <si>
    <t>Saturated Model (AB)</t>
  </si>
  <si>
    <t>Equiprobability Model</t>
  </si>
  <si>
    <t>Cond Eq A</t>
  </si>
  <si>
    <t>Cond Eq B</t>
  </si>
  <si>
    <t>Independ</t>
  </si>
  <si>
    <t>Conditional Equiprob Model - Rows (A)</t>
  </si>
  <si>
    <t>Conditional Equiprobability Model - Columns (B)</t>
  </si>
  <si>
    <t>Conditional Equiprobability Model - Rows (A)</t>
  </si>
  <si>
    <t>Conditional Equiprob Model - Columns (B)</t>
  </si>
  <si>
    <t>Log-linear models for three-way contingency tables</t>
  </si>
  <si>
    <t>Therapy 3</t>
  </si>
  <si>
    <t>Cure</t>
  </si>
  <si>
    <t>Positive</t>
  </si>
  <si>
    <t>Negative</t>
  </si>
  <si>
    <t>Saturated Model (CGT)</t>
  </si>
  <si>
    <t>Iterative Proportional Fitting for Homogeneous Association Model</t>
  </si>
  <si>
    <t>Expected (IPF)</t>
  </si>
  <si>
    <t>Associations</t>
  </si>
  <si>
    <t>G</t>
  </si>
  <si>
    <t>C, G</t>
  </si>
  <si>
    <t>G, T</t>
  </si>
  <si>
    <t>C, T</t>
  </si>
  <si>
    <t>C, G, T</t>
  </si>
  <si>
    <t>CG</t>
  </si>
  <si>
    <t>GT</t>
  </si>
  <si>
    <t>CT</t>
  </si>
  <si>
    <t>C, GT</t>
  </si>
  <si>
    <t>G, CT</t>
  </si>
  <si>
    <t>T, CG</t>
  </si>
  <si>
    <t>CG, CT</t>
  </si>
  <si>
    <t>CG, GT</t>
  </si>
  <si>
    <t>CT, GT</t>
  </si>
  <si>
    <t>CG, GT, CT</t>
  </si>
  <si>
    <t>CGT</t>
  </si>
  <si>
    <t>C Model</t>
  </si>
  <si>
    <t>G Model</t>
  </si>
  <si>
    <t>T Model</t>
  </si>
  <si>
    <t>CG Model</t>
  </si>
  <si>
    <t>GT Model</t>
  </si>
  <si>
    <t>CT Model</t>
  </si>
  <si>
    <t>C, G Model</t>
  </si>
  <si>
    <t>G, T Model</t>
  </si>
  <si>
    <t>C, T Model</t>
  </si>
  <si>
    <t>CG, GT, CT Model</t>
  </si>
  <si>
    <t>C, G, T Model</t>
  </si>
  <si>
    <t>G, CT Model</t>
  </si>
  <si>
    <t>C, GT Model</t>
  </si>
  <si>
    <t>T, CG Model</t>
  </si>
  <si>
    <t>CG, GT Model</t>
  </si>
  <si>
    <t>CG, CT Model</t>
  </si>
  <si>
    <t>CT, GT Model</t>
  </si>
  <si>
    <t>Expectation for CG, CT model</t>
  </si>
  <si>
    <t>Expectations</t>
  </si>
  <si>
    <t>Expectation for C, GT model</t>
  </si>
  <si>
    <t>Expectation for C, G, T model</t>
  </si>
  <si>
    <t>Expectation for C, T model</t>
  </si>
  <si>
    <t>Expectation for CG, CT, GT model</t>
  </si>
  <si>
    <t>Seed</t>
  </si>
  <si>
    <t>Log-linear regression (calculating coefficients)</t>
  </si>
  <si>
    <t>tC</t>
  </si>
  <si>
    <t>tG</t>
  </si>
  <si>
    <t>tT1</t>
  </si>
  <si>
    <t>tT2</t>
  </si>
  <si>
    <r>
      <t>t</t>
    </r>
    <r>
      <rPr>
        <vertAlign val="subscript"/>
        <sz val="11"/>
        <color theme="1"/>
        <rFont val="Calibri"/>
        <family val="2"/>
        <scheme val="minor"/>
      </rPr>
      <t>C</t>
    </r>
  </si>
  <si>
    <r>
      <t>t</t>
    </r>
    <r>
      <rPr>
        <vertAlign val="subscript"/>
        <sz val="11"/>
        <color theme="1"/>
        <rFont val="Calibri"/>
        <family val="2"/>
        <scheme val="minor"/>
      </rPr>
      <t>G</t>
    </r>
  </si>
  <si>
    <r>
      <t>t</t>
    </r>
    <r>
      <rPr>
        <vertAlign val="subscript"/>
        <sz val="11"/>
        <color theme="1"/>
        <rFont val="Calibri"/>
        <family val="2"/>
        <scheme val="minor"/>
      </rPr>
      <t>T1</t>
    </r>
  </si>
  <si>
    <r>
      <t>t</t>
    </r>
    <r>
      <rPr>
        <vertAlign val="subscript"/>
        <sz val="11"/>
        <color theme="1"/>
        <rFont val="Calibri"/>
        <family val="2"/>
        <scheme val="minor"/>
      </rPr>
      <t>T2</t>
    </r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</si>
  <si>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* t</t>
    </r>
    <r>
      <rPr>
        <vertAlign val="subscript"/>
        <sz val="11"/>
        <color theme="1"/>
        <rFont val="Calibri"/>
        <family val="2"/>
        <scheme val="minor"/>
      </rPr>
      <t>G</t>
    </r>
  </si>
  <si>
    <t>tC * tG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</si>
  <si>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* t</t>
    </r>
    <r>
      <rPr>
        <vertAlign val="subscript"/>
        <sz val="11"/>
        <color theme="1"/>
        <rFont val="Calibri"/>
        <family val="2"/>
        <scheme val="minor"/>
      </rPr>
      <t>T1</t>
    </r>
  </si>
  <si>
    <t>tC * tT1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</si>
  <si>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* t</t>
    </r>
    <r>
      <rPr>
        <vertAlign val="subscript"/>
        <sz val="11"/>
        <color theme="1"/>
        <rFont val="Calibri"/>
        <family val="2"/>
        <scheme val="minor"/>
      </rPr>
      <t>T2</t>
    </r>
  </si>
  <si>
    <t xml:space="preserve"> ŷ</t>
  </si>
  <si>
    <t>tC * tT2</t>
  </si>
  <si>
    <t>=L18</t>
  </si>
  <si>
    <t>=L12-O7</t>
  </si>
  <si>
    <t>=L15-O7</t>
  </si>
  <si>
    <t>=L16-O7</t>
  </si>
  <si>
    <t>=L17-O7</t>
  </si>
  <si>
    <t>=L9-O7-O8-O9</t>
  </si>
  <si>
    <t>=L10-O7-O8-O10</t>
  </si>
  <si>
    <t>=L11-O7-O8-O11</t>
  </si>
  <si>
    <t>coefficient</t>
  </si>
  <si>
    <t>(CG, GT, CT) vs. (CG, GT)</t>
  </si>
  <si>
    <t>model 1</t>
  </si>
  <si>
    <t>model 2</t>
  </si>
  <si>
    <t xml:space="preserve"> χ2</t>
  </si>
  <si>
    <t>(CG, GT, CT) vs. (CG, CT)</t>
  </si>
  <si>
    <t>(CG, CT) vs. (T, CG)</t>
  </si>
  <si>
    <t>Odds ratios</t>
  </si>
  <si>
    <t>Odds Ratio (Therapy 1 vs. Therapy 2)</t>
  </si>
  <si>
    <t>Log of odds ratio</t>
  </si>
  <si>
    <t>Odds Ratio (Male vs. Female)</t>
  </si>
  <si>
    <t>Expected Data (Independence Model)</t>
  </si>
  <si>
    <t>Observed Data (Saturated Model)</t>
  </si>
  <si>
    <t>Log of Observed Data</t>
  </si>
  <si>
    <t>Chi-square and residuals</t>
  </si>
  <si>
    <t>Alternative coding for coefficients of two-way models</t>
  </si>
  <si>
    <t>Iterative Proportional Fitting Procedure</t>
  </si>
  <si>
    <t>Goal</t>
  </si>
  <si>
    <t>Row Adjustments</t>
  </si>
  <si>
    <t>Column Adjustments</t>
  </si>
  <si>
    <t xml:space="preserve">Iterative Proportional Fitting Procedure for creating independent </t>
  </si>
  <si>
    <t>Column</t>
  </si>
  <si>
    <t>Layer</t>
  </si>
  <si>
    <t>Specification of goal for IPF procedure</t>
  </si>
  <si>
    <t>Target</t>
  </si>
  <si>
    <t>Specification of a three-way table</t>
  </si>
  <si>
    <t>Row/Column Adjustments</t>
  </si>
  <si>
    <t>Row/Layer Adjustments</t>
  </si>
  <si>
    <t>Column/Layer Adjustments</t>
  </si>
  <si>
    <t>Row/Column Adjustment</t>
  </si>
  <si>
    <t>Row/Layer Adjustment</t>
  </si>
  <si>
    <t>Column/Layer Adjustment</t>
  </si>
  <si>
    <r>
      <t>Split-half Methodology</t>
    </r>
    <r>
      <rPr>
        <b/>
        <sz val="12"/>
        <color theme="1"/>
        <rFont val="Tahoma"/>
        <family val="2"/>
      </rPr>
      <t xml:space="preserve"> </t>
    </r>
  </si>
  <si>
    <t>Student</t>
  </si>
  <si>
    <t>Correlation coefficient</t>
  </si>
  <si>
    <t>Spearman-Brown correction</t>
  </si>
  <si>
    <t>Even</t>
  </si>
  <si>
    <t>Odd</t>
  </si>
  <si>
    <t>Kuder and Richardson Formula 20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</si>
  <si>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</si>
  <si>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</si>
  <si>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</si>
  <si>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</si>
  <si>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</si>
  <si>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</si>
  <si>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</si>
  <si>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</si>
  <si>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</si>
  <si>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</si>
  <si>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pq</t>
  </si>
  <si>
    <t>Σpq</t>
  </si>
  <si>
    <t>Var</t>
  </si>
  <si>
    <t>Σvar</t>
  </si>
  <si>
    <t>Cronbach's Alpha</t>
  </si>
  <si>
    <t>Cronbach's alpha with one question removed</t>
  </si>
  <si>
    <r>
      <t>= 1 - MS</t>
    </r>
    <r>
      <rPr>
        <vertAlign val="subscript"/>
        <sz val="11"/>
        <color theme="1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>/MS</t>
    </r>
    <r>
      <rPr>
        <vertAlign val="subscript"/>
        <sz val="11"/>
        <color theme="1"/>
        <rFont val="Calibri"/>
        <family val="2"/>
        <scheme val="minor"/>
      </rPr>
      <t>Rows</t>
    </r>
  </si>
  <si>
    <t>Cohen's Kappa</t>
  </si>
  <si>
    <t>Judge 1</t>
  </si>
  <si>
    <t>Judge 2</t>
  </si>
  <si>
    <t>Agreement</t>
  </si>
  <si>
    <t>By Chance</t>
  </si>
  <si>
    <t>Kappa</t>
  </si>
  <si>
    <t>Psychotic</t>
  </si>
  <si>
    <t>Borderline</t>
  </si>
  <si>
    <t>Neither</t>
  </si>
  <si>
    <t>Questionnaire</t>
  </si>
  <si>
    <t>Interview</t>
  </si>
  <si>
    <t>Seldom</t>
  </si>
  <si>
    <t>Often</t>
  </si>
  <si>
    <t>Never</t>
  </si>
  <si>
    <t>COUNTS</t>
  </si>
  <si>
    <t>Subjects</t>
  </si>
  <si>
    <t>COVARIANCE MATRIX</t>
  </si>
  <si>
    <t>EPSILON</t>
  </si>
  <si>
    <t># Subjects</t>
  </si>
  <si>
    <t># Groups</t>
  </si>
  <si>
    <t>Means of Var</t>
  </si>
  <si>
    <t>Matrix Mean</t>
  </si>
  <si>
    <t>SS Matrix</t>
  </si>
  <si>
    <t>SS Row Means</t>
  </si>
  <si>
    <t>GG Numerator</t>
  </si>
  <si>
    <t>GG Denominator</t>
  </si>
  <si>
    <t>GG Epsilon</t>
  </si>
  <si>
    <t>HF Numerator</t>
  </si>
  <si>
    <t>HF Denominator</t>
  </si>
  <si>
    <t>HF Epsilon</t>
  </si>
  <si>
    <t>Greenhouse and Geisser</t>
  </si>
  <si>
    <t>Huyhn and Feldt</t>
  </si>
  <si>
    <t>Judge</t>
  </si>
  <si>
    <t>Wine</t>
  </si>
  <si>
    <t>Sample covariance matrix</t>
  </si>
  <si>
    <t>λ</t>
  </si>
  <si>
    <t>length</t>
  </si>
  <si>
    <t>1 week</t>
  </si>
  <si>
    <t>2 weeks</t>
  </si>
  <si>
    <t>3 weeks</t>
  </si>
  <si>
    <t>1-month</t>
  </si>
  <si>
    <t>2-months</t>
  </si>
  <si>
    <t>3-months</t>
  </si>
  <si>
    <t>T0 - T1</t>
  </si>
  <si>
    <t>T0 - T2</t>
  </si>
  <si>
    <t>T0 - T3</t>
  </si>
  <si>
    <t>T1 - T2</t>
  </si>
  <si>
    <t>T1 - T3</t>
  </si>
  <si>
    <t>T2 - T3</t>
  </si>
  <si>
    <t>T0</t>
  </si>
  <si>
    <t>T1</t>
  </si>
  <si>
    <t>T2</t>
  </si>
  <si>
    <t>T3</t>
  </si>
  <si>
    <t>ANOVA with matched samples - contrasts</t>
  </si>
  <si>
    <t>Diff</t>
  </si>
  <si>
    <t>std err</t>
  </si>
  <si>
    <t>t-score</t>
  </si>
  <si>
    <t>=AVERAGE(H22:K22)</t>
  </si>
  <si>
    <t>=AVERAGE(H30:K33)</t>
  </si>
  <si>
    <t>=AR5</t>
  </si>
  <si>
    <t>=COUNTA(G6:G20)</t>
  </si>
  <si>
    <t>=COUNTA(H5:K5)</t>
  </si>
  <si>
    <t>Testing for sphericity</t>
  </si>
  <si>
    <t>effect d</t>
  </si>
  <si>
    <t>effect r</t>
  </si>
  <si>
    <t>=SUMSQ(AL5:AO8)</t>
  </si>
  <si>
    <t>=SUMSQ(AL9:AO9)</t>
  </si>
  <si>
    <t>=(AR5*(AR6-AR7))^2</t>
  </si>
  <si>
    <t>=(AR5-1)*(AR8-2*AR5*AR9+AR5^2*AR7^2)</t>
  </si>
  <si>
    <t>=AR10/AR11</t>
  </si>
  <si>
    <t>=AR12</t>
  </si>
  <si>
    <t>=AR14*(AR15-1)*AR16-2</t>
  </si>
  <si>
    <t>=(AR15-1)*(AR14-1-(AR15-1)*AR16)</t>
  </si>
  <si>
    <t>=MIN(AR17/AR18,1)</t>
  </si>
  <si>
    <t>Effect size (omega squared) using GG epsilon</t>
  </si>
  <si>
    <t>Lower Bound</t>
  </si>
  <si>
    <t>=1/(AR15-1)</t>
  </si>
  <si>
    <t>MS Subj</t>
  </si>
  <si>
    <t>MS Grps</t>
  </si>
  <si>
    <t>MS Error</t>
  </si>
  <si>
    <t>Num</t>
  </si>
  <si>
    <t>Den</t>
  </si>
  <si>
    <t>Omega^2</t>
  </si>
  <si>
    <t>Calculation of GG Epsilon</t>
  </si>
  <si>
    <t>Estimated population matrix S</t>
  </si>
  <si>
    <t>=D13</t>
  </si>
  <si>
    <t>num</t>
  </si>
  <si>
    <t>=SUM(A18:D18)^2</t>
  </si>
  <si>
    <t>den</t>
  </si>
  <si>
    <t>=(G14-1)*SUMSQ(A14:D17)</t>
  </si>
  <si>
    <t>epsilon</t>
  </si>
  <si>
    <t>=G15/G16</t>
  </si>
  <si>
    <r>
      <rPr>
        <sz val="11"/>
        <color theme="1"/>
        <rFont val="Calibri"/>
        <family val="2"/>
      </rPr>
      <t xml:space="preserve">← </t>
    </r>
    <r>
      <rPr>
        <sz val="11"/>
        <color theme="1"/>
        <rFont val="Calibri"/>
        <family val="2"/>
        <scheme val="minor"/>
      </rPr>
      <t>diag</t>
    </r>
  </si>
  <si>
    <t>Eigenvalues of S</t>
  </si>
  <si>
    <t>=SUM(A22:C22)^2</t>
  </si>
  <si>
    <t>=(G22-1)*SUMSQ(A22:C22)</t>
  </si>
  <si>
    <t>=G23/G24</t>
  </si>
  <si>
    <t>Mauchly's test for sphericity</t>
  </si>
  <si>
    <t>Eigenvalues</t>
  </si>
  <si>
    <t>W</t>
  </si>
  <si>
    <t>test stat</t>
  </si>
  <si>
    <t xml:space="preserve">John, Nagao and Sugiura's test </t>
  </si>
  <si>
    <t>V</t>
  </si>
  <si>
    <t>Working Table</t>
  </si>
  <si>
    <t>Product</t>
  </si>
  <si>
    <t>Client</t>
  </si>
  <si>
    <t>Action</t>
  </si>
  <si>
    <t>Covariance Matrix (A)</t>
  </si>
  <si>
    <t>Covariance Matrix (B)</t>
  </si>
  <si>
    <t>Pre</t>
  </si>
  <si>
    <t>Post</t>
  </si>
  <si>
    <t>Sources of Variation</t>
  </si>
  <si>
    <t>A (Training)</t>
  </si>
  <si>
    <t>Sphericity</t>
  </si>
  <si>
    <t>GG</t>
  </si>
  <si>
    <t>A x C (Error)</t>
  </si>
  <si>
    <t>HF</t>
  </si>
  <si>
    <t>B (Skill)</t>
  </si>
  <si>
    <t>B x C (Error)</t>
  </si>
  <si>
    <t>variance</t>
  </si>
  <si>
    <t>C (Subject)</t>
  </si>
  <si>
    <t>A x B x C (Error)</t>
  </si>
  <si>
    <t>Covariance (AB)</t>
  </si>
  <si>
    <t>#A</t>
  </si>
  <si>
    <t>#B</t>
  </si>
  <si>
    <t>GG Num</t>
  </si>
  <si>
    <t>GG Den</t>
  </si>
  <si>
    <t>Effect size for ANOVA</t>
  </si>
  <si>
    <t>Client vs Training</t>
  </si>
  <si>
    <t>t-obs</t>
  </si>
  <si>
    <t>Between subject effects</t>
  </si>
  <si>
    <t>Between Subjects</t>
  </si>
  <si>
    <t>Between Subj</t>
  </si>
  <si>
    <t>Within Subjects</t>
  </si>
  <si>
    <t>Within Subj</t>
  </si>
  <si>
    <t>Huynh and Feldt</t>
  </si>
  <si>
    <t>Covariance matrices</t>
  </si>
  <si>
    <t>Average MSE</t>
  </si>
  <si>
    <t>Epsilon</t>
  </si>
  <si>
    <t>Young</t>
  </si>
  <si>
    <t>Middle</t>
  </si>
  <si>
    <t>Day 1</t>
  </si>
  <si>
    <t>Day 2</t>
  </si>
  <si>
    <t>Day 3</t>
  </si>
  <si>
    <t>Day 4</t>
  </si>
  <si>
    <t>Day 5</t>
  </si>
  <si>
    <t>Days</t>
  </si>
  <si>
    <t>Days x S w/i Age</t>
  </si>
  <si>
    <t>Subj w/i Age</t>
  </si>
  <si>
    <t>Days x Age</t>
  </si>
  <si>
    <t>Bet Days x Age</t>
  </si>
  <si>
    <t xml:space="preserve">   Subj w/i Age (Error)</t>
  </si>
  <si>
    <t xml:space="preserve">   Days</t>
  </si>
  <si>
    <t xml:space="preserve">   D x S w/i Age (Error)</t>
  </si>
  <si>
    <t>Age x Day 1</t>
  </si>
  <si>
    <t>Age x Day 5</t>
  </si>
  <si>
    <t># Days</t>
  </si>
  <si>
    <t># Age Groups</t>
  </si>
  <si>
    <t>ANOVA - Young</t>
  </si>
  <si>
    <t>ANOVA - Middle</t>
  </si>
  <si>
    <t>ANOVA - Old</t>
  </si>
  <si>
    <t>ANOVA with matched samples -1 within-subjects factor</t>
  </si>
  <si>
    <t>ANOVA with matched samples - 1 within-subjects factor</t>
  </si>
  <si>
    <t>ANOVA with matched samples - 2 within-subjects factors</t>
  </si>
  <si>
    <t>ANOVA with matched samples - 2 within-subjects factors (contrasts)</t>
  </si>
  <si>
    <t>ANOVA with matched samples - 1 within-subjects factor and 1 between-subjects factor</t>
  </si>
  <si>
    <t>Pre vs Post</t>
  </si>
  <si>
    <t xml:space="preserve">   Age groups</t>
  </si>
  <si>
    <t>Y 1</t>
  </si>
  <si>
    <t>Y 2</t>
  </si>
  <si>
    <t xml:space="preserve">Y 4 </t>
  </si>
  <si>
    <t>Y 5</t>
  </si>
  <si>
    <t>Y 3</t>
  </si>
  <si>
    <t>M 2</t>
  </si>
  <si>
    <t>M 3</t>
  </si>
  <si>
    <t xml:space="preserve">M 4 </t>
  </si>
  <si>
    <t>M 5</t>
  </si>
  <si>
    <t>M 1</t>
  </si>
  <si>
    <t>O 1</t>
  </si>
  <si>
    <t>O 2</t>
  </si>
  <si>
    <t>O 3</t>
  </si>
  <si>
    <t xml:space="preserve">O 4 </t>
  </si>
  <si>
    <t>O 5</t>
  </si>
  <si>
    <t>Levene's</t>
  </si>
  <si>
    <t>Between-subjects</t>
  </si>
  <si>
    <t>Box's Test</t>
  </si>
  <si>
    <t># matrices</t>
  </si>
  <si>
    <t># col/rows</t>
  </si>
  <si>
    <t># subjects</t>
  </si>
  <si>
    <t>det</t>
  </si>
  <si>
    <t>ln det</t>
  </si>
  <si>
    <t>M</t>
  </si>
  <si>
    <t>c0</t>
  </si>
  <si>
    <t>df0</t>
  </si>
  <si>
    <t>F+</t>
  </si>
  <si>
    <t>a+</t>
  </si>
  <si>
    <t>a-</t>
  </si>
  <si>
    <t>F-</t>
  </si>
  <si>
    <t>(m-1)*ln det</t>
  </si>
  <si>
    <t>1/(m-1)</t>
  </si>
  <si>
    <t>1/(m-1)^2</t>
  </si>
  <si>
    <t xml:space="preserve">   Days x Age</t>
  </si>
  <si>
    <t>ANOVA - Young (corrected with GG epsilon)</t>
  </si>
  <si>
    <t xml:space="preserve">Corrected </t>
  </si>
  <si>
    <t>ANOVA - within-subjects simple effects</t>
  </si>
  <si>
    <t>ANOVA - Middle (corrected with GG epsilon)</t>
  </si>
  <si>
    <t>Row 1</t>
  </si>
  <si>
    <t>Row 2</t>
  </si>
  <si>
    <t>Row 3</t>
  </si>
  <si>
    <t>Row 4</t>
  </si>
  <si>
    <t>Row 5</t>
  </si>
  <si>
    <t>Row 6</t>
  </si>
  <si>
    <t>Row 7</t>
  </si>
  <si>
    <t>Column 1</t>
  </si>
  <si>
    <t>Column 2</t>
  </si>
  <si>
    <t>Column 3</t>
  </si>
  <si>
    <t>Column 4</t>
  </si>
  <si>
    <t>Column 5</t>
  </si>
  <si>
    <t>ANOVA - Old (corrected with HF epsilon)</t>
  </si>
  <si>
    <t>Alternative calculation of Error terms:</t>
  </si>
  <si>
    <t>Simple Effects (between-subjects)</t>
  </si>
  <si>
    <t>C(n,x)</t>
  </si>
  <si>
    <t>x*t1</t>
  </si>
  <si>
    <t>x*t2</t>
  </si>
  <si>
    <t>x*t3</t>
  </si>
  <si>
    <r>
      <t>SS</t>
    </r>
    <r>
      <rPr>
        <vertAlign val="subscript"/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  <scheme val="minor"/>
      </rPr>
      <t>(for X)</t>
    </r>
  </si>
  <si>
    <t>ANCOVA</t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</si>
  <si>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</si>
  <si>
    <t>Regression (adj)</t>
  </si>
  <si>
    <t>Group</t>
  </si>
  <si>
    <t>Total (adj)</t>
  </si>
  <si>
    <t>SUMMARY OUTPUT (Reduced model - x, t)</t>
  </si>
  <si>
    <t>SUMMARY OUTPUT (Reduced model - y, t)</t>
  </si>
  <si>
    <t>SUMMARY OUTPUT (Reduced model - y, x)</t>
  </si>
  <si>
    <t>Covariate</t>
  </si>
  <si>
    <t>Treatment (adj)</t>
  </si>
  <si>
    <t>slope</t>
  </si>
  <si>
    <r>
      <t>b</t>
    </r>
    <r>
      <rPr>
        <vertAlign val="subscript"/>
        <sz val="11"/>
        <color theme="1"/>
        <rFont val="Calibri"/>
        <family val="2"/>
        <scheme val="minor"/>
      </rPr>
      <t>W</t>
    </r>
  </si>
  <si>
    <t>SUMMARY OUTPUT (Complete model - y, x, t, x*t)</t>
  </si>
  <si>
    <t>ANCOVA (Reduced)</t>
  </si>
  <si>
    <t>ANCOVA (Complete)</t>
  </si>
  <si>
    <t>ANOVA (Reduced model - x, t)</t>
  </si>
  <si>
    <t>ANOVA (Reduced model - y, t)</t>
  </si>
  <si>
    <t>ANOVA (Reduced model - y, x)</t>
  </si>
  <si>
    <t>Creation of ANCOVA models</t>
  </si>
  <si>
    <t>ANOVA (Full model - y, x, t)</t>
  </si>
  <si>
    <t>ANCOVA (Reduced) - using slope</t>
  </si>
  <si>
    <t>Adjusted means</t>
  </si>
  <si>
    <t xml:space="preserve"> Y (adj)</t>
  </si>
  <si>
    <t>Scatter plots</t>
  </si>
  <si>
    <t>Test for homogeneity of regression slopes</t>
  </si>
  <si>
    <t>Slopes</t>
  </si>
  <si>
    <t>SUMMARY OUTPUT (Full model - y, x, t)</t>
  </si>
  <si>
    <t>Y (adj)</t>
  </si>
  <si>
    <t>ANCOVA Contrasts</t>
  </si>
  <si>
    <t>SS * slope</t>
  </si>
  <si>
    <t>Anova: Single Factor (Reading Score)</t>
  </si>
  <si>
    <t>Reading Score</t>
  </si>
  <si>
    <t>Family Income</t>
  </si>
  <si>
    <t>Anova: Single Factor (Family Income)</t>
  </si>
  <si>
    <t>Between (adj)</t>
  </si>
  <si>
    <t>Within (adj)</t>
  </si>
  <si>
    <t>Treatment</t>
  </si>
  <si>
    <t>ANOVA (Reading Score)</t>
  </si>
  <si>
    <t>ANOVA (Family Income)</t>
  </si>
  <si>
    <t>Mean y (adj)</t>
  </si>
  <si>
    <t>Mean x</t>
  </si>
  <si>
    <t>Sample Size</t>
  </si>
  <si>
    <t>MS Res(y,x,t)</t>
  </si>
  <si>
    <t>SS Res(x,t)</t>
  </si>
  <si>
    <t>eta-squared</t>
  </si>
  <si>
    <t>partial eta-squared</t>
  </si>
  <si>
    <t>Effect size - treatment</t>
  </si>
  <si>
    <t>Effect size - covariate</t>
  </si>
  <si>
    <t>Effect size - covariate (from regression coefficients)</t>
  </si>
  <si>
    <t>Effect size r</t>
  </si>
  <si>
    <t>ANCOVA - Regression Approach</t>
  </si>
  <si>
    <t>ANCOVA - ANOVA Approach</t>
  </si>
  <si>
    <t xml:space="preserve">Effect sizes </t>
  </si>
  <si>
    <t>ANCOVA effect sizes - omnibus test</t>
  </si>
  <si>
    <t>ANCOVA effect sizes - contrasts</t>
  </si>
  <si>
    <t>Extra picture (two normal distributions)</t>
  </si>
  <si>
    <t>x1</t>
  </si>
  <si>
    <t>x2</t>
  </si>
  <si>
    <t>P(x &lt; x1)</t>
  </si>
  <si>
    <t>P(x &lt; x2)</t>
  </si>
  <si>
    <t>P(x1 &lt; x &lt; x2)</t>
  </si>
  <si>
    <t>Multinomial distribution</t>
  </si>
  <si>
    <t>x3</t>
  </si>
  <si>
    <t>multinomial</t>
  </si>
  <si>
    <t>p1</t>
  </si>
  <si>
    <t>p2</t>
  </si>
  <si>
    <t>p3</t>
  </si>
  <si>
    <t>prob</t>
  </si>
  <si>
    <t>p1^x1</t>
  </si>
  <si>
    <t>p2^x2</t>
  </si>
  <si>
    <t>p3^x3</t>
  </si>
  <si>
    <t>=MULTINOMIAL(B3:B5)</t>
  </si>
  <si>
    <t>=B6^B3</t>
  </si>
  <si>
    <t>=B7^B4</t>
  </si>
  <si>
    <t>=B8^B5</t>
  </si>
  <si>
    <t>=B9*PRODUCT(B10:B12)</t>
  </si>
  <si>
    <t>=B9*EXP(SUMPRODUCT(B3:B5,LN(B6:B8)))</t>
  </si>
  <si>
    <t>=MULTINOMDIST(B3:B5,B6:B8)</t>
  </si>
  <si>
    <t>Poisson Distribution</t>
  </si>
  <si>
    <t>Binomial distrbution</t>
  </si>
  <si>
    <r>
      <t xml:space="preserve">prob </t>
    </r>
    <r>
      <rPr>
        <sz val="11"/>
        <color theme="1"/>
        <rFont val="Calibri"/>
        <family val="2"/>
      </rPr>
      <t>≤ x</t>
    </r>
  </si>
  <si>
    <t>prob &gt; x</t>
  </si>
  <si>
    <t>Poisson distribution</t>
  </si>
  <si>
    <t>Alternative calculations</t>
  </si>
  <si>
    <t xml:space="preserve">Poisson Distribution </t>
  </si>
  <si>
    <t>Iterative</t>
  </si>
  <si>
    <t>pop mean</t>
  </si>
  <si>
    <t>pop std dev</t>
  </si>
  <si>
    <t>crit value</t>
  </si>
  <si>
    <t>left tail test</t>
  </si>
  <si>
    <t>z-score</t>
  </si>
  <si>
    <t>right tail test</t>
  </si>
  <si>
    <t>two tail test</t>
  </si>
  <si>
    <t>Calculation of confidence interval</t>
  </si>
  <si>
    <t>margin of err</t>
  </si>
  <si>
    <t>Using CONFIDENCE</t>
  </si>
  <si>
    <t>z test</t>
  </si>
  <si>
    <t>One-sample testing of the mean</t>
  </si>
  <si>
    <t>=ZTEST(A3:F10,100)</t>
  </si>
  <si>
    <t>=COUNT(A3:F10)</t>
  </si>
  <si>
    <t>=AVERAGE(A3:F10)</t>
  </si>
  <si>
    <t>=I8/SQRT(I5)</t>
  </si>
  <si>
    <t>error margin</t>
  </si>
  <si>
    <t>=STDEV(A3:F10)</t>
  </si>
  <si>
    <t>=I7+I13</t>
  </si>
  <si>
    <t>=I7-I13</t>
  </si>
  <si>
    <t>hyp mean</t>
  </si>
  <si>
    <t>z-Test: Two Sample for Means</t>
  </si>
  <si>
    <t>Known Variance</t>
  </si>
  <si>
    <t>P(Z&lt;=z) one-tail</t>
  </si>
  <si>
    <t>z Critical one-tail</t>
  </si>
  <si>
    <t>P(Z&lt;=z) two-tail</t>
  </si>
  <si>
    <t>z Critical two-tail</t>
  </si>
  <si>
    <t>Two-sample testing of the mean</t>
  </si>
  <si>
    <t>Nutrient</t>
  </si>
  <si>
    <t>pop variance</t>
  </si>
  <si>
    <t>pooled variance</t>
  </si>
  <si>
    <t>pooled std dev</t>
  </si>
  <si>
    <t>=I7/I4+I7/J4</t>
  </si>
  <si>
    <t>=SQRT(I9)</t>
  </si>
  <si>
    <t>=(I5-J5)/I10</t>
  </si>
  <si>
    <t>=2*NORMSDIST(I11)</t>
  </si>
  <si>
    <t>=NORMSINV(I8/2)</t>
  </si>
  <si>
    <t>=IF(I12&lt;I8,"yes","no")</t>
  </si>
  <si>
    <t>Sampling</t>
  </si>
  <si>
    <t>Group 2</t>
  </si>
  <si>
    <t>Random</t>
  </si>
  <si>
    <t>Periodic</t>
  </si>
  <si>
    <t>Sampling without replacement</t>
  </si>
  <si>
    <t>Pop</t>
  </si>
  <si>
    <t>Sample from Poisson Distribution with mean 0.5</t>
  </si>
  <si>
    <t>Sample from Uniform Distribution [50, 150]</t>
  </si>
  <si>
    <t>Simulation - Central Limit Theorem</t>
  </si>
  <si>
    <t>Uniform Distribution [50, 150]</t>
  </si>
  <si>
    <t>number of samples</t>
  </si>
  <si>
    <t>sample sizes</t>
  </si>
  <si>
    <t>Population statistics</t>
  </si>
  <si>
    <t>Central limit theorem forecast</t>
  </si>
  <si>
    <r>
      <t xml:space="preserve">Poisson Distribution </t>
    </r>
    <r>
      <rPr>
        <sz val="11"/>
        <color theme="1"/>
        <rFont val="Calibri"/>
        <family val="2"/>
      </rPr>
      <t>λ = 0.5</t>
    </r>
  </si>
  <si>
    <t>Sampling with replacement</t>
  </si>
  <si>
    <t>Sample of normal data</t>
  </si>
  <si>
    <t>norm x</t>
  </si>
  <si>
    <t>norm y</t>
  </si>
  <si>
    <t>random</t>
  </si>
  <si>
    <t>Diagonal of a matrix</t>
  </si>
  <si>
    <t>Length of a vector</t>
  </si>
  <si>
    <t>A'</t>
  </si>
  <si>
    <r>
      <t>A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</si>
  <si>
    <r>
      <rPr>
        <sz val="11"/>
        <color theme="1"/>
        <rFont val="Calibri"/>
        <family val="2"/>
      </rPr>
      <t>√</t>
    </r>
    <r>
      <rPr>
        <sz val="11"/>
        <color theme="1"/>
        <rFont val="Calibri"/>
        <family val="2"/>
        <scheme val="minor"/>
      </rPr>
      <t>A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</si>
  <si>
    <t>Inverse of a matrix</t>
  </si>
  <si>
    <r>
      <t>A</t>
    </r>
    <r>
      <rPr>
        <vertAlign val="superscript"/>
        <sz val="11"/>
        <color theme="1"/>
        <rFont val="Calibri"/>
        <family val="2"/>
        <scheme val="minor"/>
      </rPr>
      <t>-1</t>
    </r>
  </si>
  <si>
    <t>Simulation of Central Limit Theorem (extra example)</t>
  </si>
  <si>
    <t>Sample data for extra example, using Poisson distribution</t>
  </si>
  <si>
    <t xml:space="preserve">Observation about sampling with replacement </t>
  </si>
  <si>
    <t>Memory</t>
  </si>
  <si>
    <t>Sign</t>
  </si>
  <si>
    <t>Sign Test</t>
  </si>
  <si>
    <t>I</t>
  </si>
  <si>
    <t>guess</t>
  </si>
  <si>
    <t>eigenvalue</t>
  </si>
  <si>
    <t>det(A-cI)</t>
  </si>
  <si>
    <t>A - cI</t>
  </si>
  <si>
    <t>Confirm with data analysis tool</t>
  </si>
  <si>
    <t>Fisher Exact Test</t>
  </si>
  <si>
    <t>Fisher exact test</t>
  </si>
  <si>
    <t>one-tail</t>
  </si>
  <si>
    <t>two-tail</t>
  </si>
  <si>
    <t>=FISHERTEST(B6:C7,1)</t>
  </si>
  <si>
    <t>=FISHERTEST(B6:C7,2)</t>
  </si>
  <si>
    <t>Wilcoxon Rank-Sum Test</t>
  </si>
  <si>
    <t>Original data</t>
  </si>
  <si>
    <t>W'</t>
  </si>
  <si>
    <t>W-crit</t>
  </si>
  <si>
    <t>rank sum</t>
  </si>
  <si>
    <t>Reverse Ranks</t>
  </si>
  <si>
    <t>Non-smokers</t>
  </si>
  <si>
    <t>Smokers</t>
  </si>
  <si>
    <t>Ranked Data</t>
  </si>
  <si>
    <t>Non-S</t>
  </si>
  <si>
    <t>Test via normal distribution</t>
  </si>
  <si>
    <t>Mann-Whitney U Test</t>
  </si>
  <si>
    <t>U</t>
  </si>
  <si>
    <t>U-crit</t>
  </si>
  <si>
    <t>Abs Diff</t>
  </si>
  <si>
    <t>Wilcoxon Signed-Rank Test for Paired Samples</t>
  </si>
  <si>
    <t>Rank of Abs Diff</t>
  </si>
  <si>
    <t>Positive Ranks</t>
  </si>
  <si>
    <t>Negative Ranks</t>
  </si>
  <si>
    <t>T-crit</t>
  </si>
  <si>
    <t>Right</t>
  </si>
  <si>
    <t>Left</t>
  </si>
  <si>
    <t>Couple</t>
  </si>
  <si>
    <t>Wife</t>
  </si>
  <si>
    <t>Husband</t>
  </si>
  <si>
    <t>Using Excel supplemental function</t>
  </si>
  <si>
    <t>Use of supplemental functions</t>
  </si>
  <si>
    <t>W test</t>
  </si>
  <si>
    <t>min(W,W')</t>
  </si>
  <si>
    <t>McNemar Test</t>
  </si>
  <si>
    <t>Change Pro to Con</t>
  </si>
  <si>
    <t>Change Con to Pro</t>
  </si>
  <si>
    <t>binomial</t>
  </si>
  <si>
    <t>=(ABS(E4-E3)-0.5)^2/(E3+E4)</t>
  </si>
  <si>
    <t>=CHIINV(0.05,1)</t>
  </si>
  <si>
    <t>=IF(E6&lt;E7,"no","yes")</t>
  </si>
  <si>
    <t>=IF(E10&lt;0.05,"yes","no")</t>
  </si>
  <si>
    <t>=BINOMDIST(MIN(E3,E4),E3+E4,0.5,TRUE)</t>
  </si>
  <si>
    <t>tlookup</t>
  </si>
  <si>
    <t>ilookup</t>
  </si>
  <si>
    <t>Ranks -</t>
  </si>
  <si>
    <t>Ranks +</t>
  </si>
  <si>
    <t>Resampling - One sample</t>
  </si>
  <si>
    <t>Cum %</t>
  </si>
  <si>
    <t>Resampling - Two Independent Samples</t>
  </si>
  <si>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 xml:space="preserve"> -6</t>
    </r>
  </si>
  <si>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 +6</t>
    </r>
  </si>
  <si>
    <t>Resampling - matched pairs</t>
  </si>
  <si>
    <t>Runs Test</t>
  </si>
  <si>
    <t>runs</t>
  </si>
  <si>
    <t>nodupe</t>
  </si>
  <si>
    <t>FREQTABLE function</t>
  </si>
  <si>
    <t>Frequency Table data analysis tool</t>
  </si>
  <si>
    <t>SHUFFLE</t>
  </si>
  <si>
    <r>
      <t>x̄</t>
    </r>
    <r>
      <rPr>
        <vertAlign val="superscript"/>
        <sz val="11"/>
        <color theme="1"/>
        <rFont val="Calibri"/>
        <family val="2"/>
        <scheme val="minor"/>
      </rPr>
      <t>2</t>
    </r>
  </si>
  <si>
    <r>
      <rPr>
        <sz val="11"/>
        <color theme="1"/>
        <rFont val="Calibri"/>
        <family val="2"/>
      </rPr>
      <t>Σ</t>
    </r>
    <r>
      <rPr>
        <sz val="11"/>
        <color theme="1"/>
        <rFont val="Calibri"/>
        <family val="2"/>
        <scheme val="minor"/>
      </rPr>
      <t>fx</t>
    </r>
    <r>
      <rPr>
        <vertAlign val="superscript"/>
        <sz val="11"/>
        <color theme="1"/>
        <rFont val="Calibri"/>
        <family val="2"/>
        <scheme val="minor"/>
      </rPr>
      <t>2</t>
    </r>
  </si>
  <si>
    <t>Σfx</t>
  </si>
  <si>
    <t>Graph of f(x) = x^2</t>
  </si>
  <si>
    <t>crit</t>
  </si>
  <si>
    <t>Relationship of binomial with normal distribution</t>
  </si>
  <si>
    <t>np</t>
  </si>
  <si>
    <t>np(1-p)</t>
  </si>
  <si>
    <t>B(n,p)</t>
  </si>
  <si>
    <t>N(np,stdev)</t>
  </si>
  <si>
    <t>Weibull Distribution</t>
  </si>
  <si>
    <t>β</t>
  </si>
  <si>
    <t>1 - p</t>
  </si>
  <si>
    <t>1 - EXP(-(x/β)^α)</t>
  </si>
  <si>
    <t>Beta distribution</t>
  </si>
  <si>
    <t>=IF(E13&lt;E9,"yes","no")</t>
  </si>
  <si>
    <t>Normal approximation</t>
  </si>
  <si>
    <t>goal</t>
  </si>
  <si>
    <t>max s.e.</t>
  </si>
  <si>
    <t>.5/sqrt(n)</t>
  </si>
  <si>
    <t>Status</t>
  </si>
  <si>
    <t>Sex</t>
  </si>
  <si>
    <t>Married</t>
  </si>
  <si>
    <t>=SUMIF($B$1:$B$8,$E1,$C$1:$C$8)</t>
  </si>
  <si>
    <t>=SUMIF($B$1:$B$8,$E2,$C$1:$C$8)</t>
  </si>
  <si>
    <t>Single</t>
  </si>
  <si>
    <t>Divorced</t>
  </si>
  <si>
    <t>=SUMIFS($C$2:$C$9,$A$2:$A$9,E6,$B$2:$B$9,F6)</t>
  </si>
  <si>
    <t>=SUMIFS($C$2:$C$9,$A$2:$A$9,E7,$B$2:$B$9,F7)</t>
  </si>
  <si>
    <t>Widowed</t>
  </si>
  <si>
    <t>Salary</t>
  </si>
  <si>
    <t>Jim</t>
  </si>
  <si>
    <t>=SUMIF($B$13:$B$17,"&gt;"&amp;E13,$C$13:$C$17)</t>
  </si>
  <si>
    <t>Mary</t>
  </si>
  <si>
    <t>=SUMIF($B$13:$B$17,"&gt;"&amp;E14,$C$13:$C$17)</t>
  </si>
  <si>
    <t>Dave</t>
  </si>
  <si>
    <t>Bob</t>
  </si>
  <si>
    <t>Jane</t>
  </si>
  <si>
    <t>=COUNTIF($B$13:$B$17,"&gt;"&amp;E17)</t>
  </si>
  <si>
    <t>=COUNTIFS(B13:B17,"&gt;"&amp;E20,C13:C17,"&gt;"&amp;F20)</t>
  </si>
  <si>
    <t>Graphing standard error of the mean</t>
  </si>
  <si>
    <t>Boxplot - Approach for Negative Data</t>
  </si>
  <si>
    <t>t test (equal var)</t>
  </si>
  <si>
    <t>t test (unequal var)</t>
  </si>
  <si>
    <t>x2-x1</t>
  </si>
  <si>
    <t>χ2 (obs)</t>
  </si>
  <si>
    <t>χ2 (crit)</t>
  </si>
  <si>
    <t>2-tail test</t>
  </si>
  <si>
    <t>χ2 crit left</t>
  </si>
  <si>
    <t>χ2 crit right</t>
  </si>
  <si>
    <t>Z-scores</t>
  </si>
  <si>
    <t>Test for Normality - QQ Plot</t>
  </si>
  <si>
    <t>Test for normality/symmetry using Box Plot and Kurtosis</t>
  </si>
  <si>
    <r>
      <t>z</t>
    </r>
    <r>
      <rPr>
        <vertAlign val="superscript"/>
        <sz val="11"/>
        <color theme="1"/>
        <rFont val="Calibri"/>
        <family val="2"/>
        <scheme val="minor"/>
      </rPr>
      <t>2</t>
    </r>
  </si>
  <si>
    <t>=G12</t>
  </si>
  <si>
    <t>=COUNT(B4:B11)-1</t>
  </si>
  <si>
    <t>=IF(B15&lt;B14,"yes","no")</t>
  </si>
  <si>
    <t>=CHIINV(B14,B20)</t>
  </si>
  <si>
    <t>=CHIDIST(B18,B20)</t>
  </si>
  <si>
    <t>=IF(B18&gt;B19,"yes","no")</t>
  </si>
  <si>
    <t>We can also calculate χ2 as follows:</t>
  </si>
  <si>
    <r>
      <t>Ö</t>
    </r>
    <r>
      <rPr>
        <sz val="9"/>
        <color rgb="FF000000"/>
        <rFont val="Arial"/>
        <family val="2"/>
      </rPr>
      <t xml:space="preserve">  n</t>
    </r>
  </si>
  <si>
    <t>If calculated ratio is greater than value shown, then reject</t>
  </si>
  <si>
    <r>
      <t>the null hypothesis at the chosen level of confidence (</t>
    </r>
    <r>
      <rPr>
        <sz val="11"/>
        <color theme="1"/>
        <rFont val="Calibri"/>
        <family val="2"/>
      </rPr>
      <t>α)</t>
    </r>
    <r>
      <rPr>
        <sz val="11"/>
        <color theme="1"/>
        <rFont val="Calibri"/>
        <family val="2"/>
        <scheme val="minor"/>
      </rPr>
      <t>.</t>
    </r>
  </si>
  <si>
    <t>OVER 50</t>
  </si>
  <si>
    <t>Probability calculation</t>
  </si>
  <si>
    <t>1-p</t>
  </si>
  <si>
    <t>(1-p)^n</t>
  </si>
  <si>
    <t>1-(1-p)^n</t>
  </si>
  <si>
    <t>RMSSE</t>
  </si>
  <si>
    <t>Omega Sq</t>
  </si>
  <si>
    <t>ss</t>
  </si>
  <si>
    <t>c*mean</t>
  </si>
  <si>
    <t xml:space="preserve"> Cohen d</t>
  </si>
  <si>
    <t>Levene's test using group means</t>
  </si>
  <si>
    <t>Levene's test using group medians</t>
  </si>
  <si>
    <t>Supplemental functions</t>
  </si>
  <si>
    <t>Scheffe's Test</t>
  </si>
  <si>
    <t>Significance vs effect (for correlation)</t>
  </si>
  <si>
    <t>Significance vs effect size (re correlation coefficient)</t>
  </si>
  <si>
    <t>=1-B12</t>
  </si>
  <si>
    <t>z-crit (alpha)</t>
  </si>
  <si>
    <t>z-crit (beta)</t>
  </si>
  <si>
    <t>effect size</t>
  </si>
  <si>
    <t>Power - Correlation</t>
  </si>
  <si>
    <t>effect size r</t>
  </si>
  <si>
    <t>=FISHER(B5)</t>
  </si>
  <si>
    <r>
      <t xml:space="preserve">hypothetical </t>
    </r>
    <r>
      <rPr>
        <sz val="11"/>
        <color theme="1"/>
        <rFont val="Calibri"/>
        <family val="2"/>
      </rPr>
      <t>ρ</t>
    </r>
  </si>
  <si>
    <t>=FISHER(B7)</t>
  </si>
  <si>
    <t>=1/SQRT(B10-3)</t>
  </si>
  <si>
    <t>=ABS(B8-B6)/B11</t>
  </si>
  <si>
    <t>=FISHER(B19)</t>
  </si>
  <si>
    <t>=FISHER(B20)</t>
  </si>
  <si>
    <t>=NORMSINV(1-B22)</t>
  </si>
  <si>
    <t>=NORMSINV(1-B23)</t>
  </si>
  <si>
    <t>=AB11</t>
  </si>
  <si>
    <t>=COUNTIF(B4:Y4,1)</t>
  </si>
  <si>
    <t>=COUNTIF(B4:Y4,0)</t>
  </si>
  <si>
    <t>=AB6</t>
  </si>
  <si>
    <t>=SQRT((AB17*(AB15+AB16)*AB14)/(AB15*AB16*(1-AB14)))</t>
  </si>
  <si>
    <t>Effect size (Observation)</t>
  </si>
  <si>
    <t>= yes if p-value &lt; α</t>
  </si>
  <si>
    <t>Critical values for W with alpha = .10, two-tailed</t>
  </si>
  <si>
    <t>Critical values for W with alpha = .02, two-tailed</t>
  </si>
  <si>
    <t>Method of Least Squares (using supplemental functions)</t>
  </si>
  <si>
    <t>Calculation of elements of the regression model from the ANOVA results</t>
  </si>
  <si>
    <t>Calculation of omega square</t>
  </si>
  <si>
    <r>
      <rPr>
        <sz val="11"/>
        <color theme="1"/>
        <rFont val="Calibri"/>
        <family val="2"/>
      </rPr>
      <t>ω</t>
    </r>
    <r>
      <rPr>
        <vertAlign val="superscript"/>
        <sz val="11"/>
        <color theme="1"/>
        <rFont val="Calibri"/>
        <family val="2"/>
      </rPr>
      <t>2</t>
    </r>
  </si>
  <si>
    <t>Logistic Regression</t>
  </si>
  <si>
    <t>Survived</t>
  </si>
  <si>
    <t>Died</t>
  </si>
  <si>
    <t>P(E)</t>
  </si>
  <si>
    <t>Odds(E)</t>
  </si>
  <si>
    <t>X Variable 1</t>
  </si>
  <si>
    <t>logit(p)</t>
  </si>
  <si>
    <t>Newton's method</t>
  </si>
  <si>
    <t>J</t>
  </si>
  <si>
    <r>
      <t>J</t>
    </r>
    <r>
      <rPr>
        <vertAlign val="superscript"/>
        <sz val="11"/>
        <color theme="1"/>
        <rFont val="Calibri"/>
        <family val="2"/>
        <scheme val="minor"/>
      </rPr>
      <t>-1</t>
    </r>
  </si>
  <si>
    <t>LL0</t>
  </si>
  <si>
    <t>LL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</si>
  <si>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</si>
  <si>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Sigmoid Curve</t>
  </si>
  <si>
    <t>AIC using the supplemental functions</t>
  </si>
  <si>
    <t>Alternative form of test</t>
  </si>
  <si>
    <t>Using Rsquare Test</t>
  </si>
  <si>
    <t>=RSquareTest(C4:E53,C4:C53,B4:B53)</t>
  </si>
  <si>
    <t>Test using RSquareTest</t>
  </si>
  <si>
    <t>=AF14*AD15/(AF15*(1-AD14))</t>
  </si>
  <si>
    <t>=ABS(B4-C4)</t>
  </si>
  <si>
    <t>=(B5-C5)^2</t>
  </si>
  <si>
    <t>=1/B6+1/C6</t>
  </si>
  <si>
    <t xml:space="preserve"> cell M8 of Figure 23.3</t>
  </si>
  <si>
    <t xml:space="preserve"> cell L14 of Figure 23.3</t>
  </si>
  <si>
    <t>=SQRT(D7*(D6+D5/D8))</t>
  </si>
  <si>
    <t>=D4/D9</t>
  </si>
  <si>
    <t xml:space="preserve"> cell K8 of Figure 23.3</t>
  </si>
  <si>
    <t>=TDIST(D10,D11,2)</t>
  </si>
  <si>
    <t>=TINV(D12,D11)</t>
  </si>
  <si>
    <t>=IF(D13&lt;D12,"yes","no")</t>
  </si>
  <si>
    <t>Kruskal-Wallis</t>
  </si>
  <si>
    <t>Raw scores</t>
  </si>
  <si>
    <t>Ranking</t>
  </si>
  <si>
    <t>Rank Sums R</t>
  </si>
  <si>
    <t>Group Size n</t>
  </si>
  <si>
    <r>
      <t>R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/n</t>
    </r>
  </si>
  <si>
    <t>H</t>
  </si>
  <si>
    <r>
      <t>SS</t>
    </r>
    <r>
      <rPr>
        <vertAlign val="subscript"/>
        <sz val="11"/>
        <color theme="1"/>
        <rFont val="Calibri"/>
        <family val="2"/>
        <scheme val="minor"/>
      </rPr>
      <t>B</t>
    </r>
  </si>
  <si>
    <t>n(n+1)/12</t>
  </si>
  <si>
    <t>Pairwise comparisons</t>
  </si>
  <si>
    <t>R/n</t>
  </si>
  <si>
    <r>
      <rPr>
        <sz val="11"/>
        <color theme="1"/>
        <rFont val="Calibri"/>
        <family val="2"/>
      </rPr>
      <t>χ</t>
    </r>
    <r>
      <rPr>
        <vertAlign val="subscript"/>
        <sz val="11"/>
        <color theme="1"/>
        <rFont val="Calibri"/>
        <family val="2"/>
      </rPr>
      <t>α</t>
    </r>
    <r>
      <rPr>
        <vertAlign val="subscript"/>
        <sz val="11"/>
        <color theme="1"/>
        <rFont val="Calibri"/>
        <family val="2"/>
        <scheme val="minor"/>
      </rPr>
      <t>,k-1</t>
    </r>
  </si>
  <si>
    <t>diff</t>
  </si>
  <si>
    <t>New-Old</t>
  </si>
  <si>
    <t>New-Con</t>
  </si>
  <si>
    <t>Old-Con</t>
  </si>
  <si>
    <t>Friedman Test</t>
  </si>
  <si>
    <t>Red</t>
  </si>
  <si>
    <t>Rose'</t>
  </si>
  <si>
    <r>
      <t>SS</t>
    </r>
    <r>
      <rPr>
        <vertAlign val="subscript"/>
        <sz val="11"/>
        <color theme="1"/>
        <rFont val="Calibri"/>
        <family val="2"/>
        <scheme val="minor"/>
      </rPr>
      <t>Col</t>
    </r>
  </si>
  <si>
    <t>k(k+1)/12</t>
  </si>
  <si>
    <t>Q</t>
  </si>
  <si>
    <t>Using Supplemental functions</t>
  </si>
  <si>
    <t>SSB - alternative approach</t>
  </si>
  <si>
    <t>F*</t>
  </si>
  <si>
    <t>Corrected version</t>
  </si>
  <si>
    <t>a*diff</t>
  </si>
  <si>
    <t>a14</t>
  </si>
  <si>
    <t>a15</t>
  </si>
  <si>
    <t/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</si>
  <si>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</si>
  <si>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</si>
  <si>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</si>
  <si>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</si>
  <si>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</si>
  <si>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</si>
  <si>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</si>
  <si>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</si>
  <si>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</si>
  <si>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</si>
  <si>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Father</t>
  </si>
  <si>
    <t>Mother</t>
  </si>
  <si>
    <t>Son</t>
  </si>
  <si>
    <t>det S</t>
  </si>
  <si>
    <t>Newton's Method</t>
  </si>
  <si>
    <t>One variable</t>
  </si>
  <si>
    <t>Two variables, two equations</t>
  </si>
  <si>
    <t>f(x) =</t>
  </si>
  <si>
    <r>
      <t>e</t>
    </r>
    <r>
      <rPr>
        <vertAlign val="super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+ x - 3</t>
    </r>
  </si>
  <si>
    <t>f(x,y) =</t>
  </si>
  <si>
    <r>
      <t>y - e</t>
    </r>
    <r>
      <rPr>
        <vertAlign val="superscript"/>
        <sz val="11"/>
        <color theme="1"/>
        <rFont val="Calibri"/>
        <family val="2"/>
        <scheme val="minor"/>
      </rPr>
      <t>x</t>
    </r>
  </si>
  <si>
    <r>
      <t>f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(x,y) =</t>
    </r>
  </si>
  <si>
    <r>
      <t>- e</t>
    </r>
    <r>
      <rPr>
        <vertAlign val="superscript"/>
        <sz val="11"/>
        <color theme="1"/>
        <rFont val="Calibri"/>
        <family val="2"/>
        <scheme val="minor"/>
      </rPr>
      <t>x</t>
    </r>
  </si>
  <si>
    <r>
      <t>f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(x,y) =</t>
    </r>
  </si>
  <si>
    <t>f'(x) =</t>
  </si>
  <si>
    <r>
      <t>e</t>
    </r>
    <r>
      <rPr>
        <vertAlign val="super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+ 1</t>
    </r>
  </si>
  <si>
    <t>g(x,y) =</t>
  </si>
  <si>
    <t>y + x - 3</t>
  </si>
  <si>
    <r>
      <t>g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(x,y) =</t>
    </r>
  </si>
  <si>
    <r>
      <t>g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(x,y) =</t>
    </r>
  </si>
  <si>
    <t>iter</t>
  </si>
  <si>
    <t>f(x,y)</t>
  </si>
  <si>
    <t>g(x,y)</t>
  </si>
  <si>
    <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-25</t>
    </r>
  </si>
  <si>
    <t>2x</t>
  </si>
  <si>
    <t xml:space="preserve">Reformatted </t>
  </si>
  <si>
    <t>Interaction Table</t>
  </si>
  <si>
    <t>Anova: Two-Factor Without Replication (Young)</t>
  </si>
  <si>
    <t>Anova: Two-Factor Without Replication (Middle)</t>
  </si>
  <si>
    <t>Anova: Two-Factor Without Replication (Old)</t>
  </si>
  <si>
    <t>ANOVA with repeated measures, use of data analysis tools</t>
  </si>
  <si>
    <t>VIF and Tolerance</t>
  </si>
  <si>
    <t>Tolerance</t>
  </si>
  <si>
    <t>VIF</t>
  </si>
  <si>
    <t>Variable</t>
  </si>
  <si>
    <t xml:space="preserve">R Square </t>
  </si>
  <si>
    <t>Using regression data analysis</t>
  </si>
  <si>
    <t>color</t>
  </si>
  <si>
    <t>quality</t>
  </si>
  <si>
    <t>Finding regression coefficients using Solver</t>
  </si>
  <si>
    <t>Rems</t>
  </si>
  <si>
    <t>Logistic Regression using Solver</t>
  </si>
  <si>
    <t>LL1</t>
  </si>
  <si>
    <t>E = event that the person survived</t>
  </si>
  <si>
    <t>Using supplemental functions</t>
  </si>
  <si>
    <t>Source</t>
  </si>
  <si>
    <t xml:space="preserve">Crop </t>
  </si>
  <si>
    <t>Inter</t>
  </si>
  <si>
    <t>One factor ANOVA using supplemental functions</t>
  </si>
  <si>
    <t>Temp</t>
  </si>
  <si>
    <t>Water</t>
  </si>
  <si>
    <t>p-Obs</t>
  </si>
  <si>
    <t>p-Pred</t>
  </si>
  <si>
    <t>Coeff</t>
  </si>
  <si>
    <t>R-Sq (L)</t>
  </si>
  <si>
    <t>R-Sq (CS)</t>
  </si>
  <si>
    <t>R-Sq (N)</t>
  </si>
  <si>
    <t>Chi-Sq</t>
  </si>
  <si>
    <t>MD</t>
  </si>
  <si>
    <t>MC</t>
  </si>
  <si>
    <t>WD</t>
  </si>
  <si>
    <t>WC</t>
  </si>
  <si>
    <t>SHAPIRO</t>
  </si>
  <si>
    <t>SWTEST</t>
  </si>
  <si>
    <t>=MCRIT(H5,I5,H9,H10)</t>
  </si>
  <si>
    <t>Using the supplemental function QCRIT</t>
  </si>
  <si>
    <t>=WCRIT(H5,I5,H8, H9)</t>
  </si>
  <si>
    <t>RLowerCRIT</t>
  </si>
  <si>
    <t>RUpperCRIT</t>
  </si>
  <si>
    <t>SWPROB</t>
  </si>
  <si>
    <t>Supplemental function</t>
  </si>
  <si>
    <t>LENGTH</t>
  </si>
  <si>
    <t>Supplemental Descriptive Statistics</t>
  </si>
  <si>
    <t>Binomial Distribution</t>
  </si>
  <si>
    <t>Supplemental data analysis tool</t>
  </si>
  <si>
    <t>Chi-square</t>
  </si>
  <si>
    <t>Eigenvalues using Excel's Goal Seek tool</t>
  </si>
  <si>
    <r>
      <t>|x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- median(x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)|</t>
    </r>
  </si>
  <si>
    <t>SignRank</t>
  </si>
  <si>
    <t>SRTEST</t>
  </si>
  <si>
    <t>Table of Critical Values for Wilcoxon Signed Rank Test</t>
  </si>
  <si>
    <t>Wilcoxon Signed-Ranks Test for Paired Samples</t>
  </si>
  <si>
    <t>Excel spreadsheets</t>
  </si>
  <si>
    <t>Charts</t>
  </si>
  <si>
    <t>Excel Environment</t>
  </si>
  <si>
    <t>Concise Table of Contents</t>
  </si>
  <si>
    <t>Probability Functions</t>
  </si>
  <si>
    <t>Array formulas and functions</t>
  </si>
  <si>
    <t>Basic probability concepts</t>
  </si>
  <si>
    <t>Discrete probability distributions</t>
  </si>
  <si>
    <t>Measures of central tendency</t>
  </si>
  <si>
    <t>Descriptive statistics tools</t>
  </si>
  <si>
    <t>Sample Excel worksheet (Figure 1)</t>
  </si>
  <si>
    <t>Bar Chart (Example 1)</t>
  </si>
  <si>
    <t>Line Chart (Example 2)</t>
  </si>
  <si>
    <t>Array formula (Example 1)</t>
  </si>
  <si>
    <t>Array function (Example 2)</t>
  </si>
  <si>
    <t>Probability calculation (Example 6)</t>
  </si>
  <si>
    <t>Frequency function (Example 1)</t>
  </si>
  <si>
    <t>Frequency function (Example 2)</t>
  </si>
  <si>
    <t>Measures of variability</t>
  </si>
  <si>
    <t>Chi-square distribution (Figure 1)</t>
  </si>
  <si>
    <t>Kurtosis and skewness (Figure 2)</t>
  </si>
  <si>
    <t>Descriptive Statistics data analysis tool (Example 1)</t>
  </si>
  <si>
    <t>Descriptive Statistics data analysis tool (Example 2)</t>
  </si>
  <si>
    <t>Frequency tables</t>
  </si>
  <si>
    <t>Mean and variance based on frequency tables (Example 1)</t>
  </si>
  <si>
    <t>Calculations from a frequency table with intervals (Example 2)</t>
  </si>
  <si>
    <t>Excel FREQUENCY function (Example 3)</t>
  </si>
  <si>
    <t>Histogram</t>
  </si>
  <si>
    <t>Histogram data analysis tool (Example 1)</t>
  </si>
  <si>
    <t>Box plots</t>
  </si>
  <si>
    <t>Box Plot (Example 1)</t>
  </si>
  <si>
    <t>Hypothesis Testing</t>
  </si>
  <si>
    <t>Statistical power</t>
  </si>
  <si>
    <t>Power table (Figure 1)</t>
  </si>
  <si>
    <t>Normal Distribution</t>
  </si>
  <si>
    <t>Normal distribution (Example 1)</t>
  </si>
  <si>
    <t>Probability using normal distribution (Example 2)</t>
  </si>
  <si>
    <t>Basic characteristics</t>
  </si>
  <si>
    <t>Standard normal distribution</t>
  </si>
  <si>
    <t>Standard normal distribution (Figure 1)</t>
  </si>
  <si>
    <t>Sampling Distributions</t>
  </si>
  <si>
    <t>One sample hypothesis testing with known variance (Example 1)</t>
  </si>
  <si>
    <t>One sample hypothesis testing with known variance (Example 2)</t>
  </si>
  <si>
    <t>Cohen's d effect size (Example 3)</t>
  </si>
  <si>
    <t>Single sample hypothesis testing with known variance</t>
  </si>
  <si>
    <t>Confidence interval (Example 1)</t>
  </si>
  <si>
    <t>Confidence interval (Example 2)</t>
  </si>
  <si>
    <t>Confidence intervals</t>
  </si>
  <si>
    <t>One sample hypothesis testing using the Central Limit Theorem</t>
  </si>
  <si>
    <t>One sample hypothesis test via Central Limit Theorem (Example 1)</t>
  </si>
  <si>
    <t>Two sample hypothesis testing with known variance (Example 1)</t>
  </si>
  <si>
    <t>Comparing two means when variances are known</t>
  </si>
  <si>
    <t>Simulation</t>
  </si>
  <si>
    <t>Simulation of Central Limit Theorem (Example 1)</t>
  </si>
  <si>
    <t>Sample data for Example 1, using Uniform distribution</t>
  </si>
  <si>
    <t>Normal distribution sample (Figure 2)</t>
  </si>
  <si>
    <t>Sampling using data analysis tool (Example 1)</t>
  </si>
  <si>
    <t>Sampling without replacement (Example 2)</t>
  </si>
  <si>
    <t>Power for normal distribution (Example 1)</t>
  </si>
  <si>
    <t>What if analysis regarding power for normal distribution (Example 2)</t>
  </si>
  <si>
    <t>Summary of results for what if analysis regarding power (Example 2)</t>
  </si>
  <si>
    <t>Power curve for Example 1 (Figure 2)</t>
  </si>
  <si>
    <t>Alternative approach for calculating power (Figure 8)</t>
  </si>
  <si>
    <t>Alternative approach for determining sample size (Figure 9)</t>
  </si>
  <si>
    <t>Binomial and Related Distributions</t>
  </si>
  <si>
    <t>Other Key Distributions</t>
  </si>
  <si>
    <t>Student's t Distribution</t>
  </si>
  <si>
    <t>Testing for Normality and Symmetry</t>
  </si>
  <si>
    <t>Non-parametric Tests</t>
  </si>
  <si>
    <t>Chart of binomial distribution (Figure 1)</t>
  </si>
  <si>
    <t>Binomial distribution (Example 1)</t>
  </si>
  <si>
    <t>Hypothesis testing</t>
  </si>
  <si>
    <t>Hypothesis testing binomial distribution (Example 1)</t>
  </si>
  <si>
    <t>Hypothesis testing binomial distribution (Example 2)</t>
  </si>
  <si>
    <t>Relationship with normal distribution</t>
  </si>
  <si>
    <t>Binomial vs. normal distribution (Example 1)</t>
  </si>
  <si>
    <t>Two sample hypothesis testing (Example 4)</t>
  </si>
  <si>
    <t>Proportion distribution (Example 1)</t>
  </si>
  <si>
    <t>Proportion distribution - confidence interval (Example 2)</t>
  </si>
  <si>
    <t>Proportion distribution - sample size (Example 3)</t>
  </si>
  <si>
    <t>Beta distribution (Example1)</t>
  </si>
  <si>
    <t>Multinomial distribution (Example 1)</t>
  </si>
  <si>
    <t>Poisson distribution (Example 1)</t>
  </si>
  <si>
    <t>Weibull distribution</t>
  </si>
  <si>
    <t>Weibull distribution (Example 1)</t>
  </si>
  <si>
    <t>Basic concepts of the t distribution</t>
  </si>
  <si>
    <t>Chart of t distribution (Figure 1)</t>
  </si>
  <si>
    <t>One sample t test (Example 1)</t>
  </si>
  <si>
    <t>Test for symmetry with box plot (Figure 2)</t>
  </si>
  <si>
    <t>One sample t test (Example 2)</t>
  </si>
  <si>
    <t>Test for symmetry with histogram and descriptive stats (Figure 4)</t>
  </si>
  <si>
    <t>Confidence interval for t distribution (Example 3)</t>
  </si>
  <si>
    <t>Cohen's effect size (Example 4)</t>
  </si>
  <si>
    <t>Power curve (Figure 8)</t>
  </si>
  <si>
    <t>One sample hypothesis testing of the mean when population variance is unknown</t>
  </si>
  <si>
    <t>Two independent sample t test, equal variance (Example 1)</t>
  </si>
  <si>
    <t>Two sample data analysis tool with equal variance (Figure 2)</t>
  </si>
  <si>
    <t>Two independent sample t test, equal variance (Example 2)</t>
  </si>
  <si>
    <t>Effect size (example 3)</t>
  </si>
  <si>
    <t>Two sample hypothesis testing of the means when variances are unknown but equal</t>
  </si>
  <si>
    <t>Two sample hypothesis testing of the means when variances are unknown but unequal</t>
  </si>
  <si>
    <t>Two independent sample t test, unequal variance (Example 1)</t>
  </si>
  <si>
    <t>Two independent samples, unequal variance (Example 2)</t>
  </si>
  <si>
    <t>Two sample supplemental data analysis tool (Example 3)</t>
  </si>
  <si>
    <t>Two independent sample t test, unequal variance (Example 2)</t>
  </si>
  <si>
    <t>Two sample data analysis tool with unequal variance (Figure 2)</t>
  </si>
  <si>
    <t>Two sample hypothesis testing of the means with paired samples</t>
  </si>
  <si>
    <t>Two paired samples t test (Example 1)</t>
  </si>
  <si>
    <t>Two paired samples supplemental data analysis tool (Figure 4)</t>
  </si>
  <si>
    <t>Two paired samples data analysis tool (Figure 5)</t>
  </si>
  <si>
    <t>Comparing paired and independent approaches (Figure 6 and 7)</t>
  </si>
  <si>
    <t>One sample data analysis (Example 2)</t>
  </si>
  <si>
    <t>Chart of chi-square distribution (Figure 1)</t>
  </si>
  <si>
    <t>Single sample hypothesis testing on variance</t>
  </si>
  <si>
    <t>One sample testing of variance (Example 1)</t>
  </si>
  <si>
    <t>One sample testing of variance (Example 2)</t>
  </si>
  <si>
    <t>Goodness of fit</t>
  </si>
  <si>
    <t>Chi-square goodness of fit (Example 1)</t>
  </si>
  <si>
    <t>Chi-square goodness of fit (Example 2)</t>
  </si>
  <si>
    <t>Chi-square goodness of fit (Example 3)</t>
  </si>
  <si>
    <t>Chi-square goodness of fit (Example 4)</t>
  </si>
  <si>
    <t>Independence testing</t>
  </si>
  <si>
    <t>Chi-square independence testing (Example 1)</t>
  </si>
  <si>
    <t>Chi-square independence testing (Example 2)</t>
  </si>
  <si>
    <t>Chi-square supplemental data analysis tool (Figure 3)</t>
  </si>
  <si>
    <t>Fisher exact test (Example 1)</t>
  </si>
  <si>
    <t>Effect size for chi-square</t>
  </si>
  <si>
    <t>Cramer's V effect size (Figure 1)</t>
  </si>
  <si>
    <t>Odds ratio effect size (Example 1)</t>
  </si>
  <si>
    <t>Two sample hypothesis testing to compare variances</t>
  </si>
  <si>
    <t>F-Test two-sample for variances (Example 1)</t>
  </si>
  <si>
    <t>F-Test Two-Sample for Variances data analysis tool (Figure 2)</t>
  </si>
  <si>
    <t>Graphical tests</t>
  </si>
  <si>
    <t>Testing for normality via QQ plot (Example 2)</t>
  </si>
  <si>
    <t>Testing for normality via QQ plot (Example 3)</t>
  </si>
  <si>
    <t>Testing for normality/symmetry via Box plot (Example 4)</t>
  </si>
  <si>
    <t>Testing for normality via histogram (Example 1)</t>
  </si>
  <si>
    <t>Analysis of skewness and kurtosis</t>
  </si>
  <si>
    <t>Testing for normality using skewness and kurtosis (Example 1)</t>
  </si>
  <si>
    <t>Transformations</t>
  </si>
  <si>
    <t>Log transformation (Example 1)</t>
  </si>
  <si>
    <t>One-way Analysis of Variance (ANOVA)</t>
  </si>
  <si>
    <t>Log-Linear Regression</t>
  </si>
  <si>
    <t>ANOVA with Repeated Measures</t>
  </si>
  <si>
    <t>Reliability</t>
  </si>
  <si>
    <t>Analysis of Covariance (ANCOVA)</t>
  </si>
  <si>
    <t>Excel Capabilities</t>
  </si>
  <si>
    <t>Appendices</t>
  </si>
  <si>
    <t>Mathematical Notation</t>
  </si>
  <si>
    <t>Matrices and Iterative Procedures</t>
  </si>
  <si>
    <t>Tables</t>
  </si>
  <si>
    <t>Wilcoxon's Rank Sum Table for Independent Samples</t>
  </si>
  <si>
    <t>Wilcoxon's Rank Sum Table for  Paired Samples</t>
  </si>
  <si>
    <t>Kolmogorov-Smirnov Table</t>
  </si>
  <si>
    <t>Shapiro Wilk Tables</t>
  </si>
  <si>
    <t>Studentized Q Table (table 1)</t>
  </si>
  <si>
    <t>Studentized Q Table (table 2)</t>
  </si>
  <si>
    <t>Spearman's Rho Table</t>
  </si>
  <si>
    <t>Kendall's Tau Table</t>
  </si>
  <si>
    <t>Matrix operations</t>
  </si>
  <si>
    <t>Determinants and simultaneous linear equations</t>
  </si>
  <si>
    <t>Basic concepts</t>
  </si>
  <si>
    <t>Inverse of a matrix (Example 1)</t>
  </si>
  <si>
    <t>Goal seeking and Solver</t>
  </si>
  <si>
    <t>Interative proportional fitting procedure</t>
  </si>
  <si>
    <t>Iterative Proportional Fitting Procedure, 3-way (Example 3)</t>
  </si>
  <si>
    <t>Solver to find regression coefficients (Example 2)</t>
  </si>
  <si>
    <t>Goal Seek to find eigenvalues (Example 1)</t>
  </si>
  <si>
    <t>Iterative Proportional Fitting Procedure, 2-way (Example 1)</t>
  </si>
  <si>
    <t>Determinant using Gaussian elimination (Example 2)</t>
  </si>
  <si>
    <t>Solution to linear equations via Cramer's rule (Example 3)</t>
  </si>
  <si>
    <t>Solution to linear equations via Gaussian elimination (Example 4)</t>
  </si>
  <si>
    <t>Solution to homogeneous linear equations (Example 5)</t>
  </si>
  <si>
    <t>Solution to homogeneous linear equations (Example 6)</t>
  </si>
  <si>
    <t>Length of a vector (Example 2)</t>
  </si>
  <si>
    <t>Determinant (Example 1)</t>
  </si>
  <si>
    <t>Resampling</t>
  </si>
  <si>
    <t>One sample case (Example 1)</t>
  </si>
  <si>
    <t>Two independent samples case (Example 2)</t>
  </si>
  <si>
    <t>Two paired samples case (Example 3)</t>
  </si>
  <si>
    <t>Method of least squares</t>
  </si>
  <si>
    <t>Two factor ANOVA without replication</t>
  </si>
  <si>
    <t>Two factor ANOVA with replication</t>
  </si>
  <si>
    <t>Finding coefficients using Excel's Solver</t>
  </si>
  <si>
    <t>Finding coefficients using Newton's method</t>
  </si>
  <si>
    <t>Logistic Regression (Example 1)</t>
  </si>
  <si>
    <t>Sigmoid curve (Figure 1)</t>
  </si>
  <si>
    <t>Solution using Excel's Solver (Example 1)</t>
  </si>
  <si>
    <t>Solution using Newton's Method (Example 1)</t>
  </si>
  <si>
    <t>Two-way contingency tables</t>
  </si>
  <si>
    <t>Three-way contingency tables</t>
  </si>
  <si>
    <t>Two-way log-linear saturated model (Example 1)</t>
  </si>
  <si>
    <t>Two-way log-linear independence model (Example 2)</t>
  </si>
  <si>
    <t>Marginal averages for two-way models (Figure 3)</t>
  </si>
  <si>
    <t>Best fit model</t>
  </si>
  <si>
    <t>Summary of all two-way log-linear models (Figure 1)</t>
  </si>
  <si>
    <t>Other two-way log-linear models (Figure 3)</t>
  </si>
  <si>
    <t>Coefficients via Excel regression data analysis tool (Figure 3)</t>
  </si>
  <si>
    <t>Saturated model for two-way contingency tables</t>
  </si>
  <si>
    <t>Independence model for two-way contingency tables</t>
  </si>
  <si>
    <t>Other models for two-way contingency tables</t>
  </si>
  <si>
    <t>Best fit model for two-way contingency tables</t>
  </si>
  <si>
    <t>Three-way contingency tables (Example 1)</t>
  </si>
  <si>
    <t>Regression line (Example 1)</t>
  </si>
  <si>
    <t>Regression analysis</t>
  </si>
  <si>
    <t>Using regression line for prediction (Example 1)</t>
  </si>
  <si>
    <t>Testing fit of regression line (Example 1)</t>
  </si>
  <si>
    <t>Testing slope of regression line (Example 1)</t>
  </si>
  <si>
    <t>Hypothesis testing whether the regression line is a good fit for the data</t>
  </si>
  <si>
    <t>Hypothesis testing of the significance of the slope of the regression line</t>
  </si>
  <si>
    <t>Confidence and prediction intervals for forecasted values</t>
  </si>
  <si>
    <t>Exponential regression</t>
  </si>
  <si>
    <t>LINEST function (Figure 2)</t>
  </si>
  <si>
    <t>Regression data analysis tool (Figures 3 and 4)</t>
  </si>
  <si>
    <t>Confidence/prediction Intervals (Example 1)</t>
  </si>
  <si>
    <t>Testing intercept of regression line (Example 2)</t>
  </si>
  <si>
    <t>Exponential Regression (Example 1)</t>
  </si>
  <si>
    <t>LOGEST and GROWTH functions (Figure 4)</t>
  </si>
  <si>
    <t>Regression to Compare Means (Example 1)</t>
  </si>
  <si>
    <t>Full results from data analysis tool for Example 1</t>
  </si>
  <si>
    <t>Regression to Compare Means (Example 2)</t>
  </si>
  <si>
    <t>Full results from data analysis tool for Example 2</t>
  </si>
  <si>
    <t>Method of least squares (Example 1)</t>
  </si>
  <si>
    <t>Method of least squares using covariance matrix (Example 2)</t>
  </si>
  <si>
    <t>Method of least squares using hat matrix (Example 3)</t>
  </si>
  <si>
    <t>Method of least squares using supplemental functions (Example 3)</t>
  </si>
  <si>
    <t>Multiple regression analysis</t>
  </si>
  <si>
    <t>TREND and LINEST function (Example 1)</t>
  </si>
  <si>
    <t>Regression data analysis tool (Example 2)</t>
  </si>
  <si>
    <t>Data for Example 1 is normal via QQ plot (extra worksheet)</t>
  </si>
  <si>
    <t>One within subjects factor</t>
  </si>
  <si>
    <t>ANOVA with repeated measures, 1 treatment variable (Example 1)</t>
  </si>
  <si>
    <t>Contrasts for ANOVA with repeated measures (Example 2)</t>
  </si>
  <si>
    <t>Tests for sphericity (Example 1)</t>
  </si>
  <si>
    <t>ANOVA with repeated measures corrected for sphericity (Example 2)</t>
  </si>
  <si>
    <t>One within subjects factor and one between subjects factor</t>
  </si>
  <si>
    <t>ANOVA with repeated measures, 2 within-subjects factors (Example 1)</t>
  </si>
  <si>
    <t>Comparisons of means for intersection (Example 2)</t>
  </si>
  <si>
    <t>Comparisons of means for intersection (Example 3)</t>
  </si>
  <si>
    <t>Friedman's test (Example 1)</t>
  </si>
  <si>
    <t>Friedman test</t>
  </si>
  <si>
    <t>Functions, polynomials, limits and graphs</t>
  </si>
  <si>
    <t>Table lookup</t>
  </si>
  <si>
    <t>Table Lookup (Example 1)</t>
  </si>
  <si>
    <t>Table Lookup (Example 2)</t>
  </si>
  <si>
    <t>Table Lookup (Example 3)</t>
  </si>
  <si>
    <t>Table Lookup (Example 4)</t>
  </si>
  <si>
    <t>Special charting capabilities</t>
  </si>
  <si>
    <t>Box Plot for negative data (Example 2)</t>
  </si>
  <si>
    <t>Plot of sample means with std error intervals (Example 3)</t>
  </si>
  <si>
    <t>Split-half methodology</t>
  </si>
  <si>
    <t>Kuder and Richardson formula 20</t>
  </si>
  <si>
    <t>Cronbach's alpha</t>
  </si>
  <si>
    <t>Cohen's kappa</t>
  </si>
  <si>
    <t>Intraclass correlation</t>
  </si>
  <si>
    <t>Split-half methodology for reliability (Example 1)</t>
  </si>
  <si>
    <t>Kuder and Richardson Formula 20 (Example 1)</t>
  </si>
  <si>
    <t>Cronbach's alpha (Example 1)</t>
  </si>
  <si>
    <t>Cronbach's alpha with one question removed (Example 2)</t>
  </si>
  <si>
    <t>Cronbach's alpha using ANOVA (Example 3)</t>
  </si>
  <si>
    <t>Cohen's kappa (Example 1)</t>
  </si>
  <si>
    <t>Graph of a function (Example 1)</t>
  </si>
  <si>
    <t>Newton's Method for one equation (Example 1)</t>
  </si>
  <si>
    <t>Newton's Method for multiple equations (Example 2)</t>
  </si>
  <si>
    <t>Newton's Method for one equation (Example 2)</t>
  </si>
  <si>
    <t>Representation of a 3-way contingency table (Figure 5)</t>
  </si>
  <si>
    <t>Using a regression approach</t>
  </si>
  <si>
    <t>ANCOVA data (Example 1)</t>
  </si>
  <si>
    <t>ANCOVA regression models (Figure 2)</t>
  </si>
  <si>
    <t>ANCOVA results (Figure 3 and 4)</t>
  </si>
  <si>
    <t>ANCOVA adjusted means (Figure 6 and 7)</t>
  </si>
  <si>
    <t>ANCOVA full model (Figure 5)</t>
  </si>
  <si>
    <t>Assumptions</t>
  </si>
  <si>
    <t>ANOVA approach</t>
  </si>
  <si>
    <t>Contrasts</t>
  </si>
  <si>
    <t>Sign test</t>
  </si>
  <si>
    <t>Wilcoxon rank-sum test for independent samples</t>
  </si>
  <si>
    <t>Mann-Whitney test</t>
  </si>
  <si>
    <t>Wilcoxon signed-ranks test</t>
  </si>
  <si>
    <t>Wilcoxon Signed-Rank Test for Paired Samples (Example 1)</t>
  </si>
  <si>
    <t>Signed-Rank test for paired samples normal approximation (Example 2)</t>
  </si>
  <si>
    <t>Signed Rank test for one sample (Example 3)</t>
  </si>
  <si>
    <t>McNemar's test</t>
  </si>
  <si>
    <t>McNemar’s Test (Example 1)</t>
  </si>
  <si>
    <t>McNemar’s Test (Example 2)</t>
  </si>
  <si>
    <t>Runs test</t>
  </si>
  <si>
    <t>One Sample Runs Test (Example 1)</t>
  </si>
  <si>
    <t>One Sample Runs Test (Example 2)</t>
  </si>
  <si>
    <t>One factor ANOVA (Example 1)</t>
  </si>
  <si>
    <t>One factor ANOVA (Example 2)</t>
  </si>
  <si>
    <t>One factor ANOVA with unequal sample sizes (Example 3)</t>
  </si>
  <si>
    <t>Pairwise comparisons (Example 1)</t>
  </si>
  <si>
    <t>Unplanned comparisons</t>
  </si>
  <si>
    <t>Tukey HSD test (Example 1)</t>
  </si>
  <si>
    <t>Levene's test on means (Example 1)</t>
  </si>
  <si>
    <t>Bartlett's test (Example 2)</t>
  </si>
  <si>
    <t>Log transform (Example 3)</t>
  </si>
  <si>
    <t>Testing for outliers (Example 1)</t>
  </si>
  <si>
    <t>Kruskal-Wallis test</t>
  </si>
  <si>
    <t>Kruskal-Wallis test (Example 1)</t>
  </si>
  <si>
    <t>Pairwise comparison tests (Example 2)</t>
  </si>
  <si>
    <t>Effect size for omnibus ANOVA (Example 1)</t>
  </si>
  <si>
    <t>Pairwise contrasts (Example 1)</t>
  </si>
  <si>
    <t>Non-pairwise contrasts (Example 2)</t>
  </si>
  <si>
    <t>Contrasts using Bonferroni or Dunn/Sidák corrections (Example 3)</t>
  </si>
  <si>
    <t>Effect size via supplemental Anova data analysis tool (Example 2)</t>
  </si>
  <si>
    <t>Effect size for contrasts via Contrast data analysis tool (Example 3)</t>
  </si>
  <si>
    <t>Brown-Forsythe F* test</t>
  </si>
  <si>
    <t>Brown-Forsythe F* Test (Example 1)</t>
  </si>
  <si>
    <t>Brown-Forsythe F* Test (data from Example 3 of Basic Concepts of ANOVA)</t>
  </si>
  <si>
    <t>Two factor ANOVA without replication (Example 1)</t>
  </si>
  <si>
    <t>Two factor ANOVA with replication (Example 1)</t>
  </si>
  <si>
    <t>Three factor ANOVA (Example 1)</t>
  </si>
  <si>
    <t>Contrasts for two factor ANOVA</t>
  </si>
  <si>
    <t>Main effect for data in Example 1</t>
  </si>
  <si>
    <t>Simple effect for data in Example 1</t>
  </si>
  <si>
    <t>Contrasts for data in Example 3 (Example 2)</t>
  </si>
  <si>
    <t>Interaction Table for data in Example 1 (Figure 5)</t>
  </si>
  <si>
    <t>Two factor ANOVA with replication - Interaction plots for Example 1 (Figure 4)</t>
  </si>
  <si>
    <t>Tukey HSD supplemental data analysis tool (Example 1)</t>
  </si>
  <si>
    <t>Scatter diagrams</t>
  </si>
  <si>
    <t>Scatter diagrams (Figure 1)</t>
  </si>
  <si>
    <t>One sample hypothesis testing</t>
  </si>
  <si>
    <t>Two sample hypothesis testing</t>
  </si>
  <si>
    <t>Multiple correlation</t>
  </si>
  <si>
    <t>Dichotomous variables and the t-test</t>
  </si>
  <si>
    <t>Dichotomous variables and chi-square test for independence</t>
  </si>
  <si>
    <t>Correlation data analysis tool (Example 1)</t>
  </si>
  <si>
    <t>Multiple correlation coefficient (Example 1)</t>
  </si>
  <si>
    <t>Partial and semi-partial correlation (Example 2)</t>
  </si>
  <si>
    <t>Dummy variables and two sample t test (Example 1)</t>
  </si>
  <si>
    <t>Point-biserial correlation coefficient (Example 1)</t>
  </si>
  <si>
    <t>Alternative approach for performing chi-square test (Example 2)</t>
  </si>
  <si>
    <t>Wilcoxon Rank Sum Test for Independent Samples (Example 1)</t>
  </si>
  <si>
    <t>Wilcoxon Rank Sum Test unequal sample sizes (Example 2)</t>
  </si>
  <si>
    <t>Wilcoxon Rank Sum Test normal approximation (Example 3)</t>
  </si>
  <si>
    <t>Mann-Whitney U Test (Example 1)</t>
  </si>
  <si>
    <t>Mann-Whitney U Test normal approximation (Example 2)</t>
  </si>
  <si>
    <t>Wilcoxon Rank Sum Test and assumptions (Figure 2)</t>
  </si>
  <si>
    <t>One sample testing of correlation coefficient (Example 1)</t>
  </si>
  <si>
    <t>One sample testing of correlation coefficient (Example 2)</t>
  </si>
  <si>
    <t>Hypothesis testing using Fisher transformation (Example 3)</t>
  </si>
  <si>
    <t>Hypothesis testing using Fisher transformation (Example 4)</t>
  </si>
  <si>
    <t>Power of test of correlation coefficient (Example 5)</t>
  </si>
  <si>
    <t>Sample size required to test correlation coefficient (Example 5)</t>
  </si>
  <si>
    <t>Observation about partial and semi-partial correlation (Figure 4 and 5)</t>
  </si>
  <si>
    <t>Calculation of point-biserial correlation coefficient (Figure 3)</t>
  </si>
  <si>
    <t>Statistical tests</t>
  </si>
  <si>
    <t>SW Test (Example 1)</t>
  </si>
  <si>
    <t>SW Test (Example 2)</t>
  </si>
  <si>
    <t>Chi-square Test (Example 1)</t>
  </si>
  <si>
    <t>Chi-square Test (Example 2)</t>
  </si>
  <si>
    <t>KS Test (Example 1)</t>
  </si>
  <si>
    <t>KS Test (Example 2)</t>
  </si>
  <si>
    <t>Spearman's rho (Example 1)</t>
  </si>
  <si>
    <t>Alternative way of calculating Spearman's rho (Example 2)</t>
  </si>
  <si>
    <t>Hypothesis testing using Spearman's rho (Example 3)</t>
  </si>
  <si>
    <t>Kendall's tau (Example 1)</t>
  </si>
  <si>
    <t>Sample size requirements for multiple regression (Figure 1)</t>
  </si>
  <si>
    <t>Formulas for regression analysis (for Figure 5 and 6)</t>
  </si>
  <si>
    <t>Supplemental functions (for Figure 5)</t>
  </si>
  <si>
    <t>Polynomial regression</t>
  </si>
  <si>
    <t>Polynomial regression (Example 1)</t>
  </si>
  <si>
    <t>Full data analysis for quadratic model (Example 1)</t>
  </si>
  <si>
    <t>Full data analysis for linear model (Example 1)</t>
  </si>
  <si>
    <t>Regression with interaction (Example 1)</t>
  </si>
  <si>
    <t>One factor ANOVA via Regression model (Example 1)</t>
  </si>
  <si>
    <t>One factor ANOVA via Regression model (Example 1 alternative coding)</t>
  </si>
  <si>
    <t>Two factor ANOVA via Regression model (Example 2)</t>
  </si>
  <si>
    <t>Unbalanced ANOVA via Regression model (Example 1)</t>
  </si>
  <si>
    <t>Unbalanced factorial ANOVA</t>
  </si>
  <si>
    <t>ANOVA using regression</t>
  </si>
  <si>
    <t>Outliers and influencers</t>
  </si>
  <si>
    <t>Collinearity</t>
  </si>
  <si>
    <t>Testing the significance of extra variables</t>
  </si>
  <si>
    <t>Tolerance and VIF (Example 1)</t>
  </si>
  <si>
    <t>Testing significance of extra varaiables (Example 1)</t>
  </si>
  <si>
    <t xml:space="preserve">Akaike’s Information Criterion (Example 2) </t>
  </si>
  <si>
    <t>Outliers and influencers: Cook's distance (Example 1)</t>
  </si>
  <si>
    <t>Outliers and influencers: Cook's distance (Example 2)</t>
  </si>
  <si>
    <t>Studentized residuals and hat matrix (Example 1)</t>
  </si>
  <si>
    <t>Collinearity (Figure 1)</t>
  </si>
  <si>
    <t>Testing significance of extra varaiables using R Square (Figure 2)</t>
  </si>
  <si>
    <t>Plot of studentized residuals (Figure 2)</t>
  </si>
  <si>
    <t>Other measures of effect size for ANOVA</t>
  </si>
  <si>
    <t>Omega square effect size for 1 factor ANOVA (Example 3 of Basic Concepts for ANOVA)</t>
  </si>
  <si>
    <t>Omega square effect size for 2 factor ANOVA (Example 2 of ANOVA using Regression)</t>
  </si>
  <si>
    <t>Error terms for Example 2 (Figure 4)</t>
  </si>
  <si>
    <t>Group means and group effect sizes (Figure 5)</t>
  </si>
  <si>
    <t>Additional information about sphericity</t>
  </si>
  <si>
    <t>Calculation of GG and HF epsilon and lower bound correction (Figure 3)</t>
  </si>
  <si>
    <t>GG epsilon calculation (Example 1)</t>
  </si>
  <si>
    <t>GG epsilon calculation using eigenvalues (Example 2)</t>
  </si>
  <si>
    <t>Mauchly's test for sphericity (Example 3)</t>
  </si>
  <si>
    <t>Chart comparing means for intersection (Figure 9)</t>
  </si>
  <si>
    <t>ANOVA with repeated measures, 1 within and 1 between subjects (Example 1)</t>
  </si>
  <si>
    <t>Assumptions between subjects: Boxplot (Figure 5)</t>
  </si>
  <si>
    <t>Assumptions between subjects: Levene's test (Figure 6)</t>
  </si>
  <si>
    <t>Assumptions within subjects: Boxplot (Figure 7)</t>
  </si>
  <si>
    <t>Assumptions within subjects: Levene's test (Figure 8)</t>
  </si>
  <si>
    <t>Within subjects covariance matrices (Figure 9)</t>
  </si>
  <si>
    <t>Within subjects GG and HF epsilon factors (Figure 10)</t>
  </si>
  <si>
    <t>Within subjects ANOVA corrected for sphericity (Figure 11)</t>
  </si>
  <si>
    <t>Within subjects simple effects ANOVA (Figure 12)</t>
  </si>
  <si>
    <t>Within subjects GG and HF epsilon factors for Young (Figure 13)</t>
  </si>
  <si>
    <t>Summary of within subjects GG and HF epsilon factors (Figure 14)</t>
  </si>
  <si>
    <t>Corrected within subjects simple effects ANOVA (Figure 15)</t>
  </si>
  <si>
    <t>Between subjects simple effects ANOVA (Figure 16)</t>
  </si>
  <si>
    <t>Corrected between subjects simple effects ANOVA (Figure 18)</t>
  </si>
  <si>
    <t>ANCOVA assumptions (Example 1, Figure 1 and 2)</t>
  </si>
  <si>
    <t>ANCOVA assumptions - homogeneous regression slopes (Figure 4)</t>
  </si>
  <si>
    <t>ANCOVA complete model (Figure 3)</t>
  </si>
  <si>
    <t>ANCOVA regression approach (Figure 1)</t>
  </si>
  <si>
    <t>ANOVA approach (Example 1)</t>
  </si>
  <si>
    <t>ANCOVA Contrasts (Example 1)</t>
  </si>
  <si>
    <t>Residuals and chi-square for two-way model (Figure 2)</t>
  </si>
  <si>
    <t>Linear regression models for comparing means</t>
  </si>
  <si>
    <t>Comparing the slopes of two independent samples (Example 1 of Detail)</t>
  </si>
  <si>
    <t>Comparing the correlation coefficients of two independent samples (Example 1)</t>
  </si>
  <si>
    <t>Comparing the correlation coefficients of two dependent samples (Example 1 of Detail)</t>
  </si>
  <si>
    <t>Box's test for equivalence of covariance matrices (Example 1 of Detail)</t>
  </si>
  <si>
    <t>Alternative approach to multiple regression (Example 1 of Detail)</t>
  </si>
  <si>
    <t>Summary of all three-way log-linear models (Figure 1)</t>
  </si>
  <si>
    <t>Odds ratio for three-way log-linear models (Figure 2)</t>
  </si>
  <si>
    <t>Coefficients for three-way log-linear model (Figure 3)</t>
  </si>
  <si>
    <t>Iterative proportional fitting for homogeneous case (Figure 1)</t>
  </si>
  <si>
    <t>Homogeneous association model</t>
  </si>
  <si>
    <t>Expectation for 3-way models (various figures)</t>
  </si>
  <si>
    <t>Residuals and chi-square for three-way models (Figure 2 of Conditional Independence Model)</t>
  </si>
  <si>
    <t>Independence and non-comprehensive models</t>
  </si>
  <si>
    <t>Real Statistics Using Excel - Examples Workbook</t>
  </si>
  <si>
    <t>= GEOMEAN(1.05,1.08,1.1) - 1</t>
  </si>
  <si>
    <t>Example 4: Non-homogeneous linear equations - unique solution</t>
  </si>
  <si>
    <t>Example 5: Homogeneous linear equations - trivial solution only</t>
  </si>
  <si>
    <t>Example 6: Homogeneous linear equations - infinite number of solutions</t>
  </si>
  <si>
    <t>Example 7: Non-homogeneous linear equations - no solutions</t>
  </si>
  <si>
    <t>Example 8: Non-homogeneous linear equations - unique solution</t>
  </si>
  <si>
    <t>LINEQU</t>
  </si>
  <si>
    <t>ELIM</t>
  </si>
  <si>
    <t>Example A: Non-homogeneous linear equations -infinite number of solutions</t>
  </si>
  <si>
    <t>Example B: Non-homogeneous linear equations - no solution</t>
  </si>
  <si>
    <t>Example C: Matrix inversion - not invertible</t>
  </si>
  <si>
    <t>Example D: Non-homogeneous - unique solution</t>
  </si>
  <si>
    <t>Example E: Non-homogeneous - no solution</t>
  </si>
  <si>
    <t>Example F: Non-homogeneous - infinite number of solutions</t>
  </si>
  <si>
    <t>RANK</t>
  </si>
  <si>
    <t>Example 10: Matrix inversion - invertible</t>
  </si>
  <si>
    <t>Example 9: Non-homogeneous linear equations - infinite number of solutions</t>
  </si>
  <si>
    <t>Gaussian elimination via supplemental functions (Examples 7,8,9 + extra examples)</t>
  </si>
  <si>
    <t>Inverting a matrix via Gaussian elimination (Example 10)</t>
  </si>
  <si>
    <t>Levene's test using 10% trimmed group means</t>
  </si>
  <si>
    <r>
      <t>trim x̄</t>
    </r>
    <r>
      <rPr>
        <i/>
        <vertAlign val="subscript"/>
        <sz val="11"/>
        <color theme="1"/>
        <rFont val="Calibri"/>
        <family val="2"/>
        <scheme val="minor"/>
      </rPr>
      <t>j</t>
    </r>
  </si>
  <si>
    <t>Levene Median</t>
  </si>
  <si>
    <t>Levene TMean</t>
  </si>
  <si>
    <t>Levene Mean</t>
  </si>
  <si>
    <t>Example 2 using supplemental function with two arguments</t>
  </si>
  <si>
    <t>Using unsorted data</t>
  </si>
  <si>
    <t>z score</t>
  </si>
  <si>
    <r>
      <t>= (b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-b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)/(s</t>
    </r>
    <r>
      <rPr>
        <vertAlign val="subscript"/>
        <sz val="11"/>
        <color theme="1"/>
        <rFont val="Calibri"/>
        <family val="2"/>
        <scheme val="minor"/>
      </rPr>
      <t>b1-b2</t>
    </r>
    <r>
      <rPr>
        <sz val="11"/>
        <color theme="1"/>
        <rFont val="Calibri"/>
        <family val="2"/>
        <scheme val="minor"/>
      </rPr>
      <t>)</t>
    </r>
  </si>
  <si>
    <t>=MANN(A6:B17)</t>
  </si>
  <si>
    <t>=WILCOXON(A6:B17)</t>
  </si>
  <si>
    <t>=NORMSINV(W18)</t>
  </si>
  <si>
    <t>=ABS(W17/SQRT(T6+U6))</t>
  </si>
  <si>
    <r>
      <t>1 - r</t>
    </r>
    <r>
      <rPr>
        <vertAlign val="subscript"/>
        <sz val="11"/>
        <color theme="1"/>
        <rFont val="Calibri"/>
        <family val="2"/>
        <scheme val="minor"/>
      </rPr>
      <t>PI</t>
    </r>
    <r>
      <rPr>
        <vertAlign val="superscript"/>
        <sz val="11"/>
        <color theme="1"/>
        <rFont val="Calibri"/>
        <family val="2"/>
        <scheme val="minor"/>
      </rPr>
      <t>2</t>
    </r>
  </si>
  <si>
    <t>item</t>
  </si>
  <si>
    <t>Number of Unique Elements</t>
  </si>
  <si>
    <t>cat</t>
  </si>
  <si>
    <t>count unique</t>
  </si>
  <si>
    <t>=SUM(IF(FREQUENCY(A3:A12,A3:A12)&gt;0,1))</t>
  </si>
  <si>
    <t>=SUM(1/COUNTIF(A3:A12,A3:A12))</t>
  </si>
  <si>
    <t>=SUM((A3:A12&lt;&gt;"")/COUNTIF(A3:A12,A3:A12&amp;""))</t>
  </si>
  <si>
    <t>count unique #'s</t>
  </si>
  <si>
    <t>=COUNTU(A3:A12)</t>
  </si>
  <si>
    <t>Unique Counting</t>
  </si>
  <si>
    <t>Using supplemental function</t>
  </si>
  <si>
    <t>=CRONALPHA(B4:L15)</t>
  </si>
  <si>
    <t>Logistic Regression using Solver and Real Statistics Resource Pack</t>
  </si>
  <si>
    <t>% Correct</t>
  </si>
  <si>
    <t>Covariance Matrix</t>
  </si>
  <si>
    <t>coeff b</t>
  </si>
  <si>
    <t>Wald</t>
  </si>
  <si>
    <t>exp(b)</t>
  </si>
  <si>
    <t>Now use Excel's Solver as follows to complete the analysis:</t>
  </si>
  <si>
    <t>- Set Objectives: sum of LL; To: Max</t>
  </si>
  <si>
    <t>- By Changing Variable Cells: Coeff range</t>
  </si>
  <si>
    <t>- Make Unconstrained Variabes Non-Negative: uncheck this option</t>
  </si>
  <si>
    <t>- Select a Solving Method: GRG Nonlinear</t>
  </si>
  <si>
    <t>Logistic Regression using Newton's Method and Real Statistics Resource Pack</t>
  </si>
  <si>
    <t>Iteration Matrix</t>
  </si>
  <si>
    <t>Iteration 0</t>
  </si>
  <si>
    <t>Logistic Regression using Newton Method</t>
  </si>
  <si>
    <t>Iteration 1</t>
  </si>
  <si>
    <t>Iteration 2</t>
  </si>
  <si>
    <t>Iteration 3</t>
  </si>
  <si>
    <t>Iteration 4</t>
  </si>
  <si>
    <t>Iteration 5</t>
  </si>
  <si>
    <t>Logistic Regression using Real Statistics Resource Pack with Newton option</t>
  </si>
  <si>
    <t>Logistic Regression using raw data</t>
  </si>
  <si>
    <t>Temperature only model</t>
  </si>
  <si>
    <t>Water only model</t>
  </si>
  <si>
    <t>T x W</t>
  </si>
  <si>
    <t>Extract Columns from Data Range</t>
  </si>
  <si>
    <t>Eliminate missing data from a sample</t>
  </si>
  <si>
    <t>Reformat input range</t>
  </si>
  <si>
    <t>Input range</t>
  </si>
  <si>
    <t>Reshape</t>
  </si>
  <si>
    <t>Reverse</t>
  </si>
  <si>
    <t>Del empty cells</t>
  </si>
  <si>
    <t>Randomize</t>
  </si>
  <si>
    <t>Sort</t>
  </si>
  <si>
    <t>Sort no dupes</t>
  </si>
  <si>
    <t>Shuffle</t>
  </si>
  <si>
    <t>Reformatting (Example 1)</t>
  </si>
  <si>
    <t>Remove missing data (Example 2)</t>
  </si>
  <si>
    <t>Built-in functions</t>
  </si>
  <si>
    <t>Logistic Regression data analysis tool - coefficient table (Example 1)</t>
  </si>
  <si>
    <t>Testing coefficients</t>
  </si>
  <si>
    <t>Fit of the model</t>
  </si>
  <si>
    <t>Logistic Regression data analysis tool using Newton's method (Example 1)</t>
  </si>
  <si>
    <t>Comparing models</t>
  </si>
  <si>
    <t>Logistic Regression data analysis tool using raw data (Example 3)</t>
  </si>
  <si>
    <t>Log-linear ratio (Example 2)</t>
  </si>
  <si>
    <t>Basic model (Example 4)</t>
  </si>
  <si>
    <t>Reduced models (Example 4)</t>
  </si>
  <si>
    <t>Interaction model (Example 4)</t>
  </si>
  <si>
    <t>Matrix data analysis tool</t>
  </si>
  <si>
    <t>Inverse</t>
  </si>
  <si>
    <t>Correlation Matrix</t>
  </si>
  <si>
    <t>Population Covariance Matrix</t>
  </si>
  <si>
    <t>Sample Covariance matrix</t>
  </si>
  <si>
    <t>Eigenvalues/vectors</t>
  </si>
  <si>
    <t>Q of QR Factorization</t>
  </si>
  <si>
    <t>R of QR Factorization</t>
  </si>
  <si>
    <t>Identity Matrix</t>
  </si>
  <si>
    <t>Empty Box</t>
  </si>
  <si>
    <t>=CRONALPHA(B4:K18)</t>
  </si>
  <si>
    <t>Cronbach's alpha using ANOVA (Example 4)</t>
  </si>
  <si>
    <t>Sort and Remove Duplicates</t>
  </si>
  <si>
    <t>Index</t>
  </si>
  <si>
    <t>dog</t>
  </si>
  <si>
    <t>No Dupes</t>
  </si>
  <si>
    <t>Sort w/o Dupes</t>
  </si>
  <si>
    <t>bird</t>
  </si>
  <si>
    <t>bat</t>
  </si>
  <si>
    <t>lion</t>
  </si>
  <si>
    <t>ape</t>
  </si>
  <si>
    <t>Match</t>
  </si>
  <si>
    <t>Sort numeric data</t>
  </si>
  <si>
    <t>Short form</t>
  </si>
  <si>
    <t>Sort numeric data w/o duplicates</t>
  </si>
  <si>
    <t>Sort alphanumeric data</t>
  </si>
  <si>
    <t>Sort alphanumeric data w/o duplicates</t>
  </si>
  <si>
    <t>Royston Method</t>
  </si>
  <si>
    <t>Using the supplemental functions (SW algorithm)</t>
  </si>
  <si>
    <t>=SHAPIRO(B25:B39)</t>
  </si>
  <si>
    <t xml:space="preserve"> =IF(B18&lt;=B19,"yes","no")</t>
  </si>
  <si>
    <t xml:space="preserve"> =SWTEST(A3:E14)</t>
  </si>
  <si>
    <t xml:space="preserve"> =SHAPIRO(A3:E14)</t>
  </si>
  <si>
    <t>Sorted data</t>
  </si>
  <si>
    <t>mi</t>
  </si>
  <si>
    <t>u</t>
  </si>
  <si>
    <t>ϵ</t>
  </si>
  <si>
    <t>Royston Method - using supplemental formulas</t>
  </si>
  <si>
    <t>ai</t>
  </si>
  <si>
    <t>Royston algorithm via supplemental functions</t>
  </si>
  <si>
    <t>Alternative way of calculating W</t>
  </si>
  <si>
    <t>Coeff x Data</t>
  </si>
  <si>
    <t>Outliers and Missing Data</t>
  </si>
  <si>
    <t>Sample 3</t>
  </si>
  <si>
    <t>Box Plot</t>
  </si>
  <si>
    <t># outliers</t>
  </si>
  <si>
    <t># blank</t>
  </si>
  <si>
    <t># non-num</t>
  </si>
  <si>
    <t>Chi-square test for normality</t>
  </si>
  <si>
    <t>Kolmogorov-Smirnov test</t>
  </si>
  <si>
    <t>Shapiro-Wilk original test</t>
  </si>
  <si>
    <t>Shapiro-Wilk expanded test</t>
  </si>
  <si>
    <t>SW Test using supplemental formulas (Example 1)</t>
  </si>
  <si>
    <t>SW Test using supplemental formulas (Example 2)</t>
  </si>
  <si>
    <t>SW Test using supplemental data analysis tool (Example 3)</t>
  </si>
  <si>
    <t>Shapiro-Wilk Test using data analysis tool</t>
  </si>
  <si>
    <t>Shapiro-Wilk Test</t>
  </si>
  <si>
    <t>normal</t>
  </si>
  <si>
    <t>Diagonal of a square matrix (Example 3)</t>
  </si>
  <si>
    <t>Matrix supplemental data analysis tool (Example 2)</t>
  </si>
  <si>
    <t>Mann-Whitney Test for Two Independent Samples</t>
  </si>
  <si>
    <t># unequal</t>
  </si>
  <si>
    <t>T+</t>
  </si>
  <si>
    <t>T-</t>
  </si>
  <si>
    <t>Wilcoxon Signed-Rank Test for a Single Sample</t>
  </si>
  <si>
    <t>sample median</t>
  </si>
  <si>
    <t>pop median</t>
  </si>
  <si>
    <t>Supplemental one sample t test data analysis tool (Figure 5)</t>
  </si>
  <si>
    <t>c2</t>
  </si>
  <si>
    <t>1/nn</t>
  </si>
  <si>
    <t>1/nn^2</t>
  </si>
  <si>
    <t>nn*ln det</t>
  </si>
  <si>
    <t>nn = n -1</t>
  </si>
  <si>
    <t>one tail</t>
  </si>
  <si>
    <t>two tail</t>
  </si>
  <si>
    <t>DFFITS</t>
  </si>
  <si>
    <t>T-Test</t>
  </si>
  <si>
    <t>Tukey-Kramer post hoc test</t>
  </si>
  <si>
    <t>Games Howell</t>
  </si>
  <si>
    <t>c^2*var/n</t>
  </si>
  <si>
    <t>DF_POOLED supplemental function</t>
  </si>
  <si>
    <t>Tukey-Kramer data analysis tool (Example 2)</t>
  </si>
  <si>
    <t>Games-Howell data analysis tool (Example 3)</t>
  </si>
  <si>
    <t>REGWQ test (Example 4)</t>
  </si>
  <si>
    <t>Scheffe test (Example 5)</t>
  </si>
  <si>
    <t>Real Statistics data analysis tool</t>
  </si>
  <si>
    <t>Kruskal-Wallis Test</t>
  </si>
  <si>
    <t>rk-sum/n</t>
  </si>
  <si>
    <t>Kruskal-Wallis test using Anova on ranks</t>
  </si>
  <si>
    <t>Kruskal-Wallis data analysis tool</t>
  </si>
  <si>
    <t>Kruskal-Wallis test using supplemental functions</t>
  </si>
  <si>
    <t>Power Regression</t>
  </si>
  <si>
    <t>ln x</t>
  </si>
  <si>
    <t>Use of TREND</t>
  </si>
  <si>
    <t>coeff</t>
  </si>
  <si>
    <t>Regression Analysis</t>
  </si>
  <si>
    <t>Multiple Regression (supplemental data analysis tool)</t>
  </si>
  <si>
    <t>Linear Regression</t>
  </si>
  <si>
    <t>Power regression</t>
  </si>
  <si>
    <t>Log-log Regression (Example 1)</t>
  </si>
  <si>
    <t>Real Statistics regression data analysis tool (Example 2)</t>
  </si>
  <si>
    <t>OVERALL FIT</t>
  </si>
  <si>
    <t>Multiple Regression with Log Transformations</t>
  </si>
  <si>
    <t>exp(coeff)</t>
  </si>
  <si>
    <t>Ln Price</t>
  </si>
  <si>
    <t>Ln Color</t>
  </si>
  <si>
    <t>Ln Quality</t>
  </si>
  <si>
    <t>Exp(Intercept)</t>
  </si>
  <si>
    <t>Multiple regression with log transformations</t>
  </si>
  <si>
    <t>Log-level transformation</t>
  </si>
  <si>
    <t>Log-log transformation (Example 2)</t>
  </si>
  <si>
    <t>Log-level transformation (Example 1)</t>
  </si>
  <si>
    <t>Log-log transformation</t>
  </si>
  <si>
    <t>q-stat</t>
  </si>
  <si>
    <t>TUKEY'S HSD / TUKEY-KRAMER</t>
  </si>
  <si>
    <t>Q TEST</t>
  </si>
  <si>
    <t>Levene's Tests</t>
  </si>
  <si>
    <t>type</t>
  </si>
  <si>
    <t>means</t>
  </si>
  <si>
    <t>medians</t>
  </si>
  <si>
    <t>trimmed</t>
  </si>
  <si>
    <t>Supplemental function LEVENE and data analysis tool</t>
  </si>
  <si>
    <t>Levene's test on medians and trimmed means (Example 1, extra)</t>
  </si>
  <si>
    <t>Games-Howell post hoc test</t>
  </si>
  <si>
    <t>=GROWTH(C6:C16,A6:B16,W8:X9)</t>
  </si>
  <si>
    <t>=$T$7*$S$7^W14*$R$7^X14</t>
  </si>
  <si>
    <t>=$T$7*$S$7^W15*$R$7^X15</t>
  </si>
  <si>
    <t>=EXP(TREND(LN(C6:C16),A6:B16,W20:X21))</t>
  </si>
  <si>
    <t>=$J$56*$J$57^LN(W38)*$J$58^LN(X38)</t>
  </si>
  <si>
    <t>=$J$56*$J$57^LN(W39)*$J$58^LN(X39)</t>
  </si>
  <si>
    <t>EXP(TREND(LN(C36:C46),LN(A36:B46),LN(W44:X45)))</t>
  </si>
  <si>
    <t>Fleiss' Kappa</t>
  </si>
  <si>
    <t>tot</t>
  </si>
  <si>
    <t>kappa</t>
  </si>
  <si>
    <r>
      <t>p</t>
    </r>
    <r>
      <rPr>
        <vertAlign val="subscript"/>
        <sz val="11"/>
        <color theme="1"/>
        <rFont val="Calibri"/>
        <family val="2"/>
        <scheme val="minor"/>
      </rPr>
      <t>e</t>
    </r>
  </si>
  <si>
    <r>
      <t>p</t>
    </r>
    <r>
      <rPr>
        <vertAlign val="subscript"/>
        <sz val="11"/>
        <color theme="1"/>
        <rFont val="Calibri"/>
        <family val="2"/>
        <scheme val="minor"/>
      </rPr>
      <t>a</t>
    </r>
  </si>
  <si>
    <t>Bipolar</t>
  </si>
  <si>
    <t>mn</t>
  </si>
  <si>
    <t>m(m-1)</t>
  </si>
  <si>
    <t>κ</t>
  </si>
  <si>
    <t>kappa 1</t>
  </si>
  <si>
    <t>Interclass correlation</t>
  </si>
  <si>
    <t>SResidual</t>
  </si>
  <si>
    <t>Hosmer-Lemeshow Test</t>
  </si>
  <si>
    <t>Hosmer-Lemeshow Test (Example 1)</t>
  </si>
  <si>
    <t>Fleiss' kappa</t>
  </si>
  <si>
    <t>Fleiss' kappa (Example 1)</t>
  </si>
  <si>
    <t>Extra example (Fleiss' kappa for Example 1 of Cohen's kappa)</t>
  </si>
  <si>
    <t>Extra example (Fleiss' kappa for Example 1 of Intraclass correlation)</t>
  </si>
  <si>
    <t>Male Exp</t>
  </si>
  <si>
    <t>Fem Exp</t>
  </si>
  <si>
    <t>Homer-Lemeshow</t>
  </si>
  <si>
    <t>HL Stat</t>
  </si>
  <si>
    <t>HL stat</t>
  </si>
  <si>
    <t>Regression Coeff</t>
  </si>
  <si>
    <t>20-21</t>
  </si>
  <si>
    <t>Revised Version</t>
  </si>
  <si>
    <t>Hosmer</t>
  </si>
  <si>
    <t>Success</t>
  </si>
  <si>
    <t>Failure</t>
  </si>
  <si>
    <t>Kuder and Richardson Formula 21</t>
  </si>
  <si>
    <t>Logistic Regression data analysis tool using Solver (Example 1)</t>
  </si>
  <si>
    <t>Item Analysis</t>
  </si>
  <si>
    <t>Df</t>
  </si>
  <si>
    <t>High</t>
  </si>
  <si>
    <t>Low</t>
  </si>
  <si>
    <t>Item analysis for multiple choice tests (Example 2)</t>
  </si>
  <si>
    <t>Linest</t>
  </si>
  <si>
    <t>Regression data analysis (supplemental formulas inserted)</t>
  </si>
  <si>
    <t>More powerful test for sphericity, John, Nagao and Sugiura's test  (Example 4)</t>
  </si>
  <si>
    <t>Two-way ANOVA supplemental tool</t>
  </si>
  <si>
    <t>Input data in standard format</t>
  </si>
  <si>
    <t>COUNT</t>
  </si>
  <si>
    <t>VARIANCE</t>
  </si>
  <si>
    <t>Two Factor Anova (via Regression)</t>
  </si>
  <si>
    <t>Input data with rows and columns exchanged</t>
  </si>
  <si>
    <t>Unbalanced ANOVA via Regression model using supplemental analysis tool (Example 1)</t>
  </si>
  <si>
    <t>Two Factor ANOVA supplemental analysis tool</t>
  </si>
  <si>
    <t>Two Factor Anova</t>
  </si>
  <si>
    <t>Two Factor ANOVA</t>
  </si>
  <si>
    <t>Blend</t>
  </si>
  <si>
    <t>Input in Excel Anova format</t>
  </si>
  <si>
    <t>Confidence interval using supplemental Anova data analysis tool (Example 1)</t>
  </si>
  <si>
    <t>Single Factor ANOVA (standard format)</t>
  </si>
  <si>
    <t>Input in standard format</t>
  </si>
  <si>
    <t>Supplemental data analysis tool with data in standard format (Example 2)</t>
  </si>
  <si>
    <t>Converting from Anova Excel format to standard format</t>
  </si>
  <si>
    <t>Two factor ANOVA with replication - alternative data format (Example 2)</t>
  </si>
  <si>
    <t>Two factor ANOVA with replication - standard data format</t>
  </si>
  <si>
    <t>ANOVA with more than 2 factors</t>
  </si>
  <si>
    <t>Weights</t>
  </si>
  <si>
    <t>Weighted Kappa</t>
  </si>
  <si>
    <t>pa</t>
  </si>
  <si>
    <t>pe</t>
  </si>
  <si>
    <t>Weighted kappa</t>
  </si>
  <si>
    <t>Weighted kappa (Example 1)</t>
  </si>
  <si>
    <t>Unweighted kappa</t>
  </si>
  <si>
    <t>Unweighted kappa using a weighted approach (Figure 2)</t>
  </si>
  <si>
    <t>Factorial ANOVA</t>
  </si>
  <si>
    <t>Real Statistics capabilities for two factor ANOVA</t>
  </si>
  <si>
    <t>Real Statistics capabilities for three factor ANOVA</t>
  </si>
  <si>
    <t>Standard format by rows</t>
  </si>
  <si>
    <t>Three Factor Anova</t>
  </si>
  <si>
    <t>Input data in column format</t>
  </si>
  <si>
    <t>Three Factor Anova (via Regression)</t>
  </si>
  <si>
    <t>Standing</t>
  </si>
  <si>
    <t>Three Factor ANOVA - row format</t>
  </si>
  <si>
    <t>Three Factor ANOVA - column format</t>
  </si>
  <si>
    <t>Input data in row format</t>
  </si>
  <si>
    <t>Standard format by columns, including conversion (Example 1)</t>
  </si>
  <si>
    <t>Standard format by columns (equivalent to the above example)</t>
  </si>
  <si>
    <t>Sort Rows</t>
  </si>
  <si>
    <t>France</t>
  </si>
  <si>
    <t>UK</t>
  </si>
  <si>
    <t>US</t>
  </si>
  <si>
    <t>Rich</t>
  </si>
  <si>
    <t>=SortRowsUnique(A3:C14)</t>
  </si>
  <si>
    <t>=SortRowsCount(A3:C14)</t>
  </si>
  <si>
    <t>=SortRowsSum(A3:D14,"")</t>
  </si>
  <si>
    <t>Three factor ANOVA using regression</t>
  </si>
  <si>
    <t>Unbalanced model (Example 2)</t>
  </si>
  <si>
    <t>Balanced model, including data format conversion (Example 1)</t>
  </si>
  <si>
    <t>Three Factor ANOVA - row format, balanced</t>
  </si>
  <si>
    <t>Three Factor ANOVA</t>
  </si>
  <si>
    <t>Using supplemental data analysis tool</t>
  </si>
  <si>
    <t>Using Real Statistics data analysis tool (Example 1)</t>
  </si>
  <si>
    <t>Suc-Pred</t>
  </si>
  <si>
    <t>Fail-Pred</t>
  </si>
  <si>
    <t>Classification Table</t>
  </si>
  <si>
    <t>Suc-Obs</t>
  </si>
  <si>
    <t>Fail-Obs</t>
  </si>
  <si>
    <t>Cutoff</t>
  </si>
  <si>
    <t>ROC Table</t>
  </si>
  <si>
    <t>Fail-Cum</t>
  </si>
  <si>
    <t>Suc-Cum</t>
  </si>
  <si>
    <t>FPR</t>
  </si>
  <si>
    <t>TPR</t>
  </si>
  <si>
    <t>AUC</t>
  </si>
  <si>
    <t>Converge</t>
  </si>
  <si>
    <t>For display purposes only</t>
  </si>
  <si>
    <t>Compare with Temp + Water</t>
  </si>
  <si>
    <t>Compare with Temp</t>
  </si>
  <si>
    <t>Classification Table and ROC Curve</t>
  </si>
  <si>
    <t>Classification Table (Example 1)</t>
  </si>
  <si>
    <t>ROC Table and ROC Curve (Example 1)</t>
  </si>
  <si>
    <t>Select Columns</t>
  </si>
  <si>
    <t>Sort Rows without duplicates</t>
  </si>
  <si>
    <t>=QSORTRows(T3:W14,4)</t>
  </si>
  <si>
    <t>=SelectCols(A3:D14,"2,3,1")</t>
  </si>
  <si>
    <t>=SelectCols(A3:D14,"3,2,1,4",1)</t>
  </si>
  <si>
    <t>=SortRowsUnique(A3:B14)</t>
  </si>
  <si>
    <t>=CountRowsUnique(A3:B14)</t>
  </si>
  <si>
    <t>Sort and Extract Unique</t>
  </si>
  <si>
    <t>Input Range</t>
  </si>
  <si>
    <t>Germany</t>
  </si>
  <si>
    <t>Italy</t>
  </si>
  <si>
    <t>Russia</t>
  </si>
  <si>
    <t>Spain</t>
  </si>
  <si>
    <t>Sort Unique</t>
  </si>
  <si>
    <t>Extract Unique</t>
  </si>
  <si>
    <t>=QSORTRows(T3:W14)</t>
  </si>
  <si>
    <t>TP</t>
  </si>
  <si>
    <t>FP</t>
  </si>
  <si>
    <t>FN</t>
  </si>
  <si>
    <t>TN</t>
  </si>
  <si>
    <t>PP</t>
  </si>
  <si>
    <t>PN</t>
  </si>
  <si>
    <t>OP</t>
  </si>
  <si>
    <t>ON</t>
  </si>
  <si>
    <t>Tot</t>
  </si>
  <si>
    <t>Accuracy</t>
  </si>
  <si>
    <t>Sorting and eliminating duplicates</t>
  </si>
  <si>
    <t>Sort and remove duplicates in standard Excel (Examples 1, 2, 3, 4)</t>
  </si>
  <si>
    <t>Reformatting tools</t>
  </si>
  <si>
    <t>Sorting and removing duplicates by rows</t>
  </si>
  <si>
    <t>Sort by rows (Example 1)</t>
  </si>
  <si>
    <t>Sort rows removing duplicates (Example 2)</t>
  </si>
  <si>
    <t>Extracting columns from a data range</t>
  </si>
  <si>
    <t>Extract columns from data range (Example 1)</t>
  </si>
  <si>
    <t>Select columns from data range (Example 2)</t>
  </si>
  <si>
    <t>Frequency table conversion</t>
  </si>
  <si>
    <t>=N16/N17</t>
  </si>
  <si>
    <t>=N9/SQRT(N17)</t>
  </si>
  <si>
    <t>=MEDIAN(Freq2Raw(J6:J12,K6:K12))</t>
  </si>
  <si>
    <t>=IF(COUNTIF(K6:K12,MAX(K6:K12))&gt;1,#N/A,SUMIF(K6:K12,MAX(K6:K12),J6:J12))</t>
  </si>
  <si>
    <t>=SQRT(N10)</t>
  </si>
  <si>
    <t>=SUMPRODUCT((J6:J12-N5)^2,K6:K12)/(N17-1)</t>
  </si>
  <si>
    <t>=N17*(N17+1)*SUMPRODUCT((J6:J12-N5)^4,K6:K12)/((N17-1)*(N17-2)*(N17-3)*N10^2)-3*(N17-1)^2/((N17-2)*(N17-3))</t>
  </si>
  <si>
    <t>=N17*SUMPRODUCT((J6:J12-N5)^3,K6:K12)/((N17-1)*(N17-2)*N9^3)</t>
  </si>
  <si>
    <t>=N14-N15</t>
  </si>
  <si>
    <t>=MAX(J6:J12)</t>
  </si>
  <si>
    <t>=MIN(J6:J12)</t>
  </si>
  <si>
    <t>=SUMPRODUCT(J6:J12,K6:K12)</t>
  </si>
  <si>
    <t>=SUM(K6:K12)</t>
  </si>
  <si>
    <t>=PRODUCT(J6:J12^K6:K12)^(1/N17)</t>
  </si>
  <si>
    <t>=N17/SUMPRODUCT(1/J6:J12*K6:K12)</t>
  </si>
  <si>
    <t>=SUMPRODUCT(ABS(J6:J12-N5),K6:K12)/N17</t>
  </si>
  <si>
    <t>=IQR(Freq2Raw(J6:J12,K6:K12))</t>
  </si>
  <si>
    <t>=MAD(Freq2Raw(J6:J12,K6:K12))</t>
  </si>
  <si>
    <t>cum</t>
  </si>
  <si>
    <t>Real Statistics data analysis tool (using bins)</t>
  </si>
  <si>
    <t>Bin size</t>
  </si>
  <si>
    <t>Item</t>
  </si>
  <si>
    <t>Using FREQTABLE with bin size 15</t>
  </si>
  <si>
    <t>Using Frequency Table data analysis tool</t>
  </si>
  <si>
    <t>FREQTABLE(H3:H17)</t>
  </si>
  <si>
    <t>FREQTABLE(H21:35,.15)</t>
  </si>
  <si>
    <t>FREQTABLE(H21:35,.16)</t>
  </si>
  <si>
    <t>Descriptive statistics for frequency table (Example 1)</t>
  </si>
  <si>
    <t>Conversion to raw data using Real Statistics data analysis tool (Example 2)</t>
  </si>
  <si>
    <t>Real Statistics FREQTABLE supplemental function (Example 4)</t>
  </si>
  <si>
    <t>Real Statistics Frequency Table data analysis tool (Example 2)</t>
  </si>
  <si>
    <t>Frequency function using Real Statistics supplemental function (Example 3)</t>
  </si>
  <si>
    <t>Frequency function using Real Statistics data analysis tool</t>
  </si>
  <si>
    <t>Multinomial Logistic Regression</t>
  </si>
  <si>
    <t>Forecast</t>
  </si>
  <si>
    <t>Copyright © 2014 Charles Zaiontz</t>
  </si>
  <si>
    <t>Using supplemental formulas</t>
  </si>
  <si>
    <t>Rem</t>
  </si>
  <si>
    <t>Pred</t>
  </si>
  <si>
    <t>Interaction model using supplemental formulas</t>
  </si>
  <si>
    <t>Coefficient Table</t>
  </si>
  <si>
    <t>Chi-sq Test</t>
  </si>
  <si>
    <t>LL-const</t>
  </si>
  <si>
    <t>=STDERR(A3:F10)</t>
  </si>
  <si>
    <t>=NORM_CONF(A3:F10,I12)</t>
  </si>
  <si>
    <t>=NORM_UPPER(A3:F10,I12)</t>
  </si>
  <si>
    <t>=NORM_LOWER(A3:F10,I12)</t>
  </si>
  <si>
    <t>Dosage</t>
  </si>
  <si>
    <t>Sick</t>
  </si>
  <si>
    <t>Dead</t>
  </si>
  <si>
    <t>using binary logistic regression coefficients</t>
  </si>
  <si>
    <t>using Solver</t>
  </si>
  <si>
    <t>using Newton's Method</t>
  </si>
  <si>
    <t>Using summary</t>
  </si>
  <si>
    <t>Using raw data</t>
  </si>
  <si>
    <t>using supplemental formulas</t>
  </si>
  <si>
    <t>MLogitRSquare</t>
  </si>
  <si>
    <t>MLogitTest</t>
  </si>
  <si>
    <t>Using binary logistic regression</t>
  </si>
  <si>
    <t>Using Solver</t>
  </si>
  <si>
    <t>Using Newton's method</t>
  </si>
  <si>
    <t>Table 2 - p-values</t>
  </si>
  <si>
    <t>Table 1 - coefficients</t>
  </si>
  <si>
    <t>Logistic Regression (Cured + Dead)</t>
  </si>
  <si>
    <t>one step using Newton's Method</t>
  </si>
  <si>
    <t>One step using Newton's method</t>
  </si>
  <si>
    <t>ICC</t>
  </si>
  <si>
    <t>Logistic Regression using Real Statistics supplemental functions</t>
  </si>
  <si>
    <t>=LogitCoeff(A4:D15,TRUE)</t>
  </si>
  <si>
    <t>=LogitCoeff(A4:D15)</t>
  </si>
  <si>
    <t>=LogitTest(A4:D15,1)</t>
  </si>
  <si>
    <t>=LogitRSquare(A4:D15,TRUE)</t>
  </si>
  <si>
    <t>p-Male</t>
  </si>
  <si>
    <t>=LogitPred(I19:J19,$A$4:$D$15)</t>
  </si>
  <si>
    <t>=LogitPredC(I25:J25,$G$18:$G$20)</t>
  </si>
  <si>
    <t>=LogitCoeff(A4:C52,TRUE,TRUE)</t>
  </si>
  <si>
    <t>=LogitPred(N37:O37,$A$4:$C$52,TRUE)</t>
  </si>
  <si>
    <t>=LogitPredC(N43:O43,$F$37:$F$39)</t>
  </si>
  <si>
    <t>=LogitPred(N49:O49,$E$6:$H$11)</t>
  </si>
  <si>
    <t>=LogitTest(A4:C52,TRUE,TRUE)</t>
  </si>
  <si>
    <t>=LogitSummary(A4:C52)</t>
  </si>
  <si>
    <t>Log-Likelihood</t>
  </si>
  <si>
    <t>Indep Variables</t>
  </si>
  <si>
    <t>Forecasted Values</t>
  </si>
  <si>
    <t>Predicted Probabilities</t>
  </si>
  <si>
    <t>Logistic Regression (Sick + Dead)</t>
  </si>
  <si>
    <t>od.Cured</t>
  </si>
  <si>
    <t>od.Sick</t>
  </si>
  <si>
    <t xml:space="preserve">=MLogitExtract(G4:K16,2,”2,0”) </t>
  </si>
  <si>
    <t>=U17+V17</t>
  </si>
  <si>
    <t>=2*(AB5-AB4)</t>
  </si>
  <si>
    <t>=COUNT(I5:J5)</t>
  </si>
  <si>
    <t>=CHIDIST(AB7,AB8)</t>
  </si>
  <si>
    <t>=IF(AB9&lt;AB10,"yes","no")</t>
  </si>
  <si>
    <t>=1-(AB5-V17)/(AB4-V17)</t>
  </si>
  <si>
    <t>=1-EXP((-2/L17)*(AB5-AB4))</t>
  </si>
  <si>
    <t>=AB14/(1-EXP(2*(AB4-V17)/L17))</t>
  </si>
  <si>
    <t>=SUMPRODUCT(I17:K17,LN(I17:K17/L17))+V17</t>
  </si>
  <si>
    <t>Inverse of Covariance Matrix</t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</si>
  <si>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(Y-P)</t>
    </r>
  </si>
  <si>
    <t>Inverse of Covariance</t>
  </si>
  <si>
    <t>Revised Coefficients</t>
  </si>
  <si>
    <t>Initial Coefficients</t>
  </si>
  <si>
    <t>LL const</t>
  </si>
  <si>
    <t>MLogitPred</t>
  </si>
  <si>
    <t>MLogitPredC</t>
  </si>
  <si>
    <t>Multinomial Logistic Regression (Cured + Dead)</t>
  </si>
  <si>
    <t>Multinomial Logistic Regression (Sick + Dead)</t>
  </si>
  <si>
    <t>Finding coefficients using binary logistic regression</t>
  </si>
  <si>
    <t>Finding coefficients using Solver</t>
  </si>
  <si>
    <t>Real Statistics supplemental functions</t>
  </si>
  <si>
    <t>Durbin-Watson Test</t>
  </si>
  <si>
    <t>=DURBIN(F4:F14)</t>
  </si>
  <si>
    <t>=DURBIN(A4:B14,C4:C14)</t>
  </si>
  <si>
    <t>Autocorrelation</t>
  </si>
  <si>
    <t>Durbin-Watson test (Example 1)</t>
  </si>
  <si>
    <t>Multinomial and Ordinal Logistic Regression</t>
  </si>
  <si>
    <t>Interaction Terms</t>
  </si>
  <si>
    <t>Dos</t>
  </si>
  <si>
    <t>Gen</t>
  </si>
  <si>
    <t>MLogitSummary (w/o headings)</t>
  </si>
  <si>
    <t>MLogitSummary (with headings)</t>
  </si>
  <si>
    <t>=MLogitCoeff(A5:E16,2,TRUE)</t>
  </si>
  <si>
    <t>=MLogitCoeff(A5:E16,2,FALSE,TRUE)</t>
  </si>
  <si>
    <t>=MLogitCoeff(A5:E16,2,TRUE,TRUE)</t>
  </si>
  <si>
    <t>=MLogitCoeff(MLogitSelect(A4:E16,2,"1,2,1*2",TRUE),2,TRUE,TRUE)</t>
  </si>
  <si>
    <t>=MLogitCoeff(MLogitSelect(A5:E16,2,"1,2,1*2"),2,TRUE)</t>
  </si>
  <si>
    <t>=MLogitCoeff(MLogitSelect(A5:E16,2,"1,2,1*2"),2)</t>
  </si>
  <si>
    <t>=MLogitCoeff(MLogitSelect(A4:E16,2,"1,2,1*2",TRUE),2,FALSE,TRUE)</t>
  </si>
  <si>
    <t>=MLogitCoeff(A4:C53,0,TRUE,TRUE)</t>
  </si>
  <si>
    <t>=MLogitCoeff(A5:C53,0,TRUE)</t>
  </si>
  <si>
    <t>=LogitSummary(A3:C52,TRUE)</t>
  </si>
  <si>
    <t>=LogitCoeff(A3:C52,TRUE,TRUE,TRUE)</t>
  </si>
  <si>
    <t>=LogitCoeff(A4:D15,TRUE,,TRUE)</t>
  </si>
  <si>
    <t>Multinomial Logistic Regression (Sick + Dead), formula with headings</t>
  </si>
  <si>
    <t>Ordered Logistic Regression</t>
  </si>
  <si>
    <t>Pred Cum Prob</t>
  </si>
  <si>
    <t>gender</t>
  </si>
  <si>
    <t>age</t>
  </si>
  <si>
    <t>total</t>
  </si>
  <si>
    <t>1+2+3</t>
  </si>
  <si>
    <t>Sort + Chart</t>
  </si>
  <si>
    <t>using binary model coefficients</t>
  </si>
  <si>
    <t>using proportional odds model and Solver</t>
  </si>
  <si>
    <t>Ordinal logistic regression</t>
  </si>
  <si>
    <t>HL-Suc</t>
  </si>
  <si>
    <t>HL-Fail</t>
  </si>
  <si>
    <t>Real Statistics Functions (Example 1)</t>
  </si>
  <si>
    <t>Real Statistics Functions</t>
  </si>
  <si>
    <t>Creation of the Interaction Model</t>
  </si>
  <si>
    <t>2+3+4</t>
  </si>
  <si>
    <t>1+2</t>
  </si>
  <si>
    <t>3+4</t>
  </si>
  <si>
    <t>Multinomial logistic regression</t>
  </si>
  <si>
    <t>Using supplemental formulas (Figure 1)</t>
  </si>
  <si>
    <t>Using raw data (Figure 3)</t>
  </si>
  <si>
    <t>Proportional odds model</t>
  </si>
  <si>
    <t>Multinomial logistic regression model</t>
  </si>
  <si>
    <t>Logistic Regression supplemental functions, summary data (Figure 1)</t>
  </si>
  <si>
    <t>Logistic Regression supplemental functions, rawdata (Figure 2)</t>
  </si>
  <si>
    <t>MSR-MSE</t>
  </si>
  <si>
    <t>kMSE</t>
  </si>
  <si>
    <t>k(MSC-MSE)/n</t>
  </si>
  <si>
    <t>v</t>
  </si>
  <si>
    <t>w</t>
  </si>
  <si>
    <t>g</t>
  </si>
  <si>
    <t>h</t>
  </si>
  <si>
    <t>d'</t>
  </si>
  <si>
    <t>=AA8</t>
  </si>
  <si>
    <t>=MAX(1,ROUND(AB21,0))</t>
  </si>
  <si>
    <t>=FINV(AB15/2,AB16-1,AB22)</t>
  </si>
  <si>
    <t>=FINV(AB15/2,AB23,AB16-1)</t>
  </si>
  <si>
    <t>=I23+1</t>
  </si>
  <si>
    <t>=I24+1</t>
  </si>
  <si>
    <t>=(AB17-1)*(AB16-1)*(AB17*I29*AB19+AB18)^2/((AB16-1)*(AB17*I29*AB19)^2+AB18^2)</t>
  </si>
  <si>
    <t>=AB16*(1+(AB17-1)*I29)-AB17*I29</t>
  </si>
  <si>
    <t>=AB17*J24+(AB16*AB17-AB17-AB16)*J25</t>
  </si>
  <si>
    <t>=AB16*(J23-AB23*J25)/(AB21+AB23*AB20+AB16*J23)</t>
  </si>
  <si>
    <t>=AB16*(AB24*J23-J25)/(AB20+AB16*AB24*J23)</t>
  </si>
  <si>
    <t>Intraclass Correlation - class 1</t>
  </si>
  <si>
    <t>ICC(1,1)</t>
  </si>
  <si>
    <t>Transpose of the data</t>
  </si>
  <si>
    <t>Via supplemental formulas</t>
  </si>
  <si>
    <t>=(MSBet(P5:W8)-MSW(P5:W8))/(MSBet(P5:W8)+(COUNTA(P5:P8)-1)*MSW(P5:W8))</t>
  </si>
  <si>
    <t>Intraclass Correlation - class 2</t>
  </si>
  <si>
    <t>=MSBet(O5:V8)</t>
  </si>
  <si>
    <t>=MSW(O5:V8)</t>
  </si>
  <si>
    <t>=COUNTA(O5:O8)</t>
  </si>
  <si>
    <t>=(P16-P17)/(P16+(P18-1)*P17)</t>
  </si>
  <si>
    <t>F-lower</t>
  </si>
  <si>
    <t>F-upper</t>
  </si>
  <si>
    <t>=COUNTA(O5:V5)</t>
  </si>
  <si>
    <t>=ANOVA1(O5:V8)</t>
  </si>
  <si>
    <t>n-1</t>
  </si>
  <si>
    <t>n(k-1)</t>
  </si>
  <si>
    <t>=P25-1</t>
  </si>
  <si>
    <t>=P25*(P24-1)</t>
  </si>
  <si>
    <t>=P28/FINV(P23/2,P26,P27)</t>
  </si>
  <si>
    <t>=P28*FINV(P23/2,P27,P26)</t>
  </si>
  <si>
    <t>=(P29-1)/(P29+P24-1)</t>
  </si>
  <si>
    <t>=(P30-1)/(P30+P24-1)</t>
  </si>
  <si>
    <t>=(J17-J18)/(J17+((H5-1)*J18))</t>
  </si>
  <si>
    <t>=I17</t>
  </si>
  <si>
    <t>=I18</t>
  </si>
  <si>
    <t>=K17</t>
  </si>
  <si>
    <t>=H5</t>
  </si>
  <si>
    <t>=I28/FINV(I24/2,I26,I27)</t>
  </si>
  <si>
    <t>=I28*FINV(I24/2,I27,I26)</t>
  </si>
  <si>
    <t>=(I29-1)/(I29+I25-1)</t>
  </si>
  <si>
    <t>=(I30-1)/(I30+I25-1)</t>
  </si>
  <si>
    <t>MSB</t>
  </si>
  <si>
    <t>Intraclass Correlation - class 3</t>
  </si>
  <si>
    <t>ICC(3,1)</t>
  </si>
  <si>
    <t>=(J23-J25)/(J23+((H12-1)*J25))</t>
  </si>
  <si>
    <t>dfRow</t>
  </si>
  <si>
    <t>=I23</t>
  </si>
  <si>
    <t>=I25</t>
  </si>
  <si>
    <t>=K23</t>
  </si>
  <si>
    <t>=(J17-J18)/J17</t>
  </si>
  <si>
    <t>=1-1/I29</t>
  </si>
  <si>
    <t>=1-1/I30</t>
  </si>
  <si>
    <t>ICC(2,4)</t>
  </si>
  <si>
    <t>ICC(1,4)</t>
  </si>
  <si>
    <t>=(J23-J25)/J23</t>
  </si>
  <si>
    <t>=1-1/I36</t>
  </si>
  <si>
    <t>=1-1/I37</t>
  </si>
  <si>
    <t>ICC(3,4)</t>
  </si>
  <si>
    <r>
      <t xml:space="preserve">Cron </t>
    </r>
    <r>
      <rPr>
        <sz val="11"/>
        <color theme="1"/>
        <rFont val="Calibri"/>
        <family val="2"/>
      </rPr>
      <t>α</t>
    </r>
  </si>
  <si>
    <t>=CRONALPHA(B5:E12)</t>
  </si>
  <si>
    <r>
      <t>= n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+n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-4</t>
    </r>
  </si>
  <si>
    <r>
      <t>= s</t>
    </r>
    <r>
      <rPr>
        <vertAlign val="subscript"/>
        <sz val="11"/>
        <color theme="1"/>
        <rFont val="Calibri"/>
        <family val="2"/>
        <scheme val="minor"/>
      </rPr>
      <t>Res</t>
    </r>
    <r>
      <rPr>
        <sz val="11"/>
        <color theme="1"/>
        <rFont val="Calibri"/>
        <family val="2"/>
        <scheme val="minor"/>
      </rPr>
      <t>*SQRT(1/(s</t>
    </r>
    <r>
      <rPr>
        <vertAlign val="subscript"/>
        <sz val="11"/>
        <color theme="1"/>
        <rFont val="Calibri"/>
        <family val="2"/>
        <scheme val="minor"/>
      </rPr>
      <t>x1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(n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-1))+1/(s</t>
    </r>
    <r>
      <rPr>
        <vertAlign val="subscript"/>
        <sz val="11"/>
        <color theme="1"/>
        <rFont val="Calibri"/>
        <family val="2"/>
        <scheme val="minor"/>
      </rPr>
      <t>x2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-1)))</t>
    </r>
  </si>
  <si>
    <t>Intraclass Correlation - case 2</t>
  </si>
  <si>
    <t>Intraclass Correlation - case 1</t>
  </si>
  <si>
    <t>Intraclass Correlation - case 3</t>
  </si>
  <si>
    <t>supplemental functions</t>
  </si>
  <si>
    <t>=ICC(B5:E12,1,1)</t>
  </si>
  <si>
    <t>=ICC(B5:E12,1,4)</t>
  </si>
  <si>
    <t>ICC(2,1)</t>
  </si>
  <si>
    <t>=ICC(B5:E12,2,1)</t>
  </si>
  <si>
    <t>=ICC(B5:E12,2,4)</t>
  </si>
  <si>
    <t>=ICC(B5:E12,3,1)</t>
  </si>
  <si>
    <t>=ICC(B5:E12,3,4)</t>
  </si>
  <si>
    <t>pooled</t>
  </si>
  <si>
    <t>no pool</t>
  </si>
  <si>
    <t>with and w/o labels</t>
  </si>
  <si>
    <t>Runs</t>
  </si>
  <si>
    <t>A run of at least 7 heads</t>
  </si>
  <si>
    <t>A run if at least 6 heads</t>
  </si>
  <si>
    <t>A run of at least 6</t>
  </si>
  <si>
    <t>Probability of a run of exactly 6 heads (Example 2)</t>
  </si>
  <si>
    <t>Probability of a run of at least 6 heads (Example 1)</t>
  </si>
  <si>
    <t>Probability of a run of at least 6 heads or tails (Example 3)</t>
  </si>
  <si>
    <t>s.e</t>
  </si>
  <si>
    <t>Using supplemental formula</t>
  </si>
  <si>
    <t>=X30+X31-X29</t>
  </si>
  <si>
    <t>=(M18^2+M19^2-2*M18*M19*M17)/(1-M17^2)</t>
  </si>
  <si>
    <t>=M6^2</t>
  </si>
  <si>
    <t>=M5^2</t>
  </si>
  <si>
    <t>=(M19-M18*M17)^2/(1-M17^2)</t>
  </si>
  <si>
    <t>=(M18-M19*M17)^2/(1-M17^2)</t>
  </si>
  <si>
    <t>=1-X29</t>
  </si>
  <si>
    <t>=X33/(X33+X36)</t>
  </si>
  <si>
    <t>=X34/(X34+X36)</t>
  </si>
  <si>
    <t>Using QINV supplemental function</t>
  </si>
  <si>
    <r>
      <t>r</t>
    </r>
    <r>
      <rPr>
        <vertAlign val="subscript"/>
        <sz val="11"/>
        <color theme="1"/>
        <rFont val="Calibri"/>
        <family val="2"/>
        <scheme val="minor"/>
      </rPr>
      <t>PI,W</t>
    </r>
  </si>
  <si>
    <t>=SQRT(X38)</t>
  </si>
  <si>
    <t>Rent</t>
  </si>
  <si>
    <t>Average Income and Rent by Age</t>
  </si>
  <si>
    <t>Line Chart (Example 3)</t>
  </si>
  <si>
    <t>Measures of Central Tendency</t>
  </si>
  <si>
    <t>MODE</t>
  </si>
  <si>
    <t>AVERAGE</t>
  </si>
  <si>
    <t>MEDIAN</t>
  </si>
  <si>
    <t>MODE_SNGL</t>
  </si>
  <si>
    <t>MODE.MULT</t>
  </si>
  <si>
    <t>HARMEAN</t>
  </si>
  <si>
    <t>GEOMEAN</t>
  </si>
  <si>
    <t>Measures of Variability</t>
  </si>
  <si>
    <t>DEVSQ</t>
  </si>
  <si>
    <t>AVEDEV</t>
  </si>
  <si>
    <t>MIN</t>
  </si>
  <si>
    <t>MAX</t>
  </si>
  <si>
    <t>RNG</t>
  </si>
  <si>
    <t>SKEW</t>
  </si>
  <si>
    <t>KURT</t>
  </si>
  <si>
    <t>SMALL</t>
  </si>
  <si>
    <t>LARGE</t>
  </si>
  <si>
    <t>Data analysis tool</t>
  </si>
  <si>
    <t>PERCENTRANK and PERCENTRANK.EXC</t>
  </si>
  <si>
    <t>%-EXC</t>
  </si>
  <si>
    <t>%-INC</t>
  </si>
  <si>
    <t>PERCENTILE</t>
  </si>
  <si>
    <t>PERCENTILE.EXC</t>
  </si>
  <si>
    <t>Symmetry, skewness and kurtosis</t>
  </si>
  <si>
    <t>Skewness and kurtosis (Examples 1, 2)</t>
  </si>
  <si>
    <t>Rank and Percentile data analysis tool (Example 5)</t>
  </si>
  <si>
    <t>PERCENTRANK vs. PERCENTRANK.EXC (Example 7)</t>
  </si>
  <si>
    <t>PERCENTILE vs. PERCENTILE.EXC (Example 9)</t>
  </si>
  <si>
    <t>Various ranking and percentile functions (Examples 1-4, 6, 8, 10)</t>
  </si>
  <si>
    <t>Real Statistics Descriptive Statistics data analysis tool (Example 3)</t>
  </si>
  <si>
    <t>Q-INC</t>
  </si>
  <si>
    <t>Q-EXC</t>
  </si>
  <si>
    <t>Quartile</t>
  </si>
  <si>
    <t>Multiple Correlation</t>
  </si>
  <si>
    <t>Correlation matrix</t>
  </si>
  <si>
    <t>Inverse of correlation matrix</t>
  </si>
  <si>
    <t>Sqrt Diag</t>
  </si>
  <si>
    <t>Partial correlation matrix</t>
  </si>
  <si>
    <t>Alternative formula</t>
  </si>
  <si>
    <t>Alternative</t>
  </si>
  <si>
    <t>Other ways of calculating R-square</t>
  </si>
  <si>
    <t>=RSquare(C4:E18,B4:B18)</t>
  </si>
  <si>
    <t>=RSquare(B4:E18,1)</t>
  </si>
  <si>
    <t>=1-1/H11</t>
  </si>
  <si>
    <t>Partial correlation Crime x Doctors</t>
  </si>
  <si>
    <t>Real Statistics formula</t>
  </si>
  <si>
    <t>Partial correlation coefficient (Example 1)</t>
  </si>
  <si>
    <t>Partial correlation matrix (Example 2)</t>
  </si>
  <si>
    <t>Coefficient of determination</t>
  </si>
  <si>
    <t>Number of rows without missing data</t>
  </si>
  <si>
    <t>Correlation coefficient (Example 1)</t>
  </si>
  <si>
    <t>Correlation Coefficient</t>
  </si>
  <si>
    <t>Company</t>
  </si>
  <si>
    <t>Rev Growth</t>
  </si>
  <si>
    <t>Mkg Growth</t>
  </si>
  <si>
    <t>Sort and Filter</t>
  </si>
  <si>
    <t>Betty</t>
  </si>
  <si>
    <t>Steve</t>
  </si>
  <si>
    <t>Sort by Income</t>
  </si>
  <si>
    <t>Remove Duplicates</t>
  </si>
  <si>
    <t>Filter</t>
  </si>
  <si>
    <t>Sorting and Filtering</t>
  </si>
  <si>
    <t>significance testing</t>
  </si>
  <si>
    <t>Concord</t>
  </si>
  <si>
    <t>t(t-1)(2t+5)</t>
  </si>
  <si>
    <t>t(t-1)(t-2)</t>
  </si>
  <si>
    <t>m0</t>
  </si>
  <si>
    <t>m1</t>
  </si>
  <si>
    <t>m2</t>
  </si>
  <si>
    <t>m3</t>
  </si>
  <si>
    <t>t(t-1)</t>
  </si>
  <si>
    <t>Kendall's tau with ties (Example 2)</t>
  </si>
  <si>
    <t>Kendall's tau with ties (Example 3)</t>
  </si>
  <si>
    <t>Kendall's tau correlation</t>
  </si>
  <si>
    <t>Spearman's rank correlation</t>
  </si>
  <si>
    <t>standard error calculation</t>
  </si>
  <si>
    <t>Ties-Life</t>
  </si>
  <si>
    <t>Ties-Cig</t>
  </si>
  <si>
    <t>=COUNTA(B5:I5)</t>
  </si>
  <si>
    <t>=COUNTA(A5:A11)</t>
  </si>
  <si>
    <t>=C14-1</t>
  </si>
  <si>
    <t>=CHIDIST(C19,C20)</t>
  </si>
  <si>
    <t>=C15*(C14-1)*C17</t>
  </si>
  <si>
    <t>Kendall's W</t>
  </si>
  <si>
    <t>Kendall's W (Example 1)</t>
  </si>
  <si>
    <t>Dealing with missing data</t>
  </si>
  <si>
    <t>Remove missing data (Example 1)</t>
  </si>
  <si>
    <t>=12*DEVSQ(B12:I12)/(C15^2*(C14^3-C14))</t>
  </si>
  <si>
    <t>=12*SUMSQ(B12:I12)/(C15^2*(C14^3-C14))-3*(C14+1)/(C14-1)</t>
  </si>
  <si>
    <t>=FRIEDMAN(B5:I11)/(C15*(C14-1))</t>
  </si>
  <si>
    <t>=C15*(C14-1)*C16</t>
  </si>
  <si>
    <t>=CHIDIST(C18,C19)</t>
  </si>
  <si>
    <t>=(C15*C16-1)/(C15-1)</t>
  </si>
  <si>
    <t>Judges</t>
  </si>
  <si>
    <t>=SUMPRODUCT((L5:S11+1)^3-(L5:S11+1))</t>
  </si>
  <si>
    <t>=(12*SUMSQ(B12:I12)-3*C15^2*C14*(C14+1)^2)/(C15^2*(C14^3-C14)-C15*C16)</t>
  </si>
  <si>
    <t>=(C15*C17-1)/(C15-1)</t>
  </si>
  <si>
    <t>=COUNT(B5:I5)</t>
  </si>
  <si>
    <t>=COUNT(A5:A11)</t>
  </si>
  <si>
    <t>Ties</t>
  </si>
  <si>
    <t>Kendall's W with ties (Example 2)</t>
  </si>
  <si>
    <t>Alan</t>
  </si>
  <si>
    <t>Debra</t>
  </si>
  <si>
    <t>Sort by Income/Person</t>
  </si>
  <si>
    <t>Filter (Example 3)</t>
  </si>
  <si>
    <t>Remove Duplicates (Example 2)</t>
  </si>
  <si>
    <t>Sorting (Example 1)</t>
  </si>
  <si>
    <t>FTEST</t>
  </si>
  <si>
    <t>=MTEST(A6:D15,E6:H15)</t>
  </si>
  <si>
    <t>=MANN(A6:D15,E6:H15)</t>
  </si>
  <si>
    <t>and max bin value 100</t>
  </si>
  <si>
    <t>Coding of categorical variables</t>
  </si>
  <si>
    <t>Coding of categorical variables (Example 1)</t>
  </si>
  <si>
    <t>Coding of Categorical Variables</t>
  </si>
  <si>
    <t>Year</t>
  </si>
  <si>
    <t>Season</t>
  </si>
  <si>
    <t>Winter</t>
  </si>
  <si>
    <t>Spring</t>
  </si>
  <si>
    <t>Summer</t>
  </si>
  <si>
    <t>Fall</t>
  </si>
  <si>
    <t>Alternative Dummy Coding</t>
  </si>
  <si>
    <t>Usual Dummy Coding</t>
  </si>
  <si>
    <t>Simple Coding</t>
  </si>
  <si>
    <t>Chi-square Test (standard format)</t>
  </si>
  <si>
    <t>Educ</t>
  </si>
  <si>
    <t>Chi-square summary data</t>
  </si>
  <si>
    <t>Chi-square independence testing using standard format (Example 4)</t>
  </si>
  <si>
    <t>using supplemental formulas on raw data</t>
  </si>
  <si>
    <t>supplemental formula</t>
  </si>
  <si>
    <t>corr</t>
  </si>
  <si>
    <t>Missing Data - Listwise Deletion</t>
  </si>
  <si>
    <t>Id</t>
  </si>
  <si>
    <t>math</t>
  </si>
  <si>
    <t>science</t>
  </si>
  <si>
    <t>No missing data</t>
  </si>
  <si>
    <t>Missing data</t>
  </si>
  <si>
    <t>Regression Analysis (Listwise Deletion)</t>
  </si>
  <si>
    <t>Missing Data - Mean Imputation</t>
  </si>
  <si>
    <t>Mean Imputation</t>
  </si>
  <si>
    <t>Missing Data - Regression Imputation</t>
  </si>
  <si>
    <t>Regression Imputation</t>
  </si>
  <si>
    <t>correl</t>
  </si>
  <si>
    <t>Regression Analysis (Complete Data)</t>
  </si>
  <si>
    <t>Missing Data - Stochastic Regression Imputation</t>
  </si>
  <si>
    <t>Stochastic regression Imputation</t>
  </si>
  <si>
    <t>rand err</t>
  </si>
  <si>
    <t>sci - reg</t>
  </si>
  <si>
    <t>=MMULT(TRANSPOSE(I4:I14-M4:M14),I4:I14-M4:M14)</t>
  </si>
  <si>
    <t>Multiple Imputation</t>
  </si>
  <si>
    <t>SSRes</t>
  </si>
  <si>
    <t>B'</t>
  </si>
  <si>
    <t>Missing Data and Multiple Imputation</t>
  </si>
  <si>
    <t>read</t>
  </si>
  <si>
    <t>medicine</t>
  </si>
  <si>
    <t>id</t>
  </si>
  <si>
    <t>Frequency of Non-Missing Data</t>
  </si>
  <si>
    <t>Patterns of Missing Data</t>
  </si>
  <si>
    <t>Simple Imputation</t>
  </si>
  <si>
    <t>min</t>
  </si>
  <si>
    <t>max</t>
  </si>
  <si>
    <t>round</t>
  </si>
  <si>
    <t>Simple Imputation with constraints</t>
  </si>
  <si>
    <t>Imputation of column 1</t>
  </si>
  <si>
    <t>Imputation of column 1 with constraints</t>
  </si>
  <si>
    <t>FCS Imputation</t>
  </si>
  <si>
    <t>FCS Imputation with constraints</t>
  </si>
  <si>
    <t>Multiple Imputation - FCS</t>
  </si>
  <si>
    <t>FCS Imputation 1</t>
  </si>
  <si>
    <t>FCS Imputation 2</t>
  </si>
  <si>
    <t>FCS Imputation 3</t>
  </si>
  <si>
    <t>FCS Imputation 4</t>
  </si>
  <si>
    <t>R2, size</t>
  </si>
  <si>
    <t>FCS Imputation Statistics</t>
  </si>
  <si>
    <t>Imputed data only</t>
  </si>
  <si>
    <t>Complete data</t>
  </si>
  <si>
    <t>Descriptive statistics</t>
  </si>
  <si>
    <t>Descriptive statistics (complete data)</t>
  </si>
  <si>
    <t>Descriptive statistics (imputed data)</t>
  </si>
  <si>
    <t>Combined Parameters</t>
  </si>
  <si>
    <t>Variance Information</t>
  </si>
  <si>
    <t>Parameter Information</t>
  </si>
  <si>
    <t>Compact summary table</t>
  </si>
  <si>
    <t>Impute</t>
  </si>
  <si>
    <t>Multiple Imputation Summary</t>
  </si>
  <si>
    <t>R-sq, size</t>
  </si>
  <si>
    <t>Core</t>
  </si>
  <si>
    <t>MSRes'</t>
  </si>
  <si>
    <t>Cholesky (L)</t>
  </si>
  <si>
    <t>Coeff (B)</t>
  </si>
  <si>
    <t>s.e.'</t>
  </si>
  <si>
    <t>Step 1 of Imputation 1</t>
  </si>
  <si>
    <t>Multiple Imputation FCS - Step 1 of Imputation 1</t>
  </si>
  <si>
    <t>FIML</t>
  </si>
  <si>
    <t>Pairwise non-missing</t>
  </si>
  <si>
    <t>Sample Covariance Matrix</t>
  </si>
  <si>
    <t>Population Means</t>
  </si>
  <si>
    <t>Sample Means</t>
  </si>
  <si>
    <t>Solver</t>
  </si>
  <si>
    <t>FIML - initial</t>
  </si>
  <si>
    <t>FIML - final</t>
  </si>
  <si>
    <t>FIML (no missing data) - initial</t>
  </si>
  <si>
    <t>Constraint</t>
  </si>
  <si>
    <t>FIML (no missing data) - final</t>
  </si>
  <si>
    <t>Regression Coefficients</t>
  </si>
  <si>
    <r>
      <t>Estimate of 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</si>
  <si>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t>Sample Counts</t>
  </si>
  <si>
    <t>Population covariance matrix</t>
  </si>
  <si>
    <t>Population means</t>
  </si>
  <si>
    <t>Sample means</t>
  </si>
  <si>
    <t>-2LL</t>
  </si>
  <si>
    <t>Regression coefficients</t>
  </si>
  <si>
    <t>Estimate of Inverse of XTX</t>
  </si>
  <si>
    <t>FIML (no missing data) - final (data analysis tool)</t>
  </si>
  <si>
    <t>FIML - data analysis tool</t>
  </si>
  <si>
    <t>Regression Analysis (usual model)</t>
  </si>
  <si>
    <t>Regression Analysis (missing data model)</t>
  </si>
  <si>
    <r>
      <t>H = X(X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</si>
  <si>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</si>
  <si>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  <r>
      <rPr>
        <sz val="11"/>
        <color theme="1"/>
        <rFont val="Calibri"/>
        <family val="2"/>
        <scheme val="minor"/>
      </rP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</si>
  <si>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t>Traditional approaches</t>
  </si>
  <si>
    <t>Listwise Deletion (Example 1)</t>
  </si>
  <si>
    <t>Mean Imputation (Example 2)</t>
  </si>
  <si>
    <t>Regression Imputation (Example 3)</t>
  </si>
  <si>
    <t>Stochastic Regression Imputation (Example 4)</t>
  </si>
  <si>
    <t>Frequency and patterns of missing data</t>
  </si>
  <si>
    <t>Fully conditional specification (FCS)</t>
  </si>
  <si>
    <t>Simple imputation (with and w/o constraints)</t>
  </si>
  <si>
    <t>Summary of FCS results</t>
  </si>
  <si>
    <t>One step of the FCS algorithm</t>
  </si>
  <si>
    <t>Combining multiple imputations</t>
  </si>
  <si>
    <t>Multiple FCS imputations</t>
  </si>
  <si>
    <t>MI data analysis tool</t>
  </si>
  <si>
    <t>Multiple imputations from MI data analysis tool</t>
  </si>
  <si>
    <t>MI data analysis tool with constraints</t>
  </si>
  <si>
    <t>Multiple imputations from MI data analysis tool with constraints</t>
  </si>
  <si>
    <t>One step of the FCS algorithm details</t>
  </si>
  <si>
    <t>Full Information Maximum Log-Likelihood (FIML)</t>
  </si>
  <si>
    <t>FIML statistics</t>
  </si>
  <si>
    <t>FIML initial conditions</t>
  </si>
  <si>
    <t>FIML after using Solver</t>
  </si>
  <si>
    <t>FIML with modified degrees of freedom</t>
  </si>
  <si>
    <t>FIML data analysis tool</t>
  </si>
  <si>
    <t>FIML complete data: initial conditions</t>
  </si>
  <si>
    <t>FIML complete data: after using Solver</t>
  </si>
  <si>
    <t>FIML complete data: data analysis tool</t>
  </si>
  <si>
    <t>Logistic Regression using raw data (alternative approach)</t>
  </si>
  <si>
    <t>Logistic Regression with raw data, alternative approach</t>
  </si>
  <si>
    <t>Multiple Imputation - initialization</t>
  </si>
  <si>
    <t xml:space="preserve">FCS - Single Imputation </t>
  </si>
  <si>
    <t>Summary of the Means</t>
  </si>
  <si>
    <t>Calculate -2LL for the first row</t>
  </si>
  <si>
    <t>data</t>
  </si>
  <si>
    <t>cov matrix</t>
  </si>
  <si>
    <t>Calculate -2LL for the 18th row</t>
  </si>
  <si>
    <t>Usual calculation of population cov matrix</t>
  </si>
  <si>
    <r>
      <t>Usual calculation of 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</si>
  <si>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Est. of 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via pop cov matrix</t>
    </r>
  </si>
  <si>
    <t>INC</t>
  </si>
  <si>
    <t>EXC</t>
  </si>
  <si>
    <t>Supplemental - IQR using QUARTILE</t>
  </si>
  <si>
    <t>Supplemental - IQR using QUARTILE.EXC</t>
  </si>
  <si>
    <t>Using QUARTILE</t>
  </si>
  <si>
    <t>Using QUARTILE.EXC and supplemental data analysis tool</t>
  </si>
  <si>
    <t>Using QUARTIL.EXC</t>
  </si>
  <si>
    <t>Using QUARTILE.EXC</t>
  </si>
  <si>
    <t>Pooled values</t>
  </si>
  <si>
    <t>=VAR_POOLED(A4:A13,B4:B13)</t>
  </si>
  <si>
    <t>=STDEV_POOLED(A4:A13,B4:B13)</t>
  </si>
  <si>
    <t>=STDERR_POOLED(A4:A13,B4:B13)</t>
  </si>
  <si>
    <t>=STDERR_POOLED(A4:A13,B4:B12)</t>
  </si>
  <si>
    <t>Pooled values - unequal sample size</t>
  </si>
  <si>
    <t>Pooled values - equal sample size</t>
  </si>
  <si>
    <t>=VAR_POOLED(A4:A13,B4:B12)</t>
  </si>
  <si>
    <t>=STDEV_POOLED(A4:A13,B4:B12)</t>
  </si>
  <si>
    <t>=MTEST(A6:D15,E6:H15,2)</t>
  </si>
  <si>
    <t>2 tail test</t>
  </si>
  <si>
    <t>1-tail</t>
  </si>
  <si>
    <t>2-tail</t>
  </si>
  <si>
    <t>Supplemental Anova data analysis tool for contrasts (Example 4)</t>
  </si>
  <si>
    <t>δ</t>
  </si>
  <si>
    <t>df 1</t>
  </si>
  <si>
    <t>df 5</t>
  </si>
  <si>
    <t>df 10</t>
  </si>
  <si>
    <t>df 3</t>
  </si>
  <si>
    <t>ncp 0</t>
  </si>
  <si>
    <t>ncp 2</t>
  </si>
  <si>
    <t>ncp 4</t>
  </si>
  <si>
    <t>ncp 6</t>
  </si>
  <si>
    <t>1-β</t>
  </si>
  <si>
    <t>ncp 1</t>
  </si>
  <si>
    <t>ncp 5</t>
  </si>
  <si>
    <t>ncp 10</t>
  </si>
  <si>
    <t>ncp 20</t>
  </si>
  <si>
    <t>Noncentral F</t>
  </si>
  <si>
    <t>suppl</t>
  </si>
  <si>
    <t>μ1</t>
  </si>
  <si>
    <t>μ2</t>
  </si>
  <si>
    <t>σ1</t>
  </si>
  <si>
    <t>σ2</t>
  </si>
  <si>
    <t>=AI3*SQRT(AI5)</t>
  </si>
  <si>
    <t>=AI5-1</t>
  </si>
  <si>
    <t>=1-AI11</t>
  </si>
  <si>
    <t>=T1_POWER(AI3,AI5,AI6,AI4)</t>
  </si>
  <si>
    <t>Power: one sample t test</t>
  </si>
  <si>
    <t>d (suppl)</t>
  </si>
  <si>
    <t>=ABS(AN3-AN4)/SQRT(AN5^2+AN6^2-2*AN5*AN6*AN7)</t>
  </si>
  <si>
    <t>=T1_POWER(AN8,AN11,AN12,AN10)</t>
  </si>
  <si>
    <t>Power: paired sample t test</t>
  </si>
  <si>
    <t>=AS3*SQRT(HARMEAN(AS5,AS6)/2)</t>
  </si>
  <si>
    <t>=AS5+AS6-2</t>
  </si>
  <si>
    <t>=1-AS12</t>
  </si>
  <si>
    <t>=T2_POWER(AS3,AS5,AS6,AS7,AS4)</t>
  </si>
  <si>
    <t>=Effect_Paired(AN3,AN4,AN5,AN6,AN7)</t>
  </si>
  <si>
    <t>Power: Two independent samples t test</t>
  </si>
  <si>
    <t>=AX3*SQRT(AX5/2)</t>
  </si>
  <si>
    <t>=AX5*2-2</t>
  </si>
  <si>
    <t>=1-AX11</t>
  </si>
  <si>
    <t>=T2_POWER(AX3,AX5)</t>
  </si>
  <si>
    <t>=T2_POWER(AX3,100)</t>
  </si>
  <si>
    <t>=T2_SIZE(AX3,AX18)</t>
  </si>
  <si>
    <t>=T2_SIZE(AX3,AX18,1)</t>
  </si>
  <si>
    <t>=T2_SIZE(AX3,AX18,2,0.025)</t>
  </si>
  <si>
    <t>=T1_SIZE(AX3)</t>
  </si>
  <si>
    <t>Calculation of power</t>
  </si>
  <si>
    <t>t test</t>
  </si>
  <si>
    <t>hyp mean (μ)</t>
  </si>
  <si>
    <t>real mean</t>
  </si>
  <si>
    <t>=COUNT(A5:D10)</t>
  </si>
  <si>
    <t>=AVERAGE(A5:D10)</t>
  </si>
  <si>
    <t>=STDEV(A5:D10)</t>
  </si>
  <si>
    <t>=ABS(G5-G7)/G8</t>
  </si>
  <si>
    <t>=G8/SQRT(G6)</t>
  </si>
  <si>
    <t>=G6-1</t>
  </si>
  <si>
    <t>=ABS(G7-G5)/G11</t>
  </si>
  <si>
    <t>=IF(G14&lt;G15,"yes","no")</t>
  </si>
  <si>
    <t>=G5+G20*G11</t>
  </si>
  <si>
    <t>=G7</t>
  </si>
  <si>
    <t>=(G21-G22)/G11</t>
  </si>
  <si>
    <t>=1-G24</t>
  </si>
  <si>
    <t>H0</t>
  </si>
  <si>
    <t>H1</t>
  </si>
  <si>
    <t>t-crit (right)</t>
  </si>
  <si>
    <t>x-crit (right)</t>
  </si>
  <si>
    <t>t-crit (left)</t>
  </si>
  <si>
    <t>x-crit (left)</t>
  </si>
  <si>
    <t>t (right)</t>
  </si>
  <si>
    <t>t (left)</t>
  </si>
  <si>
    <t>P(t &lt; t-right)</t>
  </si>
  <si>
    <t>P(t &lt; t-left)</t>
  </si>
  <si>
    <t>Power of Single Sample Hypothesis Testing of the Mean using t Test (two-tailed)</t>
  </si>
  <si>
    <t>Power of Single Sample Hypothesis Testing of the Mean using t Test (one-tailed)</t>
  </si>
  <si>
    <t>Power - t Distribution, 1 -tail (What if analysis)</t>
  </si>
  <si>
    <t>Power for given mean, one-tailed test (Example 5)</t>
  </si>
  <si>
    <t>Power, one-tailed test, given mean (Figure 14)</t>
  </si>
  <si>
    <t>Power, based on effect size, alpha and sample size (Example 6a)</t>
  </si>
  <si>
    <t>Effect size needed to achieve power goal, based on alpha and sample size (Example 6b)</t>
  </si>
  <si>
    <t>Sample size needed to achieve power goal, based on effect size and alpha (Example 6c)</t>
  </si>
  <si>
    <t>Power for two-tailed test</t>
  </si>
  <si>
    <t>=G5+L5*G11</t>
  </si>
  <si>
    <t>=-L5</t>
  </si>
  <si>
    <t>=G5+L7*G11</t>
  </si>
  <si>
    <t>=(L6-L9)/G11</t>
  </si>
  <si>
    <t>=(L8-L9)/G11</t>
  </si>
  <si>
    <t>=L12-L13</t>
  </si>
  <si>
    <t>=1-L14</t>
  </si>
  <si>
    <t>=T2_POWER(AZ3,ROUNDUP(AX5,0))</t>
  </si>
  <si>
    <t>Kolmogorov-Smirnov two sample test</t>
  </si>
  <si>
    <t>KS test (Example 1)</t>
  </si>
  <si>
    <t>KS Two Sample Test</t>
  </si>
  <si>
    <t>23-24</t>
  </si>
  <si>
    <t>21-22</t>
  </si>
  <si>
    <t>25-26</t>
  </si>
  <si>
    <t>27-28</t>
  </si>
  <si>
    <t>29-30</t>
  </si>
  <si>
    <t>31-32</t>
  </si>
  <si>
    <t>35-36</t>
  </si>
  <si>
    <t>37-38</t>
  </si>
  <si>
    <t>39-40</t>
  </si>
  <si>
    <t>33-34</t>
  </si>
  <si>
    <t>Cum% M</t>
  </si>
  <si>
    <t>Cum% W</t>
  </si>
  <si>
    <t>D-crit</t>
  </si>
  <si>
    <t>Cum% It</t>
  </si>
  <si>
    <t>Cum% Fr</t>
  </si>
  <si>
    <t>Kolmogrov-Smirnov Table - one sample</t>
  </si>
  <si>
    <t>D-stat</t>
  </si>
  <si>
    <t>pdf</t>
  </si>
  <si>
    <t>cdf</t>
  </si>
  <si>
    <t>Noncentral chi-square</t>
  </si>
  <si>
    <t xml:space="preserve"> ncp 6</t>
  </si>
  <si>
    <t>Power for Goodness of Fit</t>
  </si>
  <si>
    <t>=B4-1</t>
  </si>
  <si>
    <t>=CHIINV(B3,B5)</t>
  </si>
  <si>
    <t>=SQRT(B8/B4)</t>
  </si>
  <si>
    <t>=B9^2*B4</t>
  </si>
  <si>
    <t>=NCHISQ_DIST(B6,B5,B10,TRUE)</t>
  </si>
  <si>
    <t>=CHISQ_POWER(B9,B4,B5)</t>
  </si>
  <si>
    <t>rows</t>
  </si>
  <si>
    <t>columns</t>
  </si>
  <si>
    <t>Sample Size for Independence Test</t>
  </si>
  <si>
    <t>=(G4-1)*(G5-1)</t>
  </si>
  <si>
    <t>=CHISQ_POWER(G7,G9,G6)</t>
  </si>
  <si>
    <t>Example 3</t>
  </si>
  <si>
    <t>Example 2</t>
  </si>
  <si>
    <t>Hypothesis test</t>
  </si>
  <si>
    <t>χ2 crit</t>
  </si>
  <si>
    <t>2-tailed</t>
  </si>
  <si>
    <t>χ2 -crit</t>
  </si>
  <si>
    <t>χ2 +crit</t>
  </si>
  <si>
    <t>hyp var</t>
  </si>
  <si>
    <t>sample var</t>
  </si>
  <si>
    <t>=E5/E6</t>
  </si>
  <si>
    <t>=E8-1</t>
  </si>
  <si>
    <t>=1-E12</t>
  </si>
  <si>
    <t>=J8-1</t>
  </si>
  <si>
    <t>=1-J13</t>
  </si>
  <si>
    <t>1-tailed</t>
  </si>
  <si>
    <t>1 tailed</t>
  </si>
  <si>
    <t>2 tailed</t>
  </si>
  <si>
    <t>=VAR1_POWER(E7,E8,1,E10)</t>
  </si>
  <si>
    <t>=VAR1_POWER(J7,J8,2,J10)</t>
  </si>
  <si>
    <t>=VAR1_SIZE(E7,0.8,1)</t>
  </si>
  <si>
    <t>=VAR1_SIZE(J7)</t>
  </si>
  <si>
    <t>=CHISQ_SIZE(G7,G6)</t>
  </si>
  <si>
    <t>ratio</t>
  </si>
  <si>
    <t>Power of two-sample variance test</t>
  </si>
  <si>
    <t>Power of one-sample variance test</t>
  </si>
  <si>
    <t>F -crit</t>
  </si>
  <si>
    <t>F +crit</t>
  </si>
  <si>
    <t>var 1</t>
  </si>
  <si>
    <t>var 2</t>
  </si>
  <si>
    <t>stdev 1</t>
  </si>
  <si>
    <t>stdev 2</t>
  </si>
  <si>
    <t>F (obs)</t>
  </si>
  <si>
    <t>F (crit)</t>
  </si>
  <si>
    <t>F crit left</t>
  </si>
  <si>
    <t>F crit right</t>
  </si>
  <si>
    <t>=E9-1</t>
  </si>
  <si>
    <t>=FINV(1-E12,E10,E11)</t>
  </si>
  <si>
    <t>=FDIST(E7*E13,E10,E11)</t>
  </si>
  <si>
    <t>=1-E14</t>
  </si>
  <si>
    <t>=J5^2/J6^2</t>
  </si>
  <si>
    <t>=J9-1</t>
  </si>
  <si>
    <t>=FINV(1-J12/2,J10,J11)</t>
  </si>
  <si>
    <t>=FINV(J12/2,J10,J11)</t>
  </si>
  <si>
    <t>=FDIST(J7*J13,J10,J11)-FDIST(J7*J14,J10,J11)</t>
  </si>
  <si>
    <t>=1-J15</t>
  </si>
  <si>
    <t>=J6/J5</t>
  </si>
  <si>
    <t>Power for One-way ANOVA</t>
  </si>
  <si>
    <t>SSB</t>
  </si>
  <si>
    <t>lambda</t>
  </si>
  <si>
    <t>=H14</t>
  </si>
  <si>
    <t>=H15</t>
  </si>
  <si>
    <t>=G14</t>
  </si>
  <si>
    <t>=I15</t>
  </si>
  <si>
    <t>=Q6+Q5+1</t>
  </si>
  <si>
    <t>=Q5+1</t>
  </si>
  <si>
    <t>=SQRT(Q7/(Q8*Q9))</t>
  </si>
  <si>
    <t>=Q11*SQRT(Q10/(Q10-1))</t>
  </si>
  <si>
    <t>=Q11^2*Q9</t>
  </si>
  <si>
    <t>=L5</t>
  </si>
  <si>
    <t>=FINV(Q15,Q5,Q6)</t>
  </si>
  <si>
    <t>=NF_DIST(Q16,Q5,Q6,Q13,TRUE)</t>
  </si>
  <si>
    <t>=1-Q17</t>
  </si>
  <si>
    <t>=V8-1</t>
  </si>
  <si>
    <t>=V7-V8</t>
  </si>
  <si>
    <t>=V9*SQRT(V8/(V8-1))</t>
  </si>
  <si>
    <t>=V9^2*V7</t>
  </si>
  <si>
    <t>=FINV(V13,V5,V6)</t>
  </si>
  <si>
    <t>=NF_DIST(V14,V5,V6,V11,TRUE)</t>
  </si>
  <si>
    <t>=1-V15</t>
  </si>
  <si>
    <t>=ANOVA1_SIZE(V9,V8)</t>
  </si>
  <si>
    <t>=ANOVA1_POWER(Q11,Q9,Q10)</t>
  </si>
  <si>
    <t>=ANOVA1_POWER(Q12,Q9,Q10,2)</t>
  </si>
  <si>
    <t>=ANOVA1_POWER(Q13,Q9,Q10,0)</t>
  </si>
  <si>
    <t>Kolmogrov-Smirnov (one sample, exponential distribution)</t>
  </si>
  <si>
    <t>Kolmogrov-Smirnov (one sample, normal distribution)</t>
  </si>
  <si>
    <t>Kolmogorov-Smirnov one sample test</t>
  </si>
  <si>
    <t>KS Test for exponential distribution (Example 1)</t>
  </si>
  <si>
    <t>Noncentral t distribution and power</t>
  </si>
  <si>
    <t>Chart of the distribution (Figure 1)</t>
  </si>
  <si>
    <t>One sample test (Example 1)</t>
  </si>
  <si>
    <t>Chart of the distribution (Figure 2)</t>
  </si>
  <si>
    <t>Paired samples (Example 2)</t>
  </si>
  <si>
    <t>Two independent samples (Example 3)</t>
  </si>
  <si>
    <t>Calculating sample size (Example 4)</t>
  </si>
  <si>
    <t>Power and Sample size: Two independent samples t test</t>
  </si>
  <si>
    <t>Power (Example 3)</t>
  </si>
  <si>
    <t>Sample size required (Example 4)</t>
  </si>
  <si>
    <t>Power for goodness of fit (Example 1)</t>
  </si>
  <si>
    <t>Sample size for independence testing (Example 2)</t>
  </si>
  <si>
    <t>Noncentral chi-square distribution and Power</t>
  </si>
  <si>
    <t>Chart of the noncentral chi-square distribution (Figure 1)</t>
  </si>
  <si>
    <t>Sample size required (Example 2)</t>
  </si>
  <si>
    <t>Power of ANOVA (Example 1)</t>
  </si>
  <si>
    <t>Noncentral  F distribution and Power</t>
  </si>
  <si>
    <t>Chart of the noncentral F distribution (Figure 1)</t>
  </si>
  <si>
    <t>Power for two sample variance test (Example 1)</t>
  </si>
  <si>
    <t>Sample size for two-sample variance test (Example 2)</t>
  </si>
  <si>
    <t>=VAR2_POWER(E7,E8,E9,1,E12)</t>
  </si>
  <si>
    <t>=VAR2_POWER(J7,J8,J9)</t>
  </si>
  <si>
    <t>=VAR2_SIZE(E7,0.8,1)</t>
  </si>
  <si>
    <t>=VAR2_SIZE(J7)</t>
  </si>
  <si>
    <t>http://facultyweb.berry.edu/vbissonnette/tables/mwu.pdf</t>
  </si>
  <si>
    <t>MPROB</t>
  </si>
  <si>
    <t>=KSPROB(U20,L21)</t>
  </si>
  <si>
    <t>=KSCRIT(L21,0.05)</t>
  </si>
  <si>
    <t>=KSCRIT(B14,0.05)</t>
  </si>
  <si>
    <t>=KSPROB(G15,B14)</t>
  </si>
  <si>
    <t>=KINV(0.05)/SQRT(B14) or KSINV(.05,1000)</t>
  </si>
  <si>
    <t>=1-KDIST(G15*SQRT(B14)) or KSDIST(G15,B14)</t>
  </si>
  <si>
    <t>=WPROB(H10,H5,I5,H9)</t>
  </si>
  <si>
    <t>SRankPROB</t>
  </si>
  <si>
    <t>=I35/FINV(I31/2,I33,I34)</t>
  </si>
  <si>
    <t>=I35*FINV(I31/2,I34,I33)</t>
  </si>
  <si>
    <t>=(I36-1)/(I36+I32-1)</t>
  </si>
  <si>
    <t>=(I37-1)/(I37+I32-1)</t>
  </si>
  <si>
    <t>=MPROB(J18,H5,I5,H10)</t>
  </si>
  <si>
    <t>=WPROB(N10,H5,I5,H9)</t>
  </si>
  <si>
    <t>=WCRIT(H5,I5,H8,H9)</t>
  </si>
  <si>
    <t>T-CRIT</t>
  </si>
  <si>
    <t>=SUMPRODUCT(I4:I13,J4:J1e)/B14</t>
  </si>
  <si>
    <t>=SUMPRODUCT(J4:J13,K4:K13)/B14</t>
  </si>
  <si>
    <t>=COUNT(A6:D15)</t>
  </si>
  <si>
    <t>=MEDIAN(A6:D15)</t>
  </si>
  <si>
    <t>=SUM(J6:M15)</t>
  </si>
  <si>
    <t>=T6*U6+T6*(T6+1)/2-T8</t>
  </si>
  <si>
    <t>=MIN(T9:U9)</t>
  </si>
  <si>
    <t>=T6*U6/2</t>
  </si>
  <si>
    <t>=T14*(T6+U6+1)/6</t>
  </si>
  <si>
    <t>=SQRT(T15)</t>
  </si>
  <si>
    <t>=(T13-T14)/T16</t>
  </si>
  <si>
    <t>=NORMSDIST(T17)</t>
  </si>
  <si>
    <t>=IF(T19&lt;T11,"yes","no")</t>
  </si>
  <si>
    <t>=ABS(T17)/SQRT(T6+U6)</t>
  </si>
  <si>
    <t>=SRankCRIT(K6)</t>
  </si>
  <si>
    <t>=COUNT(E4:E33)</t>
  </si>
  <si>
    <t>=MIN(G34:H34)</t>
  </si>
  <si>
    <t>=K6*(K6+1)/4</t>
  </si>
  <si>
    <t>=K9*(2*K6+1)/6</t>
  </si>
  <si>
    <t>=SQRT(K10)</t>
  </si>
  <si>
    <t>=ABS(K7-K9)/K11</t>
  </si>
  <si>
    <t>=K9+K11*NORMSINV(K4/2)-0.05</t>
  </si>
  <si>
    <t>=IF(K14&lt;K4,"yes","no")</t>
  </si>
  <si>
    <t>=2*(1-NORMSDIST(K12))</t>
  </si>
  <si>
    <t>KENDALLW function</t>
  </si>
  <si>
    <t>Array function MANN_TEST</t>
  </si>
  <si>
    <t>SRANK_TEST</t>
  </si>
  <si>
    <t>Outliers and Robustness</t>
  </si>
  <si>
    <t>Trimmed and Winsorized data (Example 1)</t>
  </si>
  <si>
    <t>Trimmed and Winsorized Data</t>
  </si>
  <si>
    <t>Trimmed</t>
  </si>
  <si>
    <t>Winsorized</t>
  </si>
  <si>
    <t>=COUNTAU(A3:A12)</t>
  </si>
  <si>
    <t>=B4</t>
  </si>
  <si>
    <t>=B5+C4</t>
  </si>
  <si>
    <t>=B6+C5</t>
  </si>
  <si>
    <t>=B7+C6</t>
  </si>
  <si>
    <t>=B8+C7</t>
  </si>
  <si>
    <t>=B9+C8</t>
  </si>
  <si>
    <t>=B10+C9</t>
  </si>
  <si>
    <t>=B11+C10</t>
  </si>
  <si>
    <t>P(3)</t>
  </si>
  <si>
    <t xml:space="preserve">P(x ≤ 5) </t>
  </si>
  <si>
    <r>
      <t xml:space="preserve">P(3 </t>
    </r>
    <r>
      <rPr>
        <sz val="11"/>
        <color theme="1"/>
        <rFont val="Calibri"/>
        <family val="2"/>
      </rPr>
      <t>≤ x ≤ 5)</t>
    </r>
  </si>
  <si>
    <t>=PROB(A4:A11,B4:B11,3,5)</t>
  </si>
  <si>
    <t>=PROB(A4:A11,B4:B11,3)</t>
  </si>
  <si>
    <t>=PROB(A4:A11,B4:B11,,5)</t>
  </si>
  <si>
    <t>Data 1</t>
  </si>
  <si>
    <t>Data 2</t>
  </si>
  <si>
    <t>Data 3</t>
  </si>
  <si>
    <t>Data 4</t>
  </si>
  <si>
    <t>Data 5</t>
  </si>
  <si>
    <t>Data 6</t>
  </si>
  <si>
    <t>VAR.S = VAR</t>
  </si>
  <si>
    <t>VAR.P = VARP</t>
  </si>
  <si>
    <t>STDEV.S = STDEV</t>
  </si>
  <si>
    <t>STDEV.P = STDEVP</t>
  </si>
  <si>
    <t>Descriptive statistics for data in a frequency table (Example 5)</t>
  </si>
  <si>
    <t>Real Statistics data analysis tool for obatining desc stats for frequency table (Example 6)</t>
  </si>
  <si>
    <t>Real Statistics Environment</t>
  </si>
  <si>
    <t>Reformatting data</t>
  </si>
  <si>
    <t>Sorting, removing duplicates, etc. (Example 1)</t>
  </si>
  <si>
    <t>Reformat data in a range</t>
  </si>
  <si>
    <t>COUNTU</t>
  </si>
  <si>
    <t>COUNTAU</t>
  </si>
  <si>
    <t>Sort and extract unique (Example 2)</t>
  </si>
  <si>
    <t>Goal Seek</t>
  </si>
  <si>
    <t>Square root example (Example 1)</t>
  </si>
  <si>
    <t>x^2</t>
  </si>
  <si>
    <t>Excel 2007</t>
  </si>
  <si>
    <t>Excel 2010</t>
  </si>
  <si>
    <t>=Z.TEST(A3:F10,100)</t>
  </si>
  <si>
    <t>=STDEV.S(A3:F10)</t>
  </si>
  <si>
    <t>=1-NORM.DIST(I7,I6,I9,TRUE)</t>
  </si>
  <si>
    <t>=CONFIDENCE.NORM(I12,I8,I5)</t>
  </si>
  <si>
    <t>=R8/SQRT(R5)</t>
  </si>
  <si>
    <t>=1-NORMDIST(R7,R6,R9,TRUE)</t>
  </si>
  <si>
    <t>=CONFIDENCE(R12,R8,R5)</t>
  </si>
  <si>
    <t>=R7-R13</t>
  </si>
  <si>
    <t>=R7+R13</t>
  </si>
  <si>
    <t>Real Statistics functions</t>
  </si>
  <si>
    <t>Critical values for U with alpha = .005, two-tailed</t>
  </si>
  <si>
    <t>http://coaps.fsu.edu/pub/williams/Misc/2283111.pdf</t>
  </si>
  <si>
    <t>Critical values for U with alpha = .20, two-tailed</t>
  </si>
  <si>
    <t>http://sphweb.bumc.bu.edu/otlt/MPH-Modules/BS/BS704_Nonparametric/Wilcoxon-Signed%20Rank-Table.pdf</t>
  </si>
  <si>
    <t>http://www.watpon.com/table/t_signedranktest.pdf</t>
  </si>
  <si>
    <t>Uniform distribution</t>
  </si>
  <si>
    <t>Uniform distribution (Example 2)</t>
  </si>
  <si>
    <t>Uniform Distribution</t>
  </si>
  <si>
    <t>a+b</t>
  </si>
  <si>
    <t>b-a</t>
  </si>
  <si>
    <t>=AVERAGE(A3:E10)</t>
  </si>
  <si>
    <t>=2*H3</t>
  </si>
  <si>
    <t>=H4*SQRT(12)</t>
  </si>
  <si>
    <t>=(H6-H7)/2</t>
  </si>
  <si>
    <t>=(H6+H7)/2</t>
  </si>
  <si>
    <t>=STDEV.S(A3:E10)</t>
  </si>
  <si>
    <t>P(x &lt; 5)</t>
  </si>
  <si>
    <t>=UNIFORM_DIST(5,H9,H10,TRUE)</t>
  </si>
  <si>
    <t>Exponential Distribution</t>
  </si>
  <si>
    <t>1-P(t&lt;x)</t>
  </si>
  <si>
    <t>1-P(t-x)</t>
  </si>
  <si>
    <t>MTTF</t>
  </si>
  <si>
    <t>Gamma Distribution</t>
  </si>
  <si>
    <t>P(t&lt;x)</t>
  </si>
  <si>
    <t>Gamma distribution</t>
  </si>
  <si>
    <t>Exponential distribution</t>
  </si>
  <si>
    <t>Time to k events (Example 1)</t>
  </si>
  <si>
    <t>Time to first event (Example 1)</t>
  </si>
  <si>
    <t>Time to first event + MTTF (Example 2)</t>
  </si>
  <si>
    <t>Negative binomial and geometric distributions</t>
  </si>
  <si>
    <t>Geometric distribution (Example 1)</t>
  </si>
  <si>
    <t>Negative binomial distribution (Example 2)</t>
  </si>
  <si>
    <t>Example 1</t>
  </si>
  <si>
    <t>Example 4</t>
  </si>
  <si>
    <t>Negative binomial distribution</t>
  </si>
  <si>
    <t>Geometric distribution</t>
  </si>
  <si>
    <t>using inverse function</t>
  </si>
  <si>
    <t>Inverse negative binomial distribution (Example 3)</t>
  </si>
  <si>
    <t>Inverse Poisson distribution (Example 2)</t>
  </si>
  <si>
    <t>Inverse of negative binomial distribution</t>
  </si>
  <si>
    <t>Hypergeometric distribution</t>
  </si>
  <si>
    <t>Hypergeometric Distribution</t>
  </si>
  <si>
    <t>Hypergeometric distribution (Example 1)</t>
  </si>
  <si>
    <t>Hypergeometric distribution (Example 2)</t>
  </si>
  <si>
    <t>Hypergeometric distribution, what-if (Example 3)</t>
  </si>
  <si>
    <t>Power of binomial distribution</t>
  </si>
  <si>
    <t>One-tailed test</t>
  </si>
  <si>
    <t>Power of one-tailed test (Example 1)</t>
  </si>
  <si>
    <t>Power of two-tailed test (Example 2)</t>
  </si>
  <si>
    <t>Sample size requirement (Example 3)</t>
  </si>
  <si>
    <t>Power (one-tailed)</t>
  </si>
  <si>
    <t>Hypothesis testing binomial distribution (Example 3)</t>
  </si>
  <si>
    <t>Power curve for Example 1</t>
  </si>
  <si>
    <t>Power (two-tailed)</t>
  </si>
  <si>
    <t>-crit</t>
  </si>
  <si>
    <t>+crit</t>
  </si>
  <si>
    <t>=NORM.INV(1-B5,B3,B7)</t>
  </si>
  <si>
    <t>=NORM.DIST(B8,B10,B7,TRUE)</t>
  </si>
  <si>
    <t>=NORM.S.INV(1-B17)</t>
  </si>
  <si>
    <t>=NORM.S.DIST(B16*SQRT(B18)-B19, TRUE)</t>
  </si>
  <si>
    <t>Power - Standard Normal Distribution</t>
  </si>
  <si>
    <t>Sample Size - Standard Normal Distribution</t>
  </si>
  <si>
    <t>Effect Size - Standard Normal Distribution</t>
  </si>
  <si>
    <t>=NORM.S.INV(1-B25)</t>
  </si>
  <si>
    <t>=NORM.S.INV(1-B24)</t>
  </si>
  <si>
    <t>effect size (d)</t>
  </si>
  <si>
    <t>sample size (n)</t>
  </si>
  <si>
    <r>
      <t>alpha (</t>
    </r>
    <r>
      <rPr>
        <sz val="11"/>
        <color theme="1"/>
        <rFont val="Calibri"/>
        <family val="2"/>
      </rPr>
      <t>α)</t>
    </r>
  </si>
  <si>
    <t>=B3*SQRT(B5)</t>
  </si>
  <si>
    <t>=NORM.S.DIST(B6-B7,TRUE)+NORM.S.DIST(-B6-B7,TRUE)</t>
  </si>
  <si>
    <t>=NORM.S.INV(1-B4/2)</t>
  </si>
  <si>
    <t>=NORM.S.INV(1-B213/2)</t>
  </si>
  <si>
    <t>=NORM.S.INV(1-B12)</t>
  </si>
  <si>
    <t>=NORM.S.INV(1-B22/2)</t>
  </si>
  <si>
    <t>=NORM.S.INV(1-B21)</t>
  </si>
  <si>
    <r>
      <t>non-centrality (</t>
    </r>
    <r>
      <rPr>
        <sz val="11"/>
        <color theme="1"/>
        <rFont val="Calibri"/>
        <family val="2"/>
      </rPr>
      <t>δ)</t>
    </r>
  </si>
  <si>
    <r>
      <t>ncp (</t>
    </r>
    <r>
      <rPr>
        <sz val="11"/>
        <color theme="1"/>
        <rFont val="Calibri"/>
        <family val="2"/>
      </rPr>
      <t>δ)</t>
    </r>
  </si>
  <si>
    <t>one</t>
  </si>
  <si>
    <t>two</t>
  </si>
  <si>
    <r>
      <t>1-</t>
    </r>
    <r>
      <rPr>
        <sz val="11"/>
        <color theme="1"/>
        <rFont val="Calibri"/>
        <family val="2"/>
      </rPr>
      <t>β</t>
    </r>
  </si>
  <si>
    <t>Power of two-sample testing of the mean</t>
  </si>
  <si>
    <t>=NORM.S.INV(1-I8/2)</t>
  </si>
  <si>
    <t>=NORM.S.DIST(I11-J14,TRUE)+NORM.S.DIST(-I11-J14,TRUE)</t>
  </si>
  <si>
    <t>Power of two-sample test</t>
  </si>
  <si>
    <t>sample std dev</t>
  </si>
  <si>
    <r>
      <t>|μ2-</t>
    </r>
    <r>
      <rPr>
        <sz val="11"/>
        <color theme="1"/>
        <rFont val="Calibri"/>
        <family val="2"/>
      </rPr>
      <t>μ1|</t>
    </r>
  </si>
  <si>
    <t>Sample size of a two-sample test</t>
  </si>
  <si>
    <t>Effect size of a two-sample test</t>
  </si>
  <si>
    <t>Alternative approach</t>
  </si>
  <si>
    <t>Sample size requirements, one-tailed test</t>
  </si>
  <si>
    <t>p0</t>
  </si>
  <si>
    <t>=BINOM.INV(B7,B3,1-B5)</t>
  </si>
  <si>
    <t>=1-BINOM.DIST(B6,B7,B4,TRUE)</t>
  </si>
  <si>
    <t>=BINOM_POWER(0.35,0.8,B13,1,0.01)</t>
  </si>
  <si>
    <t>=BINOM_POWER(0.35,0.8,B14,2,0.01)</t>
  </si>
  <si>
    <t>=BINOM.INV(G7,G3,1-G5)</t>
  </si>
  <si>
    <t>=1-BINOM.DIST(G6,G7,G4,TRUE)</t>
  </si>
  <si>
    <t>=BINOM.INV(L7,L3,1-L5)</t>
  </si>
  <si>
    <t>=1-BINOM.DIST(L6,L7,L4,TRUE)</t>
  </si>
  <si>
    <t>Example of the various functions (Figure 5)</t>
  </si>
  <si>
    <t>T.DIST.RT</t>
  </si>
  <si>
    <t>T.DIST.2T</t>
  </si>
  <si>
    <t>T.DIST, cum = TRUE</t>
  </si>
  <si>
    <t>TDIST, tails = 1</t>
  </si>
  <si>
    <t>T.DIST, cum = FALSE</t>
  </si>
  <si>
    <t>TDIST, tails = 2</t>
  </si>
  <si>
    <t>T.INV</t>
  </si>
  <si>
    <t>T.INV.2T</t>
  </si>
  <si>
    <t>TINV</t>
  </si>
  <si>
    <t>T Distribution Functions</t>
  </si>
  <si>
    <t>=RANDOMIZE(E4:E23)</t>
  </si>
  <si>
    <t>=SHUFFLE(A4:A23)</t>
  </si>
  <si>
    <t>Proportion Distribution</t>
  </si>
  <si>
    <t>Hypergeometric distribution (Example 4)</t>
  </si>
  <si>
    <t>=STDEV.S(B4:B15)</t>
  </si>
  <si>
    <t>=T.DIST.RT(E12,E11)</t>
  </si>
  <si>
    <t>=T.INV(1-E9,E11)</t>
  </si>
  <si>
    <t>=T.DIST.RT(G13,G12)</t>
  </si>
  <si>
    <t>=T.DIST(G23,G12,TRUE)</t>
  </si>
  <si>
    <t>=T.INV(1-G15,G12)</t>
  </si>
  <si>
    <t>=T.INV(1-B5,B6-1)</t>
  </si>
  <si>
    <t>=T.DIST((B9-B11)/B7,B6-1,TRUE)</t>
  </si>
  <si>
    <t>=STDEV.S(A5:D10)</t>
  </si>
  <si>
    <t>=T.DIST.2T(G13,G12)</t>
  </si>
  <si>
    <t>=T.DIST(L10,G12,TRUE)</t>
  </si>
  <si>
    <t>=T.DIST(L11,G12,TRUE)</t>
  </si>
  <si>
    <t>=T.INV.2T(G15,G12)</t>
  </si>
  <si>
    <t>=T.TEST(A4:A13,B4:B13,2,3)</t>
  </si>
  <si>
    <t>=T.TEST(A4:A13,B4:B13,2,2)</t>
  </si>
  <si>
    <t>=DF_POOLED(A4:A13,B4:B12)</t>
  </si>
  <si>
    <t>=DF_POOLED(A4:A13,B4:B13)</t>
  </si>
  <si>
    <t>=IF(AI6=2,T.INV.2T(AI4,AI9),T.INV(1-AI4,AI9))</t>
  </si>
  <si>
    <t>=NT_DIST(AI10,AI9,AI8,TRUE)-IF(AI6=2,NT_DIST(-AI10,AI9,AI8,TRUE),0)</t>
  </si>
  <si>
    <t>Noncentral t distribution</t>
  </si>
  <si>
    <t>=IF(AS7=2,T.INV.2T(AS4,AS10),T.INV(1-AS4,AS10))</t>
  </si>
  <si>
    <t>=NT_DIST(AS11,AS10,AS9,TRUE)-IF(AS7=2,NT_DIST(-AS11,AS10,AS9,TRUE),0)</t>
  </si>
  <si>
    <t>=NT_DIST(AX10,AX9,AX8,TRUE)-IF(AX6=2,NT_DIST(-AX10,AX9,AX8,TRUE),0)</t>
  </si>
  <si>
    <t>=IF(AX6=2,T.INV.2T(AX4,AX9),T.INV(1-AX4,AX9))</t>
  </si>
  <si>
    <t>CHIDIST</t>
  </si>
  <si>
    <t>CHISQ.DIST</t>
  </si>
  <si>
    <t>CHIINV</t>
  </si>
  <si>
    <t>CHISQ.INV</t>
  </si>
  <si>
    <t>CHISQ.DIST.RT</t>
  </si>
  <si>
    <t>CHISQ.INV.RT</t>
  </si>
  <si>
    <t>CHISQ_DIST</t>
  </si>
  <si>
    <t>=B5-1</t>
  </si>
  <si>
    <t>=B7^2</t>
  </si>
  <si>
    <t>χ2-crit (left)</t>
  </si>
  <si>
    <t>χ2-crit (right)</t>
  </si>
  <si>
    <t>=CHISQ.INV(B9/2,B6)</t>
  </si>
  <si>
    <t>=CHISQ.INV.RT(B9/2,B6)</t>
  </si>
  <si>
    <t>=IF(G13&lt;G11,"yes","no")</t>
  </si>
  <si>
    <t>=CHISQ.DIST.RT(G12,G6)</t>
  </si>
  <si>
    <t>=CHISQ.INV.RT(G11,G6)</t>
  </si>
  <si>
    <t>=CHISQ.DIST.RT(E7*E11,E9)</t>
  </si>
  <si>
    <t>=CHISQ.INV(E10,E9)</t>
  </si>
  <si>
    <t>=CHISQ.INV(J10/2,J9)</t>
  </si>
  <si>
    <t>=CHISQ.INV.RT(J10/2,J9)</t>
  </si>
  <si>
    <t>=CHISQ.DIST(J7*J12,J9,TRUE)-CHISQ.DIST(J7*J11,J9,TRUE)</t>
  </si>
  <si>
    <t>=CHISQ.DIST.RT(B6,B8)</t>
  </si>
  <si>
    <t>=CHISQ.INV.RT(K3,K4)</t>
  </si>
  <si>
    <t>=CHISQ.DIST.RT(K5,K4)</t>
  </si>
  <si>
    <t>Chi-square Distribution</t>
  </si>
  <si>
    <t>F Distribution</t>
  </si>
  <si>
    <t>=F.INV.RT(E11/2,E9,F9)</t>
  </si>
  <si>
    <t>=2*F.DIST.RT(E10,E9,F9)</t>
  </si>
  <si>
    <t>F.TEST</t>
  </si>
  <si>
    <r>
      <rPr>
        <sz val="11"/>
        <color theme="1"/>
        <rFont val="Calibri"/>
        <family val="2"/>
      </rPr>
      <t>χ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-crit</t>
    </r>
  </si>
  <si>
    <r>
      <t>D</t>
    </r>
    <r>
      <rPr>
        <vertAlign val="subscript"/>
        <sz val="11"/>
        <color theme="1"/>
        <rFont val="Calibri"/>
        <family val="2"/>
        <scheme val="minor"/>
      </rPr>
      <t>n</t>
    </r>
  </si>
  <si>
    <t>Test for Normality - Shapiro-Wilk</t>
  </si>
  <si>
    <t>N+</t>
  </si>
  <si>
    <t>N-</t>
  </si>
  <si>
    <t>N</t>
  </si>
  <si>
    <t>α = 2</t>
  </si>
  <si>
    <t>α = 4</t>
  </si>
  <si>
    <t>α = 6</t>
  </si>
  <si>
    <t>Beta distribution chart (Figure 1)</t>
  </si>
  <si>
    <t>Poisson distribution chart (Figure 1)</t>
  </si>
  <si>
    <t># Cig</t>
  </si>
  <si>
    <t>=T.INV.2T(E11,E8)</t>
  </si>
  <si>
    <t>=T.DIST.2T(ABS(E10),E8)</t>
  </si>
  <si>
    <t>=2*(1-NORM.S.DIST(Y12,TRUE))</t>
  </si>
  <si>
    <t>=NORM.S.INV(1-Y13/2)</t>
  </si>
  <si>
    <t>normal test (two-tail)</t>
  </si>
  <si>
    <t>t-test (one-tail)</t>
  </si>
  <si>
    <t>t-test (two-tail)</t>
  </si>
  <si>
    <t>normal test (one-tail)</t>
  </si>
  <si>
    <t>=T.INV(1-S26,S23)</t>
  </si>
  <si>
    <t>=T.DIST.RT(S25,S23)</t>
  </si>
  <si>
    <t>=T.DIST.2T(S10,S8)</t>
  </si>
  <si>
    <t>=T.INV.2T(S11,S8)</t>
  </si>
  <si>
    <t>=NORM.S.INV(1-Y28)</t>
  </si>
  <si>
    <t>=1-NORM.S.DIST(Y27,TRUE)</t>
  </si>
  <si>
    <t>t test (two-tail)</t>
  </si>
  <si>
    <t>=2*NORM.S.DIST(J12,TRUE)</t>
  </si>
  <si>
    <t>t test (one-tail)</t>
  </si>
  <si>
    <t>=T.INV(1-E11,E8)</t>
  </si>
  <si>
    <t>=T.DIST.RT(ABS(E10),E8)</t>
  </si>
  <si>
    <t>=NORM.S.DIST(J12,TRUE)</t>
  </si>
  <si>
    <t>=NORM.S.INV(J13/2)</t>
  </si>
  <si>
    <t>=NORM.S.INV(J13)</t>
  </si>
  <si>
    <t>Correlation: One Sample Hypothesis Testing</t>
  </si>
  <si>
    <t>=T.INV.2T(B11,B8)</t>
  </si>
  <si>
    <t>=T.DIST.2T(ABS(B10),B8)</t>
  </si>
  <si>
    <t>=T.INV(1-B24,B21)</t>
  </si>
  <si>
    <t>=T.DIST.RT(ABS(B23),B21)</t>
  </si>
  <si>
    <t>Scatter diagrams (Example 1)</t>
  </si>
  <si>
    <t>Hypothesis testing (extra example)</t>
  </si>
  <si>
    <t>supplemental array functions</t>
  </si>
  <si>
    <t>Determining power (one-tail)</t>
  </si>
  <si>
    <t>Determining sample size (one-tail)</t>
  </si>
  <si>
    <t>Determining power (two-tail)</t>
  </si>
  <si>
    <t>Determining sample size (two-tail)</t>
  </si>
  <si>
    <t>=FISHER(J5)</t>
  </si>
  <si>
    <t>=FISHER(J7)</t>
  </si>
  <si>
    <t>=1/SQRT(J10-3)</t>
  </si>
  <si>
    <t>=ABS(J8-J6)/J11</t>
  </si>
  <si>
    <t>=NORM.S.INV(1-B9)</t>
  </si>
  <si>
    <t>=NORM.S.DIST(B12-B13,TRUE)</t>
  </si>
  <si>
    <t>=NORM.S.INV(1-J9/2)</t>
  </si>
  <si>
    <t>=NORM.S.DIST(J12-J13,TRUE)+NORM.S.DIST(-J12-J13,TRUE)</t>
  </si>
  <si>
    <t>=NORM.S.INV(1-B23)</t>
  </si>
  <si>
    <t>=NORM.S.INV(1-B10/2)</t>
  </si>
  <si>
    <t>=2*(1-NORM.S.DIST(E8,TRUE))</t>
  </si>
  <si>
    <t>ln Odds(E)</t>
  </si>
  <si>
    <t>Two factor ANOVA using Real Statistics data analysis tool</t>
  </si>
  <si>
    <t>Two factor ANOVA with replication using Real Statistics functions</t>
  </si>
  <si>
    <t>Using Real Statistics functions (Example 1)</t>
  </si>
  <si>
    <t>Mood's Median Test</t>
  </si>
  <si>
    <t>One-sample sign test (Example 1)</t>
  </si>
  <si>
    <t>Mood's median test (Example 2)</t>
  </si>
  <si>
    <t>&gt; Median</t>
  </si>
  <si>
    <t>&lt;= Median</t>
  </si>
  <si>
    <t>=CHI_STAT(F6:G7)</t>
  </si>
  <si>
    <t>=CHI_TEST(F6:G7)</t>
  </si>
  <si>
    <t>Mood's Median Test (Example 1)</t>
  </si>
  <si>
    <t>=CHI_STAT(F6:H7)</t>
  </si>
  <si>
    <t>=CHI_TEST(F6:H7)</t>
  </si>
  <si>
    <t>Real Statistics function</t>
  </si>
  <si>
    <t>KCORREL</t>
  </si>
  <si>
    <t>=T14+T16*NORMSINV(T11)-0.5</t>
  </si>
  <si>
    <t>Real Statistics Kendall's tau function (Example 1)</t>
  </si>
  <si>
    <t>Split-half methodology for reliability (Example 2)</t>
  </si>
  <si>
    <t>Cronbach's Alpha with missing item</t>
  </si>
  <si>
    <t>Split-half</t>
  </si>
  <si>
    <t>OddEven</t>
  </si>
  <si>
    <t>H2</t>
  </si>
  <si>
    <t>Halves</t>
  </si>
  <si>
    <t>Split-Half Method</t>
  </si>
  <si>
    <t>Odd/Even</t>
  </si>
  <si>
    <r>
      <rPr>
        <b/>
        <sz val="11"/>
        <rFont val="Calibri"/>
        <family val="2"/>
        <scheme val="minor"/>
      </rPr>
      <t>State Rankings</t>
    </r>
    <r>
      <rPr>
        <sz val="11"/>
        <rFont val="Calibri"/>
        <family val="2"/>
        <scheme val="minor"/>
      </rPr>
      <t xml:space="preserve"> - Statistical Abstract of the United States</t>
    </r>
  </si>
  <si>
    <t>Correlation Coefficients</t>
  </si>
  <si>
    <t>Kendall</t>
  </si>
  <si>
    <t>Correlation: One Sample Hypothesis Testing using Real Statistics data analysis tool</t>
  </si>
  <si>
    <t>Tails</t>
  </si>
  <si>
    <t>Pearson's coeff (t test)</t>
  </si>
  <si>
    <t>Pearson's coeff (Fisher)</t>
  </si>
  <si>
    <t>Rho</t>
  </si>
  <si>
    <t>Real Statistics data analysis tool (Example 1)</t>
  </si>
  <si>
    <t>Kendall's coefficient (test)</t>
  </si>
  <si>
    <t>tau-crit</t>
  </si>
  <si>
    <t>Real Statistics Formulas</t>
  </si>
  <si>
    <t>Real Statistics Data Analysis Tool</t>
  </si>
  <si>
    <t>Discrim cutoff</t>
  </si>
  <si>
    <t>Difficulty</t>
  </si>
  <si>
    <t>Discrimination</t>
  </si>
  <si>
    <t>Real Statistics formulas</t>
  </si>
  <si>
    <t>Excel formulas</t>
  </si>
  <si>
    <t>Real Statistics Reliability data analysis tool</t>
  </si>
  <si>
    <t>Using Reliability data analysis tool</t>
  </si>
  <si>
    <t>Cohen's Weighted Kappa</t>
  </si>
  <si>
    <t>Fleiss's Kappa</t>
  </si>
  <si>
    <t>Anova data analysis tool</t>
  </si>
  <si>
    <t>Reliability data analysis tool</t>
  </si>
  <si>
    <t>Interclass Correlation</t>
  </si>
  <si>
    <t>ICC Case</t>
  </si>
  <si>
    <t>ICC Type</t>
  </si>
  <si>
    <t>SCORREL (two-tailed)</t>
  </si>
  <si>
    <t>Spearman's coefficient (test)</t>
  </si>
  <si>
    <t>Complete Real Statistics function</t>
  </si>
  <si>
    <t>Column means (Example 2)</t>
  </si>
  <si>
    <t>Mean, median, etc. (Examples 1, 3-6)</t>
  </si>
  <si>
    <t>Geometric Mean (Example 5)</t>
  </si>
  <si>
    <t>Variance, standard deviation, etc. (Examples 1,2, 5-9)</t>
  </si>
  <si>
    <t>Combined sample (Example 4)</t>
  </si>
  <si>
    <t>Column variance and standard deviation (Examples 3)</t>
  </si>
  <si>
    <t>Pearson's correlation (Example 1)</t>
  </si>
  <si>
    <t>Kendall's (tau) correlation (Example 3)</t>
  </si>
  <si>
    <t>Spearman's (rho) correlation (Example 2)</t>
  </si>
  <si>
    <t>Partial credit (Example 4)</t>
  </si>
  <si>
    <t>Real Statistics function (Example 3)</t>
  </si>
  <si>
    <t>Real Statistics data analysis tool (Example 5)</t>
  </si>
  <si>
    <t>Difficulty and discrimination index (Example 1)</t>
  </si>
  <si>
    <t>Real Statistics functions and data analysis tool(Example 4)</t>
  </si>
  <si>
    <t>t-test (one tailed)</t>
  </si>
  <si>
    <t>http://www.york.ac.uk/depts/maths/tables/kendall.pdf</t>
  </si>
  <si>
    <t>If the calculated Kendall's tau is greater than the critical value from the table, then reject the null hypothesis that there is no correlation</t>
  </si>
  <si>
    <t>values for alpha = .2 and .002</t>
  </si>
  <si>
    <t>other values:</t>
  </si>
  <si>
    <t>http://onlinelibrary.wiley.com/doi/10.1002/9780470776124.app1/pdf</t>
  </si>
  <si>
    <t>w/o ties correction</t>
  </si>
  <si>
    <t>Welch's Test</t>
  </si>
  <si>
    <t>Welch's Test (Example 1)</t>
  </si>
  <si>
    <t>mean'</t>
  </si>
  <si>
    <t xml:space="preserve">  Column E</t>
  </si>
  <si>
    <t xml:space="preserve">  Column H</t>
  </si>
  <si>
    <t>Levene's Test</t>
  </si>
  <si>
    <t>Extra examples of Welch's test</t>
  </si>
  <si>
    <t>Brown-Forsythe Test</t>
  </si>
  <si>
    <t>Welch's Test (standard format)</t>
  </si>
  <si>
    <t>Welch's Test standard format (Example 1)</t>
  </si>
  <si>
    <t>GGEpsilon</t>
  </si>
  <si>
    <t>Supplemental data analysis tool (ties correction)</t>
  </si>
  <si>
    <t>sig (exact)</t>
  </si>
  <si>
    <t>MMFFFFMFFMMFMMMMFFMMFMFFMMMMFFMFMMFFMMMF</t>
  </si>
  <si>
    <t>Supplemental function (normal approx)</t>
  </si>
  <si>
    <t>Wilcoxon Signed Ranks Test</t>
  </si>
  <si>
    <t>Permutation functions (one tail)</t>
  </si>
  <si>
    <t>Permutation functions (two tail)</t>
  </si>
  <si>
    <t>SRANK_TEST (incl. Exact test)</t>
  </si>
  <si>
    <t>SRANK_TEST function</t>
  </si>
  <si>
    <t>Runs Test (with numerical data)</t>
  </si>
  <si>
    <t>prob formula</t>
  </si>
  <si>
    <t>GG epsilon</t>
  </si>
  <si>
    <t>HF epsilon</t>
  </si>
  <si>
    <t>Two Factor Anova with Repeated Measures</t>
  </si>
  <si>
    <t>- Rows</t>
  </si>
  <si>
    <t>- Error</t>
  </si>
  <si>
    <t>- Columns</t>
  </si>
  <si>
    <t>- Interaction</t>
  </si>
  <si>
    <t>Standard Format</t>
  </si>
  <si>
    <t>Sorted using QSORTRows</t>
  </si>
  <si>
    <t>One-way ANOVA with random factor (Example 1)</t>
  </si>
  <si>
    <t>Nested models</t>
  </si>
  <si>
    <t>Nested model (Example 1)</t>
  </si>
  <si>
    <t>Nested ANOVA</t>
  </si>
  <si>
    <t>Psychology</t>
  </si>
  <si>
    <t>Negotiation</t>
  </si>
  <si>
    <t>Conflict Management</t>
  </si>
  <si>
    <t>Office 1</t>
  </si>
  <si>
    <t>Office 2</t>
  </si>
  <si>
    <t>Office 3</t>
  </si>
  <si>
    <t>Office 4</t>
  </si>
  <si>
    <t>Office 5</t>
  </si>
  <si>
    <t>Office 6</t>
  </si>
  <si>
    <t>Office 7</t>
  </si>
  <si>
    <t>Office 8</t>
  </si>
  <si>
    <t>Office 9</t>
  </si>
  <si>
    <t>Negot</t>
  </si>
  <si>
    <t>Conflict</t>
  </si>
  <si>
    <t>Psychol</t>
  </si>
  <si>
    <t>Negotiat</t>
  </si>
  <si>
    <t>Office A</t>
  </si>
  <si>
    <t>Office B</t>
  </si>
  <si>
    <t>Office C</t>
  </si>
  <si>
    <t>One Sample Random ANOVA</t>
  </si>
  <si>
    <t>Region 2</t>
  </si>
  <si>
    <t>Region 3</t>
  </si>
  <si>
    <t>Region 4</t>
  </si>
  <si>
    <t>Region 5</t>
  </si>
  <si>
    <t>Region 1</t>
  </si>
  <si>
    <t>Real Statistics function and data analysis tool (Example 1)</t>
  </si>
  <si>
    <t>Kendall's W with ties</t>
  </si>
  <si>
    <t>ANCOVA: Single Factor</t>
  </si>
  <si>
    <t>adj mean</t>
  </si>
  <si>
    <t>Slope W</t>
  </si>
  <si>
    <t>Slope T</t>
  </si>
  <si>
    <t>Between</t>
  </si>
  <si>
    <t>ANCOVA - Data Analysis Tool</t>
  </si>
  <si>
    <t>RANDOM FACTOR</t>
  </si>
  <si>
    <t>Estimate</t>
  </si>
  <si>
    <t>chi crit -</t>
  </si>
  <si>
    <t>chi crit +</t>
  </si>
  <si>
    <t>Nested ANOVA - standard format</t>
  </si>
  <si>
    <t>Two Factor Nested Anova</t>
  </si>
  <si>
    <t>Col (Rows)</t>
  </si>
  <si>
    <t>Two factor mixed model</t>
  </si>
  <si>
    <t>One random factor ANOVA</t>
  </si>
  <si>
    <t>Two factor mixed model (Example 1)</t>
  </si>
  <si>
    <t>Nested Anova data analysis tool</t>
  </si>
  <si>
    <t>Nested Anova data analysis tool (Example 1)</t>
  </si>
  <si>
    <t>Nested Anova using data in standard form (Example 2)</t>
  </si>
  <si>
    <t>ANCOVA data analysis tool (Example 1)</t>
  </si>
  <si>
    <t>One Sample Runs Test - exact test (Example 3)</t>
  </si>
  <si>
    <t>Permutation distribution</t>
  </si>
  <si>
    <t>Exact test</t>
  </si>
  <si>
    <t>Two within subjects factors</t>
  </si>
  <si>
    <t>ANOVA with Random Factors and Nested Models</t>
  </si>
  <si>
    <t>ANOVA with Random or Nested Factors</t>
  </si>
  <si>
    <t>Mixed Factor ANOVA</t>
  </si>
  <si>
    <t>Mixed Factors ANOVA</t>
  </si>
  <si>
    <t>Two Mixed Factors Anova</t>
  </si>
  <si>
    <t>Two factor mixed Anova data analysis tool (Example 1)</t>
  </si>
  <si>
    <t>Nested Anova analysis</t>
  </si>
  <si>
    <t>Wilcoxon Signed Ranks Test - Exact Test</t>
  </si>
  <si>
    <t>Wilcoxon Signed Ranks Exact Test</t>
  </si>
  <si>
    <t>One tail</t>
  </si>
  <si>
    <t>Two tails</t>
  </si>
  <si>
    <t>Permutation functions</t>
  </si>
  <si>
    <t>Wilcoxon Rank Sum Exact Test</t>
  </si>
  <si>
    <t>=WCRIT(H5,I5,H8,2)</t>
  </si>
  <si>
    <t>=WCRIT(H40,I40,H23,2)</t>
  </si>
  <si>
    <t>Exact test (Example 4)</t>
  </si>
  <si>
    <t>Multiple Regression - confidence and prediction intervals</t>
  </si>
  <si>
    <t>dfRes</t>
  </si>
  <si>
    <t>Confidence and prediction intervals</t>
  </si>
  <si>
    <t>Confidence and prediction intervals (Example 1)</t>
  </si>
  <si>
    <t>Core Matrix</t>
  </si>
  <si>
    <t>Confidence and prediction Intervals</t>
  </si>
  <si>
    <t>Conf</t>
  </si>
  <si>
    <t>poverty</t>
  </si>
  <si>
    <t>MSRes</t>
  </si>
  <si>
    <t>Simple Regression - confidence and prediction intervals</t>
  </si>
  <si>
    <t>Testing for Outliers</t>
  </si>
  <si>
    <t>Grubbs' Test (Example 1)</t>
  </si>
  <si>
    <t>Grubbs Test</t>
  </si>
  <si>
    <t>sig value</t>
  </si>
  <si>
    <t>G-crit</t>
  </si>
  <si>
    <t>ESD Test</t>
  </si>
  <si>
    <t>Trial 1</t>
  </si>
  <si>
    <t>mean-min</t>
  </si>
  <si>
    <t>max-mean</t>
  </si>
  <si>
    <t>Trial 2</t>
  </si>
  <si>
    <t>Trial 3</t>
  </si>
  <si>
    <t>Trial 4</t>
  </si>
  <si>
    <t>Trial 5</t>
  </si>
  <si>
    <t>Trial 6</t>
  </si>
  <si>
    <t>Trial</t>
  </si>
  <si>
    <t>outlier</t>
  </si>
  <si>
    <t>GRUBB formula</t>
  </si>
  <si>
    <t>ESD formula</t>
  </si>
  <si>
    <t>OUTLIERS formula</t>
  </si>
  <si>
    <t>Extension to Grubbs' Test (Example 2)</t>
  </si>
  <si>
    <t>d-lower</t>
  </si>
  <si>
    <t>d-upper</t>
  </si>
  <si>
    <t>Rainfall</t>
  </si>
  <si>
    <t>Permutation distribution via Real Statistics functions</t>
  </si>
  <si>
    <t>=WCRIT(H22,I22,H25,H26)</t>
  </si>
  <si>
    <t>Mann-Whitney Exact Test</t>
  </si>
  <si>
    <t>R1</t>
  </si>
  <si>
    <t>U1</t>
  </si>
  <si>
    <t>R2</t>
  </si>
  <si>
    <t>U2</t>
  </si>
  <si>
    <t>Mann-Whitney Test</t>
  </si>
  <si>
    <t>M-crit</t>
  </si>
  <si>
    <t>Exact Test</t>
  </si>
  <si>
    <t>Exact test (modifying Permutation distribution)</t>
  </si>
  <si>
    <t>Durbin-Watson Table (alpha .01)</t>
  </si>
  <si>
    <t>Durbin-Watson Table (alpha .05)</t>
  </si>
  <si>
    <t>Durbin-Watson Table</t>
  </si>
  <si>
    <t>Alpha = .05</t>
  </si>
  <si>
    <t>n\k</t>
  </si>
  <si>
    <t>https://www3.nd.edu/~wevans1/econ30331/Durbin_Watson_tables.pdf</t>
  </si>
  <si>
    <t>Alpha = .01</t>
  </si>
  <si>
    <t>Charles Zaiontz, 8 Dec 2014</t>
  </si>
</sst>
</file>

<file path=xl/styles.xml><?xml version="1.0" encoding="utf-8"?>
<styleSheet xmlns="http://schemas.openxmlformats.org/spreadsheetml/2006/main">
  <numFmts count="9">
    <numFmt numFmtId="164" formatCode="_-* #,##0.00_-;\-* #,##0.00_-;_-* &quot;-&quot;??_-;_-@_-"/>
    <numFmt numFmtId="165" formatCode="_(&quot;£&quot;* #,##0.00_);_(&quot;£&quot;* \(#,##0.00\);_(&quot;£&quot;* &quot;-&quot;??_);_(@_)"/>
    <numFmt numFmtId="166" formatCode="0.0000"/>
    <numFmt numFmtId="167" formatCode="0.0"/>
    <numFmt numFmtId="168" formatCode="0.000"/>
    <numFmt numFmtId="169" formatCode="0.00000"/>
    <numFmt numFmtId="170" formatCode="#,##0.0"/>
    <numFmt numFmtId="171" formatCode="0.0%"/>
    <numFmt numFmtId="172" formatCode="0.00000000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vertAlign val="superscript"/>
      <sz val="18"/>
      <color theme="1"/>
      <name val="Calibri"/>
      <family val="2"/>
    </font>
    <font>
      <sz val="10"/>
      <color theme="1"/>
      <name val="Calibri"/>
      <family val="2"/>
      <scheme val="minor"/>
    </font>
    <font>
      <vertAlign val="superscript"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rgb="FF000000"/>
      <name val="Verdana"/>
      <family val="2"/>
    </font>
    <font>
      <sz val="9"/>
      <color rgb="FF000000"/>
      <name val="Symbol"/>
      <family val="1"/>
      <charset val="2"/>
    </font>
    <font>
      <sz val="9"/>
      <color rgb="FF000000"/>
      <name val="Arial"/>
      <family val="2"/>
    </font>
    <font>
      <b/>
      <sz val="11"/>
      <color theme="1"/>
      <name val="Calibri"/>
      <family val="2"/>
    </font>
    <font>
      <vertAlign val="superscript"/>
      <sz val="16"/>
      <color theme="1"/>
      <name val="Calibri"/>
      <family val="2"/>
    </font>
    <font>
      <vertAlign val="subscript"/>
      <sz val="11"/>
      <color theme="1"/>
      <name val="Calibri"/>
      <family val="2"/>
    </font>
    <font>
      <b/>
      <sz val="11"/>
      <color rgb="FF000000"/>
      <name val="Calibri"/>
      <family val="2"/>
      <scheme val="minor"/>
    </font>
    <font>
      <sz val="10"/>
      <name val="Courier New"/>
      <family val="3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vertAlign val="subscript"/>
      <sz val="10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vertAlign val="superscript"/>
      <sz val="11"/>
      <color theme="1"/>
      <name val="Calibri"/>
      <family val="2"/>
    </font>
    <font>
      <i/>
      <sz val="10"/>
      <color theme="1"/>
      <name val="Calibri"/>
      <family val="2"/>
      <scheme val="minor"/>
    </font>
    <font>
      <b/>
      <sz val="12"/>
      <color theme="1"/>
      <name val="Tahoma"/>
      <family val="2"/>
    </font>
    <font>
      <sz val="10"/>
      <color theme="1"/>
      <name val="Tahoma"/>
      <family val="2"/>
    </font>
    <font>
      <sz val="10"/>
      <color theme="1"/>
      <name val="Calibri"/>
      <family val="2"/>
    </font>
    <font>
      <sz val="10"/>
      <color theme="1"/>
      <name val="Arial Unicode MS"/>
      <family val="2"/>
    </font>
    <font>
      <sz val="11"/>
      <color theme="1"/>
      <name val="Cambria"/>
      <family val="1"/>
      <scheme val="major"/>
    </font>
    <font>
      <b/>
      <u/>
      <sz val="11"/>
      <color theme="10"/>
      <name val="Calibri"/>
      <family val="2"/>
    </font>
    <font>
      <b/>
      <sz val="11"/>
      <color rgb="FF1F497D"/>
      <name val="Calibri"/>
      <family val="2"/>
      <scheme val="minor"/>
    </font>
    <font>
      <b/>
      <sz val="11"/>
      <name val="Calibri"/>
      <family val="2"/>
      <scheme val="minor"/>
    </font>
    <font>
      <sz val="11.5"/>
      <color theme="1"/>
      <name val="Cambria"/>
      <family val="1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</fills>
  <borders count="30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18"/>
      </bottom>
      <diagonal/>
    </border>
    <border>
      <left/>
      <right/>
      <top style="medium">
        <color indexed="1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8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165" fontId="1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606">
    <xf numFmtId="0" fontId="0" fillId="0" borderId="0" xfId="0"/>
    <xf numFmtId="0" fontId="2" fillId="0" borderId="0" xfId="0" applyFont="1"/>
    <xf numFmtId="0" fontId="3" fillId="0" borderId="0" xfId="2" applyAlignment="1" applyProtection="1"/>
    <xf numFmtId="0" fontId="2" fillId="0" borderId="0" xfId="0" applyFont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1" applyNumberFormat="1" applyFont="1"/>
    <xf numFmtId="0" fontId="2" fillId="0" borderId="0" xfId="1" applyNumberFormat="1" applyFont="1" applyAlignment="1">
      <alignment horizontal="center"/>
    </xf>
    <xf numFmtId="0" fontId="2" fillId="0" borderId="0" xfId="1" applyNumberFormat="1" applyFont="1"/>
    <xf numFmtId="0" fontId="1" fillId="0" borderId="0" xfId="1" applyNumberFormat="1" applyFont="1" applyBorder="1"/>
    <xf numFmtId="0" fontId="0" fillId="0" borderId="0" xfId="1" applyNumberFormat="1" applyFont="1" applyBorder="1"/>
    <xf numFmtId="0" fontId="0" fillId="0" borderId="0" xfId="0" applyAlignment="1"/>
    <xf numFmtId="0" fontId="0" fillId="0" borderId="0" xfId="0" applyAlignment="1">
      <alignment horizontal="right"/>
    </xf>
    <xf numFmtId="0" fontId="0" fillId="0" borderId="11" xfId="0" applyBorder="1" applyAlignment="1">
      <alignment horizontal="right"/>
    </xf>
    <xf numFmtId="2" fontId="0" fillId="0" borderId="5" xfId="0" applyNumberFormat="1" applyBorder="1"/>
    <xf numFmtId="2" fontId="0" fillId="0" borderId="0" xfId="0" applyNumberFormat="1"/>
    <xf numFmtId="0" fontId="0" fillId="0" borderId="0" xfId="0" quotePrefix="1"/>
    <xf numFmtId="166" fontId="0" fillId="0" borderId="0" xfId="0" applyNumberFormat="1"/>
    <xf numFmtId="0" fontId="0" fillId="0" borderId="0" xfId="0" applyFont="1"/>
    <xf numFmtId="166" fontId="0" fillId="0" borderId="0" xfId="0" applyNumberFormat="1" applyFont="1"/>
    <xf numFmtId="0" fontId="5" fillId="0" borderId="15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16" xfId="0" applyFill="1" applyBorder="1" applyAlignment="1"/>
    <xf numFmtId="0" fontId="0" fillId="0" borderId="16" xfId="0" applyNumberFormat="1" applyFill="1" applyBorder="1" applyAlignment="1"/>
    <xf numFmtId="10" fontId="0" fillId="0" borderId="16" xfId="0" applyNumberFormat="1" applyFill="1" applyBorder="1" applyAlignment="1"/>
    <xf numFmtId="0" fontId="0" fillId="0" borderId="0" xfId="0" applyAlignment="1">
      <alignment horizontal="center"/>
    </xf>
    <xf numFmtId="0" fontId="5" fillId="0" borderId="15" xfId="0" applyFont="1" applyFill="1" applyBorder="1" applyAlignment="1">
      <alignment horizontal="centerContinuous"/>
    </xf>
    <xf numFmtId="0" fontId="5" fillId="0" borderId="7" xfId="0" applyFont="1" applyBorder="1" applyAlignment="1">
      <alignment horizontal="center"/>
    </xf>
    <xf numFmtId="0" fontId="0" fillId="0" borderId="16" xfId="0" applyBorder="1"/>
    <xf numFmtId="0" fontId="0" fillId="0" borderId="9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3" xfId="0" applyBorder="1"/>
    <xf numFmtId="0" fontId="0" fillId="0" borderId="14" xfId="0" applyBorder="1"/>
    <xf numFmtId="0" fontId="0" fillId="0" borderId="0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/>
    <xf numFmtId="0" fontId="0" fillId="0" borderId="12" xfId="0" applyBorder="1"/>
    <xf numFmtId="166" fontId="0" fillId="0" borderId="0" xfId="0" applyNumberFormat="1" applyAlignment="1">
      <alignment horizontal="center"/>
    </xf>
    <xf numFmtId="167" fontId="0" fillId="0" borderId="4" xfId="0" applyNumberFormat="1" applyBorder="1"/>
    <xf numFmtId="167" fontId="0" fillId="0" borderId="6" xfId="0" applyNumberFormat="1" applyBorder="1"/>
    <xf numFmtId="0" fontId="0" fillId="0" borderId="10" xfId="0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7" fontId="0" fillId="0" borderId="14" xfId="0" applyNumberFormat="1" applyBorder="1" applyAlignment="1">
      <alignment horizontal="center"/>
    </xf>
    <xf numFmtId="166" fontId="0" fillId="0" borderId="1" xfId="0" applyNumberFormat="1" applyBorder="1"/>
    <xf numFmtId="166" fontId="0" fillId="0" borderId="2" xfId="0" applyNumberFormat="1" applyBorder="1"/>
    <xf numFmtId="166" fontId="0" fillId="0" borderId="3" xfId="0" applyNumberFormat="1" applyBorder="1"/>
    <xf numFmtId="166" fontId="0" fillId="0" borderId="4" xfId="0" applyNumberFormat="1" applyBorder="1"/>
    <xf numFmtId="166" fontId="0" fillId="0" borderId="0" xfId="0" applyNumberFormat="1" applyBorder="1"/>
    <xf numFmtId="166" fontId="0" fillId="0" borderId="5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66" fontId="0" fillId="0" borderId="8" xfId="0" applyNumberFormat="1" applyBorder="1"/>
    <xf numFmtId="167" fontId="0" fillId="0" borderId="0" xfId="0" applyNumberFormat="1"/>
    <xf numFmtId="0" fontId="4" fillId="0" borderId="0" xfId="0" applyFont="1"/>
    <xf numFmtId="0" fontId="0" fillId="0" borderId="0" xfId="0" applyFill="1" applyBorder="1"/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0" borderId="3" xfId="0" applyNumberFormat="1" applyBorder="1"/>
    <xf numFmtId="0" fontId="8" fillId="0" borderId="13" xfId="0" applyFont="1" applyBorder="1" applyAlignment="1">
      <alignment horizontal="center"/>
    </xf>
    <xf numFmtId="1" fontId="8" fillId="0" borderId="5" xfId="0" applyNumberFormat="1" applyFont="1" applyBorder="1" applyAlignment="1">
      <alignment horizontal="center"/>
    </xf>
    <xf numFmtId="0" fontId="0" fillId="0" borderId="5" xfId="0" applyNumberFormat="1" applyBorder="1"/>
    <xf numFmtId="0" fontId="0" fillId="0" borderId="8" xfId="0" applyNumberFormat="1" applyBorder="1"/>
    <xf numFmtId="0" fontId="8" fillId="0" borderId="14" xfId="0" applyFont="1" applyBorder="1" applyAlignment="1">
      <alignment horizontal="center"/>
    </xf>
    <xf numFmtId="1" fontId="8" fillId="0" borderId="8" xfId="0" applyNumberFormat="1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1" fontId="0" fillId="0" borderId="0" xfId="0" applyNumberFormat="1"/>
    <xf numFmtId="0" fontId="0" fillId="0" borderId="1" xfId="0" applyNumberFormat="1" applyBorder="1"/>
    <xf numFmtId="0" fontId="0" fillId="0" borderId="2" xfId="0" applyNumberFormat="1" applyBorder="1"/>
    <xf numFmtId="0" fontId="0" fillId="0" borderId="4" xfId="0" applyNumberFormat="1" applyBorder="1"/>
    <xf numFmtId="0" fontId="0" fillId="0" borderId="0" xfId="0" applyNumberFormat="1" applyBorder="1"/>
    <xf numFmtId="0" fontId="0" fillId="0" borderId="6" xfId="0" applyNumberFormat="1" applyBorder="1"/>
    <xf numFmtId="0" fontId="0" fillId="0" borderId="7" xfId="0" applyNumberFormat="1" applyBorder="1"/>
    <xf numFmtId="1" fontId="0" fillId="0" borderId="0" xfId="0" applyNumberFormat="1" applyFill="1" applyBorder="1" applyAlignment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right"/>
    </xf>
    <xf numFmtId="0" fontId="0" fillId="0" borderId="0" xfId="0" quotePrefix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0" borderId="0" xfId="0" quotePrefix="1" applyAlignment="1">
      <alignment horizontal="right"/>
    </xf>
    <xf numFmtId="0" fontId="12" fillId="0" borderId="1" xfId="0" applyFont="1" applyBorder="1"/>
    <xf numFmtId="0" fontId="12" fillId="0" borderId="0" xfId="0" applyFont="1" applyBorder="1"/>
    <xf numFmtId="0" fontId="12" fillId="0" borderId="0" xfId="0" applyFont="1" applyBorder="1" applyAlignment="1">
      <alignment horizontal="right"/>
    </xf>
    <xf numFmtId="2" fontId="0" fillId="0" borderId="4" xfId="0" applyNumberFormat="1" applyBorder="1"/>
    <xf numFmtId="2" fontId="0" fillId="0" borderId="0" xfId="0" applyNumberFormat="1" applyBorder="1"/>
    <xf numFmtId="168" fontId="0" fillId="0" borderId="0" xfId="0" applyNumberFormat="1"/>
    <xf numFmtId="168" fontId="0" fillId="0" borderId="2" xfId="0" applyNumberFormat="1" applyBorder="1"/>
    <xf numFmtId="168" fontId="0" fillId="0" borderId="0" xfId="0" applyNumberFormat="1" applyBorder="1"/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16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4" xfId="0" applyFont="1" applyBorder="1"/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0" fillId="0" borderId="17" xfId="0" applyBorder="1" applyAlignment="1">
      <alignment horizontal="center"/>
    </xf>
    <xf numFmtId="0" fontId="8" fillId="0" borderId="0" xfId="0" applyFont="1"/>
    <xf numFmtId="0" fontId="19" fillId="0" borderId="0" xfId="0" applyFont="1"/>
    <xf numFmtId="10" fontId="0" fillId="0" borderId="1" xfId="0" applyNumberFormat="1" applyBorder="1"/>
    <xf numFmtId="10" fontId="0" fillId="0" borderId="6" xfId="0" applyNumberFormat="1" applyBorder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22" fillId="0" borderId="0" xfId="0" applyFont="1"/>
    <xf numFmtId="0" fontId="22" fillId="0" borderId="17" xfId="0" applyFont="1" applyBorder="1"/>
    <xf numFmtId="0" fontId="22" fillId="0" borderId="17" xfId="0" applyFont="1" applyBorder="1" applyAlignment="1">
      <alignment horizontal="right"/>
    </xf>
    <xf numFmtId="0" fontId="22" fillId="0" borderId="0" xfId="3" applyFont="1" applyBorder="1" applyAlignment="1">
      <alignment horizontal="right"/>
    </xf>
    <xf numFmtId="167" fontId="22" fillId="0" borderId="0" xfId="3" quotePrefix="1" applyNumberFormat="1" applyFont="1" applyBorder="1" applyAlignment="1">
      <alignment horizontal="right"/>
    </xf>
    <xf numFmtId="167" fontId="22" fillId="0" borderId="0" xfId="0" applyNumberFormat="1" applyFont="1"/>
    <xf numFmtId="3" fontId="22" fillId="0" borderId="0" xfId="3" applyNumberFormat="1" applyFont="1" applyFill="1" applyBorder="1" applyAlignment="1">
      <alignment horizontal="right" wrapText="1"/>
    </xf>
    <xf numFmtId="167" fontId="22" fillId="0" borderId="0" xfId="3" applyNumberFormat="1" applyFont="1" applyBorder="1" applyAlignment="1"/>
    <xf numFmtId="2" fontId="22" fillId="0" borderId="0" xfId="3" applyNumberFormat="1" applyFont="1" applyAlignment="1"/>
    <xf numFmtId="167" fontId="22" fillId="0" borderId="0" xfId="3" applyNumberFormat="1" applyFont="1" applyBorder="1" applyAlignment="1">
      <alignment horizontal="right" wrapText="1"/>
    </xf>
    <xf numFmtId="167" fontId="22" fillId="0" borderId="0" xfId="4" applyNumberFormat="1" applyFont="1" applyAlignment="1"/>
    <xf numFmtId="3" fontId="22" fillId="0" borderId="0" xfId="3" applyNumberFormat="1" applyFont="1"/>
    <xf numFmtId="170" fontId="22" fillId="0" borderId="0" xfId="3" applyNumberFormat="1" applyFont="1" applyBorder="1" applyAlignment="1">
      <alignment horizontal="right"/>
    </xf>
    <xf numFmtId="167" fontId="22" fillId="0" borderId="0" xfId="3" applyNumberFormat="1" applyFont="1" applyBorder="1" applyAlignment="1">
      <alignment horizontal="right"/>
    </xf>
    <xf numFmtId="0" fontId="22" fillId="0" borderId="32" xfId="0" applyFont="1" applyBorder="1"/>
    <xf numFmtId="0" fontId="22" fillId="0" borderId="32" xfId="3" applyFont="1" applyBorder="1" applyAlignment="1">
      <alignment horizontal="right"/>
    </xf>
    <xf numFmtId="167" fontId="22" fillId="0" borderId="32" xfId="3" quotePrefix="1" applyNumberFormat="1" applyFont="1" applyBorder="1" applyAlignment="1">
      <alignment horizontal="right"/>
    </xf>
    <xf numFmtId="167" fontId="22" fillId="0" borderId="32" xfId="0" applyNumberFormat="1" applyFont="1" applyBorder="1"/>
    <xf numFmtId="3" fontId="22" fillId="0" borderId="32" xfId="3" applyNumberFormat="1" applyFont="1" applyFill="1" applyBorder="1" applyAlignment="1">
      <alignment horizontal="right" wrapText="1"/>
    </xf>
    <xf numFmtId="167" fontId="22" fillId="0" borderId="32" xfId="3" applyNumberFormat="1" applyFont="1" applyBorder="1" applyAlignment="1"/>
    <xf numFmtId="2" fontId="22" fillId="0" borderId="32" xfId="3" applyNumberFormat="1" applyFont="1" applyBorder="1" applyAlignment="1"/>
    <xf numFmtId="167" fontId="22" fillId="0" borderId="32" xfId="3" applyNumberFormat="1" applyFont="1" applyBorder="1" applyAlignment="1">
      <alignment horizontal="right" wrapText="1"/>
    </xf>
    <xf numFmtId="167" fontId="22" fillId="0" borderId="32" xfId="4" applyNumberFormat="1" applyFont="1" applyBorder="1" applyAlignment="1"/>
    <xf numFmtId="3" fontId="22" fillId="0" borderId="32" xfId="3" applyNumberFormat="1" applyFont="1" applyBorder="1"/>
    <xf numFmtId="0" fontId="23" fillId="0" borderId="0" xfId="0" applyFont="1"/>
    <xf numFmtId="0" fontId="4" fillId="0" borderId="0" xfId="0" applyFont="1" applyAlignment="1">
      <alignment horizontal="center"/>
    </xf>
    <xf numFmtId="0" fontId="0" fillId="0" borderId="35" xfId="0" applyBorder="1"/>
    <xf numFmtId="0" fontId="0" fillId="0" borderId="32" xfId="0" applyBorder="1"/>
    <xf numFmtId="0" fontId="0" fillId="0" borderId="36" xfId="0" applyBorder="1"/>
    <xf numFmtId="0" fontId="0" fillId="0" borderId="33" xfId="0" applyFont="1" applyBorder="1"/>
    <xf numFmtId="0" fontId="0" fillId="0" borderId="34" xfId="0" applyFont="1" applyBorder="1"/>
    <xf numFmtId="0" fontId="4" fillId="0" borderId="4" xfId="0" applyFont="1" applyBorder="1"/>
    <xf numFmtId="0" fontId="0" fillId="0" borderId="5" xfId="0" applyFont="1" applyBorder="1"/>
    <xf numFmtId="0" fontId="0" fillId="0" borderId="35" xfId="0" applyFont="1" applyBorder="1"/>
    <xf numFmtId="0" fontId="0" fillId="0" borderId="36" xfId="0" applyFont="1" applyBorder="1" applyAlignment="1">
      <alignment horizontal="right"/>
    </xf>
    <xf numFmtId="0" fontId="0" fillId="0" borderId="0" xfId="0" applyFont="1" applyFill="1" applyBorder="1"/>
    <xf numFmtId="0" fontId="4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left"/>
    </xf>
    <xf numFmtId="0" fontId="0" fillId="0" borderId="38" xfId="0" applyBorder="1"/>
    <xf numFmtId="0" fontId="0" fillId="0" borderId="35" xfId="0" applyFont="1" applyBorder="1" applyAlignment="1">
      <alignment horizontal="right"/>
    </xf>
    <xf numFmtId="0" fontId="0" fillId="0" borderId="0" xfId="0" applyAlignment="1">
      <alignment horizontal="center"/>
    </xf>
    <xf numFmtId="0" fontId="0" fillId="0" borderId="40" xfId="0" applyBorder="1"/>
    <xf numFmtId="0" fontId="0" fillId="0" borderId="41" xfId="0" applyBorder="1"/>
    <xf numFmtId="0" fontId="0" fillId="0" borderId="43" xfId="0" applyBorder="1" applyAlignment="1">
      <alignment horizontal="center"/>
    </xf>
    <xf numFmtId="0" fontId="0" fillId="0" borderId="43" xfId="0" applyBorder="1" applyAlignment="1">
      <alignment horizontal="right"/>
    </xf>
    <xf numFmtId="0" fontId="0" fillId="0" borderId="44" xfId="0" applyBorder="1"/>
    <xf numFmtId="167" fontId="0" fillId="0" borderId="0" xfId="0" applyNumberFormat="1" applyBorder="1"/>
    <xf numFmtId="0" fontId="3" fillId="0" borderId="0" xfId="2" applyAlignment="1" applyProtection="1">
      <alignment horizontal="justify" vertical="center"/>
    </xf>
    <xf numFmtId="0" fontId="0" fillId="0" borderId="4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Fill="1" applyBorder="1"/>
    <xf numFmtId="166" fontId="0" fillId="0" borderId="44" xfId="0" applyNumberFormat="1" applyBorder="1"/>
    <xf numFmtId="166" fontId="0" fillId="0" borderId="13" xfId="0" applyNumberFormat="1" applyBorder="1"/>
    <xf numFmtId="166" fontId="0" fillId="0" borderId="14" xfId="0" applyNumberFormat="1" applyBorder="1"/>
    <xf numFmtId="167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35" xfId="0" applyBorder="1" applyAlignment="1">
      <alignment horizontal="right"/>
    </xf>
    <xf numFmtId="0" fontId="0" fillId="0" borderId="47" xfId="0" applyFill="1" applyBorder="1"/>
    <xf numFmtId="0" fontId="0" fillId="0" borderId="43" xfId="0" applyBorder="1" applyAlignment="1">
      <alignment horizontal="center" vertical="center"/>
    </xf>
    <xf numFmtId="0" fontId="0" fillId="0" borderId="4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1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6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48" xfId="0" applyFill="1" applyBorder="1" applyAlignment="1">
      <alignment horizontal="center" vertical="center"/>
    </xf>
    <xf numFmtId="0" fontId="0" fillId="0" borderId="35" xfId="0" applyFill="1" applyBorder="1" applyAlignment="1">
      <alignment horizontal="center" vertical="center"/>
    </xf>
    <xf numFmtId="0" fontId="0" fillId="0" borderId="32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0" fillId="0" borderId="49" xfId="0" applyFill="1" applyBorder="1" applyAlignment="1">
      <alignment horizontal="center"/>
    </xf>
    <xf numFmtId="0" fontId="0" fillId="0" borderId="0" xfId="0" quotePrefix="1" applyAlignment="1"/>
    <xf numFmtId="0" fontId="0" fillId="0" borderId="52" xfId="0" applyBorder="1"/>
    <xf numFmtId="0" fontId="0" fillId="0" borderId="38" xfId="0" applyBorder="1" applyAlignment="1">
      <alignment horizontal="right"/>
    </xf>
    <xf numFmtId="0" fontId="0" fillId="0" borderId="0" xfId="0" quotePrefix="1" applyAlignment="1">
      <alignment horizontal="left"/>
    </xf>
    <xf numFmtId="0" fontId="0" fillId="0" borderId="0" xfId="0" applyFill="1" applyBorder="1" applyAlignment="1">
      <alignment horizontal="right" vertical="center"/>
    </xf>
    <xf numFmtId="0" fontId="0" fillId="0" borderId="0" xfId="0" quotePrefix="1" applyFill="1" applyBorder="1"/>
    <xf numFmtId="0" fontId="0" fillId="0" borderId="0" xfId="0" applyBorder="1" applyAlignment="1">
      <alignment horizontal="center" vertical="center"/>
    </xf>
    <xf numFmtId="0" fontId="0" fillId="0" borderId="35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2" fontId="0" fillId="0" borderId="13" xfId="0" applyNumberFormat="1" applyBorder="1"/>
    <xf numFmtId="0" fontId="0" fillId="0" borderId="52" xfId="0" applyFont="1" applyBorder="1"/>
    <xf numFmtId="0" fontId="0" fillId="0" borderId="13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47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45" xfId="0" applyBorder="1" applyAlignment="1">
      <alignment horizontal="center"/>
    </xf>
    <xf numFmtId="0" fontId="0" fillId="0" borderId="60" xfId="0" applyBorder="1"/>
    <xf numFmtId="0" fontId="0" fillId="0" borderId="62" xfId="0" applyBorder="1"/>
    <xf numFmtId="0" fontId="0" fillId="0" borderId="63" xfId="0" applyBorder="1"/>
    <xf numFmtId="0" fontId="0" fillId="0" borderId="64" xfId="0" applyBorder="1"/>
    <xf numFmtId="2" fontId="0" fillId="0" borderId="61" xfId="0" applyNumberFormat="1" applyBorder="1"/>
    <xf numFmtId="2" fontId="0" fillId="0" borderId="57" xfId="0" applyNumberFormat="1" applyBorder="1"/>
    <xf numFmtId="2" fontId="0" fillId="0" borderId="58" xfId="0" applyNumberFormat="1" applyBorder="1" applyAlignment="1">
      <alignment horizontal="right"/>
    </xf>
    <xf numFmtId="2" fontId="0" fillId="0" borderId="5" xfId="0" applyNumberFormat="1" applyBorder="1" applyAlignment="1">
      <alignment horizontal="right"/>
    </xf>
    <xf numFmtId="2" fontId="0" fillId="0" borderId="35" xfId="0" applyNumberFormat="1" applyBorder="1"/>
    <xf numFmtId="2" fontId="0" fillId="0" borderId="32" xfId="0" applyNumberFormat="1" applyBorder="1"/>
    <xf numFmtId="2" fontId="0" fillId="0" borderId="36" xfId="0" applyNumberFormat="1" applyBorder="1"/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22" fillId="0" borderId="0" xfId="0" applyFont="1" applyFill="1" applyBorder="1" applyAlignment="1">
      <alignment horizontal="left"/>
    </xf>
    <xf numFmtId="167" fontId="0" fillId="0" borderId="55" xfId="0" applyNumberFormat="1" applyBorder="1"/>
    <xf numFmtId="0" fontId="22" fillId="0" borderId="55" xfId="3" applyFont="1" applyBorder="1" applyAlignment="1">
      <alignment horizontal="right"/>
    </xf>
    <xf numFmtId="0" fontId="10" fillId="0" borderId="0" xfId="0" applyFont="1"/>
    <xf numFmtId="0" fontId="10" fillId="0" borderId="0" xfId="0" applyFont="1" applyAlignment="1">
      <alignment horizontal="center"/>
    </xf>
    <xf numFmtId="0" fontId="10" fillId="3" borderId="0" xfId="0" applyFont="1" applyFill="1"/>
    <xf numFmtId="0" fontId="5" fillId="0" borderId="63" xfId="0" applyFont="1" applyFill="1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5" xfId="0" applyFill="1" applyBorder="1" applyAlignment="1"/>
    <xf numFmtId="0" fontId="0" fillId="0" borderId="65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5" xfId="0" applyBorder="1"/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168" fontId="0" fillId="0" borderId="52" xfId="0" applyNumberFormat="1" applyBorder="1"/>
    <xf numFmtId="168" fontId="0" fillId="0" borderId="13" xfId="0" applyNumberFormat="1" applyBorder="1"/>
    <xf numFmtId="168" fontId="0" fillId="0" borderId="38" xfId="0" applyNumberFormat="1" applyBorder="1"/>
    <xf numFmtId="169" fontId="0" fillId="0" borderId="52" xfId="0" applyNumberFormat="1" applyBorder="1"/>
    <xf numFmtId="169" fontId="0" fillId="0" borderId="13" xfId="0" applyNumberFormat="1" applyBorder="1"/>
    <xf numFmtId="169" fontId="0" fillId="0" borderId="38" xfId="0" applyNumberFormat="1" applyBorder="1"/>
    <xf numFmtId="0" fontId="0" fillId="0" borderId="67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70" xfId="0" applyBorder="1" applyAlignment="1">
      <alignment horizontal="center"/>
    </xf>
    <xf numFmtId="167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55" xfId="0" applyNumberFormat="1" applyBorder="1" applyAlignment="1">
      <alignment horizontal="center"/>
    </xf>
    <xf numFmtId="2" fontId="0" fillId="0" borderId="55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0" fontId="5" fillId="0" borderId="0" xfId="0" applyFont="1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right" wrapText="1"/>
    </xf>
    <xf numFmtId="0" fontId="0" fillId="0" borderId="67" xfId="0" applyBorder="1" applyAlignment="1">
      <alignment horizontal="center" wrapText="1"/>
    </xf>
    <xf numFmtId="0" fontId="0" fillId="0" borderId="68" xfId="0" applyBorder="1" applyAlignment="1">
      <alignment horizontal="center" wrapText="1"/>
    </xf>
    <xf numFmtId="0" fontId="0" fillId="0" borderId="69" xfId="0" applyBorder="1" applyAlignment="1">
      <alignment horizontal="center" wrapText="1"/>
    </xf>
    <xf numFmtId="0" fontId="0" fillId="0" borderId="65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6" xfId="0" applyBorder="1" applyAlignment="1">
      <alignment horizontal="center"/>
    </xf>
    <xf numFmtId="0" fontId="0" fillId="0" borderId="54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70" xfId="0" applyBorder="1"/>
    <xf numFmtId="167" fontId="0" fillId="0" borderId="0" xfId="0" applyNumberFormat="1" applyFill="1" applyBorder="1" applyAlignment="1"/>
    <xf numFmtId="0" fontId="0" fillId="0" borderId="16" xfId="0" applyFill="1" applyBorder="1" applyAlignment="1">
      <alignment horizontal="right"/>
    </xf>
    <xf numFmtId="0" fontId="0" fillId="0" borderId="0" xfId="0" quotePrefix="1" applyFill="1" applyBorder="1" applyAlignment="1"/>
    <xf numFmtId="0" fontId="8" fillId="0" borderId="0" xfId="0" applyFont="1" applyAlignment="1">
      <alignment horizontal="center"/>
    </xf>
    <xf numFmtId="0" fontId="8" fillId="0" borderId="70" xfId="0" applyFont="1" applyBorder="1" applyAlignment="1">
      <alignment horizontal="center"/>
    </xf>
    <xf numFmtId="0" fontId="0" fillId="0" borderId="55" xfId="0" applyBorder="1" applyAlignment="1">
      <alignment horizontal="right"/>
    </xf>
    <xf numFmtId="0" fontId="5" fillId="0" borderId="0" xfId="0" applyFont="1" applyBorder="1" applyAlignment="1">
      <alignment horizontal="center"/>
    </xf>
    <xf numFmtId="0" fontId="0" fillId="0" borderId="68" xfId="0" applyBorder="1" applyAlignment="1">
      <alignment horizontal="right"/>
    </xf>
    <xf numFmtId="0" fontId="0" fillId="0" borderId="71" xfId="0" applyBorder="1"/>
    <xf numFmtId="0" fontId="5" fillId="0" borderId="15" xfId="0" applyFont="1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center"/>
    </xf>
    <xf numFmtId="0" fontId="0" fillId="0" borderId="74" xfId="0" applyBorder="1"/>
    <xf numFmtId="0" fontId="0" fillId="0" borderId="0" xfId="0" applyFont="1" applyBorder="1" applyAlignment="1">
      <alignment horizontal="center"/>
    </xf>
    <xf numFmtId="0" fontId="0" fillId="0" borderId="73" xfId="0" applyBorder="1"/>
    <xf numFmtId="0" fontId="0" fillId="0" borderId="55" xfId="0" applyFill="1" applyBorder="1" applyAlignment="1">
      <alignment horizontal="center"/>
    </xf>
    <xf numFmtId="0" fontId="0" fillId="0" borderId="72" xfId="0" applyBorder="1"/>
    <xf numFmtId="0" fontId="0" fillId="0" borderId="72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5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77" xfId="0" applyBorder="1" applyAlignment="1">
      <alignment horizontal="center"/>
    </xf>
    <xf numFmtId="0" fontId="0" fillId="0" borderId="7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82" xfId="0" applyBorder="1" applyAlignment="1">
      <alignment horizontal="center"/>
    </xf>
    <xf numFmtId="0" fontId="0" fillId="0" borderId="80" xfId="0" applyBorder="1" applyAlignment="1">
      <alignment horizontal="left"/>
    </xf>
    <xf numFmtId="0" fontId="0" fillId="0" borderId="4" xfId="0" applyFill="1" applyBorder="1" applyAlignment="1">
      <alignment horizontal="left"/>
    </xf>
    <xf numFmtId="0" fontId="0" fillId="0" borderId="54" xfId="0" applyBorder="1" applyAlignment="1">
      <alignment horizontal="left"/>
    </xf>
    <xf numFmtId="0" fontId="0" fillId="0" borderId="77" xfId="0" applyBorder="1" applyAlignment="1">
      <alignment horizontal="left"/>
    </xf>
    <xf numFmtId="0" fontId="0" fillId="4" borderId="82" xfId="0" applyFill="1" applyBorder="1" applyAlignment="1">
      <alignment horizontal="right"/>
    </xf>
    <xf numFmtId="0" fontId="0" fillId="4" borderId="5" xfId="0" applyFill="1" applyBorder="1" applyAlignment="1">
      <alignment horizontal="right"/>
    </xf>
    <xf numFmtId="0" fontId="0" fillId="4" borderId="56" xfId="0" applyFill="1" applyBorder="1" applyAlignment="1">
      <alignment horizontal="right"/>
    </xf>
    <xf numFmtId="0" fontId="0" fillId="4" borderId="79" xfId="0" applyFill="1" applyBorder="1"/>
    <xf numFmtId="0" fontId="5" fillId="0" borderId="15" xfId="0" applyFont="1" applyBorder="1" applyAlignment="1">
      <alignment horizontal="center"/>
    </xf>
    <xf numFmtId="0" fontId="0" fillId="0" borderId="80" xfId="0" applyBorder="1"/>
    <xf numFmtId="0" fontId="0" fillId="0" borderId="81" xfId="0" applyBorder="1"/>
    <xf numFmtId="0" fontId="0" fillId="0" borderId="82" xfId="0" applyBorder="1"/>
    <xf numFmtId="0" fontId="5" fillId="0" borderId="0" xfId="0" applyFont="1" applyAlignment="1">
      <alignment horizontal="center"/>
    </xf>
    <xf numFmtId="0" fontId="0" fillId="0" borderId="77" xfId="0" applyBorder="1" applyAlignment="1">
      <alignment horizontal="right"/>
    </xf>
    <xf numFmtId="0" fontId="0" fillId="0" borderId="79" xfId="0" applyBorder="1" applyAlignment="1">
      <alignment horizontal="right"/>
    </xf>
    <xf numFmtId="0" fontId="4" fillId="0" borderId="0" xfId="0" applyFont="1" applyAlignment="1">
      <alignment horizontal="left"/>
    </xf>
    <xf numFmtId="3" fontId="0" fillId="0" borderId="0" xfId="0" applyNumberFormat="1"/>
    <xf numFmtId="0" fontId="0" fillId="0" borderId="77" xfId="0" applyBorder="1"/>
    <xf numFmtId="0" fontId="0" fillId="0" borderId="78" xfId="0" applyBorder="1"/>
    <xf numFmtId="0" fontId="0" fillId="0" borderId="79" xfId="0" applyBorder="1"/>
    <xf numFmtId="0" fontId="0" fillId="0" borderId="78" xfId="0" applyBorder="1" applyAlignment="1">
      <alignment horizontal="right"/>
    </xf>
    <xf numFmtId="1" fontId="0" fillId="0" borderId="0" xfId="0" applyNumberFormat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55" xfId="0" applyNumberFormat="1" applyFill="1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5" xfId="0" applyFill="1" applyBorder="1"/>
    <xf numFmtId="0" fontId="0" fillId="0" borderId="0" xfId="0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88" xfId="0" applyBorder="1"/>
    <xf numFmtId="0" fontId="0" fillId="0" borderId="89" xfId="0" applyBorder="1"/>
    <xf numFmtId="0" fontId="0" fillId="0" borderId="90" xfId="0" applyBorder="1"/>
    <xf numFmtId="0" fontId="0" fillId="0" borderId="87" xfId="0" applyBorder="1"/>
    <xf numFmtId="0" fontId="0" fillId="0" borderId="87" xfId="0" applyBorder="1" applyAlignment="1">
      <alignment horizontal="right"/>
    </xf>
    <xf numFmtId="0" fontId="0" fillId="0" borderId="94" xfId="0" applyBorder="1"/>
    <xf numFmtId="0" fontId="0" fillId="0" borderId="95" xfId="0" applyBorder="1"/>
    <xf numFmtId="0" fontId="0" fillId="0" borderId="83" xfId="0" applyBorder="1"/>
    <xf numFmtId="0" fontId="29" fillId="0" borderId="96" xfId="0" applyFont="1" applyFill="1" applyBorder="1" applyAlignment="1">
      <alignment horizontal="right"/>
    </xf>
    <xf numFmtId="0" fontId="0" fillId="0" borderId="92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91" xfId="0" applyBorder="1" applyAlignment="1">
      <alignment horizontal="right"/>
    </xf>
    <xf numFmtId="0" fontId="0" fillId="0" borderId="97" xfId="0" applyFill="1" applyBorder="1" applyAlignment="1"/>
    <xf numFmtId="0" fontId="0" fillId="0" borderId="92" xfId="0" applyBorder="1"/>
    <xf numFmtId="0" fontId="0" fillId="0" borderId="95" xfId="0" applyFill="1" applyBorder="1"/>
    <xf numFmtId="0" fontId="0" fillId="0" borderId="93" xfId="0" applyFill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98" xfId="0" applyBorder="1"/>
    <xf numFmtId="0" fontId="0" fillId="0" borderId="99" xfId="0" applyBorder="1"/>
    <xf numFmtId="0" fontId="0" fillId="0" borderId="100" xfId="0" applyBorder="1"/>
    <xf numFmtId="0" fontId="0" fillId="0" borderId="101" xfId="0" applyBorder="1"/>
    <xf numFmtId="0" fontId="0" fillId="0" borderId="102" xfId="0" applyBorder="1"/>
    <xf numFmtId="0" fontId="0" fillId="0" borderId="103" xfId="0" applyBorder="1"/>
    <xf numFmtId="0" fontId="0" fillId="0" borderId="104" xfId="0" applyBorder="1"/>
    <xf numFmtId="0" fontId="0" fillId="0" borderId="83" xfId="0" applyFill="1" applyBorder="1"/>
    <xf numFmtId="0" fontId="0" fillId="0" borderId="6" xfId="0" applyFill="1" applyBorder="1"/>
    <xf numFmtId="0" fontId="5" fillId="0" borderId="0" xfId="0" applyFont="1" applyAlignment="1">
      <alignment horizontal="left"/>
    </xf>
    <xf numFmtId="0" fontId="5" fillId="0" borderId="0" xfId="0" applyFont="1" applyBorder="1"/>
    <xf numFmtId="0" fontId="5" fillId="0" borderId="0" xfId="0" applyFont="1" applyFill="1" applyBorder="1" applyAlignment="1">
      <alignment horizontal="left"/>
    </xf>
    <xf numFmtId="0" fontId="5" fillId="0" borderId="0" xfId="0" applyFont="1" applyAlignment="1">
      <alignment horizontal="right"/>
    </xf>
    <xf numFmtId="0" fontId="0" fillId="0" borderId="105" xfId="0" applyBorder="1"/>
    <xf numFmtId="0" fontId="0" fillId="0" borderId="99" xfId="0" applyFont="1" applyBorder="1" applyAlignment="1">
      <alignment horizontal="center"/>
    </xf>
    <xf numFmtId="0" fontId="0" fillId="0" borderId="102" xfId="0" applyFill="1" applyBorder="1"/>
    <xf numFmtId="0" fontId="0" fillId="0" borderId="7" xfId="0" applyFill="1" applyBorder="1"/>
    <xf numFmtId="0" fontId="0" fillId="0" borderId="103" xfId="0" applyFill="1" applyBorder="1"/>
    <xf numFmtId="0" fontId="0" fillId="0" borderId="8" xfId="0" applyFill="1" applyBorder="1"/>
    <xf numFmtId="0" fontId="0" fillId="0" borderId="99" xfId="0" applyBorder="1" applyAlignment="1">
      <alignment horizontal="right"/>
    </xf>
    <xf numFmtId="0" fontId="0" fillId="0" borderId="106" xfId="0" applyFill="1" applyBorder="1"/>
    <xf numFmtId="0" fontId="0" fillId="0" borderId="107" xfId="0" applyBorder="1"/>
    <xf numFmtId="0" fontId="0" fillId="0" borderId="106" xfId="0" applyBorder="1"/>
    <xf numFmtId="0" fontId="0" fillId="0" borderId="108" xfId="0" applyBorder="1"/>
    <xf numFmtId="0" fontId="0" fillId="0" borderId="4" xfId="0" applyFill="1" applyBorder="1"/>
    <xf numFmtId="0" fontId="0" fillId="0" borderId="109" xfId="0" applyBorder="1"/>
    <xf numFmtId="0" fontId="5" fillId="0" borderId="1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32" xfId="0" applyBorder="1" applyAlignment="1">
      <alignment horizontal="center"/>
    </xf>
    <xf numFmtId="0" fontId="0" fillId="0" borderId="110" xfId="0" applyBorder="1"/>
    <xf numFmtId="0" fontId="0" fillId="0" borderId="111" xfId="0" applyBorder="1"/>
    <xf numFmtId="0" fontId="0" fillId="0" borderId="112" xfId="0" applyBorder="1"/>
    <xf numFmtId="0" fontId="0" fillId="0" borderId="112" xfId="0" applyFill="1" applyBorder="1"/>
    <xf numFmtId="0" fontId="0" fillId="0" borderId="110" xfId="0" applyFill="1" applyBorder="1"/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113" xfId="0" applyBorder="1"/>
    <xf numFmtId="0" fontId="0" fillId="0" borderId="114" xfId="0" applyBorder="1"/>
    <xf numFmtId="0" fontId="0" fillId="0" borderId="115" xfId="0" applyBorder="1"/>
    <xf numFmtId="0" fontId="0" fillId="0" borderId="7" xfId="0" applyBorder="1" applyAlignment="1">
      <alignment horizontal="center"/>
    </xf>
    <xf numFmtId="0" fontId="0" fillId="0" borderId="7" xfId="0" applyBorder="1" applyAlignment="1"/>
    <xf numFmtId="0" fontId="0" fillId="0" borderId="95" xfId="0" applyBorder="1" applyAlignment="1">
      <alignment horizontal="center"/>
    </xf>
    <xf numFmtId="169" fontId="0" fillId="0" borderId="95" xfId="0" applyNumberFormat="1" applyBorder="1"/>
    <xf numFmtId="0" fontId="0" fillId="0" borderId="116" xfId="0" applyBorder="1"/>
    <xf numFmtId="168" fontId="0" fillId="0" borderId="116" xfId="0" applyNumberFormat="1" applyBorder="1"/>
    <xf numFmtId="168" fontId="0" fillId="0" borderId="66" xfId="0" applyNumberFormat="1" applyBorder="1"/>
    <xf numFmtId="0" fontId="0" fillId="0" borderId="113" xfId="0" applyBorder="1" applyAlignment="1">
      <alignment horizontal="center"/>
    </xf>
    <xf numFmtId="0" fontId="0" fillId="0" borderId="0" xfId="0" applyAlignment="1">
      <alignment wrapText="1"/>
    </xf>
    <xf numFmtId="0" fontId="0" fillId="0" borderId="113" xfId="0" applyBorder="1" applyAlignment="1">
      <alignment horizontal="right" wrapText="1"/>
    </xf>
    <xf numFmtId="0" fontId="0" fillId="0" borderId="83" xfId="0" applyBorder="1" applyAlignment="1">
      <alignment horizontal="right" wrapText="1"/>
    </xf>
    <xf numFmtId="0" fontId="0" fillId="0" borderId="6" xfId="0" applyBorder="1" applyAlignment="1">
      <alignment horizontal="right" wrapText="1"/>
    </xf>
    <xf numFmtId="0" fontId="0" fillId="0" borderId="0" xfId="0" applyAlignment="1">
      <alignment horizontal="center"/>
    </xf>
    <xf numFmtId="0" fontId="0" fillId="0" borderId="117" xfId="0" applyBorder="1"/>
    <xf numFmtId="0" fontId="0" fillId="0" borderId="118" xfId="0" applyBorder="1"/>
    <xf numFmtId="0" fontId="0" fillId="0" borderId="119" xfId="0" applyBorder="1"/>
    <xf numFmtId="0" fontId="0" fillId="0" borderId="120" xfId="0" applyBorder="1"/>
    <xf numFmtId="0" fontId="0" fillId="0" borderId="117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9" xfId="0" applyBorder="1" applyAlignment="1">
      <alignment horizontal="center"/>
    </xf>
    <xf numFmtId="169" fontId="0" fillId="0" borderId="120" xfId="0" applyNumberFormat="1" applyBorder="1" applyAlignment="1">
      <alignment horizontal="center"/>
    </xf>
    <xf numFmtId="169" fontId="0" fillId="0" borderId="95" xfId="0" applyNumberFormat="1" applyBorder="1" applyAlignment="1">
      <alignment horizontal="center"/>
    </xf>
    <xf numFmtId="169" fontId="0" fillId="0" borderId="66" xfId="0" applyNumberFormat="1" applyBorder="1" applyAlignment="1">
      <alignment horizontal="center"/>
    </xf>
    <xf numFmtId="0" fontId="0" fillId="0" borderId="32" xfId="0" applyBorder="1" applyAlignment="1">
      <alignment horizontal="right"/>
    </xf>
    <xf numFmtId="0" fontId="0" fillId="0" borderId="120" xfId="0" applyBorder="1" applyAlignment="1">
      <alignment horizontal="center"/>
    </xf>
    <xf numFmtId="0" fontId="0" fillId="0" borderId="118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117" xfId="0" applyFont="1" applyBorder="1"/>
    <xf numFmtId="0" fontId="0" fillId="0" borderId="118" xfId="0" applyFont="1" applyBorder="1"/>
    <xf numFmtId="0" fontId="0" fillId="0" borderId="119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121" xfId="0" applyBorder="1" applyAlignment="1">
      <alignment horizontal="center"/>
    </xf>
    <xf numFmtId="0" fontId="0" fillId="0" borderId="122" xfId="0" applyBorder="1" applyAlignment="1">
      <alignment horizontal="center"/>
    </xf>
    <xf numFmtId="0" fontId="0" fillId="0" borderId="123" xfId="0" applyBorder="1" applyAlignment="1">
      <alignment horizontal="center"/>
    </xf>
    <xf numFmtId="0" fontId="0" fillId="0" borderId="121" xfId="0" applyBorder="1"/>
    <xf numFmtId="0" fontId="0" fillId="0" borderId="124" xfId="0" applyBorder="1"/>
    <xf numFmtId="0" fontId="0" fillId="0" borderId="122" xfId="0" applyBorder="1"/>
    <xf numFmtId="0" fontId="0" fillId="0" borderId="123" xfId="0" applyBorder="1"/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25" xfId="0" applyBorder="1"/>
    <xf numFmtId="0" fontId="0" fillId="0" borderId="126" xfId="0" applyBorder="1"/>
    <xf numFmtId="0" fontId="0" fillId="0" borderId="127" xfId="0" applyBorder="1"/>
    <xf numFmtId="167" fontId="0" fillId="0" borderId="7" xfId="0" applyNumberFormat="1" applyBorder="1"/>
    <xf numFmtId="0" fontId="0" fillId="0" borderId="125" xfId="0" applyBorder="1" applyAlignment="1">
      <alignment horizontal="center"/>
    </xf>
    <xf numFmtId="0" fontId="0" fillId="0" borderId="128" xfId="0" applyBorder="1"/>
    <xf numFmtId="0" fontId="0" fillId="0" borderId="129" xfId="0" applyBorder="1"/>
    <xf numFmtId="0" fontId="0" fillId="0" borderId="130" xfId="0" applyBorder="1" applyAlignment="1">
      <alignment horizontal="center"/>
    </xf>
    <xf numFmtId="0" fontId="0" fillId="0" borderId="131" xfId="0" applyBorder="1" applyAlignment="1">
      <alignment horizontal="center"/>
    </xf>
    <xf numFmtId="0" fontId="0" fillId="0" borderId="126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5" xfId="0" applyFill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3" borderId="0" xfId="0" applyFill="1" applyBorder="1"/>
    <xf numFmtId="169" fontId="0" fillId="0" borderId="128" xfId="0" applyNumberFormat="1" applyBorder="1"/>
    <xf numFmtId="169" fontId="0" fillId="0" borderId="0" xfId="0" applyNumberFormat="1" applyBorder="1"/>
    <xf numFmtId="169" fontId="0" fillId="0" borderId="7" xfId="0" applyNumberFormat="1" applyBorder="1"/>
    <xf numFmtId="0" fontId="0" fillId="0" borderId="0" xfId="0" applyFont="1" applyFill="1" applyBorder="1" applyAlignment="1">
      <alignment horizontal="left"/>
    </xf>
    <xf numFmtId="0" fontId="4" fillId="0" borderId="0" xfId="0" applyFont="1" applyFill="1" applyBorder="1"/>
    <xf numFmtId="0" fontId="2" fillId="0" borderId="0" xfId="0" applyFont="1" applyAlignment="1">
      <alignment vertical="center"/>
    </xf>
    <xf numFmtId="0" fontId="0" fillId="0" borderId="128" xfId="0" applyFill="1" applyBorder="1"/>
    <xf numFmtId="0" fontId="0" fillId="0" borderId="127" xfId="0" applyFill="1" applyBorder="1"/>
    <xf numFmtId="0" fontId="0" fillId="0" borderId="132" xfId="0" applyBorder="1"/>
    <xf numFmtId="0" fontId="0" fillId="0" borderId="133" xfId="0" applyBorder="1"/>
    <xf numFmtId="0" fontId="2" fillId="0" borderId="0" xfId="0" applyFont="1" applyBorder="1" applyAlignment="1">
      <alignment horizontal="center"/>
    </xf>
    <xf numFmtId="0" fontId="2" fillId="0" borderId="0" xfId="0" applyFont="1" applyBorder="1"/>
    <xf numFmtId="0" fontId="0" fillId="0" borderId="135" xfId="0" applyBorder="1"/>
    <xf numFmtId="0" fontId="0" fillId="0" borderId="136" xfId="0" applyBorder="1"/>
    <xf numFmtId="0" fontId="0" fillId="0" borderId="137" xfId="0" applyBorder="1"/>
    <xf numFmtId="0" fontId="0" fillId="0" borderId="137" xfId="0" applyBorder="1" applyAlignment="1">
      <alignment horizontal="right"/>
    </xf>
    <xf numFmtId="0" fontId="0" fillId="0" borderId="138" xfId="0" applyBorder="1" applyAlignment="1">
      <alignment horizontal="center"/>
    </xf>
    <xf numFmtId="0" fontId="0" fillId="0" borderId="137" xfId="0" applyBorder="1" applyAlignment="1">
      <alignment horizontal="center"/>
    </xf>
    <xf numFmtId="0" fontId="0" fillId="0" borderId="139" xfId="0" applyBorder="1" applyAlignment="1">
      <alignment horizontal="center"/>
    </xf>
    <xf numFmtId="10" fontId="0" fillId="0" borderId="0" xfId="0" applyNumberFormat="1" applyBorder="1"/>
    <xf numFmtId="10" fontId="0" fillId="0" borderId="7" xfId="0" applyNumberFormat="1" applyBorder="1"/>
    <xf numFmtId="0" fontId="0" fillId="0" borderId="134" xfId="0" applyFont="1" applyFill="1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0" xfId="0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40" xfId="0" applyBorder="1"/>
    <xf numFmtId="0" fontId="0" fillId="0" borderId="141" xfId="0" applyBorder="1"/>
    <xf numFmtId="0" fontId="0" fillId="0" borderId="144" xfId="0" applyBorder="1"/>
    <xf numFmtId="10" fontId="0" fillId="0" borderId="0" xfId="0" applyNumberFormat="1" applyFill="1" applyBorder="1"/>
    <xf numFmtId="0" fontId="0" fillId="0" borderId="146" xfId="0" applyBorder="1"/>
    <xf numFmtId="0" fontId="0" fillId="0" borderId="145" xfId="0" applyBorder="1"/>
    <xf numFmtId="0" fontId="0" fillId="0" borderId="147" xfId="0" applyBorder="1"/>
    <xf numFmtId="0" fontId="0" fillId="0" borderId="148" xfId="0" applyBorder="1"/>
    <xf numFmtId="0" fontId="0" fillId="0" borderId="150" xfId="0" applyBorder="1"/>
    <xf numFmtId="0" fontId="0" fillId="0" borderId="151" xfId="0" applyBorder="1"/>
    <xf numFmtId="10" fontId="0" fillId="0" borderId="147" xfId="0" applyNumberFormat="1" applyBorder="1"/>
    <xf numFmtId="0" fontId="0" fillId="0" borderId="152" xfId="0" applyFill="1" applyBorder="1" applyAlignment="1">
      <alignment horizontal="center"/>
    </xf>
    <xf numFmtId="0" fontId="0" fillId="0" borderId="153" xfId="0" applyFill="1" applyBorder="1" applyAlignment="1">
      <alignment horizontal="center"/>
    </xf>
    <xf numFmtId="0" fontId="0" fillId="0" borderId="147" xfId="0" applyFill="1" applyBorder="1"/>
    <xf numFmtId="0" fontId="0" fillId="0" borderId="149" xfId="0" applyBorder="1"/>
    <xf numFmtId="9" fontId="0" fillId="0" borderId="0" xfId="0" applyNumberFormat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55" xfId="0" applyBorder="1"/>
    <xf numFmtId="0" fontId="0" fillId="0" borderId="156" xfId="0" applyBorder="1"/>
    <xf numFmtId="0" fontId="0" fillId="0" borderId="151" xfId="0" applyBorder="1" applyAlignment="1">
      <alignment horizontal="center"/>
    </xf>
    <xf numFmtId="0" fontId="0" fillId="0" borderId="157" xfId="0" applyBorder="1" applyAlignment="1">
      <alignment horizontal="center"/>
    </xf>
    <xf numFmtId="0" fontId="4" fillId="0" borderId="0" xfId="0" applyFont="1" applyBorder="1"/>
    <xf numFmtId="0" fontId="0" fillId="0" borderId="158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57" xfId="0" applyBorder="1"/>
    <xf numFmtId="0" fontId="0" fillId="0" borderId="160" xfId="0" applyBorder="1"/>
    <xf numFmtId="0" fontId="0" fillId="0" borderId="161" xfId="0" applyBorder="1"/>
    <xf numFmtId="0" fontId="0" fillId="0" borderId="158" xfId="0" applyBorder="1"/>
    <xf numFmtId="0" fontId="0" fillId="0" borderId="145" xfId="0" applyBorder="1" applyAlignment="1">
      <alignment horizontal="center"/>
    </xf>
    <xf numFmtId="0" fontId="0" fillId="0" borderId="146" xfId="0" applyBorder="1" applyAlignment="1">
      <alignment horizontal="center"/>
    </xf>
    <xf numFmtId="0" fontId="0" fillId="0" borderId="154" xfId="0" applyBorder="1"/>
    <xf numFmtId="0" fontId="0" fillId="0" borderId="162" xfId="0" applyBorder="1"/>
    <xf numFmtId="0" fontId="0" fillId="0" borderId="0" xfId="0" applyAlignment="1">
      <alignment horizontal="center"/>
    </xf>
    <xf numFmtId="0" fontId="5" fillId="0" borderId="15" xfId="0" applyFont="1" applyFill="1" applyBorder="1" applyAlignment="1">
      <alignment horizontal="center"/>
    </xf>
    <xf numFmtId="10" fontId="0" fillId="0" borderId="164" xfId="0" applyNumberFormat="1" applyBorder="1"/>
    <xf numFmtId="0" fontId="0" fillId="0" borderId="165" xfId="0" applyBorder="1"/>
    <xf numFmtId="0" fontId="0" fillId="0" borderId="166" xfId="0" applyBorder="1"/>
    <xf numFmtId="0" fontId="0" fillId="0" borderId="167" xfId="0" applyBorder="1" applyAlignment="1">
      <alignment horizontal="center"/>
    </xf>
    <xf numFmtId="0" fontId="0" fillId="0" borderId="165" xfId="0" applyBorder="1" applyAlignment="1">
      <alignment horizontal="center"/>
    </xf>
    <xf numFmtId="0" fontId="0" fillId="0" borderId="163" xfId="0" applyBorder="1" applyAlignment="1">
      <alignment horizontal="center"/>
    </xf>
    <xf numFmtId="0" fontId="0" fillId="0" borderId="164" xfId="0" applyBorder="1"/>
    <xf numFmtId="0" fontId="0" fillId="0" borderId="152" xfId="0" applyBorder="1"/>
    <xf numFmtId="0" fontId="0" fillId="0" borderId="159" xfId="0" applyBorder="1"/>
    <xf numFmtId="0" fontId="0" fillId="0" borderId="155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0" fillId="0" borderId="164" xfId="0" applyBorder="1" applyAlignment="1">
      <alignment horizontal="center"/>
    </xf>
    <xf numFmtId="0" fontId="0" fillId="0" borderId="4" xfId="0" applyFill="1" applyBorder="1" applyAlignment="1"/>
    <xf numFmtId="0" fontId="0" fillId="0" borderId="155" xfId="0" applyFill="1" applyBorder="1" applyAlignment="1"/>
    <xf numFmtId="0" fontId="0" fillId="0" borderId="149" xfId="0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0" fillId="0" borderId="0" xfId="0" applyFill="1"/>
    <xf numFmtId="0" fontId="0" fillId="3" borderId="166" xfId="0" applyFill="1" applyBorder="1"/>
    <xf numFmtId="0" fontId="0" fillId="3" borderId="164" xfId="0" applyFill="1" applyBorder="1"/>
    <xf numFmtId="0" fontId="0" fillId="3" borderId="165" xfId="0" applyFill="1" applyBorder="1"/>
    <xf numFmtId="0" fontId="0" fillId="3" borderId="4" xfId="0" applyFill="1" applyBorder="1"/>
    <xf numFmtId="0" fontId="0" fillId="3" borderId="155" xfId="0" applyFill="1" applyBorder="1"/>
    <xf numFmtId="0" fontId="0" fillId="3" borderId="7" xfId="0" applyFill="1" applyBorder="1"/>
    <xf numFmtId="0" fontId="0" fillId="3" borderId="8" xfId="0" applyFill="1" applyBorder="1"/>
    <xf numFmtId="0" fontId="0" fillId="5" borderId="166" xfId="0" applyFill="1" applyBorder="1"/>
    <xf numFmtId="0" fontId="0" fillId="5" borderId="164" xfId="0" applyFill="1" applyBorder="1"/>
    <xf numFmtId="0" fontId="0" fillId="5" borderId="165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155" xfId="0" applyFill="1" applyBorder="1"/>
    <xf numFmtId="0" fontId="0" fillId="5" borderId="7" xfId="0" applyFill="1" applyBorder="1"/>
    <xf numFmtId="0" fontId="0" fillId="5" borderId="8" xfId="0" applyFill="1" applyBorder="1"/>
    <xf numFmtId="0" fontId="0" fillId="7" borderId="164" xfId="0" applyFill="1" applyBorder="1"/>
    <xf numFmtId="0" fontId="0" fillId="7" borderId="0" xfId="0" applyFill="1" applyBorder="1"/>
    <xf numFmtId="0" fontId="0" fillId="6" borderId="0" xfId="0" applyFill="1" applyBorder="1"/>
    <xf numFmtId="0" fontId="31" fillId="0" borderId="0" xfId="0" applyFont="1" applyBorder="1" applyAlignment="1">
      <alignment horizontal="center" vertical="top" wrapText="1"/>
    </xf>
    <xf numFmtId="0" fontId="31" fillId="0" borderId="0" xfId="0" applyFont="1" applyBorder="1" applyAlignment="1">
      <alignment horizontal="center" wrapText="1"/>
    </xf>
    <xf numFmtId="0" fontId="31" fillId="0" borderId="154" xfId="0" applyFont="1" applyBorder="1" applyAlignment="1">
      <alignment horizontal="center" wrapText="1"/>
    </xf>
    <xf numFmtId="0" fontId="31" fillId="0" borderId="7" xfId="0" applyFont="1" applyBorder="1" applyAlignment="1">
      <alignment horizontal="center" vertical="top" wrapText="1"/>
    </xf>
    <xf numFmtId="0" fontId="31" fillId="0" borderId="0" xfId="0" applyFont="1" applyFill="1" applyBorder="1" applyAlignment="1">
      <alignment horizontal="center" wrapText="1"/>
    </xf>
    <xf numFmtId="0" fontId="31" fillId="0" borderId="0" xfId="0" applyFont="1" applyFill="1" applyBorder="1" applyAlignment="1">
      <alignment horizontal="left" wrapText="1"/>
    </xf>
    <xf numFmtId="0" fontId="31" fillId="0" borderId="166" xfId="0" applyFont="1" applyBorder="1" applyAlignment="1">
      <alignment horizontal="center" wrapText="1"/>
    </xf>
    <xf numFmtId="0" fontId="31" fillId="0" borderId="164" xfId="0" applyFont="1" applyBorder="1" applyAlignment="1">
      <alignment horizontal="center" wrapText="1"/>
    </xf>
    <xf numFmtId="0" fontId="31" fillId="0" borderId="165" xfId="0" applyFont="1" applyBorder="1" applyAlignment="1">
      <alignment horizontal="center" wrapText="1"/>
    </xf>
    <xf numFmtId="0" fontId="31" fillId="0" borderId="4" xfId="0" applyFont="1" applyBorder="1" applyAlignment="1">
      <alignment horizontal="center" wrapText="1"/>
    </xf>
    <xf numFmtId="0" fontId="31" fillId="0" borderId="5" xfId="0" applyFont="1" applyBorder="1" applyAlignment="1">
      <alignment horizontal="center" wrapText="1"/>
    </xf>
    <xf numFmtId="0" fontId="31" fillId="0" borderId="155" xfId="0" applyFont="1" applyBorder="1" applyAlignment="1">
      <alignment horizontal="center" wrapText="1"/>
    </xf>
    <xf numFmtId="0" fontId="31" fillId="0" borderId="7" xfId="0" applyFont="1" applyBorder="1" applyAlignment="1">
      <alignment horizontal="center" wrapText="1"/>
    </xf>
    <xf numFmtId="0" fontId="31" fillId="0" borderId="8" xfId="0" applyFont="1" applyBorder="1" applyAlignment="1">
      <alignment horizontal="center" wrapText="1"/>
    </xf>
    <xf numFmtId="0" fontId="31" fillId="0" borderId="4" xfId="0" applyFont="1" applyFill="1" applyBorder="1" applyAlignment="1">
      <alignment horizontal="center" wrapText="1"/>
    </xf>
    <xf numFmtId="0" fontId="5" fillId="0" borderId="15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 wrapText="1"/>
    </xf>
    <xf numFmtId="0" fontId="31" fillId="0" borderId="83" xfId="0" applyFont="1" applyBorder="1" applyAlignment="1">
      <alignment horizontal="center" wrapText="1"/>
    </xf>
    <xf numFmtId="0" fontId="31" fillId="0" borderId="156" xfId="0" applyFont="1" applyBorder="1" applyAlignment="1">
      <alignment horizontal="center" wrapText="1"/>
    </xf>
    <xf numFmtId="0" fontId="31" fillId="0" borderId="157" xfId="0" applyFont="1" applyBorder="1" applyAlignment="1">
      <alignment horizontal="center" wrapText="1"/>
    </xf>
    <xf numFmtId="0" fontId="0" fillId="0" borderId="167" xfId="0" applyBorder="1"/>
    <xf numFmtId="0" fontId="0" fillId="0" borderId="163" xfId="0" applyBorder="1"/>
    <xf numFmtId="0" fontId="0" fillId="0" borderId="166" xfId="0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32" xfId="0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Border="1"/>
    <xf numFmtId="0" fontId="0" fillId="0" borderId="168" xfId="0" applyBorder="1"/>
    <xf numFmtId="0" fontId="0" fillId="0" borderId="170" xfId="0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72" xfId="0" applyBorder="1" applyAlignment="1">
      <alignment horizontal="center"/>
    </xf>
    <xf numFmtId="0" fontId="0" fillId="0" borderId="172" xfId="0" applyFont="1" applyBorder="1"/>
    <xf numFmtId="0" fontId="0" fillId="0" borderId="155" xfId="0" applyFont="1" applyBorder="1"/>
    <xf numFmtId="0" fontId="0" fillId="0" borderId="157" xfId="0" applyFont="1" applyBorder="1"/>
    <xf numFmtId="0" fontId="0" fillId="0" borderId="173" xfId="0" applyBorder="1" applyAlignment="1">
      <alignment horizontal="center"/>
    </xf>
    <xf numFmtId="0" fontId="0" fillId="0" borderId="174" xfId="0" applyBorder="1" applyAlignment="1">
      <alignment horizontal="center"/>
    </xf>
    <xf numFmtId="0" fontId="0" fillId="0" borderId="175" xfId="0" applyBorder="1" applyAlignment="1">
      <alignment horizontal="center"/>
    </xf>
    <xf numFmtId="0" fontId="0" fillId="0" borderId="175" xfId="0" applyBorder="1"/>
    <xf numFmtId="0" fontId="0" fillId="0" borderId="176" xfId="0" applyBorder="1" applyAlignment="1">
      <alignment horizontal="center"/>
    </xf>
    <xf numFmtId="0" fontId="0" fillId="0" borderId="177" xfId="0" applyBorder="1"/>
    <xf numFmtId="0" fontId="0" fillId="0" borderId="27" xfId="0" applyBorder="1" applyAlignment="1">
      <alignment horizontal="center"/>
    </xf>
    <xf numFmtId="0" fontId="0" fillId="0" borderId="133" xfId="0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6" xfId="0" applyNumberFormat="1" applyBorder="1"/>
    <xf numFmtId="0" fontId="0" fillId="0" borderId="0" xfId="0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178" xfId="0" applyBorder="1" applyAlignment="1">
      <alignment horizontal="center"/>
    </xf>
    <xf numFmtId="0" fontId="0" fillId="0" borderId="179" xfId="0" applyBorder="1" applyAlignment="1">
      <alignment horizontal="center"/>
    </xf>
    <xf numFmtId="0" fontId="0" fillId="0" borderId="180" xfId="0" applyBorder="1" applyAlignment="1">
      <alignment horizontal="center"/>
    </xf>
    <xf numFmtId="0" fontId="0" fillId="0" borderId="181" xfId="0" applyBorder="1" applyAlignment="1">
      <alignment horizontal="center"/>
    </xf>
    <xf numFmtId="0" fontId="0" fillId="0" borderId="182" xfId="0" applyBorder="1" applyAlignment="1">
      <alignment horizontal="center"/>
    </xf>
    <xf numFmtId="0" fontId="0" fillId="0" borderId="183" xfId="0" applyBorder="1" applyAlignment="1">
      <alignment horizontal="center"/>
    </xf>
    <xf numFmtId="0" fontId="0" fillId="0" borderId="184" xfId="0" applyBorder="1" applyAlignment="1">
      <alignment horizontal="center"/>
    </xf>
    <xf numFmtId="0" fontId="0" fillId="0" borderId="185" xfId="0" applyBorder="1"/>
    <xf numFmtId="0" fontId="0" fillId="0" borderId="182" xfId="0" applyBorder="1"/>
    <xf numFmtId="0" fontId="0" fillId="0" borderId="183" xfId="0" applyBorder="1"/>
    <xf numFmtId="0" fontId="0" fillId="0" borderId="186" xfId="0" applyBorder="1"/>
    <xf numFmtId="0" fontId="0" fillId="0" borderId="186" xfId="0" applyBorder="1" applyAlignment="1">
      <alignment horizontal="center"/>
    </xf>
    <xf numFmtId="0" fontId="0" fillId="0" borderId="187" xfId="0" applyBorder="1" applyAlignment="1">
      <alignment horizontal="center"/>
    </xf>
    <xf numFmtId="0" fontId="0" fillId="0" borderId="188" xfId="0" applyBorder="1" applyAlignment="1">
      <alignment horizontal="center"/>
    </xf>
    <xf numFmtId="0" fontId="0" fillId="0" borderId="187" xfId="0" applyBorder="1"/>
    <xf numFmtId="0" fontId="0" fillId="0" borderId="188" xfId="0" applyBorder="1"/>
    <xf numFmtId="0" fontId="0" fillId="0" borderId="184" xfId="0" applyBorder="1"/>
    <xf numFmtId="0" fontId="0" fillId="0" borderId="189" xfId="0" applyBorder="1"/>
    <xf numFmtId="0" fontId="0" fillId="0" borderId="190" xfId="0" applyBorder="1"/>
    <xf numFmtId="0" fontId="0" fillId="0" borderId="191" xfId="0" applyBorder="1"/>
    <xf numFmtId="0" fontId="0" fillId="0" borderId="172" xfId="0" applyBorder="1"/>
    <xf numFmtId="0" fontId="0" fillId="0" borderId="192" xfId="0" applyBorder="1"/>
    <xf numFmtId="0" fontId="0" fillId="0" borderId="193" xfId="0" applyBorder="1"/>
    <xf numFmtId="0" fontId="0" fillId="0" borderId="194" xfId="0" applyBorder="1"/>
    <xf numFmtId="0" fontId="0" fillId="0" borderId="192" xfId="0" applyBorder="1" applyAlignment="1">
      <alignment horizontal="center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1" xfId="0" applyBorder="1" applyAlignment="1">
      <alignment horizontal="center"/>
    </xf>
    <xf numFmtId="0" fontId="0" fillId="0" borderId="190" xfId="0" applyBorder="1" applyAlignment="1">
      <alignment horizontal="right"/>
    </xf>
    <xf numFmtId="0" fontId="0" fillId="0" borderId="170" xfId="0" applyBorder="1"/>
    <xf numFmtId="0" fontId="0" fillId="0" borderId="176" xfId="0" applyBorder="1"/>
    <xf numFmtId="0" fontId="0" fillId="4" borderId="166" xfId="0" applyFill="1" applyBorder="1"/>
    <xf numFmtId="0" fontId="0" fillId="4" borderId="170" xfId="0" applyFill="1" applyBorder="1"/>
    <xf numFmtId="0" fontId="0" fillId="4" borderId="176" xfId="0" applyFill="1" applyBorder="1"/>
    <xf numFmtId="0" fontId="0" fillId="4" borderId="191" xfId="0" applyFill="1" applyBorder="1"/>
    <xf numFmtId="0" fontId="0" fillId="4" borderId="0" xfId="0" applyFill="1" applyBorder="1"/>
    <xf numFmtId="0" fontId="0" fillId="4" borderId="172" xfId="0" applyFill="1" applyBorder="1"/>
    <xf numFmtId="0" fontId="0" fillId="4" borderId="155" xfId="0" applyFill="1" applyBorder="1"/>
    <xf numFmtId="0" fontId="0" fillId="4" borderId="156" xfId="0" applyFill="1" applyBorder="1"/>
    <xf numFmtId="0" fontId="0" fillId="4" borderId="157" xfId="0" applyFill="1" applyBorder="1"/>
    <xf numFmtId="0" fontId="0" fillId="0" borderId="166" xfId="0" applyFill="1" applyBorder="1"/>
    <xf numFmtId="0" fontId="0" fillId="0" borderId="170" xfId="0" applyFill="1" applyBorder="1"/>
    <xf numFmtId="0" fontId="0" fillId="0" borderId="176" xfId="0" applyFill="1" applyBorder="1"/>
    <xf numFmtId="0" fontId="0" fillId="0" borderId="191" xfId="0" applyFill="1" applyBorder="1"/>
    <xf numFmtId="0" fontId="0" fillId="0" borderId="172" xfId="0" applyFill="1" applyBorder="1"/>
    <xf numFmtId="0" fontId="0" fillId="0" borderId="155" xfId="0" applyFill="1" applyBorder="1"/>
    <xf numFmtId="0" fontId="0" fillId="0" borderId="156" xfId="0" applyFill="1" applyBorder="1"/>
    <xf numFmtId="0" fontId="0" fillId="0" borderId="157" xfId="0" applyFill="1" applyBorder="1"/>
    <xf numFmtId="0" fontId="5" fillId="0" borderId="0" xfId="0" applyFont="1" applyFill="1" applyBorder="1"/>
    <xf numFmtId="0" fontId="0" fillId="0" borderId="156" xfId="0" applyFill="1" applyBorder="1" applyAlignment="1"/>
    <xf numFmtId="0" fontId="0" fillId="0" borderId="179" xfId="0" applyBorder="1" applyAlignment="1">
      <alignment horizontal="right"/>
    </xf>
    <xf numFmtId="0" fontId="0" fillId="0" borderId="16" xfId="0" applyFill="1" applyBorder="1" applyAlignment="1">
      <alignment horizontal="center"/>
    </xf>
    <xf numFmtId="0" fontId="4" fillId="0" borderId="179" xfId="0" applyFont="1" applyBorder="1" applyAlignment="1">
      <alignment horizontal="right"/>
    </xf>
    <xf numFmtId="0" fontId="2" fillId="0" borderId="0" xfId="0" applyFont="1" applyFill="1" applyBorder="1" applyAlignment="1"/>
    <xf numFmtId="0" fontId="4" fillId="0" borderId="0" xfId="0" applyFont="1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192" xfId="0" applyBorder="1" applyAlignment="1">
      <alignment horizontal="center"/>
    </xf>
    <xf numFmtId="0" fontId="0" fillId="0" borderId="179" xfId="0" applyBorder="1"/>
    <xf numFmtId="0" fontId="0" fillId="0" borderId="180" xfId="0" applyBorder="1"/>
    <xf numFmtId="0" fontId="0" fillId="0" borderId="177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2" fontId="0" fillId="0" borderId="166" xfId="0" applyNumberFormat="1" applyBorder="1"/>
    <xf numFmtId="2" fontId="0" fillId="0" borderId="170" xfId="0" applyNumberFormat="1" applyBorder="1"/>
    <xf numFmtId="2" fontId="0" fillId="0" borderId="176" xfId="0" applyNumberFormat="1" applyBorder="1"/>
    <xf numFmtId="2" fontId="0" fillId="0" borderId="191" xfId="0" applyNumberFormat="1" applyBorder="1"/>
    <xf numFmtId="2" fontId="0" fillId="0" borderId="172" xfId="0" applyNumberFormat="1" applyBorder="1"/>
    <xf numFmtId="2" fontId="0" fillId="0" borderId="155" xfId="0" applyNumberFormat="1" applyBorder="1"/>
    <xf numFmtId="2" fontId="0" fillId="0" borderId="156" xfId="0" applyNumberFormat="1" applyBorder="1"/>
    <xf numFmtId="2" fontId="0" fillId="0" borderId="157" xfId="0" applyNumberFormat="1" applyBorder="1"/>
    <xf numFmtId="0" fontId="0" fillId="0" borderId="0" xfId="0" applyBorder="1" applyAlignment="1"/>
    <xf numFmtId="0" fontId="0" fillId="0" borderId="192" xfId="0" applyBorder="1" applyAlignment="1">
      <alignment horizontal="right"/>
    </xf>
    <xf numFmtId="0" fontId="0" fillId="0" borderId="160" xfId="0" applyBorder="1" applyAlignment="1">
      <alignment horizontal="center"/>
    </xf>
    <xf numFmtId="0" fontId="0" fillId="0" borderId="158" xfId="0" applyBorder="1" applyAlignment="1">
      <alignment horizontal="center"/>
    </xf>
    <xf numFmtId="0" fontId="0" fillId="0" borderId="177" xfId="0" applyBorder="1" applyAlignment="1">
      <alignment horizontal="center"/>
    </xf>
    <xf numFmtId="0" fontId="0" fillId="0" borderId="19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4" xfId="0" applyBorder="1" applyAlignment="1">
      <alignment horizontal="right"/>
    </xf>
    <xf numFmtId="0" fontId="33" fillId="0" borderId="0" xfId="0" applyFont="1"/>
    <xf numFmtId="0" fontId="33" fillId="4" borderId="160" xfId="0" applyFont="1" applyFill="1" applyBorder="1"/>
    <xf numFmtId="0" fontId="33" fillId="4" borderId="177" xfId="0" applyFont="1" applyFill="1" applyBorder="1"/>
    <xf numFmtId="0" fontId="33" fillId="4" borderId="158" xfId="0" applyFont="1" applyFill="1" applyBorder="1"/>
    <xf numFmtId="0" fontId="3" fillId="0" borderId="0" xfId="2" applyAlignment="1" applyProtection="1">
      <alignment horizontal="left" vertical="center"/>
    </xf>
    <xf numFmtId="0" fontId="8" fillId="0" borderId="0" xfId="0" applyFont="1" applyBorder="1" applyAlignment="1">
      <alignment horizontal="center"/>
    </xf>
    <xf numFmtId="0" fontId="8" fillId="0" borderId="160" xfId="0" applyFont="1" applyBorder="1" applyAlignment="1">
      <alignment horizontal="center"/>
    </xf>
    <xf numFmtId="0" fontId="8" fillId="0" borderId="177" xfId="0" applyFont="1" applyBorder="1" applyAlignment="1">
      <alignment horizontal="center"/>
    </xf>
    <xf numFmtId="0" fontId="8" fillId="0" borderId="158" xfId="0" applyFont="1" applyBorder="1" applyAlignment="1">
      <alignment horizontal="center"/>
    </xf>
    <xf numFmtId="1" fontId="8" fillId="0" borderId="160" xfId="0" applyNumberFormat="1" applyFont="1" applyBorder="1" applyAlignment="1">
      <alignment horizontal="center"/>
    </xf>
    <xf numFmtId="1" fontId="8" fillId="0" borderId="177" xfId="0" applyNumberFormat="1" applyFont="1" applyBorder="1" applyAlignment="1">
      <alignment horizontal="center"/>
    </xf>
    <xf numFmtId="1" fontId="8" fillId="0" borderId="158" xfId="0" applyNumberFormat="1" applyFont="1" applyBorder="1" applyAlignment="1">
      <alignment horizontal="center"/>
    </xf>
    <xf numFmtId="1" fontId="0" fillId="0" borderId="160" xfId="0" applyNumberFormat="1" applyBorder="1"/>
    <xf numFmtId="0" fontId="0" fillId="0" borderId="195" xfId="0" applyFont="1" applyBorder="1"/>
    <xf numFmtId="0" fontId="0" fillId="0" borderId="196" xfId="0" applyFont="1" applyBorder="1"/>
    <xf numFmtId="0" fontId="0" fillId="0" borderId="197" xfId="0" applyFont="1" applyBorder="1"/>
    <xf numFmtId="0" fontId="0" fillId="0" borderId="191" xfId="0" applyFont="1" applyBorder="1"/>
    <xf numFmtId="0" fontId="0" fillId="0" borderId="198" xfId="0" applyBorder="1"/>
    <xf numFmtId="0" fontId="0" fillId="0" borderId="199" xfId="0" applyBorder="1"/>
    <xf numFmtId="0" fontId="0" fillId="0" borderId="200" xfId="0" applyBorder="1"/>
    <xf numFmtId="0" fontId="0" fillId="0" borderId="0" xfId="0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03" xfId="0" applyBorder="1"/>
    <xf numFmtId="0" fontId="0" fillId="0" borderId="204" xfId="0" applyBorder="1"/>
    <xf numFmtId="0" fontId="0" fillId="0" borderId="205" xfId="0" applyBorder="1"/>
    <xf numFmtId="0" fontId="0" fillId="0" borderId="206" xfId="0" applyBorder="1"/>
    <xf numFmtId="0" fontId="0" fillId="0" borderId="207" xfId="0" applyBorder="1"/>
    <xf numFmtId="0" fontId="0" fillId="0" borderId="208" xfId="0" applyBorder="1"/>
    <xf numFmtId="0" fontId="0" fillId="0" borderId="209" xfId="0" applyBorder="1"/>
    <xf numFmtId="0" fontId="0" fillId="0" borderId="191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21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10" xfId="0" applyFont="1" applyBorder="1" applyAlignment="1">
      <alignment horizontal="center" vertical="center" wrapText="1"/>
    </xf>
    <xf numFmtId="0" fontId="0" fillId="0" borderId="7" xfId="0" applyBorder="1" applyAlignment="1">
      <alignment horizontal="center" wrapText="1"/>
    </xf>
    <xf numFmtId="0" fontId="0" fillId="0" borderId="202" xfId="0" applyBorder="1"/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80" xfId="0" applyBorder="1" applyAlignment="1">
      <alignment horizontal="center"/>
    </xf>
    <xf numFmtId="166" fontId="0" fillId="0" borderId="207" xfId="0" applyNumberFormat="1" applyBorder="1"/>
    <xf numFmtId="166" fontId="0" fillId="0" borderId="208" xfId="0" applyNumberFormat="1" applyBorder="1"/>
    <xf numFmtId="166" fontId="0" fillId="0" borderId="209" xfId="0" applyNumberFormat="1" applyBorder="1"/>
    <xf numFmtId="166" fontId="0" fillId="0" borderId="191" xfId="0" applyNumberFormat="1" applyBorder="1"/>
    <xf numFmtId="166" fontId="0" fillId="0" borderId="172" xfId="0" applyNumberFormat="1" applyBorder="1"/>
    <xf numFmtId="166" fontId="0" fillId="0" borderId="155" xfId="0" applyNumberFormat="1" applyBorder="1"/>
    <xf numFmtId="166" fontId="0" fillId="0" borderId="156" xfId="0" applyNumberFormat="1" applyBorder="1"/>
    <xf numFmtId="166" fontId="0" fillId="0" borderId="157" xfId="0" applyNumberFormat="1" applyBorder="1"/>
    <xf numFmtId="0" fontId="8" fillId="0" borderId="0" xfId="0" applyFont="1" applyFill="1" applyBorder="1" applyAlignment="1">
      <alignment horizontal="left"/>
    </xf>
    <xf numFmtId="0" fontId="8" fillId="0" borderId="211" xfId="0" applyFont="1" applyBorder="1" applyAlignment="1">
      <alignment horizontal="center"/>
    </xf>
    <xf numFmtId="0" fontId="8" fillId="0" borderId="202" xfId="0" applyFont="1" applyBorder="1" applyAlignment="1">
      <alignment horizontal="center"/>
    </xf>
    <xf numFmtId="0" fontId="0" fillId="0" borderId="212" xfId="0" applyBorder="1" applyAlignment="1">
      <alignment horizontal="center" vertical="center" wrapText="1"/>
    </xf>
    <xf numFmtId="0" fontId="0" fillId="0" borderId="213" xfId="0" applyBorder="1" applyAlignment="1">
      <alignment horizontal="center" vertical="center" wrapText="1"/>
    </xf>
    <xf numFmtId="0" fontId="8" fillId="0" borderId="203" xfId="0" applyFont="1" applyBorder="1" applyAlignment="1">
      <alignment horizontal="center"/>
    </xf>
    <xf numFmtId="1" fontId="8" fillId="0" borderId="203" xfId="0" applyNumberFormat="1" applyFont="1" applyBorder="1" applyAlignment="1">
      <alignment horizontal="center"/>
    </xf>
    <xf numFmtId="0" fontId="0" fillId="0" borderId="203" xfId="0" applyBorder="1" applyAlignment="1">
      <alignment horizontal="center"/>
    </xf>
    <xf numFmtId="0" fontId="0" fillId="0" borderId="0" xfId="0" applyFill="1" applyBorder="1" applyAlignment="1">
      <alignment horizontal="left" vertical="center" wrapText="1"/>
    </xf>
    <xf numFmtId="1" fontId="0" fillId="0" borderId="177" xfId="0" applyNumberFormat="1" applyBorder="1" applyAlignment="1">
      <alignment horizontal="center"/>
    </xf>
    <xf numFmtId="1" fontId="0" fillId="0" borderId="203" xfId="0" applyNumberFormat="1" applyBorder="1" applyAlignment="1">
      <alignment horizontal="center"/>
    </xf>
    <xf numFmtId="1" fontId="0" fillId="0" borderId="158" xfId="0" applyNumberFormat="1" applyBorder="1" applyAlignment="1">
      <alignment horizontal="center"/>
    </xf>
    <xf numFmtId="10" fontId="0" fillId="0" borderId="16" xfId="0" applyNumberFormat="1" applyBorder="1"/>
    <xf numFmtId="0" fontId="0" fillId="0" borderId="214" xfId="0" applyBorder="1" applyAlignment="1">
      <alignment horizontal="center"/>
    </xf>
    <xf numFmtId="0" fontId="0" fillId="0" borderId="215" xfId="0" applyBorder="1" applyAlignment="1">
      <alignment horizontal="center"/>
    </xf>
    <xf numFmtId="0" fontId="0" fillId="0" borderId="216" xfId="0" applyBorder="1" applyAlignment="1">
      <alignment horizontal="center"/>
    </xf>
    <xf numFmtId="167" fontId="0" fillId="0" borderId="0" xfId="0" applyNumberFormat="1" applyFill="1" applyBorder="1" applyAlignment="1">
      <alignment horizontal="right"/>
    </xf>
    <xf numFmtId="0" fontId="0" fillId="0" borderId="7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0" xfId="0" applyNumberFormat="1" applyBorder="1"/>
    <xf numFmtId="0" fontId="0" fillId="0" borderId="158" xfId="0" applyNumberFormat="1" applyBorder="1"/>
    <xf numFmtId="0" fontId="0" fillId="0" borderId="177" xfId="0" applyNumberFormat="1" applyBorder="1"/>
    <xf numFmtId="0" fontId="0" fillId="0" borderId="158" xfId="0" applyNumberFormat="1" applyBorder="1" applyAlignment="1">
      <alignment horizontal="right"/>
    </xf>
    <xf numFmtId="1" fontId="8" fillId="0" borderId="0" xfId="0" applyNumberFormat="1" applyFont="1" applyBorder="1" applyAlignment="1">
      <alignment horizontal="center"/>
    </xf>
    <xf numFmtId="0" fontId="8" fillId="0" borderId="179" xfId="0" applyFont="1" applyBorder="1" applyAlignment="1">
      <alignment horizontal="center"/>
    </xf>
    <xf numFmtId="0" fontId="8" fillId="0" borderId="156" xfId="0" applyFont="1" applyBorder="1" applyAlignment="1">
      <alignment horizontal="center"/>
    </xf>
    <xf numFmtId="1" fontId="8" fillId="0" borderId="156" xfId="0" applyNumberFormat="1" applyFont="1" applyBorder="1" applyAlignment="1">
      <alignment horizontal="center"/>
    </xf>
    <xf numFmtId="0" fontId="0" fillId="0" borderId="166" xfId="0" applyFill="1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5" xfId="0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211" xfId="0" applyBorder="1" applyAlignment="1">
      <alignment horizontal="center"/>
    </xf>
    <xf numFmtId="0" fontId="3" fillId="0" borderId="0" xfId="2" quotePrefix="1" applyAlignment="1" applyProtection="1"/>
    <xf numFmtId="0" fontId="5" fillId="0" borderId="15" xfId="0" applyFont="1" applyFill="1" applyBorder="1" applyAlignment="1">
      <alignment horizontal="center"/>
    </xf>
    <xf numFmtId="167" fontId="0" fillId="0" borderId="156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02" xfId="0" applyBorder="1" applyAlignment="1">
      <alignment horizontal="center"/>
    </xf>
    <xf numFmtId="0" fontId="13" fillId="8" borderId="21" xfId="0" applyFont="1" applyFill="1" applyBorder="1" applyAlignment="1">
      <alignment horizontal="center" wrapText="1"/>
    </xf>
    <xf numFmtId="168" fontId="13" fillId="8" borderId="21" xfId="0" applyNumberFormat="1" applyFont="1" applyFill="1" applyBorder="1" applyAlignment="1">
      <alignment horizontal="center" wrapText="1"/>
    </xf>
    <xf numFmtId="0" fontId="13" fillId="0" borderId="22" xfId="0" applyFont="1" applyFill="1" applyBorder="1" applyAlignment="1">
      <alignment horizontal="center" wrapText="1"/>
    </xf>
    <xf numFmtId="0" fontId="14" fillId="0" borderId="20" xfId="0" applyFont="1" applyFill="1" applyBorder="1" applyAlignment="1">
      <alignment horizontal="center" wrapText="1"/>
    </xf>
    <xf numFmtId="0" fontId="13" fillId="8" borderId="217" xfId="0" applyFont="1" applyFill="1" applyBorder="1" applyAlignment="1">
      <alignment horizontal="center" wrapText="1"/>
    </xf>
    <xf numFmtId="0" fontId="13" fillId="8" borderId="19" xfId="0" applyFont="1" applyFill="1" applyBorder="1" applyAlignment="1">
      <alignment horizontal="center" wrapText="1"/>
    </xf>
    <xf numFmtId="0" fontId="5" fillId="0" borderId="15" xfId="0" applyFont="1" applyFill="1" applyBorder="1" applyAlignment="1">
      <alignment horizontal="center"/>
    </xf>
    <xf numFmtId="0" fontId="5" fillId="0" borderId="218" xfId="0" applyFont="1" applyBorder="1" applyAlignment="1">
      <alignment horizontal="center"/>
    </xf>
    <xf numFmtId="0" fontId="0" fillId="0" borderId="219" xfId="0" applyBorder="1"/>
    <xf numFmtId="0" fontId="0" fillId="0" borderId="219" xfId="0" applyBorder="1" applyAlignment="1">
      <alignment horizontal="center"/>
    </xf>
    <xf numFmtId="0" fontId="0" fillId="0" borderId="212" xfId="0" applyBorder="1"/>
    <xf numFmtId="0" fontId="0" fillId="0" borderId="212" xfId="0" applyBorder="1" applyAlignment="1">
      <alignment horizontal="center"/>
    </xf>
    <xf numFmtId="0" fontId="0" fillId="0" borderId="203" xfId="0" applyFont="1" applyBorder="1"/>
    <xf numFmtId="0" fontId="0" fillId="0" borderId="177" xfId="0" applyFont="1" applyBorder="1"/>
    <xf numFmtId="0" fontId="0" fillId="0" borderId="158" xfId="0" applyFont="1" applyBorder="1"/>
    <xf numFmtId="0" fontId="0" fillId="0" borderId="202" xfId="0" applyFont="1" applyBorder="1"/>
    <xf numFmtId="0" fontId="0" fillId="0" borderId="220" xfId="0" applyBorder="1"/>
    <xf numFmtId="0" fontId="0" fillId="0" borderId="221" xfId="0" applyBorder="1"/>
    <xf numFmtId="0" fontId="0" fillId="0" borderId="158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72" xfId="0" applyBorder="1" applyAlignment="1">
      <alignment horizontal="right"/>
    </xf>
    <xf numFmtId="0" fontId="34" fillId="0" borderId="221" xfId="0" applyFont="1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22" xfId="0" applyBorder="1"/>
    <xf numFmtId="0" fontId="0" fillId="0" borderId="223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11" xfId="0" applyBorder="1"/>
    <xf numFmtId="0" fontId="0" fillId="0" borderId="213" xfId="0" applyBorder="1"/>
    <xf numFmtId="0" fontId="0" fillId="0" borderId="224" xfId="0" applyBorder="1"/>
    <xf numFmtId="0" fontId="0" fillId="0" borderId="225" xfId="0" applyBorder="1"/>
    <xf numFmtId="0" fontId="0" fillId="0" borderId="226" xfId="0" applyBorder="1"/>
    <xf numFmtId="0" fontId="0" fillId="0" borderId="227" xfId="0" applyBorder="1"/>
    <xf numFmtId="0" fontId="0" fillId="0" borderId="226" xfId="0" applyBorder="1" applyAlignment="1">
      <alignment horizontal="right"/>
    </xf>
    <xf numFmtId="0" fontId="0" fillId="0" borderId="224" xfId="0" applyBorder="1" applyAlignment="1">
      <alignment horizontal="center"/>
    </xf>
    <xf numFmtId="0" fontId="0" fillId="0" borderId="225" xfId="0" applyBorder="1" applyAlignment="1">
      <alignment horizontal="center"/>
    </xf>
    <xf numFmtId="0" fontId="0" fillId="0" borderId="22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39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28" xfId="0" applyBorder="1"/>
    <xf numFmtId="0" fontId="0" fillId="0" borderId="229" xfId="0" applyBorder="1"/>
    <xf numFmtId="0" fontId="0" fillId="0" borderId="230" xfId="0" applyBorder="1"/>
    <xf numFmtId="0" fontId="0" fillId="0" borderId="228" xfId="0" applyBorder="1" applyAlignment="1">
      <alignment horizontal="center"/>
    </xf>
    <xf numFmtId="0" fontId="0" fillId="0" borderId="229" xfId="0" applyBorder="1" applyAlignment="1">
      <alignment horizontal="center"/>
    </xf>
    <xf numFmtId="0" fontId="0" fillId="0" borderId="230" xfId="0" applyBorder="1" applyAlignment="1">
      <alignment horizontal="center"/>
    </xf>
    <xf numFmtId="167" fontId="0" fillId="0" borderId="7" xfId="0" applyNumberFormat="1" applyBorder="1" applyAlignment="1">
      <alignment horizontal="center"/>
    </xf>
    <xf numFmtId="167" fontId="0" fillId="0" borderId="228" xfId="0" applyNumberFormat="1" applyBorder="1"/>
    <xf numFmtId="167" fontId="0" fillId="0" borderId="191" xfId="0" applyNumberFormat="1" applyBorder="1"/>
    <xf numFmtId="168" fontId="0" fillId="0" borderId="228" xfId="0" applyNumberFormat="1" applyBorder="1"/>
    <xf numFmtId="168" fontId="0" fillId="0" borderId="230" xfId="0" applyNumberFormat="1" applyBorder="1"/>
    <xf numFmtId="168" fontId="0" fillId="0" borderId="191" xfId="0" applyNumberFormat="1" applyBorder="1"/>
    <xf numFmtId="168" fontId="0" fillId="0" borderId="172" xfId="0" applyNumberFormat="1" applyBorder="1"/>
    <xf numFmtId="168" fontId="0" fillId="0" borderId="155" xfId="0" applyNumberFormat="1" applyBorder="1"/>
    <xf numFmtId="168" fontId="0" fillId="0" borderId="156" xfId="0" applyNumberFormat="1" applyBorder="1"/>
    <xf numFmtId="168" fontId="0" fillId="0" borderId="157" xfId="0" applyNumberFormat="1" applyBorder="1"/>
    <xf numFmtId="166" fontId="0" fillId="0" borderId="230" xfId="0" applyNumberFormat="1" applyBorder="1"/>
    <xf numFmtId="166" fontId="0" fillId="0" borderId="228" xfId="0" applyNumberFormat="1" applyBorder="1"/>
    <xf numFmtId="1" fontId="0" fillId="0" borderId="155" xfId="0" applyNumberFormat="1" applyBorder="1"/>
    <xf numFmtId="1" fontId="0" fillId="0" borderId="156" xfId="0" applyNumberFormat="1" applyBorder="1"/>
    <xf numFmtId="0" fontId="0" fillId="0" borderId="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7" xfId="0" applyBorder="1" applyAlignment="1">
      <alignment horizontal="center"/>
    </xf>
    <xf numFmtId="0" fontId="0" fillId="0" borderId="35" xfId="0" applyBorder="1" applyAlignment="1">
      <alignment horizontal="center" wrapText="1"/>
    </xf>
    <xf numFmtId="0" fontId="0" fillId="0" borderId="36" xfId="0" applyBorder="1" applyAlignment="1">
      <alignment horizontal="center" wrapText="1"/>
    </xf>
    <xf numFmtId="0" fontId="0" fillId="0" borderId="33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155" xfId="0" quotePrefix="1" applyBorder="1" applyAlignment="1">
      <alignment horizontal="right"/>
    </xf>
    <xf numFmtId="0" fontId="0" fillId="0" borderId="70" xfId="0" applyFont="1" applyBorder="1" applyAlignment="1">
      <alignment horizontal="center"/>
    </xf>
    <xf numFmtId="0" fontId="0" fillId="0" borderId="67" xfId="0" applyFont="1" applyBorder="1" applyAlignment="1">
      <alignment horizontal="center"/>
    </xf>
    <xf numFmtId="0" fontId="0" fillId="0" borderId="68" xfId="0" applyFont="1" applyBorder="1" applyAlignment="1">
      <alignment horizontal="center"/>
    </xf>
    <xf numFmtId="0" fontId="0" fillId="0" borderId="69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0" xfId="0" applyFont="1" applyFill="1" applyBorder="1" applyAlignment="1"/>
    <xf numFmtId="0" fontId="0" fillId="0" borderId="54" xfId="0" applyFont="1" applyBorder="1" applyAlignment="1">
      <alignment horizontal="center"/>
    </xf>
    <xf numFmtId="0" fontId="0" fillId="0" borderId="55" xfId="0" applyFont="1" applyBorder="1" applyAlignment="1">
      <alignment horizontal="center"/>
    </xf>
    <xf numFmtId="0" fontId="0" fillId="0" borderId="56" xfId="0" applyFont="1" applyBorder="1" applyAlignment="1">
      <alignment horizontal="center"/>
    </xf>
    <xf numFmtId="0" fontId="0" fillId="0" borderId="16" xfId="0" applyFont="1" applyFill="1" applyBorder="1" applyAlignment="1"/>
    <xf numFmtId="0" fontId="0" fillId="0" borderId="55" xfId="0" applyFont="1" applyFill="1" applyBorder="1" applyAlignment="1">
      <alignment horizontal="center"/>
    </xf>
    <xf numFmtId="0" fontId="0" fillId="0" borderId="227" xfId="0" applyFont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32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4" fillId="0" borderId="0" xfId="0" applyNumberFormat="1" applyFont="1"/>
    <xf numFmtId="0" fontId="0" fillId="0" borderId="0" xfId="0" applyFont="1" applyAlignment="1">
      <alignment horizontal="right"/>
    </xf>
    <xf numFmtId="0" fontId="0" fillId="0" borderId="0" xfId="0" applyNumberFormat="1" applyFont="1"/>
    <xf numFmtId="0" fontId="0" fillId="0" borderId="228" xfId="0" applyFont="1" applyBorder="1"/>
    <xf numFmtId="0" fontId="0" fillId="0" borderId="230" xfId="0" applyFont="1" applyBorder="1"/>
    <xf numFmtId="0" fontId="0" fillId="0" borderId="220" xfId="0" applyFont="1" applyBorder="1"/>
    <xf numFmtId="0" fontId="0" fillId="0" borderId="172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8" xfId="0" applyFont="1" applyBorder="1" applyAlignment="1">
      <alignment horizontal="right"/>
    </xf>
    <xf numFmtId="0" fontId="0" fillId="0" borderId="231" xfId="0" applyFont="1" applyBorder="1" applyAlignment="1">
      <alignment horizontal="right"/>
    </xf>
    <xf numFmtId="0" fontId="0" fillId="0" borderId="233" xfId="0" applyFont="1" applyBorder="1" applyAlignment="1">
      <alignment horizontal="right"/>
    </xf>
    <xf numFmtId="0" fontId="0" fillId="0" borderId="191" xfId="0" applyFont="1" applyBorder="1" applyAlignment="1">
      <alignment horizontal="right"/>
    </xf>
    <xf numFmtId="0" fontId="0" fillId="0" borderId="155" xfId="0" applyFont="1" applyBorder="1" applyAlignment="1">
      <alignment horizontal="right"/>
    </xf>
    <xf numFmtId="0" fontId="0" fillId="0" borderId="156" xfId="0" applyFont="1" applyBorder="1" applyAlignment="1">
      <alignment horizontal="right"/>
    </xf>
    <xf numFmtId="0" fontId="0" fillId="0" borderId="157" xfId="0" applyFont="1" applyBorder="1" applyAlignment="1">
      <alignment horizontal="right"/>
    </xf>
    <xf numFmtId="0" fontId="0" fillId="0" borderId="231" xfId="0" applyBorder="1"/>
    <xf numFmtId="0" fontId="0" fillId="0" borderId="233" xfId="0" applyBorder="1"/>
    <xf numFmtId="0" fontId="0" fillId="0" borderId="232" xfId="0" applyBorder="1"/>
    <xf numFmtId="0" fontId="0" fillId="0" borderId="234" xfId="0" applyBorder="1"/>
    <xf numFmtId="0" fontId="0" fillId="0" borderId="158" xfId="0" applyNumberFormat="1" applyFont="1" applyBorder="1"/>
    <xf numFmtId="0" fontId="0" fillId="0" borderId="203" xfId="0" applyNumberFormat="1" applyFont="1" applyBorder="1"/>
    <xf numFmtId="0" fontId="12" fillId="0" borderId="0" xfId="0" applyFont="1"/>
    <xf numFmtId="0" fontId="5" fillId="0" borderId="1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31" xfId="0" applyFont="1" applyBorder="1"/>
    <xf numFmtId="0" fontId="0" fillId="0" borderId="233" xfId="0" applyFont="1" applyBorder="1"/>
    <xf numFmtId="0" fontId="0" fillId="0" borderId="231" xfId="0" applyNumberFormat="1" applyFont="1" applyBorder="1"/>
    <xf numFmtId="0" fontId="0" fillId="0" borderId="233" xfId="0" applyNumberFormat="1" applyFont="1" applyBorder="1"/>
    <xf numFmtId="0" fontId="0" fillId="0" borderId="191" xfId="0" applyNumberFormat="1" applyFont="1" applyBorder="1"/>
    <xf numFmtId="0" fontId="0" fillId="0" borderId="172" xfId="0" applyNumberFormat="1" applyFont="1" applyBorder="1"/>
    <xf numFmtId="0" fontId="0" fillId="0" borderId="172" xfId="0" applyNumberFormat="1" applyFont="1" applyFill="1" applyBorder="1"/>
    <xf numFmtId="0" fontId="0" fillId="0" borderId="155" xfId="0" applyNumberFormat="1" applyFont="1" applyBorder="1"/>
    <xf numFmtId="0" fontId="0" fillId="0" borderId="157" xfId="0" applyNumberFormat="1" applyFont="1" applyFill="1" applyBorder="1"/>
    <xf numFmtId="0" fontId="0" fillId="0" borderId="235" xfId="0" applyBorder="1"/>
    <xf numFmtId="0" fontId="0" fillId="0" borderId="236" xfId="0" applyBorder="1"/>
    <xf numFmtId="0" fontId="0" fillId="0" borderId="213" xfId="0" applyBorder="1" applyAlignment="1">
      <alignment horizontal="center"/>
    </xf>
    <xf numFmtId="0" fontId="0" fillId="0" borderId="231" xfId="0" applyBorder="1" applyAlignment="1">
      <alignment horizontal="center"/>
    </xf>
    <xf numFmtId="0" fontId="0" fillId="0" borderId="0" xfId="0" applyAlignment="1">
      <alignment horizontal="center"/>
    </xf>
    <xf numFmtId="0" fontId="35" fillId="0" borderId="0" xfId="2" applyFont="1" applyAlignment="1" applyProtection="1"/>
    <xf numFmtId="0" fontId="36" fillId="0" borderId="0" xfId="0" applyFont="1" applyAlignment="1">
      <alignment horizontal="justify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2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19" xfId="0" applyFont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7" xfId="0" applyBorder="1" applyAlignment="1">
      <alignment horizontal="center"/>
    </xf>
    <xf numFmtId="0" fontId="5" fillId="0" borderId="237" xfId="0" applyFont="1" applyBorder="1" applyAlignment="1">
      <alignment horizontal="center"/>
    </xf>
    <xf numFmtId="0" fontId="0" fillId="0" borderId="236" xfId="0" applyBorder="1" applyAlignment="1">
      <alignment horizontal="right"/>
    </xf>
    <xf numFmtId="0" fontId="0" fillId="0" borderId="2" xfId="0" applyFont="1" applyBorder="1" applyAlignment="1">
      <alignment horizontal="right"/>
    </xf>
    <xf numFmtId="0" fontId="5" fillId="0" borderId="238" xfId="0" applyFont="1" applyBorder="1" applyAlignment="1">
      <alignment horizontal="center"/>
    </xf>
    <xf numFmtId="0" fontId="0" fillId="0" borderId="234" xfId="0" applyFont="1" applyBorder="1"/>
    <xf numFmtId="0" fontId="0" fillId="0" borderId="232" xfId="0" applyFont="1" applyBorder="1" applyAlignment="1">
      <alignment horizontal="right"/>
    </xf>
    <xf numFmtId="0" fontId="0" fillId="0" borderId="0" xfId="0" applyNumberFormat="1" applyFont="1" applyBorder="1"/>
    <xf numFmtId="0" fontId="0" fillId="0" borderId="0" xfId="0" applyNumberFormat="1" applyFont="1" applyFill="1" applyBorder="1"/>
    <xf numFmtId="0" fontId="0" fillId="0" borderId="232" xfId="0" applyNumberFormat="1" applyFont="1" applyFill="1" applyBorder="1"/>
    <xf numFmtId="0" fontId="0" fillId="0" borderId="156" xfId="0" applyNumberFormat="1" applyFont="1" applyBorder="1"/>
    <xf numFmtId="0" fontId="0" fillId="0" borderId="156" xfId="0" applyNumberFormat="1" applyFont="1" applyFill="1" applyBorder="1"/>
    <xf numFmtId="0" fontId="0" fillId="0" borderId="177" xfId="0" applyNumberFormat="1" applyFont="1" applyBorder="1"/>
    <xf numFmtId="0" fontId="12" fillId="0" borderId="17" xfId="0" applyFont="1" applyBorder="1"/>
    <xf numFmtId="0" fontId="12" fillId="0" borderId="17" xfId="0" applyFont="1" applyBorder="1" applyAlignment="1">
      <alignment horizontal="right"/>
    </xf>
    <xf numFmtId="0" fontId="12" fillId="0" borderId="0" xfId="3" applyFont="1" applyBorder="1" applyAlignment="1">
      <alignment horizontal="right"/>
    </xf>
    <xf numFmtId="167" fontId="12" fillId="0" borderId="0" xfId="3" quotePrefix="1" applyNumberFormat="1" applyFont="1" applyBorder="1" applyAlignment="1">
      <alignment horizontal="right"/>
    </xf>
    <xf numFmtId="167" fontId="12" fillId="0" borderId="0" xfId="0" applyNumberFormat="1" applyFont="1"/>
    <xf numFmtId="3" fontId="12" fillId="0" borderId="0" xfId="3" applyNumberFormat="1" applyFont="1" applyFill="1" applyBorder="1" applyAlignment="1">
      <alignment horizontal="right" wrapText="1"/>
    </xf>
    <xf numFmtId="167" fontId="12" fillId="0" borderId="0" xfId="3" applyNumberFormat="1" applyFont="1" applyBorder="1" applyAlignment="1"/>
    <xf numFmtId="2" fontId="12" fillId="0" borderId="0" xfId="3" applyNumberFormat="1" applyFont="1" applyAlignment="1"/>
    <xf numFmtId="167" fontId="12" fillId="0" borderId="0" xfId="3" applyNumberFormat="1" applyFont="1" applyBorder="1" applyAlignment="1">
      <alignment horizontal="right" wrapText="1"/>
    </xf>
    <xf numFmtId="167" fontId="12" fillId="0" borderId="0" xfId="4" applyNumberFormat="1" applyFont="1" applyAlignment="1"/>
    <xf numFmtId="3" fontId="12" fillId="0" borderId="0" xfId="3" applyNumberFormat="1" applyFont="1"/>
    <xf numFmtId="170" fontId="12" fillId="0" borderId="0" xfId="3" applyNumberFormat="1" applyFont="1" applyBorder="1" applyAlignment="1">
      <alignment horizontal="right"/>
    </xf>
    <xf numFmtId="167" fontId="12" fillId="0" borderId="0" xfId="0" applyNumberFormat="1" applyFont="1" applyBorder="1"/>
    <xf numFmtId="2" fontId="12" fillId="0" borderId="0" xfId="3" applyNumberFormat="1" applyFont="1" applyBorder="1" applyAlignment="1"/>
    <xf numFmtId="167" fontId="12" fillId="0" borderId="0" xfId="4" applyNumberFormat="1" applyFont="1" applyBorder="1" applyAlignment="1"/>
    <xf numFmtId="3" fontId="12" fillId="0" borderId="0" xfId="3" applyNumberFormat="1" applyFont="1" applyBorder="1"/>
    <xf numFmtId="0" fontId="12" fillId="0" borderId="7" xfId="0" applyFont="1" applyBorder="1"/>
    <xf numFmtId="0" fontId="12" fillId="0" borderId="7" xfId="3" applyFont="1" applyBorder="1" applyAlignment="1">
      <alignment horizontal="right"/>
    </xf>
    <xf numFmtId="167" fontId="12" fillId="0" borderId="7" xfId="3" quotePrefix="1" applyNumberFormat="1" applyFont="1" applyBorder="1" applyAlignment="1">
      <alignment horizontal="right"/>
    </xf>
    <xf numFmtId="167" fontId="12" fillId="0" borderId="7" xfId="0" applyNumberFormat="1" applyFont="1" applyBorder="1"/>
    <xf numFmtId="3" fontId="12" fillId="0" borderId="7" xfId="3" applyNumberFormat="1" applyFont="1" applyFill="1" applyBorder="1" applyAlignment="1">
      <alignment horizontal="right" wrapText="1"/>
    </xf>
    <xf numFmtId="167" fontId="12" fillId="0" borderId="7" xfId="3" applyNumberFormat="1" applyFont="1" applyBorder="1" applyAlignment="1"/>
    <xf numFmtId="2" fontId="12" fillId="0" borderId="7" xfId="3" applyNumberFormat="1" applyFont="1" applyBorder="1" applyAlignment="1"/>
    <xf numFmtId="167" fontId="12" fillId="0" borderId="7" xfId="3" applyNumberFormat="1" applyFont="1" applyBorder="1" applyAlignment="1">
      <alignment horizontal="right" wrapText="1"/>
    </xf>
    <xf numFmtId="167" fontId="12" fillId="0" borderId="7" xfId="4" applyNumberFormat="1" applyFont="1" applyBorder="1" applyAlignment="1"/>
    <xf numFmtId="3" fontId="12" fillId="0" borderId="7" xfId="3" applyNumberFormat="1" applyFont="1" applyBorder="1"/>
    <xf numFmtId="0" fontId="0" fillId="0" borderId="232" xfId="0" applyBorder="1" applyAlignment="1">
      <alignment horizontal="center"/>
    </xf>
    <xf numFmtId="0" fontId="0" fillId="0" borderId="233" xfId="0" applyBorder="1" applyAlignment="1">
      <alignment horizontal="center"/>
    </xf>
    <xf numFmtId="0" fontId="0" fillId="0" borderId="0" xfId="0" applyAlignment="1">
      <alignment horizontal="center"/>
    </xf>
    <xf numFmtId="0" fontId="5" fillId="0" borderId="15" xfId="0" applyFont="1" applyFill="1" applyBorder="1" applyAlignment="1">
      <alignment horizontal="center"/>
    </xf>
    <xf numFmtId="0" fontId="2" fillId="0" borderId="231" xfId="0" applyFont="1" applyBorder="1" applyAlignment="1">
      <alignment vertical="center"/>
    </xf>
    <xf numFmtId="0" fontId="0" fillId="0" borderId="239" xfId="0" applyBorder="1"/>
    <xf numFmtId="0" fontId="0" fillId="0" borderId="240" xfId="0" applyBorder="1"/>
    <xf numFmtId="0" fontId="0" fillId="0" borderId="241" xfId="0" applyBorder="1"/>
    <xf numFmtId="0" fontId="0" fillId="0" borderId="242" xfId="0" applyBorder="1"/>
    <xf numFmtId="0" fontId="0" fillId="0" borderId="243" xfId="0" applyBorder="1"/>
    <xf numFmtId="0" fontId="0" fillId="0" borderId="244" xfId="0" applyBorder="1"/>
    <xf numFmtId="0" fontId="0" fillId="0" borderId="2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31" fillId="0" borderId="172" xfId="0" applyFont="1" applyBorder="1" applyAlignment="1">
      <alignment horizontal="center" wrapText="1"/>
    </xf>
    <xf numFmtId="0" fontId="0" fillId="0" borderId="2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3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45" xfId="0" applyBorder="1"/>
    <xf numFmtId="0" fontId="0" fillId="0" borderId="246" xfId="0" applyBorder="1"/>
    <xf numFmtId="0" fontId="0" fillId="0" borderId="247" xfId="0" applyBorder="1"/>
    <xf numFmtId="0" fontId="5" fillId="0" borderId="156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9" borderId="0" xfId="0" applyFill="1"/>
    <xf numFmtId="0" fontId="0" fillId="0" borderId="219" xfId="0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02" xfId="0" applyFill="1" applyBorder="1" applyAlignment="1">
      <alignment horizontal="center"/>
    </xf>
    <xf numFmtId="0" fontId="0" fillId="0" borderId="248" xfId="0" applyBorder="1"/>
    <xf numFmtId="0" fontId="0" fillId="0" borderId="249" xfId="0" applyBorder="1"/>
    <xf numFmtId="0" fontId="0" fillId="0" borderId="250" xfId="0" applyBorder="1"/>
    <xf numFmtId="0" fontId="0" fillId="0" borderId="251" xfId="0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32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52" xfId="0" applyBorder="1"/>
    <xf numFmtId="0" fontId="0" fillId="0" borderId="253" xfId="0" applyBorder="1"/>
    <xf numFmtId="0" fontId="0" fillId="0" borderId="254" xfId="0" applyBorder="1" applyAlignment="1">
      <alignment horizontal="center"/>
    </xf>
    <xf numFmtId="0" fontId="0" fillId="0" borderId="255" xfId="0" applyBorder="1"/>
    <xf numFmtId="0" fontId="0" fillId="3" borderId="233" xfId="0" applyFill="1" applyBorder="1"/>
    <xf numFmtId="0" fontId="0" fillId="3" borderId="157" xfId="0" applyFill="1" applyBorder="1"/>
    <xf numFmtId="0" fontId="0" fillId="3" borderId="213" xfId="0" applyFill="1" applyBorder="1"/>
    <xf numFmtId="0" fontId="0" fillId="0" borderId="256" xfId="0" applyBorder="1"/>
    <xf numFmtId="0" fontId="0" fillId="0" borderId="257" xfId="0" applyBorder="1"/>
    <xf numFmtId="0" fontId="0" fillId="0" borderId="258" xfId="0" applyBorder="1"/>
    <xf numFmtId="0" fontId="0" fillId="3" borderId="259" xfId="0" applyFill="1" applyBorder="1"/>
    <xf numFmtId="0" fontId="5" fillId="0" borderId="260" xfId="0" applyFont="1" applyBorder="1" applyAlignment="1">
      <alignment horizontal="center"/>
    </xf>
    <xf numFmtId="0" fontId="0" fillId="0" borderId="259" xfId="0" applyBorder="1"/>
    <xf numFmtId="0" fontId="0" fillId="0" borderId="261" xfId="0" applyBorder="1"/>
    <xf numFmtId="0" fontId="0" fillId="0" borderId="262" xfId="0" applyBorder="1"/>
    <xf numFmtId="0" fontId="0" fillId="0" borderId="262" xfId="0" applyBorder="1" applyAlignment="1">
      <alignment horizontal="right"/>
    </xf>
    <xf numFmtId="0" fontId="0" fillId="0" borderId="263" xfId="0" applyBorder="1"/>
    <xf numFmtId="0" fontId="0" fillId="0" borderId="264" xfId="0" applyBorder="1"/>
    <xf numFmtId="0" fontId="0" fillId="0" borderId="265" xfId="0" applyBorder="1"/>
    <xf numFmtId="0" fontId="0" fillId="0" borderId="266" xfId="0" applyBorder="1"/>
    <xf numFmtId="0" fontId="0" fillId="8" borderId="257" xfId="0" applyFill="1" applyBorder="1"/>
    <xf numFmtId="0" fontId="0" fillId="8" borderId="259" xfId="0" applyFill="1" applyBorder="1"/>
    <xf numFmtId="0" fontId="0" fillId="3" borderId="257" xfId="0" applyFill="1" applyBorder="1"/>
    <xf numFmtId="0" fontId="0" fillId="3" borderId="191" xfId="0" applyFill="1" applyBorder="1"/>
    <xf numFmtId="0" fontId="0" fillId="3" borderId="172" xfId="0" applyFill="1" applyBorder="1"/>
    <xf numFmtId="0" fontId="0" fillId="8" borderId="191" xfId="0" applyFill="1" applyBorder="1"/>
    <xf numFmtId="0" fontId="0" fillId="8" borderId="172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268" xfId="0" applyBorder="1"/>
    <xf numFmtId="0" fontId="0" fillId="0" borderId="269" xfId="0" applyBorder="1"/>
    <xf numFmtId="0" fontId="0" fillId="0" borderId="270" xfId="0" applyBorder="1"/>
    <xf numFmtId="0" fontId="0" fillId="0" borderId="271" xfId="0" applyBorder="1"/>
    <xf numFmtId="0" fontId="0" fillId="0" borderId="267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72" xfId="0" applyBorder="1"/>
    <xf numFmtId="0" fontId="0" fillId="0" borderId="273" xfId="0" applyBorder="1"/>
    <xf numFmtId="0" fontId="0" fillId="0" borderId="274" xfId="0" applyBorder="1"/>
    <xf numFmtId="0" fontId="0" fillId="0" borderId="0" xfId="0" applyAlignment="1">
      <alignment horizontal="center"/>
    </xf>
    <xf numFmtId="0" fontId="0" fillId="0" borderId="257" xfId="0" applyBorder="1" applyAlignment="1">
      <alignment horizontal="center"/>
    </xf>
    <xf numFmtId="0" fontId="0" fillId="0" borderId="259" xfId="0" applyBorder="1" applyAlignment="1">
      <alignment horizontal="center"/>
    </xf>
    <xf numFmtId="0" fontId="0" fillId="0" borderId="266" xfId="0" applyBorder="1" applyAlignment="1">
      <alignment horizontal="center"/>
    </xf>
    <xf numFmtId="0" fontId="0" fillId="0" borderId="276" xfId="0" applyBorder="1"/>
    <xf numFmtId="0" fontId="0" fillId="0" borderId="277" xfId="0" applyBorder="1"/>
    <xf numFmtId="0" fontId="0" fillId="0" borderId="278" xfId="0" applyBorder="1"/>
    <xf numFmtId="0" fontId="0" fillId="0" borderId="275" xfId="0" applyBorder="1"/>
    <xf numFmtId="0" fontId="0" fillId="0" borderId="0" xfId="0" applyAlignment="1">
      <alignment horizontal="center"/>
    </xf>
    <xf numFmtId="0" fontId="0" fillId="0" borderId="283" xfId="0" applyBorder="1"/>
    <xf numFmtId="0" fontId="0" fillId="0" borderId="284" xfId="0" applyBorder="1"/>
    <xf numFmtId="0" fontId="0" fillId="0" borderId="285" xfId="0" applyBorder="1"/>
    <xf numFmtId="0" fontId="0" fillId="0" borderId="282" xfId="0" applyBorder="1"/>
    <xf numFmtId="0" fontId="0" fillId="0" borderId="287" xfId="0" applyBorder="1"/>
    <xf numFmtId="0" fontId="0" fillId="0" borderId="288" xfId="0" applyBorder="1"/>
    <xf numFmtId="0" fontId="0" fillId="0" borderId="289" xfId="0" applyBorder="1"/>
    <xf numFmtId="0" fontId="5" fillId="0" borderId="290" xfId="0" applyFont="1" applyBorder="1" applyAlignment="1">
      <alignment horizontal="center"/>
    </xf>
    <xf numFmtId="0" fontId="0" fillId="0" borderId="291" xfId="0" applyBorder="1"/>
    <xf numFmtId="0" fontId="0" fillId="0" borderId="292" xfId="0" applyBorder="1"/>
    <xf numFmtId="0" fontId="0" fillId="0" borderId="293" xfId="0" applyBorder="1"/>
    <xf numFmtId="0" fontId="0" fillId="0" borderId="294" xfId="0" applyBorder="1"/>
    <xf numFmtId="0" fontId="0" fillId="0" borderId="286" xfId="0" applyBorder="1"/>
    <xf numFmtId="0" fontId="0" fillId="0" borderId="257" xfId="0" applyNumberFormat="1" applyFont="1" applyBorder="1"/>
    <xf numFmtId="0" fontId="0" fillId="0" borderId="2" xfId="0" applyFont="1" applyBorder="1"/>
    <xf numFmtId="0" fontId="0" fillId="0" borderId="259" xfId="0" applyFont="1" applyBorder="1"/>
    <xf numFmtId="0" fontId="0" fillId="0" borderId="266" xfId="0" applyFont="1" applyBorder="1"/>
    <xf numFmtId="0" fontId="0" fillId="0" borderId="261" xfId="0" applyNumberFormat="1" applyFont="1" applyBorder="1"/>
    <xf numFmtId="0" fontId="0" fillId="0" borderId="2" xfId="0" applyNumberFormat="1" applyFont="1" applyBorder="1"/>
    <xf numFmtId="0" fontId="0" fillId="0" borderId="266" xfId="0" applyNumberFormat="1" applyFont="1" applyBorder="1"/>
    <xf numFmtId="0" fontId="0" fillId="0" borderId="257" xfId="0" applyFont="1" applyBorder="1"/>
    <xf numFmtId="0" fontId="0" fillId="0" borderId="0" xfId="0" applyAlignment="1">
      <alignment horizontal="center"/>
    </xf>
    <xf numFmtId="0" fontId="0" fillId="0" borderId="287" xfId="0" applyBorder="1" applyAlignment="1">
      <alignment horizontal="center"/>
    </xf>
    <xf numFmtId="0" fontId="0" fillId="0" borderId="289" xfId="0" applyBorder="1" applyAlignment="1">
      <alignment horizontal="center"/>
    </xf>
    <xf numFmtId="0" fontId="0" fillId="0" borderId="263" xfId="0" applyBorder="1" applyAlignment="1">
      <alignment horizontal="center"/>
    </xf>
    <xf numFmtId="0" fontId="0" fillId="0" borderId="265" xfId="0" applyBorder="1" applyAlignment="1">
      <alignment horizontal="center"/>
    </xf>
    <xf numFmtId="0" fontId="0" fillId="0" borderId="211" xfId="0" applyBorder="1" applyAlignment="1">
      <alignment horizontal="right"/>
    </xf>
    <xf numFmtId="0" fontId="0" fillId="0" borderId="213" xfId="0" applyBorder="1" applyAlignment="1">
      <alignment horizontal="right"/>
    </xf>
    <xf numFmtId="167" fontId="0" fillId="0" borderId="155" xfId="0" applyNumberFormat="1" applyBorder="1"/>
    <xf numFmtId="0" fontId="0" fillId="0" borderId="295" xfId="0" applyBorder="1"/>
    <xf numFmtId="167" fontId="0" fillId="0" borderId="0" xfId="0" quotePrefix="1" applyNumberFormat="1"/>
    <xf numFmtId="167" fontId="0" fillId="0" borderId="296" xfId="0" applyNumberFormat="1" applyBorder="1" applyAlignment="1">
      <alignment horizontal="center"/>
    </xf>
    <xf numFmtId="167" fontId="0" fillId="0" borderId="177" xfId="0" applyNumberFormat="1" applyBorder="1" applyAlignment="1">
      <alignment horizontal="center"/>
    </xf>
    <xf numFmtId="167" fontId="0" fillId="0" borderId="158" xfId="0" applyNumberFormat="1" applyBorder="1" applyAlignment="1">
      <alignment horizontal="center"/>
    </xf>
    <xf numFmtId="0" fontId="0" fillId="0" borderId="296" xfId="0" applyNumberFormat="1" applyBorder="1" applyAlignment="1">
      <alignment horizontal="center"/>
    </xf>
    <xf numFmtId="0" fontId="0" fillId="0" borderId="177" xfId="0" applyNumberFormat="1" applyBorder="1" applyAlignment="1">
      <alignment horizontal="center"/>
    </xf>
    <xf numFmtId="0" fontId="0" fillId="0" borderId="158" xfId="0" applyNumberFormat="1" applyBorder="1" applyAlignment="1">
      <alignment horizontal="center"/>
    </xf>
    <xf numFmtId="0" fontId="0" fillId="0" borderId="259" xfId="0" applyNumberFormat="1" applyFont="1" applyBorder="1"/>
    <xf numFmtId="0" fontId="0" fillId="0" borderId="291" xfId="0" applyFont="1" applyBorder="1"/>
    <xf numFmtId="0" fontId="0" fillId="0" borderId="259" xfId="0" applyFont="1" applyFill="1" applyBorder="1"/>
    <xf numFmtId="0" fontId="0" fillId="0" borderId="172" xfId="0" applyFont="1" applyFill="1" applyBorder="1"/>
    <xf numFmtId="0" fontId="0" fillId="0" borderId="157" xfId="0" applyFont="1" applyFill="1" applyBorder="1"/>
    <xf numFmtId="0" fontId="5" fillId="0" borderId="297" xfId="0" applyFont="1" applyBorder="1" applyAlignment="1">
      <alignment horizontal="center"/>
    </xf>
    <xf numFmtId="0" fontId="0" fillId="0" borderId="298" xfId="0" applyBorder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96" xfId="0" applyBorder="1"/>
    <xf numFmtId="0" fontId="0" fillId="0" borderId="258" xfId="0" applyNumberFormat="1" applyFont="1" applyFill="1" applyBorder="1"/>
    <xf numFmtId="0" fontId="0" fillId="0" borderId="0" xfId="0" applyFont="1" applyAlignment="1"/>
    <xf numFmtId="0" fontId="0" fillId="0" borderId="0" xfId="0" quotePrefix="1" applyFont="1" applyAlignment="1">
      <alignment horizontal="left"/>
    </xf>
    <xf numFmtId="0" fontId="0" fillId="0" borderId="0" xfId="0" quotePrefix="1" applyBorder="1"/>
    <xf numFmtId="0" fontId="0" fillId="0" borderId="0" xfId="0" quotePrefix="1" applyBorder="1" applyAlignment="1">
      <alignment horizontal="left"/>
    </xf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0" fillId="0" borderId="280" xfId="0" applyFill="1" applyBorder="1" applyAlignment="1">
      <alignment horizontal="center"/>
    </xf>
    <xf numFmtId="0" fontId="0" fillId="0" borderId="1" xfId="0" quotePrefix="1" applyBorder="1"/>
    <xf numFmtId="0" fontId="0" fillId="0" borderId="3" xfId="0" quotePrefix="1" applyBorder="1"/>
    <xf numFmtId="0" fontId="0" fillId="0" borderId="191" xfId="0" quotePrefix="1" applyBorder="1"/>
    <xf numFmtId="0" fontId="0" fillId="0" borderId="172" xfId="0" quotePrefix="1" applyBorder="1"/>
    <xf numFmtId="0" fontId="0" fillId="0" borderId="155" xfId="0" quotePrefix="1" applyBorder="1"/>
    <xf numFmtId="0" fontId="0" fillId="0" borderId="157" xfId="0" quotePrefix="1" applyBorder="1"/>
    <xf numFmtId="0" fontId="0" fillId="0" borderId="266" xfId="0" applyFill="1" applyBorder="1"/>
    <xf numFmtId="0" fontId="0" fillId="0" borderId="0" xfId="0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258" xfId="0" applyBorder="1" applyAlignment="1">
      <alignment horizontal="center"/>
    </xf>
    <xf numFmtId="0" fontId="0" fillId="0" borderId="299" xfId="0" applyBorder="1"/>
    <xf numFmtId="0" fontId="4" fillId="0" borderId="0" xfId="0" applyFont="1" applyFill="1" applyBorder="1" applyAlignment="1">
      <alignment horizontal="right"/>
    </xf>
    <xf numFmtId="0" fontId="0" fillId="0" borderId="0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0" xfId="0" quotePrefix="1" applyFont="1"/>
    <xf numFmtId="0" fontId="0" fillId="0" borderId="0" xfId="0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77" xfId="0" applyFill="1" applyBorder="1"/>
    <xf numFmtId="0" fontId="0" fillId="0" borderId="158" xfId="0" applyFill="1" applyBorder="1"/>
    <xf numFmtId="9" fontId="0" fillId="0" borderId="0" xfId="0" applyNumberFormat="1" applyFill="1" applyBorder="1" applyAlignment="1"/>
    <xf numFmtId="9" fontId="0" fillId="0" borderId="16" xfId="0" applyNumberFormat="1" applyFill="1" applyBorder="1" applyAlignment="1"/>
    <xf numFmtId="0" fontId="0" fillId="0" borderId="0" xfId="0" applyAlignment="1">
      <alignment horizontal="center"/>
    </xf>
    <xf numFmtId="0" fontId="0" fillId="0" borderId="219" xfId="0" applyBorder="1" applyAlignment="1">
      <alignment horizontal="center"/>
    </xf>
    <xf numFmtId="0" fontId="0" fillId="0" borderId="0" xfId="0" applyAlignment="1">
      <alignment horizontal="center"/>
    </xf>
    <xf numFmtId="0" fontId="22" fillId="0" borderId="266" xfId="0" applyFont="1" applyBorder="1"/>
    <xf numFmtId="3" fontId="22" fillId="0" borderId="266" xfId="3" applyNumberFormat="1" applyFont="1" applyFill="1" applyBorder="1" applyAlignment="1">
      <alignment horizontal="right" wrapText="1"/>
    </xf>
    <xf numFmtId="167" fontId="22" fillId="0" borderId="266" xfId="3" applyNumberFormat="1" applyFont="1" applyBorder="1" applyAlignment="1"/>
    <xf numFmtId="2" fontId="22" fillId="0" borderId="266" xfId="3" applyNumberFormat="1" applyFont="1" applyBorder="1" applyAlignment="1"/>
    <xf numFmtId="167" fontId="22" fillId="0" borderId="266" xfId="3" applyNumberFormat="1" applyFont="1" applyBorder="1" applyAlignment="1">
      <alignment horizontal="right" wrapText="1"/>
    </xf>
    <xf numFmtId="0" fontId="22" fillId="0" borderId="0" xfId="0" applyFont="1" applyBorder="1" applyAlignment="1">
      <alignment horizontal="right"/>
    </xf>
    <xf numFmtId="0" fontId="22" fillId="0" borderId="0" xfId="0" applyFont="1" applyFill="1" applyBorder="1"/>
    <xf numFmtId="0" fontId="10" fillId="0" borderId="0" xfId="0" applyFont="1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171" fontId="0" fillId="0" borderId="257" xfId="5" applyNumberFormat="1" applyFont="1" applyBorder="1"/>
    <xf numFmtId="171" fontId="0" fillId="0" borderId="259" xfId="5" applyNumberFormat="1" applyFont="1" applyBorder="1"/>
    <xf numFmtId="171" fontId="0" fillId="0" borderId="191" xfId="5" applyNumberFormat="1" applyFont="1" applyBorder="1"/>
    <xf numFmtId="171" fontId="0" fillId="0" borderId="172" xfId="5" applyNumberFormat="1" applyFont="1" applyBorder="1"/>
    <xf numFmtId="171" fontId="0" fillId="0" borderId="155" xfId="5" applyNumberFormat="1" applyFont="1" applyBorder="1"/>
    <xf numFmtId="171" fontId="0" fillId="0" borderId="157" xfId="5" applyNumberFormat="1" applyFont="1" applyBorder="1"/>
    <xf numFmtId="171" fontId="0" fillId="0" borderId="191" xfId="5" applyNumberFormat="1" applyFont="1" applyFill="1" applyBorder="1"/>
    <xf numFmtId="171" fontId="0" fillId="0" borderId="172" xfId="5" applyNumberFormat="1" applyFont="1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11" xfId="0" applyBorder="1" applyAlignment="1">
      <alignment horizontal="center" vertical="center"/>
    </xf>
    <xf numFmtId="0" fontId="0" fillId="0" borderId="213" xfId="0" applyBorder="1" applyAlignment="1">
      <alignment horizontal="center" vertical="center"/>
    </xf>
    <xf numFmtId="0" fontId="0" fillId="0" borderId="172" xfId="0" applyFill="1" applyBorder="1" applyAlignment="1">
      <alignment horizontal="center"/>
    </xf>
    <xf numFmtId="0" fontId="0" fillId="0" borderId="266" xfId="0" applyBorder="1" applyAlignment="1">
      <alignment horizontal="center"/>
    </xf>
    <xf numFmtId="0" fontId="0" fillId="0" borderId="219" xfId="0" applyBorder="1" applyAlignment="1">
      <alignment horizontal="center" vertical="center"/>
    </xf>
    <xf numFmtId="0" fontId="0" fillId="0" borderId="259" xfId="0" quotePrefix="1" applyBorder="1" applyAlignment="1">
      <alignment horizontal="center"/>
    </xf>
    <xf numFmtId="0" fontId="0" fillId="0" borderId="172" xfId="0" quotePrefix="1" applyBorder="1" applyAlignment="1">
      <alignment horizontal="center"/>
    </xf>
    <xf numFmtId="0" fontId="0" fillId="0" borderId="157" xfId="0" quotePrefix="1" applyBorder="1" applyAlignment="1">
      <alignment horizontal="center"/>
    </xf>
    <xf numFmtId="0" fontId="0" fillId="0" borderId="2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9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2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300" xfId="0" applyBorder="1"/>
    <xf numFmtId="0" fontId="0" fillId="0" borderId="301" xfId="0" applyBorder="1"/>
    <xf numFmtId="0" fontId="0" fillId="0" borderId="302" xfId="0" applyBorder="1"/>
    <xf numFmtId="0" fontId="0" fillId="0" borderId="303" xfId="0" applyBorder="1"/>
    <xf numFmtId="0" fontId="0" fillId="0" borderId="304" xfId="0" applyBorder="1"/>
    <xf numFmtId="0" fontId="0" fillId="0" borderId="305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304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98" xfId="0" applyBorder="1" applyAlignment="1">
      <alignment horizontal="right"/>
    </xf>
    <xf numFmtId="9" fontId="0" fillId="0" borderId="155" xfId="5" applyFont="1" applyBorder="1"/>
    <xf numFmtId="9" fontId="0" fillId="0" borderId="266" xfId="5" applyFont="1" applyBorder="1"/>
    <xf numFmtId="9" fontId="0" fillId="0" borderId="157" xfId="5" applyFont="1" applyBorder="1"/>
    <xf numFmtId="171" fontId="0" fillId="0" borderId="266" xfId="5" applyNumberFormat="1" applyFont="1" applyBorder="1"/>
    <xf numFmtId="171" fontId="0" fillId="0" borderId="305" xfId="5" applyNumberFormat="1" applyFont="1" applyBorder="1"/>
    <xf numFmtId="0" fontId="0" fillId="8" borderId="0" xfId="0" applyFill="1" applyBorder="1"/>
    <xf numFmtId="0" fontId="0" fillId="0" borderId="300" xfId="0" applyBorder="1" applyAlignment="1">
      <alignment horizontal="center"/>
    </xf>
    <xf numFmtId="0" fontId="0" fillId="0" borderId="288" xfId="0" applyBorder="1" applyAlignment="1">
      <alignment horizontal="center"/>
    </xf>
    <xf numFmtId="10" fontId="0" fillId="0" borderId="301" xfId="0" applyNumberFormat="1" applyBorder="1"/>
    <xf numFmtId="10" fontId="0" fillId="0" borderId="27" xfId="0" applyNumberFormat="1" applyBorder="1"/>
    <xf numFmtId="0" fontId="0" fillId="0" borderId="264" xfId="0" applyBorder="1" applyAlignment="1">
      <alignment horizontal="center"/>
    </xf>
    <xf numFmtId="10" fontId="0" fillId="0" borderId="265" xfId="0" applyNumberFormat="1" applyBorder="1"/>
    <xf numFmtId="10" fontId="0" fillId="0" borderId="263" xfId="0" applyNumberFormat="1" applyBorder="1"/>
    <xf numFmtId="10" fontId="0" fillId="0" borderId="264" xfId="0" applyNumberFormat="1" applyBorder="1"/>
    <xf numFmtId="9" fontId="0" fillId="0" borderId="304" xfId="5" applyFont="1" applyBorder="1"/>
    <xf numFmtId="9" fontId="0" fillId="0" borderId="302" xfId="5" applyFont="1" applyBorder="1"/>
    <xf numFmtId="9" fontId="0" fillId="0" borderId="305" xfId="5" applyFont="1" applyBorder="1"/>
    <xf numFmtId="9" fontId="0" fillId="0" borderId="191" xfId="5" applyFont="1" applyBorder="1"/>
    <xf numFmtId="9" fontId="0" fillId="0" borderId="0" xfId="5" applyFont="1" applyBorder="1"/>
    <xf numFmtId="9" fontId="0" fillId="0" borderId="172" xfId="5" applyFont="1" applyBorder="1"/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304" xfId="0" applyFont="1" applyBorder="1" applyAlignment="1">
      <alignment horizontal="center"/>
    </xf>
    <xf numFmtId="0" fontId="0" fillId="0" borderId="202" xfId="0" applyFill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71" fontId="0" fillId="0" borderId="300" xfId="0" applyNumberFormat="1" applyBorder="1"/>
    <xf numFmtId="171" fontId="0" fillId="0" borderId="288" xfId="0" applyNumberFormat="1" applyBorder="1"/>
    <xf numFmtId="171" fontId="0" fillId="0" borderId="301" xfId="0" applyNumberFormat="1" applyBorder="1"/>
    <xf numFmtId="171" fontId="0" fillId="0" borderId="175" xfId="0" applyNumberFormat="1" applyBorder="1"/>
    <xf numFmtId="171" fontId="0" fillId="0" borderId="0" xfId="0" applyNumberFormat="1" applyBorder="1"/>
    <xf numFmtId="171" fontId="0" fillId="0" borderId="27" xfId="0" applyNumberFormat="1" applyBorder="1"/>
    <xf numFmtId="171" fontId="0" fillId="0" borderId="263" xfId="0" applyNumberFormat="1" applyBorder="1"/>
    <xf numFmtId="171" fontId="0" fillId="0" borderId="264" xfId="0" applyNumberFormat="1" applyBorder="1"/>
    <xf numFmtId="171" fontId="0" fillId="0" borderId="265" xfId="0" applyNumberFormat="1" applyBorder="1"/>
    <xf numFmtId="0" fontId="0" fillId="0" borderId="301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7" fillId="0" borderId="0" xfId="0" applyFont="1"/>
    <xf numFmtId="0" fontId="12" fillId="0" borderId="156" xfId="0" applyFont="1" applyBorder="1"/>
    <xf numFmtId="0" fontId="12" fillId="0" borderId="156" xfId="3" applyFont="1" applyBorder="1" applyAlignment="1">
      <alignment horizontal="right"/>
    </xf>
    <xf numFmtId="167" fontId="12" fillId="0" borderId="156" xfId="3" quotePrefix="1" applyNumberFormat="1" applyFont="1" applyBorder="1" applyAlignment="1">
      <alignment horizontal="right"/>
    </xf>
    <xf numFmtId="167" fontId="12" fillId="0" borderId="156" xfId="0" applyNumberFormat="1" applyFont="1" applyBorder="1"/>
    <xf numFmtId="3" fontId="12" fillId="0" borderId="156" xfId="3" applyNumberFormat="1" applyFont="1" applyFill="1" applyBorder="1" applyAlignment="1">
      <alignment horizontal="right" wrapText="1"/>
    </xf>
    <xf numFmtId="167" fontId="12" fillId="0" borderId="156" xfId="3" applyNumberFormat="1" applyFont="1" applyBorder="1" applyAlignment="1"/>
    <xf numFmtId="2" fontId="12" fillId="0" borderId="156" xfId="3" applyNumberFormat="1" applyFont="1" applyBorder="1" applyAlignment="1"/>
    <xf numFmtId="167" fontId="12" fillId="0" borderId="156" xfId="3" applyNumberFormat="1" applyFont="1" applyBorder="1" applyAlignment="1">
      <alignment horizontal="right" wrapText="1"/>
    </xf>
    <xf numFmtId="167" fontId="12" fillId="0" borderId="156" xfId="4" applyNumberFormat="1" applyFont="1" applyBorder="1" applyAlignment="1"/>
    <xf numFmtId="3" fontId="12" fillId="0" borderId="156" xfId="3" applyNumberFormat="1" applyFont="1" applyBorder="1"/>
    <xf numFmtId="0" fontId="12" fillId="0" borderId="0" xfId="0" applyFont="1" applyAlignment="1">
      <alignment horizontal="right"/>
    </xf>
    <xf numFmtId="0" fontId="12" fillId="0" borderId="228" xfId="0" applyFont="1" applyBorder="1"/>
    <xf numFmtId="0" fontId="12" fillId="0" borderId="2" xfId="0" applyFont="1" applyBorder="1"/>
    <xf numFmtId="0" fontId="12" fillId="0" borderId="230" xfId="0" applyFont="1" applyBorder="1"/>
    <xf numFmtId="0" fontId="12" fillId="0" borderId="155" xfId="0" applyFont="1" applyBorder="1"/>
    <xf numFmtId="0" fontId="12" fillId="0" borderId="157" xfId="0" applyFont="1" applyBorder="1"/>
    <xf numFmtId="0" fontId="12" fillId="0" borderId="227" xfId="0" applyFont="1" applyBorder="1"/>
    <xf numFmtId="0" fontId="12" fillId="0" borderId="177" xfId="0" applyFont="1" applyBorder="1"/>
    <xf numFmtId="0" fontId="12" fillId="0" borderId="158" xfId="0" applyFont="1" applyBorder="1"/>
    <xf numFmtId="0" fontId="12" fillId="0" borderId="17" xfId="0" applyNumberFormat="1" applyFont="1" applyBorder="1" applyAlignment="1">
      <alignment horizontal="right"/>
    </xf>
    <xf numFmtId="0" fontId="0" fillId="0" borderId="7" xfId="0" applyFont="1" applyBorder="1" applyAlignment="1"/>
    <xf numFmtId="0" fontId="12" fillId="0" borderId="0" xfId="3" applyNumberFormat="1" applyFont="1" applyFill="1" applyBorder="1" applyAlignment="1">
      <alignment horizontal="right" wrapText="1"/>
    </xf>
    <xf numFmtId="0" fontId="0" fillId="0" borderId="120" xfId="0" applyFont="1" applyBorder="1"/>
    <xf numFmtId="0" fontId="0" fillId="0" borderId="95" xfId="0" applyFont="1" applyBorder="1"/>
    <xf numFmtId="0" fontId="0" fillId="0" borderId="66" xfId="0" applyFont="1" applyBorder="1"/>
    <xf numFmtId="0" fontId="0" fillId="0" borderId="65" xfId="0" applyFont="1" applyBorder="1"/>
    <xf numFmtId="0" fontId="0" fillId="0" borderId="13" xfId="0" applyFont="1" applyBorder="1"/>
    <xf numFmtId="167" fontId="12" fillId="0" borderId="0" xfId="3" applyNumberFormat="1" applyFont="1" applyBorder="1" applyAlignment="1">
      <alignment horizontal="right"/>
    </xf>
    <xf numFmtId="0" fontId="12" fillId="0" borderId="32" xfId="0" applyFont="1" applyBorder="1"/>
    <xf numFmtId="0" fontId="12" fillId="0" borderId="32" xfId="3" applyFont="1" applyBorder="1" applyAlignment="1">
      <alignment horizontal="right"/>
    </xf>
    <xf numFmtId="167" fontId="12" fillId="0" borderId="32" xfId="3" quotePrefix="1" applyNumberFormat="1" applyFont="1" applyBorder="1" applyAlignment="1">
      <alignment horizontal="right"/>
    </xf>
    <xf numFmtId="167" fontId="12" fillId="0" borderId="32" xfId="0" applyNumberFormat="1" applyFont="1" applyBorder="1"/>
    <xf numFmtId="0" fontId="12" fillId="0" borderId="32" xfId="3" applyNumberFormat="1" applyFont="1" applyFill="1" applyBorder="1" applyAlignment="1">
      <alignment horizontal="right" wrapText="1"/>
    </xf>
    <xf numFmtId="0" fontId="0" fillId="0" borderId="304" xfId="0" applyNumberFormat="1" applyFont="1" applyBorder="1"/>
    <xf numFmtId="0" fontId="0" fillId="0" borderId="305" xfId="0" applyNumberFormat="1" applyFont="1" applyFill="1" applyBorder="1"/>
    <xf numFmtId="0" fontId="0" fillId="0" borderId="157" xfId="0" applyNumberFormat="1" applyFont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5" fillId="0" borderId="266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303" xfId="0" quotePrefix="1" applyBorder="1"/>
    <xf numFmtId="0" fontId="0" fillId="0" borderId="177" xfId="0" quotePrefix="1" applyBorder="1"/>
    <xf numFmtId="0" fontId="0" fillId="0" borderId="265" xfId="0" applyBorder="1" applyAlignment="1">
      <alignment horizontal="right"/>
    </xf>
    <xf numFmtId="0" fontId="0" fillId="0" borderId="219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177" xfId="0" applyBorder="1" applyAlignment="1"/>
    <xf numFmtId="0" fontId="0" fillId="0" borderId="158" xfId="0" applyBorder="1" applyAlignment="1"/>
    <xf numFmtId="0" fontId="0" fillId="0" borderId="304" xfId="0" applyNumberFormat="1" applyBorder="1"/>
    <xf numFmtId="0" fontId="0" fillId="0" borderId="298" xfId="0" applyNumberFormat="1" applyBorder="1"/>
    <xf numFmtId="0" fontId="0" fillId="0" borderId="305" xfId="0" applyNumberFormat="1" applyBorder="1"/>
    <xf numFmtId="0" fontId="0" fillId="0" borderId="191" xfId="0" applyNumberFormat="1" applyBorder="1"/>
    <xf numFmtId="0" fontId="0" fillId="0" borderId="172" xfId="0" applyNumberFormat="1" applyBorder="1"/>
    <xf numFmtId="0" fontId="0" fillId="0" borderId="155" xfId="0" applyNumberFormat="1" applyBorder="1"/>
    <xf numFmtId="0" fontId="0" fillId="0" borderId="266" xfId="0" applyNumberFormat="1" applyBorder="1"/>
    <xf numFmtId="0" fontId="0" fillId="0" borderId="157" xfId="0" applyNumberFormat="1" applyBorder="1"/>
    <xf numFmtId="0" fontId="2" fillId="0" borderId="0" xfId="0" applyFont="1" applyAlignment="1"/>
    <xf numFmtId="169" fontId="13" fillId="8" borderId="21" xfId="0" applyNumberFormat="1" applyFont="1" applyFill="1" applyBorder="1" applyAlignment="1">
      <alignment horizontal="center" wrapText="1"/>
    </xf>
    <xf numFmtId="168" fontId="0" fillId="0" borderId="158" xfId="0" applyNumberFormat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280" xfId="0" applyBorder="1" applyAlignment="1">
      <alignment horizontal="center"/>
    </xf>
    <xf numFmtId="2" fontId="0" fillId="0" borderId="158" xfId="0" applyNumberFormat="1" applyBorder="1"/>
    <xf numFmtId="1" fontId="0" fillId="0" borderId="295" xfId="0" applyNumberFormat="1" applyBorder="1"/>
    <xf numFmtId="167" fontId="0" fillId="0" borderId="255" xfId="0" applyNumberFormat="1" applyBorder="1"/>
    <xf numFmtId="1" fontId="0" fillId="0" borderId="255" xfId="0" applyNumberFormat="1" applyBorder="1"/>
    <xf numFmtId="0" fontId="0" fillId="0" borderId="280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0" borderId="11" xfId="0" applyFill="1" applyBorder="1" applyAlignment="1">
      <alignment horizontal="right"/>
    </xf>
    <xf numFmtId="2" fontId="0" fillId="10" borderId="3" xfId="0" applyNumberFormat="1" applyFill="1" applyBorder="1"/>
    <xf numFmtId="2" fontId="0" fillId="10" borderId="5" xfId="0" applyNumberFormat="1" applyFill="1" applyBorder="1"/>
    <xf numFmtId="2" fontId="0" fillId="10" borderId="8" xfId="0" applyNumberFormat="1" applyFill="1" applyBorder="1"/>
    <xf numFmtId="0" fontId="0" fillId="11" borderId="9" xfId="0" applyFill="1" applyBorder="1" applyAlignment="1">
      <alignment horizontal="right"/>
    </xf>
    <xf numFmtId="0" fontId="0" fillId="11" borderId="10" xfId="0" applyFill="1" applyBorder="1" applyAlignment="1">
      <alignment horizontal="right"/>
    </xf>
    <xf numFmtId="0" fontId="0" fillId="11" borderId="1" xfId="0" applyFill="1" applyBorder="1"/>
    <xf numFmtId="0" fontId="0" fillId="11" borderId="12" xfId="0" applyFill="1" applyBorder="1"/>
    <xf numFmtId="0" fontId="0" fillId="11" borderId="4" xfId="0" applyFill="1" applyBorder="1"/>
    <xf numFmtId="0" fontId="0" fillId="11" borderId="13" xfId="0" applyFill="1" applyBorder="1"/>
    <xf numFmtId="0" fontId="0" fillId="11" borderId="6" xfId="0" applyFill="1" applyBorder="1"/>
    <xf numFmtId="0" fontId="0" fillId="11" borderId="14" xfId="0" applyFill="1" applyBorder="1"/>
    <xf numFmtId="0" fontId="0" fillId="11" borderId="0" xfId="0" applyFill="1"/>
    <xf numFmtId="0" fontId="0" fillId="10" borderId="303" xfId="0" quotePrefix="1" applyFill="1" applyBorder="1"/>
    <xf numFmtId="0" fontId="0" fillId="10" borderId="177" xfId="0" applyFill="1" applyBorder="1"/>
    <xf numFmtId="0" fontId="0" fillId="10" borderId="158" xfId="0" applyFill="1" applyBorder="1"/>
    <xf numFmtId="0" fontId="0" fillId="3" borderId="303" xfId="0" applyFill="1" applyBorder="1"/>
    <xf numFmtId="0" fontId="0" fillId="3" borderId="177" xfId="0" applyFill="1" applyBorder="1"/>
    <xf numFmtId="0" fontId="0" fillId="3" borderId="158" xfId="0" applyFill="1" applyBorder="1"/>
    <xf numFmtId="0" fontId="0" fillId="12" borderId="0" xfId="0" applyFill="1" applyBorder="1"/>
    <xf numFmtId="0" fontId="0" fillId="12" borderId="7" xfId="0" applyFill="1" applyBorder="1"/>
    <xf numFmtId="0" fontId="0" fillId="0" borderId="304" xfId="0" applyFill="1" applyBorder="1"/>
    <xf numFmtId="0" fontId="0" fillId="0" borderId="305" xfId="0" applyFill="1" applyBorder="1"/>
    <xf numFmtId="2" fontId="0" fillId="0" borderId="0" xfId="6" applyNumberFormat="1" applyFont="1"/>
    <xf numFmtId="167" fontId="0" fillId="0" borderId="266" xfId="0" applyNumberFormat="1" applyBorder="1"/>
    <xf numFmtId="0" fontId="0" fillId="3" borderId="231" xfId="0" applyFill="1" applyBorder="1" applyAlignment="1">
      <alignment horizontal="center"/>
    </xf>
    <xf numFmtId="0" fontId="0" fillId="3" borderId="232" xfId="0" applyFill="1" applyBorder="1" applyAlignment="1">
      <alignment horizontal="center"/>
    </xf>
    <xf numFmtId="0" fontId="0" fillId="3" borderId="233" xfId="0" applyFill="1" applyBorder="1" applyAlignment="1">
      <alignment horizontal="center"/>
    </xf>
    <xf numFmtId="0" fontId="0" fillId="3" borderId="191" xfId="0" applyFill="1" applyBorder="1" applyAlignment="1">
      <alignment horizontal="center"/>
    </xf>
    <xf numFmtId="0" fontId="0" fillId="3" borderId="172" xfId="0" applyFill="1" applyBorder="1" applyAlignment="1">
      <alignment horizontal="center"/>
    </xf>
    <xf numFmtId="0" fontId="0" fillId="3" borderId="15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157" xfId="0" applyFill="1" applyBorder="1" applyAlignment="1">
      <alignment horizontal="center"/>
    </xf>
    <xf numFmtId="0" fontId="3" fillId="0" borderId="0" xfId="2" applyFont="1" applyAlignment="1" applyProtection="1"/>
    <xf numFmtId="0" fontId="0" fillId="0" borderId="202" xfId="0" quotePrefix="1" applyBorder="1"/>
    <xf numFmtId="0" fontId="0" fillId="0" borderId="158" xfId="0" quotePrefix="1" applyBorder="1"/>
    <xf numFmtId="0" fontId="0" fillId="0" borderId="1" xfId="0" applyFont="1" applyBorder="1"/>
    <xf numFmtId="0" fontId="0" fillId="0" borderId="298" xfId="0" applyFont="1" applyBorder="1"/>
    <xf numFmtId="0" fontId="0" fillId="0" borderId="3" xfId="0" applyFont="1" applyBorder="1"/>
    <xf numFmtId="0" fontId="0" fillId="0" borderId="255" xfId="0" applyFont="1" applyBorder="1"/>
    <xf numFmtId="0" fontId="12" fillId="0" borderId="298" xfId="0" applyFont="1" applyBorder="1" applyAlignment="1">
      <alignment horizontal="right"/>
    </xf>
    <xf numFmtId="0" fontId="12" fillId="0" borderId="191" xfId="0" applyFont="1" applyBorder="1"/>
    <xf numFmtId="0" fontId="12" fillId="0" borderId="172" xfId="0" applyFont="1" applyFill="1" applyBorder="1"/>
    <xf numFmtId="0" fontId="12" fillId="0" borderId="157" xfId="0" applyFont="1" applyFill="1" applyBorder="1"/>
    <xf numFmtId="0" fontId="0" fillId="0" borderId="298" xfId="0" applyFill="1" applyBorder="1"/>
    <xf numFmtId="0" fontId="12" fillId="0" borderId="3" xfId="0" applyFont="1" applyFill="1" applyBorder="1"/>
    <xf numFmtId="167" fontId="0" fillId="0" borderId="1" xfId="0" applyNumberFormat="1" applyBorder="1"/>
    <xf numFmtId="167" fontId="0" fillId="0" borderId="298" xfId="0" applyNumberFormat="1" applyBorder="1"/>
    <xf numFmtId="167" fontId="0" fillId="0" borderId="3" xfId="0" applyNumberFormat="1" applyBorder="1"/>
    <xf numFmtId="167" fontId="0" fillId="0" borderId="172" xfId="0" applyNumberFormat="1" applyBorder="1"/>
    <xf numFmtId="167" fontId="0" fillId="0" borderId="157" xfId="0" applyNumberFormat="1" applyBorder="1"/>
    <xf numFmtId="167" fontId="0" fillId="0" borderId="303" xfId="0" applyNumberFormat="1" applyBorder="1"/>
    <xf numFmtId="164" fontId="0" fillId="0" borderId="0" xfId="6" applyFont="1"/>
    <xf numFmtId="0" fontId="4" fillId="0" borderId="0" xfId="0" quotePrefix="1" applyFont="1"/>
    <xf numFmtId="0" fontId="4" fillId="0" borderId="0" xfId="0" quotePrefix="1" applyFont="1" applyFill="1" applyBorder="1"/>
    <xf numFmtId="0" fontId="0" fillId="0" borderId="0" xfId="6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5" fillId="0" borderId="15" xfId="0" applyFont="1" applyFill="1" applyBorder="1" applyAlignment="1">
      <alignment horizontal="center"/>
    </xf>
    <xf numFmtId="2" fontId="0" fillId="0" borderId="211" xfId="0" applyNumberFormat="1" applyBorder="1"/>
    <xf numFmtId="2" fontId="0" fillId="0" borderId="213" xfId="0" applyNumberFormat="1" applyBorder="1"/>
    <xf numFmtId="167" fontId="0" fillId="0" borderId="158" xfId="0" applyNumberFormat="1" applyBorder="1"/>
    <xf numFmtId="2" fontId="0" fillId="0" borderId="304" xfId="0" applyNumberFormat="1" applyBorder="1"/>
    <xf numFmtId="2" fontId="0" fillId="0" borderId="305" xfId="0" applyNumberFormat="1" applyBorder="1"/>
    <xf numFmtId="2" fontId="0" fillId="0" borderId="155" xfId="0" applyNumberFormat="1" applyFill="1" applyBorder="1"/>
    <xf numFmtId="2" fontId="0" fillId="0" borderId="157" xfId="0" applyNumberFormat="1" applyFill="1" applyBorder="1"/>
    <xf numFmtId="2" fontId="0" fillId="0" borderId="303" xfId="6" applyNumberFormat="1" applyFont="1" applyBorder="1"/>
    <xf numFmtId="2" fontId="0" fillId="0" borderId="177" xfId="6" applyNumberFormat="1" applyFont="1" applyBorder="1"/>
    <xf numFmtId="0" fontId="0" fillId="0" borderId="158" xfId="6" applyNumberFormat="1" applyFont="1" applyBorder="1"/>
    <xf numFmtId="0" fontId="0" fillId="0" borderId="177" xfId="6" applyNumberFormat="1" applyFont="1" applyFill="1" applyBorder="1"/>
    <xf numFmtId="172" fontId="0" fillId="0" borderId="0" xfId="0" quotePrefix="1" applyNumberFormat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266" xfId="0" applyFill="1" applyBorder="1" applyAlignment="1"/>
    <xf numFmtId="0" fontId="0" fillId="0" borderId="20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03" xfId="0" applyFont="1" applyBorder="1"/>
    <xf numFmtId="0" fontId="0" fillId="0" borderId="0" xfId="0" quotePrefix="1" applyFont="1" applyBorder="1"/>
    <xf numFmtId="0" fontId="0" fillId="0" borderId="306" xfId="0" applyBorder="1"/>
    <xf numFmtId="0" fontId="0" fillId="0" borderId="307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31" fillId="0" borderId="0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211" xfId="0" applyFill="1" applyBorder="1"/>
    <xf numFmtId="0" fontId="0" fillId="0" borderId="0" xfId="0" applyBorder="1" applyAlignment="1">
      <alignment horizontal="center"/>
    </xf>
    <xf numFmtId="0" fontId="0" fillId="0" borderId="0" xfId="0" applyAlignment="1"/>
    <xf numFmtId="168" fontId="0" fillId="0" borderId="298" xfId="0" applyNumberFormat="1" applyBorder="1"/>
    <xf numFmtId="168" fontId="0" fillId="0" borderId="305" xfId="0" applyNumberFormat="1" applyBorder="1"/>
    <xf numFmtId="168" fontId="0" fillId="0" borderId="266" xfId="0" applyNumberFormat="1" applyBorder="1"/>
    <xf numFmtId="168" fontId="0" fillId="0" borderId="172" xfId="0" applyNumberFormat="1" applyFill="1" applyBorder="1"/>
    <xf numFmtId="168" fontId="0" fillId="0" borderId="157" xfId="0" applyNumberFormat="1" applyFill="1" applyBorder="1"/>
    <xf numFmtId="168" fontId="0" fillId="0" borderId="298" xfId="0" quotePrefix="1" applyNumberFormat="1" applyBorder="1" applyAlignment="1">
      <alignment horizontal="right"/>
    </xf>
    <xf numFmtId="0" fontId="0" fillId="0" borderId="305" xfId="0" quotePrefix="1" applyBorder="1" applyAlignment="1">
      <alignment horizontal="right"/>
    </xf>
    <xf numFmtId="168" fontId="0" fillId="0" borderId="0" xfId="0" quotePrefix="1" applyNumberFormat="1" applyBorder="1" applyAlignment="1">
      <alignment horizontal="right"/>
    </xf>
    <xf numFmtId="0" fontId="0" fillId="0" borderId="172" xfId="0" quotePrefix="1" applyBorder="1" applyAlignment="1">
      <alignment horizontal="right"/>
    </xf>
    <xf numFmtId="168" fontId="0" fillId="0" borderId="304" xfId="0" applyNumberFormat="1" applyBorder="1"/>
    <xf numFmtId="168" fontId="0" fillId="0" borderId="305" xfId="0" applyNumberFormat="1" applyFill="1" applyBorder="1"/>
    <xf numFmtId="168" fontId="0" fillId="0" borderId="0" xfId="0" applyNumberFormat="1" applyBorder="1" applyAlignment="1">
      <alignment horizontal="right"/>
    </xf>
    <xf numFmtId="168" fontId="0" fillId="0" borderId="298" xfId="0" applyNumberFormat="1" applyBorder="1" applyAlignment="1">
      <alignment horizontal="right"/>
    </xf>
    <xf numFmtId="168" fontId="0" fillId="0" borderId="305" xfId="0" applyNumberFormat="1" applyBorder="1" applyAlignment="1">
      <alignment horizontal="right"/>
    </xf>
    <xf numFmtId="168" fontId="0" fillId="0" borderId="172" xfId="0" applyNumberFormat="1" applyBorder="1" applyAlignment="1">
      <alignment horizontal="right"/>
    </xf>
    <xf numFmtId="0" fontId="12" fillId="0" borderId="0" xfId="0" applyFont="1" applyFill="1" applyBorder="1"/>
    <xf numFmtId="0" fontId="12" fillId="0" borderId="298" xfId="0" quotePrefix="1" applyFont="1" applyBorder="1" applyAlignment="1">
      <alignment horizontal="right"/>
    </xf>
    <xf numFmtId="0" fontId="12" fillId="0" borderId="0" xfId="0" quotePrefix="1" applyFont="1" applyBorder="1" applyAlignment="1">
      <alignment horizontal="right"/>
    </xf>
    <xf numFmtId="0" fontId="12" fillId="0" borderId="305" xfId="0" quotePrefix="1" applyFont="1" applyBorder="1" applyAlignment="1">
      <alignment horizontal="right"/>
    </xf>
    <xf numFmtId="0" fontId="12" fillId="0" borderId="172" xfId="0" quotePrefix="1" applyFont="1" applyBorder="1" applyAlignment="1">
      <alignment horizontal="right"/>
    </xf>
    <xf numFmtId="0" fontId="12" fillId="0" borderId="298" xfId="0" applyFont="1" applyBorder="1"/>
    <xf numFmtId="0" fontId="12" fillId="0" borderId="266" xfId="0" applyFont="1" applyFill="1" applyBorder="1"/>
    <xf numFmtId="0" fontId="12" fillId="0" borderId="298" xfId="0" applyFont="1" applyFill="1" applyBorder="1"/>
    <xf numFmtId="0" fontId="12" fillId="0" borderId="305" xfId="0" applyFont="1" applyFill="1" applyBorder="1"/>
    <xf numFmtId="0" fontId="12" fillId="0" borderId="304" xfId="0" applyFont="1" applyBorder="1"/>
    <xf numFmtId="0" fontId="12" fillId="0" borderId="305" xfId="0" applyFont="1" applyBorder="1"/>
    <xf numFmtId="0" fontId="12" fillId="0" borderId="172" xfId="0" applyFont="1" applyBorder="1"/>
    <xf numFmtId="0" fontId="12" fillId="0" borderId="266" xfId="0" applyFont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24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1" xfId="0" applyBorder="1" applyAlignment="1"/>
    <xf numFmtId="0" fontId="0" fillId="0" borderId="3" xfId="0" applyBorder="1" applyAlignment="1"/>
    <xf numFmtId="0" fontId="0" fillId="0" borderId="191" xfId="0" applyBorder="1" applyAlignment="1"/>
    <xf numFmtId="0" fontId="0" fillId="0" borderId="172" xfId="0" applyBorder="1" applyAlignment="1"/>
    <xf numFmtId="0" fontId="0" fillId="0" borderId="155" xfId="0" applyBorder="1" applyAlignment="1"/>
    <xf numFmtId="0" fontId="0" fillId="0" borderId="157" xfId="0" applyBorder="1" applyAlignment="1"/>
    <xf numFmtId="0" fontId="12" fillId="0" borderId="302" xfId="0" applyFont="1" applyBorder="1"/>
    <xf numFmtId="1" fontId="0" fillId="0" borderId="306" xfId="0" applyNumberFormat="1" applyBorder="1"/>
    <xf numFmtId="0" fontId="38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219" xfId="0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302" xfId="0" applyFill="1" applyBorder="1"/>
    <xf numFmtId="0" fontId="0" fillId="4" borderId="305" xfId="0" applyFill="1" applyBorder="1"/>
    <xf numFmtId="0" fontId="0" fillId="4" borderId="266" xfId="0" applyFill="1" applyBorder="1"/>
    <xf numFmtId="0" fontId="0" fillId="0" borderId="302" xfId="0" applyFill="1" applyBorder="1"/>
    <xf numFmtId="0" fontId="0" fillId="0" borderId="286" xfId="0" applyBorder="1" applyAlignment="1">
      <alignment horizontal="right"/>
    </xf>
    <xf numFmtId="167" fontId="0" fillId="0" borderId="304" xfId="0" applyNumberFormat="1" applyBorder="1"/>
    <xf numFmtId="167" fontId="0" fillId="0" borderId="305" xfId="0" applyNumberFormat="1" applyBorder="1"/>
    <xf numFmtId="0" fontId="0" fillId="0" borderId="0" xfId="0" applyAlignment="1">
      <alignment horizontal="center"/>
    </xf>
    <xf numFmtId="0" fontId="0" fillId="0" borderId="219" xfId="0" applyBorder="1" applyAlignment="1">
      <alignment horizontal="center"/>
    </xf>
    <xf numFmtId="0" fontId="0" fillId="0" borderId="211" xfId="0" applyBorder="1" applyAlignment="1">
      <alignment horizontal="center"/>
    </xf>
    <xf numFmtId="0" fontId="0" fillId="0" borderId="213" xfId="0" applyBorder="1" applyAlignment="1">
      <alignment horizontal="center"/>
    </xf>
    <xf numFmtId="0" fontId="0" fillId="0" borderId="280" xfId="0" applyBorder="1"/>
    <xf numFmtId="167" fontId="0" fillId="0" borderId="280" xfId="0" applyNumberFormat="1" applyBorder="1"/>
    <xf numFmtId="0" fontId="0" fillId="0" borderId="0" xfId="0" applyAlignment="1">
      <alignment horizontal="center"/>
    </xf>
    <xf numFmtId="0" fontId="0" fillId="0" borderId="219" xfId="0" applyBorder="1" applyAlignment="1">
      <alignment horizontal="center"/>
    </xf>
    <xf numFmtId="0" fontId="0" fillId="0" borderId="211" xfId="0" applyBorder="1" applyAlignment="1">
      <alignment horizontal="center"/>
    </xf>
    <xf numFmtId="0" fontId="0" fillId="0" borderId="21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8" fillId="0" borderId="303" xfId="0" applyFont="1" applyBorder="1" applyAlignment="1">
      <alignment horizontal="center"/>
    </xf>
    <xf numFmtId="1" fontId="8" fillId="0" borderId="303" xfId="0" applyNumberFormat="1" applyFont="1" applyBorder="1" applyAlignment="1">
      <alignment horizontal="center"/>
    </xf>
    <xf numFmtId="0" fontId="0" fillId="0" borderId="303" xfId="0" applyBorder="1" applyAlignment="1">
      <alignment horizontal="center"/>
    </xf>
    <xf numFmtId="1" fontId="0" fillId="0" borderId="303" xfId="0" applyNumberFormat="1" applyBorder="1" applyAlignment="1">
      <alignment horizontal="center"/>
    </xf>
    <xf numFmtId="1" fontId="8" fillId="0" borderId="158" xfId="0" applyNumberFormat="1" applyFont="1" applyFill="1" applyBorder="1" applyAlignment="1">
      <alignment horizontal="center"/>
    </xf>
    <xf numFmtId="0" fontId="0" fillId="0" borderId="305" xfId="0" applyBorder="1" applyAlignment="1">
      <alignment horizontal="center"/>
    </xf>
    <xf numFmtId="0" fontId="0" fillId="8" borderId="0" xfId="0" applyFont="1" applyFill="1"/>
    <xf numFmtId="0" fontId="0" fillId="8" borderId="304" xfId="0" applyFill="1" applyBorder="1"/>
    <xf numFmtId="0" fontId="0" fillId="8" borderId="298" xfId="0" applyFill="1" applyBorder="1"/>
    <xf numFmtId="0" fontId="12" fillId="8" borderId="298" xfId="0" applyFont="1" applyFill="1" applyBorder="1"/>
    <xf numFmtId="0" fontId="0" fillId="8" borderId="305" xfId="0" applyFill="1" applyBorder="1"/>
    <xf numFmtId="0" fontId="0" fillId="8" borderId="0" xfId="0" applyFill="1"/>
    <xf numFmtId="0" fontId="0" fillId="8" borderId="155" xfId="0" applyFill="1" applyBorder="1"/>
    <xf numFmtId="0" fontId="0" fillId="8" borderId="266" xfId="0" applyFill="1" applyBorder="1"/>
    <xf numFmtId="0" fontId="0" fillId="8" borderId="157" xfId="0" applyFill="1" applyBorder="1"/>
    <xf numFmtId="0" fontId="2" fillId="8" borderId="0" xfId="0" applyFont="1" applyFill="1"/>
    <xf numFmtId="0" fontId="12" fillId="8" borderId="0" xfId="0" applyFont="1" applyFill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0" fillId="0" borderId="304" xfId="0" applyBorder="1" applyAlignment="1">
      <alignment horizontal="center"/>
    </xf>
    <xf numFmtId="0" fontId="2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303" xfId="0" applyNumberFormat="1" applyBorder="1"/>
    <xf numFmtId="0" fontId="0" fillId="0" borderId="0" xfId="0" applyAlignment="1">
      <alignment horizontal="center"/>
    </xf>
    <xf numFmtId="0" fontId="0" fillId="0" borderId="219" xfId="0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92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83" xfId="0" quotePrefix="1" applyBorder="1" applyAlignment="1"/>
    <xf numFmtId="0" fontId="0" fillId="0" borderId="0" xfId="0" applyAlignment="1"/>
    <xf numFmtId="0" fontId="5" fillId="0" borderId="0" xfId="0" applyFont="1" applyAlignment="1"/>
    <xf numFmtId="0" fontId="0" fillId="0" borderId="98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51" xfId="0" applyBorder="1" applyAlignment="1">
      <alignment horizontal="center" wrapText="1"/>
    </xf>
    <xf numFmtId="0" fontId="0" fillId="0" borderId="48" xfId="0" applyBorder="1" applyAlignment="1">
      <alignment horizontal="center" wrapText="1"/>
    </xf>
    <xf numFmtId="0" fontId="0" fillId="0" borderId="51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50" xfId="0" applyBorder="1" applyAlignment="1">
      <alignment horizontal="center" wrapText="1"/>
    </xf>
    <xf numFmtId="0" fontId="0" fillId="0" borderId="0" xfId="0" quotePrefix="1" applyAlignment="1">
      <alignment horizontal="left"/>
    </xf>
    <xf numFmtId="0" fontId="0" fillId="0" borderId="51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279" xfId="0" applyBorder="1" applyAlignment="1">
      <alignment horizontal="center"/>
    </xf>
    <xf numFmtId="0" fontId="0" fillId="0" borderId="280" xfId="0" applyBorder="1" applyAlignment="1">
      <alignment horizontal="center"/>
    </xf>
    <xf numFmtId="0" fontId="0" fillId="0" borderId="28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Font="1" applyBorder="1" applyAlignment="1">
      <alignment horizontal="center" vertical="center" wrapText="1"/>
    </xf>
    <xf numFmtId="0" fontId="12" fillId="0" borderId="7" xfId="0" applyFont="1" applyFill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55" xfId="0" applyFont="1" applyBorder="1" applyAlignment="1">
      <alignment horizontal="center" vertical="center" wrapText="1"/>
    </xf>
    <xf numFmtId="0" fontId="5" fillId="0" borderId="2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41" xfId="0" applyBorder="1" applyAlignment="1">
      <alignment horizontal="center"/>
    </xf>
    <xf numFmtId="0" fontId="0" fillId="0" borderId="142" xfId="0" applyBorder="1" applyAlignment="1">
      <alignment horizontal="center"/>
    </xf>
    <xf numFmtId="0" fontId="0" fillId="0" borderId="143" xfId="0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211" xfId="0" applyBorder="1" applyAlignment="1">
      <alignment horizontal="center"/>
    </xf>
    <xf numFmtId="0" fontId="0" fillId="0" borderId="213" xfId="0" applyBorder="1" applyAlignment="1">
      <alignment horizontal="center"/>
    </xf>
    <xf numFmtId="0" fontId="0" fillId="0" borderId="192" xfId="0" applyBorder="1" applyAlignment="1">
      <alignment horizontal="center"/>
    </xf>
    <xf numFmtId="0" fontId="0" fillId="0" borderId="180" xfId="0" applyBorder="1" applyAlignment="1">
      <alignment horizontal="center"/>
    </xf>
    <xf numFmtId="0" fontId="4" fillId="0" borderId="192" xfId="0" applyFont="1" applyBorder="1" applyAlignment="1">
      <alignment horizontal="center"/>
    </xf>
    <xf numFmtId="0" fontId="4" fillId="0" borderId="180" xfId="0" applyFont="1" applyBorder="1" applyAlignment="1">
      <alignment horizontal="center"/>
    </xf>
    <xf numFmtId="0" fontId="13" fillId="0" borderId="19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horizontal="center" vertical="center" wrapText="1"/>
    </xf>
    <xf numFmtId="0" fontId="13" fillId="0" borderId="20" xfId="0" applyFont="1" applyFill="1" applyBorder="1" applyAlignment="1">
      <alignment horizontal="center" vertical="center" wrapText="1"/>
    </xf>
    <xf numFmtId="0" fontId="13" fillId="0" borderId="0" xfId="0" applyFont="1" applyAlignment="1">
      <alignment wrapText="1"/>
    </xf>
    <xf numFmtId="0" fontId="0" fillId="0" borderId="266" xfId="0" applyNumberFormat="1" applyBorder="1" applyAlignment="1">
      <alignment horizontal="center"/>
    </xf>
  </cellXfs>
  <cellStyles count="7">
    <cellStyle name="Comma" xfId="6" builtinId="3"/>
    <cellStyle name="Currency" xfId="1" builtinId="4"/>
    <cellStyle name="Hyperlink" xfId="2" builtinId="8"/>
    <cellStyle name="Normal" xfId="0" builtinId="0"/>
    <cellStyle name="Normal 2" xfId="3"/>
    <cellStyle name="Normal 3" xfId="4"/>
    <cellStyle name="Percent" xfId="5" builtinId="5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externalLink" Target="externalLinks/externalLink1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theme" Target="theme/theme1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styles" Target="style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sharedStrings" Target="sharedStrings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calcChain" Target="calcChain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Marketing Campaign Results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'Bar Chart'!$B$4</c:f>
              <c:strCache>
                <c:ptCount val="1"/>
                <c:pt idx="0">
                  <c:v>Brand A</c:v>
                </c:pt>
              </c:strCache>
            </c:strRef>
          </c:tx>
          <c:cat>
            <c:strRef>
              <c:f>'Bar Chart'!$A$5:$A$10</c:f>
              <c:strCache>
                <c:ptCount val="6"/>
                <c:pt idx="0">
                  <c:v>London</c:v>
                </c:pt>
                <c:pt idx="1">
                  <c:v>Paris</c:v>
                </c:pt>
                <c:pt idx="2">
                  <c:v>Rome</c:v>
                </c:pt>
                <c:pt idx="3">
                  <c:v>Madrid</c:v>
                </c:pt>
                <c:pt idx="4">
                  <c:v>Vienna</c:v>
                </c:pt>
                <c:pt idx="5">
                  <c:v>Berlin</c:v>
                </c:pt>
              </c:strCache>
            </c:strRef>
          </c:cat>
          <c:val>
            <c:numRef>
              <c:f>'Bar Chart'!$B$5:$B$10</c:f>
              <c:numCache>
                <c:formatCode>General</c:formatCode>
                <c:ptCount val="6"/>
                <c:pt idx="0">
                  <c:v>23.5</c:v>
                </c:pt>
                <c:pt idx="1">
                  <c:v>13.8</c:v>
                </c:pt>
                <c:pt idx="2">
                  <c:v>17.3</c:v>
                </c:pt>
                <c:pt idx="3">
                  <c:v>14.8</c:v>
                </c:pt>
                <c:pt idx="4">
                  <c:v>7.2</c:v>
                </c:pt>
                <c:pt idx="5">
                  <c:v>29.5</c:v>
                </c:pt>
              </c:numCache>
            </c:numRef>
          </c:val>
        </c:ser>
        <c:ser>
          <c:idx val="1"/>
          <c:order val="1"/>
          <c:tx>
            <c:strRef>
              <c:f>'Bar Chart'!$C$4</c:f>
              <c:strCache>
                <c:ptCount val="1"/>
                <c:pt idx="0">
                  <c:v>Brand B</c:v>
                </c:pt>
              </c:strCache>
            </c:strRef>
          </c:tx>
          <c:cat>
            <c:strRef>
              <c:f>'Bar Chart'!$A$5:$A$10</c:f>
              <c:strCache>
                <c:ptCount val="6"/>
                <c:pt idx="0">
                  <c:v>London</c:v>
                </c:pt>
                <c:pt idx="1">
                  <c:v>Paris</c:v>
                </c:pt>
                <c:pt idx="2">
                  <c:v>Rome</c:v>
                </c:pt>
                <c:pt idx="3">
                  <c:v>Madrid</c:v>
                </c:pt>
                <c:pt idx="4">
                  <c:v>Vienna</c:v>
                </c:pt>
                <c:pt idx="5">
                  <c:v>Berlin</c:v>
                </c:pt>
              </c:strCache>
            </c:strRef>
          </c:cat>
          <c:val>
            <c:numRef>
              <c:f>'Bar Chart'!$C$5:$C$10</c:f>
              <c:numCache>
                <c:formatCode>General</c:formatCode>
                <c:ptCount val="6"/>
                <c:pt idx="0">
                  <c:v>12.3</c:v>
                </c:pt>
                <c:pt idx="1">
                  <c:v>8.1</c:v>
                </c:pt>
                <c:pt idx="2">
                  <c:v>4.5</c:v>
                </c:pt>
                <c:pt idx="3">
                  <c:v>6.8</c:v>
                </c:pt>
                <c:pt idx="4">
                  <c:v>4.2</c:v>
                </c:pt>
                <c:pt idx="5">
                  <c:v>21.4</c:v>
                </c:pt>
              </c:numCache>
            </c:numRef>
          </c:val>
        </c:ser>
        <c:ser>
          <c:idx val="2"/>
          <c:order val="2"/>
          <c:tx>
            <c:strRef>
              <c:f>'Bar Chart'!$D$4</c:f>
              <c:strCache>
                <c:ptCount val="1"/>
                <c:pt idx="0">
                  <c:v>Brand C</c:v>
                </c:pt>
              </c:strCache>
            </c:strRef>
          </c:tx>
          <c:cat>
            <c:strRef>
              <c:f>'Bar Chart'!$A$5:$A$10</c:f>
              <c:strCache>
                <c:ptCount val="6"/>
                <c:pt idx="0">
                  <c:v>London</c:v>
                </c:pt>
                <c:pt idx="1">
                  <c:v>Paris</c:v>
                </c:pt>
                <c:pt idx="2">
                  <c:v>Rome</c:v>
                </c:pt>
                <c:pt idx="3">
                  <c:v>Madrid</c:v>
                </c:pt>
                <c:pt idx="4">
                  <c:v>Vienna</c:v>
                </c:pt>
                <c:pt idx="5">
                  <c:v>Berlin</c:v>
                </c:pt>
              </c:strCache>
            </c:strRef>
          </c:cat>
          <c:val>
            <c:numRef>
              <c:f>'Bar Chart'!$D$5:$D$10</c:f>
              <c:numCache>
                <c:formatCode>General</c:formatCode>
                <c:ptCount val="6"/>
                <c:pt idx="0">
                  <c:v>15</c:v>
                </c:pt>
                <c:pt idx="1">
                  <c:v>5.5</c:v>
                </c:pt>
                <c:pt idx="2">
                  <c:v>6.9</c:v>
                </c:pt>
                <c:pt idx="3">
                  <c:v>2.7</c:v>
                </c:pt>
                <c:pt idx="4">
                  <c:v>1.6</c:v>
                </c:pt>
                <c:pt idx="5">
                  <c:v>11.6</c:v>
                </c:pt>
              </c:numCache>
            </c:numRef>
          </c:val>
        </c:ser>
        <c:axId val="227265920"/>
        <c:axId val="62543744"/>
      </c:barChart>
      <c:catAx>
        <c:axId val="2272659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City</a:t>
                </a:r>
              </a:p>
            </c:rich>
          </c:tx>
        </c:title>
        <c:tickLblPos val="nextTo"/>
        <c:crossAx val="62543744"/>
        <c:crosses val="autoZero"/>
        <c:auto val="1"/>
        <c:lblAlgn val="ctr"/>
        <c:lblOffset val="100"/>
      </c:catAx>
      <c:valAx>
        <c:axId val="6254374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Sales (millions of euros)</a:t>
                </a:r>
              </a:p>
            </c:rich>
          </c:tx>
        </c:title>
        <c:numFmt formatCode="General" sourceLinked="1"/>
        <c:tickLblPos val="nextTo"/>
        <c:crossAx val="22726592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Average Income by Age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'Line Chart'!$B$3</c:f>
              <c:strCache>
                <c:ptCount val="1"/>
                <c:pt idx="0">
                  <c:v>Income</c:v>
                </c:pt>
              </c:strCache>
            </c:strRef>
          </c:tx>
          <c:marker>
            <c:symbol val="none"/>
          </c:marker>
          <c:cat>
            <c:numRef>
              <c:f>'Line Chart'!$A$4:$A$13</c:f>
              <c:numCache>
                <c:formatCode>General</c:formatCode>
                <c:ptCount val="10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</c:numCache>
            </c:numRef>
          </c:cat>
          <c:val>
            <c:numRef>
              <c:f>'Line Chart'!$B$4:$B$13</c:f>
              <c:numCache>
                <c:formatCode>General</c:formatCode>
                <c:ptCount val="10"/>
                <c:pt idx="0">
                  <c:v>23500</c:v>
                </c:pt>
                <c:pt idx="1">
                  <c:v>24000</c:v>
                </c:pt>
                <c:pt idx="2">
                  <c:v>25000</c:v>
                </c:pt>
                <c:pt idx="3">
                  <c:v>26700</c:v>
                </c:pt>
                <c:pt idx="4">
                  <c:v>27500</c:v>
                </c:pt>
                <c:pt idx="5">
                  <c:v>29200</c:v>
                </c:pt>
                <c:pt idx="6">
                  <c:v>33000</c:v>
                </c:pt>
                <c:pt idx="7">
                  <c:v>35100</c:v>
                </c:pt>
                <c:pt idx="8">
                  <c:v>37400</c:v>
                </c:pt>
                <c:pt idx="9">
                  <c:v>39500</c:v>
                </c:pt>
              </c:numCache>
            </c:numRef>
          </c:val>
        </c:ser>
        <c:marker val="1"/>
        <c:axId val="236763392"/>
        <c:axId val="236765568"/>
      </c:lineChart>
      <c:catAx>
        <c:axId val="2367633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</c:title>
        <c:numFmt formatCode="General" sourceLinked="1"/>
        <c:tickLblPos val="nextTo"/>
        <c:crossAx val="236765568"/>
        <c:crosses val="autoZero"/>
        <c:auto val="1"/>
        <c:lblAlgn val="ctr"/>
        <c:lblOffset val="100"/>
      </c:catAx>
      <c:valAx>
        <c:axId val="236765568"/>
        <c:scaling>
          <c:orientation val="minMax"/>
          <c:min val="2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Income ($000)</a:t>
                </a:r>
              </a:p>
            </c:rich>
          </c:tx>
        </c:title>
        <c:numFmt formatCode="#,##0" sourceLinked="0"/>
        <c:tickLblPos val="nextTo"/>
        <c:crossAx val="23676339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Average Income/Rent by Age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'Line Chart 2'!$B$3</c:f>
              <c:strCache>
                <c:ptCount val="1"/>
                <c:pt idx="0">
                  <c:v>Income</c:v>
                </c:pt>
              </c:strCache>
            </c:strRef>
          </c:tx>
          <c:marker>
            <c:symbol val="none"/>
          </c:marker>
          <c:cat>
            <c:numRef>
              <c:f>'Line Chart 2'!$A$4:$A$13</c:f>
              <c:numCache>
                <c:formatCode>General</c:formatCode>
                <c:ptCount val="10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</c:numCache>
            </c:numRef>
          </c:cat>
          <c:val>
            <c:numRef>
              <c:f>'Line Chart 2'!$B$4:$B$13</c:f>
              <c:numCache>
                <c:formatCode>General</c:formatCode>
                <c:ptCount val="10"/>
                <c:pt idx="0">
                  <c:v>23500</c:v>
                </c:pt>
                <c:pt idx="1">
                  <c:v>24000</c:v>
                </c:pt>
                <c:pt idx="2">
                  <c:v>25000</c:v>
                </c:pt>
                <c:pt idx="3">
                  <c:v>26700</c:v>
                </c:pt>
                <c:pt idx="4">
                  <c:v>27500</c:v>
                </c:pt>
                <c:pt idx="5">
                  <c:v>29200</c:v>
                </c:pt>
                <c:pt idx="6">
                  <c:v>33000</c:v>
                </c:pt>
                <c:pt idx="7">
                  <c:v>35100</c:v>
                </c:pt>
                <c:pt idx="8">
                  <c:v>37400</c:v>
                </c:pt>
                <c:pt idx="9">
                  <c:v>39500</c:v>
                </c:pt>
              </c:numCache>
            </c:numRef>
          </c:val>
        </c:ser>
        <c:ser>
          <c:idx val="1"/>
          <c:order val="1"/>
          <c:tx>
            <c:strRef>
              <c:f>'Line Chart 2'!$C$3</c:f>
              <c:strCache>
                <c:ptCount val="1"/>
                <c:pt idx="0">
                  <c:v>Rent</c:v>
                </c:pt>
              </c:strCache>
            </c:strRef>
          </c:tx>
          <c:marker>
            <c:symbol val="none"/>
          </c:marker>
          <c:cat>
            <c:numRef>
              <c:f>'Line Chart 2'!$A$4:$A$13</c:f>
              <c:numCache>
                <c:formatCode>General</c:formatCode>
                <c:ptCount val="10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</c:numCache>
            </c:numRef>
          </c:cat>
          <c:val>
            <c:numRef>
              <c:f>'Line Chart 2'!$C$4:$C$13</c:f>
              <c:numCache>
                <c:formatCode>General</c:formatCode>
                <c:ptCount val="10"/>
                <c:pt idx="0">
                  <c:v>6000</c:v>
                </c:pt>
                <c:pt idx="1">
                  <c:v>6500</c:v>
                </c:pt>
                <c:pt idx="2">
                  <c:v>7000</c:v>
                </c:pt>
                <c:pt idx="3">
                  <c:v>4500</c:v>
                </c:pt>
                <c:pt idx="4">
                  <c:v>6000</c:v>
                </c:pt>
                <c:pt idx="5">
                  <c:v>7500</c:v>
                </c:pt>
                <c:pt idx="6">
                  <c:v>8000</c:v>
                </c:pt>
                <c:pt idx="7">
                  <c:v>9000</c:v>
                </c:pt>
                <c:pt idx="8">
                  <c:v>7000</c:v>
                </c:pt>
                <c:pt idx="9">
                  <c:v>12000</c:v>
                </c:pt>
              </c:numCache>
            </c:numRef>
          </c:val>
        </c:ser>
        <c:marker val="1"/>
        <c:axId val="236790912"/>
        <c:axId val="236792832"/>
      </c:lineChart>
      <c:catAx>
        <c:axId val="2367909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</a:t>
                </a:r>
              </a:p>
            </c:rich>
          </c:tx>
        </c:title>
        <c:numFmt formatCode="General" sourceLinked="1"/>
        <c:tickLblPos val="nextTo"/>
        <c:crossAx val="236792832"/>
        <c:crosses val="autoZero"/>
        <c:auto val="1"/>
        <c:lblAlgn val="ctr"/>
        <c:lblOffset val="100"/>
      </c:catAx>
      <c:valAx>
        <c:axId val="23679283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Amount ($000)</a:t>
                </a:r>
              </a:p>
            </c:rich>
          </c:tx>
        </c:title>
        <c:numFmt formatCode="#,##0" sourceLinked="0"/>
        <c:tickLblPos val="nextTo"/>
        <c:crossAx val="23679091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lineChart>
        <c:grouping val="standard"/>
        <c:ser>
          <c:idx val="0"/>
          <c:order val="0"/>
          <c:tx>
            <c:strRef>
              <c:f>'Line Chart 2'!$B$3</c:f>
              <c:strCache>
                <c:ptCount val="1"/>
                <c:pt idx="0">
                  <c:v>Income</c:v>
                </c:pt>
              </c:strCache>
            </c:strRef>
          </c:tx>
          <c:marker>
            <c:symbol val="none"/>
          </c:marker>
          <c:val>
            <c:numRef>
              <c:f>'Line Chart 2'!$B$4:$B$13</c:f>
              <c:numCache>
                <c:formatCode>General</c:formatCode>
                <c:ptCount val="10"/>
                <c:pt idx="0">
                  <c:v>23500</c:v>
                </c:pt>
                <c:pt idx="1">
                  <c:v>24000</c:v>
                </c:pt>
                <c:pt idx="2">
                  <c:v>25000</c:v>
                </c:pt>
                <c:pt idx="3">
                  <c:v>26700</c:v>
                </c:pt>
                <c:pt idx="4">
                  <c:v>27500</c:v>
                </c:pt>
                <c:pt idx="5">
                  <c:v>29200</c:v>
                </c:pt>
                <c:pt idx="6">
                  <c:v>33000</c:v>
                </c:pt>
                <c:pt idx="7">
                  <c:v>35100</c:v>
                </c:pt>
                <c:pt idx="8">
                  <c:v>37400</c:v>
                </c:pt>
                <c:pt idx="9">
                  <c:v>39500</c:v>
                </c:pt>
              </c:numCache>
            </c:numRef>
          </c:val>
        </c:ser>
        <c:ser>
          <c:idx val="1"/>
          <c:order val="1"/>
          <c:tx>
            <c:strRef>
              <c:f>'Line Chart 2'!$C$3</c:f>
              <c:strCache>
                <c:ptCount val="1"/>
                <c:pt idx="0">
                  <c:v>Rent</c:v>
                </c:pt>
              </c:strCache>
            </c:strRef>
          </c:tx>
          <c:marker>
            <c:symbol val="none"/>
          </c:marker>
          <c:val>
            <c:numRef>
              <c:f>'Line Chart 2'!$C$4:$C$13</c:f>
              <c:numCache>
                <c:formatCode>General</c:formatCode>
                <c:ptCount val="10"/>
                <c:pt idx="0">
                  <c:v>6000</c:v>
                </c:pt>
                <c:pt idx="1">
                  <c:v>6500</c:v>
                </c:pt>
                <c:pt idx="2">
                  <c:v>7000</c:v>
                </c:pt>
                <c:pt idx="3">
                  <c:v>4500</c:v>
                </c:pt>
                <c:pt idx="4">
                  <c:v>6000</c:v>
                </c:pt>
                <c:pt idx="5">
                  <c:v>7500</c:v>
                </c:pt>
                <c:pt idx="6">
                  <c:v>8000</c:v>
                </c:pt>
                <c:pt idx="7">
                  <c:v>9000</c:v>
                </c:pt>
                <c:pt idx="8">
                  <c:v>7000</c:v>
                </c:pt>
                <c:pt idx="9">
                  <c:v>12000</c:v>
                </c:pt>
              </c:numCache>
            </c:numRef>
          </c:val>
        </c:ser>
        <c:marker val="1"/>
        <c:axId val="237113728"/>
        <c:axId val="237115264"/>
      </c:lineChart>
      <c:catAx>
        <c:axId val="237113728"/>
        <c:scaling>
          <c:orientation val="minMax"/>
        </c:scaling>
        <c:axPos val="b"/>
        <c:tickLblPos val="nextTo"/>
        <c:crossAx val="237115264"/>
        <c:crosses val="autoZero"/>
        <c:auto val="1"/>
        <c:lblAlgn val="ctr"/>
        <c:lblOffset val="100"/>
      </c:catAx>
      <c:valAx>
        <c:axId val="237115264"/>
        <c:scaling>
          <c:orientation val="minMax"/>
        </c:scaling>
        <c:axPos val="l"/>
        <c:majorGridlines/>
        <c:numFmt formatCode="General" sourceLinked="1"/>
        <c:tickLblPos val="nextTo"/>
        <c:crossAx val="23711372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/>
    <c:plotArea>
      <c:layout/>
      <c:lineChart>
        <c:grouping val="standard"/>
        <c:ser>
          <c:idx val="0"/>
          <c:order val="0"/>
          <c:tx>
            <c:strRef>
              <c:f>'Line Chart 2'!$B$21</c:f>
              <c:strCache>
                <c:ptCount val="1"/>
                <c:pt idx="0">
                  <c:v>Income</c:v>
                </c:pt>
              </c:strCache>
            </c:strRef>
          </c:tx>
          <c:marker>
            <c:symbol val="none"/>
          </c:marker>
          <c:val>
            <c:numRef>
              <c:f>'Line Chart 2'!$B$22:$B$31</c:f>
              <c:numCache>
                <c:formatCode>General</c:formatCode>
                <c:ptCount val="10"/>
                <c:pt idx="0">
                  <c:v>23500</c:v>
                </c:pt>
                <c:pt idx="1">
                  <c:v>24000</c:v>
                </c:pt>
                <c:pt idx="2">
                  <c:v>25000</c:v>
                </c:pt>
                <c:pt idx="3">
                  <c:v>26700</c:v>
                </c:pt>
                <c:pt idx="4">
                  <c:v>27500</c:v>
                </c:pt>
                <c:pt idx="5">
                  <c:v>29200</c:v>
                </c:pt>
                <c:pt idx="6">
                  <c:v>33000</c:v>
                </c:pt>
                <c:pt idx="7">
                  <c:v>35100</c:v>
                </c:pt>
                <c:pt idx="8">
                  <c:v>37400</c:v>
                </c:pt>
                <c:pt idx="9">
                  <c:v>39500</c:v>
                </c:pt>
              </c:numCache>
            </c:numRef>
          </c:val>
        </c:ser>
        <c:marker val="1"/>
        <c:axId val="237126784"/>
        <c:axId val="237128320"/>
      </c:lineChart>
      <c:catAx>
        <c:axId val="237126784"/>
        <c:scaling>
          <c:orientation val="minMax"/>
        </c:scaling>
        <c:axPos val="b"/>
        <c:tickLblPos val="nextTo"/>
        <c:crossAx val="237128320"/>
        <c:crosses val="autoZero"/>
        <c:auto val="1"/>
        <c:lblAlgn val="ctr"/>
        <c:lblOffset val="100"/>
      </c:catAx>
      <c:valAx>
        <c:axId val="237128320"/>
        <c:scaling>
          <c:orientation val="minMax"/>
        </c:scaling>
        <c:axPos val="l"/>
        <c:majorGridlines/>
        <c:numFmt formatCode="General" sourceLinked="1"/>
        <c:tickLblPos val="nextTo"/>
        <c:crossAx val="23712678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Frequency Function f(x)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'Prob 1'!$B$3</c:f>
              <c:strCache>
                <c:ptCount val="1"/>
                <c:pt idx="0">
                  <c:v>f(x)</c:v>
                </c:pt>
              </c:strCache>
            </c:strRef>
          </c:tx>
          <c:val>
            <c:numRef>
              <c:f>'Prob 1'!$B$4:$B$11</c:f>
              <c:numCache>
                <c:formatCode>General</c:formatCode>
                <c:ptCount val="8"/>
                <c:pt idx="0">
                  <c:v>0.12</c:v>
                </c:pt>
                <c:pt idx="1">
                  <c:v>0.25</c:v>
                </c:pt>
                <c:pt idx="2">
                  <c:v>0.08</c:v>
                </c:pt>
                <c:pt idx="3">
                  <c:v>0.14000000000000001</c:v>
                </c:pt>
                <c:pt idx="4">
                  <c:v>0.09</c:v>
                </c:pt>
                <c:pt idx="5">
                  <c:v>0.18</c:v>
                </c:pt>
                <c:pt idx="6">
                  <c:v>0.09</c:v>
                </c:pt>
                <c:pt idx="7">
                  <c:v>0.05</c:v>
                </c:pt>
              </c:numCache>
            </c:numRef>
          </c:val>
        </c:ser>
        <c:axId val="239118592"/>
        <c:axId val="239157248"/>
      </c:barChart>
      <c:catAx>
        <c:axId val="239118592"/>
        <c:scaling>
          <c:orientation val="minMax"/>
        </c:scaling>
        <c:axPos val="b"/>
        <c:tickLblPos val="nextTo"/>
        <c:crossAx val="239157248"/>
        <c:crosses val="autoZero"/>
        <c:auto val="1"/>
        <c:lblAlgn val="ctr"/>
        <c:lblOffset val="100"/>
      </c:catAx>
      <c:valAx>
        <c:axId val="239157248"/>
        <c:scaling>
          <c:orientation val="minMax"/>
        </c:scaling>
        <c:axPos val="l"/>
        <c:majorGridlines/>
        <c:numFmt formatCode="#,##0.00" sourceLinked="0"/>
        <c:tickLblPos val="nextTo"/>
        <c:crossAx val="23911859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Distribution Function F(x)</a:t>
            </a:r>
          </a:p>
        </c:rich>
      </c:tx>
    </c:title>
    <c:plotArea>
      <c:layout/>
      <c:barChart>
        <c:barDir val="col"/>
        <c:grouping val="clustered"/>
        <c:ser>
          <c:idx val="1"/>
          <c:order val="0"/>
          <c:tx>
            <c:strRef>
              <c:f>'Prob 1'!$C$3</c:f>
              <c:strCache>
                <c:ptCount val="1"/>
                <c:pt idx="0">
                  <c:v>F(x)</c:v>
                </c:pt>
              </c:strCache>
            </c:strRef>
          </c:tx>
          <c:val>
            <c:numRef>
              <c:f>'Prob 1'!$C$4:$C$11</c:f>
              <c:numCache>
                <c:formatCode>0.00</c:formatCode>
                <c:ptCount val="8"/>
                <c:pt idx="0">
                  <c:v>0.12</c:v>
                </c:pt>
                <c:pt idx="1">
                  <c:v>0.37</c:v>
                </c:pt>
                <c:pt idx="2">
                  <c:v>0.45</c:v>
                </c:pt>
                <c:pt idx="3">
                  <c:v>0.59000000000000008</c:v>
                </c:pt>
                <c:pt idx="4">
                  <c:v>0.68</c:v>
                </c:pt>
                <c:pt idx="5">
                  <c:v>0.8600000000000001</c:v>
                </c:pt>
                <c:pt idx="6">
                  <c:v>0.95000000000000007</c:v>
                </c:pt>
                <c:pt idx="7">
                  <c:v>1</c:v>
                </c:pt>
              </c:numCache>
            </c:numRef>
          </c:val>
        </c:ser>
        <c:axId val="239168512"/>
        <c:axId val="239174400"/>
      </c:barChart>
      <c:catAx>
        <c:axId val="239168512"/>
        <c:scaling>
          <c:orientation val="minMax"/>
        </c:scaling>
        <c:axPos val="b"/>
        <c:tickLblPos val="nextTo"/>
        <c:crossAx val="239174400"/>
        <c:crosses val="autoZero"/>
        <c:auto val="1"/>
        <c:lblAlgn val="ctr"/>
        <c:lblOffset val="100"/>
      </c:catAx>
      <c:valAx>
        <c:axId val="239174400"/>
        <c:scaling>
          <c:orientation val="minMax"/>
        </c:scaling>
        <c:axPos val="l"/>
        <c:majorGridlines/>
        <c:numFmt formatCode="0.0" sourceLinked="0"/>
        <c:tickLblPos val="nextTo"/>
        <c:crossAx val="23916851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cat>
            <c:numRef>
              <c:f>'Prob 2'!$Q$6:$Q$10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'Prob 2'!$R$6:$R$10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axId val="239247744"/>
        <c:axId val="239249664"/>
      </c:barChart>
      <c:catAx>
        <c:axId val="2392477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</c:title>
        <c:numFmt formatCode="General" sourceLinked="1"/>
        <c:tickLblPos val="nextTo"/>
        <c:crossAx val="239249664"/>
        <c:crosses val="autoZero"/>
        <c:auto val="1"/>
        <c:lblAlgn val="ctr"/>
        <c:lblOffset val="100"/>
      </c:catAx>
      <c:valAx>
        <c:axId val="23924966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General" sourceLinked="1"/>
        <c:tickLblPos val="nextTo"/>
        <c:crossAx val="239247744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Histogram!$A$19:$A$23</c:f>
              <c:strCache>
                <c:ptCount val="5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More</c:v>
                </c:pt>
              </c:strCache>
            </c:strRef>
          </c:cat>
          <c:val>
            <c:numRef>
              <c:f>Histogram!$B$19:$B$23</c:f>
              <c:numCache>
                <c:formatCode>General</c:formatCode>
                <c:ptCount val="5"/>
                <c:pt idx="0">
                  <c:v>6</c:v>
                </c:pt>
                <c:pt idx="1">
                  <c:v>10</c:v>
                </c:pt>
                <c:pt idx="2">
                  <c:v>2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</c:ser>
        <c:axId val="241612672"/>
        <c:axId val="228065280"/>
      </c:barChart>
      <c:catAx>
        <c:axId val="2416126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</c:title>
        <c:tickLblPos val="nextTo"/>
        <c:crossAx val="228065280"/>
        <c:crosses val="autoZero"/>
        <c:auto val="1"/>
        <c:lblAlgn val="ctr"/>
        <c:lblOffset val="100"/>
      </c:catAx>
      <c:valAx>
        <c:axId val="22806528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161267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cat>
            <c:numRef>
              <c:f>Histogram!$Q$9:$Q$14</c:f>
              <c:numCache>
                <c:formatCode>General</c:formatCode>
                <c:ptCount val="6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</c:numCache>
            </c:numRef>
          </c:cat>
          <c:val>
            <c:numRef>
              <c:f>Histogram!$R$9:$R$14</c:f>
              <c:numCache>
                <c:formatCode>General</c:formatCode>
                <c:ptCount val="6"/>
                <c:pt idx="0">
                  <c:v>5</c:v>
                </c:pt>
                <c:pt idx="1">
                  <c:v>8</c:v>
                </c:pt>
                <c:pt idx="2">
                  <c:v>5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axId val="228102144"/>
        <c:axId val="228104064"/>
      </c:barChart>
      <c:catAx>
        <c:axId val="2281021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</c:title>
        <c:numFmt formatCode="General" sourceLinked="1"/>
        <c:tickLblPos val="nextTo"/>
        <c:crossAx val="228104064"/>
        <c:crosses val="autoZero"/>
        <c:auto val="1"/>
        <c:lblAlgn val="ctr"/>
        <c:lblOffset val="100"/>
      </c:catAx>
      <c:valAx>
        <c:axId val="22810406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General" sourceLinked="1"/>
        <c:tickLblPos val="nextTo"/>
        <c:crossAx val="228102144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cat>
            <c:numRef>
              <c:f>Histogram!$Q$27:$Q$33</c:f>
              <c:numCache>
                <c:formatCode>General</c:formatCode>
                <c:ptCount val="7"/>
                <c:pt idx="0">
                  <c:v>10</c:v>
                </c:pt>
                <c:pt idx="1">
                  <c:v>25</c:v>
                </c:pt>
                <c:pt idx="2">
                  <c:v>40</c:v>
                </c:pt>
                <c:pt idx="3">
                  <c:v>55</c:v>
                </c:pt>
                <c:pt idx="4">
                  <c:v>70</c:v>
                </c:pt>
                <c:pt idx="5">
                  <c:v>85</c:v>
                </c:pt>
                <c:pt idx="6">
                  <c:v>100</c:v>
                </c:pt>
              </c:numCache>
            </c:numRef>
          </c:cat>
          <c:val>
            <c:numRef>
              <c:f>Histogram!$R$27:$R$33</c:f>
              <c:numCache>
                <c:formatCode>General</c:formatCode>
                <c:ptCount val="7"/>
                <c:pt idx="0">
                  <c:v>3</c:v>
                </c:pt>
                <c:pt idx="1">
                  <c:v>8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</c:ser>
        <c:axId val="228124160"/>
        <c:axId val="228126080"/>
      </c:barChart>
      <c:catAx>
        <c:axId val="2281241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</c:title>
        <c:numFmt formatCode="General" sourceLinked="1"/>
        <c:tickLblPos val="nextTo"/>
        <c:crossAx val="228126080"/>
        <c:crosses val="autoZero"/>
        <c:auto val="1"/>
        <c:lblAlgn val="ctr"/>
        <c:lblOffset val="100"/>
      </c:catAx>
      <c:valAx>
        <c:axId val="22812608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General" sourceLinked="1"/>
        <c:tickLblPos val="nextTo"/>
        <c:crossAx val="22812416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'Box Plot 1'!$K$4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'Box Plot 1'!$L$3:$N$3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1'!$L$4:$N$4</c:f>
              <c:numCache>
                <c:formatCode>General</c:formatCode>
                <c:ptCount val="3"/>
                <c:pt idx="0">
                  <c:v>380</c:v>
                </c:pt>
                <c:pt idx="1">
                  <c:v>300</c:v>
                </c:pt>
                <c:pt idx="2">
                  <c:v>430</c:v>
                </c:pt>
              </c:numCache>
            </c:numRef>
          </c:val>
        </c:ser>
        <c:ser>
          <c:idx val="1"/>
          <c:order val="1"/>
          <c:tx>
            <c:strRef>
              <c:f>'Box Plot 1'!$K$5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'Box Plot 1'!$L$3:$N$3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1'!$L$5:$N$5</c:f>
              <c:numCache>
                <c:formatCode>General</c:formatCode>
                <c:ptCount val="3"/>
                <c:pt idx="0">
                  <c:v>142.5</c:v>
                </c:pt>
                <c:pt idx="1">
                  <c:v>185</c:v>
                </c:pt>
                <c:pt idx="2">
                  <c:v>342.5</c:v>
                </c:pt>
              </c:numCache>
            </c:numRef>
          </c:val>
        </c:ser>
        <c:ser>
          <c:idx val="2"/>
          <c:order val="2"/>
          <c:tx>
            <c:strRef>
              <c:f>'Box Plot 1'!$K$6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'Box Plot 1'!$L$3:$N$3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1'!$L$6:$N$6</c:f>
              <c:numCache>
                <c:formatCode>General</c:formatCode>
                <c:ptCount val="3"/>
                <c:pt idx="0">
                  <c:v>202.5</c:v>
                </c:pt>
                <c:pt idx="1">
                  <c:v>220</c:v>
                </c:pt>
                <c:pt idx="2">
                  <c:v>132.5</c:v>
                </c:pt>
              </c:numCache>
            </c:numRef>
          </c:val>
        </c:ser>
        <c:ser>
          <c:idx val="3"/>
          <c:order val="3"/>
          <c:tx>
            <c:strRef>
              <c:f>'Box Plot 1'!$K$7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'Box Plot 1'!$L$8:$N$8</c:f>
                <c:numCache>
                  <c:formatCode>General</c:formatCode>
                  <c:ptCount val="3"/>
                  <c:pt idx="0">
                    <c:v>597.5</c:v>
                  </c:pt>
                  <c:pt idx="1">
                    <c:v>1025</c:v>
                  </c:pt>
                  <c:pt idx="2">
                    <c:v>512.5</c:v>
                  </c:pt>
                </c:numCache>
              </c:numRef>
            </c:plus>
          </c:errBars>
          <c:cat>
            <c:strRef>
              <c:f>'Box Plot 1'!$L$3:$N$3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1'!$L$7:$N$7</c:f>
              <c:numCache>
                <c:formatCode>General</c:formatCode>
                <c:ptCount val="3"/>
                <c:pt idx="0">
                  <c:v>237.5</c:v>
                </c:pt>
                <c:pt idx="1">
                  <c:v>120</c:v>
                </c:pt>
                <c:pt idx="2">
                  <c:v>332.5</c:v>
                </c:pt>
              </c:numCache>
            </c:numRef>
          </c:val>
        </c:ser>
        <c:overlap val="100"/>
        <c:axId val="241756800"/>
        <c:axId val="242880896"/>
      </c:barChart>
      <c:catAx>
        <c:axId val="241756800"/>
        <c:scaling>
          <c:orientation val="minMax"/>
        </c:scaling>
        <c:axPos val="b"/>
        <c:tickLblPos val="nextTo"/>
        <c:crossAx val="242880896"/>
        <c:crosses val="autoZero"/>
        <c:auto val="1"/>
        <c:lblAlgn val="ctr"/>
        <c:lblOffset val="100"/>
      </c:catAx>
      <c:valAx>
        <c:axId val="242880896"/>
        <c:scaling>
          <c:orientation val="minMax"/>
        </c:scaling>
        <c:axPos val="l"/>
        <c:majorGridlines/>
        <c:numFmt formatCode="General" sourceLinked="1"/>
        <c:tickLblPos val="nextTo"/>
        <c:crossAx val="24175680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</c:title>
    <c:plotArea>
      <c:layout/>
      <c:barChart>
        <c:barDir val="col"/>
        <c:grouping val="stacked"/>
        <c:ser>
          <c:idx val="0"/>
          <c:order val="0"/>
          <c:tx>
            <c:strRef>
              <c:f>'Box Plot 1'!$E$24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'Box Plot 1'!$F$23:$H$23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1'!$F$24:$H$24</c:f>
              <c:numCache>
                <c:formatCode>General</c:formatCode>
                <c:ptCount val="3"/>
                <c:pt idx="0">
                  <c:v>380</c:v>
                </c:pt>
                <c:pt idx="1">
                  <c:v>300</c:v>
                </c:pt>
                <c:pt idx="2">
                  <c:v>430</c:v>
                </c:pt>
              </c:numCache>
            </c:numRef>
          </c:val>
        </c:ser>
        <c:ser>
          <c:idx val="1"/>
          <c:order val="1"/>
          <c:tx>
            <c:strRef>
              <c:f>'Box Plot 1'!$E$25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'Box Plot 1'!$F$23:$H$23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1'!$F$25:$H$25</c:f>
              <c:numCache>
                <c:formatCode>General</c:formatCode>
                <c:ptCount val="3"/>
                <c:pt idx="0">
                  <c:v>125</c:v>
                </c:pt>
                <c:pt idx="1">
                  <c:v>112.5</c:v>
                </c:pt>
                <c:pt idx="2">
                  <c:v>305</c:v>
                </c:pt>
              </c:numCache>
            </c:numRef>
          </c:val>
        </c:ser>
        <c:ser>
          <c:idx val="2"/>
          <c:order val="2"/>
          <c:tx>
            <c:strRef>
              <c:f>'Box Plot 1'!$E$26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'Box Plot 1'!$F$23:$H$23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1'!$F$26:$H$26</c:f>
              <c:numCache>
                <c:formatCode>General</c:formatCode>
                <c:ptCount val="3"/>
                <c:pt idx="0">
                  <c:v>202.5</c:v>
                </c:pt>
                <c:pt idx="1">
                  <c:v>220</c:v>
                </c:pt>
                <c:pt idx="2">
                  <c:v>132.5</c:v>
                </c:pt>
              </c:numCache>
            </c:numRef>
          </c:val>
        </c:ser>
        <c:ser>
          <c:idx val="3"/>
          <c:order val="3"/>
          <c:tx>
            <c:strRef>
              <c:f>'Box Plot 1'!$E$27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'Box Plot 1'!$F$28:$H$28</c:f>
                <c:numCache>
                  <c:formatCode>General</c:formatCode>
                  <c:ptCount val="3"/>
                  <c:pt idx="0">
                    <c:v>562.5</c:v>
                  </c:pt>
                  <c:pt idx="1">
                    <c:v>985</c:v>
                  </c:pt>
                  <c:pt idx="2">
                    <c:v>417.5</c:v>
                  </c:pt>
                </c:numCache>
              </c:numRef>
            </c:plus>
          </c:errBars>
          <c:cat>
            <c:strRef>
              <c:f>'Box Plot 1'!$F$23:$H$23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1'!$F$27:$H$27</c:f>
              <c:numCache>
                <c:formatCode>General</c:formatCode>
                <c:ptCount val="3"/>
                <c:pt idx="0">
                  <c:v>272.5</c:v>
                </c:pt>
                <c:pt idx="1">
                  <c:v>160</c:v>
                </c:pt>
                <c:pt idx="2">
                  <c:v>427.5</c:v>
                </c:pt>
              </c:numCache>
            </c:numRef>
          </c:val>
        </c:ser>
        <c:overlap val="100"/>
        <c:axId val="242923776"/>
        <c:axId val="242929664"/>
      </c:barChart>
      <c:catAx>
        <c:axId val="242923776"/>
        <c:scaling>
          <c:orientation val="minMax"/>
        </c:scaling>
        <c:axPos val="b"/>
        <c:tickLblPos val="nextTo"/>
        <c:crossAx val="242929664"/>
        <c:crosses val="autoZero"/>
        <c:auto val="1"/>
        <c:lblAlgn val="ctr"/>
        <c:lblOffset val="100"/>
      </c:catAx>
      <c:valAx>
        <c:axId val="242929664"/>
        <c:scaling>
          <c:orientation val="minMax"/>
        </c:scaling>
        <c:axPos val="l"/>
        <c:majorGridlines/>
        <c:numFmt formatCode="General" sourceLinked="1"/>
        <c:tickLblPos val="nextTo"/>
        <c:crossAx val="242923776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'Box Plot 2'!$E$4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</c:spPr>
          <c:errBars>
            <c:errBarType val="minus"/>
            <c:errValType val="cust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'Box Plot 2'!$F$7:$H$7</c:f>
                <c:numCache>
                  <c:formatCode>General</c:formatCode>
                  <c:ptCount val="3"/>
                  <c:pt idx="0">
                    <c:v>142.5</c:v>
                  </c:pt>
                  <c:pt idx="1">
                    <c:v>785</c:v>
                  </c:pt>
                  <c:pt idx="2">
                    <c:v>342.5</c:v>
                  </c:pt>
                </c:numCache>
              </c:numRef>
            </c:minus>
          </c:errBars>
          <c:cat>
            <c:strRef>
              <c:f>'Box Plot 2'!$F$3:$H$3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2'!$F$4:$H$4</c:f>
              <c:numCache>
                <c:formatCode>General</c:formatCode>
                <c:ptCount val="3"/>
                <c:pt idx="0">
                  <c:v>522.5</c:v>
                </c:pt>
                <c:pt idx="1">
                  <c:v>485</c:v>
                </c:pt>
                <c:pt idx="2">
                  <c:v>772.5</c:v>
                </c:pt>
              </c:numCache>
            </c:numRef>
          </c:val>
        </c:ser>
        <c:ser>
          <c:idx val="1"/>
          <c:order val="1"/>
          <c:tx>
            <c:strRef>
              <c:f>'Box Plot 2'!$E$5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'Box Plot 2'!$F$3:$H$3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2'!$F$5:$H$5</c:f>
              <c:numCache>
                <c:formatCode>General</c:formatCode>
                <c:ptCount val="3"/>
                <c:pt idx="0">
                  <c:v>202.5</c:v>
                </c:pt>
                <c:pt idx="1">
                  <c:v>220</c:v>
                </c:pt>
                <c:pt idx="2">
                  <c:v>132.5</c:v>
                </c:pt>
              </c:numCache>
            </c:numRef>
          </c:val>
        </c:ser>
        <c:ser>
          <c:idx val="2"/>
          <c:order val="2"/>
          <c:tx>
            <c:strRef>
              <c:f>'Box Plot 2'!$E$6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'Box Plot 2'!$F$8:$H$8</c:f>
                <c:numCache>
                  <c:formatCode>General</c:formatCode>
                  <c:ptCount val="3"/>
                  <c:pt idx="0">
                    <c:v>597.5</c:v>
                  </c:pt>
                  <c:pt idx="1">
                    <c:v>1025</c:v>
                  </c:pt>
                  <c:pt idx="2">
                    <c:v>512.5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'Box Plot 2'!$F$3:$H$3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2'!$F$6:$H$6</c:f>
              <c:numCache>
                <c:formatCode>General</c:formatCode>
                <c:ptCount val="3"/>
                <c:pt idx="0">
                  <c:v>237.5</c:v>
                </c:pt>
                <c:pt idx="1">
                  <c:v>120</c:v>
                </c:pt>
                <c:pt idx="2">
                  <c:v>332.5</c:v>
                </c:pt>
              </c:numCache>
            </c:numRef>
          </c:val>
        </c:ser>
        <c:overlap val="100"/>
        <c:axId val="243001216"/>
        <c:axId val="243002752"/>
      </c:barChart>
      <c:catAx>
        <c:axId val="243001216"/>
        <c:scaling>
          <c:orientation val="minMax"/>
        </c:scaling>
        <c:axPos val="b"/>
        <c:tickLblPos val="nextTo"/>
        <c:crossAx val="243002752"/>
        <c:crosses val="autoZero"/>
        <c:auto val="1"/>
        <c:lblAlgn val="ctr"/>
        <c:lblOffset val="100"/>
      </c:catAx>
      <c:valAx>
        <c:axId val="243002752"/>
        <c:scaling>
          <c:orientation val="minMax"/>
        </c:scaling>
        <c:axPos val="l"/>
        <c:majorGridlines/>
        <c:numFmt formatCode="General" sourceLinked="1"/>
        <c:tickLblPos val="nextTo"/>
        <c:crossAx val="243001216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'Box Plot 2'!$E$4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</c:spPr>
          <c:errBars>
            <c:errBarType val="minus"/>
            <c:errValType val="cust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'Box Plot 2'!$F$7:$H$7</c:f>
                <c:numCache>
                  <c:formatCode>General</c:formatCode>
                  <c:ptCount val="3"/>
                  <c:pt idx="0">
                    <c:v>142.5</c:v>
                  </c:pt>
                  <c:pt idx="1">
                    <c:v>785</c:v>
                  </c:pt>
                  <c:pt idx="2">
                    <c:v>342.5</c:v>
                  </c:pt>
                </c:numCache>
              </c:numRef>
            </c:minus>
          </c:errBars>
          <c:cat>
            <c:strRef>
              <c:f>'Box Plot 2'!$F$22:$H$22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2'!$F$4:$H$4</c:f>
              <c:numCache>
                <c:formatCode>General</c:formatCode>
                <c:ptCount val="3"/>
                <c:pt idx="0">
                  <c:v>522.5</c:v>
                </c:pt>
                <c:pt idx="1">
                  <c:v>485</c:v>
                </c:pt>
                <c:pt idx="2">
                  <c:v>772.5</c:v>
                </c:pt>
              </c:numCache>
            </c:numRef>
          </c:val>
        </c:ser>
        <c:ser>
          <c:idx val="1"/>
          <c:order val="1"/>
          <c:tx>
            <c:strRef>
              <c:f>'Box Plot 2'!$E$24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'Box Plot 2'!$F$22:$H$22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2'!$F$24:$H$24</c:f>
              <c:numCache>
                <c:formatCode>General</c:formatCode>
                <c:ptCount val="3"/>
                <c:pt idx="0">
                  <c:v>220</c:v>
                </c:pt>
                <c:pt idx="1">
                  <c:v>292.5</c:v>
                </c:pt>
                <c:pt idx="2">
                  <c:v>170</c:v>
                </c:pt>
              </c:numCache>
            </c:numRef>
          </c:val>
        </c:ser>
        <c:ser>
          <c:idx val="2"/>
          <c:order val="2"/>
          <c:tx>
            <c:strRef>
              <c:f>'Box Plot 2'!$E$25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'Box Plot 2'!$F$8:$H$8</c:f>
                <c:numCache>
                  <c:formatCode>General</c:formatCode>
                  <c:ptCount val="3"/>
                  <c:pt idx="0">
                    <c:v>597.5</c:v>
                  </c:pt>
                  <c:pt idx="1">
                    <c:v>1025</c:v>
                  </c:pt>
                  <c:pt idx="2">
                    <c:v>512.5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</c:errBars>
          <c:cat>
            <c:strRef>
              <c:f>'Box Plot 2'!$F$22:$H$22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2'!$F$25:$H$25</c:f>
              <c:numCache>
                <c:formatCode>General</c:formatCode>
                <c:ptCount val="3"/>
                <c:pt idx="0">
                  <c:v>272.5</c:v>
                </c:pt>
                <c:pt idx="1">
                  <c:v>160</c:v>
                </c:pt>
                <c:pt idx="2">
                  <c:v>427.5</c:v>
                </c:pt>
              </c:numCache>
            </c:numRef>
          </c:val>
        </c:ser>
        <c:overlap val="100"/>
        <c:axId val="243045120"/>
        <c:axId val="243046656"/>
      </c:barChart>
      <c:catAx>
        <c:axId val="243045120"/>
        <c:scaling>
          <c:orientation val="minMax"/>
        </c:scaling>
        <c:axPos val="b"/>
        <c:tickLblPos val="nextTo"/>
        <c:crossAx val="243046656"/>
        <c:crosses val="autoZero"/>
        <c:auto val="1"/>
        <c:lblAlgn val="ctr"/>
        <c:lblOffset val="100"/>
      </c:catAx>
      <c:valAx>
        <c:axId val="243046656"/>
        <c:scaling>
          <c:orientation val="minMax"/>
        </c:scaling>
        <c:axPos val="l"/>
        <c:majorGridlines/>
        <c:numFmt formatCode="General" sourceLinked="1"/>
        <c:tickLblPos val="nextTo"/>
        <c:crossAx val="24304512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'Box Plot 3'!$E$4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'Box Plot 3'!$F$3:$H$3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3'!$F$4:$H$4</c:f>
              <c:numCache>
                <c:formatCode>General</c:formatCode>
                <c:ptCount val="3"/>
                <c:pt idx="0">
                  <c:v>380</c:v>
                </c:pt>
                <c:pt idx="1">
                  <c:v>-300</c:v>
                </c:pt>
                <c:pt idx="2">
                  <c:v>430</c:v>
                </c:pt>
              </c:numCache>
            </c:numRef>
          </c:val>
        </c:ser>
        <c:ser>
          <c:idx val="1"/>
          <c:order val="1"/>
          <c:tx>
            <c:strRef>
              <c:f>'Box Plot 3'!$E$5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'Box Plot 3'!$F$3:$H$3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3'!$F$5:$H$5</c:f>
              <c:numCache>
                <c:formatCode>General</c:formatCode>
                <c:ptCount val="3"/>
                <c:pt idx="0">
                  <c:v>142.5</c:v>
                </c:pt>
                <c:pt idx="1">
                  <c:v>785</c:v>
                </c:pt>
                <c:pt idx="2">
                  <c:v>342.5</c:v>
                </c:pt>
              </c:numCache>
            </c:numRef>
          </c:val>
        </c:ser>
        <c:ser>
          <c:idx val="2"/>
          <c:order val="2"/>
          <c:tx>
            <c:strRef>
              <c:f>'Box Plot 3'!$E$6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'Box Plot 3'!$F$3:$H$3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3'!$F$6:$H$6</c:f>
              <c:numCache>
                <c:formatCode>General</c:formatCode>
                <c:ptCount val="3"/>
                <c:pt idx="0">
                  <c:v>202.5</c:v>
                </c:pt>
                <c:pt idx="1">
                  <c:v>220</c:v>
                </c:pt>
                <c:pt idx="2">
                  <c:v>132.5</c:v>
                </c:pt>
              </c:numCache>
            </c:numRef>
          </c:val>
        </c:ser>
        <c:ser>
          <c:idx val="3"/>
          <c:order val="3"/>
          <c:tx>
            <c:strRef>
              <c:f>'Box Plot 3'!$E$7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'Box Plot 3'!$F$8:$H$8</c:f>
                <c:numCache>
                  <c:formatCode>General</c:formatCode>
                  <c:ptCount val="3"/>
                  <c:pt idx="0">
                    <c:v>597.5</c:v>
                  </c:pt>
                  <c:pt idx="1">
                    <c:v>1025</c:v>
                  </c:pt>
                  <c:pt idx="2">
                    <c:v>512.5</c:v>
                  </c:pt>
                </c:numCache>
              </c:numRef>
            </c:plus>
          </c:errBars>
          <c:cat>
            <c:strRef>
              <c:f>'Box Plot 3'!$F$3:$H$3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3'!$F$7:$H$7</c:f>
              <c:numCache>
                <c:formatCode>General</c:formatCode>
                <c:ptCount val="3"/>
                <c:pt idx="0">
                  <c:v>237.5</c:v>
                </c:pt>
                <c:pt idx="1">
                  <c:v>120</c:v>
                </c:pt>
                <c:pt idx="2">
                  <c:v>332.5</c:v>
                </c:pt>
              </c:numCache>
            </c:numRef>
          </c:val>
        </c:ser>
        <c:overlap val="100"/>
        <c:axId val="243114752"/>
        <c:axId val="243116288"/>
      </c:barChart>
      <c:catAx>
        <c:axId val="243114752"/>
        <c:scaling>
          <c:orientation val="minMax"/>
        </c:scaling>
        <c:axPos val="b"/>
        <c:tickLblPos val="nextTo"/>
        <c:crossAx val="243116288"/>
        <c:crosses val="autoZero"/>
        <c:auto val="1"/>
        <c:lblAlgn val="ctr"/>
        <c:lblOffset val="100"/>
      </c:catAx>
      <c:valAx>
        <c:axId val="243116288"/>
        <c:scaling>
          <c:orientation val="minMax"/>
        </c:scaling>
        <c:delete val="1"/>
        <c:axPos val="l"/>
        <c:majorGridlines/>
        <c:numFmt formatCode="General" sourceLinked="1"/>
        <c:tickLblPos val="none"/>
        <c:crossAx val="24311475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'Box Plot 3'!$E$4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'Box Plot 3'!$F$22:$H$22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3'!$F$4:$H$4</c:f>
              <c:numCache>
                <c:formatCode>General</c:formatCode>
                <c:ptCount val="3"/>
                <c:pt idx="0">
                  <c:v>380</c:v>
                </c:pt>
                <c:pt idx="1">
                  <c:v>-300</c:v>
                </c:pt>
                <c:pt idx="2">
                  <c:v>430</c:v>
                </c:pt>
              </c:numCache>
            </c:numRef>
          </c:val>
        </c:ser>
        <c:ser>
          <c:idx val="1"/>
          <c:order val="1"/>
          <c:tx>
            <c:strRef>
              <c:f>'Box Plot 3'!$E$5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'Box Plot 3'!$F$22:$H$22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3'!$F$5:$H$5</c:f>
              <c:numCache>
                <c:formatCode>General</c:formatCode>
                <c:ptCount val="3"/>
                <c:pt idx="0">
                  <c:v>142.5</c:v>
                </c:pt>
                <c:pt idx="1">
                  <c:v>785</c:v>
                </c:pt>
                <c:pt idx="2">
                  <c:v>342.5</c:v>
                </c:pt>
              </c:numCache>
            </c:numRef>
          </c:val>
        </c:ser>
        <c:ser>
          <c:idx val="2"/>
          <c:order val="2"/>
          <c:tx>
            <c:strRef>
              <c:f>'Box Plot 3'!$E$25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'Box Plot 3'!$F$22:$H$22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3'!$F$25:$H$25</c:f>
              <c:numCache>
                <c:formatCode>General</c:formatCode>
                <c:ptCount val="3"/>
                <c:pt idx="0">
                  <c:v>445</c:v>
                </c:pt>
                <c:pt idx="1">
                  <c:v>352.5</c:v>
                </c:pt>
                <c:pt idx="2">
                  <c:v>505</c:v>
                </c:pt>
              </c:numCache>
            </c:numRef>
          </c:val>
        </c:ser>
        <c:ser>
          <c:idx val="3"/>
          <c:order val="3"/>
          <c:tx>
            <c:strRef>
              <c:f>'Box Plot 3'!$E$26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'Box Plot 3'!$F$8:$H$8</c:f>
                <c:numCache>
                  <c:formatCode>General</c:formatCode>
                  <c:ptCount val="3"/>
                  <c:pt idx="0">
                    <c:v>597.5</c:v>
                  </c:pt>
                  <c:pt idx="1">
                    <c:v>1025</c:v>
                  </c:pt>
                  <c:pt idx="2">
                    <c:v>512.5</c:v>
                  </c:pt>
                </c:numCache>
              </c:numRef>
            </c:plus>
          </c:errBars>
          <c:cat>
            <c:strRef>
              <c:f>'Box Plot 3'!$F$22:$H$22</c:f>
              <c:strCache>
                <c:ptCount val="3"/>
                <c:pt idx="0">
                  <c:v>Brand A</c:v>
                </c:pt>
                <c:pt idx="1">
                  <c:v>Brand B</c:v>
                </c:pt>
                <c:pt idx="2">
                  <c:v>Brand C</c:v>
                </c:pt>
              </c:strCache>
            </c:strRef>
          </c:cat>
          <c:val>
            <c:numRef>
              <c:f>'Box Plot 3'!$F$26:$H$26</c:f>
              <c:numCache>
                <c:formatCode>General</c:formatCode>
                <c:ptCount val="3"/>
                <c:pt idx="0">
                  <c:v>272.5</c:v>
                </c:pt>
                <c:pt idx="1">
                  <c:v>160</c:v>
                </c:pt>
                <c:pt idx="2">
                  <c:v>427.5</c:v>
                </c:pt>
              </c:numCache>
            </c:numRef>
          </c:val>
        </c:ser>
        <c:overlap val="100"/>
        <c:axId val="243151232"/>
        <c:axId val="243152768"/>
      </c:barChart>
      <c:catAx>
        <c:axId val="243151232"/>
        <c:scaling>
          <c:orientation val="minMax"/>
        </c:scaling>
        <c:axPos val="b"/>
        <c:tickLblPos val="nextTo"/>
        <c:crossAx val="243152768"/>
        <c:crosses val="autoZero"/>
        <c:auto val="1"/>
        <c:lblAlgn val="ctr"/>
        <c:lblOffset val="100"/>
      </c:catAx>
      <c:valAx>
        <c:axId val="243152768"/>
        <c:scaling>
          <c:orientation val="minMax"/>
        </c:scaling>
        <c:delete val="1"/>
        <c:axPos val="l"/>
        <c:majorGridlines/>
        <c:numFmt formatCode="General" sourceLinked="1"/>
        <c:tickLblPos val="none"/>
        <c:crossAx val="24315123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IQ Scores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'Normal 1'!$B$3</c:f>
              <c:strCache>
                <c:ptCount val="1"/>
                <c:pt idx="0">
                  <c:v>f(x)</c:v>
                </c:pt>
              </c:strCache>
            </c:strRef>
          </c:tx>
          <c:marker>
            <c:symbol val="none"/>
          </c:marker>
          <c:cat>
            <c:numRef>
              <c:f>'Normal 1'!$A$4:$A$104</c:f>
              <c:numCache>
                <c:formatCode>General</c:formatCode>
                <c:ptCount val="101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</c:numCache>
            </c:numRef>
          </c:cat>
          <c:val>
            <c:numRef>
              <c:f>'Normal 1'!$B$4:$B$104</c:f>
              <c:numCache>
                <c:formatCode>0.0000</c:formatCode>
                <c:ptCount val="101"/>
                <c:pt idx="0">
                  <c:v>1.8889112719992226E-4</c:v>
                </c:pt>
                <c:pt idx="1">
                  <c:v>2.2918514664338913E-4</c:v>
                </c:pt>
                <c:pt idx="2">
                  <c:v>2.7699052574612547E-4</c:v>
                </c:pt>
                <c:pt idx="3">
                  <c:v>3.3346242072414468E-4</c:v>
                </c:pt>
                <c:pt idx="4">
                  <c:v>3.9988251942022228E-4</c:v>
                </c:pt>
                <c:pt idx="5">
                  <c:v>4.776628636716501E-4</c:v>
                </c:pt>
                <c:pt idx="6">
                  <c:v>5.6834765634944081E-4</c:v>
                </c:pt>
                <c:pt idx="7">
                  <c:v>6.7361260626693149E-4</c:v>
                </c:pt>
                <c:pt idx="8">
                  <c:v>7.9526134980196454E-4</c:v>
                </c:pt>
                <c:pt idx="9">
                  <c:v>9.3521848661962169E-4</c:v>
                </c:pt>
                <c:pt idx="10">
                  <c:v>1.0955187808480338E-3</c:v>
                </c:pt>
                <c:pt idx="11">
                  <c:v>1.2782921107988374E-3</c:v>
                </c:pt>
                <c:pt idx="12">
                  <c:v>1.4857438018696129E-3</c:v>
                </c:pt>
                <c:pt idx="13">
                  <c:v>1.7201300501815293E-3</c:v>
                </c:pt>
                <c:pt idx="14">
                  <c:v>1.9837282397292136E-3</c:v>
                </c:pt>
                <c:pt idx="15">
                  <c:v>2.2788020735120089E-3</c:v>
                </c:pt>
                <c:pt idx="16">
                  <c:v>2.6075615785211633E-3</c:v>
                </c:pt>
                <c:pt idx="17">
                  <c:v>2.9721182037899768E-3</c:v>
                </c:pt>
                <c:pt idx="18">
                  <c:v>3.3744354070742539E-3</c:v>
                </c:pt>
                <c:pt idx="19">
                  <c:v>3.8162753150666464E-3</c:v>
                </c:pt>
                <c:pt idx="20">
                  <c:v>4.299142239168244E-3</c:v>
                </c:pt>
                <c:pt idx="21">
                  <c:v>4.8242240274819197E-3</c:v>
                </c:pt>
                <c:pt idx="22">
                  <c:v>5.3923324266569707E-3</c:v>
                </c:pt>
                <c:pt idx="23">
                  <c:v>6.0038438065695846E-3</c:v>
                </c:pt>
                <c:pt idx="24">
                  <c:v>6.6586417581615672E-3</c:v>
                </c:pt>
                <c:pt idx="25">
                  <c:v>7.3560632015200033E-3</c:v>
                </c:pt>
                <c:pt idx="26">
                  <c:v>8.094849729118234E-3</c:v>
                </c:pt>
                <c:pt idx="27">
                  <c:v>8.8731059503259716E-3</c:v>
                </c:pt>
                <c:pt idx="28">
                  <c:v>9.6882665911433262E-3</c:v>
                </c:pt>
                <c:pt idx="29">
                  <c:v>1.0537074032382195E-2</c:v>
                </c:pt>
                <c:pt idx="30">
                  <c:v>1.141556783681387E-2</c:v>
                </c:pt>
                <c:pt idx="31">
                  <c:v>1.2319087619911706E-2</c:v>
                </c:pt>
                <c:pt idx="32">
                  <c:v>1.3242290360981217E-2</c:v>
                </c:pt>
                <c:pt idx="33">
                  <c:v>1.417918293555079E-2</c:v>
                </c:pt>
                <c:pt idx="34">
                  <c:v>1.512317028244646E-2</c:v>
                </c:pt>
                <c:pt idx="35">
                  <c:v>1.6067119209170918E-2</c:v>
                </c:pt>
                <c:pt idx="36">
                  <c:v>1.700343739865897E-2</c:v>
                </c:pt>
                <c:pt idx="37">
                  <c:v>1.7924166722900904E-2</c:v>
                </c:pt>
                <c:pt idx="38">
                  <c:v>1.8821089509675277E-2</c:v>
                </c:pt>
                <c:pt idx="39">
                  <c:v>1.9685845964162084E-2</c:v>
                </c:pt>
                <c:pt idx="40">
                  <c:v>2.0510060534398442E-2</c:v>
                </c:pt>
                <c:pt idx="41">
                  <c:v>2.1285474644989418E-2</c:v>
                </c:pt>
                <c:pt idx="42">
                  <c:v>2.200408292276872E-2</c:v>
                </c:pt>
                <c:pt idx="43">
                  <c:v>2.2658269815027828E-2</c:v>
                </c:pt>
                <c:pt idx="44">
                  <c:v>2.3240943366860559E-2</c:v>
                </c:pt>
                <c:pt idx="45">
                  <c:v>2.3745662887414237E-2</c:v>
                </c:pt>
                <c:pt idx="46">
                  <c:v>2.4166757300178077E-2</c:v>
                </c:pt>
                <c:pt idx="47">
                  <c:v>2.4499431140785746E-2</c:v>
                </c:pt>
                <c:pt idx="48">
                  <c:v>2.4739855434046845E-2</c:v>
                </c:pt>
                <c:pt idx="49">
                  <c:v>2.4885241042930415E-2</c:v>
                </c:pt>
                <c:pt idx="50">
                  <c:v>2.4933892525089544E-2</c:v>
                </c:pt>
                <c:pt idx="51">
                  <c:v>2.4885241042930415E-2</c:v>
                </c:pt>
                <c:pt idx="52">
                  <c:v>2.4739855434046845E-2</c:v>
                </c:pt>
                <c:pt idx="53">
                  <c:v>2.4499431140785746E-2</c:v>
                </c:pt>
                <c:pt idx="54">
                  <c:v>2.4166757300178077E-2</c:v>
                </c:pt>
                <c:pt idx="55">
                  <c:v>2.3745662887414237E-2</c:v>
                </c:pt>
                <c:pt idx="56">
                  <c:v>2.3240943366860559E-2</c:v>
                </c:pt>
                <c:pt idx="57">
                  <c:v>2.2658269815027828E-2</c:v>
                </c:pt>
                <c:pt idx="58">
                  <c:v>2.200408292276872E-2</c:v>
                </c:pt>
                <c:pt idx="59">
                  <c:v>2.1285474644989418E-2</c:v>
                </c:pt>
                <c:pt idx="60">
                  <c:v>2.0510060534398442E-2</c:v>
                </c:pt>
                <c:pt idx="61">
                  <c:v>1.9685845964162084E-2</c:v>
                </c:pt>
                <c:pt idx="62">
                  <c:v>1.8821089509675277E-2</c:v>
                </c:pt>
                <c:pt idx="63">
                  <c:v>1.7924166722900904E-2</c:v>
                </c:pt>
                <c:pt idx="64">
                  <c:v>1.700343739865897E-2</c:v>
                </c:pt>
                <c:pt idx="65">
                  <c:v>1.6067119209170918E-2</c:v>
                </c:pt>
                <c:pt idx="66">
                  <c:v>1.512317028244646E-2</c:v>
                </c:pt>
                <c:pt idx="67">
                  <c:v>1.417918293555079E-2</c:v>
                </c:pt>
                <c:pt idx="68">
                  <c:v>1.3242290360981217E-2</c:v>
                </c:pt>
                <c:pt idx="69">
                  <c:v>1.2319087619911706E-2</c:v>
                </c:pt>
                <c:pt idx="70">
                  <c:v>1.141556783681387E-2</c:v>
                </c:pt>
                <c:pt idx="71">
                  <c:v>1.0537074032382195E-2</c:v>
                </c:pt>
                <c:pt idx="72">
                  <c:v>9.6882665911433262E-3</c:v>
                </c:pt>
                <c:pt idx="73">
                  <c:v>8.8731059503259716E-3</c:v>
                </c:pt>
                <c:pt idx="74">
                  <c:v>8.094849729118234E-3</c:v>
                </c:pt>
                <c:pt idx="75">
                  <c:v>7.3560632015200033E-3</c:v>
                </c:pt>
                <c:pt idx="76">
                  <c:v>6.6586417581615672E-3</c:v>
                </c:pt>
                <c:pt idx="77">
                  <c:v>6.0038438065695846E-3</c:v>
                </c:pt>
                <c:pt idx="78">
                  <c:v>5.3923324266569707E-3</c:v>
                </c:pt>
                <c:pt idx="79">
                  <c:v>4.8242240274819197E-3</c:v>
                </c:pt>
                <c:pt idx="80">
                  <c:v>4.299142239168244E-3</c:v>
                </c:pt>
                <c:pt idx="81">
                  <c:v>3.8162753150666464E-3</c:v>
                </c:pt>
                <c:pt idx="82">
                  <c:v>3.3744354070742539E-3</c:v>
                </c:pt>
                <c:pt idx="83">
                  <c:v>2.9721182037899768E-3</c:v>
                </c:pt>
                <c:pt idx="84">
                  <c:v>2.6075615785211633E-3</c:v>
                </c:pt>
                <c:pt idx="85">
                  <c:v>2.2788020735120089E-3</c:v>
                </c:pt>
                <c:pt idx="86">
                  <c:v>1.9837282397292136E-3</c:v>
                </c:pt>
                <c:pt idx="87">
                  <c:v>1.7201300501815293E-3</c:v>
                </c:pt>
                <c:pt idx="88">
                  <c:v>1.4857438018696129E-3</c:v>
                </c:pt>
                <c:pt idx="89">
                  <c:v>1.2782921107988374E-3</c:v>
                </c:pt>
                <c:pt idx="90">
                  <c:v>1.0955187808480338E-3</c:v>
                </c:pt>
                <c:pt idx="91">
                  <c:v>9.3521848661962169E-4</c:v>
                </c:pt>
                <c:pt idx="92">
                  <c:v>7.9526134980196454E-4</c:v>
                </c:pt>
                <c:pt idx="93">
                  <c:v>6.7361260626693149E-4</c:v>
                </c:pt>
                <c:pt idx="94">
                  <c:v>5.6834765634944081E-4</c:v>
                </c:pt>
                <c:pt idx="95">
                  <c:v>4.776628636716501E-4</c:v>
                </c:pt>
                <c:pt idx="96">
                  <c:v>3.9988251942022228E-4</c:v>
                </c:pt>
                <c:pt idx="97">
                  <c:v>3.3346242072414468E-4</c:v>
                </c:pt>
                <c:pt idx="98">
                  <c:v>2.7699052574612547E-4</c:v>
                </c:pt>
                <c:pt idx="99">
                  <c:v>2.2918514664338913E-4</c:v>
                </c:pt>
                <c:pt idx="100">
                  <c:v>1.8889112719992226E-4</c:v>
                </c:pt>
              </c:numCache>
            </c:numRef>
          </c:val>
        </c:ser>
        <c:marker val="1"/>
        <c:axId val="244675712"/>
        <c:axId val="244677248"/>
      </c:lineChart>
      <c:catAx>
        <c:axId val="244675712"/>
        <c:scaling>
          <c:orientation val="minMax"/>
        </c:scaling>
        <c:axPos val="b"/>
        <c:numFmt formatCode="General" sourceLinked="1"/>
        <c:tickLblPos val="nextTo"/>
        <c:crossAx val="244677248"/>
        <c:crosses val="autoZero"/>
        <c:auto val="1"/>
        <c:lblAlgn val="ctr"/>
        <c:lblOffset val="100"/>
        <c:tickLblSkip val="10"/>
        <c:tickMarkSkip val="10"/>
      </c:catAx>
      <c:valAx>
        <c:axId val="244677248"/>
        <c:scaling>
          <c:orientation val="minMax"/>
        </c:scaling>
        <c:axPos val="l"/>
        <c:majorGridlines/>
        <c:numFmt formatCode="0.000" sourceLinked="0"/>
        <c:tickLblPos val="nextTo"/>
        <c:crossAx val="24467571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Z-Scores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'Normal 1'!$B$107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'Normal 1'!$A$108:$A$133</c:f>
              <c:numCache>
                <c:formatCode>0.00</c:formatCode>
                <c:ptCount val="26"/>
                <c:pt idx="0">
                  <c:v>-3</c:v>
                </c:pt>
                <c:pt idx="1">
                  <c:v>-2.75</c:v>
                </c:pt>
                <c:pt idx="2">
                  <c:v>-2.5</c:v>
                </c:pt>
                <c:pt idx="3">
                  <c:v>-2.25</c:v>
                </c:pt>
                <c:pt idx="4">
                  <c:v>-2</c:v>
                </c:pt>
                <c:pt idx="5">
                  <c:v>-1.75</c:v>
                </c:pt>
                <c:pt idx="6">
                  <c:v>-1.5</c:v>
                </c:pt>
                <c:pt idx="7">
                  <c:v>-1.25</c:v>
                </c:pt>
                <c:pt idx="8">
                  <c:v>-1</c:v>
                </c:pt>
                <c:pt idx="9">
                  <c:v>-0.75</c:v>
                </c:pt>
                <c:pt idx="10">
                  <c:v>-0.5</c:v>
                </c:pt>
                <c:pt idx="11">
                  <c:v>-0.25</c:v>
                </c:pt>
                <c:pt idx="12">
                  <c:v>0</c:v>
                </c:pt>
                <c:pt idx="13">
                  <c:v>0.25</c:v>
                </c:pt>
                <c:pt idx="14">
                  <c:v>0.5</c:v>
                </c:pt>
                <c:pt idx="15">
                  <c:v>0.75</c:v>
                </c:pt>
                <c:pt idx="16">
                  <c:v>1</c:v>
                </c:pt>
                <c:pt idx="17">
                  <c:v>1.25</c:v>
                </c:pt>
                <c:pt idx="18">
                  <c:v>1.5</c:v>
                </c:pt>
                <c:pt idx="19">
                  <c:v>1.75</c:v>
                </c:pt>
                <c:pt idx="20">
                  <c:v>2</c:v>
                </c:pt>
                <c:pt idx="21">
                  <c:v>2.25</c:v>
                </c:pt>
                <c:pt idx="22">
                  <c:v>2.5</c:v>
                </c:pt>
                <c:pt idx="23">
                  <c:v>2.75</c:v>
                </c:pt>
                <c:pt idx="24">
                  <c:v>3</c:v>
                </c:pt>
                <c:pt idx="25">
                  <c:v>3.25</c:v>
                </c:pt>
              </c:numCache>
            </c:numRef>
          </c:cat>
          <c:val>
            <c:numRef>
              <c:f>'Normal 1'!$B$108:$B$133</c:f>
              <c:numCache>
                <c:formatCode>0.0000</c:formatCode>
                <c:ptCount val="26"/>
                <c:pt idx="0">
                  <c:v>4.4318484119380075E-3</c:v>
                </c:pt>
                <c:pt idx="1">
                  <c:v>9.0935625015910529E-3</c:v>
                </c:pt>
                <c:pt idx="2">
                  <c:v>1.752830049356854E-2</c:v>
                </c:pt>
                <c:pt idx="3">
                  <c:v>3.1739651835667418E-2</c:v>
                </c:pt>
                <c:pt idx="4">
                  <c:v>5.3990966513188063E-2</c:v>
                </c:pt>
                <c:pt idx="5">
                  <c:v>8.6277318826511532E-2</c:v>
                </c:pt>
                <c:pt idx="6">
                  <c:v>0.12951759566589174</c:v>
                </c:pt>
                <c:pt idx="7">
                  <c:v>0.18264908538902191</c:v>
                </c:pt>
                <c:pt idx="8">
                  <c:v>0.24197072451914337</c:v>
                </c:pt>
                <c:pt idx="9">
                  <c:v>0.30113743215480443</c:v>
                </c:pt>
                <c:pt idx="10">
                  <c:v>0.35206532676429952</c:v>
                </c:pt>
                <c:pt idx="11">
                  <c:v>0.38666811680284924</c:v>
                </c:pt>
                <c:pt idx="12">
                  <c:v>0.3989422804014327</c:v>
                </c:pt>
                <c:pt idx="13">
                  <c:v>0.38666811680284924</c:v>
                </c:pt>
                <c:pt idx="14">
                  <c:v>0.35206532676429952</c:v>
                </c:pt>
                <c:pt idx="15">
                  <c:v>0.30113743215480443</c:v>
                </c:pt>
                <c:pt idx="16">
                  <c:v>0.24197072451914337</c:v>
                </c:pt>
                <c:pt idx="17">
                  <c:v>0.18264908538902191</c:v>
                </c:pt>
                <c:pt idx="18">
                  <c:v>0.12951759566589174</c:v>
                </c:pt>
                <c:pt idx="19">
                  <c:v>8.6277318826511532E-2</c:v>
                </c:pt>
                <c:pt idx="20">
                  <c:v>5.3990966513188063E-2</c:v>
                </c:pt>
                <c:pt idx="21">
                  <c:v>3.1739651835667418E-2</c:v>
                </c:pt>
                <c:pt idx="22">
                  <c:v>1.752830049356854E-2</c:v>
                </c:pt>
                <c:pt idx="23">
                  <c:v>9.0935625015910529E-3</c:v>
                </c:pt>
                <c:pt idx="24">
                  <c:v>4.4318484119380075E-3</c:v>
                </c:pt>
                <c:pt idx="25">
                  <c:v>2.0290480572997681E-3</c:v>
                </c:pt>
              </c:numCache>
            </c:numRef>
          </c:val>
        </c:ser>
        <c:marker val="1"/>
        <c:axId val="244721536"/>
        <c:axId val="244723072"/>
      </c:lineChart>
      <c:catAx>
        <c:axId val="244721536"/>
        <c:scaling>
          <c:orientation val="minMax"/>
        </c:scaling>
        <c:axPos val="b"/>
        <c:numFmt formatCode="0.0" sourceLinked="0"/>
        <c:tickLblPos val="nextTo"/>
        <c:crossAx val="244723072"/>
        <c:crosses val="autoZero"/>
        <c:auto val="1"/>
        <c:lblAlgn val="ctr"/>
        <c:lblOffset val="100"/>
      </c:catAx>
      <c:valAx>
        <c:axId val="244723072"/>
        <c:scaling>
          <c:orientation val="minMax"/>
        </c:scaling>
        <c:axPos val="l"/>
        <c:majorGridlines/>
        <c:numFmt formatCode="0.00" sourceLinked="0"/>
        <c:tickLblPos val="nextTo"/>
        <c:crossAx val="244721536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IQ of Populations P1 and P2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'Normal 1'!$B$139</c:f>
              <c:strCache>
                <c:ptCount val="1"/>
                <c:pt idx="0">
                  <c:v>P1</c:v>
                </c:pt>
              </c:strCache>
            </c:strRef>
          </c:tx>
          <c:marker>
            <c:symbol val="none"/>
          </c:marker>
          <c:cat>
            <c:numRef>
              <c:f>'Normal 1'!$A$140:$A$172</c:f>
              <c:numCache>
                <c:formatCode>General</c:formatCode>
                <c:ptCount val="33"/>
                <c:pt idx="0">
                  <c:v>52</c:v>
                </c:pt>
                <c:pt idx="1">
                  <c:v>56</c:v>
                </c:pt>
                <c:pt idx="2">
                  <c:v>60</c:v>
                </c:pt>
                <c:pt idx="3">
                  <c:v>64</c:v>
                </c:pt>
                <c:pt idx="4">
                  <c:v>68</c:v>
                </c:pt>
                <c:pt idx="5">
                  <c:v>72</c:v>
                </c:pt>
                <c:pt idx="6">
                  <c:v>76</c:v>
                </c:pt>
                <c:pt idx="7">
                  <c:v>80</c:v>
                </c:pt>
                <c:pt idx="8">
                  <c:v>84</c:v>
                </c:pt>
                <c:pt idx="9">
                  <c:v>88</c:v>
                </c:pt>
                <c:pt idx="10">
                  <c:v>92</c:v>
                </c:pt>
                <c:pt idx="11">
                  <c:v>96</c:v>
                </c:pt>
                <c:pt idx="12">
                  <c:v>100</c:v>
                </c:pt>
                <c:pt idx="13">
                  <c:v>104</c:v>
                </c:pt>
                <c:pt idx="14">
                  <c:v>108</c:v>
                </c:pt>
                <c:pt idx="15">
                  <c:v>112</c:v>
                </c:pt>
                <c:pt idx="16">
                  <c:v>116</c:v>
                </c:pt>
                <c:pt idx="17">
                  <c:v>120</c:v>
                </c:pt>
                <c:pt idx="18">
                  <c:v>124</c:v>
                </c:pt>
                <c:pt idx="19">
                  <c:v>128</c:v>
                </c:pt>
                <c:pt idx="20">
                  <c:v>132</c:v>
                </c:pt>
                <c:pt idx="21">
                  <c:v>136</c:v>
                </c:pt>
                <c:pt idx="22">
                  <c:v>140</c:v>
                </c:pt>
                <c:pt idx="23">
                  <c:v>144</c:v>
                </c:pt>
                <c:pt idx="24">
                  <c:v>148</c:v>
                </c:pt>
                <c:pt idx="25">
                  <c:v>152</c:v>
                </c:pt>
                <c:pt idx="26">
                  <c:v>156</c:v>
                </c:pt>
                <c:pt idx="27">
                  <c:v>160</c:v>
                </c:pt>
                <c:pt idx="28">
                  <c:v>164</c:v>
                </c:pt>
                <c:pt idx="29">
                  <c:v>168</c:v>
                </c:pt>
                <c:pt idx="30">
                  <c:v>172</c:v>
                </c:pt>
                <c:pt idx="31">
                  <c:v>176</c:v>
                </c:pt>
                <c:pt idx="32">
                  <c:v>180</c:v>
                </c:pt>
              </c:numCache>
            </c:numRef>
          </c:cat>
          <c:val>
            <c:numRef>
              <c:f>'Normal 1'!$B$140:$B$172</c:f>
              <c:numCache>
                <c:formatCode>0.0000</c:formatCode>
                <c:ptCount val="33"/>
                <c:pt idx="0">
                  <c:v>2.7699052574612547E-4</c:v>
                </c:pt>
                <c:pt idx="1">
                  <c:v>5.6834765634944081E-4</c:v>
                </c:pt>
                <c:pt idx="2">
                  <c:v>1.0955187808480338E-3</c:v>
                </c:pt>
                <c:pt idx="3">
                  <c:v>1.9837282397292136E-3</c:v>
                </c:pt>
                <c:pt idx="4">
                  <c:v>3.3744354070742539E-3</c:v>
                </c:pt>
                <c:pt idx="5">
                  <c:v>5.3923324266569707E-3</c:v>
                </c:pt>
                <c:pt idx="6">
                  <c:v>8.094849729118234E-3</c:v>
                </c:pt>
                <c:pt idx="7">
                  <c:v>1.141556783681387E-2</c:v>
                </c:pt>
                <c:pt idx="8">
                  <c:v>1.512317028244646E-2</c:v>
                </c:pt>
                <c:pt idx="9">
                  <c:v>1.8821089509675277E-2</c:v>
                </c:pt>
                <c:pt idx="10">
                  <c:v>2.200408292276872E-2</c:v>
                </c:pt>
                <c:pt idx="11">
                  <c:v>2.4166757300178077E-2</c:v>
                </c:pt>
                <c:pt idx="12">
                  <c:v>2.4933892525089544E-2</c:v>
                </c:pt>
                <c:pt idx="13">
                  <c:v>2.4166757300178077E-2</c:v>
                </c:pt>
                <c:pt idx="14">
                  <c:v>2.200408292276872E-2</c:v>
                </c:pt>
                <c:pt idx="15">
                  <c:v>1.8821089509675277E-2</c:v>
                </c:pt>
                <c:pt idx="16">
                  <c:v>1.512317028244646E-2</c:v>
                </c:pt>
                <c:pt idx="17">
                  <c:v>1.141556783681387E-2</c:v>
                </c:pt>
                <c:pt idx="18">
                  <c:v>8.094849729118234E-3</c:v>
                </c:pt>
                <c:pt idx="19">
                  <c:v>5.3923324266569707E-3</c:v>
                </c:pt>
                <c:pt idx="20">
                  <c:v>3.3744354070742539E-3</c:v>
                </c:pt>
                <c:pt idx="21">
                  <c:v>1.9837282397292136E-3</c:v>
                </c:pt>
                <c:pt idx="22">
                  <c:v>1.0955187808480338E-3</c:v>
                </c:pt>
                <c:pt idx="23">
                  <c:v>5.6834765634944081E-4</c:v>
                </c:pt>
                <c:pt idx="24">
                  <c:v>2.7699052574612547E-4</c:v>
                </c:pt>
                <c:pt idx="25">
                  <c:v>1.2681550358123551E-4</c:v>
                </c:pt>
                <c:pt idx="26">
                  <c:v>5.454266844036001E-5</c:v>
                </c:pt>
                <c:pt idx="27">
                  <c:v>2.2037230147965338E-5</c:v>
                </c:pt>
                <c:pt idx="28">
                  <c:v>8.3643891103053355E-6</c:v>
                </c:pt>
                <c:pt idx="29">
                  <c:v>2.9824147838253095E-6</c:v>
                </c:pt>
                <c:pt idx="30">
                  <c:v>9.9898381918159216E-7</c:v>
                </c:pt>
                <c:pt idx="31">
                  <c:v>3.1434420553702784E-7</c:v>
                </c:pt>
                <c:pt idx="32">
                  <c:v>9.2919969670893605E-8</c:v>
                </c:pt>
              </c:numCache>
            </c:numRef>
          </c:val>
        </c:ser>
        <c:ser>
          <c:idx val="1"/>
          <c:order val="1"/>
          <c:tx>
            <c:strRef>
              <c:f>'Normal 1'!$C$139</c:f>
              <c:strCache>
                <c:ptCount val="1"/>
                <c:pt idx="0">
                  <c:v>P2</c:v>
                </c:pt>
              </c:strCache>
            </c:strRef>
          </c:tx>
          <c:marker>
            <c:symbol val="none"/>
          </c:marker>
          <c:cat>
            <c:numRef>
              <c:f>'Normal 1'!$A$140:$A$172</c:f>
              <c:numCache>
                <c:formatCode>General</c:formatCode>
                <c:ptCount val="33"/>
                <c:pt idx="0">
                  <c:v>52</c:v>
                </c:pt>
                <c:pt idx="1">
                  <c:v>56</c:v>
                </c:pt>
                <c:pt idx="2">
                  <c:v>60</c:v>
                </c:pt>
                <c:pt idx="3">
                  <c:v>64</c:v>
                </c:pt>
                <c:pt idx="4">
                  <c:v>68</c:v>
                </c:pt>
                <c:pt idx="5">
                  <c:v>72</c:v>
                </c:pt>
                <c:pt idx="6">
                  <c:v>76</c:v>
                </c:pt>
                <c:pt idx="7">
                  <c:v>80</c:v>
                </c:pt>
                <c:pt idx="8">
                  <c:v>84</c:v>
                </c:pt>
                <c:pt idx="9">
                  <c:v>88</c:v>
                </c:pt>
                <c:pt idx="10">
                  <c:v>92</c:v>
                </c:pt>
                <c:pt idx="11">
                  <c:v>96</c:v>
                </c:pt>
                <c:pt idx="12">
                  <c:v>100</c:v>
                </c:pt>
                <c:pt idx="13">
                  <c:v>104</c:v>
                </c:pt>
                <c:pt idx="14">
                  <c:v>108</c:v>
                </c:pt>
                <c:pt idx="15">
                  <c:v>112</c:v>
                </c:pt>
                <c:pt idx="16">
                  <c:v>116</c:v>
                </c:pt>
                <c:pt idx="17">
                  <c:v>120</c:v>
                </c:pt>
                <c:pt idx="18">
                  <c:v>124</c:v>
                </c:pt>
                <c:pt idx="19">
                  <c:v>128</c:v>
                </c:pt>
                <c:pt idx="20">
                  <c:v>132</c:v>
                </c:pt>
                <c:pt idx="21">
                  <c:v>136</c:v>
                </c:pt>
                <c:pt idx="22">
                  <c:v>140</c:v>
                </c:pt>
                <c:pt idx="23">
                  <c:v>144</c:v>
                </c:pt>
                <c:pt idx="24">
                  <c:v>148</c:v>
                </c:pt>
                <c:pt idx="25">
                  <c:v>152</c:v>
                </c:pt>
                <c:pt idx="26">
                  <c:v>156</c:v>
                </c:pt>
                <c:pt idx="27">
                  <c:v>160</c:v>
                </c:pt>
                <c:pt idx="28">
                  <c:v>164</c:v>
                </c:pt>
                <c:pt idx="29">
                  <c:v>168</c:v>
                </c:pt>
                <c:pt idx="30">
                  <c:v>172</c:v>
                </c:pt>
                <c:pt idx="31">
                  <c:v>176</c:v>
                </c:pt>
                <c:pt idx="32">
                  <c:v>180</c:v>
                </c:pt>
              </c:numCache>
            </c:numRef>
          </c:cat>
          <c:val>
            <c:numRef>
              <c:f>'Normal 1'!$C$140:$C$172</c:f>
              <c:numCache>
                <c:formatCode>0.0000</c:formatCode>
                <c:ptCount val="33"/>
                <c:pt idx="0">
                  <c:v>8.3643891103053355E-6</c:v>
                </c:pt>
                <c:pt idx="1">
                  <c:v>2.2037230147965338E-5</c:v>
                </c:pt>
                <c:pt idx="2">
                  <c:v>5.454266844036001E-5</c:v>
                </c:pt>
                <c:pt idx="3">
                  <c:v>1.2681550358123551E-4</c:v>
                </c:pt>
                <c:pt idx="4">
                  <c:v>2.7699052574612547E-4</c:v>
                </c:pt>
                <c:pt idx="5">
                  <c:v>5.6834765634944081E-4</c:v>
                </c:pt>
                <c:pt idx="6">
                  <c:v>1.0955187808480338E-3</c:v>
                </c:pt>
                <c:pt idx="7">
                  <c:v>1.9837282397292136E-3</c:v>
                </c:pt>
                <c:pt idx="8">
                  <c:v>3.3744354070742539E-3</c:v>
                </c:pt>
                <c:pt idx="9">
                  <c:v>5.3923324266569707E-3</c:v>
                </c:pt>
                <c:pt idx="10">
                  <c:v>8.094849729118234E-3</c:v>
                </c:pt>
                <c:pt idx="11">
                  <c:v>1.141556783681387E-2</c:v>
                </c:pt>
                <c:pt idx="12">
                  <c:v>1.512317028244646E-2</c:v>
                </c:pt>
                <c:pt idx="13">
                  <c:v>1.8821089509675277E-2</c:v>
                </c:pt>
                <c:pt idx="14">
                  <c:v>2.200408292276872E-2</c:v>
                </c:pt>
                <c:pt idx="15">
                  <c:v>2.4166757300178077E-2</c:v>
                </c:pt>
                <c:pt idx="16">
                  <c:v>2.4933892525089544E-2</c:v>
                </c:pt>
                <c:pt idx="17">
                  <c:v>2.4166757300178077E-2</c:v>
                </c:pt>
                <c:pt idx="18">
                  <c:v>2.200408292276872E-2</c:v>
                </c:pt>
                <c:pt idx="19">
                  <c:v>1.8821089509675277E-2</c:v>
                </c:pt>
                <c:pt idx="20">
                  <c:v>1.512317028244646E-2</c:v>
                </c:pt>
                <c:pt idx="21">
                  <c:v>1.141556783681387E-2</c:v>
                </c:pt>
                <c:pt idx="22">
                  <c:v>8.094849729118234E-3</c:v>
                </c:pt>
                <c:pt idx="23">
                  <c:v>5.3923324266569707E-3</c:v>
                </c:pt>
                <c:pt idx="24">
                  <c:v>3.3744354070742539E-3</c:v>
                </c:pt>
                <c:pt idx="25">
                  <c:v>1.9837282397292136E-3</c:v>
                </c:pt>
                <c:pt idx="26">
                  <c:v>1.0955187808480338E-3</c:v>
                </c:pt>
                <c:pt idx="27">
                  <c:v>5.6834765634944081E-4</c:v>
                </c:pt>
                <c:pt idx="28">
                  <c:v>2.7699052574612547E-4</c:v>
                </c:pt>
                <c:pt idx="29">
                  <c:v>1.2681550358123551E-4</c:v>
                </c:pt>
                <c:pt idx="30">
                  <c:v>5.454266844036001E-5</c:v>
                </c:pt>
                <c:pt idx="31">
                  <c:v>2.2037230147965338E-5</c:v>
                </c:pt>
                <c:pt idx="32">
                  <c:v>8.3643891103053355E-6</c:v>
                </c:pt>
              </c:numCache>
            </c:numRef>
          </c:val>
        </c:ser>
        <c:marker val="1"/>
        <c:axId val="244747648"/>
        <c:axId val="244749440"/>
      </c:lineChart>
      <c:catAx>
        <c:axId val="244747648"/>
        <c:scaling>
          <c:orientation val="minMax"/>
        </c:scaling>
        <c:axPos val="b"/>
        <c:numFmt formatCode="General" sourceLinked="1"/>
        <c:tickLblPos val="nextTo"/>
        <c:crossAx val="244749440"/>
        <c:crosses val="autoZero"/>
        <c:auto val="1"/>
        <c:lblAlgn val="ctr"/>
        <c:lblOffset val="100"/>
        <c:tickLblSkip val="3"/>
      </c:catAx>
      <c:valAx>
        <c:axId val="244749440"/>
        <c:scaling>
          <c:orientation val="minMax"/>
        </c:scaling>
        <c:axPos val="l"/>
        <c:majorGridlines/>
        <c:numFmt formatCode="0.000" sourceLinked="0"/>
        <c:tickLblPos val="nextTo"/>
        <c:crossAx val="24474764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'Simulation 1'!$E$5</c:f>
              <c:strCache>
                <c:ptCount val="1"/>
                <c:pt idx="0">
                  <c:v>Frequency</c:v>
                </c:pt>
              </c:strCache>
            </c:strRef>
          </c:tx>
          <c:cat>
            <c:strRef>
              <c:f>'Simulation 1'!$D$6:$D$17</c:f>
              <c:strCache>
                <c:ptCount val="12"/>
                <c:pt idx="0">
                  <c:v>90</c:v>
                </c:pt>
                <c:pt idx="1">
                  <c:v>92</c:v>
                </c:pt>
                <c:pt idx="2">
                  <c:v>94</c:v>
                </c:pt>
                <c:pt idx="3">
                  <c:v>96</c:v>
                </c:pt>
                <c:pt idx="4">
                  <c:v>98</c:v>
                </c:pt>
                <c:pt idx="5">
                  <c:v>100</c:v>
                </c:pt>
                <c:pt idx="6">
                  <c:v>102</c:v>
                </c:pt>
                <c:pt idx="7">
                  <c:v>104</c:v>
                </c:pt>
                <c:pt idx="8">
                  <c:v>106</c:v>
                </c:pt>
                <c:pt idx="9">
                  <c:v>108</c:v>
                </c:pt>
                <c:pt idx="10">
                  <c:v>110</c:v>
                </c:pt>
                <c:pt idx="11">
                  <c:v>More</c:v>
                </c:pt>
              </c:strCache>
            </c:strRef>
          </c:cat>
          <c:val>
            <c:numRef>
              <c:f>'Simulation 1'!$E$6:$E$17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9</c:v>
                </c:pt>
                <c:pt idx="5">
                  <c:v>27</c:v>
                </c:pt>
                <c:pt idx="6">
                  <c:v>23</c:v>
                </c:pt>
                <c:pt idx="7">
                  <c:v>10</c:v>
                </c:pt>
                <c:pt idx="8">
                  <c:v>9</c:v>
                </c:pt>
                <c:pt idx="9">
                  <c:v>5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</c:ser>
        <c:axId val="244851840"/>
        <c:axId val="244853376"/>
      </c:barChart>
      <c:catAx>
        <c:axId val="244851840"/>
        <c:scaling>
          <c:orientation val="minMax"/>
        </c:scaling>
        <c:axPos val="b"/>
        <c:tickLblPos val="nextTo"/>
        <c:crossAx val="244853376"/>
        <c:crosses val="autoZero"/>
        <c:auto val="1"/>
        <c:lblAlgn val="ctr"/>
        <c:lblOffset val="100"/>
      </c:catAx>
      <c:valAx>
        <c:axId val="244853376"/>
        <c:scaling>
          <c:orientation val="minMax"/>
        </c:scaling>
        <c:axPos val="l"/>
        <c:majorGridlines/>
        <c:numFmt formatCode="General" sourceLinked="1"/>
        <c:tickLblPos val="nextTo"/>
        <c:crossAx val="24485184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'Simulation 1'!$E$20</c:f>
              <c:strCache>
                <c:ptCount val="1"/>
                <c:pt idx="0">
                  <c:v>Frequency</c:v>
                </c:pt>
              </c:strCache>
            </c:strRef>
          </c:tx>
          <c:cat>
            <c:strRef>
              <c:f>'Simulation 1'!$D$21:$D$44</c:f>
              <c:strCache>
                <c:ptCount val="24"/>
                <c:pt idx="0">
                  <c:v>0,24</c:v>
                </c:pt>
                <c:pt idx="1">
                  <c:v>0,26</c:v>
                </c:pt>
                <c:pt idx="2">
                  <c:v>0,28</c:v>
                </c:pt>
                <c:pt idx="3">
                  <c:v>0,3</c:v>
                </c:pt>
                <c:pt idx="4">
                  <c:v>0,32</c:v>
                </c:pt>
                <c:pt idx="5">
                  <c:v>0,34</c:v>
                </c:pt>
                <c:pt idx="6">
                  <c:v>0,36</c:v>
                </c:pt>
                <c:pt idx="7">
                  <c:v>0,38</c:v>
                </c:pt>
                <c:pt idx="8">
                  <c:v>0,4</c:v>
                </c:pt>
                <c:pt idx="9">
                  <c:v>0,42</c:v>
                </c:pt>
                <c:pt idx="10">
                  <c:v>0,44</c:v>
                </c:pt>
                <c:pt idx="11">
                  <c:v>0,46</c:v>
                </c:pt>
                <c:pt idx="12">
                  <c:v>0,48</c:v>
                </c:pt>
                <c:pt idx="13">
                  <c:v>0,5</c:v>
                </c:pt>
                <c:pt idx="14">
                  <c:v>0,52</c:v>
                </c:pt>
                <c:pt idx="15">
                  <c:v>0,54</c:v>
                </c:pt>
                <c:pt idx="16">
                  <c:v>0,56</c:v>
                </c:pt>
                <c:pt idx="17">
                  <c:v>0,58</c:v>
                </c:pt>
                <c:pt idx="18">
                  <c:v>0,6</c:v>
                </c:pt>
                <c:pt idx="19">
                  <c:v>0,62</c:v>
                </c:pt>
                <c:pt idx="20">
                  <c:v>0,64</c:v>
                </c:pt>
                <c:pt idx="21">
                  <c:v>0,66</c:v>
                </c:pt>
                <c:pt idx="22">
                  <c:v>0,68</c:v>
                </c:pt>
                <c:pt idx="23">
                  <c:v>More</c:v>
                </c:pt>
              </c:strCache>
            </c:strRef>
          </c:cat>
          <c:val>
            <c:numRef>
              <c:f>'Simulation 1'!$E$21:$E$44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3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14</c:v>
                </c:pt>
                <c:pt idx="12">
                  <c:v>6</c:v>
                </c:pt>
                <c:pt idx="13">
                  <c:v>3</c:v>
                </c:pt>
                <c:pt idx="14">
                  <c:v>8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3</c:v>
                </c:pt>
                <c:pt idx="22">
                  <c:v>0</c:v>
                </c:pt>
                <c:pt idx="23">
                  <c:v>5</c:v>
                </c:pt>
              </c:numCache>
            </c:numRef>
          </c:val>
        </c:ser>
        <c:axId val="244877568"/>
        <c:axId val="244899840"/>
      </c:barChart>
      <c:catAx>
        <c:axId val="244877568"/>
        <c:scaling>
          <c:orientation val="minMax"/>
        </c:scaling>
        <c:axPos val="b"/>
        <c:tickLblPos val="nextTo"/>
        <c:crossAx val="244899840"/>
        <c:crosses val="autoZero"/>
        <c:auto val="1"/>
        <c:lblAlgn val="ctr"/>
        <c:lblOffset val="100"/>
      </c:catAx>
      <c:valAx>
        <c:axId val="244899840"/>
        <c:scaling>
          <c:orientation val="minMax"/>
        </c:scaling>
        <c:axPos val="l"/>
        <c:majorGridlines/>
        <c:numFmt formatCode="General" sourceLinked="1"/>
        <c:tickLblPos val="nextTo"/>
        <c:crossAx val="244877568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'Simulation 2'!$C$4:$C$28</c:f>
              <c:numCache>
                <c:formatCode>General</c:formatCode>
                <c:ptCount val="25"/>
                <c:pt idx="0">
                  <c:v>69.506090217705093</c:v>
                </c:pt>
                <c:pt idx="1">
                  <c:v>51.886123542436692</c:v>
                </c:pt>
                <c:pt idx="2">
                  <c:v>73.710590127150752</c:v>
                </c:pt>
                <c:pt idx="3">
                  <c:v>37.05458221484264</c:v>
                </c:pt>
                <c:pt idx="4">
                  <c:v>83.793285541248892</c:v>
                </c:pt>
                <c:pt idx="5">
                  <c:v>79.745817502202883</c:v>
                </c:pt>
                <c:pt idx="6">
                  <c:v>74.267937696495366</c:v>
                </c:pt>
                <c:pt idx="7">
                  <c:v>72.1305084811695</c:v>
                </c:pt>
                <c:pt idx="8">
                  <c:v>92.806019475774278</c:v>
                </c:pt>
                <c:pt idx="9">
                  <c:v>107.52007274925661</c:v>
                </c:pt>
                <c:pt idx="10">
                  <c:v>81.538074852057534</c:v>
                </c:pt>
                <c:pt idx="11">
                  <c:v>51.275956693462092</c:v>
                </c:pt>
                <c:pt idx="12">
                  <c:v>50.415878529133295</c:v>
                </c:pt>
                <c:pt idx="13">
                  <c:v>53.954832201875611</c:v>
                </c:pt>
                <c:pt idx="14">
                  <c:v>54.170282155766316</c:v>
                </c:pt>
                <c:pt idx="15">
                  <c:v>62.907045283864989</c:v>
                </c:pt>
                <c:pt idx="16">
                  <c:v>54.460282096758696</c:v>
                </c:pt>
                <c:pt idx="17">
                  <c:v>53.965325279889498</c:v>
                </c:pt>
                <c:pt idx="18">
                  <c:v>59.895197988843201</c:v>
                </c:pt>
                <c:pt idx="19">
                  <c:v>68.440506523685656</c:v>
                </c:pt>
                <c:pt idx="20">
                  <c:v>45.077299133414286</c:v>
                </c:pt>
                <c:pt idx="21">
                  <c:v>43.248731446811014</c:v>
                </c:pt>
                <c:pt idx="22">
                  <c:v>74.079162009973544</c:v>
                </c:pt>
                <c:pt idx="23">
                  <c:v>59.491564370379912</c:v>
                </c:pt>
                <c:pt idx="24">
                  <c:v>36.451618590646824</c:v>
                </c:pt>
              </c:numCache>
            </c:numRef>
          </c:xVal>
          <c:yVal>
            <c:numRef>
              <c:f>'Simulation 2'!$D$4:$D$28</c:f>
              <c:numCache>
                <c:formatCode>General</c:formatCode>
                <c:ptCount val="25"/>
                <c:pt idx="0">
                  <c:v>1.7816540781432529E-2</c:v>
                </c:pt>
                <c:pt idx="1">
                  <c:v>1.8371319638632522E-2</c:v>
                </c:pt>
                <c:pt idx="2">
                  <c:v>1.576999557186539E-2</c:v>
                </c:pt>
                <c:pt idx="3">
                  <c:v>1.0329142050856123E-2</c:v>
                </c:pt>
                <c:pt idx="4">
                  <c:v>9.8299507715338304E-3</c:v>
                </c:pt>
                <c:pt idx="5">
                  <c:v>1.2252289729104634E-2</c:v>
                </c:pt>
                <c:pt idx="6">
                  <c:v>1.5465580079020973E-2</c:v>
                </c:pt>
                <c:pt idx="7">
                  <c:v>1.6595771387329695E-2</c:v>
                </c:pt>
                <c:pt idx="8">
                  <c:v>5.1954894199299408E-3</c:v>
                </c:pt>
                <c:pt idx="9">
                  <c:v>1.1857646367863062E-3</c:v>
                </c:pt>
                <c:pt idx="10">
                  <c:v>1.1169910905378343E-2</c:v>
                </c:pt>
                <c:pt idx="11">
                  <c:v>1.8136895840782229E-2</c:v>
                </c:pt>
                <c:pt idx="12">
                  <c:v>1.7783396511998874E-2</c:v>
                </c:pt>
                <c:pt idx="13">
                  <c:v>1.9056426715803657E-2</c:v>
                </c:pt>
                <c:pt idx="14">
                  <c:v>1.9117467760428303E-2</c:v>
                </c:pt>
                <c:pt idx="15">
                  <c:v>1.9737508927049459E-2</c:v>
                </c:pt>
                <c:pt idx="16">
                  <c:v>1.919642145603357E-2</c:v>
                </c:pt>
                <c:pt idx="17">
                  <c:v>1.9059446320293022E-2</c:v>
                </c:pt>
                <c:pt idx="18">
                  <c:v>1.994684016150193E-2</c:v>
                </c:pt>
                <c:pt idx="19">
                  <c:v>1.8247567514220724E-2</c:v>
                </c:pt>
                <c:pt idx="20">
                  <c:v>1.510046775934986E-2</c:v>
                </c:pt>
                <c:pt idx="21">
                  <c:v>1.404586750204272E-2</c:v>
                </c:pt>
                <c:pt idx="22">
                  <c:v>1.5569376943864049E-2</c:v>
                </c:pt>
                <c:pt idx="23">
                  <c:v>1.9940669480845344E-2</c:v>
                </c:pt>
                <c:pt idx="24">
                  <c:v>9.9734507603988012E-3</c:v>
                </c:pt>
              </c:numCache>
            </c:numRef>
          </c:yVal>
        </c:ser>
        <c:axId val="245050368"/>
        <c:axId val="245056256"/>
      </c:scatterChart>
      <c:valAx>
        <c:axId val="245050368"/>
        <c:scaling>
          <c:orientation val="minMax"/>
        </c:scaling>
        <c:axPos val="b"/>
        <c:numFmt formatCode="General" sourceLinked="1"/>
        <c:tickLblPos val="nextTo"/>
        <c:crossAx val="245056256"/>
        <c:crosses val="autoZero"/>
        <c:crossBetween val="midCat"/>
      </c:valAx>
      <c:valAx>
        <c:axId val="245056256"/>
        <c:scaling>
          <c:orientation val="minMax"/>
        </c:scaling>
        <c:axPos val="l"/>
        <c:majorGridlines/>
        <c:numFmt formatCode="General" sourceLinked="1"/>
        <c:tickLblPos val="nextTo"/>
        <c:crossAx val="24505036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Power</a:t>
            </a:r>
          </a:p>
        </c:rich>
      </c:tx>
    </c:title>
    <c:plotArea>
      <c:layout/>
      <c:scatterChart>
        <c:scatterStyle val="lineMarker"/>
        <c:ser>
          <c:idx val="1"/>
          <c:order val="0"/>
          <c:tx>
            <c:strRef>
              <c:f>'Norm Power 1'!$C$17</c:f>
              <c:strCache>
                <c:ptCount val="1"/>
                <c:pt idx="0">
                  <c:v>power</c:v>
                </c:pt>
              </c:strCache>
            </c:strRef>
          </c:tx>
          <c:spPr>
            <a:ln w="28575">
              <a:noFill/>
            </a:ln>
          </c:spPr>
          <c:xVal>
            <c:numRef>
              <c:f>'Norm Power 1'!$A$18:$A$44</c:f>
              <c:numCache>
                <c:formatCode>0.0</c:formatCode>
                <c:ptCount val="27"/>
                <c:pt idx="0" formatCode="General">
                  <c:v>61.881967677699784</c:v>
                </c:pt>
                <c:pt idx="1">
                  <c:v>61.9</c:v>
                </c:pt>
                <c:pt idx="2">
                  <c:v>62</c:v>
                </c:pt>
                <c:pt idx="3">
                  <c:v>62.1</c:v>
                </c:pt>
                <c:pt idx="4">
                  <c:v>62.2</c:v>
                </c:pt>
                <c:pt idx="5">
                  <c:v>62.300000000000004</c:v>
                </c:pt>
                <c:pt idx="6">
                  <c:v>62.400000000000006</c:v>
                </c:pt>
                <c:pt idx="7">
                  <c:v>62.500000000000007</c:v>
                </c:pt>
                <c:pt idx="8">
                  <c:v>62.600000000000009</c:v>
                </c:pt>
                <c:pt idx="9">
                  <c:v>62.70000000000001</c:v>
                </c:pt>
                <c:pt idx="10">
                  <c:v>62.800000000000011</c:v>
                </c:pt>
                <c:pt idx="11">
                  <c:v>62.900000000000013</c:v>
                </c:pt>
                <c:pt idx="12">
                  <c:v>63.000000000000014</c:v>
                </c:pt>
                <c:pt idx="13">
                  <c:v>63.100000000000016</c:v>
                </c:pt>
                <c:pt idx="14">
                  <c:v>63.200000000000017</c:v>
                </c:pt>
                <c:pt idx="15">
                  <c:v>63.300000000000018</c:v>
                </c:pt>
                <c:pt idx="16">
                  <c:v>63.40000000000002</c:v>
                </c:pt>
                <c:pt idx="17">
                  <c:v>63.500000000000021</c:v>
                </c:pt>
                <c:pt idx="18">
                  <c:v>63.600000000000023</c:v>
                </c:pt>
                <c:pt idx="19">
                  <c:v>63.700000000000024</c:v>
                </c:pt>
                <c:pt idx="20">
                  <c:v>63.800000000000026</c:v>
                </c:pt>
                <c:pt idx="21">
                  <c:v>63.900000000000027</c:v>
                </c:pt>
                <c:pt idx="22">
                  <c:v>64.000000000000028</c:v>
                </c:pt>
                <c:pt idx="23">
                  <c:v>64.100000000000023</c:v>
                </c:pt>
                <c:pt idx="24">
                  <c:v>64.200000000000017</c:v>
                </c:pt>
                <c:pt idx="25">
                  <c:v>64.300000000000011</c:v>
                </c:pt>
                <c:pt idx="26">
                  <c:v>64.400000000000006</c:v>
                </c:pt>
              </c:numCache>
            </c:numRef>
          </c:xVal>
          <c:yVal>
            <c:numRef>
              <c:f>'Norm Power 1'!$C$18:$C$44</c:f>
              <c:numCache>
                <c:formatCode>General</c:formatCode>
                <c:ptCount val="27"/>
                <c:pt idx="0">
                  <c:v>0.5</c:v>
                </c:pt>
                <c:pt idx="1">
                  <c:v>0.50628722271363169</c:v>
                </c:pt>
                <c:pt idx="2">
                  <c:v>0.54108245151401213</c:v>
                </c:pt>
                <c:pt idx="3">
                  <c:v>0.57556556203662201</c:v>
                </c:pt>
                <c:pt idx="4">
                  <c:v>0.6094794636291665</c:v>
                </c:pt>
                <c:pt idx="5">
                  <c:v>0.64257989557419748</c:v>
                </c:pt>
                <c:pt idx="6">
                  <c:v>0.67464068048970938</c:v>
                </c:pt>
                <c:pt idx="7">
                  <c:v>0.70545830958483535</c:v>
                </c:pt>
                <c:pt idx="8">
                  <c:v>0.73485570683310075</c:v>
                </c:pt>
                <c:pt idx="9">
                  <c:v>0.76268506062450636</c:v>
                </c:pt>
                <c:pt idx="10">
                  <c:v>0.7888296573013085</c:v>
                </c:pt>
                <c:pt idx="11">
                  <c:v>0.81320469828716724</c:v>
                </c:pt>
                <c:pt idx="12">
                  <c:v>0.83575712842633698</c:v>
                </c:pt>
                <c:pt idx="13">
                  <c:v>0.85646454503368918</c:v>
                </c:pt>
                <c:pt idx="14">
                  <c:v>0.87533329280639538</c:v>
                </c:pt>
                <c:pt idx="15">
                  <c:v>0.89239587750344995</c:v>
                </c:pt>
                <c:pt idx="16">
                  <c:v>0.90770785013358879</c:v>
                </c:pt>
                <c:pt idx="17">
                  <c:v>0.92134432294089441</c:v>
                </c:pt>
                <c:pt idx="18">
                  <c:v>0.9333962790099416</c:v>
                </c:pt>
                <c:pt idx="19">
                  <c:v>0.94396682965700307</c:v>
                </c:pt>
                <c:pt idx="20">
                  <c:v>0.95316755920510676</c:v>
                </c:pt>
                <c:pt idx="21">
                  <c:v>0.96111507684284181</c:v>
                </c:pt>
                <c:pt idx="22">
                  <c:v>0.96792787178727413</c:v>
                </c:pt>
                <c:pt idx="23">
                  <c:v>0.97372354267822181</c:v>
                </c:pt>
                <c:pt idx="24">
                  <c:v>0.97861644668569792</c:v>
                </c:pt>
                <c:pt idx="25">
                  <c:v>0.9827157896658012</c:v>
                </c:pt>
                <c:pt idx="26">
                  <c:v>0.98612415702073897</c:v>
                </c:pt>
              </c:numCache>
            </c:numRef>
          </c:yVal>
        </c:ser>
        <c:axId val="241655808"/>
        <c:axId val="241657344"/>
      </c:scatterChart>
      <c:valAx>
        <c:axId val="241655808"/>
        <c:scaling>
          <c:orientation val="minMax"/>
        </c:scaling>
        <c:axPos val="b"/>
        <c:numFmt formatCode="General" sourceLinked="1"/>
        <c:tickLblPos val="nextTo"/>
        <c:crossAx val="241657344"/>
        <c:crosses val="autoZero"/>
        <c:crossBetween val="midCat"/>
      </c:valAx>
      <c:valAx>
        <c:axId val="241657344"/>
        <c:scaling>
          <c:orientation val="minMax"/>
          <c:max val="1"/>
          <c:min val="0.5"/>
        </c:scaling>
        <c:axPos val="l"/>
        <c:majorGridlines/>
        <c:numFmt formatCode="#,##0.00" sourceLinked="0"/>
        <c:tickLblPos val="nextTo"/>
        <c:crossAx val="24165580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</c:title>
    <c:plotArea>
      <c:layout/>
      <c:barChart>
        <c:barDir val="col"/>
        <c:grouping val="stacked"/>
        <c:ser>
          <c:idx val="0"/>
          <c:order val="0"/>
          <c:tx>
            <c:strRef>
              <c:f>Outlier!$F$4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Outlier!$G$3:$I$3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Outlier!$G$4:$I$4</c:f>
              <c:numCache>
                <c:formatCode>General</c:formatCode>
                <c:ptCount val="3"/>
                <c:pt idx="0">
                  <c:v>8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</c:ser>
        <c:ser>
          <c:idx val="1"/>
          <c:order val="1"/>
          <c:tx>
            <c:strRef>
              <c:f>Outlier!$F$5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Outlier!$G$3:$I$3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Outlier!$G$5:$I$5</c:f>
              <c:numCache>
                <c:formatCode>General</c:formatCode>
                <c:ptCount val="3"/>
                <c:pt idx="0">
                  <c:v>11</c:v>
                </c:pt>
                <c:pt idx="1">
                  <c:v>18.75</c:v>
                </c:pt>
                <c:pt idx="2">
                  <c:v>129.5</c:v>
                </c:pt>
              </c:numCache>
            </c:numRef>
          </c:val>
        </c:ser>
        <c:ser>
          <c:idx val="2"/>
          <c:order val="2"/>
          <c:tx>
            <c:strRef>
              <c:f>Outlier!$F$6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Outlier!$G$3:$I$3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Outlier!$G$6:$I$6</c:f>
              <c:numCache>
                <c:formatCode>General</c:formatCode>
                <c:ptCount val="3"/>
                <c:pt idx="0">
                  <c:v>16</c:v>
                </c:pt>
                <c:pt idx="1">
                  <c:v>5.25</c:v>
                </c:pt>
                <c:pt idx="2">
                  <c:v>17.5</c:v>
                </c:pt>
              </c:numCache>
            </c:numRef>
          </c:val>
        </c:ser>
        <c:ser>
          <c:idx val="3"/>
          <c:order val="3"/>
          <c:tx>
            <c:strRef>
              <c:f>Outlier!$F$7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Outlier!$G$8:$I$8</c:f>
                <c:numCache>
                  <c:formatCode>General</c:formatCode>
                  <c:ptCount val="3"/>
                  <c:pt idx="0">
                    <c:v>47</c:v>
                  </c:pt>
                  <c:pt idx="1">
                    <c:v>72</c:v>
                  </c:pt>
                  <c:pt idx="2">
                    <c:v>42.5</c:v>
                  </c:pt>
                </c:numCache>
              </c:numRef>
            </c:plus>
          </c:errBars>
          <c:cat>
            <c:strRef>
              <c:f>Outlier!$G$3:$I$3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Outlier!$G$7:$I$7</c:f>
              <c:numCache>
                <c:formatCode>General</c:formatCode>
                <c:ptCount val="3"/>
                <c:pt idx="0">
                  <c:v>13</c:v>
                </c:pt>
                <c:pt idx="1">
                  <c:v>26</c:v>
                </c:pt>
                <c:pt idx="2">
                  <c:v>27.5</c:v>
                </c:pt>
              </c:numCache>
            </c:numRef>
          </c:val>
        </c:ser>
        <c:overlap val="100"/>
        <c:axId val="245219712"/>
        <c:axId val="245221248"/>
      </c:barChart>
      <c:catAx>
        <c:axId val="245219712"/>
        <c:scaling>
          <c:orientation val="minMax"/>
        </c:scaling>
        <c:axPos val="b"/>
        <c:tickLblPos val="nextTo"/>
        <c:crossAx val="245221248"/>
        <c:crosses val="autoZero"/>
        <c:auto val="1"/>
        <c:lblAlgn val="ctr"/>
        <c:lblOffset val="100"/>
      </c:catAx>
      <c:valAx>
        <c:axId val="245221248"/>
        <c:scaling>
          <c:orientation val="minMax"/>
        </c:scaling>
        <c:axPos val="l"/>
        <c:majorGridlines/>
        <c:numFmt formatCode="General" sourceLinked="1"/>
        <c:tickLblPos val="nextTo"/>
        <c:crossAx val="24521971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 sz="1600"/>
              <a:t>Binomial Distribution (n = 20, p = .25)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'Binomial 1'!$B$3</c:f>
              <c:strCache>
                <c:ptCount val="1"/>
                <c:pt idx="0">
                  <c:v>f(x)</c:v>
                </c:pt>
              </c:strCache>
            </c:strRef>
          </c:tx>
          <c:val>
            <c:numRef>
              <c:f>'Binomial 1'!$B$4:$B$24</c:f>
              <c:numCache>
                <c:formatCode>General</c:formatCode>
                <c:ptCount val="21"/>
                <c:pt idx="0">
                  <c:v>3.1712119389339963E-3</c:v>
                </c:pt>
                <c:pt idx="1">
                  <c:v>2.1141412926226615E-2</c:v>
                </c:pt>
                <c:pt idx="2">
                  <c:v>6.6947807599717662E-2</c:v>
                </c:pt>
                <c:pt idx="3">
                  <c:v>0.13389561519943524</c:v>
                </c:pt>
                <c:pt idx="4">
                  <c:v>0.18968545486586663</c:v>
                </c:pt>
                <c:pt idx="5">
                  <c:v>0.20233115185692441</c:v>
                </c:pt>
                <c:pt idx="6">
                  <c:v>0.1686092932141037</c:v>
                </c:pt>
                <c:pt idx="7">
                  <c:v>0.11240619547606913</c:v>
                </c:pt>
                <c:pt idx="8">
                  <c:v>6.0886689216204062E-2</c:v>
                </c:pt>
                <c:pt idx="9">
                  <c:v>2.7060750762757369E-2</c:v>
                </c:pt>
                <c:pt idx="10">
                  <c:v>9.9222752796777041E-3</c:v>
                </c:pt>
                <c:pt idx="11">
                  <c:v>3.0067500847508173E-3</c:v>
                </c:pt>
                <c:pt idx="12">
                  <c:v>7.5168752118770586E-4</c:v>
                </c:pt>
                <c:pt idx="13">
                  <c:v>1.541923120385034E-4</c:v>
                </c:pt>
                <c:pt idx="14">
                  <c:v>2.5698718673083962E-5</c:v>
                </c:pt>
                <c:pt idx="15">
                  <c:v>3.42649582307786E-6</c:v>
                </c:pt>
                <c:pt idx="16">
                  <c:v>3.5692664823727645E-7</c:v>
                </c:pt>
                <c:pt idx="17">
                  <c:v>2.7994246920570738E-8</c:v>
                </c:pt>
                <c:pt idx="18">
                  <c:v>1.5552359400317114E-9</c:v>
                </c:pt>
                <c:pt idx="19">
                  <c:v>5.4569682106375856E-11</c:v>
                </c:pt>
                <c:pt idx="20">
                  <c:v>9.0949470177292824E-13</c:v>
                </c:pt>
              </c:numCache>
            </c:numRef>
          </c:val>
        </c:ser>
        <c:axId val="245635712"/>
        <c:axId val="245657984"/>
      </c:barChart>
      <c:catAx>
        <c:axId val="245635712"/>
        <c:scaling>
          <c:orientation val="minMax"/>
        </c:scaling>
        <c:axPos val="b"/>
        <c:tickLblPos val="nextTo"/>
        <c:crossAx val="245657984"/>
        <c:crosses val="autoZero"/>
        <c:auto val="1"/>
        <c:lblAlgn val="ctr"/>
        <c:lblOffset val="100"/>
      </c:catAx>
      <c:valAx>
        <c:axId val="245657984"/>
        <c:scaling>
          <c:orientation val="minMax"/>
        </c:scaling>
        <c:axPos val="l"/>
        <c:majorGridlines/>
        <c:numFmt formatCode="#,##0.00" sourceLinked="0"/>
        <c:tickLblPos val="nextTo"/>
        <c:crossAx val="24563571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 sz="1600"/>
              <a:t>Cummulative</a:t>
            </a:r>
            <a:r>
              <a:rPr lang="it-IT" sz="1600" baseline="0"/>
              <a:t> Binomial (n = 10, p = 1/6</a:t>
            </a:r>
            <a:r>
              <a:rPr lang="it-IT" sz="1600"/>
              <a:t>)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'Binomial 1'!$B$28</c:f>
              <c:strCache>
                <c:ptCount val="1"/>
                <c:pt idx="0">
                  <c:v>F(x)</c:v>
                </c:pt>
              </c:strCache>
            </c:strRef>
          </c:tx>
          <c:val>
            <c:numRef>
              <c:f>'Binomial 1'!$B$29:$B$39</c:f>
              <c:numCache>
                <c:formatCode>0.00000</c:formatCode>
                <c:ptCount val="11"/>
                <c:pt idx="0">
                  <c:v>0.16150558288984571</c:v>
                </c:pt>
                <c:pt idx="1">
                  <c:v>0.48451674866953731</c:v>
                </c:pt>
                <c:pt idx="2">
                  <c:v>0.77522679787125948</c:v>
                </c:pt>
                <c:pt idx="3">
                  <c:v>0.93027215744551128</c:v>
                </c:pt>
                <c:pt idx="4">
                  <c:v>0.98453803329649947</c:v>
                </c:pt>
                <c:pt idx="5">
                  <c:v>0.99756184350073673</c:v>
                </c:pt>
                <c:pt idx="6">
                  <c:v>0.9997324785347762</c:v>
                </c:pt>
                <c:pt idx="7">
                  <c:v>0.99998055111009498</c:v>
                </c:pt>
                <c:pt idx="8">
                  <c:v>0.9999991565532439</c:v>
                </c:pt>
                <c:pt idx="9">
                  <c:v>0.99999998346182828</c:v>
                </c:pt>
                <c:pt idx="10">
                  <c:v>1</c:v>
                </c:pt>
              </c:numCache>
            </c:numRef>
          </c:val>
        </c:ser>
        <c:axId val="245664768"/>
        <c:axId val="245682944"/>
      </c:barChart>
      <c:catAx>
        <c:axId val="245664768"/>
        <c:scaling>
          <c:orientation val="minMax"/>
        </c:scaling>
        <c:axPos val="b"/>
        <c:tickLblPos val="nextTo"/>
        <c:crossAx val="245682944"/>
        <c:crosses val="autoZero"/>
        <c:auto val="1"/>
        <c:lblAlgn val="ctr"/>
        <c:lblOffset val="100"/>
      </c:catAx>
      <c:valAx>
        <c:axId val="245682944"/>
        <c:scaling>
          <c:orientation val="minMax"/>
        </c:scaling>
        <c:axPos val="l"/>
        <c:majorGridlines/>
        <c:numFmt formatCode="0.0" sourceLinked="0"/>
        <c:tickLblPos val="nextTo"/>
        <c:crossAx val="245664768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Binomial vs Normal Distribution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Binomial</c:v>
          </c:tx>
          <c:val>
            <c:numRef>
              <c:f>'Binomial 3'!$B$11:$B$31</c:f>
              <c:numCache>
                <c:formatCode>General</c:formatCode>
                <c:ptCount val="21"/>
                <c:pt idx="0">
                  <c:v>3.1712119389339963E-3</c:v>
                </c:pt>
                <c:pt idx="1">
                  <c:v>2.1141412926226615E-2</c:v>
                </c:pt>
                <c:pt idx="2">
                  <c:v>6.6947807599717662E-2</c:v>
                </c:pt>
                <c:pt idx="3">
                  <c:v>0.13389561519943524</c:v>
                </c:pt>
                <c:pt idx="4">
                  <c:v>0.18968545486586663</c:v>
                </c:pt>
                <c:pt idx="5">
                  <c:v>0.20233115185692441</c:v>
                </c:pt>
                <c:pt idx="6">
                  <c:v>0.1686092932141037</c:v>
                </c:pt>
                <c:pt idx="7">
                  <c:v>0.11240619547606913</c:v>
                </c:pt>
                <c:pt idx="8">
                  <c:v>6.0886689216204062E-2</c:v>
                </c:pt>
                <c:pt idx="9">
                  <c:v>2.7060750762757369E-2</c:v>
                </c:pt>
                <c:pt idx="10">
                  <c:v>9.9222752796777041E-3</c:v>
                </c:pt>
                <c:pt idx="11">
                  <c:v>3.0067500847508173E-3</c:v>
                </c:pt>
                <c:pt idx="12">
                  <c:v>7.5168752118770586E-4</c:v>
                </c:pt>
                <c:pt idx="13">
                  <c:v>1.541923120385034E-4</c:v>
                </c:pt>
                <c:pt idx="14">
                  <c:v>2.5698718673083962E-5</c:v>
                </c:pt>
                <c:pt idx="15">
                  <c:v>3.42649582307786E-6</c:v>
                </c:pt>
                <c:pt idx="16">
                  <c:v>3.5692664823727645E-7</c:v>
                </c:pt>
                <c:pt idx="17">
                  <c:v>2.7994246920570738E-8</c:v>
                </c:pt>
                <c:pt idx="18">
                  <c:v>1.5552359400317114E-9</c:v>
                </c:pt>
                <c:pt idx="19">
                  <c:v>5.4569682106375856E-11</c:v>
                </c:pt>
                <c:pt idx="20">
                  <c:v>9.0949470177292824E-13</c:v>
                </c:pt>
              </c:numCache>
            </c:numRef>
          </c:val>
        </c:ser>
        <c:ser>
          <c:idx val="1"/>
          <c:order val="1"/>
          <c:tx>
            <c:v>Normal</c:v>
          </c:tx>
          <c:val>
            <c:numRef>
              <c:f>'Binomial 3'!$C$11:$C$31</c:f>
              <c:numCache>
                <c:formatCode>General</c:formatCode>
                <c:ptCount val="21"/>
                <c:pt idx="0">
                  <c:v>7.3493031003682655E-3</c:v>
                </c:pt>
                <c:pt idx="1">
                  <c:v>2.4400545593852858E-2</c:v>
                </c:pt>
                <c:pt idx="2">
                  <c:v>6.2049895392207628E-2</c:v>
                </c:pt>
                <c:pt idx="3">
                  <c:v>0.12085669349928452</c:v>
                </c:pt>
                <c:pt idx="4">
                  <c:v>0.18029700023749379</c:v>
                </c:pt>
                <c:pt idx="5">
                  <c:v>0.20601290774570111</c:v>
                </c:pt>
                <c:pt idx="6">
                  <c:v>0.18029700023749379</c:v>
                </c:pt>
                <c:pt idx="7">
                  <c:v>0.12085669349928452</c:v>
                </c:pt>
                <c:pt idx="8">
                  <c:v>6.2049895392207628E-2</c:v>
                </c:pt>
                <c:pt idx="9">
                  <c:v>2.4400545593852858E-2</c:v>
                </c:pt>
                <c:pt idx="10">
                  <c:v>7.3493031003682655E-3</c:v>
                </c:pt>
                <c:pt idx="11">
                  <c:v>1.6954341195802181E-3</c:v>
                </c:pt>
                <c:pt idx="12">
                  <c:v>2.9957379207605066E-4</c:v>
                </c:pt>
                <c:pt idx="13">
                  <c:v>4.0542904000878473E-5</c:v>
                </c:pt>
                <c:pt idx="14">
                  <c:v>4.2025610143038761E-6</c:v>
                </c:pt>
                <c:pt idx="15">
                  <c:v>3.3365784455993171E-7</c:v>
                </c:pt>
                <c:pt idx="16">
                  <c:v>2.0289754423084675E-8</c:v>
                </c:pt>
                <c:pt idx="17">
                  <c:v>9.4501864998485711E-10</c:v>
                </c:pt>
                <c:pt idx="18">
                  <c:v>3.3712589032589398E-11</c:v>
                </c:pt>
                <c:pt idx="19">
                  <c:v>9.2115342570611369E-13</c:v>
                </c:pt>
                <c:pt idx="20">
                  <c:v>1.9277911173987313E-14</c:v>
                </c:pt>
              </c:numCache>
            </c:numRef>
          </c:val>
        </c:ser>
        <c:axId val="245770112"/>
        <c:axId val="245771648"/>
      </c:barChart>
      <c:catAx>
        <c:axId val="245770112"/>
        <c:scaling>
          <c:orientation val="minMax"/>
        </c:scaling>
        <c:axPos val="b"/>
        <c:tickLblPos val="nextTo"/>
        <c:crossAx val="245771648"/>
        <c:crosses val="autoZero"/>
        <c:auto val="1"/>
        <c:lblAlgn val="ctr"/>
        <c:lblOffset val="100"/>
      </c:catAx>
      <c:valAx>
        <c:axId val="245771648"/>
        <c:scaling>
          <c:orientation val="minMax"/>
        </c:scaling>
        <c:axPos val="l"/>
        <c:majorGridlines/>
        <c:numFmt formatCode="General" sourceLinked="1"/>
        <c:tickLblPos val="nextTo"/>
        <c:crossAx val="24577011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Beta Distribution </a:t>
            </a:r>
            <a:r>
              <a:rPr lang="el-GR"/>
              <a:t>β = </a:t>
            </a:r>
            <a:r>
              <a:rPr lang="it-IT"/>
              <a:t>8</a:t>
            </a:r>
            <a:endParaRPr lang="el-GR"/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Beta!$H$6</c:f>
              <c:strCache>
                <c:ptCount val="1"/>
                <c:pt idx="0">
                  <c:v>α = 2</c:v>
                </c:pt>
              </c:strCache>
            </c:strRef>
          </c:tx>
          <c:marker>
            <c:symbol val="none"/>
          </c:marker>
          <c:cat>
            <c:numRef>
              <c:f>Beta!$J$4:$J$53</c:f>
              <c:numCache>
                <c:formatCode>General</c:formatCode>
                <c:ptCount val="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0.12000000000000001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0.19999999999999998</c:v>
                </c:pt>
                <c:pt idx="11">
                  <c:v>0.21999999999999997</c:v>
                </c:pt>
                <c:pt idx="12">
                  <c:v>0.23999999999999996</c:v>
                </c:pt>
                <c:pt idx="13">
                  <c:v>0.25999999999999995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0.36000000000000004</c:v>
                </c:pt>
                <c:pt idx="19">
                  <c:v>0.38000000000000006</c:v>
                </c:pt>
                <c:pt idx="20">
                  <c:v>0.40000000000000008</c:v>
                </c:pt>
                <c:pt idx="21">
                  <c:v>0.4200000000000001</c:v>
                </c:pt>
                <c:pt idx="22">
                  <c:v>0.44000000000000011</c:v>
                </c:pt>
                <c:pt idx="23">
                  <c:v>0.46000000000000013</c:v>
                </c:pt>
                <c:pt idx="24">
                  <c:v>0.48000000000000015</c:v>
                </c:pt>
                <c:pt idx="25">
                  <c:v>0.50000000000000011</c:v>
                </c:pt>
                <c:pt idx="26">
                  <c:v>0.52000000000000013</c:v>
                </c:pt>
                <c:pt idx="27">
                  <c:v>0.54000000000000015</c:v>
                </c:pt>
                <c:pt idx="28">
                  <c:v>0.56000000000000016</c:v>
                </c:pt>
                <c:pt idx="29">
                  <c:v>0.58000000000000018</c:v>
                </c:pt>
                <c:pt idx="30">
                  <c:v>0.6000000000000002</c:v>
                </c:pt>
                <c:pt idx="31">
                  <c:v>0.62000000000000022</c:v>
                </c:pt>
                <c:pt idx="32">
                  <c:v>0.64000000000000024</c:v>
                </c:pt>
                <c:pt idx="33">
                  <c:v>0.66000000000000025</c:v>
                </c:pt>
                <c:pt idx="34">
                  <c:v>0.68000000000000027</c:v>
                </c:pt>
                <c:pt idx="35">
                  <c:v>0.70000000000000029</c:v>
                </c:pt>
                <c:pt idx="36">
                  <c:v>0.72000000000000031</c:v>
                </c:pt>
                <c:pt idx="37">
                  <c:v>0.74000000000000032</c:v>
                </c:pt>
                <c:pt idx="38">
                  <c:v>0.76000000000000034</c:v>
                </c:pt>
                <c:pt idx="39">
                  <c:v>0.78000000000000036</c:v>
                </c:pt>
                <c:pt idx="40">
                  <c:v>0.80000000000000038</c:v>
                </c:pt>
                <c:pt idx="41">
                  <c:v>0.8200000000000004</c:v>
                </c:pt>
                <c:pt idx="42">
                  <c:v>0.84000000000000041</c:v>
                </c:pt>
                <c:pt idx="43">
                  <c:v>0.86000000000000043</c:v>
                </c:pt>
                <c:pt idx="44">
                  <c:v>0.88000000000000045</c:v>
                </c:pt>
                <c:pt idx="45">
                  <c:v>0.90000000000000047</c:v>
                </c:pt>
                <c:pt idx="46">
                  <c:v>0.92000000000000048</c:v>
                </c:pt>
                <c:pt idx="47">
                  <c:v>0.9400000000000005</c:v>
                </c:pt>
                <c:pt idx="48">
                  <c:v>0.96000000000000052</c:v>
                </c:pt>
                <c:pt idx="49">
                  <c:v>0.98000000000000054</c:v>
                </c:pt>
              </c:numCache>
            </c:numRef>
          </c:cat>
          <c:val>
            <c:numRef>
              <c:f>Beta!$K$4:$K$53</c:f>
              <c:numCache>
                <c:formatCode>General</c:formatCode>
                <c:ptCount val="50"/>
                <c:pt idx="0">
                  <c:v>0</c:v>
                </c:pt>
                <c:pt idx="1">
                  <c:v>1.2501007678752769</c:v>
                </c:pt>
                <c:pt idx="2">
                  <c:v>2.1641687369515008</c:v>
                </c:pt>
                <c:pt idx="3">
                  <c:v>2.8014232069122049</c:v>
                </c:pt>
                <c:pt idx="4">
                  <c:v>3.2131964231221253</c:v>
                </c:pt>
                <c:pt idx="5">
                  <c:v>3.4437376800000008</c:v>
                </c:pt>
                <c:pt idx="6">
                  <c:v>3.5309571526361094</c:v>
                </c:pt>
                <c:pt idx="7">
                  <c:v>3.5071124479469575</c:v>
                </c:pt>
                <c:pt idx="8">
                  <c:v>3.3994407923417098</c:v>
                </c:pt>
                <c:pt idx="9">
                  <c:v>3.2307396985571333</c:v>
                </c:pt>
                <c:pt idx="10">
                  <c:v>3.0198988800000013</c:v>
                </c:pt>
                <c:pt idx="11">
                  <c:v>2.7823861066180617</c:v>
                </c:pt>
                <c:pt idx="12">
                  <c:v>2.5306896220028938</c:v>
                </c:pt>
                <c:pt idx="13">
                  <c:v>2.2747196671100935</c:v>
                </c:pt>
                <c:pt idx="14">
                  <c:v>2.0221715816644612</c:v>
                </c:pt>
                <c:pt idx="15">
                  <c:v>1.7788528799999999</c:v>
                </c:pt>
                <c:pt idx="16">
                  <c:v>1.5489766237667324</c:v>
                </c:pt>
                <c:pt idx="17">
                  <c:v>1.3354233396185085</c:v>
                </c:pt>
                <c:pt idx="18">
                  <c:v>1.139973655678157</c:v>
                </c:pt>
                <c:pt idx="19">
                  <c:v>0.96351375625850844</c:v>
                </c:pt>
                <c:pt idx="20">
                  <c:v>0.80621567999999921</c:v>
                </c:pt>
                <c:pt idx="21">
                  <c:v>0.66769441226772375</c:v>
                </c:pt>
                <c:pt idx="22">
                  <c:v>0.54714364833300411</c:v>
                </c:pt>
                <c:pt idx="23">
                  <c:v>0.44345202954669999</c:v>
                </c:pt>
                <c:pt idx="24">
                  <c:v>0.35530158039367638</c:v>
                </c:pt>
                <c:pt idx="25">
                  <c:v>0.2812499999999995</c:v>
                </c:pt>
                <c:pt idx="26">
                  <c:v>0.21979838734663637</c:v>
                </c:pt>
                <c:pt idx="27">
                  <c:v>0.16944590512558044</c:v>
                </c:pt>
                <c:pt idx="28">
                  <c:v>0.12873281285652452</c:v>
                </c:pt>
                <c:pt idx="29">
                  <c:v>9.6273225564364545E-2</c:v>
                </c:pt>
                <c:pt idx="30">
                  <c:v>7.0778879999999905E-2</c:v>
                </c:pt>
                <c:pt idx="31">
                  <c:v>5.1075116069068623E-2</c:v>
                </c:pt>
                <c:pt idx="32">
                  <c:v>3.6110206815436661E-2</c:v>
                </c:pt>
                <c:pt idx="33">
                  <c:v>2.4959095988428687E-2</c:v>
                </c:pt>
                <c:pt idx="34">
                  <c:v>1.6822527904972719E-2</c:v>
                </c:pt>
                <c:pt idx="35">
                  <c:v>1.1022479999999927E-2</c:v>
                </c:pt>
                <c:pt idx="36">
                  <c:v>6.9947341406207467E-3</c:v>
                </c:pt>
                <c:pt idx="37">
                  <c:v>4.2793484617727681E-3</c:v>
                </c:pt>
                <c:pt idx="38">
                  <c:v>2.5097171632127786E-3</c:v>
                </c:pt>
                <c:pt idx="39">
                  <c:v>1.4008313899007857E-3</c:v>
                </c:pt>
                <c:pt idx="40">
                  <c:v>7.3727999999999262E-4</c:v>
                </c:pt>
                <c:pt idx="41">
                  <c:v>3.614547068927951E-4</c:v>
                </c:pt>
                <c:pt idx="42">
                  <c:v>1.6234976378879716E-4</c:v>
                </c:pt>
                <c:pt idx="43">
                  <c:v>6.5272041676798685E-5</c:v>
                </c:pt>
                <c:pt idx="44">
                  <c:v>2.270303354879946E-5</c:v>
                </c:pt>
                <c:pt idx="45">
                  <c:v>6.4799999999997965E-6</c:v>
                </c:pt>
                <c:pt idx="46">
                  <c:v>1.389153484799946E-6</c:v>
                </c:pt>
                <c:pt idx="47">
                  <c:v>1.8946068479998937E-7</c:v>
                </c:pt>
                <c:pt idx="48">
                  <c:v>1.1324620799998985E-8</c:v>
                </c:pt>
                <c:pt idx="49">
                  <c:v>9.0316799999982906E-11</c:v>
                </c:pt>
              </c:numCache>
            </c:numRef>
          </c:val>
        </c:ser>
        <c:ser>
          <c:idx val="1"/>
          <c:order val="1"/>
          <c:tx>
            <c:strRef>
              <c:f>Beta!$H$7</c:f>
              <c:strCache>
                <c:ptCount val="1"/>
                <c:pt idx="0">
                  <c:v>α = 4</c:v>
                </c:pt>
              </c:strCache>
            </c:strRef>
          </c:tx>
          <c:marker>
            <c:symbol val="none"/>
          </c:marker>
          <c:val>
            <c:numRef>
              <c:f>Beta!$L$4:$L$53</c:f>
              <c:numCache>
                <c:formatCode>General</c:formatCode>
                <c:ptCount val="50"/>
                <c:pt idx="0">
                  <c:v>0</c:v>
                </c:pt>
                <c:pt idx="1">
                  <c:v>9.1674056310853628E-3</c:v>
                </c:pt>
                <c:pt idx="2">
                  <c:v>6.3482282950577423E-2</c:v>
                </c:pt>
                <c:pt idx="3">
                  <c:v>0.18489393165620557</c:v>
                </c:pt>
                <c:pt idx="4">
                  <c:v>0.3770150469796627</c:v>
                </c:pt>
                <c:pt idx="5">
                  <c:v>0.63135190799999996</c:v>
                </c:pt>
                <c:pt idx="6">
                  <c:v>0.93217268829593336</c:v>
                </c:pt>
                <c:pt idx="7">
                  <c:v>1.2602224062956064</c:v>
                </c:pt>
                <c:pt idx="8">
                  <c:v>1.5954708785390421</c:v>
                </c:pt>
                <c:pt idx="9">
                  <c:v>1.919059380942937</c:v>
                </c:pt>
                <c:pt idx="10">
                  <c:v>2.2145925120000003</c:v>
                </c:pt>
                <c:pt idx="11">
                  <c:v>2.468903938605759</c:v>
                </c:pt>
                <c:pt idx="12">
                  <c:v>2.6724082408350553</c:v>
                </c:pt>
                <c:pt idx="13">
                  <c:v>2.8191359074384419</c:v>
                </c:pt>
                <c:pt idx="14">
                  <c:v>2.9065346200457185</c:v>
                </c:pt>
                <c:pt idx="15">
                  <c:v>2.9351072520000008</c:v>
                </c:pt>
                <c:pt idx="16">
                  <c:v>2.9079454483514131</c:v>
                </c:pt>
                <c:pt idx="17">
                  <c:v>2.8302071977648269</c:v>
                </c:pt>
                <c:pt idx="18">
                  <c:v>2.7085774058913001</c:v>
                </c:pt>
                <c:pt idx="19">
                  <c:v>2.5507420840683586</c:v>
                </c:pt>
                <c:pt idx="20">
                  <c:v>2.364899327999999</c:v>
                </c:pt>
                <c:pt idx="21">
                  <c:v>2.159323729273821</c:v>
                </c:pt>
                <c:pt idx="22">
                  <c:v>1.9419951891499443</c:v>
                </c:pt>
                <c:pt idx="23">
                  <c:v>1.7202982399548332</c:v>
                </c:pt>
                <c:pt idx="24">
                  <c:v>1.5007938755828891</c:v>
                </c:pt>
                <c:pt idx="25">
                  <c:v>1.2890624999999998</c:v>
                </c:pt>
                <c:pt idx="26">
                  <c:v>1.0896138722063931</c:v>
                </c:pt>
                <c:pt idx="27">
                  <c:v>0.90585780880135458</c:v>
                </c:pt>
                <c:pt idx="28">
                  <c:v>0.74012785204977882</c:v>
                </c:pt>
                <c:pt idx="29">
                  <c:v>0.59374907313062453</c:v>
                </c:pt>
                <c:pt idx="30">
                  <c:v>0.46714060799999885</c:v>
                </c:pt>
                <c:pt idx="31">
                  <c:v>0.35994336797741672</c:v>
                </c:pt>
                <c:pt idx="32">
                  <c:v>0.27116357971271926</c:v>
                </c:pt>
                <c:pt idx="33">
                  <c:v>0.19932334056359172</c:v>
                </c:pt>
                <c:pt idx="34">
                  <c:v>0.14261017655975544</c:v>
                </c:pt>
                <c:pt idx="35">
                  <c:v>9.9018611999999548E-2</c:v>
                </c:pt>
                <c:pt idx="36">
                  <c:v>6.6477953272459672E-2</c:v>
                </c:pt>
                <c:pt idx="37">
                  <c:v>4.29618056572241E-2</c:v>
                </c:pt>
                <c:pt idx="38">
                  <c:v>2.6576231613647888E-2</c:v>
                </c:pt>
                <c:pt idx="39">
                  <c:v>1.5624873322953373E-2</c:v>
                </c:pt>
                <c:pt idx="40">
                  <c:v>8.6507519999998971E-3</c:v>
                </c:pt>
                <c:pt idx="41">
                  <c:v>4.4557726567697837E-3</c:v>
                </c:pt>
                <c:pt idx="42">
                  <c:v>2.1001565443718806E-3</c:v>
                </c:pt>
                <c:pt idx="43">
                  <c:v>8.850453704429389E-4</c:v>
                </c:pt>
                <c:pt idx="44">
                  <c:v>3.2232253497015546E-4</c:v>
                </c:pt>
                <c:pt idx="45">
                  <c:v>9.6227999999997019E-5</c:v>
                </c:pt>
                <c:pt idx="46">
                  <c:v>2.1555957674802381E-5</c:v>
                </c:pt>
                <c:pt idx="47">
                  <c:v>3.0691367866366243E-6</c:v>
                </c:pt>
                <c:pt idx="48">
                  <c:v>1.9134079303678326E-7</c:v>
                </c:pt>
                <c:pt idx="49">
                  <c:v>1.5902380031996985E-9</c:v>
                </c:pt>
              </c:numCache>
            </c:numRef>
          </c:val>
        </c:ser>
        <c:ser>
          <c:idx val="2"/>
          <c:order val="2"/>
          <c:tx>
            <c:strRef>
              <c:f>Beta!$H$8</c:f>
              <c:strCache>
                <c:ptCount val="1"/>
                <c:pt idx="0">
                  <c:v>α = 6</c:v>
                </c:pt>
              </c:strCache>
            </c:strRef>
          </c:tx>
          <c:marker>
            <c:symbol val="none"/>
          </c:marker>
          <c:val>
            <c:numRef>
              <c:f>Beta!$M$4:$M$53</c:f>
              <c:numCache>
                <c:formatCode>General</c:formatCode>
                <c:ptCount val="50"/>
                <c:pt idx="0">
                  <c:v>0</c:v>
                </c:pt>
                <c:pt idx="1">
                  <c:v>2.8602305568986287E-5</c:v>
                </c:pt>
                <c:pt idx="2">
                  <c:v>7.9225889122320581E-4</c:v>
                </c:pt>
                <c:pt idx="3">
                  <c:v>5.191821600906252E-3</c:v>
                </c:pt>
                <c:pt idx="4">
                  <c:v>1.882059114522475E-2</c:v>
                </c:pt>
                <c:pt idx="5">
                  <c:v>4.9245448824000025E-2</c:v>
                </c:pt>
                <c:pt idx="6">
                  <c:v>0.10470163634939925</c:v>
                </c:pt>
                <c:pt idx="7">
                  <c:v>0.19266280147447248</c:v>
                </c:pt>
                <c:pt idx="8">
                  <c:v>0.31858362502667564</c:v>
                </c:pt>
                <c:pt idx="9">
                  <c:v>0.48498468675189865</c:v>
                </c:pt>
                <c:pt idx="10">
                  <c:v>0.69095286374399956</c:v>
                </c:pt>
                <c:pt idx="11">
                  <c:v>0.93206061490244552</c:v>
                </c:pt>
                <c:pt idx="12">
                  <c:v>1.2006595744423727</c:v>
                </c:pt>
                <c:pt idx="13">
                  <c:v>1.4864739812741417</c:v>
                </c:pt>
                <c:pt idx="14">
                  <c:v>1.7774040508503568</c:v>
                </c:pt>
                <c:pt idx="15">
                  <c:v>2.0604452909040001</c:v>
                </c:pt>
                <c:pt idx="16">
                  <c:v>2.3226341885072408</c:v>
                </c:pt>
                <c:pt idx="17">
                  <c:v>2.5519412260805892</c:v>
                </c:pt>
                <c:pt idx="18">
                  <c:v>2.7380467280673986</c:v>
                </c:pt>
                <c:pt idx="19">
                  <c:v>2.8729518241278749</c:v>
                </c:pt>
                <c:pt idx="20">
                  <c:v>2.9513943613440006</c:v>
                </c:pt>
                <c:pt idx="21">
                  <c:v>2.9710567055824377</c:v>
                </c:pt>
                <c:pt idx="22">
                  <c:v>2.9325680952315492</c:v>
                </c:pt>
                <c:pt idx="23">
                  <c:v>2.8393178390806555</c:v>
                </c:pt>
                <c:pt idx="24">
                  <c:v>2.6971066896875238</c:v>
                </c:pt>
                <c:pt idx="25">
                  <c:v>2.5136718749999987</c:v>
                </c:pt>
                <c:pt idx="26">
                  <c:v>2.2981264101479488</c:v>
                </c:pt>
                <c:pt idx="27">
                  <c:v>2.0603554689625039</c:v>
                </c:pt>
                <c:pt idx="28">
                  <c:v>1.8104119363419231</c:v>
                </c:pt>
                <c:pt idx="29">
                  <c:v>1.5579500679689087</c:v>
                </c:pt>
                <c:pt idx="30">
                  <c:v>1.3117308272639974</c:v>
                </c:pt>
                <c:pt idx="31">
                  <c:v>1.0792253990740479</c:v>
                </c:pt>
                <c:pt idx="32">
                  <c:v>0.86633509755257232</c:v>
                </c:pt>
                <c:pt idx="33">
                  <c:v>0.67723692776610411</c:v>
                </c:pt>
                <c:pt idx="34">
                  <c:v>0.51435497600160118</c:v>
                </c:pt>
                <c:pt idx="35">
                  <c:v>0.37844913506399808</c:v>
                </c:pt>
                <c:pt idx="36">
                  <c:v>0.2688049336162564</c:v>
                </c:pt>
                <c:pt idx="37">
                  <c:v>0.18350190126758836</c:v>
                </c:pt>
                <c:pt idx="38">
                  <c:v>0.11973336476433558</c:v>
                </c:pt>
                <c:pt idx="39">
                  <c:v>7.4148148851541695E-2</c:v>
                </c:pt>
                <c:pt idx="40">
                  <c:v>4.31845539839995E-2</c:v>
                </c:pt>
                <c:pt idx="41">
                  <c:v>2.3369279968413637E-2</c:v>
                </c:pt>
                <c:pt idx="42">
                  <c:v>1.1558589570128647E-2</c:v>
                </c:pt>
                <c:pt idx="43">
                  <c:v>5.1057205366408709E-3</c:v>
                </c:pt>
                <c:pt idx="44">
                  <c:v>1.9469312544309273E-3</c:v>
                </c:pt>
                <c:pt idx="45">
                  <c:v>6.0796850399998223E-4</c:v>
                </c:pt>
                <c:pt idx="46">
                  <c:v>1.4231070809243114E-4</c:v>
                </c:pt>
                <c:pt idx="47">
                  <c:v>2.1152736264442619E-5</c:v>
                </c:pt>
                <c:pt idx="48">
                  <c:v>1.3754494639290579E-6</c:v>
                </c:pt>
                <c:pt idx="49">
                  <c:v>1.1912663710529423E-8</c:v>
                </c:pt>
              </c:numCache>
            </c:numRef>
          </c:val>
        </c:ser>
        <c:marker val="1"/>
        <c:axId val="245317632"/>
        <c:axId val="245319168"/>
      </c:lineChart>
      <c:catAx>
        <c:axId val="245317632"/>
        <c:scaling>
          <c:orientation val="minMax"/>
        </c:scaling>
        <c:axPos val="b"/>
        <c:numFmt formatCode="General" sourceLinked="1"/>
        <c:tickLblPos val="nextTo"/>
        <c:crossAx val="245319168"/>
        <c:crosses val="autoZero"/>
        <c:auto val="1"/>
        <c:lblAlgn val="ctr"/>
        <c:lblOffset val="100"/>
        <c:tickLblSkip val="5"/>
      </c:catAx>
      <c:valAx>
        <c:axId val="245319168"/>
        <c:scaling>
          <c:orientation val="minMax"/>
        </c:scaling>
        <c:axPos val="l"/>
        <c:majorGridlines/>
        <c:numFmt formatCode="#,##0.0" sourceLinked="0"/>
        <c:tickLblPos val="nextTo"/>
        <c:crossAx val="24531763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Poisson </a:t>
            </a:r>
            <a:r>
              <a:rPr lang="el-GR"/>
              <a:t>λ = 3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val>
            <c:numRef>
              <c:f>'Poisson 1'!$H$2:$H$14</c:f>
              <c:numCache>
                <c:formatCode>General</c:formatCode>
                <c:ptCount val="13"/>
                <c:pt idx="0">
                  <c:v>4.9787068367863944E-2</c:v>
                </c:pt>
                <c:pt idx="1">
                  <c:v>0.14936120510359185</c:v>
                </c:pt>
                <c:pt idx="2">
                  <c:v>0.22404180765538775</c:v>
                </c:pt>
                <c:pt idx="3">
                  <c:v>0.22404180765538778</c:v>
                </c:pt>
                <c:pt idx="4">
                  <c:v>0.16803135574154085</c:v>
                </c:pt>
                <c:pt idx="5">
                  <c:v>0.10081881344492449</c:v>
                </c:pt>
                <c:pt idx="6">
                  <c:v>5.0409406722462261E-2</c:v>
                </c:pt>
                <c:pt idx="7">
                  <c:v>2.1604031452483807E-2</c:v>
                </c:pt>
                <c:pt idx="8">
                  <c:v>8.1015117946814375E-3</c:v>
                </c:pt>
                <c:pt idx="9">
                  <c:v>2.7005039315604771E-3</c:v>
                </c:pt>
                <c:pt idx="10">
                  <c:v>8.1015117946814244E-4</c:v>
                </c:pt>
                <c:pt idx="11">
                  <c:v>2.2095032167312987E-4</c:v>
                </c:pt>
                <c:pt idx="12">
                  <c:v>5.5237580418282596E-5</c:v>
                </c:pt>
              </c:numCache>
            </c:numRef>
          </c:val>
        </c:ser>
        <c:axId val="245696000"/>
        <c:axId val="245697536"/>
      </c:barChart>
      <c:catAx>
        <c:axId val="245696000"/>
        <c:scaling>
          <c:orientation val="minMax"/>
        </c:scaling>
        <c:axPos val="b"/>
        <c:tickLblPos val="nextTo"/>
        <c:crossAx val="245697536"/>
        <c:crosses val="autoZero"/>
        <c:auto val="1"/>
        <c:lblAlgn val="ctr"/>
        <c:lblOffset val="100"/>
      </c:catAx>
      <c:valAx>
        <c:axId val="245697536"/>
        <c:scaling>
          <c:orientation val="minMax"/>
        </c:scaling>
        <c:axPos val="l"/>
        <c:majorGridlines/>
        <c:numFmt formatCode="#,##0.00" sourceLinked="0"/>
        <c:tickLblPos val="nextTo"/>
        <c:crossAx val="24569600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Poisson </a:t>
            </a:r>
            <a:r>
              <a:rPr lang="el-GR"/>
              <a:t>λ = </a:t>
            </a:r>
            <a:r>
              <a:rPr lang="it-IT"/>
              <a:t>2</a:t>
            </a:r>
            <a:endParaRPr lang="el-GR"/>
          </a:p>
        </c:rich>
      </c:tx>
    </c:title>
    <c:plotArea>
      <c:layout/>
      <c:barChart>
        <c:barDir val="col"/>
        <c:grouping val="clustered"/>
        <c:ser>
          <c:idx val="0"/>
          <c:order val="0"/>
          <c:val>
            <c:numRef>
              <c:f>'Poisson 1'!$G$2:$G$14</c:f>
              <c:numCache>
                <c:formatCode>General</c:formatCode>
                <c:ptCount val="13"/>
                <c:pt idx="0">
                  <c:v>0.1353352832366127</c:v>
                </c:pt>
                <c:pt idx="1">
                  <c:v>0.27067056647322535</c:v>
                </c:pt>
                <c:pt idx="2">
                  <c:v>0.27067056647322546</c:v>
                </c:pt>
                <c:pt idx="3">
                  <c:v>0.18044704431548364</c:v>
                </c:pt>
                <c:pt idx="4">
                  <c:v>9.022352215774182E-2</c:v>
                </c:pt>
                <c:pt idx="5">
                  <c:v>3.6089408863096716E-2</c:v>
                </c:pt>
                <c:pt idx="6">
                  <c:v>1.2029802954365572E-2</c:v>
                </c:pt>
                <c:pt idx="7">
                  <c:v>3.4370865583901629E-3</c:v>
                </c:pt>
                <c:pt idx="8">
                  <c:v>8.5927163959754148E-4</c:v>
                </c:pt>
                <c:pt idx="9">
                  <c:v>1.9094925324389769E-4</c:v>
                </c:pt>
                <c:pt idx="10">
                  <c:v>3.8189850648779602E-5</c:v>
                </c:pt>
                <c:pt idx="11">
                  <c:v>6.9436092088690095E-6</c:v>
                </c:pt>
                <c:pt idx="12">
                  <c:v>1.1572682014781686E-6</c:v>
                </c:pt>
              </c:numCache>
            </c:numRef>
          </c:val>
        </c:ser>
        <c:axId val="245750016"/>
        <c:axId val="245960704"/>
      </c:barChart>
      <c:catAx>
        <c:axId val="245750016"/>
        <c:scaling>
          <c:orientation val="minMax"/>
        </c:scaling>
        <c:axPos val="b"/>
        <c:tickLblPos val="nextTo"/>
        <c:crossAx val="245960704"/>
        <c:crosses val="autoZero"/>
        <c:auto val="1"/>
        <c:lblAlgn val="ctr"/>
        <c:lblOffset val="100"/>
      </c:catAx>
      <c:valAx>
        <c:axId val="245960704"/>
        <c:scaling>
          <c:orientation val="minMax"/>
        </c:scaling>
        <c:axPos val="l"/>
        <c:majorGridlines/>
        <c:numFmt formatCode="#,##0.00" sourceLinked="0"/>
        <c:tickLblPos val="nextTo"/>
        <c:crossAx val="245750016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Poisson </a:t>
            </a:r>
            <a:r>
              <a:rPr lang="el-GR"/>
              <a:t>λ = </a:t>
            </a:r>
            <a:r>
              <a:rPr lang="it-IT"/>
              <a:t>4</a:t>
            </a:r>
            <a:endParaRPr lang="el-GR"/>
          </a:p>
        </c:rich>
      </c:tx>
    </c:title>
    <c:plotArea>
      <c:layout/>
      <c:barChart>
        <c:barDir val="col"/>
        <c:grouping val="clustered"/>
        <c:ser>
          <c:idx val="0"/>
          <c:order val="0"/>
          <c:val>
            <c:numRef>
              <c:f>'Poisson 1'!$I$2:$I$14</c:f>
              <c:numCache>
                <c:formatCode>General</c:formatCode>
                <c:ptCount val="13"/>
                <c:pt idx="0">
                  <c:v>1.8315638888734179E-2</c:v>
                </c:pt>
                <c:pt idx="1">
                  <c:v>7.3262555554936715E-2</c:v>
                </c:pt>
                <c:pt idx="2">
                  <c:v>0.14652511110987346</c:v>
                </c:pt>
                <c:pt idx="3">
                  <c:v>0.19536681481316462</c:v>
                </c:pt>
                <c:pt idx="4">
                  <c:v>0.19536681481316462</c:v>
                </c:pt>
                <c:pt idx="5">
                  <c:v>0.1562934518505317</c:v>
                </c:pt>
                <c:pt idx="6">
                  <c:v>0.10419563456702115</c:v>
                </c:pt>
                <c:pt idx="7">
                  <c:v>5.9540362609726373E-2</c:v>
                </c:pt>
                <c:pt idx="8">
                  <c:v>2.9770181304863183E-2</c:v>
                </c:pt>
                <c:pt idx="9">
                  <c:v>1.3231191691050297E-2</c:v>
                </c:pt>
                <c:pt idx="10">
                  <c:v>5.2924766764201169E-3</c:v>
                </c:pt>
                <c:pt idx="11">
                  <c:v>1.9245369732436813E-3</c:v>
                </c:pt>
                <c:pt idx="12">
                  <c:v>6.4151232441456022E-4</c:v>
                </c:pt>
              </c:numCache>
            </c:numRef>
          </c:val>
        </c:ser>
        <c:axId val="245964160"/>
        <c:axId val="245998336"/>
      </c:barChart>
      <c:catAx>
        <c:axId val="245964160"/>
        <c:scaling>
          <c:orientation val="minMax"/>
        </c:scaling>
        <c:axPos val="b"/>
        <c:tickLblPos val="nextTo"/>
        <c:crossAx val="245998336"/>
        <c:crosses val="autoZero"/>
        <c:auto val="1"/>
        <c:lblAlgn val="ctr"/>
        <c:lblOffset val="100"/>
      </c:catAx>
      <c:valAx>
        <c:axId val="245998336"/>
        <c:scaling>
          <c:orientation val="minMax"/>
        </c:scaling>
        <c:axPos val="l"/>
        <c:majorGridlines/>
        <c:numFmt formatCode="#,##0.00" sourceLinked="0"/>
        <c:tickLblPos val="nextTo"/>
        <c:crossAx val="24596416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Binomial Distribution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cat>
            <c:numRef>
              <c:f>'Bin Power 1'!$A$11:$A$31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'Bin Power 1'!$B$11:$B$31</c:f>
              <c:numCache>
                <c:formatCode>General</c:formatCode>
                <c:ptCount val="21"/>
                <c:pt idx="0">
                  <c:v>3.2353447101972727E-5</c:v>
                </c:pt>
                <c:pt idx="1">
                  <c:v>4.1810608562549434E-4</c:v>
                </c:pt>
                <c:pt idx="2">
                  <c:v>2.5890415302194068E-3</c:v>
                </c:pt>
                <c:pt idx="3">
                  <c:v>1.0223394760353558E-2</c:v>
                </c:pt>
                <c:pt idx="4">
                  <c:v>2.8900750572537902E-2</c:v>
                </c:pt>
                <c:pt idx="5">
                  <c:v>6.2247770463927883E-2</c:v>
                </c:pt>
                <c:pt idx="6">
                  <c:v>0.10614042912438973</c:v>
                </c:pt>
                <c:pt idx="7">
                  <c:v>0.14696367109530883</c:v>
                </c:pt>
                <c:pt idx="8">
                  <c:v>0.16816035442636298</c:v>
                </c:pt>
                <c:pt idx="9">
                  <c:v>0.16097401449361234</c:v>
                </c:pt>
                <c:pt idx="10">
                  <c:v>0.13001747324484075</c:v>
                </c:pt>
                <c:pt idx="11">
                  <c:v>8.910288376219852E-2</c:v>
                </c:pt>
                <c:pt idx="12">
                  <c:v>5.1976682194615778E-2</c:v>
                </c:pt>
                <c:pt idx="13">
                  <c:v>2.5834563931051636E-2</c:v>
                </c:pt>
                <c:pt idx="14">
                  <c:v>1.0930007816983389E-2</c:v>
                </c:pt>
                <c:pt idx="15">
                  <c:v>3.9235925496863416E-3</c:v>
                </c:pt>
                <c:pt idx="16">
                  <c:v>1.1883958203376906E-3</c:v>
                </c:pt>
                <c:pt idx="17">
                  <c:v>3.0113197257425589E-4</c:v>
                </c:pt>
                <c:pt idx="18">
                  <c:v>6.3057549812557776E-5</c:v>
                </c:pt>
                <c:pt idx="19">
                  <c:v>1.0722336405374225E-5</c:v>
                </c:pt>
                <c:pt idx="20">
                  <c:v>1.4433914391849863E-6</c:v>
                </c:pt>
              </c:numCache>
            </c:numRef>
          </c:val>
        </c:ser>
        <c:axId val="246043776"/>
        <c:axId val="246045312"/>
      </c:barChart>
      <c:catAx>
        <c:axId val="246043776"/>
        <c:scaling>
          <c:orientation val="minMax"/>
        </c:scaling>
        <c:axPos val="b"/>
        <c:numFmt formatCode="General" sourceLinked="1"/>
        <c:tickLblPos val="nextTo"/>
        <c:crossAx val="246045312"/>
        <c:crosses val="autoZero"/>
        <c:auto val="1"/>
        <c:lblAlgn val="ctr"/>
        <c:lblOffset val="100"/>
      </c:catAx>
      <c:valAx>
        <c:axId val="246045312"/>
        <c:scaling>
          <c:orientation val="minMax"/>
        </c:scaling>
        <c:axPos val="l"/>
        <c:majorGridlines/>
        <c:numFmt formatCode="General" sourceLinked="1"/>
        <c:tickLblPos val="nextTo"/>
        <c:crossAx val="246043776"/>
        <c:crosses val="autoZero"/>
        <c:crossBetween val="between"/>
      </c:valAx>
    </c:plotArea>
    <c:plotVisOnly val="1"/>
    <c:dispBlanksAs val="gap"/>
  </c:chart>
  <c:spPr>
    <a:ln>
      <a:prstDash val="solid"/>
    </a:ln>
  </c:spPr>
  <c:printSettings>
    <c:headerFooter/>
    <c:pageMargins b="0.75000000000000255" l="0.70000000000000062" r="0.70000000000000062" t="0.7500000000000025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Power Curve - one-tailed</a:t>
            </a:r>
          </a:p>
        </c:rich>
      </c:tx>
    </c:title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'Bin Power 1'!$M$11:$M$22</c:f>
              <c:numCache>
                <c:formatCode>_-* #,##0.00_-;\-* #,##0.00_-;_-* "-"??_-;_-@_-</c:formatCode>
                <c:ptCount val="12"/>
                <c:pt idx="0">
                  <c:v>0.35</c:v>
                </c:pt>
                <c:pt idx="1">
                  <c:v>0.39999999999999997</c:v>
                </c:pt>
                <c:pt idx="2">
                  <c:v>0.44999999999999996</c:v>
                </c:pt>
                <c:pt idx="3">
                  <c:v>0.49999999999999994</c:v>
                </c:pt>
                <c:pt idx="4">
                  <c:v>0.54999999999999993</c:v>
                </c:pt>
                <c:pt idx="5">
                  <c:v>0.6</c:v>
                </c:pt>
                <c:pt idx="6">
                  <c:v>0.65</c:v>
                </c:pt>
                <c:pt idx="7">
                  <c:v>0.70000000000000007</c:v>
                </c:pt>
                <c:pt idx="8">
                  <c:v>0.75000000000000011</c:v>
                </c:pt>
                <c:pt idx="9">
                  <c:v>0.80000000000000016</c:v>
                </c:pt>
                <c:pt idx="10">
                  <c:v>0.8500000000000002</c:v>
                </c:pt>
                <c:pt idx="11">
                  <c:v>0.90000000000000024</c:v>
                </c:pt>
              </c:numCache>
            </c:numRef>
          </c:cat>
          <c:val>
            <c:numRef>
              <c:f>'Bin Power 1'!$O$11:$O$22</c:f>
              <c:numCache>
                <c:formatCode>General</c:formatCode>
                <c:ptCount val="12"/>
                <c:pt idx="0">
                  <c:v>4.2253074798904944E-2</c:v>
                </c:pt>
                <c:pt idx="1">
                  <c:v>0.11426508231924382</c:v>
                </c:pt>
                <c:pt idx="2">
                  <c:v>0.24203348196563079</c:v>
                </c:pt>
                <c:pt idx="3">
                  <c:v>0.41940987110137962</c:v>
                </c:pt>
                <c:pt idx="4">
                  <c:v>0.61509877590358863</c:v>
                </c:pt>
                <c:pt idx="5">
                  <c:v>0.78697820103945881</c:v>
                </c:pt>
                <c:pt idx="6">
                  <c:v>0.90577024300647924</c:v>
                </c:pt>
                <c:pt idx="7">
                  <c:v>0.96860634590402539</c:v>
                </c:pt>
                <c:pt idx="8">
                  <c:v>0.9928003499921445</c:v>
                </c:pt>
                <c:pt idx="9">
                  <c:v>0.9990220301677466</c:v>
                </c:pt>
                <c:pt idx="10">
                  <c:v>0.99994069020732579</c:v>
                </c:pt>
                <c:pt idx="11">
                  <c:v>0.99999915055641087</c:v>
                </c:pt>
              </c:numCache>
            </c:numRef>
          </c:val>
        </c:ser>
        <c:marker val="1"/>
        <c:axId val="246228096"/>
        <c:axId val="246230016"/>
      </c:lineChart>
      <c:catAx>
        <c:axId val="2462280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value of p</a:t>
                </a:r>
              </a:p>
            </c:rich>
          </c:tx>
        </c:title>
        <c:numFmt formatCode="_-* #,##0.00_-;\-* #,##0.00_-;_-* &quot;-&quot;??_-;_-@_-" sourceLinked="1"/>
        <c:tickLblPos val="nextTo"/>
        <c:crossAx val="246230016"/>
        <c:crosses val="autoZero"/>
        <c:auto val="1"/>
        <c:lblAlgn val="ctr"/>
        <c:lblOffset val="100"/>
      </c:catAx>
      <c:valAx>
        <c:axId val="246230016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</a:t>
                </a:r>
              </a:p>
            </c:rich>
          </c:tx>
        </c:title>
        <c:numFmt formatCode="0%" sourceLinked="0"/>
        <c:tickLblPos val="nextTo"/>
        <c:crossAx val="246228096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Power Curve - two-tailed</a:t>
            </a:r>
          </a:p>
        </c:rich>
      </c:tx>
    </c:title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'Bin Power 2'!$A$12:$A$23</c:f>
              <c:numCache>
                <c:formatCode>_-* #,##0.00_-;\-* #,##0.00_-;_-* "-"??_-;_-@_-</c:formatCode>
                <c:ptCount val="12"/>
                <c:pt idx="0">
                  <c:v>0.35</c:v>
                </c:pt>
                <c:pt idx="1">
                  <c:v>0.39999999999999997</c:v>
                </c:pt>
                <c:pt idx="2">
                  <c:v>0.44999999999999996</c:v>
                </c:pt>
                <c:pt idx="3">
                  <c:v>0.49999999999999994</c:v>
                </c:pt>
                <c:pt idx="4">
                  <c:v>0.54999999999999993</c:v>
                </c:pt>
                <c:pt idx="5">
                  <c:v>0.6</c:v>
                </c:pt>
                <c:pt idx="6">
                  <c:v>0.65</c:v>
                </c:pt>
                <c:pt idx="7">
                  <c:v>0.70000000000000007</c:v>
                </c:pt>
                <c:pt idx="8">
                  <c:v>0.75000000000000011</c:v>
                </c:pt>
                <c:pt idx="9">
                  <c:v>0.80000000000000016</c:v>
                </c:pt>
                <c:pt idx="10">
                  <c:v>0.8500000000000002</c:v>
                </c:pt>
                <c:pt idx="11">
                  <c:v>0.90000000000000024</c:v>
                </c:pt>
              </c:numCache>
            </c:numRef>
          </c:cat>
          <c:val>
            <c:numRef>
              <c:f>'Bin Power 2'!$C$12:$C$23</c:f>
              <c:numCache>
                <c:formatCode>General</c:formatCode>
                <c:ptCount val="12"/>
                <c:pt idx="0">
                  <c:v>2.9681406691153711E-2</c:v>
                </c:pt>
                <c:pt idx="1">
                  <c:v>5.6995136997362916E-2</c:v>
                </c:pt>
                <c:pt idx="2">
                  <c:v>0.13490478078768697</c:v>
                </c:pt>
                <c:pt idx="3">
                  <c:v>0.27076667547225963</c:v>
                </c:pt>
                <c:pt idx="4">
                  <c:v>0.45393433061665833</c:v>
                </c:pt>
                <c:pt idx="5">
                  <c:v>0.65024023980991696</c:v>
                </c:pt>
                <c:pt idx="6">
                  <c:v>0.8166675186748954</c:v>
                </c:pt>
                <c:pt idx="7">
                  <c:v>0.92576354262207372</c:v>
                </c:pt>
                <c:pt idx="8">
                  <c:v>0.97866175842065317</c:v>
                </c:pt>
                <c:pt idx="9">
                  <c:v>0.99621162187292978</c:v>
                </c:pt>
                <c:pt idx="10">
                  <c:v>0.99967964271861931</c:v>
                </c:pt>
                <c:pt idx="11">
                  <c:v>0.99999280569327476</c:v>
                </c:pt>
              </c:numCache>
            </c:numRef>
          </c:val>
        </c:ser>
        <c:marker val="1"/>
        <c:axId val="246295552"/>
        <c:axId val="246297728"/>
      </c:lineChart>
      <c:catAx>
        <c:axId val="2462955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 value of p</a:t>
                </a:r>
              </a:p>
            </c:rich>
          </c:tx>
        </c:title>
        <c:numFmt formatCode="_-* #,##0.00_-;\-* #,##0.00_-;_-* &quot;-&quot;??_-;_-@_-" sourceLinked="1"/>
        <c:tickLblPos val="nextTo"/>
        <c:crossAx val="246297728"/>
        <c:crosses val="autoZero"/>
        <c:auto val="1"/>
        <c:lblAlgn val="ctr"/>
        <c:lblOffset val="100"/>
      </c:catAx>
      <c:valAx>
        <c:axId val="246297728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</a:t>
                </a:r>
              </a:p>
            </c:rich>
          </c:tx>
        </c:title>
        <c:numFmt formatCode="0%" sourceLinked="0"/>
        <c:tickLblPos val="nextTo"/>
        <c:crossAx val="24629555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Student's t Distribution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tx>
            <c:v>t (df = 5)</c:v>
          </c:tx>
          <c:marker>
            <c:symbol val="none"/>
          </c:marker>
          <c:cat>
            <c:numRef>
              <c:f>'T Dist'!$B$20:$B$100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0.30000000000000004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0.79999999999999993</c:v>
                </c:pt>
                <c:pt idx="49">
                  <c:v>0.89999999999999991</c:v>
                </c:pt>
                <c:pt idx="50">
                  <c:v>0.99999999999999989</c:v>
                </c:pt>
                <c:pt idx="51">
                  <c:v>1.0999999999999999</c:v>
                </c:pt>
                <c:pt idx="52">
                  <c:v>1.2</c:v>
                </c:pt>
                <c:pt idx="53">
                  <c:v>1.3</c:v>
                </c:pt>
                <c:pt idx="54">
                  <c:v>1.4000000000000001</c:v>
                </c:pt>
                <c:pt idx="55">
                  <c:v>1.5000000000000002</c:v>
                </c:pt>
                <c:pt idx="56">
                  <c:v>1.6000000000000003</c:v>
                </c:pt>
                <c:pt idx="57">
                  <c:v>1.7000000000000004</c:v>
                </c:pt>
                <c:pt idx="58">
                  <c:v>1.8000000000000005</c:v>
                </c:pt>
                <c:pt idx="59">
                  <c:v>1.9000000000000006</c:v>
                </c:pt>
                <c:pt idx="60">
                  <c:v>2.0000000000000004</c:v>
                </c:pt>
                <c:pt idx="61">
                  <c:v>2.1000000000000005</c:v>
                </c:pt>
                <c:pt idx="62">
                  <c:v>2.2000000000000006</c:v>
                </c:pt>
                <c:pt idx="63">
                  <c:v>2.3000000000000007</c:v>
                </c:pt>
                <c:pt idx="64">
                  <c:v>2.4000000000000008</c:v>
                </c:pt>
                <c:pt idx="65">
                  <c:v>2.5000000000000009</c:v>
                </c:pt>
                <c:pt idx="66">
                  <c:v>2.600000000000001</c:v>
                </c:pt>
                <c:pt idx="67">
                  <c:v>2.7000000000000011</c:v>
                </c:pt>
                <c:pt idx="68">
                  <c:v>2.8000000000000012</c:v>
                </c:pt>
                <c:pt idx="69">
                  <c:v>2.9000000000000012</c:v>
                </c:pt>
                <c:pt idx="70">
                  <c:v>3.0000000000000013</c:v>
                </c:pt>
                <c:pt idx="71">
                  <c:v>3.1000000000000014</c:v>
                </c:pt>
                <c:pt idx="72">
                  <c:v>3.2000000000000015</c:v>
                </c:pt>
                <c:pt idx="73">
                  <c:v>3.3000000000000016</c:v>
                </c:pt>
                <c:pt idx="74">
                  <c:v>3.4000000000000017</c:v>
                </c:pt>
                <c:pt idx="75">
                  <c:v>3.5000000000000018</c:v>
                </c:pt>
                <c:pt idx="76">
                  <c:v>3.6000000000000019</c:v>
                </c:pt>
                <c:pt idx="77">
                  <c:v>3.700000000000002</c:v>
                </c:pt>
                <c:pt idx="78">
                  <c:v>3.800000000000002</c:v>
                </c:pt>
                <c:pt idx="79">
                  <c:v>3.9000000000000021</c:v>
                </c:pt>
                <c:pt idx="80">
                  <c:v>4.0000000000000018</c:v>
                </c:pt>
              </c:numCache>
            </c:numRef>
          </c:cat>
          <c:val>
            <c:numRef>
              <c:f>'T Dist'!$D$20:$D$100</c:f>
              <c:numCache>
                <c:formatCode>General</c:formatCode>
                <c:ptCount val="81"/>
                <c:pt idx="0">
                  <c:v>5.1237270519179133E-3</c:v>
                </c:pt>
                <c:pt idx="1">
                  <c:v>5.7483728547693983E-3</c:v>
                </c:pt>
                <c:pt idx="2">
                  <c:v>6.4588483643698387E-3</c:v>
                </c:pt>
                <c:pt idx="3">
                  <c:v>7.2680175325693973E-3</c:v>
                </c:pt>
                <c:pt idx="4">
                  <c:v>8.1907726871290592E-3</c:v>
                </c:pt>
                <c:pt idx="5">
                  <c:v>9.2443540925209264E-3</c:v>
                </c:pt>
                <c:pt idx="6">
                  <c:v>1.0448714749395216E-2</c:v>
                </c:pt>
                <c:pt idx="7">
                  <c:v>1.1826934151171177E-2</c:v>
                </c:pt>
                <c:pt idx="8">
                  <c:v>1.3405683736328894E-2</c:v>
                </c:pt>
                <c:pt idx="9">
                  <c:v>1.5215745044952832E-2</c:v>
                </c:pt>
                <c:pt idx="10">
                  <c:v>1.7292578800222981E-2</c:v>
                </c:pt>
                <c:pt idx="11">
                  <c:v>1.9676938890598534E-2</c:v>
                </c:pt>
                <c:pt idx="12">
                  <c:v>2.2415519021677287E-2</c:v>
                </c:pt>
                <c:pt idx="13">
                  <c:v>2.5561611020544595E-2</c:v>
                </c:pt>
                <c:pt idx="14">
                  <c:v>2.9175741685939342E-2</c:v>
                </c:pt>
                <c:pt idx="15">
                  <c:v>3.3326238887022894E-2</c:v>
                </c:pt>
                <c:pt idx="16">
                  <c:v>3.8089656526432016E-2</c:v>
                </c:pt>
                <c:pt idx="17">
                  <c:v>4.3550961350440079E-2</c:v>
                </c:pt>
                <c:pt idx="18">
                  <c:v>4.9803352151145203E-2</c:v>
                </c:pt>
                <c:pt idx="19">
                  <c:v>5.6947544172170676E-2</c:v>
                </c:pt>
                <c:pt idx="20">
                  <c:v>6.5090310326216635E-2</c:v>
                </c:pt>
                <c:pt idx="21">
                  <c:v>7.4342030033196366E-2</c:v>
                </c:pt>
                <c:pt idx="22">
                  <c:v>8.481296289690396E-2</c:v>
                </c:pt>
                <c:pt idx="23">
                  <c:v>9.6607948713912054E-2</c:v>
                </c:pt>
                <c:pt idx="24">
                  <c:v>0.10981925265599124</c:v>
                </c:pt>
                <c:pt idx="25">
                  <c:v>0.12451734464635547</c:v>
                </c:pt>
                <c:pt idx="26">
                  <c:v>0.140739547894915</c:v>
                </c:pt>
                <c:pt idx="27">
                  <c:v>0.15847673572898288</c:v>
                </c:pt>
                <c:pt idx="28">
                  <c:v>0.17765861346493592</c:v>
                </c:pt>
                <c:pt idx="29">
                  <c:v>0.19813859080334678</c:v>
                </c:pt>
                <c:pt idx="30">
                  <c:v>0.21967979735098106</c:v>
                </c:pt>
                <c:pt idx="31">
                  <c:v>0.24194434361359041</c:v>
                </c:pt>
                <c:pt idx="32">
                  <c:v>0.26448835680795801</c:v>
                </c:pt>
                <c:pt idx="33">
                  <c:v>0.28676545757669847</c:v>
                </c:pt>
                <c:pt idx="34">
                  <c:v>0.3081410097234204</c:v>
                </c:pt>
                <c:pt idx="35">
                  <c:v>0.3279185313227469</c:v>
                </c:pt>
                <c:pt idx="36">
                  <c:v>0.34537807575273377</c:v>
                </c:pt>
                <c:pt idx="37">
                  <c:v>0.3598243283490099</c:v>
                </c:pt>
                <c:pt idx="38">
                  <c:v>0.37063997771396967</c:v>
                </c:pt>
                <c:pt idx="39">
                  <c:v>0.37733812996643123</c:v>
                </c:pt>
                <c:pt idx="40">
                  <c:v>0.3796066898224944</c:v>
                </c:pt>
                <c:pt idx="41">
                  <c:v>0.37733812996643123</c:v>
                </c:pt>
                <c:pt idx="42">
                  <c:v>0.37063997771396939</c:v>
                </c:pt>
                <c:pt idx="43">
                  <c:v>0.35982432834900968</c:v>
                </c:pt>
                <c:pt idx="44">
                  <c:v>0.34537807575273338</c:v>
                </c:pt>
                <c:pt idx="45">
                  <c:v>0.32791853132274645</c:v>
                </c:pt>
                <c:pt idx="46">
                  <c:v>0.30814100972341979</c:v>
                </c:pt>
                <c:pt idx="47">
                  <c:v>0.2867654575766978</c:v>
                </c:pt>
                <c:pt idx="48">
                  <c:v>0.26448835680795757</c:v>
                </c:pt>
                <c:pt idx="49">
                  <c:v>0.24194434361358985</c:v>
                </c:pt>
                <c:pt idx="50">
                  <c:v>0.21967979735098056</c:v>
                </c:pt>
                <c:pt idx="51">
                  <c:v>0.19813859080334623</c:v>
                </c:pt>
                <c:pt idx="52">
                  <c:v>0.17765861346493544</c:v>
                </c:pt>
                <c:pt idx="53">
                  <c:v>0.15847673572898241</c:v>
                </c:pt>
                <c:pt idx="54">
                  <c:v>0.14073954789491452</c:v>
                </c:pt>
                <c:pt idx="55">
                  <c:v>0.12451734464635508</c:v>
                </c:pt>
                <c:pt idx="56">
                  <c:v>0.10981925265599091</c:v>
                </c:pt>
                <c:pt idx="57">
                  <c:v>9.6607948713911748E-2</c:v>
                </c:pt>
                <c:pt idx="58">
                  <c:v>8.4812962896903682E-2</c:v>
                </c:pt>
                <c:pt idx="59">
                  <c:v>7.434203003319613E-2</c:v>
                </c:pt>
                <c:pt idx="60">
                  <c:v>6.5090310326216427E-2</c:v>
                </c:pt>
                <c:pt idx="61">
                  <c:v>5.6947544172170517E-2</c:v>
                </c:pt>
                <c:pt idx="62">
                  <c:v>4.9803352151145064E-2</c:v>
                </c:pt>
                <c:pt idx="63">
                  <c:v>4.355096135043994E-2</c:v>
                </c:pt>
                <c:pt idx="64">
                  <c:v>3.8089656526431905E-2</c:v>
                </c:pt>
                <c:pt idx="65">
                  <c:v>3.332623888702279E-2</c:v>
                </c:pt>
                <c:pt idx="66">
                  <c:v>2.9175741685939248E-2</c:v>
                </c:pt>
                <c:pt idx="67">
                  <c:v>2.5561611020544526E-2</c:v>
                </c:pt>
                <c:pt idx="68">
                  <c:v>2.2415519021677217E-2</c:v>
                </c:pt>
                <c:pt idx="69">
                  <c:v>1.9676938890598485E-2</c:v>
                </c:pt>
                <c:pt idx="70">
                  <c:v>1.7292578800222929E-2</c:v>
                </c:pt>
                <c:pt idx="71">
                  <c:v>1.5215745044952798E-2</c:v>
                </c:pt>
                <c:pt idx="72">
                  <c:v>1.3405683736328861E-2</c:v>
                </c:pt>
                <c:pt idx="73">
                  <c:v>1.1826934151171141E-2</c:v>
                </c:pt>
                <c:pt idx="74">
                  <c:v>1.0448714749395191E-2</c:v>
                </c:pt>
                <c:pt idx="75">
                  <c:v>9.2443540925209022E-3</c:v>
                </c:pt>
                <c:pt idx="76">
                  <c:v>8.1907726871290384E-3</c:v>
                </c:pt>
                <c:pt idx="77">
                  <c:v>7.2680175325693791E-3</c:v>
                </c:pt>
                <c:pt idx="78">
                  <c:v>6.458848364369823E-3</c:v>
                </c:pt>
                <c:pt idx="79">
                  <c:v>5.7483728547693836E-3</c:v>
                </c:pt>
                <c:pt idx="80">
                  <c:v>5.1237270519179038E-3</c:v>
                </c:pt>
              </c:numCache>
            </c:numRef>
          </c:val>
        </c:ser>
        <c:ser>
          <c:idx val="1"/>
          <c:order val="1"/>
          <c:tx>
            <c:v>t (df = 10)</c:v>
          </c:tx>
          <c:marker>
            <c:symbol val="none"/>
          </c:marker>
          <c:cat>
            <c:numRef>
              <c:f>'T Dist'!$B$20:$B$100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0.30000000000000004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0.79999999999999993</c:v>
                </c:pt>
                <c:pt idx="49">
                  <c:v>0.89999999999999991</c:v>
                </c:pt>
                <c:pt idx="50">
                  <c:v>0.99999999999999989</c:v>
                </c:pt>
                <c:pt idx="51">
                  <c:v>1.0999999999999999</c:v>
                </c:pt>
                <c:pt idx="52">
                  <c:v>1.2</c:v>
                </c:pt>
                <c:pt idx="53">
                  <c:v>1.3</c:v>
                </c:pt>
                <c:pt idx="54">
                  <c:v>1.4000000000000001</c:v>
                </c:pt>
                <c:pt idx="55">
                  <c:v>1.5000000000000002</c:v>
                </c:pt>
                <c:pt idx="56">
                  <c:v>1.6000000000000003</c:v>
                </c:pt>
                <c:pt idx="57">
                  <c:v>1.7000000000000004</c:v>
                </c:pt>
                <c:pt idx="58">
                  <c:v>1.8000000000000005</c:v>
                </c:pt>
                <c:pt idx="59">
                  <c:v>1.9000000000000006</c:v>
                </c:pt>
                <c:pt idx="60">
                  <c:v>2.0000000000000004</c:v>
                </c:pt>
                <c:pt idx="61">
                  <c:v>2.1000000000000005</c:v>
                </c:pt>
                <c:pt idx="62">
                  <c:v>2.2000000000000006</c:v>
                </c:pt>
                <c:pt idx="63">
                  <c:v>2.3000000000000007</c:v>
                </c:pt>
                <c:pt idx="64">
                  <c:v>2.4000000000000008</c:v>
                </c:pt>
                <c:pt idx="65">
                  <c:v>2.5000000000000009</c:v>
                </c:pt>
                <c:pt idx="66">
                  <c:v>2.600000000000001</c:v>
                </c:pt>
                <c:pt idx="67">
                  <c:v>2.7000000000000011</c:v>
                </c:pt>
                <c:pt idx="68">
                  <c:v>2.8000000000000012</c:v>
                </c:pt>
                <c:pt idx="69">
                  <c:v>2.9000000000000012</c:v>
                </c:pt>
                <c:pt idx="70">
                  <c:v>3.0000000000000013</c:v>
                </c:pt>
                <c:pt idx="71">
                  <c:v>3.1000000000000014</c:v>
                </c:pt>
                <c:pt idx="72">
                  <c:v>3.2000000000000015</c:v>
                </c:pt>
                <c:pt idx="73">
                  <c:v>3.3000000000000016</c:v>
                </c:pt>
                <c:pt idx="74">
                  <c:v>3.4000000000000017</c:v>
                </c:pt>
                <c:pt idx="75">
                  <c:v>3.5000000000000018</c:v>
                </c:pt>
                <c:pt idx="76">
                  <c:v>3.6000000000000019</c:v>
                </c:pt>
                <c:pt idx="77">
                  <c:v>3.700000000000002</c:v>
                </c:pt>
                <c:pt idx="78">
                  <c:v>3.800000000000002</c:v>
                </c:pt>
                <c:pt idx="79">
                  <c:v>3.9000000000000021</c:v>
                </c:pt>
                <c:pt idx="80">
                  <c:v>4.0000000000000018</c:v>
                </c:pt>
              </c:numCache>
            </c:numRef>
          </c:cat>
          <c:val>
            <c:numRef>
              <c:f>'T Dist'!$E$20:$E$100</c:f>
              <c:numCache>
                <c:formatCode>General</c:formatCode>
                <c:ptCount val="81"/>
                <c:pt idx="0">
                  <c:v>2.0310339110412149E-3</c:v>
                </c:pt>
                <c:pt idx="1">
                  <c:v>2.4066888019954893E-3</c:v>
                </c:pt>
                <c:pt idx="2">
                  <c:v>2.8543943946096055E-3</c:v>
                </c:pt>
                <c:pt idx="3">
                  <c:v>3.3881509779624024E-3</c:v>
                </c:pt>
                <c:pt idx="4">
                  <c:v>4.0246232150294705E-3</c:v>
                </c:pt>
                <c:pt idx="5">
                  <c:v>4.783607126701327E-3</c:v>
                </c:pt>
                <c:pt idx="6">
                  <c:v>5.6885611066299314E-3</c:v>
                </c:pt>
                <c:pt idx="7">
                  <c:v>6.7672024406869426E-3</c:v>
                </c:pt>
                <c:pt idx="8">
                  <c:v>8.0521673723421717E-3</c:v>
                </c:pt>
                <c:pt idx="9">
                  <c:v>9.5817276708977366E-3</c:v>
                </c:pt>
                <c:pt idx="10">
                  <c:v>1.1400549464542539E-2</c:v>
                </c:pt>
                <c:pt idx="11">
                  <c:v>1.3560470295244938E-2</c:v>
                </c:pt>
                <c:pt idx="12">
                  <c:v>1.6121257439422165E-2</c:v>
                </c:pt>
                <c:pt idx="13">
                  <c:v>1.9151294092491021E-2</c:v>
                </c:pt>
                <c:pt idx="14">
                  <c:v>2.2728119798465004E-2</c:v>
                </c:pt>
                <c:pt idx="15">
                  <c:v>2.6938727628244515E-2</c:v>
                </c:pt>
                <c:pt idx="16">
                  <c:v>3.1879493750030623E-2</c:v>
                </c:pt>
                <c:pt idx="17">
                  <c:v>3.7655586709753462E-2</c:v>
                </c:pt>
                <c:pt idx="18">
                  <c:v>4.4379676614245793E-2</c:v>
                </c:pt>
                <c:pt idx="19">
                  <c:v>5.216974260435512E-2</c:v>
                </c:pt>
                <c:pt idx="20">
                  <c:v>6.1145766321218327E-2</c:v>
                </c:pt>
                <c:pt idx="21">
                  <c:v>7.1425107032802609E-2</c:v>
                </c:pt>
                <c:pt idx="22">
                  <c:v>8.3116389653879769E-2</c:v>
                </c:pt>
                <c:pt idx="23">
                  <c:v>9.6311809633229564E-2</c:v>
                </c:pt>
                <c:pt idx="24">
                  <c:v>0.11107787729698358</c:v>
                </c:pt>
                <c:pt idx="25">
                  <c:v>0.12744479428709199</c:v>
                </c:pt>
                <c:pt idx="26">
                  <c:v>0.14539487566000653</c:v>
                </c:pt>
                <c:pt idx="27">
                  <c:v>0.16485069296801974</c:v>
                </c:pt>
                <c:pt idx="28">
                  <c:v>0.18566389362670357</c:v>
                </c:pt>
                <c:pt idx="29">
                  <c:v>0.20760591316421437</c:v>
                </c:pt>
                <c:pt idx="30">
                  <c:v>0.2303619892291392</c:v>
                </c:pt>
                <c:pt idx="31">
                  <c:v>0.25352995055982802</c:v>
                </c:pt>
                <c:pt idx="32">
                  <c:v>0.27662513233825686</c:v>
                </c:pt>
                <c:pt idx="33">
                  <c:v>0.29909241773685297</c:v>
                </c:pt>
                <c:pt idx="34">
                  <c:v>0.32032581052912468</c:v>
                </c:pt>
                <c:pt idx="35">
                  <c:v>0.33969513635207821</c:v>
                </c:pt>
                <c:pt idx="36">
                  <c:v>0.35657853369790415</c:v>
                </c:pt>
                <c:pt idx="37">
                  <c:v>0.37039846155274542</c:v>
                </c:pt>
                <c:pt idx="38">
                  <c:v>0.38065818105444899</c:v>
                </c:pt>
                <c:pt idx="39">
                  <c:v>0.38697522581518046</c:v>
                </c:pt>
                <c:pt idx="40">
                  <c:v>0.38910838396603087</c:v>
                </c:pt>
                <c:pt idx="41">
                  <c:v>0.38697522581518046</c:v>
                </c:pt>
                <c:pt idx="42">
                  <c:v>0.38065818105444899</c:v>
                </c:pt>
                <c:pt idx="43">
                  <c:v>0.37039846155274542</c:v>
                </c:pt>
                <c:pt idx="44">
                  <c:v>0.35657853369790371</c:v>
                </c:pt>
                <c:pt idx="45">
                  <c:v>0.33969513635207782</c:v>
                </c:pt>
                <c:pt idx="46">
                  <c:v>0.32032581052912429</c:v>
                </c:pt>
                <c:pt idx="47">
                  <c:v>0.29909241773685263</c:v>
                </c:pt>
                <c:pt idx="48">
                  <c:v>0.2766251323382562</c:v>
                </c:pt>
                <c:pt idx="49">
                  <c:v>0.25352995055982741</c:v>
                </c:pt>
                <c:pt idx="50">
                  <c:v>0.23036198922913848</c:v>
                </c:pt>
                <c:pt idx="51">
                  <c:v>0.20760591316421392</c:v>
                </c:pt>
                <c:pt idx="52">
                  <c:v>0.18566389362670316</c:v>
                </c:pt>
                <c:pt idx="53">
                  <c:v>0.16485069296801924</c:v>
                </c:pt>
                <c:pt idx="54">
                  <c:v>0.14539487566000608</c:v>
                </c:pt>
                <c:pt idx="55">
                  <c:v>0.12744479428709157</c:v>
                </c:pt>
                <c:pt idx="56">
                  <c:v>0.11107787729698315</c:v>
                </c:pt>
                <c:pt idx="57">
                  <c:v>9.6311809633229176E-2</c:v>
                </c:pt>
                <c:pt idx="58">
                  <c:v>8.3116389653879449E-2</c:v>
                </c:pt>
                <c:pt idx="59">
                  <c:v>7.1425107032802387E-2</c:v>
                </c:pt>
                <c:pt idx="60">
                  <c:v>6.1145766321218126E-2</c:v>
                </c:pt>
                <c:pt idx="61">
                  <c:v>5.2169742604354911E-2</c:v>
                </c:pt>
                <c:pt idx="62">
                  <c:v>4.4379676614245626E-2</c:v>
                </c:pt>
                <c:pt idx="63">
                  <c:v>3.7655586709753316E-2</c:v>
                </c:pt>
                <c:pt idx="64">
                  <c:v>3.1879493750030491E-2</c:v>
                </c:pt>
                <c:pt idx="65">
                  <c:v>2.6938727628244407E-2</c:v>
                </c:pt>
                <c:pt idx="66">
                  <c:v>2.2728119798464907E-2</c:v>
                </c:pt>
                <c:pt idx="67">
                  <c:v>1.9151294092490952E-2</c:v>
                </c:pt>
                <c:pt idx="68">
                  <c:v>1.6121257439422099E-2</c:v>
                </c:pt>
                <c:pt idx="69">
                  <c:v>1.3560470295244894E-2</c:v>
                </c:pt>
                <c:pt idx="70">
                  <c:v>1.1400549464542491E-2</c:v>
                </c:pt>
                <c:pt idx="71">
                  <c:v>9.5817276708977071E-3</c:v>
                </c:pt>
                <c:pt idx="72">
                  <c:v>8.0521673723421387E-3</c:v>
                </c:pt>
                <c:pt idx="73">
                  <c:v>6.7672024406869131E-3</c:v>
                </c:pt>
                <c:pt idx="74">
                  <c:v>5.6885611066299115E-3</c:v>
                </c:pt>
                <c:pt idx="75">
                  <c:v>4.7836071267013062E-3</c:v>
                </c:pt>
                <c:pt idx="76">
                  <c:v>4.0246232150294593E-3</c:v>
                </c:pt>
                <c:pt idx="77">
                  <c:v>3.3881509779623872E-3</c:v>
                </c:pt>
                <c:pt idx="78">
                  <c:v>2.8543943946095934E-3</c:v>
                </c:pt>
                <c:pt idx="79">
                  <c:v>2.4066888019954806E-3</c:v>
                </c:pt>
                <c:pt idx="80">
                  <c:v>2.0310339110412097E-3</c:v>
                </c:pt>
              </c:numCache>
            </c:numRef>
          </c:val>
        </c:ser>
        <c:ser>
          <c:idx val="3"/>
          <c:order val="2"/>
          <c:tx>
            <c:v>std norm</c:v>
          </c:tx>
          <c:marker>
            <c:symbol val="none"/>
          </c:marker>
          <c:cat>
            <c:numRef>
              <c:f>'T Dist'!$B$20:$B$100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0.30000000000000004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0.79999999999999993</c:v>
                </c:pt>
                <c:pt idx="49">
                  <c:v>0.89999999999999991</c:v>
                </c:pt>
                <c:pt idx="50">
                  <c:v>0.99999999999999989</c:v>
                </c:pt>
                <c:pt idx="51">
                  <c:v>1.0999999999999999</c:v>
                </c:pt>
                <c:pt idx="52">
                  <c:v>1.2</c:v>
                </c:pt>
                <c:pt idx="53">
                  <c:v>1.3</c:v>
                </c:pt>
                <c:pt idx="54">
                  <c:v>1.4000000000000001</c:v>
                </c:pt>
                <c:pt idx="55">
                  <c:v>1.5000000000000002</c:v>
                </c:pt>
                <c:pt idx="56">
                  <c:v>1.6000000000000003</c:v>
                </c:pt>
                <c:pt idx="57">
                  <c:v>1.7000000000000004</c:v>
                </c:pt>
                <c:pt idx="58">
                  <c:v>1.8000000000000005</c:v>
                </c:pt>
                <c:pt idx="59">
                  <c:v>1.9000000000000006</c:v>
                </c:pt>
                <c:pt idx="60">
                  <c:v>2.0000000000000004</c:v>
                </c:pt>
                <c:pt idx="61">
                  <c:v>2.1000000000000005</c:v>
                </c:pt>
                <c:pt idx="62">
                  <c:v>2.2000000000000006</c:v>
                </c:pt>
                <c:pt idx="63">
                  <c:v>2.3000000000000007</c:v>
                </c:pt>
                <c:pt idx="64">
                  <c:v>2.4000000000000008</c:v>
                </c:pt>
                <c:pt idx="65">
                  <c:v>2.5000000000000009</c:v>
                </c:pt>
                <c:pt idx="66">
                  <c:v>2.600000000000001</c:v>
                </c:pt>
                <c:pt idx="67">
                  <c:v>2.7000000000000011</c:v>
                </c:pt>
                <c:pt idx="68">
                  <c:v>2.8000000000000012</c:v>
                </c:pt>
                <c:pt idx="69">
                  <c:v>2.9000000000000012</c:v>
                </c:pt>
                <c:pt idx="70">
                  <c:v>3.0000000000000013</c:v>
                </c:pt>
                <c:pt idx="71">
                  <c:v>3.1000000000000014</c:v>
                </c:pt>
                <c:pt idx="72">
                  <c:v>3.2000000000000015</c:v>
                </c:pt>
                <c:pt idx="73">
                  <c:v>3.3000000000000016</c:v>
                </c:pt>
                <c:pt idx="74">
                  <c:v>3.4000000000000017</c:v>
                </c:pt>
                <c:pt idx="75">
                  <c:v>3.5000000000000018</c:v>
                </c:pt>
                <c:pt idx="76">
                  <c:v>3.6000000000000019</c:v>
                </c:pt>
                <c:pt idx="77">
                  <c:v>3.700000000000002</c:v>
                </c:pt>
                <c:pt idx="78">
                  <c:v>3.800000000000002</c:v>
                </c:pt>
                <c:pt idx="79">
                  <c:v>3.9000000000000021</c:v>
                </c:pt>
                <c:pt idx="80">
                  <c:v>4.0000000000000018</c:v>
                </c:pt>
              </c:numCache>
            </c:numRef>
          </c:cat>
          <c:val>
            <c:numRef>
              <c:f>'T Dist'!$G$20:$G$100</c:f>
              <c:numCache>
                <c:formatCode>General</c:formatCode>
                <c:ptCount val="81"/>
                <c:pt idx="0">
                  <c:v>1.3383022576488537E-4</c:v>
                </c:pt>
                <c:pt idx="1">
                  <c:v>1.9865547139277272E-4</c:v>
                </c:pt>
                <c:pt idx="2">
                  <c:v>2.9194692579146027E-4</c:v>
                </c:pt>
                <c:pt idx="3">
                  <c:v>4.2478027055075219E-4</c:v>
                </c:pt>
                <c:pt idx="4">
                  <c:v>6.1190193011377298E-4</c:v>
                </c:pt>
                <c:pt idx="5">
                  <c:v>8.7268269504576167E-4</c:v>
                </c:pt>
                <c:pt idx="6">
                  <c:v>1.232219168473021E-3</c:v>
                </c:pt>
                <c:pt idx="7">
                  <c:v>1.7225689390536843E-3</c:v>
                </c:pt>
                <c:pt idx="8">
                  <c:v>2.3840882014648486E-3</c:v>
                </c:pt>
                <c:pt idx="9">
                  <c:v>3.2668190561999273E-3</c:v>
                </c:pt>
                <c:pt idx="10">
                  <c:v>4.4318484119380188E-3</c:v>
                </c:pt>
                <c:pt idx="11">
                  <c:v>5.9525324197758694E-3</c:v>
                </c:pt>
                <c:pt idx="12">
                  <c:v>7.9154515829799894E-3</c:v>
                </c:pt>
                <c:pt idx="13">
                  <c:v>1.0420934814422628E-2</c:v>
                </c:pt>
                <c:pt idx="14">
                  <c:v>1.3582969233685661E-2</c:v>
                </c:pt>
                <c:pt idx="15">
                  <c:v>1.7528300493568599E-2</c:v>
                </c:pt>
                <c:pt idx="16">
                  <c:v>2.2394530294842969E-2</c:v>
                </c:pt>
                <c:pt idx="17">
                  <c:v>2.8327037741601276E-2</c:v>
                </c:pt>
                <c:pt idx="18">
                  <c:v>3.547459284623157E-2</c:v>
                </c:pt>
                <c:pt idx="19">
                  <c:v>4.3983595980427351E-2</c:v>
                </c:pt>
                <c:pt idx="20">
                  <c:v>5.399096651318825E-2</c:v>
                </c:pt>
                <c:pt idx="21">
                  <c:v>6.5615814774676831E-2</c:v>
                </c:pt>
                <c:pt idx="22">
                  <c:v>7.8950158300894427E-2</c:v>
                </c:pt>
                <c:pt idx="23">
                  <c:v>9.4049077376887252E-2</c:v>
                </c:pt>
                <c:pt idx="24">
                  <c:v>0.11092083467945592</c:v>
                </c:pt>
                <c:pt idx="25">
                  <c:v>0.12951759566589216</c:v>
                </c:pt>
                <c:pt idx="26">
                  <c:v>0.14972746563574535</c:v>
                </c:pt>
                <c:pt idx="27">
                  <c:v>0.17136859204780791</c:v>
                </c:pt>
                <c:pt idx="28">
                  <c:v>0.19418605498321354</c:v>
                </c:pt>
                <c:pt idx="29">
                  <c:v>0.21785217703255116</c:v>
                </c:pt>
                <c:pt idx="30">
                  <c:v>0.24197072451914398</c:v>
                </c:pt>
                <c:pt idx="31">
                  <c:v>0.26608524989875543</c:v>
                </c:pt>
                <c:pt idx="32">
                  <c:v>0.28969155276148334</c:v>
                </c:pt>
                <c:pt idx="33">
                  <c:v>0.31225393336676183</c:v>
                </c:pt>
                <c:pt idx="34">
                  <c:v>0.33322460289180011</c:v>
                </c:pt>
                <c:pt idx="35">
                  <c:v>0.35206532676429991</c:v>
                </c:pt>
                <c:pt idx="36">
                  <c:v>0.36827014030332367</c:v>
                </c:pt>
                <c:pt idx="37">
                  <c:v>0.38138781546052442</c:v>
                </c:pt>
                <c:pt idx="38">
                  <c:v>0.3910426939754561</c:v>
                </c:pt>
                <c:pt idx="39">
                  <c:v>0.39695254747701186</c:v>
                </c:pt>
                <c:pt idx="40">
                  <c:v>0.3989422804014327</c:v>
                </c:pt>
                <c:pt idx="41">
                  <c:v>0.39695254747701181</c:v>
                </c:pt>
                <c:pt idx="42">
                  <c:v>0.39104269397545588</c:v>
                </c:pt>
                <c:pt idx="43">
                  <c:v>0.38138781546052408</c:v>
                </c:pt>
                <c:pt idx="44">
                  <c:v>0.36827014030332333</c:v>
                </c:pt>
                <c:pt idx="45">
                  <c:v>0.35206532676429952</c:v>
                </c:pt>
                <c:pt idx="46">
                  <c:v>0.33322460289179967</c:v>
                </c:pt>
                <c:pt idx="47">
                  <c:v>0.31225393336676127</c:v>
                </c:pt>
                <c:pt idx="48">
                  <c:v>0.28969155276148278</c:v>
                </c:pt>
                <c:pt idx="49">
                  <c:v>0.26608524989875487</c:v>
                </c:pt>
                <c:pt idx="50">
                  <c:v>0.24197072451914342</c:v>
                </c:pt>
                <c:pt idx="51">
                  <c:v>0.21785217703255058</c:v>
                </c:pt>
                <c:pt idx="52">
                  <c:v>0.19418605498321295</c:v>
                </c:pt>
                <c:pt idx="53">
                  <c:v>0.17136859204780736</c:v>
                </c:pt>
                <c:pt idx="54">
                  <c:v>0.14972746563574482</c:v>
                </c:pt>
                <c:pt idx="55">
                  <c:v>0.12951759566589166</c:v>
                </c:pt>
                <c:pt idx="56">
                  <c:v>0.11092083467945553</c:v>
                </c:pt>
                <c:pt idx="57">
                  <c:v>9.4049077376886864E-2</c:v>
                </c:pt>
                <c:pt idx="58">
                  <c:v>7.8950158300894094E-2</c:v>
                </c:pt>
                <c:pt idx="59">
                  <c:v>6.5615814774676526E-2</c:v>
                </c:pt>
                <c:pt idx="60">
                  <c:v>5.3990966513188007E-2</c:v>
                </c:pt>
                <c:pt idx="61">
                  <c:v>4.3983595980427156E-2</c:v>
                </c:pt>
                <c:pt idx="62">
                  <c:v>3.547459284623139E-2</c:v>
                </c:pt>
                <c:pt idx="63">
                  <c:v>2.832703774160112E-2</c:v>
                </c:pt>
                <c:pt idx="64">
                  <c:v>2.2394530294842851E-2</c:v>
                </c:pt>
                <c:pt idx="65">
                  <c:v>1.7528300493568502E-2</c:v>
                </c:pt>
                <c:pt idx="66">
                  <c:v>1.3582969233685583E-2</c:v>
                </c:pt>
                <c:pt idx="67">
                  <c:v>1.0420934814422567E-2</c:v>
                </c:pt>
                <c:pt idx="68">
                  <c:v>7.9154515829799391E-3</c:v>
                </c:pt>
                <c:pt idx="69">
                  <c:v>5.9525324197758321E-3</c:v>
                </c:pt>
                <c:pt idx="70">
                  <c:v>4.431848411937991E-3</c:v>
                </c:pt>
                <c:pt idx="71">
                  <c:v>3.2668190561999074E-3</c:v>
                </c:pt>
                <c:pt idx="72">
                  <c:v>2.3840882014648317E-3</c:v>
                </c:pt>
                <c:pt idx="73">
                  <c:v>1.7225689390536704E-3</c:v>
                </c:pt>
                <c:pt idx="74">
                  <c:v>1.2322191684730121E-3</c:v>
                </c:pt>
                <c:pt idx="75">
                  <c:v>8.7268269504575473E-4</c:v>
                </c:pt>
                <c:pt idx="76">
                  <c:v>6.119019301137681E-4</c:v>
                </c:pt>
                <c:pt idx="77">
                  <c:v>4.2478027055074878E-4</c:v>
                </c:pt>
                <c:pt idx="78">
                  <c:v>2.9194692579145794E-4</c:v>
                </c:pt>
                <c:pt idx="79">
                  <c:v>1.9865547139277093E-4</c:v>
                </c:pt>
                <c:pt idx="80">
                  <c:v>1.3383022576488442E-4</c:v>
                </c:pt>
              </c:numCache>
            </c:numRef>
          </c:val>
        </c:ser>
        <c:marker val="1"/>
        <c:axId val="245904128"/>
        <c:axId val="245905664"/>
      </c:lineChart>
      <c:catAx>
        <c:axId val="245904128"/>
        <c:scaling>
          <c:orientation val="minMax"/>
        </c:scaling>
        <c:axPos val="b"/>
        <c:numFmt formatCode="0" sourceLinked="0"/>
        <c:tickLblPos val="nextTo"/>
        <c:crossAx val="245905664"/>
        <c:crosses val="autoZero"/>
        <c:auto val="1"/>
        <c:lblAlgn val="ctr"/>
        <c:lblOffset val="100"/>
        <c:tickLblSkip val="10"/>
      </c:catAx>
      <c:valAx>
        <c:axId val="245905664"/>
        <c:scaling>
          <c:orientation val="minMax"/>
        </c:scaling>
        <c:axPos val="l"/>
        <c:majorGridlines/>
        <c:numFmt formatCode="#,##0.00" sourceLinked="0"/>
        <c:tickLblPos val="nextTo"/>
        <c:crossAx val="24590412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Student's t Distribution
</a:t>
            </a:r>
          </a:p>
        </c:rich>
      </c:tx>
      <c:overlay val="1"/>
    </c:title>
    <c:plotArea>
      <c:layout/>
      <c:lineChart>
        <c:grouping val="standard"/>
        <c:ser>
          <c:idx val="0"/>
          <c:order val="0"/>
          <c:tx>
            <c:v>t (df = 1)</c:v>
          </c:tx>
          <c:marker>
            <c:symbol val="none"/>
          </c:marker>
          <c:cat>
            <c:numRef>
              <c:f>'T Dist'!$B$20:$B$100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0.30000000000000004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0.79999999999999993</c:v>
                </c:pt>
                <c:pt idx="49">
                  <c:v>0.89999999999999991</c:v>
                </c:pt>
                <c:pt idx="50">
                  <c:v>0.99999999999999989</c:v>
                </c:pt>
                <c:pt idx="51">
                  <c:v>1.0999999999999999</c:v>
                </c:pt>
                <c:pt idx="52">
                  <c:v>1.2</c:v>
                </c:pt>
                <c:pt idx="53">
                  <c:v>1.3</c:v>
                </c:pt>
                <c:pt idx="54">
                  <c:v>1.4000000000000001</c:v>
                </c:pt>
                <c:pt idx="55">
                  <c:v>1.5000000000000002</c:v>
                </c:pt>
                <c:pt idx="56">
                  <c:v>1.6000000000000003</c:v>
                </c:pt>
                <c:pt idx="57">
                  <c:v>1.7000000000000004</c:v>
                </c:pt>
                <c:pt idx="58">
                  <c:v>1.8000000000000005</c:v>
                </c:pt>
                <c:pt idx="59">
                  <c:v>1.9000000000000006</c:v>
                </c:pt>
                <c:pt idx="60">
                  <c:v>2.0000000000000004</c:v>
                </c:pt>
                <c:pt idx="61">
                  <c:v>2.1000000000000005</c:v>
                </c:pt>
                <c:pt idx="62">
                  <c:v>2.2000000000000006</c:v>
                </c:pt>
                <c:pt idx="63">
                  <c:v>2.3000000000000007</c:v>
                </c:pt>
                <c:pt idx="64">
                  <c:v>2.4000000000000008</c:v>
                </c:pt>
                <c:pt idx="65">
                  <c:v>2.5000000000000009</c:v>
                </c:pt>
                <c:pt idx="66">
                  <c:v>2.600000000000001</c:v>
                </c:pt>
                <c:pt idx="67">
                  <c:v>2.7000000000000011</c:v>
                </c:pt>
                <c:pt idx="68">
                  <c:v>2.8000000000000012</c:v>
                </c:pt>
                <c:pt idx="69">
                  <c:v>2.9000000000000012</c:v>
                </c:pt>
                <c:pt idx="70">
                  <c:v>3.0000000000000013</c:v>
                </c:pt>
                <c:pt idx="71">
                  <c:v>3.1000000000000014</c:v>
                </c:pt>
                <c:pt idx="72">
                  <c:v>3.2000000000000015</c:v>
                </c:pt>
                <c:pt idx="73">
                  <c:v>3.3000000000000016</c:v>
                </c:pt>
                <c:pt idx="74">
                  <c:v>3.4000000000000017</c:v>
                </c:pt>
                <c:pt idx="75">
                  <c:v>3.5000000000000018</c:v>
                </c:pt>
                <c:pt idx="76">
                  <c:v>3.6000000000000019</c:v>
                </c:pt>
                <c:pt idx="77">
                  <c:v>3.700000000000002</c:v>
                </c:pt>
                <c:pt idx="78">
                  <c:v>3.800000000000002</c:v>
                </c:pt>
                <c:pt idx="79">
                  <c:v>3.9000000000000021</c:v>
                </c:pt>
                <c:pt idx="80">
                  <c:v>4.0000000000000018</c:v>
                </c:pt>
              </c:numCache>
            </c:numRef>
          </c:cat>
          <c:val>
            <c:numRef>
              <c:f>'T Dist'!$C$20:$C$100</c:f>
              <c:numCache>
                <c:formatCode>General</c:formatCode>
                <c:ptCount val="81"/>
                <c:pt idx="0">
                  <c:v>1.8724110951987689E-2</c:v>
                </c:pt>
                <c:pt idx="1">
                  <c:v>1.9636637025526878E-2</c:v>
                </c:pt>
                <c:pt idx="2">
                  <c:v>2.0615925270970899E-2</c:v>
                </c:pt>
                <c:pt idx="3">
                  <c:v>2.1668474212647431E-2</c:v>
                </c:pt>
                <c:pt idx="4">
                  <c:v>2.2801567778208506E-2</c:v>
                </c:pt>
                <c:pt idx="5">
                  <c:v>2.4023387636512513E-2</c:v>
                </c:pt>
                <c:pt idx="6">
                  <c:v>2.5343143804441939E-2</c:v>
                </c:pt>
                <c:pt idx="7">
                  <c:v>2.6771226760621599E-2</c:v>
                </c:pt>
                <c:pt idx="8">
                  <c:v>2.8319384891796338E-2</c:v>
                </c:pt>
                <c:pt idx="9">
                  <c:v>3.0000931779810634E-2</c:v>
                </c:pt>
                <c:pt idx="10">
                  <c:v>3.1830988618379089E-2</c:v>
                </c:pt>
                <c:pt idx="11">
                  <c:v>3.3826767926013905E-2</c:v>
                </c:pt>
                <c:pt idx="12">
                  <c:v>3.6007905676899432E-2</c:v>
                </c:pt>
                <c:pt idx="13">
                  <c:v>3.8396849961856563E-2</c:v>
                </c:pt>
                <c:pt idx="14">
                  <c:v>4.1019315229869971E-2</c:v>
                </c:pt>
                <c:pt idx="15">
                  <c:v>4.3904811887419445E-2</c:v>
                </c:pt>
                <c:pt idx="16">
                  <c:v>4.7087261269791569E-2</c:v>
                </c:pt>
                <c:pt idx="17">
                  <c:v>5.0605705275642454E-2</c:v>
                </c:pt>
                <c:pt idx="18">
                  <c:v>5.4505117497224503E-2</c:v>
                </c:pt>
                <c:pt idx="19">
                  <c:v>5.8837317224360648E-2</c:v>
                </c:pt>
                <c:pt idx="20">
                  <c:v>6.3661977236758233E-2</c:v>
                </c:pt>
                <c:pt idx="21">
                  <c:v>6.9047697653750809E-2</c:v>
                </c:pt>
                <c:pt idx="22">
                  <c:v>7.5073086364101704E-2</c:v>
                </c:pt>
                <c:pt idx="23">
                  <c:v>8.1827734237478481E-2</c:v>
                </c:pt>
                <c:pt idx="24">
                  <c:v>8.9412889377469468E-2</c:v>
                </c:pt>
                <c:pt idx="25">
                  <c:v>9.7941503441166561E-2</c:v>
                </c:pt>
                <c:pt idx="26">
                  <c:v>0.10753712371074033</c:v>
                </c:pt>
                <c:pt idx="27">
                  <c:v>0.11833081270772916</c:v>
                </c:pt>
                <c:pt idx="28">
                  <c:v>0.13045487138679979</c:v>
                </c:pt>
                <c:pt idx="29">
                  <c:v>0.14403162270759795</c:v>
                </c:pt>
                <c:pt idx="30">
                  <c:v>0.15915494309189576</c:v>
                </c:pt>
                <c:pt idx="31">
                  <c:v>0.17586181557115552</c:v>
                </c:pt>
                <c:pt idx="32">
                  <c:v>0.19409139401450698</c:v>
                </c:pt>
                <c:pt idx="33">
                  <c:v>0.21363079609650434</c:v>
                </c:pt>
                <c:pt idx="34">
                  <c:v>0.23405138689984661</c:v>
                </c:pt>
                <c:pt idx="35">
                  <c:v>0.25464790894703304</c:v>
                </c:pt>
                <c:pt idx="36">
                  <c:v>0.27440507429637173</c:v>
                </c:pt>
                <c:pt idx="37">
                  <c:v>0.29202741851723957</c:v>
                </c:pt>
                <c:pt idx="38">
                  <c:v>0.30606719825364515</c:v>
                </c:pt>
                <c:pt idx="39">
                  <c:v>0.31515830315226817</c:v>
                </c:pt>
                <c:pt idx="40">
                  <c:v>0.31830988618379069</c:v>
                </c:pt>
                <c:pt idx="41">
                  <c:v>0.315158303152268</c:v>
                </c:pt>
                <c:pt idx="42">
                  <c:v>0.30606719825364487</c:v>
                </c:pt>
                <c:pt idx="43">
                  <c:v>0.29202741851723912</c:v>
                </c:pt>
                <c:pt idx="44">
                  <c:v>0.27440507429637123</c:v>
                </c:pt>
                <c:pt idx="45">
                  <c:v>0.25464790894703254</c:v>
                </c:pt>
                <c:pt idx="46">
                  <c:v>0.23405138689984611</c:v>
                </c:pt>
                <c:pt idx="47">
                  <c:v>0.21363079609650382</c:v>
                </c:pt>
                <c:pt idx="48">
                  <c:v>0.19409139401450654</c:v>
                </c:pt>
                <c:pt idx="49">
                  <c:v>0.1758618155711551</c:v>
                </c:pt>
                <c:pt idx="50">
                  <c:v>0.15915494309189537</c:v>
                </c:pt>
                <c:pt idx="51">
                  <c:v>0.14403162270759759</c:v>
                </c:pt>
                <c:pt idx="52">
                  <c:v>0.13045487138679945</c:v>
                </c:pt>
                <c:pt idx="53">
                  <c:v>0.11833081270772887</c:v>
                </c:pt>
                <c:pt idx="54">
                  <c:v>0.10753712371074009</c:v>
                </c:pt>
                <c:pt idx="55">
                  <c:v>9.7941503441166339E-2</c:v>
                </c:pt>
                <c:pt idx="56">
                  <c:v>8.9412889377469273E-2</c:v>
                </c:pt>
                <c:pt idx="57">
                  <c:v>8.18277342374783E-2</c:v>
                </c:pt>
                <c:pt idx="58">
                  <c:v>7.5073086364101538E-2</c:v>
                </c:pt>
                <c:pt idx="59">
                  <c:v>6.9047697653750656E-2</c:v>
                </c:pt>
                <c:pt idx="60">
                  <c:v>6.3661977236758122E-2</c:v>
                </c:pt>
                <c:pt idx="61">
                  <c:v>5.8837317224360551E-2</c:v>
                </c:pt>
                <c:pt idx="62">
                  <c:v>5.4505117497224413E-2</c:v>
                </c:pt>
                <c:pt idx="63">
                  <c:v>5.0605705275642371E-2</c:v>
                </c:pt>
                <c:pt idx="64">
                  <c:v>4.7087261269791493E-2</c:v>
                </c:pt>
                <c:pt idx="65">
                  <c:v>4.3904811887419376E-2</c:v>
                </c:pt>
                <c:pt idx="66">
                  <c:v>4.1019315229869908E-2</c:v>
                </c:pt>
                <c:pt idx="67">
                  <c:v>3.8396849961856508E-2</c:v>
                </c:pt>
                <c:pt idx="68">
                  <c:v>3.600790567689937E-2</c:v>
                </c:pt>
                <c:pt idx="69">
                  <c:v>3.3826767926013863E-2</c:v>
                </c:pt>
                <c:pt idx="70">
                  <c:v>3.1830988618379047E-2</c:v>
                </c:pt>
                <c:pt idx="71">
                  <c:v>3.0000931779810596E-2</c:v>
                </c:pt>
                <c:pt idx="72">
                  <c:v>2.8319384891796303E-2</c:v>
                </c:pt>
                <c:pt idx="73">
                  <c:v>2.6771226760621564E-2</c:v>
                </c:pt>
                <c:pt idx="74">
                  <c:v>2.5343143804441911E-2</c:v>
                </c:pt>
                <c:pt idx="75">
                  <c:v>2.4023387636512482E-2</c:v>
                </c:pt>
                <c:pt idx="76">
                  <c:v>2.2801567778208482E-2</c:v>
                </c:pt>
                <c:pt idx="77">
                  <c:v>2.1668474212647407E-2</c:v>
                </c:pt>
                <c:pt idx="78">
                  <c:v>2.0615925270970878E-2</c:v>
                </c:pt>
                <c:pt idx="79">
                  <c:v>1.963663702552686E-2</c:v>
                </c:pt>
                <c:pt idx="80">
                  <c:v>1.8724110951987671E-2</c:v>
                </c:pt>
              </c:numCache>
            </c:numRef>
          </c:val>
        </c:ser>
        <c:ser>
          <c:idx val="1"/>
          <c:order val="1"/>
          <c:tx>
            <c:v>t (df = 5)</c:v>
          </c:tx>
          <c:marker>
            <c:symbol val="none"/>
          </c:marker>
          <c:cat>
            <c:numRef>
              <c:f>'T Dist'!$B$20:$B$100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0.30000000000000004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0.79999999999999993</c:v>
                </c:pt>
                <c:pt idx="49">
                  <c:v>0.89999999999999991</c:v>
                </c:pt>
                <c:pt idx="50">
                  <c:v>0.99999999999999989</c:v>
                </c:pt>
                <c:pt idx="51">
                  <c:v>1.0999999999999999</c:v>
                </c:pt>
                <c:pt idx="52">
                  <c:v>1.2</c:v>
                </c:pt>
                <c:pt idx="53">
                  <c:v>1.3</c:v>
                </c:pt>
                <c:pt idx="54">
                  <c:v>1.4000000000000001</c:v>
                </c:pt>
                <c:pt idx="55">
                  <c:v>1.5000000000000002</c:v>
                </c:pt>
                <c:pt idx="56">
                  <c:v>1.6000000000000003</c:v>
                </c:pt>
                <c:pt idx="57">
                  <c:v>1.7000000000000004</c:v>
                </c:pt>
                <c:pt idx="58">
                  <c:v>1.8000000000000005</c:v>
                </c:pt>
                <c:pt idx="59">
                  <c:v>1.9000000000000006</c:v>
                </c:pt>
                <c:pt idx="60">
                  <c:v>2.0000000000000004</c:v>
                </c:pt>
                <c:pt idx="61">
                  <c:v>2.1000000000000005</c:v>
                </c:pt>
                <c:pt idx="62">
                  <c:v>2.2000000000000006</c:v>
                </c:pt>
                <c:pt idx="63">
                  <c:v>2.3000000000000007</c:v>
                </c:pt>
                <c:pt idx="64">
                  <c:v>2.4000000000000008</c:v>
                </c:pt>
                <c:pt idx="65">
                  <c:v>2.5000000000000009</c:v>
                </c:pt>
                <c:pt idx="66">
                  <c:v>2.600000000000001</c:v>
                </c:pt>
                <c:pt idx="67">
                  <c:v>2.7000000000000011</c:v>
                </c:pt>
                <c:pt idx="68">
                  <c:v>2.8000000000000012</c:v>
                </c:pt>
                <c:pt idx="69">
                  <c:v>2.9000000000000012</c:v>
                </c:pt>
                <c:pt idx="70">
                  <c:v>3.0000000000000013</c:v>
                </c:pt>
                <c:pt idx="71">
                  <c:v>3.1000000000000014</c:v>
                </c:pt>
                <c:pt idx="72">
                  <c:v>3.2000000000000015</c:v>
                </c:pt>
                <c:pt idx="73">
                  <c:v>3.3000000000000016</c:v>
                </c:pt>
                <c:pt idx="74">
                  <c:v>3.4000000000000017</c:v>
                </c:pt>
                <c:pt idx="75">
                  <c:v>3.5000000000000018</c:v>
                </c:pt>
                <c:pt idx="76">
                  <c:v>3.6000000000000019</c:v>
                </c:pt>
                <c:pt idx="77">
                  <c:v>3.700000000000002</c:v>
                </c:pt>
                <c:pt idx="78">
                  <c:v>3.800000000000002</c:v>
                </c:pt>
                <c:pt idx="79">
                  <c:v>3.9000000000000021</c:v>
                </c:pt>
                <c:pt idx="80">
                  <c:v>4.0000000000000018</c:v>
                </c:pt>
              </c:numCache>
            </c:numRef>
          </c:cat>
          <c:val>
            <c:numRef>
              <c:f>'T Dist'!$D$20:$D$100</c:f>
              <c:numCache>
                <c:formatCode>General</c:formatCode>
                <c:ptCount val="81"/>
                <c:pt idx="0">
                  <c:v>5.1237270519179133E-3</c:v>
                </c:pt>
                <c:pt idx="1">
                  <c:v>5.7483728547693983E-3</c:v>
                </c:pt>
                <c:pt idx="2">
                  <c:v>6.4588483643698387E-3</c:v>
                </c:pt>
                <c:pt idx="3">
                  <c:v>7.2680175325693973E-3</c:v>
                </c:pt>
                <c:pt idx="4">
                  <c:v>8.1907726871290592E-3</c:v>
                </c:pt>
                <c:pt idx="5">
                  <c:v>9.2443540925209264E-3</c:v>
                </c:pt>
                <c:pt idx="6">
                  <c:v>1.0448714749395216E-2</c:v>
                </c:pt>
                <c:pt idx="7">
                  <c:v>1.1826934151171177E-2</c:v>
                </c:pt>
                <c:pt idx="8">
                  <c:v>1.3405683736328894E-2</c:v>
                </c:pt>
                <c:pt idx="9">
                  <c:v>1.5215745044952832E-2</c:v>
                </c:pt>
                <c:pt idx="10">
                  <c:v>1.7292578800222981E-2</c:v>
                </c:pt>
                <c:pt idx="11">
                  <c:v>1.9676938890598534E-2</c:v>
                </c:pt>
                <c:pt idx="12">
                  <c:v>2.2415519021677287E-2</c:v>
                </c:pt>
                <c:pt idx="13">
                  <c:v>2.5561611020544595E-2</c:v>
                </c:pt>
                <c:pt idx="14">
                  <c:v>2.9175741685939342E-2</c:v>
                </c:pt>
                <c:pt idx="15">
                  <c:v>3.3326238887022894E-2</c:v>
                </c:pt>
                <c:pt idx="16">
                  <c:v>3.8089656526432016E-2</c:v>
                </c:pt>
                <c:pt idx="17">
                  <c:v>4.3550961350440079E-2</c:v>
                </c:pt>
                <c:pt idx="18">
                  <c:v>4.9803352151145203E-2</c:v>
                </c:pt>
                <c:pt idx="19">
                  <c:v>5.6947544172170676E-2</c:v>
                </c:pt>
                <c:pt idx="20">
                  <c:v>6.5090310326216635E-2</c:v>
                </c:pt>
                <c:pt idx="21">
                  <c:v>7.4342030033196366E-2</c:v>
                </c:pt>
                <c:pt idx="22">
                  <c:v>8.481296289690396E-2</c:v>
                </c:pt>
                <c:pt idx="23">
                  <c:v>9.6607948713912054E-2</c:v>
                </c:pt>
                <c:pt idx="24">
                  <c:v>0.10981925265599124</c:v>
                </c:pt>
                <c:pt idx="25">
                  <c:v>0.12451734464635547</c:v>
                </c:pt>
                <c:pt idx="26">
                  <c:v>0.140739547894915</c:v>
                </c:pt>
                <c:pt idx="27">
                  <c:v>0.15847673572898288</c:v>
                </c:pt>
                <c:pt idx="28">
                  <c:v>0.17765861346493592</c:v>
                </c:pt>
                <c:pt idx="29">
                  <c:v>0.19813859080334678</c:v>
                </c:pt>
                <c:pt idx="30">
                  <c:v>0.21967979735098106</c:v>
                </c:pt>
                <c:pt idx="31">
                  <c:v>0.24194434361359041</c:v>
                </c:pt>
                <c:pt idx="32">
                  <c:v>0.26448835680795801</c:v>
                </c:pt>
                <c:pt idx="33">
                  <c:v>0.28676545757669847</c:v>
                </c:pt>
                <c:pt idx="34">
                  <c:v>0.3081410097234204</c:v>
                </c:pt>
                <c:pt idx="35">
                  <c:v>0.3279185313227469</c:v>
                </c:pt>
                <c:pt idx="36">
                  <c:v>0.34537807575273377</c:v>
                </c:pt>
                <c:pt idx="37">
                  <c:v>0.3598243283490099</c:v>
                </c:pt>
                <c:pt idx="38">
                  <c:v>0.37063997771396967</c:v>
                </c:pt>
                <c:pt idx="39">
                  <c:v>0.37733812996643123</c:v>
                </c:pt>
                <c:pt idx="40">
                  <c:v>0.3796066898224944</c:v>
                </c:pt>
                <c:pt idx="41">
                  <c:v>0.37733812996643123</c:v>
                </c:pt>
                <c:pt idx="42">
                  <c:v>0.37063997771396939</c:v>
                </c:pt>
                <c:pt idx="43">
                  <c:v>0.35982432834900968</c:v>
                </c:pt>
                <c:pt idx="44">
                  <c:v>0.34537807575273338</c:v>
                </c:pt>
                <c:pt idx="45">
                  <c:v>0.32791853132274645</c:v>
                </c:pt>
                <c:pt idx="46">
                  <c:v>0.30814100972341979</c:v>
                </c:pt>
                <c:pt idx="47">
                  <c:v>0.2867654575766978</c:v>
                </c:pt>
                <c:pt idx="48">
                  <c:v>0.26448835680795757</c:v>
                </c:pt>
                <c:pt idx="49">
                  <c:v>0.24194434361358985</c:v>
                </c:pt>
                <c:pt idx="50">
                  <c:v>0.21967979735098056</c:v>
                </c:pt>
                <c:pt idx="51">
                  <c:v>0.19813859080334623</c:v>
                </c:pt>
                <c:pt idx="52">
                  <c:v>0.17765861346493544</c:v>
                </c:pt>
                <c:pt idx="53">
                  <c:v>0.15847673572898241</c:v>
                </c:pt>
                <c:pt idx="54">
                  <c:v>0.14073954789491452</c:v>
                </c:pt>
                <c:pt idx="55">
                  <c:v>0.12451734464635508</c:v>
                </c:pt>
                <c:pt idx="56">
                  <c:v>0.10981925265599091</c:v>
                </c:pt>
                <c:pt idx="57">
                  <c:v>9.6607948713911748E-2</c:v>
                </c:pt>
                <c:pt idx="58">
                  <c:v>8.4812962896903682E-2</c:v>
                </c:pt>
                <c:pt idx="59">
                  <c:v>7.434203003319613E-2</c:v>
                </c:pt>
                <c:pt idx="60">
                  <c:v>6.5090310326216427E-2</c:v>
                </c:pt>
                <c:pt idx="61">
                  <c:v>5.6947544172170517E-2</c:v>
                </c:pt>
                <c:pt idx="62">
                  <c:v>4.9803352151145064E-2</c:v>
                </c:pt>
                <c:pt idx="63">
                  <c:v>4.355096135043994E-2</c:v>
                </c:pt>
                <c:pt idx="64">
                  <c:v>3.8089656526431905E-2</c:v>
                </c:pt>
                <c:pt idx="65">
                  <c:v>3.332623888702279E-2</c:v>
                </c:pt>
                <c:pt idx="66">
                  <c:v>2.9175741685939248E-2</c:v>
                </c:pt>
                <c:pt idx="67">
                  <c:v>2.5561611020544526E-2</c:v>
                </c:pt>
                <c:pt idx="68">
                  <c:v>2.2415519021677217E-2</c:v>
                </c:pt>
                <c:pt idx="69">
                  <c:v>1.9676938890598485E-2</c:v>
                </c:pt>
                <c:pt idx="70">
                  <c:v>1.7292578800222929E-2</c:v>
                </c:pt>
                <c:pt idx="71">
                  <c:v>1.5215745044952798E-2</c:v>
                </c:pt>
                <c:pt idx="72">
                  <c:v>1.3405683736328861E-2</c:v>
                </c:pt>
                <c:pt idx="73">
                  <c:v>1.1826934151171141E-2</c:v>
                </c:pt>
                <c:pt idx="74">
                  <c:v>1.0448714749395191E-2</c:v>
                </c:pt>
                <c:pt idx="75">
                  <c:v>9.2443540925209022E-3</c:v>
                </c:pt>
                <c:pt idx="76">
                  <c:v>8.1907726871290384E-3</c:v>
                </c:pt>
                <c:pt idx="77">
                  <c:v>7.2680175325693791E-3</c:v>
                </c:pt>
                <c:pt idx="78">
                  <c:v>6.458848364369823E-3</c:v>
                </c:pt>
                <c:pt idx="79">
                  <c:v>5.7483728547693836E-3</c:v>
                </c:pt>
                <c:pt idx="80">
                  <c:v>5.1237270519179038E-3</c:v>
                </c:pt>
              </c:numCache>
            </c:numRef>
          </c:val>
        </c:ser>
        <c:ser>
          <c:idx val="2"/>
          <c:order val="2"/>
          <c:tx>
            <c:v>t (df = 10)</c:v>
          </c:tx>
          <c:marker>
            <c:symbol val="none"/>
          </c:marker>
          <c:cat>
            <c:numRef>
              <c:f>'T Dist'!$B$20:$B$100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0.30000000000000004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0.79999999999999993</c:v>
                </c:pt>
                <c:pt idx="49">
                  <c:v>0.89999999999999991</c:v>
                </c:pt>
                <c:pt idx="50">
                  <c:v>0.99999999999999989</c:v>
                </c:pt>
                <c:pt idx="51">
                  <c:v>1.0999999999999999</c:v>
                </c:pt>
                <c:pt idx="52">
                  <c:v>1.2</c:v>
                </c:pt>
                <c:pt idx="53">
                  <c:v>1.3</c:v>
                </c:pt>
                <c:pt idx="54">
                  <c:v>1.4000000000000001</c:v>
                </c:pt>
                <c:pt idx="55">
                  <c:v>1.5000000000000002</c:v>
                </c:pt>
                <c:pt idx="56">
                  <c:v>1.6000000000000003</c:v>
                </c:pt>
                <c:pt idx="57">
                  <c:v>1.7000000000000004</c:v>
                </c:pt>
                <c:pt idx="58">
                  <c:v>1.8000000000000005</c:v>
                </c:pt>
                <c:pt idx="59">
                  <c:v>1.9000000000000006</c:v>
                </c:pt>
                <c:pt idx="60">
                  <c:v>2.0000000000000004</c:v>
                </c:pt>
                <c:pt idx="61">
                  <c:v>2.1000000000000005</c:v>
                </c:pt>
                <c:pt idx="62">
                  <c:v>2.2000000000000006</c:v>
                </c:pt>
                <c:pt idx="63">
                  <c:v>2.3000000000000007</c:v>
                </c:pt>
                <c:pt idx="64">
                  <c:v>2.4000000000000008</c:v>
                </c:pt>
                <c:pt idx="65">
                  <c:v>2.5000000000000009</c:v>
                </c:pt>
                <c:pt idx="66">
                  <c:v>2.600000000000001</c:v>
                </c:pt>
                <c:pt idx="67">
                  <c:v>2.7000000000000011</c:v>
                </c:pt>
                <c:pt idx="68">
                  <c:v>2.8000000000000012</c:v>
                </c:pt>
                <c:pt idx="69">
                  <c:v>2.9000000000000012</c:v>
                </c:pt>
                <c:pt idx="70">
                  <c:v>3.0000000000000013</c:v>
                </c:pt>
                <c:pt idx="71">
                  <c:v>3.1000000000000014</c:v>
                </c:pt>
                <c:pt idx="72">
                  <c:v>3.2000000000000015</c:v>
                </c:pt>
                <c:pt idx="73">
                  <c:v>3.3000000000000016</c:v>
                </c:pt>
                <c:pt idx="74">
                  <c:v>3.4000000000000017</c:v>
                </c:pt>
                <c:pt idx="75">
                  <c:v>3.5000000000000018</c:v>
                </c:pt>
                <c:pt idx="76">
                  <c:v>3.6000000000000019</c:v>
                </c:pt>
                <c:pt idx="77">
                  <c:v>3.700000000000002</c:v>
                </c:pt>
                <c:pt idx="78">
                  <c:v>3.800000000000002</c:v>
                </c:pt>
                <c:pt idx="79">
                  <c:v>3.9000000000000021</c:v>
                </c:pt>
                <c:pt idx="80">
                  <c:v>4.0000000000000018</c:v>
                </c:pt>
              </c:numCache>
            </c:numRef>
          </c:cat>
          <c:val>
            <c:numRef>
              <c:f>'T Dist'!$E$20:$E$100</c:f>
              <c:numCache>
                <c:formatCode>General</c:formatCode>
                <c:ptCount val="81"/>
                <c:pt idx="0">
                  <c:v>2.0310339110412149E-3</c:v>
                </c:pt>
                <c:pt idx="1">
                  <c:v>2.4066888019954893E-3</c:v>
                </c:pt>
                <c:pt idx="2">
                  <c:v>2.8543943946096055E-3</c:v>
                </c:pt>
                <c:pt idx="3">
                  <c:v>3.3881509779624024E-3</c:v>
                </c:pt>
                <c:pt idx="4">
                  <c:v>4.0246232150294705E-3</c:v>
                </c:pt>
                <c:pt idx="5">
                  <c:v>4.783607126701327E-3</c:v>
                </c:pt>
                <c:pt idx="6">
                  <c:v>5.6885611066299314E-3</c:v>
                </c:pt>
                <c:pt idx="7">
                  <c:v>6.7672024406869426E-3</c:v>
                </c:pt>
                <c:pt idx="8">
                  <c:v>8.0521673723421717E-3</c:v>
                </c:pt>
                <c:pt idx="9">
                  <c:v>9.5817276708977366E-3</c:v>
                </c:pt>
                <c:pt idx="10">
                  <c:v>1.1400549464542539E-2</c:v>
                </c:pt>
                <c:pt idx="11">
                  <c:v>1.3560470295244938E-2</c:v>
                </c:pt>
                <c:pt idx="12">
                  <c:v>1.6121257439422165E-2</c:v>
                </c:pt>
                <c:pt idx="13">
                  <c:v>1.9151294092491021E-2</c:v>
                </c:pt>
                <c:pt idx="14">
                  <c:v>2.2728119798465004E-2</c:v>
                </c:pt>
                <c:pt idx="15">
                  <c:v>2.6938727628244515E-2</c:v>
                </c:pt>
                <c:pt idx="16">
                  <c:v>3.1879493750030623E-2</c:v>
                </c:pt>
                <c:pt idx="17">
                  <c:v>3.7655586709753462E-2</c:v>
                </c:pt>
                <c:pt idx="18">
                  <c:v>4.4379676614245793E-2</c:v>
                </c:pt>
                <c:pt idx="19">
                  <c:v>5.216974260435512E-2</c:v>
                </c:pt>
                <c:pt idx="20">
                  <c:v>6.1145766321218327E-2</c:v>
                </c:pt>
                <c:pt idx="21">
                  <c:v>7.1425107032802609E-2</c:v>
                </c:pt>
                <c:pt idx="22">
                  <c:v>8.3116389653879769E-2</c:v>
                </c:pt>
                <c:pt idx="23">
                  <c:v>9.6311809633229564E-2</c:v>
                </c:pt>
                <c:pt idx="24">
                  <c:v>0.11107787729698358</c:v>
                </c:pt>
                <c:pt idx="25">
                  <c:v>0.12744479428709199</c:v>
                </c:pt>
                <c:pt idx="26">
                  <c:v>0.14539487566000653</c:v>
                </c:pt>
                <c:pt idx="27">
                  <c:v>0.16485069296801974</c:v>
                </c:pt>
                <c:pt idx="28">
                  <c:v>0.18566389362670357</c:v>
                </c:pt>
                <c:pt idx="29">
                  <c:v>0.20760591316421437</c:v>
                </c:pt>
                <c:pt idx="30">
                  <c:v>0.2303619892291392</c:v>
                </c:pt>
                <c:pt idx="31">
                  <c:v>0.25352995055982802</c:v>
                </c:pt>
                <c:pt idx="32">
                  <c:v>0.27662513233825686</c:v>
                </c:pt>
                <c:pt idx="33">
                  <c:v>0.29909241773685297</c:v>
                </c:pt>
                <c:pt idx="34">
                  <c:v>0.32032581052912468</c:v>
                </c:pt>
                <c:pt idx="35">
                  <c:v>0.33969513635207821</c:v>
                </c:pt>
                <c:pt idx="36">
                  <c:v>0.35657853369790415</c:v>
                </c:pt>
                <c:pt idx="37">
                  <c:v>0.37039846155274542</c:v>
                </c:pt>
                <c:pt idx="38">
                  <c:v>0.38065818105444899</c:v>
                </c:pt>
                <c:pt idx="39">
                  <c:v>0.38697522581518046</c:v>
                </c:pt>
                <c:pt idx="40">
                  <c:v>0.38910838396603087</c:v>
                </c:pt>
                <c:pt idx="41">
                  <c:v>0.38697522581518046</c:v>
                </c:pt>
                <c:pt idx="42">
                  <c:v>0.38065818105444899</c:v>
                </c:pt>
                <c:pt idx="43">
                  <c:v>0.37039846155274542</c:v>
                </c:pt>
                <c:pt idx="44">
                  <c:v>0.35657853369790371</c:v>
                </c:pt>
                <c:pt idx="45">
                  <c:v>0.33969513635207782</c:v>
                </c:pt>
                <c:pt idx="46">
                  <c:v>0.32032581052912429</c:v>
                </c:pt>
                <c:pt idx="47">
                  <c:v>0.29909241773685263</c:v>
                </c:pt>
                <c:pt idx="48">
                  <c:v>0.2766251323382562</c:v>
                </c:pt>
                <c:pt idx="49">
                  <c:v>0.25352995055982741</c:v>
                </c:pt>
                <c:pt idx="50">
                  <c:v>0.23036198922913848</c:v>
                </c:pt>
                <c:pt idx="51">
                  <c:v>0.20760591316421392</c:v>
                </c:pt>
                <c:pt idx="52">
                  <c:v>0.18566389362670316</c:v>
                </c:pt>
                <c:pt idx="53">
                  <c:v>0.16485069296801924</c:v>
                </c:pt>
                <c:pt idx="54">
                  <c:v>0.14539487566000608</c:v>
                </c:pt>
                <c:pt idx="55">
                  <c:v>0.12744479428709157</c:v>
                </c:pt>
                <c:pt idx="56">
                  <c:v>0.11107787729698315</c:v>
                </c:pt>
                <c:pt idx="57">
                  <c:v>9.6311809633229176E-2</c:v>
                </c:pt>
                <c:pt idx="58">
                  <c:v>8.3116389653879449E-2</c:v>
                </c:pt>
                <c:pt idx="59">
                  <c:v>7.1425107032802387E-2</c:v>
                </c:pt>
                <c:pt idx="60">
                  <c:v>6.1145766321218126E-2</c:v>
                </c:pt>
                <c:pt idx="61">
                  <c:v>5.2169742604354911E-2</c:v>
                </c:pt>
                <c:pt idx="62">
                  <c:v>4.4379676614245626E-2</c:v>
                </c:pt>
                <c:pt idx="63">
                  <c:v>3.7655586709753316E-2</c:v>
                </c:pt>
                <c:pt idx="64">
                  <c:v>3.1879493750030491E-2</c:v>
                </c:pt>
                <c:pt idx="65">
                  <c:v>2.6938727628244407E-2</c:v>
                </c:pt>
                <c:pt idx="66">
                  <c:v>2.2728119798464907E-2</c:v>
                </c:pt>
                <c:pt idx="67">
                  <c:v>1.9151294092490952E-2</c:v>
                </c:pt>
                <c:pt idx="68">
                  <c:v>1.6121257439422099E-2</c:v>
                </c:pt>
                <c:pt idx="69">
                  <c:v>1.3560470295244894E-2</c:v>
                </c:pt>
                <c:pt idx="70">
                  <c:v>1.1400549464542491E-2</c:v>
                </c:pt>
                <c:pt idx="71">
                  <c:v>9.5817276708977071E-3</c:v>
                </c:pt>
                <c:pt idx="72">
                  <c:v>8.0521673723421387E-3</c:v>
                </c:pt>
                <c:pt idx="73">
                  <c:v>6.7672024406869131E-3</c:v>
                </c:pt>
                <c:pt idx="74">
                  <c:v>5.6885611066299115E-3</c:v>
                </c:pt>
                <c:pt idx="75">
                  <c:v>4.7836071267013062E-3</c:v>
                </c:pt>
                <c:pt idx="76">
                  <c:v>4.0246232150294593E-3</c:v>
                </c:pt>
                <c:pt idx="77">
                  <c:v>3.3881509779623872E-3</c:v>
                </c:pt>
                <c:pt idx="78">
                  <c:v>2.8543943946095934E-3</c:v>
                </c:pt>
                <c:pt idx="79">
                  <c:v>2.4066888019954806E-3</c:v>
                </c:pt>
                <c:pt idx="80">
                  <c:v>2.0310339110412097E-3</c:v>
                </c:pt>
              </c:numCache>
            </c:numRef>
          </c:val>
        </c:ser>
        <c:ser>
          <c:idx val="3"/>
          <c:order val="3"/>
          <c:tx>
            <c:v>t (df = 30)</c:v>
          </c:tx>
          <c:marker>
            <c:symbol val="none"/>
          </c:marker>
          <c:cat>
            <c:numRef>
              <c:f>'T Dist'!$B$20:$B$100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0.30000000000000004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0.79999999999999993</c:v>
                </c:pt>
                <c:pt idx="49">
                  <c:v>0.89999999999999991</c:v>
                </c:pt>
                <c:pt idx="50">
                  <c:v>0.99999999999999989</c:v>
                </c:pt>
                <c:pt idx="51">
                  <c:v>1.0999999999999999</c:v>
                </c:pt>
                <c:pt idx="52">
                  <c:v>1.2</c:v>
                </c:pt>
                <c:pt idx="53">
                  <c:v>1.3</c:v>
                </c:pt>
                <c:pt idx="54">
                  <c:v>1.4000000000000001</c:v>
                </c:pt>
                <c:pt idx="55">
                  <c:v>1.5000000000000002</c:v>
                </c:pt>
                <c:pt idx="56">
                  <c:v>1.6000000000000003</c:v>
                </c:pt>
                <c:pt idx="57">
                  <c:v>1.7000000000000004</c:v>
                </c:pt>
                <c:pt idx="58">
                  <c:v>1.8000000000000005</c:v>
                </c:pt>
                <c:pt idx="59">
                  <c:v>1.9000000000000006</c:v>
                </c:pt>
                <c:pt idx="60">
                  <c:v>2.0000000000000004</c:v>
                </c:pt>
                <c:pt idx="61">
                  <c:v>2.1000000000000005</c:v>
                </c:pt>
                <c:pt idx="62">
                  <c:v>2.2000000000000006</c:v>
                </c:pt>
                <c:pt idx="63">
                  <c:v>2.3000000000000007</c:v>
                </c:pt>
                <c:pt idx="64">
                  <c:v>2.4000000000000008</c:v>
                </c:pt>
                <c:pt idx="65">
                  <c:v>2.5000000000000009</c:v>
                </c:pt>
                <c:pt idx="66">
                  <c:v>2.600000000000001</c:v>
                </c:pt>
                <c:pt idx="67">
                  <c:v>2.7000000000000011</c:v>
                </c:pt>
                <c:pt idx="68">
                  <c:v>2.8000000000000012</c:v>
                </c:pt>
                <c:pt idx="69">
                  <c:v>2.9000000000000012</c:v>
                </c:pt>
                <c:pt idx="70">
                  <c:v>3.0000000000000013</c:v>
                </c:pt>
                <c:pt idx="71">
                  <c:v>3.1000000000000014</c:v>
                </c:pt>
                <c:pt idx="72">
                  <c:v>3.2000000000000015</c:v>
                </c:pt>
                <c:pt idx="73">
                  <c:v>3.3000000000000016</c:v>
                </c:pt>
                <c:pt idx="74">
                  <c:v>3.4000000000000017</c:v>
                </c:pt>
                <c:pt idx="75">
                  <c:v>3.5000000000000018</c:v>
                </c:pt>
                <c:pt idx="76">
                  <c:v>3.6000000000000019</c:v>
                </c:pt>
                <c:pt idx="77">
                  <c:v>3.700000000000002</c:v>
                </c:pt>
                <c:pt idx="78">
                  <c:v>3.800000000000002</c:v>
                </c:pt>
                <c:pt idx="79">
                  <c:v>3.9000000000000021</c:v>
                </c:pt>
                <c:pt idx="80">
                  <c:v>4.0000000000000018</c:v>
                </c:pt>
              </c:numCache>
            </c:numRef>
          </c:cat>
          <c:val>
            <c:numRef>
              <c:f>'T Dist'!$F$20:$F$100</c:f>
              <c:numCache>
                <c:formatCode>General</c:formatCode>
                <c:ptCount val="81"/>
                <c:pt idx="0">
                  <c:v>5.2471644019740755E-4</c:v>
                </c:pt>
                <c:pt idx="1">
                  <c:v>6.8633509016922641E-4</c:v>
                </c:pt>
                <c:pt idx="2">
                  <c:v>8.9572208725848576E-4</c:v>
                </c:pt>
                <c:pt idx="3">
                  <c:v>1.1661364480637605E-3</c:v>
                </c:pt>
                <c:pt idx="4">
                  <c:v>1.5141706922918094E-3</c:v>
                </c:pt>
                <c:pt idx="5">
                  <c:v>1.9604555808020933E-3</c:v>
                </c:pt>
                <c:pt idx="6">
                  <c:v>2.5304642724106618E-3</c:v>
                </c:pt>
                <c:pt idx="7">
                  <c:v>3.2554111678475797E-3</c:v>
                </c:pt>
                <c:pt idx="8">
                  <c:v>4.1732316830005254E-3</c:v>
                </c:pt>
                <c:pt idx="9">
                  <c:v>5.3296170578658137E-3</c:v>
                </c:pt>
                <c:pt idx="10">
                  <c:v>6.7790627460931081E-3</c:v>
                </c:pt>
                <c:pt idx="11">
                  <c:v>8.5858698631407163E-3</c:v>
                </c:pt>
                <c:pt idx="12">
                  <c:v>1.0825016893845324E-2</c:v>
                </c:pt>
                <c:pt idx="13">
                  <c:v>1.3582794199685933E-2</c:v>
                </c:pt>
                <c:pt idx="14">
                  <c:v>1.6957068343387567E-2</c:v>
                </c:pt>
                <c:pt idx="15">
                  <c:v>2.105701922062168E-2</c:v>
                </c:pt>
                <c:pt idx="16">
                  <c:v>2.6002173732796927E-2</c:v>
                </c:pt>
                <c:pt idx="17">
                  <c:v>3.1920549432000254E-2</c:v>
                </c:pt>
                <c:pt idx="18">
                  <c:v>3.8945725132978802E-2</c:v>
                </c:pt>
                <c:pt idx="19">
                  <c:v>4.7212678193653324E-2</c:v>
                </c:pt>
                <c:pt idx="20">
                  <c:v>5.6852275047198066E-2</c:v>
                </c:pt>
                <c:pt idx="21">
                  <c:v>6.7984376569213356E-2</c:v>
                </c:pt>
                <c:pt idx="22">
                  <c:v>8.0709624798490739E-2</c:v>
                </c:pt>
                <c:pt idx="23">
                  <c:v>9.5100110953271741E-2</c:v>
                </c:pt>
                <c:pt idx="24">
                  <c:v>0.11118928083310917</c:v>
                </c:pt>
                <c:pt idx="25">
                  <c:v>0.12896160173967205</c:v>
                </c:pt>
                <c:pt idx="26">
                  <c:v>0.14834267891674183</c:v>
                </c:pt>
                <c:pt idx="27">
                  <c:v>0.16919064854071325</c:v>
                </c:pt>
                <c:pt idx="28">
                  <c:v>0.1912897649059872</c:v>
                </c:pt>
                <c:pt idx="29">
                  <c:v>0.21434711785664093</c:v>
                </c:pt>
                <c:pt idx="30">
                  <c:v>0.23799334232287989</c:v>
                </c:pt>
                <c:pt idx="31">
                  <c:v>0.26178800210082603</c:v>
                </c:pt>
                <c:pt idx="32">
                  <c:v>0.28523004321112261</c:v>
                </c:pt>
                <c:pt idx="33">
                  <c:v>0.30777333104241572</c:v>
                </c:pt>
                <c:pt idx="34">
                  <c:v>0.32884683826851979</c:v>
                </c:pt>
                <c:pt idx="35">
                  <c:v>0.34787857969720415</c:v>
                </c:pt>
                <c:pt idx="36">
                  <c:v>0.36432194852885696</c:v>
                </c:pt>
                <c:pt idx="37">
                  <c:v>0.37768275260924272</c:v>
                </c:pt>
                <c:pt idx="38">
                  <c:v>0.3875450315448134</c:v>
                </c:pt>
                <c:pt idx="39">
                  <c:v>0.39359369563267887</c:v>
                </c:pt>
                <c:pt idx="40">
                  <c:v>0.39563218489409713</c:v>
                </c:pt>
                <c:pt idx="41">
                  <c:v>0.39359369563267887</c:v>
                </c:pt>
                <c:pt idx="42">
                  <c:v>0.3875450315448134</c:v>
                </c:pt>
                <c:pt idx="43">
                  <c:v>0.37768275260924272</c:v>
                </c:pt>
                <c:pt idx="44">
                  <c:v>0.3643219485288558</c:v>
                </c:pt>
                <c:pt idx="45">
                  <c:v>0.34787857969720415</c:v>
                </c:pt>
                <c:pt idx="46">
                  <c:v>0.32884683826851979</c:v>
                </c:pt>
                <c:pt idx="47">
                  <c:v>0.30777333104241572</c:v>
                </c:pt>
                <c:pt idx="48">
                  <c:v>0.28523004321112166</c:v>
                </c:pt>
                <c:pt idx="49">
                  <c:v>0.26178800210082603</c:v>
                </c:pt>
                <c:pt idx="50">
                  <c:v>0.23799334232287989</c:v>
                </c:pt>
                <c:pt idx="51">
                  <c:v>0.21434711785664021</c:v>
                </c:pt>
                <c:pt idx="52">
                  <c:v>0.19128976490598656</c:v>
                </c:pt>
                <c:pt idx="53">
                  <c:v>0.16919064854071267</c:v>
                </c:pt>
                <c:pt idx="54">
                  <c:v>0.14834267891674133</c:v>
                </c:pt>
                <c:pt idx="55">
                  <c:v>0.12896160173967164</c:v>
                </c:pt>
                <c:pt idx="56">
                  <c:v>0.11118928083310881</c:v>
                </c:pt>
                <c:pt idx="57">
                  <c:v>9.5100110953271422E-2</c:v>
                </c:pt>
                <c:pt idx="58">
                  <c:v>8.070962479849049E-2</c:v>
                </c:pt>
                <c:pt idx="59">
                  <c:v>6.7984376569213134E-2</c:v>
                </c:pt>
                <c:pt idx="60">
                  <c:v>5.6852275047197899E-2</c:v>
                </c:pt>
                <c:pt idx="61">
                  <c:v>4.7212678193653178E-2</c:v>
                </c:pt>
                <c:pt idx="62">
                  <c:v>3.8945725132978684E-2</c:v>
                </c:pt>
                <c:pt idx="63">
                  <c:v>3.1920549432000067E-2</c:v>
                </c:pt>
                <c:pt idx="64">
                  <c:v>2.6002173732796788E-2</c:v>
                </c:pt>
                <c:pt idx="65">
                  <c:v>2.1057019220621555E-2</c:v>
                </c:pt>
                <c:pt idx="66">
                  <c:v>1.6957068343387522E-2</c:v>
                </c:pt>
                <c:pt idx="67">
                  <c:v>1.3582794199685897E-2</c:v>
                </c:pt>
                <c:pt idx="68">
                  <c:v>1.0825016893845291E-2</c:v>
                </c:pt>
                <c:pt idx="69">
                  <c:v>8.5858698631406695E-3</c:v>
                </c:pt>
                <c:pt idx="70">
                  <c:v>6.7790627460930656E-3</c:v>
                </c:pt>
                <c:pt idx="71">
                  <c:v>5.3296170578657799E-3</c:v>
                </c:pt>
                <c:pt idx="72">
                  <c:v>4.1732316830004924E-3</c:v>
                </c:pt>
                <c:pt idx="73">
                  <c:v>3.2554111678475542E-3</c:v>
                </c:pt>
                <c:pt idx="74">
                  <c:v>2.530464272410651E-3</c:v>
                </c:pt>
                <c:pt idx="75">
                  <c:v>1.9604555808020829E-3</c:v>
                </c:pt>
                <c:pt idx="76">
                  <c:v>1.5141706922918016E-3</c:v>
                </c:pt>
                <c:pt idx="77">
                  <c:v>1.1661364480637553E-3</c:v>
                </c:pt>
                <c:pt idx="78">
                  <c:v>8.9572208725848174E-4</c:v>
                </c:pt>
                <c:pt idx="79">
                  <c:v>6.8633509016922348E-4</c:v>
                </c:pt>
                <c:pt idx="80">
                  <c:v>5.2471644019740516E-4</c:v>
                </c:pt>
              </c:numCache>
            </c:numRef>
          </c:val>
        </c:ser>
        <c:ser>
          <c:idx val="4"/>
          <c:order val="4"/>
          <c:tx>
            <c:v>std norm</c:v>
          </c:tx>
          <c:marker>
            <c:symbol val="none"/>
          </c:marker>
          <c:cat>
            <c:numRef>
              <c:f>'T Dist'!$B$20:$B$100</c:f>
              <c:numCache>
                <c:formatCode>0.0</c:formatCode>
                <c:ptCount val="81"/>
                <c:pt idx="0">
                  <c:v>-4</c:v>
                </c:pt>
                <c:pt idx="1">
                  <c:v>-3.9</c:v>
                </c:pt>
                <c:pt idx="2">
                  <c:v>-3.8</c:v>
                </c:pt>
                <c:pt idx="3">
                  <c:v>-3.6999999999999997</c:v>
                </c:pt>
                <c:pt idx="4">
                  <c:v>-3.5999999999999996</c:v>
                </c:pt>
                <c:pt idx="5">
                  <c:v>-3.4999999999999996</c:v>
                </c:pt>
                <c:pt idx="6">
                  <c:v>-3.3999999999999995</c:v>
                </c:pt>
                <c:pt idx="7">
                  <c:v>-3.2999999999999994</c:v>
                </c:pt>
                <c:pt idx="8">
                  <c:v>-3.1999999999999993</c:v>
                </c:pt>
                <c:pt idx="9">
                  <c:v>-3.0999999999999992</c:v>
                </c:pt>
                <c:pt idx="10">
                  <c:v>-2.9999999999999991</c:v>
                </c:pt>
                <c:pt idx="11">
                  <c:v>-2.899999999999999</c:v>
                </c:pt>
                <c:pt idx="12">
                  <c:v>-2.7999999999999989</c:v>
                </c:pt>
                <c:pt idx="13">
                  <c:v>-2.6999999999999988</c:v>
                </c:pt>
                <c:pt idx="14">
                  <c:v>-2.5999999999999988</c:v>
                </c:pt>
                <c:pt idx="15">
                  <c:v>-2.4999999999999987</c:v>
                </c:pt>
                <c:pt idx="16">
                  <c:v>-2.3999999999999986</c:v>
                </c:pt>
                <c:pt idx="17">
                  <c:v>-2.2999999999999985</c:v>
                </c:pt>
                <c:pt idx="18">
                  <c:v>-2.1999999999999984</c:v>
                </c:pt>
                <c:pt idx="19">
                  <c:v>-2.0999999999999983</c:v>
                </c:pt>
                <c:pt idx="20">
                  <c:v>-1.9999999999999982</c:v>
                </c:pt>
                <c:pt idx="21">
                  <c:v>-1.8999999999999981</c:v>
                </c:pt>
                <c:pt idx="22">
                  <c:v>-1.799999999999998</c:v>
                </c:pt>
                <c:pt idx="23">
                  <c:v>-1.699999999999998</c:v>
                </c:pt>
                <c:pt idx="24">
                  <c:v>-1.5999999999999979</c:v>
                </c:pt>
                <c:pt idx="25">
                  <c:v>-1.4999999999999978</c:v>
                </c:pt>
                <c:pt idx="26">
                  <c:v>-1.3999999999999977</c:v>
                </c:pt>
                <c:pt idx="27">
                  <c:v>-1.2999999999999976</c:v>
                </c:pt>
                <c:pt idx="28">
                  <c:v>-1.1999999999999975</c:v>
                </c:pt>
                <c:pt idx="29">
                  <c:v>-1.0999999999999974</c:v>
                </c:pt>
                <c:pt idx="30">
                  <c:v>-0.99999999999999745</c:v>
                </c:pt>
                <c:pt idx="31">
                  <c:v>-0.89999999999999747</c:v>
                </c:pt>
                <c:pt idx="32">
                  <c:v>-0.79999999999999749</c:v>
                </c:pt>
                <c:pt idx="33">
                  <c:v>-0.69999999999999751</c:v>
                </c:pt>
                <c:pt idx="34">
                  <c:v>-0.59999999999999754</c:v>
                </c:pt>
                <c:pt idx="35">
                  <c:v>-0.49999999999999756</c:v>
                </c:pt>
                <c:pt idx="36">
                  <c:v>-0.39999999999999758</c:v>
                </c:pt>
                <c:pt idx="37">
                  <c:v>-0.2999999999999976</c:v>
                </c:pt>
                <c:pt idx="38">
                  <c:v>-0.1999999999999976</c:v>
                </c:pt>
                <c:pt idx="39">
                  <c:v>-9.9999999999997591E-2</c:v>
                </c:pt>
                <c:pt idx="40">
                  <c:v>0</c:v>
                </c:pt>
                <c:pt idx="41">
                  <c:v>0.1</c:v>
                </c:pt>
                <c:pt idx="42">
                  <c:v>0.2</c:v>
                </c:pt>
                <c:pt idx="43">
                  <c:v>0.30000000000000004</c:v>
                </c:pt>
                <c:pt idx="44">
                  <c:v>0.4</c:v>
                </c:pt>
                <c:pt idx="45">
                  <c:v>0.5</c:v>
                </c:pt>
                <c:pt idx="46">
                  <c:v>0.6</c:v>
                </c:pt>
                <c:pt idx="47">
                  <c:v>0.7</c:v>
                </c:pt>
                <c:pt idx="48">
                  <c:v>0.79999999999999993</c:v>
                </c:pt>
                <c:pt idx="49">
                  <c:v>0.89999999999999991</c:v>
                </c:pt>
                <c:pt idx="50">
                  <c:v>0.99999999999999989</c:v>
                </c:pt>
                <c:pt idx="51">
                  <c:v>1.0999999999999999</c:v>
                </c:pt>
                <c:pt idx="52">
                  <c:v>1.2</c:v>
                </c:pt>
                <c:pt idx="53">
                  <c:v>1.3</c:v>
                </c:pt>
                <c:pt idx="54">
                  <c:v>1.4000000000000001</c:v>
                </c:pt>
                <c:pt idx="55">
                  <c:v>1.5000000000000002</c:v>
                </c:pt>
                <c:pt idx="56">
                  <c:v>1.6000000000000003</c:v>
                </c:pt>
                <c:pt idx="57">
                  <c:v>1.7000000000000004</c:v>
                </c:pt>
                <c:pt idx="58">
                  <c:v>1.8000000000000005</c:v>
                </c:pt>
                <c:pt idx="59">
                  <c:v>1.9000000000000006</c:v>
                </c:pt>
                <c:pt idx="60">
                  <c:v>2.0000000000000004</c:v>
                </c:pt>
                <c:pt idx="61">
                  <c:v>2.1000000000000005</c:v>
                </c:pt>
                <c:pt idx="62">
                  <c:v>2.2000000000000006</c:v>
                </c:pt>
                <c:pt idx="63">
                  <c:v>2.3000000000000007</c:v>
                </c:pt>
                <c:pt idx="64">
                  <c:v>2.4000000000000008</c:v>
                </c:pt>
                <c:pt idx="65">
                  <c:v>2.5000000000000009</c:v>
                </c:pt>
                <c:pt idx="66">
                  <c:v>2.600000000000001</c:v>
                </c:pt>
                <c:pt idx="67">
                  <c:v>2.7000000000000011</c:v>
                </c:pt>
                <c:pt idx="68">
                  <c:v>2.8000000000000012</c:v>
                </c:pt>
                <c:pt idx="69">
                  <c:v>2.9000000000000012</c:v>
                </c:pt>
                <c:pt idx="70">
                  <c:v>3.0000000000000013</c:v>
                </c:pt>
                <c:pt idx="71">
                  <c:v>3.1000000000000014</c:v>
                </c:pt>
                <c:pt idx="72">
                  <c:v>3.2000000000000015</c:v>
                </c:pt>
                <c:pt idx="73">
                  <c:v>3.3000000000000016</c:v>
                </c:pt>
                <c:pt idx="74">
                  <c:v>3.4000000000000017</c:v>
                </c:pt>
                <c:pt idx="75">
                  <c:v>3.5000000000000018</c:v>
                </c:pt>
                <c:pt idx="76">
                  <c:v>3.6000000000000019</c:v>
                </c:pt>
                <c:pt idx="77">
                  <c:v>3.700000000000002</c:v>
                </c:pt>
                <c:pt idx="78">
                  <c:v>3.800000000000002</c:v>
                </c:pt>
                <c:pt idx="79">
                  <c:v>3.9000000000000021</c:v>
                </c:pt>
                <c:pt idx="80">
                  <c:v>4.0000000000000018</c:v>
                </c:pt>
              </c:numCache>
            </c:numRef>
          </c:cat>
          <c:val>
            <c:numRef>
              <c:f>'T Dist'!$G$20:$G$100</c:f>
              <c:numCache>
                <c:formatCode>General</c:formatCode>
                <c:ptCount val="81"/>
                <c:pt idx="0">
                  <c:v>1.3383022576488537E-4</c:v>
                </c:pt>
                <c:pt idx="1">
                  <c:v>1.9865547139277272E-4</c:v>
                </c:pt>
                <c:pt idx="2">
                  <c:v>2.9194692579146027E-4</c:v>
                </c:pt>
                <c:pt idx="3">
                  <c:v>4.2478027055075219E-4</c:v>
                </c:pt>
                <c:pt idx="4">
                  <c:v>6.1190193011377298E-4</c:v>
                </c:pt>
                <c:pt idx="5">
                  <c:v>8.7268269504576167E-4</c:v>
                </c:pt>
                <c:pt idx="6">
                  <c:v>1.232219168473021E-3</c:v>
                </c:pt>
                <c:pt idx="7">
                  <c:v>1.7225689390536843E-3</c:v>
                </c:pt>
                <c:pt idx="8">
                  <c:v>2.3840882014648486E-3</c:v>
                </c:pt>
                <c:pt idx="9">
                  <c:v>3.2668190561999273E-3</c:v>
                </c:pt>
                <c:pt idx="10">
                  <c:v>4.4318484119380188E-3</c:v>
                </c:pt>
                <c:pt idx="11">
                  <c:v>5.9525324197758694E-3</c:v>
                </c:pt>
                <c:pt idx="12">
                  <c:v>7.9154515829799894E-3</c:v>
                </c:pt>
                <c:pt idx="13">
                  <c:v>1.0420934814422628E-2</c:v>
                </c:pt>
                <c:pt idx="14">
                  <c:v>1.3582969233685661E-2</c:v>
                </c:pt>
                <c:pt idx="15">
                  <c:v>1.7528300493568599E-2</c:v>
                </c:pt>
                <c:pt idx="16">
                  <c:v>2.2394530294842969E-2</c:v>
                </c:pt>
                <c:pt idx="17">
                  <c:v>2.8327037741601276E-2</c:v>
                </c:pt>
                <c:pt idx="18">
                  <c:v>3.547459284623157E-2</c:v>
                </c:pt>
                <c:pt idx="19">
                  <c:v>4.3983595980427351E-2</c:v>
                </c:pt>
                <c:pt idx="20">
                  <c:v>5.399096651318825E-2</c:v>
                </c:pt>
                <c:pt idx="21">
                  <c:v>6.5615814774676831E-2</c:v>
                </c:pt>
                <c:pt idx="22">
                  <c:v>7.8950158300894427E-2</c:v>
                </c:pt>
                <c:pt idx="23">
                  <c:v>9.4049077376887252E-2</c:v>
                </c:pt>
                <c:pt idx="24">
                  <c:v>0.11092083467945592</c:v>
                </c:pt>
                <c:pt idx="25">
                  <c:v>0.12951759566589216</c:v>
                </c:pt>
                <c:pt idx="26">
                  <c:v>0.14972746563574535</c:v>
                </c:pt>
                <c:pt idx="27">
                  <c:v>0.17136859204780791</c:v>
                </c:pt>
                <c:pt idx="28">
                  <c:v>0.19418605498321354</c:v>
                </c:pt>
                <c:pt idx="29">
                  <c:v>0.21785217703255116</c:v>
                </c:pt>
                <c:pt idx="30">
                  <c:v>0.24197072451914398</c:v>
                </c:pt>
                <c:pt idx="31">
                  <c:v>0.26608524989875543</c:v>
                </c:pt>
                <c:pt idx="32">
                  <c:v>0.28969155276148334</c:v>
                </c:pt>
                <c:pt idx="33">
                  <c:v>0.31225393336676183</c:v>
                </c:pt>
                <c:pt idx="34">
                  <c:v>0.33322460289180011</c:v>
                </c:pt>
                <c:pt idx="35">
                  <c:v>0.35206532676429991</c:v>
                </c:pt>
                <c:pt idx="36">
                  <c:v>0.36827014030332367</c:v>
                </c:pt>
                <c:pt idx="37">
                  <c:v>0.38138781546052442</c:v>
                </c:pt>
                <c:pt idx="38">
                  <c:v>0.3910426939754561</c:v>
                </c:pt>
                <c:pt idx="39">
                  <c:v>0.39695254747701186</c:v>
                </c:pt>
                <c:pt idx="40">
                  <c:v>0.3989422804014327</c:v>
                </c:pt>
                <c:pt idx="41">
                  <c:v>0.39695254747701181</c:v>
                </c:pt>
                <c:pt idx="42">
                  <c:v>0.39104269397545588</c:v>
                </c:pt>
                <c:pt idx="43">
                  <c:v>0.38138781546052408</c:v>
                </c:pt>
                <c:pt idx="44">
                  <c:v>0.36827014030332333</c:v>
                </c:pt>
                <c:pt idx="45">
                  <c:v>0.35206532676429952</c:v>
                </c:pt>
                <c:pt idx="46">
                  <c:v>0.33322460289179967</c:v>
                </c:pt>
                <c:pt idx="47">
                  <c:v>0.31225393336676127</c:v>
                </c:pt>
                <c:pt idx="48">
                  <c:v>0.28969155276148278</c:v>
                </c:pt>
                <c:pt idx="49">
                  <c:v>0.26608524989875487</c:v>
                </c:pt>
                <c:pt idx="50">
                  <c:v>0.24197072451914342</c:v>
                </c:pt>
                <c:pt idx="51">
                  <c:v>0.21785217703255058</c:v>
                </c:pt>
                <c:pt idx="52">
                  <c:v>0.19418605498321295</c:v>
                </c:pt>
                <c:pt idx="53">
                  <c:v>0.17136859204780736</c:v>
                </c:pt>
                <c:pt idx="54">
                  <c:v>0.14972746563574482</c:v>
                </c:pt>
                <c:pt idx="55">
                  <c:v>0.12951759566589166</c:v>
                </c:pt>
                <c:pt idx="56">
                  <c:v>0.11092083467945553</c:v>
                </c:pt>
                <c:pt idx="57">
                  <c:v>9.4049077376886864E-2</c:v>
                </c:pt>
                <c:pt idx="58">
                  <c:v>7.8950158300894094E-2</c:v>
                </c:pt>
                <c:pt idx="59">
                  <c:v>6.5615814774676526E-2</c:v>
                </c:pt>
                <c:pt idx="60">
                  <c:v>5.3990966513188007E-2</c:v>
                </c:pt>
                <c:pt idx="61">
                  <c:v>4.3983595980427156E-2</c:v>
                </c:pt>
                <c:pt idx="62">
                  <c:v>3.547459284623139E-2</c:v>
                </c:pt>
                <c:pt idx="63">
                  <c:v>2.832703774160112E-2</c:v>
                </c:pt>
                <c:pt idx="64">
                  <c:v>2.2394530294842851E-2</c:v>
                </c:pt>
                <c:pt idx="65">
                  <c:v>1.7528300493568502E-2</c:v>
                </c:pt>
                <c:pt idx="66">
                  <c:v>1.3582969233685583E-2</c:v>
                </c:pt>
                <c:pt idx="67">
                  <c:v>1.0420934814422567E-2</c:v>
                </c:pt>
                <c:pt idx="68">
                  <c:v>7.9154515829799391E-3</c:v>
                </c:pt>
                <c:pt idx="69">
                  <c:v>5.9525324197758321E-3</c:v>
                </c:pt>
                <c:pt idx="70">
                  <c:v>4.431848411937991E-3</c:v>
                </c:pt>
                <c:pt idx="71">
                  <c:v>3.2668190561999074E-3</c:v>
                </c:pt>
                <c:pt idx="72">
                  <c:v>2.3840882014648317E-3</c:v>
                </c:pt>
                <c:pt idx="73">
                  <c:v>1.7225689390536704E-3</c:v>
                </c:pt>
                <c:pt idx="74">
                  <c:v>1.2322191684730121E-3</c:v>
                </c:pt>
                <c:pt idx="75">
                  <c:v>8.7268269504575473E-4</c:v>
                </c:pt>
                <c:pt idx="76">
                  <c:v>6.119019301137681E-4</c:v>
                </c:pt>
                <c:pt idx="77">
                  <c:v>4.2478027055074878E-4</c:v>
                </c:pt>
                <c:pt idx="78">
                  <c:v>2.9194692579145794E-4</c:v>
                </c:pt>
                <c:pt idx="79">
                  <c:v>1.9865547139277093E-4</c:v>
                </c:pt>
                <c:pt idx="80">
                  <c:v>1.3383022576488442E-4</c:v>
                </c:pt>
              </c:numCache>
            </c:numRef>
          </c:val>
        </c:ser>
        <c:marker val="1"/>
        <c:axId val="246359168"/>
        <c:axId val="246360704"/>
      </c:lineChart>
      <c:catAx>
        <c:axId val="246359168"/>
        <c:scaling>
          <c:orientation val="minMax"/>
        </c:scaling>
        <c:axPos val="b"/>
        <c:numFmt formatCode="0" sourceLinked="0"/>
        <c:tickLblPos val="nextTo"/>
        <c:crossAx val="246360704"/>
        <c:crosses val="autoZero"/>
        <c:auto val="1"/>
        <c:lblAlgn val="ctr"/>
        <c:lblOffset val="100"/>
        <c:tickLblSkip val="10"/>
      </c:catAx>
      <c:valAx>
        <c:axId val="246360704"/>
        <c:scaling>
          <c:orientation val="minMax"/>
        </c:scaling>
        <c:axPos val="l"/>
        <c:majorGridlines/>
        <c:numFmt formatCode="#,##0.00" sourceLinked="0"/>
        <c:tickLblPos val="nextTo"/>
        <c:crossAx val="24635916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Box Plot</a:t>
            </a:r>
          </a:p>
        </c:rich>
      </c:tx>
    </c:title>
    <c:plotArea>
      <c:layout/>
      <c:barChart>
        <c:barDir val="col"/>
        <c:grouping val="stacked"/>
        <c:ser>
          <c:idx val="0"/>
          <c:order val="0"/>
          <c:tx>
            <c:strRef>
              <c:f>'1 Sample T 1'!$H$18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'1 Sample T 1'!$I$17</c:f>
              <c:strCache>
                <c:ptCount val="1"/>
                <c:pt idx="0">
                  <c:v>Weight Loss</c:v>
                </c:pt>
              </c:strCache>
            </c:strRef>
          </c:cat>
          <c:val>
            <c:numRef>
              <c:f>'1 Sample T 1'!$I$18</c:f>
              <c:numCache>
                <c:formatCode>0</c:formatCode>
                <c:ptCount val="1"/>
                <c:pt idx="0">
                  <c:v>-10</c:v>
                </c:pt>
              </c:numCache>
            </c:numRef>
          </c:val>
        </c:ser>
        <c:ser>
          <c:idx val="1"/>
          <c:order val="1"/>
          <c:tx>
            <c:strRef>
              <c:f>'1 Sample T 1'!$H$19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'1 Sample T 1'!$I$17</c:f>
              <c:strCache>
                <c:ptCount val="1"/>
                <c:pt idx="0">
                  <c:v>Weight Loss</c:v>
                </c:pt>
              </c:strCache>
            </c:strRef>
          </c:cat>
          <c:val>
            <c:numRef>
              <c:f>'1 Sample T 1'!$I$19</c:f>
              <c:numCache>
                <c:formatCode>0</c:formatCode>
                <c:ptCount val="1"/>
                <c:pt idx="0">
                  <c:v>5</c:v>
                </c:pt>
              </c:numCache>
            </c:numRef>
          </c:val>
        </c:ser>
        <c:ser>
          <c:idx val="2"/>
          <c:order val="2"/>
          <c:tx>
            <c:strRef>
              <c:f>'1 Sample T 1'!$H$20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'1 Sample T 1'!$I$17</c:f>
              <c:strCache>
                <c:ptCount val="1"/>
                <c:pt idx="0">
                  <c:v>Weight Loss</c:v>
                </c:pt>
              </c:strCache>
            </c:strRef>
          </c:cat>
          <c:val>
            <c:numRef>
              <c:f>'1 Sample T 1'!$I$20</c:f>
              <c:numCache>
                <c:formatCode>0</c:formatCode>
                <c:ptCount val="1"/>
                <c:pt idx="0">
                  <c:v>9</c:v>
                </c:pt>
              </c:numCache>
            </c:numRef>
          </c:val>
        </c:ser>
        <c:ser>
          <c:idx val="3"/>
          <c:order val="3"/>
          <c:tx>
            <c:strRef>
              <c:f>'1 Sample T 1'!$H$21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'1 Sample T 1'!$I$22</c:f>
                <c:numCache>
                  <c:formatCode>General</c:formatCode>
                  <c:ptCount val="1"/>
                  <c:pt idx="0">
                    <c:v>10.25</c:v>
                  </c:pt>
                </c:numCache>
              </c:numRef>
            </c:plus>
          </c:errBars>
          <c:cat>
            <c:strRef>
              <c:f>'1 Sample T 1'!$I$17</c:f>
              <c:strCache>
                <c:ptCount val="1"/>
                <c:pt idx="0">
                  <c:v>Weight Loss</c:v>
                </c:pt>
              </c:strCache>
            </c:strRef>
          </c:cat>
          <c:val>
            <c:numRef>
              <c:f>'1 Sample T 1'!$I$21</c:f>
              <c:numCache>
                <c:formatCode>0</c:formatCode>
                <c:ptCount val="1"/>
                <c:pt idx="0">
                  <c:v>8.75</c:v>
                </c:pt>
              </c:numCache>
            </c:numRef>
          </c:val>
        </c:ser>
        <c:overlap val="100"/>
        <c:axId val="246667520"/>
        <c:axId val="246808576"/>
      </c:barChart>
      <c:catAx>
        <c:axId val="246667520"/>
        <c:scaling>
          <c:orientation val="minMax"/>
        </c:scaling>
        <c:axPos val="b"/>
        <c:tickLblPos val="nextTo"/>
        <c:crossAx val="246808576"/>
        <c:crosses val="autoZero"/>
        <c:auto val="1"/>
        <c:lblAlgn val="ctr"/>
        <c:lblOffset val="100"/>
      </c:catAx>
      <c:valAx>
        <c:axId val="246808576"/>
        <c:scaling>
          <c:orientation val="minMax"/>
        </c:scaling>
        <c:axPos val="l"/>
        <c:majorGridlines/>
        <c:numFmt formatCode="0" sourceLinked="1"/>
        <c:tickLblPos val="nextTo"/>
        <c:crossAx val="24666752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'1 Sample T 1'!$H$34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errBars>
            <c:errBarType val="minus"/>
            <c:errValType val="cust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'1 Sample T 1'!$I$37</c:f>
                <c:numCache>
                  <c:formatCode>General</c:formatCode>
                  <c:ptCount val="1"/>
                  <c:pt idx="0">
                    <c:v>5</c:v>
                  </c:pt>
                </c:numCache>
              </c:numRef>
            </c:minus>
          </c:errBars>
          <c:cat>
            <c:strRef>
              <c:f>'1 Sample T 1'!$I$33</c:f>
              <c:strCache>
                <c:ptCount val="1"/>
                <c:pt idx="0">
                  <c:v>Weight Loss</c:v>
                </c:pt>
              </c:strCache>
            </c:strRef>
          </c:cat>
          <c:val>
            <c:numRef>
              <c:f>'1 Sample T 1'!$I$34</c:f>
              <c:numCache>
                <c:formatCode>General</c:formatCode>
                <c:ptCount val="1"/>
                <c:pt idx="0">
                  <c:v>-5</c:v>
                </c:pt>
              </c:numCache>
            </c:numRef>
          </c:val>
        </c:ser>
        <c:ser>
          <c:idx val="1"/>
          <c:order val="1"/>
          <c:tx>
            <c:strRef>
              <c:f>'1 Sample T 1'!$H$35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'1 Sample T 1'!$I$33</c:f>
              <c:strCache>
                <c:ptCount val="1"/>
                <c:pt idx="0">
                  <c:v>Weight Loss</c:v>
                </c:pt>
              </c:strCache>
            </c:strRef>
          </c:cat>
          <c:val>
            <c:numRef>
              <c:f>'1 Sample T 1'!$I$35</c:f>
              <c:numCache>
                <c:formatCode>0</c:formatCode>
                <c:ptCount val="1"/>
                <c:pt idx="0">
                  <c:v>9</c:v>
                </c:pt>
              </c:numCache>
            </c:numRef>
          </c:val>
        </c:ser>
        <c:ser>
          <c:idx val="2"/>
          <c:order val="2"/>
          <c:tx>
            <c:strRef>
              <c:f>'1 Sample T 1'!$H$36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'1 Sample T 1'!$I$38</c:f>
                <c:numCache>
                  <c:formatCode>General</c:formatCode>
                  <c:ptCount val="1"/>
                  <c:pt idx="0">
                    <c:v>10.25</c:v>
                  </c:pt>
                </c:numCache>
              </c:numRef>
            </c:plus>
          </c:errBars>
          <c:cat>
            <c:strRef>
              <c:f>'1 Sample T 1'!$I$33</c:f>
              <c:strCache>
                <c:ptCount val="1"/>
                <c:pt idx="0">
                  <c:v>Weight Loss</c:v>
                </c:pt>
              </c:strCache>
            </c:strRef>
          </c:cat>
          <c:val>
            <c:numRef>
              <c:f>'1 Sample T 1'!$I$36</c:f>
              <c:numCache>
                <c:formatCode>0</c:formatCode>
                <c:ptCount val="1"/>
                <c:pt idx="0">
                  <c:v>8.75</c:v>
                </c:pt>
              </c:numCache>
            </c:numRef>
          </c:val>
        </c:ser>
        <c:overlap val="100"/>
        <c:axId val="246834688"/>
        <c:axId val="246836224"/>
      </c:barChart>
      <c:catAx>
        <c:axId val="246834688"/>
        <c:scaling>
          <c:orientation val="minMax"/>
        </c:scaling>
        <c:axPos val="b"/>
        <c:tickLblPos val="nextTo"/>
        <c:crossAx val="246836224"/>
        <c:crosses val="autoZero"/>
        <c:auto val="1"/>
        <c:lblAlgn val="ctr"/>
        <c:lblOffset val="100"/>
      </c:catAx>
      <c:valAx>
        <c:axId val="246836224"/>
        <c:scaling>
          <c:orientation val="minMax"/>
        </c:scaling>
        <c:axPos val="l"/>
        <c:majorGridlines/>
        <c:numFmt formatCode="General" sourceLinked="1"/>
        <c:tickLblPos val="nextTo"/>
        <c:crossAx val="246834688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'1 Sample T 2'!$K$4:$K$15</c:f>
              <c:strCache>
                <c:ptCount val="12"/>
                <c:pt idx="0">
                  <c:v>40</c:v>
                </c:pt>
                <c:pt idx="1">
                  <c:v>45</c:v>
                </c:pt>
                <c:pt idx="2">
                  <c:v>50</c:v>
                </c:pt>
                <c:pt idx="3">
                  <c:v>55</c:v>
                </c:pt>
                <c:pt idx="4">
                  <c:v>60</c:v>
                </c:pt>
                <c:pt idx="5">
                  <c:v>65</c:v>
                </c:pt>
                <c:pt idx="6">
                  <c:v>70</c:v>
                </c:pt>
                <c:pt idx="7">
                  <c:v>75</c:v>
                </c:pt>
                <c:pt idx="8">
                  <c:v>80</c:v>
                </c:pt>
                <c:pt idx="9">
                  <c:v>85</c:v>
                </c:pt>
                <c:pt idx="10">
                  <c:v>90</c:v>
                </c:pt>
                <c:pt idx="11">
                  <c:v>More</c:v>
                </c:pt>
              </c:strCache>
            </c:strRef>
          </c:cat>
          <c:val>
            <c:numRef>
              <c:f>'1 Sample T 2'!$L$4:$L$15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</c:ser>
        <c:axId val="246872320"/>
        <c:axId val="246882688"/>
      </c:barChart>
      <c:catAx>
        <c:axId val="2468723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</c:title>
        <c:tickLblPos val="nextTo"/>
        <c:crossAx val="246882688"/>
        <c:crosses val="autoZero"/>
        <c:auto val="1"/>
        <c:lblAlgn val="ctr"/>
        <c:lblOffset val="100"/>
      </c:catAx>
      <c:valAx>
        <c:axId val="24688268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687232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'1 Sample T 2'!$L$38:$L$77</c:f>
              <c:numCache>
                <c:formatCode>General</c:formatCode>
                <c:ptCount val="40"/>
                <c:pt idx="0">
                  <c:v>35</c:v>
                </c:pt>
                <c:pt idx="1">
                  <c:v>38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49</c:v>
                </c:pt>
                <c:pt idx="6">
                  <c:v>50</c:v>
                </c:pt>
                <c:pt idx="7">
                  <c:v>52</c:v>
                </c:pt>
                <c:pt idx="8">
                  <c:v>54</c:v>
                </c:pt>
                <c:pt idx="9">
                  <c:v>58</c:v>
                </c:pt>
                <c:pt idx="10">
                  <c:v>58</c:v>
                </c:pt>
                <c:pt idx="11">
                  <c:v>59</c:v>
                </c:pt>
                <c:pt idx="12">
                  <c:v>59</c:v>
                </c:pt>
                <c:pt idx="13">
                  <c:v>60</c:v>
                </c:pt>
                <c:pt idx="14">
                  <c:v>63</c:v>
                </c:pt>
                <c:pt idx="15">
                  <c:v>63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72</c:v>
                </c:pt>
                <c:pt idx="23">
                  <c:v>75</c:v>
                </c:pt>
                <c:pt idx="24">
                  <c:v>75</c:v>
                </c:pt>
                <c:pt idx="25">
                  <c:v>76</c:v>
                </c:pt>
                <c:pt idx="26">
                  <c:v>76</c:v>
                </c:pt>
                <c:pt idx="27">
                  <c:v>78</c:v>
                </c:pt>
                <c:pt idx="28">
                  <c:v>80</c:v>
                </c:pt>
                <c:pt idx="29">
                  <c:v>81</c:v>
                </c:pt>
                <c:pt idx="30">
                  <c:v>83</c:v>
                </c:pt>
                <c:pt idx="31">
                  <c:v>84</c:v>
                </c:pt>
                <c:pt idx="32">
                  <c:v>86</c:v>
                </c:pt>
                <c:pt idx="33">
                  <c:v>87</c:v>
                </c:pt>
                <c:pt idx="34">
                  <c:v>87</c:v>
                </c:pt>
                <c:pt idx="35">
                  <c:v>90</c:v>
                </c:pt>
                <c:pt idx="36">
                  <c:v>90</c:v>
                </c:pt>
                <c:pt idx="37">
                  <c:v>92</c:v>
                </c:pt>
                <c:pt idx="38">
                  <c:v>95</c:v>
                </c:pt>
                <c:pt idx="39">
                  <c:v>100</c:v>
                </c:pt>
              </c:numCache>
            </c:numRef>
          </c:xVal>
          <c:yVal>
            <c:numRef>
              <c:f>'1 Sample T 2'!$M$38:$M$77</c:f>
              <c:numCache>
                <c:formatCode>General</c:formatCode>
                <c:ptCount val="40"/>
                <c:pt idx="0">
                  <c:v>-2.2414027276049446</c:v>
                </c:pt>
                <c:pt idx="1">
                  <c:v>-1.7804643416920256</c:v>
                </c:pt>
                <c:pt idx="2">
                  <c:v>-1.5341205443525459</c:v>
                </c:pt>
                <c:pt idx="3">
                  <c:v>-1.3563117453352478</c:v>
                </c:pt>
                <c:pt idx="4">
                  <c:v>-1.2133396224885178</c:v>
                </c:pt>
                <c:pt idx="5">
                  <c:v>-1.091620367434168</c:v>
                </c:pt>
                <c:pt idx="6">
                  <c:v>-0.98423496044632541</c:v>
                </c:pt>
                <c:pt idx="7">
                  <c:v>-0.88714655901887607</c:v>
                </c:pt>
                <c:pt idx="8">
                  <c:v>-0.79777684612523825</c:v>
                </c:pt>
                <c:pt idx="9">
                  <c:v>-0.71436744028018739</c:v>
                </c:pt>
                <c:pt idx="10">
                  <c:v>-0.63565701369758276</c:v>
                </c:pt>
                <c:pt idx="11">
                  <c:v>-0.5607030318750833</c:v>
                </c:pt>
                <c:pt idx="12">
                  <c:v>-0.48877641111466941</c:v>
                </c:pt>
                <c:pt idx="13">
                  <c:v>-0.41929575304139605</c:v>
                </c:pt>
                <c:pt idx="14">
                  <c:v>-0.35178434493515626</c:v>
                </c:pt>
                <c:pt idx="15">
                  <c:v>-0.28584087488116566</c:v>
                </c:pt>
                <c:pt idx="16">
                  <c:v>-0.22111871299757052</c:v>
                </c:pt>
                <c:pt idx="17">
                  <c:v>-0.1573106846101707</c:v>
                </c:pt>
                <c:pt idx="18">
                  <c:v>-9.4137414323536367E-2</c:v>
                </c:pt>
                <c:pt idx="19">
                  <c:v>-3.1337982021426625E-2</c:v>
                </c:pt>
                <c:pt idx="20">
                  <c:v>3.1337982021426479E-2</c:v>
                </c:pt>
                <c:pt idx="21">
                  <c:v>9.4137414323536367E-2</c:v>
                </c:pt>
                <c:pt idx="22">
                  <c:v>0.1573106846101707</c:v>
                </c:pt>
                <c:pt idx="23">
                  <c:v>0.22111871299757052</c:v>
                </c:pt>
                <c:pt idx="24">
                  <c:v>0.28584087488116572</c:v>
                </c:pt>
                <c:pt idx="25">
                  <c:v>0.35178434493515615</c:v>
                </c:pt>
                <c:pt idx="26">
                  <c:v>0.41929575304139605</c:v>
                </c:pt>
                <c:pt idx="27">
                  <c:v>0.48877641111466941</c:v>
                </c:pt>
                <c:pt idx="28">
                  <c:v>0.5607030318750833</c:v>
                </c:pt>
                <c:pt idx="29">
                  <c:v>0.63565701369758265</c:v>
                </c:pt>
                <c:pt idx="30">
                  <c:v>0.71436744028018784</c:v>
                </c:pt>
                <c:pt idx="31">
                  <c:v>0.79777684612523825</c:v>
                </c:pt>
                <c:pt idx="32">
                  <c:v>0.88714655901887607</c:v>
                </c:pt>
                <c:pt idx="33">
                  <c:v>0.98423496044632541</c:v>
                </c:pt>
                <c:pt idx="34">
                  <c:v>1.0916203674341685</c:v>
                </c:pt>
                <c:pt idx="35">
                  <c:v>1.213339622488518</c:v>
                </c:pt>
                <c:pt idx="36">
                  <c:v>1.3563117453352478</c:v>
                </c:pt>
                <c:pt idx="37">
                  <c:v>1.5341205443525465</c:v>
                </c:pt>
                <c:pt idx="38">
                  <c:v>1.7804643416920258</c:v>
                </c:pt>
                <c:pt idx="39">
                  <c:v>2.2414027276049464</c:v>
                </c:pt>
              </c:numCache>
            </c:numRef>
          </c:yVal>
        </c:ser>
        <c:axId val="246915840"/>
        <c:axId val="246917760"/>
      </c:scatterChart>
      <c:valAx>
        <c:axId val="2469158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Normal</a:t>
                </a:r>
              </a:p>
            </c:rich>
          </c:tx>
        </c:title>
        <c:numFmt formatCode="General" sourceLinked="1"/>
        <c:tickLblPos val="nextTo"/>
        <c:crossAx val="246917760"/>
        <c:crosses val="autoZero"/>
        <c:crossBetween val="midCat"/>
      </c:valAx>
      <c:valAx>
        <c:axId val="2469177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Standardized Data</a:t>
                </a:r>
              </a:p>
            </c:rich>
          </c:tx>
        </c:title>
        <c:numFmt formatCode="General" sourceLinked="1"/>
        <c:tickLblPos val="nextTo"/>
        <c:crossAx val="24691584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</c:title>
    <c:plotArea>
      <c:layout/>
      <c:barChart>
        <c:barDir val="col"/>
        <c:grouping val="stacked"/>
        <c:ser>
          <c:idx val="0"/>
          <c:order val="0"/>
          <c:tx>
            <c:strRef>
              <c:f>'1 Sample T 2'!$K$20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numRef>
              <c:f>'1 Sample T 2'!$L$19</c:f>
              <c:numCache>
                <c:formatCode>General</c:formatCode>
                <c:ptCount val="1"/>
              </c:numCache>
            </c:numRef>
          </c:cat>
          <c:val>
            <c:numRef>
              <c:f>'1 Sample T 2'!$L$20</c:f>
              <c:numCache>
                <c:formatCode>General</c:formatCode>
                <c:ptCount val="1"/>
                <c:pt idx="0">
                  <c:v>35</c:v>
                </c:pt>
              </c:numCache>
            </c:numRef>
          </c:val>
        </c:ser>
        <c:ser>
          <c:idx val="1"/>
          <c:order val="1"/>
          <c:tx>
            <c:strRef>
              <c:f>'1 Sample T 2'!$K$21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numRef>
              <c:f>'1 Sample T 2'!$L$19</c:f>
              <c:numCache>
                <c:formatCode>General</c:formatCode>
                <c:ptCount val="1"/>
              </c:numCache>
            </c:numRef>
          </c:cat>
          <c:val>
            <c:numRef>
              <c:f>'1 Sample T 2'!$L$21</c:f>
              <c:numCache>
                <c:formatCode>General</c:formatCode>
                <c:ptCount val="1"/>
                <c:pt idx="0">
                  <c:v>23</c:v>
                </c:pt>
              </c:numCache>
            </c:numRef>
          </c:val>
        </c:ser>
        <c:ser>
          <c:idx val="2"/>
          <c:order val="2"/>
          <c:tx>
            <c:strRef>
              <c:f>'1 Sample T 2'!$K$22</c:f>
              <c:strCache>
                <c:ptCount val="1"/>
                <c:pt idx="0">
                  <c:v>Med-Q1</c:v>
                </c:pt>
              </c:strCache>
            </c:strRef>
          </c:tx>
          <c:cat>
            <c:numRef>
              <c:f>'1 Sample T 2'!$L$19</c:f>
              <c:numCache>
                <c:formatCode>General</c:formatCode>
                <c:ptCount val="1"/>
              </c:numCache>
            </c:numRef>
          </c:cat>
          <c:val>
            <c:numRef>
              <c:f>'1 Sample T 2'!$L$22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</c:ser>
        <c:ser>
          <c:idx val="3"/>
          <c:order val="3"/>
          <c:tx>
            <c:strRef>
              <c:f>'1 Sample T 2'!$K$23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'1 Sample T 2'!$L$24</c:f>
                <c:numCache>
                  <c:formatCode>General</c:formatCode>
                  <c:ptCount val="1"/>
                  <c:pt idx="0">
                    <c:v>18.5</c:v>
                  </c:pt>
                </c:numCache>
              </c:numRef>
            </c:plus>
          </c:errBars>
          <c:cat>
            <c:numRef>
              <c:f>'1 Sample T 2'!$L$19</c:f>
              <c:numCache>
                <c:formatCode>General</c:formatCode>
                <c:ptCount val="1"/>
              </c:numCache>
            </c:numRef>
          </c:cat>
          <c:val>
            <c:numRef>
              <c:f>'1 Sample T 2'!$L$23</c:f>
              <c:numCache>
                <c:formatCode>General</c:formatCode>
                <c:ptCount val="1"/>
                <c:pt idx="0">
                  <c:v>13.5</c:v>
                </c:pt>
              </c:numCache>
            </c:numRef>
          </c:val>
        </c:ser>
        <c:overlap val="100"/>
        <c:axId val="246982144"/>
        <c:axId val="246983680"/>
      </c:barChart>
      <c:catAx>
        <c:axId val="246982144"/>
        <c:scaling>
          <c:orientation val="minMax"/>
        </c:scaling>
        <c:axPos val="b"/>
        <c:numFmt formatCode="General" sourceLinked="1"/>
        <c:tickLblPos val="nextTo"/>
        <c:crossAx val="246983680"/>
        <c:crosses val="autoZero"/>
        <c:auto val="1"/>
        <c:lblAlgn val="ctr"/>
        <c:lblOffset val="100"/>
      </c:catAx>
      <c:valAx>
        <c:axId val="246983680"/>
        <c:scaling>
          <c:orientation val="minMax"/>
        </c:scaling>
        <c:axPos val="l"/>
        <c:majorGridlines/>
        <c:numFmt formatCode="General" sourceLinked="1"/>
        <c:tickLblPos val="nextTo"/>
        <c:crossAx val="246982144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'2 Sample T 1'!$K$5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'2 Sample T 1'!$L$4:$M$4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'2 Sample T 1'!$L$5:$M$5</c:f>
              <c:numCache>
                <c:formatCode>General</c:formatCode>
                <c:ptCount val="2"/>
                <c:pt idx="0">
                  <c:v>9</c:v>
                </c:pt>
                <c:pt idx="1">
                  <c:v>4</c:v>
                </c:pt>
              </c:numCache>
            </c:numRef>
          </c:val>
        </c:ser>
        <c:ser>
          <c:idx val="1"/>
          <c:order val="1"/>
          <c:tx>
            <c:strRef>
              <c:f>'2 Sample T 1'!$K$6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'2 Sample T 1'!$L$4:$M$4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'2 Sample T 1'!$L$6:$M$6</c:f>
              <c:numCache>
                <c:formatCode>General</c:formatCode>
                <c:ptCount val="2"/>
                <c:pt idx="0">
                  <c:v>3.25</c:v>
                </c:pt>
                <c:pt idx="1">
                  <c:v>4.5</c:v>
                </c:pt>
              </c:numCache>
            </c:numRef>
          </c:val>
        </c:ser>
        <c:ser>
          <c:idx val="2"/>
          <c:order val="2"/>
          <c:tx>
            <c:strRef>
              <c:f>'2 Sample T 1'!$K$7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'2 Sample T 1'!$L$4:$M$4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'2 Sample T 1'!$L$7:$M$7</c:f>
              <c:numCache>
                <c:formatCode>General</c:formatCode>
                <c:ptCount val="2"/>
                <c:pt idx="0">
                  <c:v>3.25</c:v>
                </c:pt>
                <c:pt idx="1">
                  <c:v>3</c:v>
                </c:pt>
              </c:numCache>
            </c:numRef>
          </c:val>
        </c:ser>
        <c:ser>
          <c:idx val="3"/>
          <c:order val="3"/>
          <c:tx>
            <c:strRef>
              <c:f>'2 Sample T 1'!$K$8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'2 Sample T 1'!$L$9:$M$9</c:f>
                <c:numCache>
                  <c:formatCode>General</c:formatCode>
                  <c:ptCount val="2"/>
                  <c:pt idx="0">
                    <c:v>2.25</c:v>
                  </c:pt>
                  <c:pt idx="1">
                    <c:v>4.5</c:v>
                  </c:pt>
                </c:numCache>
              </c:numRef>
            </c:plus>
          </c:errBars>
          <c:cat>
            <c:strRef>
              <c:f>'2 Sample T 1'!$L$4:$M$4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'2 Sample T 1'!$L$8:$M$8</c:f>
              <c:numCache>
                <c:formatCode>General</c:formatCode>
                <c:ptCount val="2"/>
                <c:pt idx="0">
                  <c:v>2.25</c:v>
                </c:pt>
                <c:pt idx="1">
                  <c:v>2</c:v>
                </c:pt>
              </c:numCache>
            </c:numRef>
          </c:val>
        </c:ser>
        <c:overlap val="100"/>
        <c:axId val="247072640"/>
        <c:axId val="247074176"/>
      </c:barChart>
      <c:catAx>
        <c:axId val="247072640"/>
        <c:scaling>
          <c:orientation val="minMax"/>
        </c:scaling>
        <c:axPos val="b"/>
        <c:tickLblPos val="nextTo"/>
        <c:crossAx val="247074176"/>
        <c:crosses val="autoZero"/>
        <c:auto val="1"/>
        <c:lblAlgn val="ctr"/>
        <c:lblOffset val="100"/>
      </c:catAx>
      <c:valAx>
        <c:axId val="247074176"/>
        <c:scaling>
          <c:orientation val="minMax"/>
        </c:scaling>
        <c:axPos val="l"/>
        <c:majorGridlines/>
        <c:numFmt formatCode="General" sourceLinked="1"/>
        <c:tickLblPos val="nextTo"/>
        <c:crossAx val="24707264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Control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'2 Sample T 2'!$N$4:$N$9</c:f>
              <c:strCache>
                <c:ptCount val="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More</c:v>
                </c:pt>
              </c:strCache>
            </c:strRef>
          </c:cat>
          <c:val>
            <c:numRef>
              <c:f>'2 Sample T 2'!$O$4:$O$9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</c:numCache>
            </c:numRef>
          </c:val>
        </c:ser>
        <c:axId val="247097984"/>
        <c:axId val="247112448"/>
      </c:barChart>
      <c:catAx>
        <c:axId val="2470979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Bins</a:t>
                </a:r>
              </a:p>
            </c:rich>
          </c:tx>
        </c:title>
        <c:tickLblPos val="nextTo"/>
        <c:crossAx val="247112448"/>
        <c:crosses val="autoZero"/>
        <c:auto val="1"/>
        <c:lblAlgn val="ctr"/>
        <c:lblOffset val="100"/>
      </c:catAx>
      <c:valAx>
        <c:axId val="24711244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7097984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Drug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'2 Sample T 2'!$N$16:$N$21</c:f>
              <c:strCache>
                <c:ptCount val="6"/>
                <c:pt idx="0">
                  <c:v>10</c:v>
                </c:pt>
                <c:pt idx="1">
                  <c:v>13</c:v>
                </c:pt>
                <c:pt idx="2">
                  <c:v>16</c:v>
                </c:pt>
                <c:pt idx="3">
                  <c:v>19</c:v>
                </c:pt>
                <c:pt idx="4">
                  <c:v>22</c:v>
                </c:pt>
                <c:pt idx="5">
                  <c:v>More</c:v>
                </c:pt>
              </c:strCache>
            </c:strRef>
          </c:cat>
          <c:val>
            <c:numRef>
              <c:f>'2 Sample T 2'!$O$16:$O$21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2</c:v>
                </c:pt>
              </c:numCache>
            </c:numRef>
          </c:val>
        </c:ser>
        <c:axId val="245850496"/>
        <c:axId val="245852416"/>
      </c:barChart>
      <c:catAx>
        <c:axId val="2458504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Bins</a:t>
                </a:r>
              </a:p>
            </c:rich>
          </c:tx>
        </c:title>
        <c:tickLblPos val="nextTo"/>
        <c:crossAx val="245852416"/>
        <c:crosses val="autoZero"/>
        <c:auto val="1"/>
        <c:lblAlgn val="ctr"/>
        <c:lblOffset val="100"/>
      </c:catAx>
      <c:valAx>
        <c:axId val="24585241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5850496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'2 Sample T 3'!$K$4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'2 Sample T 3'!$L$3:$M$3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'2 Sample T 3'!$L$4:$M$4</c:f>
              <c:numCache>
                <c:formatCode>General</c:formatCode>
                <c:ptCount val="2"/>
                <c:pt idx="0">
                  <c:v>2</c:v>
                </c:pt>
                <c:pt idx="1">
                  <c:v>4</c:v>
                </c:pt>
              </c:numCache>
            </c:numRef>
          </c:val>
        </c:ser>
        <c:ser>
          <c:idx val="1"/>
          <c:order val="1"/>
          <c:tx>
            <c:strRef>
              <c:f>'2 Sample T 3'!$K$5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'2 Sample T 3'!$L$3:$M$3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'2 Sample T 3'!$L$5:$M$5</c:f>
              <c:numCache>
                <c:formatCode>General</c:formatCode>
                <c:ptCount val="2"/>
                <c:pt idx="0">
                  <c:v>7.75</c:v>
                </c:pt>
                <c:pt idx="1">
                  <c:v>4.5</c:v>
                </c:pt>
              </c:numCache>
            </c:numRef>
          </c:val>
        </c:ser>
        <c:ser>
          <c:idx val="2"/>
          <c:order val="2"/>
          <c:tx>
            <c:strRef>
              <c:f>'2 Sample T 3'!$K$6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'2 Sample T 3'!$L$3:$M$3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'2 Sample T 3'!$L$6:$M$6</c:f>
              <c:numCache>
                <c:formatCode>General</c:formatCode>
                <c:ptCount val="2"/>
                <c:pt idx="0">
                  <c:v>10.75</c:v>
                </c:pt>
                <c:pt idx="1">
                  <c:v>3</c:v>
                </c:pt>
              </c:numCache>
            </c:numRef>
          </c:val>
        </c:ser>
        <c:ser>
          <c:idx val="3"/>
          <c:order val="3"/>
          <c:tx>
            <c:strRef>
              <c:f>'2 Sample T 3'!$K$7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'2 Sample T 3'!$L$8:$M$8</c:f>
                <c:numCache>
                  <c:formatCode>General</c:formatCode>
                  <c:ptCount val="2"/>
                  <c:pt idx="0">
                    <c:v>12.75</c:v>
                  </c:pt>
                  <c:pt idx="1">
                    <c:v>4.5</c:v>
                  </c:pt>
                </c:numCache>
              </c:numRef>
            </c:plus>
          </c:errBars>
          <c:cat>
            <c:strRef>
              <c:f>'2 Sample T 3'!$L$3:$M$3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'2 Sample T 3'!$L$7:$M$7</c:f>
              <c:numCache>
                <c:formatCode>General</c:formatCode>
                <c:ptCount val="2"/>
                <c:pt idx="0">
                  <c:v>6.75</c:v>
                </c:pt>
                <c:pt idx="1">
                  <c:v>2</c:v>
                </c:pt>
              </c:numCache>
            </c:numRef>
          </c:val>
        </c:ser>
        <c:overlap val="100"/>
        <c:axId val="247182848"/>
        <c:axId val="247184384"/>
      </c:barChart>
      <c:catAx>
        <c:axId val="247182848"/>
        <c:scaling>
          <c:orientation val="minMax"/>
        </c:scaling>
        <c:axPos val="b"/>
        <c:tickLblPos val="nextTo"/>
        <c:crossAx val="247184384"/>
        <c:crosses val="autoZero"/>
        <c:auto val="1"/>
        <c:lblAlgn val="ctr"/>
        <c:lblOffset val="100"/>
      </c:catAx>
      <c:valAx>
        <c:axId val="247184384"/>
        <c:scaling>
          <c:orientation val="minMax"/>
        </c:scaling>
        <c:axPos val="l"/>
        <c:majorGridlines/>
        <c:numFmt formatCode="General" sourceLinked="1"/>
        <c:tickLblPos val="nextTo"/>
        <c:crossAx val="247182848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'2P Sample T 1'!$J$4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'2P Sample T 1'!$K$3</c:f>
              <c:strCache>
                <c:ptCount val="1"/>
                <c:pt idx="0">
                  <c:v>Difference</c:v>
                </c:pt>
              </c:strCache>
            </c:strRef>
          </c:cat>
          <c:val>
            <c:numRef>
              <c:f>'2P Sample T 1'!$K$4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'2P Sample T 1'!$J$5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'2P Sample T 1'!$K$3</c:f>
              <c:strCache>
                <c:ptCount val="1"/>
                <c:pt idx="0">
                  <c:v>Difference</c:v>
                </c:pt>
              </c:strCache>
            </c:strRef>
          </c:cat>
          <c:val>
            <c:numRef>
              <c:f>'2P Sample T 1'!$K$5</c:f>
              <c:numCache>
                <c:formatCode>General</c:formatCode>
                <c:ptCount val="1"/>
                <c:pt idx="0">
                  <c:v>5.5</c:v>
                </c:pt>
              </c:numCache>
            </c:numRef>
          </c:val>
        </c:ser>
        <c:ser>
          <c:idx val="2"/>
          <c:order val="2"/>
          <c:tx>
            <c:strRef>
              <c:f>'2P Sample T 1'!$J$6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'2P Sample T 1'!$K$3</c:f>
              <c:strCache>
                <c:ptCount val="1"/>
                <c:pt idx="0">
                  <c:v>Difference</c:v>
                </c:pt>
              </c:strCache>
            </c:strRef>
          </c:cat>
          <c:val>
            <c:numRef>
              <c:f>'2P Sample T 1'!$K$6</c:f>
              <c:numCache>
                <c:formatCode>General</c:formatCode>
                <c:ptCount val="1"/>
                <c:pt idx="0">
                  <c:v>4.5</c:v>
                </c:pt>
              </c:numCache>
            </c:numRef>
          </c:val>
        </c:ser>
        <c:ser>
          <c:idx val="3"/>
          <c:order val="3"/>
          <c:tx>
            <c:strRef>
              <c:f>'2P Sample T 1'!$J$7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'2P Sample T 1'!$K$8</c:f>
                <c:numCache>
                  <c:formatCode>General</c:formatCode>
                  <c:ptCount val="1"/>
                  <c:pt idx="0">
                    <c:v>8.5</c:v>
                  </c:pt>
                </c:numCache>
              </c:numRef>
            </c:plus>
          </c:errBars>
          <c:cat>
            <c:strRef>
              <c:f>'2P Sample T 1'!$K$3</c:f>
              <c:strCache>
                <c:ptCount val="1"/>
                <c:pt idx="0">
                  <c:v>Difference</c:v>
                </c:pt>
              </c:strCache>
            </c:strRef>
          </c:cat>
          <c:val>
            <c:numRef>
              <c:f>'2P Sample T 1'!$K$7</c:f>
              <c:numCache>
                <c:formatCode>General</c:formatCode>
                <c:ptCount val="1"/>
                <c:pt idx="0">
                  <c:v>3.5</c:v>
                </c:pt>
              </c:numCache>
            </c:numRef>
          </c:val>
        </c:ser>
        <c:overlap val="100"/>
        <c:axId val="247437184"/>
        <c:axId val="247438720"/>
      </c:barChart>
      <c:catAx>
        <c:axId val="247437184"/>
        <c:scaling>
          <c:orientation val="minMax"/>
        </c:scaling>
        <c:axPos val="b"/>
        <c:tickLblPos val="nextTo"/>
        <c:crossAx val="247438720"/>
        <c:crosses val="autoZero"/>
        <c:auto val="1"/>
        <c:lblAlgn val="ctr"/>
        <c:lblOffset val="100"/>
      </c:catAx>
      <c:valAx>
        <c:axId val="247438720"/>
        <c:scaling>
          <c:orientation val="minMax"/>
        </c:scaling>
        <c:axPos val="l"/>
        <c:majorGridlines/>
        <c:numFmt formatCode="General" sourceLinked="1"/>
        <c:tickLblPos val="nextTo"/>
        <c:crossAx val="247437184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Chi-Square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v>df = 5</c:v>
          </c:tx>
          <c:marker>
            <c:symbol val="none"/>
          </c:marker>
          <c:cat>
            <c:numRef>
              <c:f>'Chi-Sq'!$B$16:$B$66</c:f>
              <c:numCache>
                <c:formatCode>0.0</c:formatCode>
                <c:ptCount val="5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</c:numCache>
            </c:numRef>
          </c:cat>
          <c:val>
            <c:numRef>
              <c:f>'Chi-Sq'!$D$16:$D$66</c:f>
              <c:numCache>
                <c:formatCode>General</c:formatCode>
                <c:ptCount val="51"/>
                <c:pt idx="0">
                  <c:v>0</c:v>
                </c:pt>
                <c:pt idx="1">
                  <c:v>3.661594078897687E-2</c:v>
                </c:pt>
                <c:pt idx="2">
                  <c:v>8.065690817304777E-2</c:v>
                </c:pt>
                <c:pt idx="3">
                  <c:v>0.11539974210409143</c:v>
                </c:pt>
                <c:pt idx="4">
                  <c:v>0.1383691658068649</c:v>
                </c:pt>
                <c:pt idx="5">
                  <c:v>0.15060199389015105</c:v>
                </c:pt>
                <c:pt idx="6">
                  <c:v>0.15418032980376928</c:v>
                </c:pt>
                <c:pt idx="7">
                  <c:v>0.15131275347197151</c:v>
                </c:pt>
                <c:pt idx="8">
                  <c:v>0.14397591070183474</c:v>
                </c:pt>
                <c:pt idx="9">
                  <c:v>0.13379657537658299</c:v>
                </c:pt>
                <c:pt idx="10">
                  <c:v>0.12204152134938735</c:v>
                </c:pt>
                <c:pt idx="11">
                  <c:v>0.10965363173427169</c:v>
                </c:pt>
                <c:pt idx="12">
                  <c:v>9.7304346659282934E-2</c:v>
                </c:pt>
                <c:pt idx="13">
                  <c:v>8.544797596128903E-2</c:v>
                </c:pt>
                <c:pt idx="14">
                  <c:v>7.4371267720122813E-2</c:v>
                </c:pt>
                <c:pt idx="15">
                  <c:v>6.4235690815115279E-2</c:v>
                </c:pt>
                <c:pt idx="16">
                  <c:v>5.511196094424544E-2</c:v>
                </c:pt>
                <c:pt idx="17">
                  <c:v>4.7007337302917958E-2</c:v>
                </c:pt>
                <c:pt idx="18">
                  <c:v>3.988663570744206E-2</c:v>
                </c:pt>
                <c:pt idx="19">
                  <c:v>3.3688015636607886E-2</c:v>
                </c:pt>
                <c:pt idx="20">
                  <c:v>2.8334555341734478E-2</c:v>
                </c:pt>
                <c:pt idx="21">
                  <c:v>2.3742515473457661E-2</c:v>
                </c:pt>
                <c:pt idx="22">
                  <c:v>1.9827053952324078E-2</c:v>
                </c:pt>
                <c:pt idx="23">
                  <c:v>1.650601747974224E-2</c:v>
                </c:pt>
                <c:pt idx="24">
                  <c:v>1.3702310000441044E-2</c:v>
                </c:pt>
                <c:pt idx="25">
                  <c:v>1.1345230366420366E-2</c:v>
                </c:pt>
                <c:pt idx="26">
                  <c:v>9.3710813327610581E-3</c:v>
                </c:pt>
                <c:pt idx="27">
                  <c:v>7.7232787720358312E-3</c:v>
                </c:pt>
                <c:pt idx="28">
                  <c:v>6.3521316629997363E-3</c:v>
                </c:pt>
                <c:pt idx="29">
                  <c:v>5.214417740190643E-3</c:v>
                </c:pt>
                <c:pt idx="30">
                  <c:v>4.2728444746070555E-3</c:v>
                </c:pt>
                <c:pt idx="31">
                  <c:v>3.4954582850471741E-3</c:v>
                </c:pt>
                <c:pt idx="32">
                  <c:v>2.8550448163175528E-3</c:v>
                </c:pt>
                <c:pt idx="33">
                  <c:v>2.328548305300751E-3</c:v>
                </c:pt>
                <c:pt idx="34">
                  <c:v>1.8965272928167607E-3</c:v>
                </c:pt>
                <c:pt idx="35">
                  <c:v>1.5426562657966016E-3</c:v>
                </c:pt>
                <c:pt idx="36">
                  <c:v>1.2532774675207297E-3</c:v>
                </c:pt>
                <c:pt idx="37">
                  <c:v>1.0170034966242405E-3</c:v>
                </c:pt>
                <c:pt idx="38">
                  <c:v>8.2436896672611931E-4</c:v>
                </c:pt>
                <c:pt idx="39">
                  <c:v>6.6752806507455113E-4</c:v>
                </c:pt>
                <c:pt idx="40">
                  <c:v>5.3999406373927451E-4</c:v>
                </c:pt>
                <c:pt idx="41">
                  <c:v>4.364165011847201E-4</c:v>
                </c:pt>
                <c:pt idx="42">
                  <c:v>3.5239171820910289E-4</c:v>
                </c:pt>
                <c:pt idx="43">
                  <c:v>2.843025928661937E-4</c:v>
                </c:pt>
                <c:pt idx="44">
                  <c:v>2.2918359703827341E-4</c:v>
                </c:pt>
                <c:pt idx="45">
                  <c:v>1.8460763850698179E-4</c:v>
                </c:pt>
                <c:pt idx="46">
                  <c:v>1.4859151929846027E-4</c:v>
                </c:pt>
                <c:pt idx="47">
                  <c:v>1.195172088141633E-4</c:v>
                </c:pt>
                <c:pt idx="48">
                  <c:v>9.6066482864035687E-5</c:v>
                </c:pt>
                <c:pt idx="49">
                  <c:v>7.7166807693457539E-5</c:v>
                </c:pt>
                <c:pt idx="50">
                  <c:v>6.1946646447262371E-5</c:v>
                </c:pt>
              </c:numCache>
            </c:numRef>
          </c:val>
        </c:ser>
        <c:ser>
          <c:idx val="1"/>
          <c:order val="1"/>
          <c:tx>
            <c:v>df = 10</c:v>
          </c:tx>
          <c:marker>
            <c:symbol val="none"/>
          </c:marker>
          <c:cat>
            <c:numRef>
              <c:f>'Chi-Sq'!$B$16:$B$66</c:f>
              <c:numCache>
                <c:formatCode>0.0</c:formatCode>
                <c:ptCount val="5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</c:numCache>
            </c:numRef>
          </c:cat>
          <c:val>
            <c:numRef>
              <c:f>'Chi-Sq'!$E$16:$E$66</c:f>
              <c:numCache>
                <c:formatCode>General</c:formatCode>
                <c:ptCount val="51"/>
                <c:pt idx="0">
                  <c:v>0</c:v>
                </c:pt>
                <c:pt idx="1">
                  <c:v>6.3378969976514082E-5</c:v>
                </c:pt>
                <c:pt idx="2">
                  <c:v>7.8975346316749158E-4</c:v>
                </c:pt>
                <c:pt idx="3">
                  <c:v>3.1137443662127436E-3</c:v>
                </c:pt>
                <c:pt idx="4">
                  <c:v>7.6641550244050498E-3</c:v>
                </c:pt>
                <c:pt idx="5">
                  <c:v>1.4572387535613513E-2</c:v>
                </c:pt>
                <c:pt idx="6">
                  <c:v>2.3533259078154716E-2</c:v>
                </c:pt>
                <c:pt idx="7">
                  <c:v>3.3954365089885967E-2</c:v>
                </c:pt>
                <c:pt idx="8">
                  <c:v>4.5111761078870903E-2</c:v>
                </c:pt>
                <c:pt idx="9">
                  <c:v>5.6276392606639976E-2</c:v>
                </c:pt>
                <c:pt idx="10">
                  <c:v>6.6800942890542656E-2</c:v>
                </c:pt>
                <c:pt idx="11">
                  <c:v>7.616925585346726E-2</c:v>
                </c:pt>
                <c:pt idx="12">
                  <c:v>8.4015677870770411E-2</c:v>
                </c:pt>
                <c:pt idx="13">
                  <c:v>9.0122896311996464E-2</c:v>
                </c:pt>
                <c:pt idx="14">
                  <c:v>9.4406142704409821E-2</c:v>
                </c:pt>
                <c:pt idx="15">
                  <c:v>9.6890127275428159E-2</c:v>
                </c:pt>
                <c:pt idx="16">
                  <c:v>9.7683407406582323E-2</c:v>
                </c:pt>
                <c:pt idx="17">
                  <c:v>9.6953375676556569E-2</c:v>
                </c:pt>
                <c:pt idx="18">
                  <c:v>9.4903810270062214E-2</c:v>
                </c:pt>
                <c:pt idx="19">
                  <c:v>9.1755987187978866E-2</c:v>
                </c:pt>
                <c:pt idx="20">
                  <c:v>8.773368488392537E-2</c:v>
                </c:pt>
                <c:pt idx="21">
                  <c:v>8.3051971499934485E-2</c:v>
                </c:pt>
                <c:pt idx="22">
                  <c:v>7.7909401862698457E-2</c:v>
                </c:pt>
                <c:pt idx="23">
                  <c:v>7.2483118560877427E-2</c:v>
                </c:pt>
                <c:pt idx="24">
                  <c:v>6.6926308769991699E-2</c:v>
                </c:pt>
                <c:pt idx="25">
                  <c:v>6.1367484290685968E-2</c:v>
                </c:pt>
                <c:pt idx="26">
                  <c:v>5.5911102591969346E-2</c:v>
                </c:pt>
                <c:pt idx="27">
                  <c:v>5.0639114302806203E-2</c:v>
                </c:pt>
                <c:pt idx="28">
                  <c:v>4.561309581867487E-2</c:v>
                </c:pt>
                <c:pt idx="29">
                  <c:v>4.0876696933182535E-2</c:v>
                </c:pt>
                <c:pt idx="30">
                  <c:v>3.6458198227518335E-2</c:v>
                </c:pt>
                <c:pt idx="31">
                  <c:v>3.2373029119059205E-2</c:v>
                </c:pt>
                <c:pt idx="32">
                  <c:v>2.8626144247681014E-2</c:v>
                </c:pt>
                <c:pt idx="33">
                  <c:v>2.5214193484191967E-2</c:v>
                </c:pt>
                <c:pt idx="34">
                  <c:v>2.2127450062679709E-2</c:v>
                </c:pt>
                <c:pt idx="35">
                  <c:v>1.9351483235825539E-2</c:v>
                </c:pt>
                <c:pt idx="36">
                  <c:v>1.686857759609801E-2</c:v>
                </c:pt>
                <c:pt idx="37">
                  <c:v>1.4658911941653285E-2</c:v>
                </c:pt>
                <c:pt idx="38">
                  <c:v>1.2701517347389361E-2</c:v>
                </c:pt>
                <c:pt idx="39">
                  <c:v>1.0975037854508863E-2</c:v>
                </c:pt>
                <c:pt idx="40">
                  <c:v>9.4583187005176789E-3</c:v>
                </c:pt>
                <c:pt idx="41">
                  <c:v>8.1308469206181136E-3</c:v>
                </c:pt>
                <c:pt idx="42">
                  <c:v>6.9730679765471074E-3</c:v>
                </c:pt>
                <c:pt idx="43">
                  <c:v>5.9666002114390753E-3</c:v>
                </c:pt>
                <c:pt idx="44">
                  <c:v>5.0943666931247238E-3</c:v>
                </c:pt>
                <c:pt idx="45">
                  <c:v>4.3406616164315629E-3</c:v>
                </c:pt>
                <c:pt idx="46">
                  <c:v>3.691166045227106E-3</c:v>
                </c:pt>
                <c:pt idx="47">
                  <c:v>3.1329254933363622E-3</c:v>
                </c:pt>
                <c:pt idx="48">
                  <c:v>2.6542997366377869E-3</c:v>
                </c:pt>
                <c:pt idx="49">
                  <c:v>2.2448933534556241E-3</c:v>
                </c:pt>
                <c:pt idx="50">
                  <c:v>1.8954738220614987E-3</c:v>
                </c:pt>
              </c:numCache>
            </c:numRef>
          </c:val>
        </c:ser>
        <c:marker val="1"/>
        <c:axId val="247573888"/>
        <c:axId val="247579776"/>
      </c:lineChart>
      <c:catAx>
        <c:axId val="247573888"/>
        <c:scaling>
          <c:orientation val="minMax"/>
        </c:scaling>
        <c:axPos val="b"/>
        <c:numFmt formatCode="0" sourceLinked="0"/>
        <c:tickLblPos val="nextTo"/>
        <c:crossAx val="247579776"/>
        <c:crosses val="autoZero"/>
        <c:auto val="1"/>
        <c:lblAlgn val="ctr"/>
        <c:lblOffset val="100"/>
        <c:tickLblSkip val="4"/>
        <c:tickMarkSkip val="4"/>
      </c:catAx>
      <c:valAx>
        <c:axId val="247579776"/>
        <c:scaling>
          <c:orientation val="minMax"/>
        </c:scaling>
        <c:axPos val="l"/>
        <c:majorGridlines/>
        <c:numFmt formatCode="#,##0.00" sourceLinked="0"/>
        <c:tickLblPos val="nextTo"/>
        <c:crossAx val="24757388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Chi-Square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v>df = 1</c:v>
          </c:tx>
          <c:marker>
            <c:symbol val="none"/>
          </c:marker>
          <c:cat>
            <c:numRef>
              <c:f>'Chi-Sq'!$B$17:$B$66</c:f>
              <c:numCache>
                <c:formatCode>0.0</c:formatCode>
                <c:ptCount val="5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</c:numCache>
            </c:numRef>
          </c:cat>
          <c:val>
            <c:numRef>
              <c:f>'Chi-Sq'!$C$17:$C$66</c:f>
              <c:numCache>
                <c:formatCode>General</c:formatCode>
                <c:ptCount val="50"/>
                <c:pt idx="0">
                  <c:v>0.43939128946772238</c:v>
                </c:pt>
                <c:pt idx="1">
                  <c:v>0.24197072451914331</c:v>
                </c:pt>
                <c:pt idx="2">
                  <c:v>0.15386632280545529</c:v>
                </c:pt>
                <c:pt idx="3">
                  <c:v>0.10377687435514865</c:v>
                </c:pt>
                <c:pt idx="4">
                  <c:v>7.2288957067272508E-2</c:v>
                </c:pt>
                <c:pt idx="5">
                  <c:v>5.1393443267923097E-2</c:v>
                </c:pt>
                <c:pt idx="6">
                  <c:v>3.705618452374812E-2</c:v>
                </c:pt>
                <c:pt idx="7">
                  <c:v>2.6995483256594024E-2</c:v>
                </c:pt>
                <c:pt idx="8">
                  <c:v>1.9821714870604894E-2</c:v>
                </c:pt>
                <c:pt idx="9">
                  <c:v>1.4644982561926485E-2</c:v>
                </c:pt>
                <c:pt idx="10">
                  <c:v>1.087474033728314E-2</c:v>
                </c:pt>
                <c:pt idx="11">
                  <c:v>8.1086955549402439E-3</c:v>
                </c:pt>
                <c:pt idx="12">
                  <c:v>6.0673119025767344E-3</c:v>
                </c:pt>
                <c:pt idx="13">
                  <c:v>4.5533429216401732E-3</c:v>
                </c:pt>
                <c:pt idx="14">
                  <c:v>3.4259035101394828E-3</c:v>
                </c:pt>
                <c:pt idx="15">
                  <c:v>2.5833731692615066E-3</c:v>
                </c:pt>
                <c:pt idx="16">
                  <c:v>1.9518617565225447E-3</c:v>
                </c:pt>
                <c:pt idx="17">
                  <c:v>1.4772828039793355E-3</c:v>
                </c:pt>
                <c:pt idx="18">
                  <c:v>1.1198232344578794E-3</c:v>
                </c:pt>
                <c:pt idx="19">
                  <c:v>8.5003666025203423E-4</c:v>
                </c:pt>
                <c:pt idx="20">
                  <c:v>6.4605484281517439E-4</c:v>
                </c:pt>
                <c:pt idx="21">
                  <c:v>4.9157985005762153E-4</c:v>
                </c:pt>
                <c:pt idx="22">
                  <c:v>3.744276176879148E-4</c:v>
                </c:pt>
                <c:pt idx="23">
                  <c:v>2.85464791675855E-4</c:v>
                </c:pt>
                <c:pt idx="24">
                  <c:v>2.17828423035271E-4</c:v>
                </c:pt>
                <c:pt idx="25">
                  <c:v>1.6635055620285903E-4</c:v>
                </c:pt>
                <c:pt idx="26">
                  <c:v>1.271321608565569E-4</c:v>
                </c:pt>
                <c:pt idx="27">
                  <c:v>9.7226505045914372E-5</c:v>
                </c:pt>
                <c:pt idx="28">
                  <c:v>7.4403106875490743E-5</c:v>
                </c:pt>
                <c:pt idx="29">
                  <c:v>5.6971259661427418E-5</c:v>
                </c:pt>
                <c:pt idx="30">
                  <c:v>4.3647762144189506E-5</c:v>
                </c:pt>
                <c:pt idx="31">
                  <c:v>3.3457556441221335E-5</c:v>
                </c:pt>
                <c:pt idx="32">
                  <c:v>2.5658934493672183E-5</c:v>
                </c:pt>
                <c:pt idx="33">
                  <c:v>1.9687134527509615E-5</c:v>
                </c:pt>
                <c:pt idx="34">
                  <c:v>1.5111734848619759E-5</c:v>
                </c:pt>
                <c:pt idx="35">
                  <c:v>1.1604420995562321E-5</c:v>
                </c:pt>
                <c:pt idx="36">
                  <c:v>8.9145668075170811E-6</c:v>
                </c:pt>
                <c:pt idx="37">
                  <c:v>6.8507116348430993E-6</c:v>
                </c:pt>
                <c:pt idx="38">
                  <c:v>5.2664936100556295E-6</c:v>
                </c:pt>
                <c:pt idx="39">
                  <c:v>4.049955478044558E-6</c:v>
                </c:pt>
                <c:pt idx="40">
                  <c:v>3.1154063142276254E-6</c:v>
                </c:pt>
                <c:pt idx="41">
                  <c:v>2.3972225728510397E-6</c:v>
                </c:pt>
                <c:pt idx="42">
                  <c:v>1.8451222900996885E-6</c:v>
                </c:pt>
                <c:pt idx="43">
                  <c:v>1.4205594857744214E-6</c:v>
                </c:pt>
                <c:pt idx="44">
                  <c:v>1.0939711911524848E-6</c:v>
                </c:pt>
                <c:pt idx="45">
                  <c:v>8.4267402248654239E-7</c:v>
                </c:pt>
                <c:pt idx="46">
                  <c:v>6.4925600080124926E-7</c:v>
                </c:pt>
                <c:pt idx="47">
                  <c:v>5.0034626491685239E-7</c:v>
                </c:pt>
                <c:pt idx="48">
                  <c:v>3.8567334124177013E-7</c:v>
                </c:pt>
                <c:pt idx="49">
                  <c:v>2.9734390294685955E-7</c:v>
                </c:pt>
              </c:numCache>
            </c:numRef>
          </c:val>
        </c:ser>
        <c:ser>
          <c:idx val="1"/>
          <c:order val="1"/>
          <c:tx>
            <c:v>df = 5</c:v>
          </c:tx>
          <c:marker>
            <c:symbol val="none"/>
          </c:marker>
          <c:cat>
            <c:numRef>
              <c:f>'Chi-Sq'!$B$17:$B$66</c:f>
              <c:numCache>
                <c:formatCode>0.0</c:formatCode>
                <c:ptCount val="5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</c:numCache>
            </c:numRef>
          </c:cat>
          <c:val>
            <c:numRef>
              <c:f>'Chi-Sq'!$D$17:$D$66</c:f>
              <c:numCache>
                <c:formatCode>General</c:formatCode>
                <c:ptCount val="50"/>
                <c:pt idx="0">
                  <c:v>3.661594078897687E-2</c:v>
                </c:pt>
                <c:pt idx="1">
                  <c:v>8.065690817304777E-2</c:v>
                </c:pt>
                <c:pt idx="2">
                  <c:v>0.11539974210409143</c:v>
                </c:pt>
                <c:pt idx="3">
                  <c:v>0.1383691658068649</c:v>
                </c:pt>
                <c:pt idx="4">
                  <c:v>0.15060199389015105</c:v>
                </c:pt>
                <c:pt idx="5">
                  <c:v>0.15418032980376928</c:v>
                </c:pt>
                <c:pt idx="6">
                  <c:v>0.15131275347197151</c:v>
                </c:pt>
                <c:pt idx="7">
                  <c:v>0.14397591070183474</c:v>
                </c:pt>
                <c:pt idx="8">
                  <c:v>0.13379657537658299</c:v>
                </c:pt>
                <c:pt idx="9">
                  <c:v>0.12204152134938735</c:v>
                </c:pt>
                <c:pt idx="10">
                  <c:v>0.10965363173427169</c:v>
                </c:pt>
                <c:pt idx="11">
                  <c:v>9.7304346659282934E-2</c:v>
                </c:pt>
                <c:pt idx="12">
                  <c:v>8.544797596128903E-2</c:v>
                </c:pt>
                <c:pt idx="13">
                  <c:v>7.4371267720122813E-2</c:v>
                </c:pt>
                <c:pt idx="14">
                  <c:v>6.4235690815115279E-2</c:v>
                </c:pt>
                <c:pt idx="15">
                  <c:v>5.511196094424544E-2</c:v>
                </c:pt>
                <c:pt idx="16">
                  <c:v>4.7007337302917958E-2</c:v>
                </c:pt>
                <c:pt idx="17">
                  <c:v>3.988663570744206E-2</c:v>
                </c:pt>
                <c:pt idx="18">
                  <c:v>3.3688015636607886E-2</c:v>
                </c:pt>
                <c:pt idx="19">
                  <c:v>2.8334555341734478E-2</c:v>
                </c:pt>
                <c:pt idx="20">
                  <c:v>2.3742515473457661E-2</c:v>
                </c:pt>
                <c:pt idx="21">
                  <c:v>1.9827053952324078E-2</c:v>
                </c:pt>
                <c:pt idx="22">
                  <c:v>1.650601747974224E-2</c:v>
                </c:pt>
                <c:pt idx="23">
                  <c:v>1.3702310000441044E-2</c:v>
                </c:pt>
                <c:pt idx="24">
                  <c:v>1.1345230366420366E-2</c:v>
                </c:pt>
                <c:pt idx="25">
                  <c:v>9.3710813327610581E-3</c:v>
                </c:pt>
                <c:pt idx="26">
                  <c:v>7.7232787720358312E-3</c:v>
                </c:pt>
                <c:pt idx="27">
                  <c:v>6.3521316629997363E-3</c:v>
                </c:pt>
                <c:pt idx="28">
                  <c:v>5.214417740190643E-3</c:v>
                </c:pt>
                <c:pt idx="29">
                  <c:v>4.2728444746070555E-3</c:v>
                </c:pt>
                <c:pt idx="30">
                  <c:v>3.4954582850471741E-3</c:v>
                </c:pt>
                <c:pt idx="31">
                  <c:v>2.8550448163175528E-3</c:v>
                </c:pt>
                <c:pt idx="32">
                  <c:v>2.328548305300751E-3</c:v>
                </c:pt>
                <c:pt idx="33">
                  <c:v>1.8965272928167607E-3</c:v>
                </c:pt>
                <c:pt idx="34">
                  <c:v>1.5426562657966016E-3</c:v>
                </c:pt>
                <c:pt idx="35">
                  <c:v>1.2532774675207297E-3</c:v>
                </c:pt>
                <c:pt idx="36">
                  <c:v>1.0170034966242405E-3</c:v>
                </c:pt>
                <c:pt idx="37">
                  <c:v>8.2436896672611931E-4</c:v>
                </c:pt>
                <c:pt idx="38">
                  <c:v>6.6752806507455113E-4</c:v>
                </c:pt>
                <c:pt idx="39">
                  <c:v>5.3999406373927451E-4</c:v>
                </c:pt>
                <c:pt idx="40">
                  <c:v>4.364165011847201E-4</c:v>
                </c:pt>
                <c:pt idx="41">
                  <c:v>3.5239171820910289E-4</c:v>
                </c:pt>
                <c:pt idx="42">
                  <c:v>2.843025928661937E-4</c:v>
                </c:pt>
                <c:pt idx="43">
                  <c:v>2.2918359703827341E-4</c:v>
                </c:pt>
                <c:pt idx="44">
                  <c:v>1.8460763850698179E-4</c:v>
                </c:pt>
                <c:pt idx="45">
                  <c:v>1.4859151929846027E-4</c:v>
                </c:pt>
                <c:pt idx="46">
                  <c:v>1.195172088141633E-4</c:v>
                </c:pt>
                <c:pt idx="47">
                  <c:v>9.6066482864035687E-5</c:v>
                </c:pt>
                <c:pt idx="48">
                  <c:v>7.7166807693457539E-5</c:v>
                </c:pt>
                <c:pt idx="49">
                  <c:v>6.1946646447262371E-5</c:v>
                </c:pt>
              </c:numCache>
            </c:numRef>
          </c:val>
        </c:ser>
        <c:ser>
          <c:idx val="2"/>
          <c:order val="2"/>
          <c:tx>
            <c:v>df = 10</c:v>
          </c:tx>
          <c:marker>
            <c:symbol val="none"/>
          </c:marker>
          <c:cat>
            <c:numRef>
              <c:f>'Chi-Sq'!$B$17:$B$66</c:f>
              <c:numCache>
                <c:formatCode>0.0</c:formatCode>
                <c:ptCount val="5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</c:numCache>
            </c:numRef>
          </c:cat>
          <c:val>
            <c:numRef>
              <c:f>'Chi-Sq'!$E$17:$E$66</c:f>
              <c:numCache>
                <c:formatCode>General</c:formatCode>
                <c:ptCount val="50"/>
                <c:pt idx="0">
                  <c:v>6.3378969976514082E-5</c:v>
                </c:pt>
                <c:pt idx="1">
                  <c:v>7.8975346316749158E-4</c:v>
                </c:pt>
                <c:pt idx="2">
                  <c:v>3.1137443662127436E-3</c:v>
                </c:pt>
                <c:pt idx="3">
                  <c:v>7.6641550244050498E-3</c:v>
                </c:pt>
                <c:pt idx="4">
                  <c:v>1.4572387535613513E-2</c:v>
                </c:pt>
                <c:pt idx="5">
                  <c:v>2.3533259078154716E-2</c:v>
                </c:pt>
                <c:pt idx="6">
                  <c:v>3.3954365089885967E-2</c:v>
                </c:pt>
                <c:pt idx="7">
                  <c:v>4.5111761078870903E-2</c:v>
                </c:pt>
                <c:pt idx="8">
                  <c:v>5.6276392606639976E-2</c:v>
                </c:pt>
                <c:pt idx="9">
                  <c:v>6.6800942890542656E-2</c:v>
                </c:pt>
                <c:pt idx="10">
                  <c:v>7.616925585346726E-2</c:v>
                </c:pt>
                <c:pt idx="11">
                  <c:v>8.4015677870770411E-2</c:v>
                </c:pt>
                <c:pt idx="12">
                  <c:v>9.0122896311996464E-2</c:v>
                </c:pt>
                <c:pt idx="13">
                  <c:v>9.4406142704409821E-2</c:v>
                </c:pt>
                <c:pt idx="14">
                  <c:v>9.6890127275428159E-2</c:v>
                </c:pt>
                <c:pt idx="15">
                  <c:v>9.7683407406582323E-2</c:v>
                </c:pt>
                <c:pt idx="16">
                  <c:v>9.6953375676556569E-2</c:v>
                </c:pt>
                <c:pt idx="17">
                  <c:v>9.4903810270062214E-2</c:v>
                </c:pt>
                <c:pt idx="18">
                  <c:v>9.1755987187978866E-2</c:v>
                </c:pt>
                <c:pt idx="19">
                  <c:v>8.773368488392537E-2</c:v>
                </c:pt>
                <c:pt idx="20">
                  <c:v>8.3051971499934485E-2</c:v>
                </c:pt>
                <c:pt idx="21">
                  <c:v>7.7909401862698457E-2</c:v>
                </c:pt>
                <c:pt idx="22">
                  <c:v>7.2483118560877427E-2</c:v>
                </c:pt>
                <c:pt idx="23">
                  <c:v>6.6926308769991699E-2</c:v>
                </c:pt>
                <c:pt idx="24">
                  <c:v>6.1367484290685968E-2</c:v>
                </c:pt>
                <c:pt idx="25">
                  <c:v>5.5911102591969346E-2</c:v>
                </c:pt>
                <c:pt idx="26">
                  <c:v>5.0639114302806203E-2</c:v>
                </c:pt>
                <c:pt idx="27">
                  <c:v>4.561309581867487E-2</c:v>
                </c:pt>
                <c:pt idx="28">
                  <c:v>4.0876696933182535E-2</c:v>
                </c:pt>
                <c:pt idx="29">
                  <c:v>3.6458198227518335E-2</c:v>
                </c:pt>
                <c:pt idx="30">
                  <c:v>3.2373029119059205E-2</c:v>
                </c:pt>
                <c:pt idx="31">
                  <c:v>2.8626144247681014E-2</c:v>
                </c:pt>
                <c:pt idx="32">
                  <c:v>2.5214193484191967E-2</c:v>
                </c:pt>
                <c:pt idx="33">
                  <c:v>2.2127450062679709E-2</c:v>
                </c:pt>
                <c:pt idx="34">
                  <c:v>1.9351483235825539E-2</c:v>
                </c:pt>
                <c:pt idx="35">
                  <c:v>1.686857759609801E-2</c:v>
                </c:pt>
                <c:pt idx="36">
                  <c:v>1.4658911941653285E-2</c:v>
                </c:pt>
                <c:pt idx="37">
                  <c:v>1.2701517347389361E-2</c:v>
                </c:pt>
                <c:pt idx="38">
                  <c:v>1.0975037854508863E-2</c:v>
                </c:pt>
                <c:pt idx="39">
                  <c:v>9.4583187005176789E-3</c:v>
                </c:pt>
                <c:pt idx="40">
                  <c:v>8.1308469206181136E-3</c:v>
                </c:pt>
                <c:pt idx="41">
                  <c:v>6.9730679765471074E-3</c:v>
                </c:pt>
                <c:pt idx="42">
                  <c:v>5.9666002114390753E-3</c:v>
                </c:pt>
                <c:pt idx="43">
                  <c:v>5.0943666931247238E-3</c:v>
                </c:pt>
                <c:pt idx="44">
                  <c:v>4.3406616164315629E-3</c:v>
                </c:pt>
                <c:pt idx="45">
                  <c:v>3.691166045227106E-3</c:v>
                </c:pt>
                <c:pt idx="46">
                  <c:v>3.1329254933363622E-3</c:v>
                </c:pt>
                <c:pt idx="47">
                  <c:v>2.6542997366377869E-3</c:v>
                </c:pt>
                <c:pt idx="48">
                  <c:v>2.2448933534556241E-3</c:v>
                </c:pt>
                <c:pt idx="49">
                  <c:v>1.8954738220614987E-3</c:v>
                </c:pt>
              </c:numCache>
            </c:numRef>
          </c:val>
        </c:ser>
        <c:ser>
          <c:idx val="3"/>
          <c:order val="3"/>
          <c:tx>
            <c:v>df = 30</c:v>
          </c:tx>
          <c:marker>
            <c:symbol val="none"/>
          </c:marker>
          <c:cat>
            <c:numRef>
              <c:f>'Chi-Sq'!$B$17:$B$66</c:f>
              <c:numCache>
                <c:formatCode>0.0</c:formatCode>
                <c:ptCount val="50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  <c:pt idx="6">
                  <c:v>3.5</c:v>
                </c:pt>
                <c:pt idx="7">
                  <c:v>4</c:v>
                </c:pt>
                <c:pt idx="8">
                  <c:v>4.5</c:v>
                </c:pt>
                <c:pt idx="9">
                  <c:v>5</c:v>
                </c:pt>
                <c:pt idx="10">
                  <c:v>5.5</c:v>
                </c:pt>
                <c:pt idx="11">
                  <c:v>6</c:v>
                </c:pt>
                <c:pt idx="12">
                  <c:v>6.5</c:v>
                </c:pt>
                <c:pt idx="13">
                  <c:v>7</c:v>
                </c:pt>
                <c:pt idx="14">
                  <c:v>7.5</c:v>
                </c:pt>
                <c:pt idx="15">
                  <c:v>8</c:v>
                </c:pt>
                <c:pt idx="16">
                  <c:v>8.5</c:v>
                </c:pt>
                <c:pt idx="17">
                  <c:v>9</c:v>
                </c:pt>
                <c:pt idx="18">
                  <c:v>9.5</c:v>
                </c:pt>
                <c:pt idx="19">
                  <c:v>10</c:v>
                </c:pt>
                <c:pt idx="20">
                  <c:v>10.5</c:v>
                </c:pt>
                <c:pt idx="21">
                  <c:v>11</c:v>
                </c:pt>
                <c:pt idx="22">
                  <c:v>11.5</c:v>
                </c:pt>
                <c:pt idx="23">
                  <c:v>12</c:v>
                </c:pt>
                <c:pt idx="24">
                  <c:v>12.5</c:v>
                </c:pt>
                <c:pt idx="25">
                  <c:v>13</c:v>
                </c:pt>
                <c:pt idx="26">
                  <c:v>13.5</c:v>
                </c:pt>
                <c:pt idx="27">
                  <c:v>14</c:v>
                </c:pt>
                <c:pt idx="28">
                  <c:v>14.5</c:v>
                </c:pt>
                <c:pt idx="29">
                  <c:v>15</c:v>
                </c:pt>
                <c:pt idx="30">
                  <c:v>15.5</c:v>
                </c:pt>
                <c:pt idx="31">
                  <c:v>16</c:v>
                </c:pt>
                <c:pt idx="32">
                  <c:v>16.5</c:v>
                </c:pt>
                <c:pt idx="33">
                  <c:v>17</c:v>
                </c:pt>
                <c:pt idx="34">
                  <c:v>17.5</c:v>
                </c:pt>
                <c:pt idx="35">
                  <c:v>18</c:v>
                </c:pt>
                <c:pt idx="36">
                  <c:v>18.5</c:v>
                </c:pt>
                <c:pt idx="37">
                  <c:v>19</c:v>
                </c:pt>
                <c:pt idx="38">
                  <c:v>19.5</c:v>
                </c:pt>
                <c:pt idx="39">
                  <c:v>20</c:v>
                </c:pt>
                <c:pt idx="40">
                  <c:v>20.5</c:v>
                </c:pt>
                <c:pt idx="41">
                  <c:v>21</c:v>
                </c:pt>
                <c:pt idx="42">
                  <c:v>21.5</c:v>
                </c:pt>
                <c:pt idx="43">
                  <c:v>22</c:v>
                </c:pt>
                <c:pt idx="44">
                  <c:v>22.5</c:v>
                </c:pt>
                <c:pt idx="45">
                  <c:v>23</c:v>
                </c:pt>
                <c:pt idx="46">
                  <c:v>23.5</c:v>
                </c:pt>
                <c:pt idx="47">
                  <c:v>24</c:v>
                </c:pt>
                <c:pt idx="48">
                  <c:v>24.5</c:v>
                </c:pt>
                <c:pt idx="49">
                  <c:v>25</c:v>
                </c:pt>
              </c:numCache>
            </c:numRef>
          </c:cat>
          <c:val>
            <c:numRef>
              <c:f>'Chi-Sq'!$F$17:$F$66</c:f>
              <c:numCache>
                <c:formatCode>General</c:formatCode>
                <c:ptCount val="50"/>
                <c:pt idx="0">
                  <c:v>1.6639801960298342E-20</c:v>
                </c:pt>
                <c:pt idx="1">
                  <c:v>2.1232174361531921E-16</c:v>
                </c:pt>
                <c:pt idx="2">
                  <c:v>4.8272354070163344E-14</c:v>
                </c:pt>
                <c:pt idx="3">
                  <c:v>2.1099257401562919E-12</c:v>
                </c:pt>
                <c:pt idx="4">
                  <c:v>3.7362311073962552E-11</c:v>
                </c:pt>
                <c:pt idx="5">
                  <c:v>3.7359199002323759E-10</c:v>
                </c:pt>
                <c:pt idx="6">
                  <c:v>2.5181348906610033E-9</c:v>
                </c:pt>
                <c:pt idx="7">
                  <c:v>1.2717232983276559E-8</c:v>
                </c:pt>
                <c:pt idx="8">
                  <c:v>5.1517445644036793E-8</c:v>
                </c:pt>
                <c:pt idx="9">
                  <c:v>1.7538222234784354E-7</c:v>
                </c:pt>
                <c:pt idx="10">
                  <c:v>5.1869198914969111E-7</c:v>
                </c:pt>
                <c:pt idx="11">
                  <c:v>1.365764351001487E-6</c:v>
                </c:pt>
                <c:pt idx="12">
                  <c:v>3.2619074885449244E-6</c:v>
                </c:pt>
                <c:pt idx="13">
                  <c:v>7.1694127937997707E-6</c:v>
                </c:pt>
                <c:pt idx="14">
                  <c:v>1.4668817092095687E-5</c:v>
                </c:pt>
                <c:pt idx="15">
                  <c:v>2.8198343930310267E-5</c:v>
                </c:pt>
                <c:pt idx="16">
                  <c:v>5.1316275125678344E-5</c:v>
                </c:pt>
                <c:pt idx="17">
                  <c:v>8.8963462304390755E-5</c:v>
                </c:pt>
                <c:pt idx="18">
                  <c:v>1.4769758627383015E-4</c:v>
                </c:pt>
                <c:pt idx="19">
                  <c:v>2.3586815148161517E-4</c:v>
                </c:pt>
                <c:pt idx="20">
                  <c:v>3.6370215133629049E-4</c:v>
                </c:pt>
                <c:pt idx="21">
                  <c:v>5.4327491774697504E-4</c:v>
                </c:pt>
                <c:pt idx="22">
                  <c:v>7.8834842985415631E-4</c:v>
                </c:pt>
                <c:pt idx="23">
                  <c:v>1.1140694526804355E-3</c:v>
                </c:pt>
                <c:pt idx="24">
                  <c:v>1.5365311998272934E-3</c:v>
                </c:pt>
                <c:pt idx="25">
                  <c:v>2.072213567712318E-3</c:v>
                </c:pt>
                <c:pt idx="26">
                  <c:v>2.7373272388784143E-3</c:v>
                </c:pt>
                <c:pt idx="27">
                  <c:v>3.5470951554621008E-3</c:v>
                </c:pt>
                <c:pt idx="28">
                  <c:v>4.5150103526663413E-3</c:v>
                </c:pt>
                <c:pt idx="29">
                  <c:v>5.6521115628370153E-3</c:v>
                </c:pt>
                <c:pt idx="30">
                  <c:v>6.9663173144708474E-3</c:v>
                </c:pt>
                <c:pt idx="31">
                  <c:v>8.461855697926424E-3</c:v>
                </c:pt>
                <c:pt idx="32">
                  <c:v>1.0138821013405646E-2</c:v>
                </c:pt>
                <c:pt idx="33">
                  <c:v>1.1992880770764573E-2</c:v>
                </c:pt>
                <c:pt idx="34">
                  <c:v>1.401514766618263E-2</c:v>
                </c:pt>
                <c:pt idx="35">
                  <c:v>1.6192221917503927E-2</c:v>
                </c:pt>
                <c:pt idx="36">
                  <c:v>1.8506400348280421E-2</c:v>
                </c:pt>
                <c:pt idx="37">
                  <c:v>2.0936040426336948E-2</c:v>
                </c:pt>
                <c:pt idx="38">
                  <c:v>2.3456060519275412E-2</c:v>
                </c:pt>
                <c:pt idx="39">
                  <c:v>2.6038552223013031E-2</c:v>
                </c:pt>
                <c:pt idx="40">
                  <c:v>2.8653476908645181E-2</c:v>
                </c:pt>
                <c:pt idx="41">
                  <c:v>3.1269416648032858E-2</c:v>
                </c:pt>
                <c:pt idx="42">
                  <c:v>3.3854349339468265E-2</c:v>
                </c:pt>
                <c:pt idx="43">
                  <c:v>3.6376418993475629E-2</c:v>
                </c:pt>
                <c:pt idx="44">
                  <c:v>3.880467452378384E-2</c:v>
                </c:pt>
                <c:pt idx="45">
                  <c:v>4.1109753749477083E-2</c:v>
                </c:pt>
                <c:pt idx="46">
                  <c:v>4.3264493364934244E-2</c:v>
                </c:pt>
                <c:pt idx="47">
                  <c:v>4.5244450091649076E-2</c:v>
                </c:pt>
                <c:pt idx="48">
                  <c:v>4.7028322827086293E-2</c:v>
                </c:pt>
                <c:pt idx="49">
                  <c:v>4.859827011828978E-2</c:v>
                </c:pt>
              </c:numCache>
            </c:numRef>
          </c:val>
        </c:ser>
        <c:marker val="1"/>
        <c:axId val="247622656"/>
        <c:axId val="247657216"/>
      </c:lineChart>
      <c:catAx>
        <c:axId val="247622656"/>
        <c:scaling>
          <c:orientation val="minMax"/>
        </c:scaling>
        <c:axPos val="b"/>
        <c:numFmt formatCode="0.0" sourceLinked="1"/>
        <c:tickLblPos val="nextTo"/>
        <c:crossAx val="247657216"/>
        <c:crosses val="autoZero"/>
        <c:auto val="1"/>
        <c:lblAlgn val="ctr"/>
        <c:lblOffset val="100"/>
        <c:tickLblSkip val="4"/>
        <c:tickMarkSkip val="4"/>
      </c:catAx>
      <c:valAx>
        <c:axId val="247657216"/>
        <c:scaling>
          <c:orientation val="minMax"/>
        </c:scaling>
        <c:axPos val="l"/>
        <c:majorGridlines/>
        <c:numFmt formatCode="#,##0.00" sourceLinked="0"/>
        <c:tickLblPos val="nextTo"/>
        <c:crossAx val="24762265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-1,5</c:v>
                </c:pt>
                <c:pt idx="2">
                  <c:v>-1</c:v>
                </c:pt>
                <c:pt idx="3">
                  <c:v>-0,5</c:v>
                </c:pt>
                <c:pt idx="4">
                  <c:v>0</c:v>
                </c:pt>
                <c:pt idx="5">
                  <c:v>0,5</c:v>
                </c:pt>
                <c:pt idx="6">
                  <c:v>1</c:v>
                </c:pt>
                <c:pt idx="7">
                  <c:v>1,5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axId val="246465664"/>
        <c:axId val="246467584"/>
      </c:barChart>
      <c:catAx>
        <c:axId val="2464656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</c:title>
        <c:tickLblPos val="nextTo"/>
        <c:crossAx val="246467584"/>
        <c:crosses val="autoZero"/>
        <c:auto val="1"/>
        <c:lblAlgn val="ctr"/>
        <c:lblOffset val="100"/>
      </c:catAx>
      <c:valAx>
        <c:axId val="24646758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646566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-1,5</c:v>
                </c:pt>
                <c:pt idx="2">
                  <c:v>-1</c:v>
                </c:pt>
                <c:pt idx="3">
                  <c:v>-0,5</c:v>
                </c:pt>
                <c:pt idx="4">
                  <c:v>0</c:v>
                </c:pt>
                <c:pt idx="5">
                  <c:v>0,5</c:v>
                </c:pt>
                <c:pt idx="6">
                  <c:v>1</c:v>
                </c:pt>
                <c:pt idx="7">
                  <c:v>1,5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axId val="246496256"/>
        <c:axId val="246514816"/>
      </c:barChart>
      <c:catAx>
        <c:axId val="2464962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</c:title>
        <c:tickLblPos val="nextTo"/>
        <c:crossAx val="246514816"/>
        <c:crosses val="autoZero"/>
        <c:auto val="1"/>
        <c:lblAlgn val="ctr"/>
        <c:lblOffset val="100"/>
      </c:catAx>
      <c:valAx>
        <c:axId val="24651481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649625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-1,5</c:v>
                </c:pt>
                <c:pt idx="2">
                  <c:v>-1</c:v>
                </c:pt>
                <c:pt idx="3">
                  <c:v>-0,5</c:v>
                </c:pt>
                <c:pt idx="4">
                  <c:v>0</c:v>
                </c:pt>
                <c:pt idx="5">
                  <c:v>0,5</c:v>
                </c:pt>
                <c:pt idx="6">
                  <c:v>1</c:v>
                </c:pt>
                <c:pt idx="7">
                  <c:v>1,5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axId val="246523008"/>
        <c:axId val="246524928"/>
      </c:barChart>
      <c:catAx>
        <c:axId val="2465230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</c:title>
        <c:tickLblPos val="nextTo"/>
        <c:crossAx val="246524928"/>
        <c:crosses val="autoZero"/>
        <c:auto val="1"/>
        <c:lblAlgn val="ctr"/>
        <c:lblOffset val="100"/>
      </c:catAx>
      <c:valAx>
        <c:axId val="24652492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652300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-1,5</c:v>
                </c:pt>
                <c:pt idx="2">
                  <c:v>-1</c:v>
                </c:pt>
                <c:pt idx="3">
                  <c:v>-0,5</c:v>
                </c:pt>
                <c:pt idx="4">
                  <c:v>0</c:v>
                </c:pt>
                <c:pt idx="5">
                  <c:v>0,5</c:v>
                </c:pt>
                <c:pt idx="6">
                  <c:v>1</c:v>
                </c:pt>
                <c:pt idx="7">
                  <c:v>1,5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axId val="247335936"/>
        <c:axId val="247354496"/>
      </c:barChart>
      <c:catAx>
        <c:axId val="247335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</c:title>
        <c:tickLblPos val="nextTo"/>
        <c:crossAx val="247354496"/>
        <c:crosses val="autoZero"/>
        <c:auto val="1"/>
        <c:lblAlgn val="ctr"/>
        <c:lblOffset val="100"/>
      </c:catAx>
      <c:valAx>
        <c:axId val="24735449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733593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-1,5</c:v>
                </c:pt>
                <c:pt idx="2">
                  <c:v>-1</c:v>
                </c:pt>
                <c:pt idx="3">
                  <c:v>-0,5</c:v>
                </c:pt>
                <c:pt idx="4">
                  <c:v>0</c:v>
                </c:pt>
                <c:pt idx="5">
                  <c:v>0,5</c:v>
                </c:pt>
                <c:pt idx="6">
                  <c:v>1</c:v>
                </c:pt>
                <c:pt idx="7">
                  <c:v>1,5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axId val="247383168"/>
        <c:axId val="247385088"/>
      </c:barChart>
      <c:catAx>
        <c:axId val="2473831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</c:title>
        <c:tickLblPos val="nextTo"/>
        <c:crossAx val="247385088"/>
        <c:crosses val="autoZero"/>
        <c:auto val="1"/>
        <c:lblAlgn val="ctr"/>
        <c:lblOffset val="100"/>
      </c:catAx>
      <c:valAx>
        <c:axId val="24738508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738316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-1,5</c:v>
                </c:pt>
                <c:pt idx="2">
                  <c:v>-1</c:v>
                </c:pt>
                <c:pt idx="3">
                  <c:v>-0,5</c:v>
                </c:pt>
                <c:pt idx="4">
                  <c:v>0</c:v>
                </c:pt>
                <c:pt idx="5">
                  <c:v>0,5</c:v>
                </c:pt>
                <c:pt idx="6">
                  <c:v>1</c:v>
                </c:pt>
                <c:pt idx="7">
                  <c:v>1,5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axId val="247483392"/>
        <c:axId val="247915648"/>
      </c:barChart>
      <c:catAx>
        <c:axId val="2474833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</c:title>
        <c:tickLblPos val="nextTo"/>
        <c:crossAx val="247915648"/>
        <c:crosses val="autoZero"/>
        <c:auto val="1"/>
        <c:lblAlgn val="ctr"/>
        <c:lblOffset val="100"/>
      </c:catAx>
      <c:valAx>
        <c:axId val="24791564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748339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-1,5</c:v>
                </c:pt>
                <c:pt idx="2">
                  <c:v>-1</c:v>
                </c:pt>
                <c:pt idx="3">
                  <c:v>-0,5</c:v>
                </c:pt>
                <c:pt idx="4">
                  <c:v>0</c:v>
                </c:pt>
                <c:pt idx="5">
                  <c:v>0,5</c:v>
                </c:pt>
                <c:pt idx="6">
                  <c:v>1</c:v>
                </c:pt>
                <c:pt idx="7">
                  <c:v>1,5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axId val="247940224"/>
        <c:axId val="247942144"/>
      </c:barChart>
      <c:catAx>
        <c:axId val="2479402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</c:title>
        <c:tickLblPos val="nextTo"/>
        <c:crossAx val="247942144"/>
        <c:crosses val="autoZero"/>
        <c:auto val="1"/>
        <c:lblAlgn val="ctr"/>
        <c:lblOffset val="100"/>
      </c:catAx>
      <c:valAx>
        <c:axId val="24794214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794022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'Norm Histogram'!$G$4:$G$13</c:f>
              <c:strCache>
                <c:ptCount val="10"/>
                <c:pt idx="0">
                  <c:v>-2</c:v>
                </c:pt>
                <c:pt idx="1">
                  <c:v>-1,5</c:v>
                </c:pt>
                <c:pt idx="2">
                  <c:v>-1</c:v>
                </c:pt>
                <c:pt idx="3">
                  <c:v>-0,5</c:v>
                </c:pt>
                <c:pt idx="4">
                  <c:v>0</c:v>
                </c:pt>
                <c:pt idx="5">
                  <c:v>0,5</c:v>
                </c:pt>
                <c:pt idx="6">
                  <c:v>1</c:v>
                </c:pt>
                <c:pt idx="7">
                  <c:v>1,5</c:v>
                </c:pt>
                <c:pt idx="8">
                  <c:v>2</c:v>
                </c:pt>
                <c:pt idx="9">
                  <c:v>More</c:v>
                </c:pt>
              </c:strCache>
            </c:strRef>
          </c:cat>
          <c:val>
            <c:numRef>
              <c:f>'Norm Histogram'!$H$4:$H$13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</c:ser>
        <c:axId val="247966720"/>
        <c:axId val="247985280"/>
      </c:barChart>
      <c:catAx>
        <c:axId val="2479667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</a:t>
                </a:r>
              </a:p>
            </c:rich>
          </c:tx>
        </c:title>
        <c:tickLblPos val="nextTo"/>
        <c:crossAx val="247985280"/>
        <c:crosses val="autoZero"/>
        <c:auto val="1"/>
        <c:lblAlgn val="ctr"/>
        <c:lblOffset val="100"/>
      </c:catAx>
      <c:valAx>
        <c:axId val="24798528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4796672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'Norm QQ Plot 1'!$D$10:$D$17</c:f>
              <c:numCache>
                <c:formatCode>General</c:formatCode>
                <c:ptCount val="8"/>
                <c:pt idx="0">
                  <c:v>-5.2</c:v>
                </c:pt>
                <c:pt idx="1">
                  <c:v>-3.9</c:v>
                </c:pt>
                <c:pt idx="2">
                  <c:v>-2.1</c:v>
                </c:pt>
                <c:pt idx="3">
                  <c:v>0.2</c:v>
                </c:pt>
                <c:pt idx="4">
                  <c:v>1.1000000000000001</c:v>
                </c:pt>
                <c:pt idx="5">
                  <c:v>2.7</c:v>
                </c:pt>
                <c:pt idx="6">
                  <c:v>4.9000000000000004</c:v>
                </c:pt>
                <c:pt idx="7">
                  <c:v>5.3</c:v>
                </c:pt>
              </c:numCache>
            </c:numRef>
          </c:xVal>
          <c:yVal>
            <c:numRef>
              <c:f>'Norm QQ Plot 1'!$E$10:$E$17</c:f>
              <c:numCache>
                <c:formatCode>General</c:formatCode>
                <c:ptCount val="8"/>
                <c:pt idx="0">
                  <c:v>-1.5341205443525459</c:v>
                </c:pt>
                <c:pt idx="1">
                  <c:v>-0.88714655901887607</c:v>
                </c:pt>
                <c:pt idx="2">
                  <c:v>-0.48877641111466941</c:v>
                </c:pt>
                <c:pt idx="3">
                  <c:v>-0.1573106846101707</c:v>
                </c:pt>
                <c:pt idx="4">
                  <c:v>0.1573106846101707</c:v>
                </c:pt>
                <c:pt idx="5">
                  <c:v>0.48877641111466941</c:v>
                </c:pt>
                <c:pt idx="6">
                  <c:v>0.88714655901887607</c:v>
                </c:pt>
                <c:pt idx="7">
                  <c:v>1.5341205443525465</c:v>
                </c:pt>
              </c:numCache>
            </c:numRef>
          </c:yVal>
        </c:ser>
        <c:axId val="248264960"/>
        <c:axId val="248283520"/>
      </c:scatterChart>
      <c:valAx>
        <c:axId val="2482649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48283520"/>
        <c:crosses val="autoZero"/>
        <c:crossBetween val="midCat"/>
      </c:valAx>
      <c:valAx>
        <c:axId val="24828352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4826496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'Norm QQ Plot 2'!$D$10:$D$29</c:f>
              <c:numCache>
                <c:formatCode>General</c:formatCode>
                <c:ptCount val="20"/>
                <c:pt idx="0">
                  <c:v>4</c:v>
                </c:pt>
                <c:pt idx="1">
                  <c:v>4.7</c:v>
                </c:pt>
                <c:pt idx="2">
                  <c:v>4.9000000000000004</c:v>
                </c:pt>
                <c:pt idx="3">
                  <c:v>5</c:v>
                </c:pt>
                <c:pt idx="4">
                  <c:v>5</c:v>
                </c:pt>
                <c:pt idx="5">
                  <c:v>5.4</c:v>
                </c:pt>
                <c:pt idx="6">
                  <c:v>5.5</c:v>
                </c:pt>
                <c:pt idx="7">
                  <c:v>6.1</c:v>
                </c:pt>
                <c:pt idx="8">
                  <c:v>6.3</c:v>
                </c:pt>
                <c:pt idx="9">
                  <c:v>6.8</c:v>
                </c:pt>
                <c:pt idx="10">
                  <c:v>7.1</c:v>
                </c:pt>
                <c:pt idx="11">
                  <c:v>8</c:v>
                </c:pt>
                <c:pt idx="12">
                  <c:v>8.8000000000000007</c:v>
                </c:pt>
                <c:pt idx="13">
                  <c:v>9.6999999999999993</c:v>
                </c:pt>
                <c:pt idx="14">
                  <c:v>9.8000000000000007</c:v>
                </c:pt>
                <c:pt idx="15">
                  <c:v>10.1</c:v>
                </c:pt>
                <c:pt idx="16">
                  <c:v>10.6</c:v>
                </c:pt>
                <c:pt idx="17">
                  <c:v>10.7</c:v>
                </c:pt>
                <c:pt idx="18">
                  <c:v>10.8</c:v>
                </c:pt>
                <c:pt idx="19">
                  <c:v>11.7</c:v>
                </c:pt>
              </c:numCache>
            </c:numRef>
          </c:xVal>
          <c:yVal>
            <c:numRef>
              <c:f>'Norm QQ Plot 2'!$E$10:$E$29</c:f>
              <c:numCache>
                <c:formatCode>General</c:formatCode>
                <c:ptCount val="20"/>
                <c:pt idx="0">
                  <c:v>-1.9599639845400538</c:v>
                </c:pt>
                <c:pt idx="1">
                  <c:v>-1.4395314709384572</c:v>
                </c:pt>
                <c:pt idx="2">
                  <c:v>-1.1503493803760083</c:v>
                </c:pt>
                <c:pt idx="3">
                  <c:v>-0.93458929107347943</c:v>
                </c:pt>
                <c:pt idx="4">
                  <c:v>-0.75541502636046909</c:v>
                </c:pt>
                <c:pt idx="5">
                  <c:v>-0.59776012604247841</c:v>
                </c:pt>
                <c:pt idx="6">
                  <c:v>-0.45376219016987951</c:v>
                </c:pt>
                <c:pt idx="7">
                  <c:v>-0.3186393639643752</c:v>
                </c:pt>
                <c:pt idx="8">
                  <c:v>-0.18911842627279254</c:v>
                </c:pt>
                <c:pt idx="9">
                  <c:v>-6.2706777943213846E-2</c:v>
                </c:pt>
                <c:pt idx="10">
                  <c:v>6.2706777943213846E-2</c:v>
                </c:pt>
                <c:pt idx="11">
                  <c:v>0.18911842627279243</c:v>
                </c:pt>
                <c:pt idx="12">
                  <c:v>0.3186393639643752</c:v>
                </c:pt>
                <c:pt idx="13">
                  <c:v>0.45376219016987968</c:v>
                </c:pt>
                <c:pt idx="14">
                  <c:v>0.59776012604247841</c:v>
                </c:pt>
                <c:pt idx="15">
                  <c:v>0.75541502636046909</c:v>
                </c:pt>
                <c:pt idx="16">
                  <c:v>0.9345892910734801</c:v>
                </c:pt>
                <c:pt idx="17">
                  <c:v>1.1503493803760083</c:v>
                </c:pt>
                <c:pt idx="18">
                  <c:v>1.4395314709384563</c:v>
                </c:pt>
                <c:pt idx="19">
                  <c:v>1.9599639845400536</c:v>
                </c:pt>
              </c:numCache>
            </c:numRef>
          </c:yVal>
        </c:ser>
        <c:axId val="248357632"/>
        <c:axId val="248359552"/>
      </c:scatterChart>
      <c:valAx>
        <c:axId val="248357632"/>
        <c:scaling>
          <c:orientation val="minMax"/>
          <c:max val="12"/>
          <c:min val="4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48359552"/>
        <c:crosses val="autoZero"/>
        <c:crossBetween val="midCat"/>
      </c:valAx>
      <c:valAx>
        <c:axId val="248359552"/>
        <c:scaling>
          <c:orientation val="minMax"/>
          <c:max val="2"/>
          <c:min val="-2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4835763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'Norm Box Plot'!$C$4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'Norm Box Plot'!$D$3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'Norm Box Plot'!$D$4</c:f>
              <c:numCache>
                <c:formatCode>0.0</c:formatCode>
                <c:ptCount val="1"/>
                <c:pt idx="0">
                  <c:v>4</c:v>
                </c:pt>
              </c:numCache>
            </c:numRef>
          </c:val>
        </c:ser>
        <c:ser>
          <c:idx val="1"/>
          <c:order val="1"/>
          <c:tx>
            <c:strRef>
              <c:f>'Norm Box Plot'!$C$5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'Norm Box Plot'!$D$3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'Norm Box Plot'!$D$5</c:f>
              <c:numCache>
                <c:formatCode>0.0</c:formatCode>
                <c:ptCount val="1"/>
                <c:pt idx="0">
                  <c:v>1.3000000000000007</c:v>
                </c:pt>
              </c:numCache>
            </c:numRef>
          </c:val>
        </c:ser>
        <c:ser>
          <c:idx val="2"/>
          <c:order val="2"/>
          <c:tx>
            <c:strRef>
              <c:f>'Norm Box Plot'!$C$6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'Norm Box Plot'!$D$3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'Norm Box Plot'!$D$6</c:f>
              <c:numCache>
                <c:formatCode>0.0</c:formatCode>
                <c:ptCount val="1"/>
                <c:pt idx="0">
                  <c:v>1.6499999999999986</c:v>
                </c:pt>
              </c:numCache>
            </c:numRef>
          </c:val>
        </c:ser>
        <c:ser>
          <c:idx val="3"/>
          <c:order val="3"/>
          <c:tx>
            <c:strRef>
              <c:f>'Norm Box Plot'!$C$7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'Norm Box Plot'!$D$8</c:f>
                <c:numCache>
                  <c:formatCode>General</c:formatCode>
                  <c:ptCount val="1"/>
                  <c:pt idx="0">
                    <c:v>1.8249999999999993</c:v>
                  </c:pt>
                </c:numCache>
              </c:numRef>
            </c:plus>
          </c:errBars>
          <c:cat>
            <c:strRef>
              <c:f>'Norm Box Plot'!$D$3</c:f>
              <c:strCache>
                <c:ptCount val="1"/>
                <c:pt idx="0">
                  <c:v>Data</c:v>
                </c:pt>
              </c:strCache>
            </c:strRef>
          </c:cat>
          <c:val>
            <c:numRef>
              <c:f>'Norm Box Plot'!$D$7</c:f>
              <c:numCache>
                <c:formatCode>0.0</c:formatCode>
                <c:ptCount val="1"/>
                <c:pt idx="0">
                  <c:v>2.9250000000000007</c:v>
                </c:pt>
              </c:numCache>
            </c:numRef>
          </c:val>
        </c:ser>
        <c:overlap val="100"/>
        <c:axId val="248424320"/>
        <c:axId val="248425856"/>
      </c:barChart>
      <c:catAx>
        <c:axId val="248424320"/>
        <c:scaling>
          <c:orientation val="minMax"/>
        </c:scaling>
        <c:axPos val="b"/>
        <c:tickLblPos val="nextTo"/>
        <c:crossAx val="248425856"/>
        <c:crosses val="autoZero"/>
        <c:auto val="1"/>
        <c:lblAlgn val="ctr"/>
        <c:lblOffset val="100"/>
      </c:catAx>
      <c:valAx>
        <c:axId val="248425856"/>
        <c:scaling>
          <c:orientation val="minMax"/>
        </c:scaling>
        <c:axPos val="l"/>
        <c:majorGridlines/>
        <c:numFmt formatCode="0.0" sourceLinked="1"/>
        <c:tickLblPos val="nextTo"/>
        <c:crossAx val="24842432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 - Log Transform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'Log Trans'!$D$31:$D$41</c:f>
              <c:numCache>
                <c:formatCode>General</c:formatCode>
                <c:ptCount val="11"/>
                <c:pt idx="0">
                  <c:v>1.5440680443502757</c:v>
                </c:pt>
                <c:pt idx="1">
                  <c:v>1.8061799739838871</c:v>
                </c:pt>
                <c:pt idx="2">
                  <c:v>1.8450980400142569</c:v>
                </c:pt>
                <c:pt idx="3">
                  <c:v>1.968482948553935</c:v>
                </c:pt>
                <c:pt idx="4">
                  <c:v>1.9777236052888478</c:v>
                </c:pt>
                <c:pt idx="5">
                  <c:v>2</c:v>
                </c:pt>
                <c:pt idx="6">
                  <c:v>2.0413926851582249</c:v>
                </c:pt>
                <c:pt idx="7">
                  <c:v>2.0606978403536118</c:v>
                </c:pt>
                <c:pt idx="8">
                  <c:v>2.1461280356782382</c:v>
                </c:pt>
                <c:pt idx="9">
                  <c:v>2.3010299956639813</c:v>
                </c:pt>
                <c:pt idx="10">
                  <c:v>2.3802112417116059</c:v>
                </c:pt>
              </c:numCache>
            </c:numRef>
          </c:xVal>
          <c:yVal>
            <c:numRef>
              <c:f>'Log Trans'!$E$31:$E$41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</c:ser>
        <c:axId val="248442240"/>
        <c:axId val="248473088"/>
      </c:scatterChart>
      <c:valAx>
        <c:axId val="248442240"/>
        <c:scaling>
          <c:orientation val="minMax"/>
          <c:min val="1.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48473088"/>
        <c:crosses val="autoZero"/>
        <c:crossBetween val="midCat"/>
      </c:valAx>
      <c:valAx>
        <c:axId val="24847308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4844224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 - Raw Data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'Log Trans'!$D$10:$D$20</c:f>
              <c:numCache>
                <c:formatCode>General</c:formatCode>
                <c:ptCount val="11"/>
                <c:pt idx="0">
                  <c:v>35</c:v>
                </c:pt>
                <c:pt idx="1">
                  <c:v>64</c:v>
                </c:pt>
                <c:pt idx="2">
                  <c:v>70</c:v>
                </c:pt>
                <c:pt idx="3">
                  <c:v>93</c:v>
                </c:pt>
                <c:pt idx="4">
                  <c:v>95</c:v>
                </c:pt>
                <c:pt idx="5">
                  <c:v>100</c:v>
                </c:pt>
                <c:pt idx="6">
                  <c:v>110</c:v>
                </c:pt>
                <c:pt idx="7">
                  <c:v>115</c:v>
                </c:pt>
                <c:pt idx="8">
                  <c:v>140</c:v>
                </c:pt>
                <c:pt idx="9">
                  <c:v>200</c:v>
                </c:pt>
                <c:pt idx="10">
                  <c:v>240</c:v>
                </c:pt>
              </c:numCache>
            </c:numRef>
          </c:xVal>
          <c:yVal>
            <c:numRef>
              <c:f>'Log Trans'!$E$10:$E$20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</c:ser>
        <c:axId val="247207808"/>
        <c:axId val="247214080"/>
      </c:scatterChart>
      <c:valAx>
        <c:axId val="247207808"/>
        <c:scaling>
          <c:orientation val="minMax"/>
          <c:max val="25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47214080"/>
        <c:crosses val="autoZero"/>
        <c:crossBetween val="midCat"/>
      </c:valAx>
      <c:valAx>
        <c:axId val="24721408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4720780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Weight Reduction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'Norm Chi-sq 1'!$B$3</c:f>
              <c:strCache>
                <c:ptCount val="1"/>
                <c:pt idx="0">
                  <c:v>Freq</c:v>
                </c:pt>
              </c:strCache>
            </c:strRef>
          </c:tx>
          <c:cat>
            <c:strRef>
              <c:f>'Norm Chi-sq 1'!$A$4:$A$13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over 8</c:v>
                </c:pt>
              </c:strCache>
            </c:strRef>
          </c:cat>
          <c:val>
            <c:numRef>
              <c:f>'Norm Chi-sq 1'!$B$4:$B$13</c:f>
              <c:numCache>
                <c:formatCode>General</c:formatCode>
                <c:ptCount val="10"/>
                <c:pt idx="0">
                  <c:v>4</c:v>
                </c:pt>
                <c:pt idx="1">
                  <c:v>5</c:v>
                </c:pt>
                <c:pt idx="2">
                  <c:v>10</c:v>
                </c:pt>
                <c:pt idx="3">
                  <c:v>13</c:v>
                </c:pt>
                <c:pt idx="4">
                  <c:v>18</c:v>
                </c:pt>
                <c:pt idx="5">
                  <c:v>16</c:v>
                </c:pt>
                <c:pt idx="6">
                  <c:v>9</c:v>
                </c:pt>
                <c:pt idx="7">
                  <c:v>9</c:v>
                </c:pt>
                <c:pt idx="8">
                  <c:v>4</c:v>
                </c:pt>
                <c:pt idx="9">
                  <c:v>2</c:v>
                </c:pt>
              </c:numCache>
            </c:numRef>
          </c:val>
        </c:ser>
        <c:axId val="247296000"/>
        <c:axId val="247297920"/>
      </c:barChart>
      <c:catAx>
        <c:axId val="2472960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 Loss (kg)</a:t>
                </a:r>
              </a:p>
            </c:rich>
          </c:tx>
        </c:title>
        <c:tickLblPos val="nextTo"/>
        <c:crossAx val="247297920"/>
        <c:crosses val="autoZero"/>
        <c:auto val="1"/>
        <c:lblAlgn val="ctr"/>
        <c:lblOffset val="100"/>
      </c:catAx>
      <c:valAx>
        <c:axId val="24729792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General" sourceLinked="1"/>
        <c:tickLblPos val="nextTo"/>
        <c:crossAx val="24729600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Weight Reduction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cat>
            <c:strRef>
              <c:f>'Norm Chi-sq 2'!$A$4:$A$13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over 8</c:v>
                </c:pt>
              </c:strCache>
            </c:strRef>
          </c:cat>
          <c:val>
            <c:numRef>
              <c:f>'Norm Chi-sq 2'!$B$4:$B$13</c:f>
              <c:numCache>
                <c:formatCode>General</c:formatCode>
                <c:ptCount val="10"/>
                <c:pt idx="0">
                  <c:v>4</c:v>
                </c:pt>
                <c:pt idx="1">
                  <c:v>5</c:v>
                </c:pt>
                <c:pt idx="2">
                  <c:v>10</c:v>
                </c:pt>
                <c:pt idx="3">
                  <c:v>13</c:v>
                </c:pt>
                <c:pt idx="4">
                  <c:v>18</c:v>
                </c:pt>
                <c:pt idx="5">
                  <c:v>16</c:v>
                </c:pt>
                <c:pt idx="6">
                  <c:v>9</c:v>
                </c:pt>
                <c:pt idx="7">
                  <c:v>9</c:v>
                </c:pt>
                <c:pt idx="8">
                  <c:v>4</c:v>
                </c:pt>
                <c:pt idx="9">
                  <c:v>2</c:v>
                </c:pt>
              </c:numCache>
            </c:numRef>
          </c:val>
        </c:ser>
        <c:axId val="247326592"/>
        <c:axId val="248127488"/>
      </c:barChart>
      <c:catAx>
        <c:axId val="2473265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 Loss (kg)</a:t>
                </a:r>
              </a:p>
            </c:rich>
          </c:tx>
        </c:title>
        <c:tickLblPos val="nextTo"/>
        <c:crossAx val="248127488"/>
        <c:crosses val="autoZero"/>
        <c:auto val="1"/>
        <c:lblAlgn val="ctr"/>
        <c:lblOffset val="100"/>
      </c:catAx>
      <c:valAx>
        <c:axId val="24812748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General" sourceLinked="1"/>
        <c:tickLblPos val="nextTo"/>
        <c:crossAx val="24732659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'KS 2'!$B$36:$B$50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'KS 2'!$C$36:$C$50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</c:ser>
        <c:axId val="248562432"/>
        <c:axId val="248564352"/>
      </c:scatterChart>
      <c:valAx>
        <c:axId val="2485624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48564352"/>
        <c:crosses val="autoZero"/>
        <c:crossBetween val="midCat"/>
      </c:valAx>
      <c:valAx>
        <c:axId val="24856435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4856243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'KS 2'!$P$34:$P$48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xVal>
          <c:yVal>
            <c:numRef>
              <c:f>'KS 2'!$Q$34:$Q$48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</c:ser>
        <c:axId val="248597504"/>
        <c:axId val="248611968"/>
      </c:scatterChart>
      <c:valAx>
        <c:axId val="2485975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48611968"/>
        <c:crosses val="autoZero"/>
        <c:crossBetween val="midCat"/>
      </c:valAx>
      <c:valAx>
        <c:axId val="24861196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4859750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</c:title>
    <c:plotArea>
      <c:layout/>
      <c:barChart>
        <c:barDir val="col"/>
        <c:grouping val="stacked"/>
        <c:ser>
          <c:idx val="0"/>
          <c:order val="0"/>
          <c:tx>
            <c:strRef>
              <c:f>'SW 4'!$J$6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'SW 4'!$K$5:$M$5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'SW 4'!$K$6:$M$6</c:f>
              <c:numCache>
                <c:formatCode>General</c:formatCode>
                <c:ptCount val="3"/>
                <c:pt idx="0">
                  <c:v>8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</c:ser>
        <c:ser>
          <c:idx val="1"/>
          <c:order val="1"/>
          <c:tx>
            <c:strRef>
              <c:f>'SW 4'!$J$7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'SW 4'!$K$5:$M$5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'SW 4'!$K$7:$M$7</c:f>
              <c:numCache>
                <c:formatCode>General</c:formatCode>
                <c:ptCount val="3"/>
                <c:pt idx="0">
                  <c:v>11</c:v>
                </c:pt>
                <c:pt idx="1">
                  <c:v>20</c:v>
                </c:pt>
                <c:pt idx="2">
                  <c:v>122</c:v>
                </c:pt>
              </c:numCache>
            </c:numRef>
          </c:val>
        </c:ser>
        <c:ser>
          <c:idx val="2"/>
          <c:order val="2"/>
          <c:tx>
            <c:strRef>
              <c:f>'SW 4'!$J$8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'SW 4'!$K$5:$M$5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'SW 4'!$K$8:$M$8</c:f>
              <c:numCache>
                <c:formatCode>General</c:formatCode>
                <c:ptCount val="3"/>
                <c:pt idx="0">
                  <c:v>16</c:v>
                </c:pt>
                <c:pt idx="1">
                  <c:v>4</c:v>
                </c:pt>
                <c:pt idx="2">
                  <c:v>20</c:v>
                </c:pt>
              </c:numCache>
            </c:numRef>
          </c:val>
        </c:ser>
        <c:ser>
          <c:idx val="3"/>
          <c:order val="3"/>
          <c:tx>
            <c:strRef>
              <c:f>'SW 4'!$J$9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'SW 4'!$K$10:$M$10</c:f>
                <c:numCache>
                  <c:formatCode>General</c:formatCode>
                  <c:ptCount val="3"/>
                  <c:pt idx="0">
                    <c:v>47</c:v>
                  </c:pt>
                  <c:pt idx="1">
                    <c:v>72</c:v>
                  </c:pt>
                  <c:pt idx="2">
                    <c:v>55</c:v>
                  </c:pt>
                </c:numCache>
              </c:numRef>
            </c:plus>
          </c:errBars>
          <c:cat>
            <c:strRef>
              <c:f>'SW 4'!$K$5:$M$5</c:f>
              <c:strCache>
                <c:ptCount val="3"/>
                <c:pt idx="0">
                  <c:v>Sample 1</c:v>
                </c:pt>
                <c:pt idx="1">
                  <c:v>Sample 2</c:v>
                </c:pt>
                <c:pt idx="2">
                  <c:v>Sample 3</c:v>
                </c:pt>
              </c:strCache>
            </c:strRef>
          </c:cat>
          <c:val>
            <c:numRef>
              <c:f>'SW 4'!$K$9:$M$9</c:f>
              <c:numCache>
                <c:formatCode>General</c:formatCode>
                <c:ptCount val="3"/>
                <c:pt idx="0">
                  <c:v>13</c:v>
                </c:pt>
                <c:pt idx="1">
                  <c:v>26</c:v>
                </c:pt>
                <c:pt idx="2">
                  <c:v>20</c:v>
                </c:pt>
              </c:numCache>
            </c:numRef>
          </c:val>
        </c:ser>
        <c:overlap val="100"/>
        <c:axId val="247988608"/>
        <c:axId val="247990144"/>
      </c:barChart>
      <c:catAx>
        <c:axId val="247988608"/>
        <c:scaling>
          <c:orientation val="minMax"/>
        </c:scaling>
        <c:axPos val="b"/>
        <c:tickLblPos val="nextTo"/>
        <c:crossAx val="247990144"/>
        <c:crosses val="autoZero"/>
        <c:auto val="1"/>
        <c:lblAlgn val="ctr"/>
        <c:lblOffset val="100"/>
      </c:catAx>
      <c:valAx>
        <c:axId val="247990144"/>
        <c:scaling>
          <c:orientation val="minMax"/>
        </c:scaling>
        <c:axPos val="l"/>
        <c:majorGridlines/>
        <c:numFmt formatCode="General" sourceLinked="1"/>
        <c:tickLblPos val="nextTo"/>
        <c:crossAx val="247988608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v>Frequency</c:v>
          </c:tx>
          <c:cat>
            <c:strRef>
              <c:f>'Sign Test'!$G$4:$G$9</c:f>
              <c:strCache>
                <c:ptCount val="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More</c:v>
                </c:pt>
              </c:strCache>
            </c:strRef>
          </c:cat>
          <c:val>
            <c:numRef>
              <c:f>'Sign Test'!$H$4:$H$9</c:f>
              <c:numCache>
                <c:formatCode>General</c:formatCode>
                <c:ptCount val="6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axId val="268187136"/>
        <c:axId val="268189056"/>
      </c:barChart>
      <c:catAx>
        <c:axId val="2681871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Bins</a:t>
                </a:r>
              </a:p>
            </c:rich>
          </c:tx>
        </c:title>
        <c:tickLblPos val="nextTo"/>
        <c:crossAx val="268189056"/>
        <c:crosses val="autoZero"/>
        <c:auto val="1"/>
        <c:lblAlgn val="ctr"/>
        <c:lblOffset val="100"/>
      </c:catAx>
      <c:valAx>
        <c:axId val="26818905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Frequency</a:t>
                </a:r>
              </a:p>
            </c:rich>
          </c:tx>
        </c:title>
        <c:numFmt formatCode="General" sourceLinked="1"/>
        <c:tickLblPos val="nextTo"/>
        <c:crossAx val="268187136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'Sign Test'!$Q$4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'Sign Test'!$R$3</c:f>
              <c:strCache>
                <c:ptCount val="1"/>
                <c:pt idx="0">
                  <c:v>Memory</c:v>
                </c:pt>
              </c:strCache>
            </c:strRef>
          </c:cat>
          <c:val>
            <c:numRef>
              <c:f>'Sign Test'!$R$4</c:f>
              <c:numCache>
                <c:formatCode>0</c:formatCode>
                <c:ptCount val="1"/>
                <c:pt idx="0">
                  <c:v>3</c:v>
                </c:pt>
              </c:numCache>
            </c:numRef>
          </c:val>
        </c:ser>
        <c:ser>
          <c:idx val="1"/>
          <c:order val="1"/>
          <c:tx>
            <c:strRef>
              <c:f>'Sign Test'!$Q$5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'Sign Test'!$R$3</c:f>
              <c:strCache>
                <c:ptCount val="1"/>
                <c:pt idx="0">
                  <c:v>Memory</c:v>
                </c:pt>
              </c:strCache>
            </c:strRef>
          </c:cat>
          <c:val>
            <c:numRef>
              <c:f>'Sign Test'!$R$5</c:f>
              <c:numCache>
                <c:formatCode>0</c:formatCode>
                <c:ptCount val="1"/>
                <c:pt idx="0">
                  <c:v>5.5</c:v>
                </c:pt>
              </c:numCache>
            </c:numRef>
          </c:val>
        </c:ser>
        <c:ser>
          <c:idx val="2"/>
          <c:order val="2"/>
          <c:tx>
            <c:strRef>
              <c:f>'Sign Test'!$Q$6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'Sign Test'!$R$3</c:f>
              <c:strCache>
                <c:ptCount val="1"/>
                <c:pt idx="0">
                  <c:v>Memory</c:v>
                </c:pt>
              </c:strCache>
            </c:strRef>
          </c:cat>
          <c:val>
            <c:numRef>
              <c:f>'Sign Test'!$R$6</c:f>
              <c:numCache>
                <c:formatCode>0</c:formatCode>
                <c:ptCount val="1"/>
                <c:pt idx="0">
                  <c:v>3.5</c:v>
                </c:pt>
              </c:numCache>
            </c:numRef>
          </c:val>
        </c:ser>
        <c:ser>
          <c:idx val="3"/>
          <c:order val="3"/>
          <c:tx>
            <c:strRef>
              <c:f>'Sign Test'!$Q$7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'Sign Test'!$R$8</c:f>
                <c:numCache>
                  <c:formatCode>General</c:formatCode>
                  <c:ptCount val="1"/>
                  <c:pt idx="0">
                    <c:v>27.5</c:v>
                  </c:pt>
                </c:numCache>
              </c:numRef>
            </c:plus>
          </c:errBars>
          <c:cat>
            <c:strRef>
              <c:f>'Sign Test'!$R$3</c:f>
              <c:strCache>
                <c:ptCount val="1"/>
                <c:pt idx="0">
                  <c:v>Memory</c:v>
                </c:pt>
              </c:strCache>
            </c:strRef>
          </c:cat>
          <c:val>
            <c:numRef>
              <c:f>'Sign Test'!$R$7</c:f>
              <c:numCache>
                <c:formatCode>0</c:formatCode>
                <c:ptCount val="1"/>
                <c:pt idx="0">
                  <c:v>10.5</c:v>
                </c:pt>
              </c:numCache>
            </c:numRef>
          </c:val>
        </c:ser>
        <c:overlap val="100"/>
        <c:axId val="248060160"/>
        <c:axId val="248061952"/>
      </c:barChart>
      <c:catAx>
        <c:axId val="248060160"/>
        <c:scaling>
          <c:orientation val="minMax"/>
        </c:scaling>
        <c:axPos val="b"/>
        <c:tickLblPos val="nextTo"/>
        <c:crossAx val="248061952"/>
        <c:crosses val="autoZero"/>
        <c:auto val="1"/>
        <c:lblAlgn val="ctr"/>
        <c:lblOffset val="100"/>
      </c:catAx>
      <c:valAx>
        <c:axId val="248061952"/>
        <c:scaling>
          <c:orientation val="minMax"/>
        </c:scaling>
        <c:axPos val="l"/>
        <c:majorGridlines/>
        <c:numFmt formatCode="0" sourceLinked="1"/>
        <c:tickLblPos val="nextTo"/>
        <c:crossAx val="24806016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'Sign Test'!$H$23:$H$37</c:f>
              <c:numCache>
                <c:formatCode>General</c:formatCode>
                <c:ptCount val="15"/>
                <c:pt idx="0">
                  <c:v>3</c:v>
                </c:pt>
                <c:pt idx="1">
                  <c:v>7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20</c:v>
                </c:pt>
                <c:pt idx="11">
                  <c:v>25</c:v>
                </c:pt>
                <c:pt idx="12">
                  <c:v>45</c:v>
                </c:pt>
                <c:pt idx="13">
                  <c:v>45</c:v>
                </c:pt>
                <c:pt idx="14">
                  <c:v>50</c:v>
                </c:pt>
              </c:numCache>
            </c:numRef>
          </c:xVal>
          <c:yVal>
            <c:numRef>
              <c:f>'Sign Test'!$I$23:$I$37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</c:ser>
        <c:axId val="248073600"/>
        <c:axId val="248083968"/>
      </c:scatterChart>
      <c:valAx>
        <c:axId val="2480736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48083968"/>
        <c:crosses val="autoZero"/>
        <c:crossBetween val="midCat"/>
      </c:valAx>
      <c:valAx>
        <c:axId val="24808396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4807360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 - Control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'Wilcoxon 1'!$E$10:$E$21</c:f>
              <c:numCache>
                <c:formatCode>General</c:formatCode>
                <c:ptCount val="12"/>
                <c:pt idx="0">
                  <c:v>4</c:v>
                </c:pt>
                <c:pt idx="1">
                  <c:v>9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17</c:v>
                </c:pt>
                <c:pt idx="8">
                  <c:v>18</c:v>
                </c:pt>
                <c:pt idx="9">
                  <c:v>26</c:v>
                </c:pt>
                <c:pt idx="10">
                  <c:v>31</c:v>
                </c:pt>
                <c:pt idx="11">
                  <c:v>34</c:v>
                </c:pt>
              </c:numCache>
            </c:numRef>
          </c:xVal>
          <c:yVal>
            <c:numRef>
              <c:f>'Wilcoxon 1'!$F$10:$F$21</c:f>
              <c:numCache>
                <c:formatCode>General</c:formatCode>
                <c:ptCount val="12"/>
                <c:pt idx="0">
                  <c:v>-1.7316643961222451</c:v>
                </c:pt>
                <c:pt idx="1">
                  <c:v>-1.1503493803760083</c:v>
                </c:pt>
                <c:pt idx="2">
                  <c:v>-0.81221780149991241</c:v>
                </c:pt>
                <c:pt idx="3">
                  <c:v>-0.54852228269809788</c:v>
                </c:pt>
                <c:pt idx="4">
                  <c:v>-0.3186393639643752</c:v>
                </c:pt>
                <c:pt idx="5">
                  <c:v>-0.10463345561407539</c:v>
                </c:pt>
                <c:pt idx="6">
                  <c:v>0.10463345561407525</c:v>
                </c:pt>
                <c:pt idx="7">
                  <c:v>0.3186393639643752</c:v>
                </c:pt>
                <c:pt idx="8">
                  <c:v>0.54852228269809822</c:v>
                </c:pt>
                <c:pt idx="9">
                  <c:v>0.81221780149991241</c:v>
                </c:pt>
                <c:pt idx="10">
                  <c:v>1.1503493803760083</c:v>
                </c:pt>
                <c:pt idx="11">
                  <c:v>1.7316643961222455</c:v>
                </c:pt>
              </c:numCache>
            </c:numRef>
          </c:yVal>
        </c:ser>
        <c:axId val="273090816"/>
        <c:axId val="273109376"/>
      </c:scatterChart>
      <c:valAx>
        <c:axId val="2730908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73109376"/>
        <c:crosses val="autoZero"/>
        <c:crossBetween val="midCat"/>
      </c:valAx>
      <c:valAx>
        <c:axId val="27310937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7309081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'Wilcoxon 1'!$I$25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'Wilcoxon 1'!$J$24:$K$24</c:f>
              <c:strCache>
                <c:ptCount val="2"/>
                <c:pt idx="0">
                  <c:v>Control</c:v>
                </c:pt>
                <c:pt idx="1">
                  <c:v>Drug</c:v>
                </c:pt>
              </c:strCache>
            </c:strRef>
          </c:cat>
          <c:val>
            <c:numRef>
              <c:f>'Wilcoxon 1'!$J$25:$K$25</c:f>
              <c:numCache>
                <c:formatCode>General</c:formatCode>
                <c:ptCount val="2"/>
                <c:pt idx="0">
                  <c:v>4</c:v>
                </c:pt>
                <c:pt idx="1">
                  <c:v>10</c:v>
                </c:pt>
              </c:numCache>
            </c:numRef>
          </c:val>
        </c:ser>
        <c:ser>
          <c:idx val="1"/>
          <c:order val="1"/>
          <c:tx>
            <c:strRef>
              <c:f>'Wilcoxon 1'!$I$26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'Wilcoxon 1'!$J$24:$K$24</c:f>
              <c:strCache>
                <c:ptCount val="2"/>
                <c:pt idx="0">
                  <c:v>Control</c:v>
                </c:pt>
                <c:pt idx="1">
                  <c:v>Drug</c:v>
                </c:pt>
              </c:strCache>
            </c:strRef>
          </c:cat>
          <c:val>
            <c:numRef>
              <c:f>'Wilcoxon 1'!$J$26:$K$26</c:f>
              <c:numCache>
                <c:formatCode>General</c:formatCode>
                <c:ptCount val="2"/>
                <c:pt idx="0">
                  <c:v>7.75</c:v>
                </c:pt>
                <c:pt idx="1">
                  <c:v>7</c:v>
                </c:pt>
              </c:numCache>
            </c:numRef>
          </c:val>
        </c:ser>
        <c:ser>
          <c:idx val="2"/>
          <c:order val="2"/>
          <c:tx>
            <c:strRef>
              <c:f>'Wilcoxon 1'!$I$27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'Wilcoxon 1'!$J$24:$K$24</c:f>
              <c:strCache>
                <c:ptCount val="2"/>
                <c:pt idx="0">
                  <c:v>Control</c:v>
                </c:pt>
                <c:pt idx="1">
                  <c:v>Drug</c:v>
                </c:pt>
              </c:strCache>
            </c:strRef>
          </c:cat>
          <c:val>
            <c:numRef>
              <c:f>'Wilcoxon 1'!$J$27:$K$27</c:f>
              <c:numCache>
                <c:formatCode>General</c:formatCode>
                <c:ptCount val="2"/>
                <c:pt idx="0">
                  <c:v>2.75</c:v>
                </c:pt>
                <c:pt idx="1">
                  <c:v>11.5</c:v>
                </c:pt>
              </c:numCache>
            </c:numRef>
          </c:val>
        </c:ser>
        <c:ser>
          <c:idx val="3"/>
          <c:order val="3"/>
          <c:tx>
            <c:strRef>
              <c:f>'Wilcoxon 1'!$I$28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'Wilcoxon 1'!$J$29:$K$29</c:f>
                <c:numCache>
                  <c:formatCode>General</c:formatCode>
                  <c:ptCount val="2"/>
                  <c:pt idx="0">
                    <c:v>14</c:v>
                  </c:pt>
                  <c:pt idx="1">
                    <c:v>4.75</c:v>
                  </c:pt>
                </c:numCache>
              </c:numRef>
            </c:plus>
          </c:errBars>
          <c:cat>
            <c:strRef>
              <c:f>'Wilcoxon 1'!$J$24:$K$24</c:f>
              <c:strCache>
                <c:ptCount val="2"/>
                <c:pt idx="0">
                  <c:v>Control</c:v>
                </c:pt>
                <c:pt idx="1">
                  <c:v>Drug</c:v>
                </c:pt>
              </c:strCache>
            </c:strRef>
          </c:cat>
          <c:val>
            <c:numRef>
              <c:f>'Wilcoxon 1'!$J$28:$K$28</c:f>
              <c:numCache>
                <c:formatCode>General</c:formatCode>
                <c:ptCount val="2"/>
                <c:pt idx="0">
                  <c:v>5.5</c:v>
                </c:pt>
                <c:pt idx="1">
                  <c:v>1.75</c:v>
                </c:pt>
              </c:numCache>
            </c:numRef>
          </c:val>
        </c:ser>
        <c:overlap val="100"/>
        <c:axId val="273144832"/>
        <c:axId val="273232640"/>
      </c:barChart>
      <c:catAx>
        <c:axId val="273144832"/>
        <c:scaling>
          <c:orientation val="minMax"/>
        </c:scaling>
        <c:axPos val="b"/>
        <c:tickLblPos val="nextTo"/>
        <c:crossAx val="273232640"/>
        <c:crosses val="autoZero"/>
        <c:auto val="1"/>
        <c:lblAlgn val="ctr"/>
        <c:lblOffset val="100"/>
      </c:catAx>
      <c:valAx>
        <c:axId val="273232640"/>
        <c:scaling>
          <c:orientation val="minMax"/>
        </c:scaling>
        <c:axPos val="l"/>
        <c:majorGridlines/>
        <c:numFmt formatCode="General" sourceLinked="1"/>
        <c:tickLblPos val="nextTo"/>
        <c:crossAx val="27314483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'Wilcox Pair 1'!$M$5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'Wilcox Pair 1'!$N$4</c:f>
              <c:strCache>
                <c:ptCount val="1"/>
                <c:pt idx="0">
                  <c:v>Diff</c:v>
                </c:pt>
              </c:strCache>
            </c:strRef>
          </c:cat>
          <c:val>
            <c:numRef>
              <c:f>'Wilcox Pair 1'!$N$5</c:f>
              <c:numCache>
                <c:formatCode>General</c:formatCode>
                <c:ptCount val="1"/>
                <c:pt idx="0">
                  <c:v>-10</c:v>
                </c:pt>
              </c:numCache>
            </c:numRef>
          </c:val>
        </c:ser>
        <c:ser>
          <c:idx val="1"/>
          <c:order val="1"/>
          <c:tx>
            <c:strRef>
              <c:f>'Wilcox Pair 1'!$M$6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'Wilcox Pair 1'!$N$4</c:f>
              <c:strCache>
                <c:ptCount val="1"/>
                <c:pt idx="0">
                  <c:v>Diff</c:v>
                </c:pt>
              </c:strCache>
            </c:strRef>
          </c:cat>
          <c:val>
            <c:numRef>
              <c:f>'Wilcox Pair 1'!$N$6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ser>
          <c:idx val="2"/>
          <c:order val="2"/>
          <c:tx>
            <c:strRef>
              <c:f>'Wilcox Pair 1'!$M$7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'Wilcox Pair 1'!$N$4</c:f>
              <c:strCache>
                <c:ptCount val="1"/>
                <c:pt idx="0">
                  <c:v>Diff</c:v>
                </c:pt>
              </c:strCache>
            </c:strRef>
          </c:cat>
          <c:val>
            <c:numRef>
              <c:f>'Wilcox Pair 1'!$N$7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</c:ser>
        <c:ser>
          <c:idx val="3"/>
          <c:order val="3"/>
          <c:tx>
            <c:strRef>
              <c:f>'Wilcox Pair 1'!$M$8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'Wilcox Pair 1'!$N$9</c:f>
                <c:numCache>
                  <c:formatCode>General</c:formatCode>
                  <c:ptCount val="1"/>
                  <c:pt idx="0">
                    <c:v>16.5</c:v>
                  </c:pt>
                </c:numCache>
              </c:numRef>
            </c:plus>
          </c:errBars>
          <c:cat>
            <c:strRef>
              <c:f>'Wilcox Pair 1'!$N$4</c:f>
              <c:strCache>
                <c:ptCount val="1"/>
                <c:pt idx="0">
                  <c:v>Diff</c:v>
                </c:pt>
              </c:strCache>
            </c:strRef>
          </c:cat>
          <c:val>
            <c:numRef>
              <c:f>'Wilcox Pair 1'!$N$8</c:f>
              <c:numCache>
                <c:formatCode>General</c:formatCode>
                <c:ptCount val="1"/>
                <c:pt idx="0">
                  <c:v>1.5</c:v>
                </c:pt>
              </c:numCache>
            </c:numRef>
          </c:val>
        </c:ser>
        <c:overlap val="100"/>
        <c:axId val="273060224"/>
        <c:axId val="273061760"/>
      </c:barChart>
      <c:catAx>
        <c:axId val="273060224"/>
        <c:scaling>
          <c:orientation val="minMax"/>
        </c:scaling>
        <c:axPos val="b"/>
        <c:tickLblPos val="nextTo"/>
        <c:crossAx val="273061760"/>
        <c:crosses val="autoZero"/>
        <c:auto val="1"/>
        <c:lblAlgn val="ctr"/>
        <c:lblOffset val="100"/>
      </c:catAx>
      <c:valAx>
        <c:axId val="273061760"/>
        <c:scaling>
          <c:orientation val="minMax"/>
          <c:min val="-5"/>
        </c:scaling>
        <c:axPos val="l"/>
        <c:majorGridlines/>
        <c:numFmt formatCode="General" sourceLinked="1"/>
        <c:tickLblPos val="nextTo"/>
        <c:crossAx val="273060224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/>
    <c:plotArea>
      <c:layout/>
      <c:barChart>
        <c:barDir val="col"/>
        <c:grouping val="clustered"/>
        <c:ser>
          <c:idx val="1"/>
          <c:order val="0"/>
          <c:tx>
            <c:strRef>
              <c:f>'Resamp 1'!$F$3</c:f>
              <c:strCache>
                <c:ptCount val="1"/>
                <c:pt idx="0">
                  <c:v>Frequency</c:v>
                </c:pt>
              </c:strCache>
            </c:strRef>
          </c:tx>
          <c:cat>
            <c:strRef>
              <c:f>'Resamp 1'!$D$4:$D$13</c:f>
              <c:strCache>
                <c:ptCount val="1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More</c:v>
                </c:pt>
              </c:strCache>
            </c:strRef>
          </c:cat>
          <c:val>
            <c:numRef>
              <c:f>'Resamp 1'!$F$4:$F$13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29</c:v>
                </c:pt>
                <c:pt idx="3">
                  <c:v>227</c:v>
                </c:pt>
                <c:pt idx="4">
                  <c:v>194</c:v>
                </c:pt>
                <c:pt idx="5">
                  <c:v>405</c:v>
                </c:pt>
                <c:pt idx="6">
                  <c:v>427</c:v>
                </c:pt>
                <c:pt idx="7">
                  <c:v>695</c:v>
                </c:pt>
                <c:pt idx="8">
                  <c:v>21</c:v>
                </c:pt>
                <c:pt idx="9">
                  <c:v>1</c:v>
                </c:pt>
              </c:numCache>
            </c:numRef>
          </c:val>
        </c:ser>
        <c:axId val="285816320"/>
        <c:axId val="285817856"/>
      </c:barChart>
      <c:catAx>
        <c:axId val="285816320"/>
        <c:scaling>
          <c:orientation val="minMax"/>
        </c:scaling>
        <c:axPos val="b"/>
        <c:tickLblPos val="nextTo"/>
        <c:crossAx val="285817856"/>
        <c:crosses val="autoZero"/>
        <c:auto val="1"/>
        <c:lblAlgn val="ctr"/>
        <c:lblOffset val="100"/>
      </c:catAx>
      <c:valAx>
        <c:axId val="285817856"/>
        <c:scaling>
          <c:orientation val="minMax"/>
        </c:scaling>
        <c:axPos val="l"/>
        <c:majorGridlines/>
        <c:numFmt formatCode="General" sourceLinked="1"/>
        <c:tickLblPos val="nextTo"/>
        <c:crossAx val="28581632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Frequency</a:t>
            </a:r>
          </a:p>
        </c:rich>
      </c:tx>
    </c:title>
    <c:plotArea>
      <c:layout/>
      <c:barChart>
        <c:barDir val="col"/>
        <c:grouping val="clustered"/>
        <c:ser>
          <c:idx val="1"/>
          <c:order val="0"/>
          <c:tx>
            <c:strRef>
              <c:f>'Resamp 2'!$L$3</c:f>
              <c:strCache>
                <c:ptCount val="1"/>
                <c:pt idx="0">
                  <c:v>Freq</c:v>
                </c:pt>
              </c:strCache>
            </c:strRef>
          </c:tx>
          <c:cat>
            <c:strRef>
              <c:f>'Resamp 2'!$J$4:$J$21</c:f>
              <c:strCache>
                <c:ptCount val="18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More</c:v>
                </c:pt>
              </c:strCache>
            </c:strRef>
          </c:cat>
          <c:val>
            <c:numRef>
              <c:f>'Resamp 2'!$L$4:$L$21</c:f>
              <c:numCache>
                <c:formatCode>General</c:formatCode>
                <c:ptCount val="18"/>
                <c:pt idx="0">
                  <c:v>1</c:v>
                </c:pt>
                <c:pt idx="1">
                  <c:v>5</c:v>
                </c:pt>
                <c:pt idx="2">
                  <c:v>26</c:v>
                </c:pt>
                <c:pt idx="3">
                  <c:v>74</c:v>
                </c:pt>
                <c:pt idx="4">
                  <c:v>162</c:v>
                </c:pt>
                <c:pt idx="5">
                  <c:v>238</c:v>
                </c:pt>
                <c:pt idx="6">
                  <c:v>220</c:v>
                </c:pt>
                <c:pt idx="7">
                  <c:v>187</c:v>
                </c:pt>
                <c:pt idx="8">
                  <c:v>128</c:v>
                </c:pt>
                <c:pt idx="9">
                  <c:v>137</c:v>
                </c:pt>
                <c:pt idx="10">
                  <c:v>202</c:v>
                </c:pt>
                <c:pt idx="11">
                  <c:v>241</c:v>
                </c:pt>
                <c:pt idx="12">
                  <c:v>173</c:v>
                </c:pt>
                <c:pt idx="13">
                  <c:v>108</c:v>
                </c:pt>
                <c:pt idx="14">
                  <c:v>68</c:v>
                </c:pt>
                <c:pt idx="15">
                  <c:v>27</c:v>
                </c:pt>
                <c:pt idx="16">
                  <c:v>3</c:v>
                </c:pt>
                <c:pt idx="17">
                  <c:v>0</c:v>
                </c:pt>
              </c:numCache>
            </c:numRef>
          </c:val>
        </c:ser>
        <c:axId val="285899392"/>
        <c:axId val="285905280"/>
      </c:barChart>
      <c:catAx>
        <c:axId val="285899392"/>
        <c:scaling>
          <c:orientation val="minMax"/>
        </c:scaling>
        <c:axPos val="b"/>
        <c:tickLblPos val="nextTo"/>
        <c:crossAx val="285905280"/>
        <c:crosses val="autoZero"/>
        <c:auto val="1"/>
        <c:lblAlgn val="ctr"/>
        <c:lblOffset val="100"/>
      </c:catAx>
      <c:valAx>
        <c:axId val="285905280"/>
        <c:scaling>
          <c:orientation val="minMax"/>
        </c:scaling>
        <c:axPos val="l"/>
        <c:majorGridlines/>
        <c:numFmt formatCode="General" sourceLinked="1"/>
        <c:tickLblPos val="nextTo"/>
        <c:crossAx val="285899392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Frequency</a:t>
            </a:r>
          </a:p>
        </c:rich>
      </c:tx>
    </c:title>
    <c:plotArea>
      <c:layout/>
      <c:barChart>
        <c:barDir val="col"/>
        <c:grouping val="clustered"/>
        <c:ser>
          <c:idx val="1"/>
          <c:order val="0"/>
          <c:tx>
            <c:strRef>
              <c:f>'Resamp 3'!$H$3</c:f>
              <c:strCache>
                <c:ptCount val="1"/>
                <c:pt idx="0">
                  <c:v>Freq</c:v>
                </c:pt>
              </c:strCache>
            </c:strRef>
          </c:tx>
          <c:cat>
            <c:strRef>
              <c:f>'Resamp 3'!$F$4:$F$13</c:f>
              <c:strCache>
                <c:ptCount val="10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More</c:v>
                </c:pt>
              </c:strCache>
            </c:strRef>
          </c:cat>
          <c:val>
            <c:numRef>
              <c:f>'Resamp 3'!$H$4:$H$13</c:f>
              <c:numCache>
                <c:formatCode>General</c:formatCode>
                <c:ptCount val="10"/>
                <c:pt idx="0">
                  <c:v>31</c:v>
                </c:pt>
                <c:pt idx="1">
                  <c:v>169</c:v>
                </c:pt>
                <c:pt idx="2">
                  <c:v>338</c:v>
                </c:pt>
                <c:pt idx="3">
                  <c:v>230</c:v>
                </c:pt>
                <c:pt idx="4">
                  <c:v>425</c:v>
                </c:pt>
                <c:pt idx="5">
                  <c:v>214</c:v>
                </c:pt>
                <c:pt idx="6">
                  <c:v>347</c:v>
                </c:pt>
                <c:pt idx="7">
                  <c:v>200</c:v>
                </c:pt>
                <c:pt idx="8">
                  <c:v>46</c:v>
                </c:pt>
                <c:pt idx="9">
                  <c:v>0</c:v>
                </c:pt>
              </c:numCache>
            </c:numRef>
          </c:val>
        </c:ser>
        <c:axId val="272973824"/>
        <c:axId val="272975360"/>
      </c:barChart>
      <c:catAx>
        <c:axId val="272973824"/>
        <c:scaling>
          <c:orientation val="minMax"/>
        </c:scaling>
        <c:axPos val="b"/>
        <c:tickLblPos val="nextTo"/>
        <c:crossAx val="272975360"/>
        <c:crosses val="autoZero"/>
        <c:auto val="1"/>
        <c:lblAlgn val="ctr"/>
        <c:lblOffset val="100"/>
      </c:catAx>
      <c:valAx>
        <c:axId val="272975360"/>
        <c:scaling>
          <c:orientation val="minMax"/>
        </c:scaling>
        <c:axPos val="l"/>
        <c:majorGridlines/>
        <c:numFmt formatCode="General" sourceLinked="1"/>
        <c:tickLblPos val="nextTo"/>
        <c:crossAx val="272973824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Raw Data</a:t>
            </a:r>
          </a:p>
        </c:rich>
      </c:tx>
    </c:title>
    <c:plotArea>
      <c:layout/>
      <c:barChart>
        <c:barDir val="col"/>
        <c:grouping val="stacked"/>
        <c:ser>
          <c:idx val="0"/>
          <c:order val="0"/>
          <c:tx>
            <c:strRef>
              <c:f>'Log Transform'!$A$25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'Log Transform'!$B$24:$F$24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Transform'!$B$25:$F$25</c:f>
              <c:numCache>
                <c:formatCode>General</c:formatCode>
                <c:ptCount val="5"/>
                <c:pt idx="0">
                  <c:v>5</c:v>
                </c:pt>
                <c:pt idx="1">
                  <c:v>9</c:v>
                </c:pt>
                <c:pt idx="2">
                  <c:v>6</c:v>
                </c:pt>
                <c:pt idx="3">
                  <c:v>15</c:v>
                </c:pt>
                <c:pt idx="4">
                  <c:v>21</c:v>
                </c:pt>
              </c:numCache>
            </c:numRef>
          </c:val>
        </c:ser>
        <c:ser>
          <c:idx val="1"/>
          <c:order val="1"/>
          <c:tx>
            <c:strRef>
              <c:f>'Log Transform'!$A$26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'Log Transform'!$B$24:$F$24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Transform'!$B$26:$F$26</c:f>
              <c:numCache>
                <c:formatCode>General</c:formatCode>
                <c:ptCount val="5"/>
                <c:pt idx="0">
                  <c:v>6.25</c:v>
                </c:pt>
                <c:pt idx="1">
                  <c:v>6.5</c:v>
                </c:pt>
                <c:pt idx="2">
                  <c:v>7.25</c:v>
                </c:pt>
                <c:pt idx="3">
                  <c:v>7.5</c:v>
                </c:pt>
                <c:pt idx="4">
                  <c:v>33</c:v>
                </c:pt>
              </c:numCache>
            </c:numRef>
          </c:val>
        </c:ser>
        <c:ser>
          <c:idx val="2"/>
          <c:order val="2"/>
          <c:tx>
            <c:strRef>
              <c:f>'Log Transform'!$A$27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'Log Transform'!$B$24:$F$24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Transform'!$B$27:$F$27</c:f>
              <c:numCache>
                <c:formatCode>General</c:formatCode>
                <c:ptCount val="5"/>
                <c:pt idx="0">
                  <c:v>1.25</c:v>
                </c:pt>
                <c:pt idx="1">
                  <c:v>24</c:v>
                </c:pt>
                <c:pt idx="2">
                  <c:v>5.25</c:v>
                </c:pt>
                <c:pt idx="3">
                  <c:v>10.5</c:v>
                </c:pt>
                <c:pt idx="4">
                  <c:v>3</c:v>
                </c:pt>
              </c:numCache>
            </c:numRef>
          </c:val>
        </c:ser>
        <c:ser>
          <c:idx val="3"/>
          <c:order val="3"/>
          <c:tx>
            <c:strRef>
              <c:f>'Log Transform'!$A$28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'Log Transform'!$B$29:$F$29</c:f>
                <c:numCache>
                  <c:formatCode>General</c:formatCode>
                  <c:ptCount val="5"/>
                  <c:pt idx="0">
                    <c:v>14</c:v>
                  </c:pt>
                  <c:pt idx="1">
                    <c:v>7.75</c:v>
                  </c:pt>
                  <c:pt idx="2">
                    <c:v>11.5</c:v>
                  </c:pt>
                  <c:pt idx="3">
                    <c:v>26.5</c:v>
                  </c:pt>
                  <c:pt idx="4">
                    <c:v>27</c:v>
                  </c:pt>
                </c:numCache>
              </c:numRef>
            </c:plus>
          </c:errBars>
          <c:cat>
            <c:strRef>
              <c:f>'Log Transform'!$B$24:$F$24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Transform'!$B$28:$F$28</c:f>
              <c:numCache>
                <c:formatCode>General</c:formatCode>
                <c:ptCount val="5"/>
                <c:pt idx="0">
                  <c:v>5.5</c:v>
                </c:pt>
                <c:pt idx="1">
                  <c:v>15.75</c:v>
                </c:pt>
                <c:pt idx="2">
                  <c:v>12</c:v>
                </c:pt>
                <c:pt idx="3">
                  <c:v>8.5</c:v>
                </c:pt>
                <c:pt idx="4">
                  <c:v>7</c:v>
                </c:pt>
              </c:numCache>
            </c:numRef>
          </c:val>
        </c:ser>
        <c:overlap val="100"/>
        <c:axId val="286183808"/>
        <c:axId val="286185344"/>
      </c:barChart>
      <c:catAx>
        <c:axId val="286183808"/>
        <c:scaling>
          <c:orientation val="minMax"/>
        </c:scaling>
        <c:axPos val="b"/>
        <c:tickLblPos val="nextTo"/>
        <c:crossAx val="286185344"/>
        <c:crosses val="autoZero"/>
        <c:auto val="1"/>
        <c:lblAlgn val="ctr"/>
        <c:lblOffset val="100"/>
      </c:catAx>
      <c:valAx>
        <c:axId val="286185344"/>
        <c:scaling>
          <c:orientation val="minMax"/>
        </c:scaling>
        <c:axPos val="l"/>
        <c:majorGridlines/>
        <c:numFmt formatCode="General" sourceLinked="1"/>
        <c:tickLblPos val="nextTo"/>
        <c:crossAx val="286183808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Log Transform</a:t>
            </a:r>
          </a:p>
        </c:rich>
      </c:tx>
    </c:title>
    <c:plotArea>
      <c:layout/>
      <c:barChart>
        <c:barDir val="col"/>
        <c:grouping val="stacked"/>
        <c:ser>
          <c:idx val="0"/>
          <c:order val="0"/>
          <c:tx>
            <c:strRef>
              <c:f>'Log Transform'!$A$41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'Log Transform'!$B$40:$F$40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Transform'!$B$41:$F$41</c:f>
              <c:numCache>
                <c:formatCode>General</c:formatCode>
                <c:ptCount val="5"/>
                <c:pt idx="0">
                  <c:v>0.69897000433601886</c:v>
                </c:pt>
                <c:pt idx="1">
                  <c:v>0.95424250943932487</c:v>
                </c:pt>
                <c:pt idx="2">
                  <c:v>0.77815125038364363</c:v>
                </c:pt>
                <c:pt idx="3">
                  <c:v>1.1760912590556813</c:v>
                </c:pt>
                <c:pt idx="4">
                  <c:v>1.3222192947339193</c:v>
                </c:pt>
              </c:numCache>
            </c:numRef>
          </c:val>
        </c:ser>
        <c:ser>
          <c:idx val="1"/>
          <c:order val="1"/>
          <c:tx>
            <c:strRef>
              <c:f>'Log Transform'!$A$42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'Log Transform'!$B$40:$F$40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Transform'!$B$42:$F$42</c:f>
              <c:numCache>
                <c:formatCode>General</c:formatCode>
                <c:ptCount val="5"/>
                <c:pt idx="0">
                  <c:v>0.35186982104455622</c:v>
                </c:pt>
                <c:pt idx="1">
                  <c:v>0.22164696379520088</c:v>
                </c:pt>
                <c:pt idx="2">
                  <c:v>0.3438382727660434</c:v>
                </c:pt>
                <c:pt idx="3">
                  <c:v>0.17575944164099311</c:v>
                </c:pt>
                <c:pt idx="4">
                  <c:v>0.41017446508904931</c:v>
                </c:pt>
              </c:numCache>
            </c:numRef>
          </c:val>
        </c:ser>
        <c:ser>
          <c:idx val="2"/>
          <c:order val="2"/>
          <c:tx>
            <c:strRef>
              <c:f>'Log Transform'!$A$43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'Log Transform'!$B$40:$F$40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Transform'!$B$43:$F$43</c:f>
              <c:numCache>
                <c:formatCode>General</c:formatCode>
                <c:ptCount val="5"/>
                <c:pt idx="0">
                  <c:v>4.5722473796655727E-2</c:v>
                </c:pt>
                <c:pt idx="1">
                  <c:v>0.40147463048555188</c:v>
                </c:pt>
                <c:pt idx="2">
                  <c:v>0.14118011554523502</c:v>
                </c:pt>
                <c:pt idx="3">
                  <c:v>0.16646374698440614</c:v>
                </c:pt>
                <c:pt idx="4">
                  <c:v>2.3481095849522848E-2</c:v>
                </c:pt>
              </c:numCache>
            </c:numRef>
          </c:val>
        </c:ser>
        <c:ser>
          <c:idx val="3"/>
          <c:order val="3"/>
          <c:tx>
            <c:strRef>
              <c:f>'Log Transform'!$A$44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'Log Transform'!$B$45:$F$45</c:f>
                <c:numCache>
                  <c:formatCode>General</c:formatCode>
                  <c:ptCount val="5"/>
                  <c:pt idx="0">
                    <c:v>0.25206196284136406</c:v>
                  </c:pt>
                  <c:pt idx="1">
                    <c:v>5.7130561798734103E-2</c:v>
                  </c:pt>
                  <c:pt idx="2">
                    <c:v>0.13912852054745706</c:v>
                  </c:pt>
                  <c:pt idx="3">
                    <c:v>0.21666143742923372</c:v>
                  </c:pt>
                  <c:pt idx="4">
                    <c:v>0.15286141833720657</c:v>
                  </c:pt>
                </c:numCache>
              </c:numRef>
            </c:plus>
          </c:errBars>
          <c:cat>
            <c:strRef>
              <c:f>'Log Transform'!$B$40:$F$40</c:f>
              <c:strCache>
                <c:ptCount val="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</c:strCache>
            </c:strRef>
          </c:cat>
          <c:val>
            <c:numRef>
              <c:f>'Log Transform'!$B$44:$F$44</c:f>
              <c:numCache>
                <c:formatCode>General</c:formatCode>
                <c:ptCount val="5"/>
                <c:pt idx="0">
                  <c:v>0.15652571630131118</c:v>
                </c:pt>
                <c:pt idx="1">
                  <c:v>0.16484588393476995</c:v>
                </c:pt>
                <c:pt idx="2">
                  <c:v>0.22095113115552145</c:v>
                </c:pt>
                <c:pt idx="3">
                  <c:v>9.7533027595922084E-2</c:v>
                </c:pt>
                <c:pt idx="4">
                  <c:v>5.0305118311395614E-2</c:v>
                </c:pt>
              </c:numCache>
            </c:numRef>
          </c:val>
        </c:ser>
        <c:overlap val="100"/>
        <c:axId val="286224768"/>
        <c:axId val="286226304"/>
      </c:barChart>
      <c:catAx>
        <c:axId val="286224768"/>
        <c:scaling>
          <c:orientation val="minMax"/>
        </c:scaling>
        <c:axPos val="b"/>
        <c:tickLblPos val="nextTo"/>
        <c:crossAx val="286226304"/>
        <c:crosses val="autoZero"/>
        <c:auto val="1"/>
        <c:lblAlgn val="ctr"/>
        <c:lblOffset val="100"/>
      </c:catAx>
      <c:valAx>
        <c:axId val="286226304"/>
        <c:scaling>
          <c:orientation val="minMax"/>
        </c:scaling>
        <c:axPos val="l"/>
        <c:majorGridlines/>
        <c:numFmt formatCode="General" sourceLinked="1"/>
        <c:tickLblPos val="nextTo"/>
        <c:crossAx val="286224768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lineChart>
        <c:grouping val="standard"/>
        <c:ser>
          <c:idx val="0"/>
          <c:order val="0"/>
          <c:tx>
            <c:v>Blend X</c:v>
          </c:tx>
          <c:marker>
            <c:symbol val="none"/>
          </c:marker>
          <c:cat>
            <c:strRef>
              <c:f>'ANOVA 2.2'!$K$43:$N$43</c:f>
              <c:strCache>
                <c:ptCount val="4"/>
                <c:pt idx="0">
                  <c:v>Wheat</c:v>
                </c:pt>
                <c:pt idx="1">
                  <c:v>Corn</c:v>
                </c:pt>
                <c:pt idx="2">
                  <c:v>Soy</c:v>
                </c:pt>
                <c:pt idx="3">
                  <c:v>Rice</c:v>
                </c:pt>
              </c:strCache>
            </c:strRef>
          </c:cat>
          <c:val>
            <c:numRef>
              <c:f>'ANOVA 2.2'!$K$44:$N$44</c:f>
              <c:numCache>
                <c:formatCode>General</c:formatCode>
                <c:ptCount val="4"/>
                <c:pt idx="0">
                  <c:v>131.80000000000001</c:v>
                </c:pt>
                <c:pt idx="1">
                  <c:v>135.4</c:v>
                </c:pt>
                <c:pt idx="2">
                  <c:v>175.8</c:v>
                </c:pt>
                <c:pt idx="3">
                  <c:v>141.19999999999999</c:v>
                </c:pt>
              </c:numCache>
            </c:numRef>
          </c:val>
        </c:ser>
        <c:ser>
          <c:idx val="1"/>
          <c:order val="1"/>
          <c:tx>
            <c:v>Blend Y</c:v>
          </c:tx>
          <c:marker>
            <c:symbol val="none"/>
          </c:marker>
          <c:cat>
            <c:strRef>
              <c:f>'ANOVA 2.2'!$K$43:$N$43</c:f>
              <c:strCache>
                <c:ptCount val="4"/>
                <c:pt idx="0">
                  <c:v>Wheat</c:v>
                </c:pt>
                <c:pt idx="1">
                  <c:v>Corn</c:v>
                </c:pt>
                <c:pt idx="2">
                  <c:v>Soy</c:v>
                </c:pt>
                <c:pt idx="3">
                  <c:v>Rice</c:v>
                </c:pt>
              </c:strCache>
            </c:strRef>
          </c:cat>
          <c:val>
            <c:numRef>
              <c:f>'ANOVA 2.2'!$K$45:$N$45</c:f>
              <c:numCache>
                <c:formatCode>General</c:formatCode>
                <c:ptCount val="4"/>
                <c:pt idx="0">
                  <c:v>143.19999999999999</c:v>
                </c:pt>
                <c:pt idx="1">
                  <c:v>159.6</c:v>
                </c:pt>
                <c:pt idx="2">
                  <c:v>140.19999999999999</c:v>
                </c:pt>
                <c:pt idx="3">
                  <c:v>165.4</c:v>
                </c:pt>
              </c:numCache>
            </c:numRef>
          </c:val>
        </c:ser>
        <c:ser>
          <c:idx val="2"/>
          <c:order val="2"/>
          <c:tx>
            <c:v>Blend Z</c:v>
          </c:tx>
          <c:marker>
            <c:symbol val="none"/>
          </c:marker>
          <c:cat>
            <c:strRef>
              <c:f>'ANOVA 2.2'!$K$43:$N$43</c:f>
              <c:strCache>
                <c:ptCount val="4"/>
                <c:pt idx="0">
                  <c:v>Wheat</c:v>
                </c:pt>
                <c:pt idx="1">
                  <c:v>Corn</c:v>
                </c:pt>
                <c:pt idx="2">
                  <c:v>Soy</c:v>
                </c:pt>
                <c:pt idx="3">
                  <c:v>Rice</c:v>
                </c:pt>
              </c:strCache>
            </c:strRef>
          </c:cat>
          <c:val>
            <c:numRef>
              <c:f>'ANOVA 2.2'!$K$46:$N$46</c:f>
              <c:numCache>
                <c:formatCode>General</c:formatCode>
                <c:ptCount val="4"/>
                <c:pt idx="0">
                  <c:v>164.4</c:v>
                </c:pt>
                <c:pt idx="1">
                  <c:v>173.6</c:v>
                </c:pt>
                <c:pt idx="2">
                  <c:v>186.4</c:v>
                </c:pt>
                <c:pt idx="3">
                  <c:v>172.4</c:v>
                </c:pt>
              </c:numCache>
            </c:numRef>
          </c:val>
        </c:ser>
        <c:marker val="1"/>
        <c:axId val="286002176"/>
        <c:axId val="286024448"/>
      </c:lineChart>
      <c:catAx>
        <c:axId val="286002176"/>
        <c:scaling>
          <c:orientation val="minMax"/>
        </c:scaling>
        <c:axPos val="b"/>
        <c:tickLblPos val="nextTo"/>
        <c:crossAx val="286024448"/>
        <c:crosses val="autoZero"/>
        <c:auto val="1"/>
        <c:lblAlgn val="ctr"/>
        <c:lblOffset val="100"/>
      </c:catAx>
      <c:valAx>
        <c:axId val="286024448"/>
        <c:scaling>
          <c:orientation val="minMax"/>
          <c:min val="120"/>
        </c:scaling>
        <c:axPos val="l"/>
        <c:majorGridlines/>
        <c:numFmt formatCode="General" sourceLinked="1"/>
        <c:tickLblPos val="nextTo"/>
        <c:crossAx val="28600217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lineChart>
        <c:grouping val="standard"/>
        <c:ser>
          <c:idx val="0"/>
          <c:order val="0"/>
          <c:tx>
            <c:strRef>
              <c:f>'ANOVA 2.2'!$K$43</c:f>
              <c:strCache>
                <c:ptCount val="1"/>
                <c:pt idx="0">
                  <c:v>Wheat</c:v>
                </c:pt>
              </c:strCache>
            </c:strRef>
          </c:tx>
          <c:marker>
            <c:symbol val="none"/>
          </c:marker>
          <c:cat>
            <c:strRef>
              <c:f>'ANOVA 2.2'!$J$44:$J$46</c:f>
              <c:strCache>
                <c:ptCount val="3"/>
                <c:pt idx="0">
                  <c:v>Blend X</c:v>
                </c:pt>
                <c:pt idx="1">
                  <c:v>Blend Y</c:v>
                </c:pt>
                <c:pt idx="2">
                  <c:v>Blend Z</c:v>
                </c:pt>
              </c:strCache>
            </c:strRef>
          </c:cat>
          <c:val>
            <c:numRef>
              <c:f>'ANOVA 2.2'!$K$44:$K$46</c:f>
              <c:numCache>
                <c:formatCode>General</c:formatCode>
                <c:ptCount val="3"/>
                <c:pt idx="0">
                  <c:v>131.80000000000001</c:v>
                </c:pt>
                <c:pt idx="1">
                  <c:v>143.19999999999999</c:v>
                </c:pt>
                <c:pt idx="2">
                  <c:v>164.4</c:v>
                </c:pt>
              </c:numCache>
            </c:numRef>
          </c:val>
        </c:ser>
        <c:ser>
          <c:idx val="1"/>
          <c:order val="1"/>
          <c:tx>
            <c:strRef>
              <c:f>'ANOVA 2.2'!$L$43</c:f>
              <c:strCache>
                <c:ptCount val="1"/>
                <c:pt idx="0">
                  <c:v>Corn</c:v>
                </c:pt>
              </c:strCache>
            </c:strRef>
          </c:tx>
          <c:marker>
            <c:symbol val="none"/>
          </c:marker>
          <c:cat>
            <c:strRef>
              <c:f>'ANOVA 2.2'!$J$44:$J$46</c:f>
              <c:strCache>
                <c:ptCount val="3"/>
                <c:pt idx="0">
                  <c:v>Blend X</c:v>
                </c:pt>
                <c:pt idx="1">
                  <c:v>Blend Y</c:v>
                </c:pt>
                <c:pt idx="2">
                  <c:v>Blend Z</c:v>
                </c:pt>
              </c:strCache>
            </c:strRef>
          </c:cat>
          <c:val>
            <c:numRef>
              <c:f>'ANOVA 2.2'!$L$44:$L$46</c:f>
              <c:numCache>
                <c:formatCode>General</c:formatCode>
                <c:ptCount val="3"/>
                <c:pt idx="0">
                  <c:v>135.4</c:v>
                </c:pt>
                <c:pt idx="1">
                  <c:v>159.6</c:v>
                </c:pt>
                <c:pt idx="2">
                  <c:v>173.6</c:v>
                </c:pt>
              </c:numCache>
            </c:numRef>
          </c:val>
        </c:ser>
        <c:ser>
          <c:idx val="2"/>
          <c:order val="2"/>
          <c:tx>
            <c:strRef>
              <c:f>'ANOVA 2.2'!$M$43</c:f>
              <c:strCache>
                <c:ptCount val="1"/>
                <c:pt idx="0">
                  <c:v>Soy</c:v>
                </c:pt>
              </c:strCache>
            </c:strRef>
          </c:tx>
          <c:marker>
            <c:symbol val="none"/>
          </c:marker>
          <c:cat>
            <c:strRef>
              <c:f>'ANOVA 2.2'!$J$44:$J$46</c:f>
              <c:strCache>
                <c:ptCount val="3"/>
                <c:pt idx="0">
                  <c:v>Blend X</c:v>
                </c:pt>
                <c:pt idx="1">
                  <c:v>Blend Y</c:v>
                </c:pt>
                <c:pt idx="2">
                  <c:v>Blend Z</c:v>
                </c:pt>
              </c:strCache>
            </c:strRef>
          </c:cat>
          <c:val>
            <c:numRef>
              <c:f>'ANOVA 2.2'!$M$44:$M$46</c:f>
              <c:numCache>
                <c:formatCode>General</c:formatCode>
                <c:ptCount val="3"/>
                <c:pt idx="0">
                  <c:v>175.8</c:v>
                </c:pt>
                <c:pt idx="1">
                  <c:v>140.19999999999999</c:v>
                </c:pt>
                <c:pt idx="2">
                  <c:v>186.4</c:v>
                </c:pt>
              </c:numCache>
            </c:numRef>
          </c:val>
        </c:ser>
        <c:ser>
          <c:idx val="3"/>
          <c:order val="3"/>
          <c:tx>
            <c:strRef>
              <c:f>'ANOVA 2.2'!$N$43</c:f>
              <c:strCache>
                <c:ptCount val="1"/>
                <c:pt idx="0">
                  <c:v>Rice</c:v>
                </c:pt>
              </c:strCache>
            </c:strRef>
          </c:tx>
          <c:marker>
            <c:symbol val="none"/>
          </c:marker>
          <c:cat>
            <c:strRef>
              <c:f>'ANOVA 2.2'!$J$44:$J$46</c:f>
              <c:strCache>
                <c:ptCount val="3"/>
                <c:pt idx="0">
                  <c:v>Blend X</c:v>
                </c:pt>
                <c:pt idx="1">
                  <c:v>Blend Y</c:v>
                </c:pt>
                <c:pt idx="2">
                  <c:v>Blend Z</c:v>
                </c:pt>
              </c:strCache>
            </c:strRef>
          </c:cat>
          <c:val>
            <c:numRef>
              <c:f>'ANOVA 2.2'!$N$44:$N$46</c:f>
              <c:numCache>
                <c:formatCode>General</c:formatCode>
                <c:ptCount val="3"/>
                <c:pt idx="0">
                  <c:v>141.19999999999999</c:v>
                </c:pt>
                <c:pt idx="1">
                  <c:v>165.4</c:v>
                </c:pt>
                <c:pt idx="2">
                  <c:v>172.4</c:v>
                </c:pt>
              </c:numCache>
            </c:numRef>
          </c:val>
        </c:ser>
        <c:marker val="1"/>
        <c:axId val="286054656"/>
        <c:axId val="286064640"/>
      </c:lineChart>
      <c:catAx>
        <c:axId val="286054656"/>
        <c:scaling>
          <c:orientation val="minMax"/>
        </c:scaling>
        <c:axPos val="b"/>
        <c:tickLblPos val="nextTo"/>
        <c:crossAx val="286064640"/>
        <c:crosses val="autoZero"/>
        <c:auto val="1"/>
        <c:lblAlgn val="ctr"/>
        <c:lblOffset val="100"/>
      </c:catAx>
      <c:valAx>
        <c:axId val="286064640"/>
        <c:scaling>
          <c:orientation val="minMax"/>
          <c:min val="120"/>
        </c:scaling>
        <c:axPos val="l"/>
        <c:majorGridlines/>
        <c:numFmt formatCode="General" sourceLinked="1"/>
        <c:tickLblPos val="nextTo"/>
        <c:crossAx val="28605465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lineChart>
        <c:grouping val="standard"/>
        <c:ser>
          <c:idx val="0"/>
          <c:order val="0"/>
          <c:tx>
            <c:strRef>
              <c:f>'Contrasts 2.1'!$O$3</c:f>
              <c:strCache>
                <c:ptCount val="1"/>
                <c:pt idx="0">
                  <c:v>Arm</c:v>
                </c:pt>
              </c:strCache>
            </c:strRef>
          </c:tx>
          <c:marker>
            <c:symbol val="none"/>
          </c:marker>
          <c:cat>
            <c:strRef>
              <c:f>'Contrasts 2.1'!$N$4:$N$6</c:f>
              <c:strCache>
                <c:ptCount val="3"/>
                <c:pt idx="0">
                  <c:v>Cold</c:v>
                </c:pt>
                <c:pt idx="1">
                  <c:v>Dry</c:v>
                </c:pt>
                <c:pt idx="2">
                  <c:v>Humid</c:v>
                </c:pt>
              </c:strCache>
            </c:strRef>
          </c:cat>
          <c:val>
            <c:numRef>
              <c:f>'Contrasts 2.1'!$O$4:$O$6</c:f>
              <c:numCache>
                <c:formatCode>General</c:formatCode>
                <c:ptCount val="3"/>
                <c:pt idx="0">
                  <c:v>22.8</c:v>
                </c:pt>
                <c:pt idx="1">
                  <c:v>25</c:v>
                </c:pt>
                <c:pt idx="2">
                  <c:v>28</c:v>
                </c:pt>
              </c:numCache>
            </c:numRef>
          </c:val>
        </c:ser>
        <c:ser>
          <c:idx val="1"/>
          <c:order val="1"/>
          <c:tx>
            <c:strRef>
              <c:f>'Contrasts 2.1'!$P$3</c:f>
              <c:strCache>
                <c:ptCount val="1"/>
                <c:pt idx="0">
                  <c:v>Neck</c:v>
                </c:pt>
              </c:strCache>
            </c:strRef>
          </c:tx>
          <c:marker>
            <c:symbol val="none"/>
          </c:marker>
          <c:cat>
            <c:strRef>
              <c:f>'Contrasts 2.1'!$N$4:$N$6</c:f>
              <c:strCache>
                <c:ptCount val="3"/>
                <c:pt idx="0">
                  <c:v>Cold</c:v>
                </c:pt>
                <c:pt idx="1">
                  <c:v>Dry</c:v>
                </c:pt>
                <c:pt idx="2">
                  <c:v>Humid</c:v>
                </c:pt>
              </c:strCache>
            </c:strRef>
          </c:cat>
          <c:val>
            <c:numRef>
              <c:f>'Contrasts 2.1'!$P$4:$P$6</c:f>
              <c:numCache>
                <c:formatCode>General</c:formatCode>
                <c:ptCount val="3"/>
                <c:pt idx="0">
                  <c:v>19.8</c:v>
                </c:pt>
                <c:pt idx="1">
                  <c:v>21</c:v>
                </c:pt>
                <c:pt idx="2">
                  <c:v>26</c:v>
                </c:pt>
              </c:numCache>
            </c:numRef>
          </c:val>
        </c:ser>
        <c:ser>
          <c:idx val="2"/>
          <c:order val="2"/>
          <c:tx>
            <c:strRef>
              <c:f>'Contrasts 2.1'!$Q$3</c:f>
              <c:strCache>
                <c:ptCount val="1"/>
                <c:pt idx="0">
                  <c:v>Foot</c:v>
                </c:pt>
              </c:strCache>
            </c:strRef>
          </c:tx>
          <c:marker>
            <c:symbol val="none"/>
          </c:marker>
          <c:cat>
            <c:strRef>
              <c:f>'Contrasts 2.1'!$N$4:$N$6</c:f>
              <c:strCache>
                <c:ptCount val="3"/>
                <c:pt idx="0">
                  <c:v>Cold</c:v>
                </c:pt>
                <c:pt idx="1">
                  <c:v>Dry</c:v>
                </c:pt>
                <c:pt idx="2">
                  <c:v>Humid</c:v>
                </c:pt>
              </c:strCache>
            </c:strRef>
          </c:cat>
          <c:val>
            <c:numRef>
              <c:f>'Contrasts 2.1'!$Q$4:$Q$6</c:f>
              <c:numCache>
                <c:formatCode>General</c:formatCode>
                <c:ptCount val="3"/>
                <c:pt idx="0">
                  <c:v>10</c:v>
                </c:pt>
                <c:pt idx="1">
                  <c:v>29.4</c:v>
                </c:pt>
                <c:pt idx="2">
                  <c:v>37.200000000000003</c:v>
                </c:pt>
              </c:numCache>
            </c:numRef>
          </c:val>
        </c:ser>
        <c:marker val="1"/>
        <c:axId val="286955008"/>
        <c:axId val="286956544"/>
      </c:lineChart>
      <c:catAx>
        <c:axId val="286955008"/>
        <c:scaling>
          <c:orientation val="minMax"/>
        </c:scaling>
        <c:axPos val="b"/>
        <c:tickLblPos val="nextTo"/>
        <c:crossAx val="286956544"/>
        <c:crosses val="autoZero"/>
        <c:auto val="1"/>
        <c:lblAlgn val="ctr"/>
        <c:lblOffset val="100"/>
      </c:catAx>
      <c:valAx>
        <c:axId val="286956544"/>
        <c:scaling>
          <c:orientation val="minMax"/>
        </c:scaling>
        <c:axPos val="l"/>
        <c:majorGridlines/>
        <c:numFmt formatCode="General" sourceLinked="1"/>
        <c:tickLblPos val="nextTo"/>
        <c:crossAx val="28695500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 = 0.976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'Corr Scatter'!$A$4:$A$13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'Corr Scatter'!$B$4:$B$13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10</c:v>
                </c:pt>
                <c:pt idx="3">
                  <c:v>8</c:v>
                </c:pt>
                <c:pt idx="4">
                  <c:v>12</c:v>
                </c:pt>
                <c:pt idx="5">
                  <c:v>9</c:v>
                </c:pt>
                <c:pt idx="6">
                  <c:v>16</c:v>
                </c:pt>
                <c:pt idx="7">
                  <c:v>21</c:v>
                </c:pt>
                <c:pt idx="8">
                  <c:v>6</c:v>
                </c:pt>
                <c:pt idx="9">
                  <c:v>15</c:v>
                </c:pt>
              </c:numCache>
            </c:numRef>
          </c:yVal>
        </c:ser>
        <c:axId val="287283840"/>
        <c:axId val="286474624"/>
      </c:scatterChart>
      <c:valAx>
        <c:axId val="287283840"/>
        <c:scaling>
          <c:orientation val="minMax"/>
        </c:scaling>
        <c:axPos val="b"/>
        <c:numFmt formatCode="General" sourceLinked="1"/>
        <c:tickLblPos val="nextTo"/>
        <c:crossAx val="286474624"/>
        <c:crosses val="autoZero"/>
        <c:crossBetween val="midCat"/>
      </c:valAx>
      <c:valAx>
        <c:axId val="286474624"/>
        <c:scaling>
          <c:orientation val="minMax"/>
        </c:scaling>
        <c:axPos val="l"/>
        <c:majorGridlines/>
        <c:numFmt formatCode="General" sourceLinked="1"/>
        <c:tickLblPos val="nextTo"/>
        <c:crossAx val="28728384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 = 0.300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'Corr Scatter'!$A$18:$A$27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'Corr Scatter'!$B$18:$B$27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12</c:v>
                </c:pt>
                <c:pt idx="3">
                  <c:v>15</c:v>
                </c:pt>
                <c:pt idx="4">
                  <c:v>15</c:v>
                </c:pt>
                <c:pt idx="5">
                  <c:v>21</c:v>
                </c:pt>
                <c:pt idx="6">
                  <c:v>15</c:v>
                </c:pt>
                <c:pt idx="7">
                  <c:v>8</c:v>
                </c:pt>
                <c:pt idx="8">
                  <c:v>3</c:v>
                </c:pt>
                <c:pt idx="9">
                  <c:v>7</c:v>
                </c:pt>
              </c:numCache>
            </c:numRef>
          </c:yVal>
        </c:ser>
        <c:axId val="286481792"/>
        <c:axId val="286495872"/>
      </c:scatterChart>
      <c:valAx>
        <c:axId val="286481792"/>
        <c:scaling>
          <c:orientation val="minMax"/>
        </c:scaling>
        <c:axPos val="b"/>
        <c:numFmt formatCode="General" sourceLinked="1"/>
        <c:tickLblPos val="nextTo"/>
        <c:crossAx val="286495872"/>
        <c:crosses val="autoZero"/>
        <c:crossBetween val="midCat"/>
      </c:valAx>
      <c:valAx>
        <c:axId val="286495872"/>
        <c:scaling>
          <c:orientation val="minMax"/>
        </c:scaling>
        <c:axPos val="l"/>
        <c:majorGridlines/>
        <c:numFmt formatCode="General" sourceLinked="1"/>
        <c:tickLblPos val="nextTo"/>
        <c:crossAx val="28648179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 = -0.912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'Corr Scatter'!$A$32:$A$41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'Corr Scatter'!$B$32:$B$41</c:f>
              <c:numCache>
                <c:formatCode>General</c:formatCode>
                <c:ptCount val="10"/>
                <c:pt idx="0">
                  <c:v>21</c:v>
                </c:pt>
                <c:pt idx="1">
                  <c:v>13</c:v>
                </c:pt>
                <c:pt idx="2">
                  <c:v>7</c:v>
                </c:pt>
                <c:pt idx="3">
                  <c:v>8</c:v>
                </c:pt>
                <c:pt idx="4">
                  <c:v>10</c:v>
                </c:pt>
                <c:pt idx="5">
                  <c:v>9</c:v>
                </c:pt>
                <c:pt idx="6">
                  <c:v>6</c:v>
                </c:pt>
                <c:pt idx="7">
                  <c:v>1</c:v>
                </c:pt>
                <c:pt idx="8">
                  <c:v>14</c:v>
                </c:pt>
                <c:pt idx="9">
                  <c:v>4</c:v>
                </c:pt>
              </c:numCache>
            </c:numRef>
          </c:yVal>
        </c:ser>
        <c:axId val="286519680"/>
        <c:axId val="286521216"/>
      </c:scatterChart>
      <c:valAx>
        <c:axId val="286519680"/>
        <c:scaling>
          <c:orientation val="minMax"/>
        </c:scaling>
        <c:axPos val="b"/>
        <c:numFmt formatCode="General" sourceLinked="1"/>
        <c:tickLblPos val="nextTo"/>
        <c:crossAx val="286521216"/>
        <c:crosses val="autoZero"/>
        <c:crossBetween val="midCat"/>
      </c:valAx>
      <c:valAx>
        <c:axId val="286521216"/>
        <c:scaling>
          <c:orientation val="minMax"/>
        </c:scaling>
        <c:axPos val="l"/>
        <c:majorGridlines/>
        <c:numFmt formatCode="General" sourceLinked="1"/>
        <c:tickLblPos val="nextTo"/>
        <c:crossAx val="28651968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r = 0.068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'Corr Scatter'!$A$46:$A$55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3</c:v>
                </c:pt>
                <c:pt idx="9">
                  <c:v>10</c:v>
                </c:pt>
              </c:numCache>
            </c:numRef>
          </c:xVal>
          <c:yVal>
            <c:numRef>
              <c:f>'Corr Scatter'!$B$46:$B$55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5</c:v>
                </c:pt>
                <c:pt idx="3">
                  <c:v>21</c:v>
                </c:pt>
                <c:pt idx="4">
                  <c:v>12</c:v>
                </c:pt>
                <c:pt idx="5">
                  <c:v>14</c:v>
                </c:pt>
                <c:pt idx="6">
                  <c:v>2</c:v>
                </c:pt>
                <c:pt idx="7">
                  <c:v>16</c:v>
                </c:pt>
                <c:pt idx="8">
                  <c:v>12</c:v>
                </c:pt>
                <c:pt idx="9">
                  <c:v>5</c:v>
                </c:pt>
              </c:numCache>
            </c:numRef>
          </c:yVal>
        </c:ser>
        <c:axId val="287388800"/>
        <c:axId val="287390336"/>
      </c:scatterChart>
      <c:valAx>
        <c:axId val="287388800"/>
        <c:scaling>
          <c:orientation val="minMax"/>
        </c:scaling>
        <c:axPos val="b"/>
        <c:numFmt formatCode="General" sourceLinked="1"/>
        <c:tickLblPos val="nextTo"/>
        <c:crossAx val="287390336"/>
        <c:crosses val="autoZero"/>
        <c:crossBetween val="midCat"/>
      </c:valAx>
      <c:valAx>
        <c:axId val="287390336"/>
        <c:scaling>
          <c:orientation val="minMax"/>
        </c:scaling>
        <c:axPos val="l"/>
        <c:majorGridlines/>
        <c:numFmt formatCode="General" sourceLinked="1"/>
        <c:tickLblPos val="nextTo"/>
        <c:crossAx val="28738880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Longevity v. Smoking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'Corr 0'!$B$3</c:f>
              <c:strCache>
                <c:ptCount val="1"/>
                <c:pt idx="0">
                  <c:v>Life Exp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</c:trendline>
          <c:xVal>
            <c:numRef>
              <c:f>'Corr 0'!$A$4:$A$18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'Corr 0'!$B$4:$B$18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53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</c:ser>
        <c:axId val="286526464"/>
        <c:axId val="286532736"/>
      </c:scatterChart>
      <c:valAx>
        <c:axId val="286526464"/>
        <c:scaling>
          <c:orientation val="minMax"/>
          <c:max val="5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Cigarettes Smoked (per day)</a:t>
                </a:r>
              </a:p>
            </c:rich>
          </c:tx>
        </c:title>
        <c:numFmt formatCode="General" sourceLinked="1"/>
        <c:tickLblPos val="nextTo"/>
        <c:crossAx val="286532736"/>
        <c:crosses val="autoZero"/>
        <c:crossBetween val="midCat"/>
      </c:valAx>
      <c:valAx>
        <c:axId val="286532736"/>
        <c:scaling>
          <c:orientation val="minMax"/>
          <c:min val="5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Life Expectancy (years)</a:t>
                </a:r>
              </a:p>
            </c:rich>
          </c:tx>
        </c:title>
        <c:numFmt formatCode="General" sourceLinked="1"/>
        <c:tickLblPos val="nextTo"/>
        <c:crossAx val="28652646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 - Cigarettes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'Corr 0'!$H$43:$H$57</c:f>
              <c:numCache>
                <c:formatCode>General</c:formatCode>
                <c:ptCount val="15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8</c:v>
                </c:pt>
                <c:pt idx="4">
                  <c:v>11</c:v>
                </c:pt>
                <c:pt idx="5">
                  <c:v>14</c:v>
                </c:pt>
                <c:pt idx="6">
                  <c:v>17</c:v>
                </c:pt>
                <c:pt idx="7">
                  <c:v>19</c:v>
                </c:pt>
                <c:pt idx="8">
                  <c:v>23</c:v>
                </c:pt>
                <c:pt idx="9">
                  <c:v>23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35</c:v>
                </c:pt>
                <c:pt idx="14">
                  <c:v>48</c:v>
                </c:pt>
              </c:numCache>
            </c:numRef>
          </c:xVal>
          <c:yVal>
            <c:numRef>
              <c:f>'Corr 0'!$I$43:$I$57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</c:ser>
        <c:axId val="286549504"/>
        <c:axId val="286551424"/>
      </c:scatterChart>
      <c:valAx>
        <c:axId val="286549504"/>
        <c:scaling>
          <c:orientation val="minMax"/>
          <c:max val="5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86551424"/>
        <c:crosses val="autoZero"/>
        <c:crossBetween val="midCat"/>
      </c:valAx>
      <c:valAx>
        <c:axId val="28655142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8654950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 - Longevity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'Corr 0'!$H$67:$H$81</c:f>
              <c:numCache>
                <c:formatCode>General</c:formatCode>
                <c:ptCount val="15"/>
                <c:pt idx="0">
                  <c:v>53</c:v>
                </c:pt>
                <c:pt idx="1">
                  <c:v>58</c:v>
                </c:pt>
                <c:pt idx="2">
                  <c:v>60</c:v>
                </c:pt>
                <c:pt idx="3">
                  <c:v>65</c:v>
                </c:pt>
                <c:pt idx="4">
                  <c:v>68</c:v>
                </c:pt>
                <c:pt idx="5">
                  <c:v>72</c:v>
                </c:pt>
                <c:pt idx="6">
                  <c:v>73</c:v>
                </c:pt>
                <c:pt idx="7">
                  <c:v>75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84</c:v>
                </c:pt>
                <c:pt idx="13">
                  <c:v>85</c:v>
                </c:pt>
                <c:pt idx="14">
                  <c:v>92</c:v>
                </c:pt>
              </c:numCache>
            </c:numRef>
          </c:xVal>
          <c:yVal>
            <c:numRef>
              <c:f>'Corr 0'!$I$67:$I$81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</c:ser>
        <c:axId val="287911936"/>
        <c:axId val="287913856"/>
      </c:scatterChart>
      <c:valAx>
        <c:axId val="287911936"/>
        <c:scaling>
          <c:orientation val="minMax"/>
          <c:min val="5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87913856"/>
        <c:crosses val="autoZero"/>
        <c:crossBetween val="midCat"/>
      </c:valAx>
      <c:valAx>
        <c:axId val="28791385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8791193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</c:trendline>
          <c:xVal>
            <c:numRef>
              <c:f>'Corr 2'!$B$4:$B$53</c:f>
              <c:numCache>
                <c:formatCode>General</c:formatCode>
                <c:ptCount val="50"/>
                <c:pt idx="0">
                  <c:v>15.7</c:v>
                </c:pt>
                <c:pt idx="1">
                  <c:v>8.4</c:v>
                </c:pt>
                <c:pt idx="2">
                  <c:v>14.7</c:v>
                </c:pt>
                <c:pt idx="3">
                  <c:v>17.3</c:v>
                </c:pt>
                <c:pt idx="4">
                  <c:v>13.3</c:v>
                </c:pt>
                <c:pt idx="5">
                  <c:v>11.4</c:v>
                </c:pt>
                <c:pt idx="6">
                  <c:v>9.3000000000000007</c:v>
                </c:pt>
                <c:pt idx="7" formatCode="#,##0.0">
                  <c:v>10</c:v>
                </c:pt>
                <c:pt idx="8">
                  <c:v>13.2</c:v>
                </c:pt>
                <c:pt idx="9">
                  <c:v>14.7</c:v>
                </c:pt>
                <c:pt idx="10">
                  <c:v>9.1</c:v>
                </c:pt>
                <c:pt idx="11">
                  <c:v>12.6</c:v>
                </c:pt>
                <c:pt idx="12">
                  <c:v>12.2</c:v>
                </c:pt>
                <c:pt idx="13">
                  <c:v>13.1</c:v>
                </c:pt>
                <c:pt idx="14">
                  <c:v>11.5</c:v>
                </c:pt>
                <c:pt idx="15">
                  <c:v>11.3</c:v>
                </c:pt>
                <c:pt idx="16">
                  <c:v>17.3</c:v>
                </c:pt>
                <c:pt idx="17">
                  <c:v>17.3</c:v>
                </c:pt>
                <c:pt idx="18">
                  <c:v>12.3</c:v>
                </c:pt>
                <c:pt idx="19">
                  <c:v>8.1</c:v>
                </c:pt>
                <c:pt idx="20" formatCode="#,##0.0">
                  <c:v>10</c:v>
                </c:pt>
                <c:pt idx="21">
                  <c:v>14.4</c:v>
                </c:pt>
                <c:pt idx="22">
                  <c:v>9.6</c:v>
                </c:pt>
                <c:pt idx="23">
                  <c:v>21.2</c:v>
                </c:pt>
                <c:pt idx="24">
                  <c:v>13.4</c:v>
                </c:pt>
                <c:pt idx="25">
                  <c:v>14.8</c:v>
                </c:pt>
                <c:pt idx="26">
                  <c:v>10.8</c:v>
                </c:pt>
                <c:pt idx="27">
                  <c:v>11.3</c:v>
                </c:pt>
                <c:pt idx="28">
                  <c:v>7.6</c:v>
                </c:pt>
                <c:pt idx="29">
                  <c:v>8.6999999999999993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14.6</c:v>
                </c:pt>
                <c:pt idx="33" formatCode="0.0">
                  <c:v>12</c:v>
                </c:pt>
                <c:pt idx="34">
                  <c:v>13.4</c:v>
                </c:pt>
                <c:pt idx="35">
                  <c:v>15.9</c:v>
                </c:pt>
                <c:pt idx="36">
                  <c:v>13.6</c:v>
                </c:pt>
                <c:pt idx="37">
                  <c:v>12.1</c:v>
                </c:pt>
                <c:pt idx="38">
                  <c:v>11.7</c:v>
                </c:pt>
                <c:pt idx="39">
                  <c:v>15.7</c:v>
                </c:pt>
                <c:pt idx="40">
                  <c:v>12.5</c:v>
                </c:pt>
                <c:pt idx="41">
                  <c:v>15.5</c:v>
                </c:pt>
                <c:pt idx="42">
                  <c:v>15.8</c:v>
                </c:pt>
                <c:pt idx="43">
                  <c:v>9.6</c:v>
                </c:pt>
                <c:pt idx="44">
                  <c:v>10.6</c:v>
                </c:pt>
                <c:pt idx="45">
                  <c:v>10.199999999999999</c:v>
                </c:pt>
                <c:pt idx="46">
                  <c:v>11.3</c:v>
                </c:pt>
                <c:pt idx="47" formatCode="0.0">
                  <c:v>17</c:v>
                </c:pt>
                <c:pt idx="48">
                  <c:v>10.4</c:v>
                </c:pt>
                <c:pt idx="49">
                  <c:v>9.4</c:v>
                </c:pt>
              </c:numCache>
            </c:numRef>
          </c:xVal>
          <c:yVal>
            <c:numRef>
              <c:f>'Corr 2'!$C$4:$C$53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yVal>
        </c:ser>
        <c:axId val="287476352"/>
        <c:axId val="287482624"/>
      </c:scatterChart>
      <c:valAx>
        <c:axId val="287476352"/>
        <c:scaling>
          <c:orientation val="minMax"/>
          <c:max val="25"/>
          <c:min val="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Poverty Rate</a:t>
                </a:r>
              </a:p>
            </c:rich>
          </c:tx>
        </c:title>
        <c:numFmt formatCode="General" sourceLinked="1"/>
        <c:tickLblPos val="nextTo"/>
        <c:crossAx val="287482624"/>
        <c:crosses val="autoZero"/>
        <c:crossBetween val="midCat"/>
      </c:valAx>
      <c:valAx>
        <c:axId val="287482624"/>
        <c:scaling>
          <c:orientation val="minMax"/>
          <c:min val="4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Infant Mortality</a:t>
                </a:r>
              </a:p>
            </c:rich>
          </c:tx>
        </c:title>
        <c:numFmt formatCode="0.0" sourceLinked="1"/>
        <c:tickLblPos val="nextTo"/>
        <c:crossAx val="28747635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Raw Data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'Spearman Rho 1'!$A$4:$A$13</c:f>
              <c:numCache>
                <c:formatCode>General</c:formatCode>
                <c:ptCount val="10"/>
                <c:pt idx="0">
                  <c:v>99</c:v>
                </c:pt>
                <c:pt idx="1">
                  <c:v>120</c:v>
                </c:pt>
                <c:pt idx="2">
                  <c:v>98</c:v>
                </c:pt>
                <c:pt idx="3">
                  <c:v>102</c:v>
                </c:pt>
                <c:pt idx="4">
                  <c:v>123</c:v>
                </c:pt>
                <c:pt idx="5">
                  <c:v>105</c:v>
                </c:pt>
                <c:pt idx="6">
                  <c:v>85</c:v>
                </c:pt>
                <c:pt idx="7">
                  <c:v>110</c:v>
                </c:pt>
                <c:pt idx="8">
                  <c:v>117</c:v>
                </c:pt>
                <c:pt idx="9">
                  <c:v>90</c:v>
                </c:pt>
              </c:numCache>
            </c:numRef>
          </c:xVal>
          <c:yVal>
            <c:numRef>
              <c:f>'Spearman Rho 1'!$B$4:$B$13</c:f>
              <c:numCache>
                <c:formatCode>General</c:formatCode>
                <c:ptCount val="10"/>
                <c:pt idx="0">
                  <c:v>2</c:v>
                </c:pt>
                <c:pt idx="1">
                  <c:v>0</c:v>
                </c:pt>
                <c:pt idx="2">
                  <c:v>25</c:v>
                </c:pt>
                <c:pt idx="3">
                  <c:v>45</c:v>
                </c:pt>
                <c:pt idx="4">
                  <c:v>14</c:v>
                </c:pt>
                <c:pt idx="5">
                  <c:v>20</c:v>
                </c:pt>
                <c:pt idx="6">
                  <c:v>15</c:v>
                </c:pt>
                <c:pt idx="7">
                  <c:v>19</c:v>
                </c:pt>
                <c:pt idx="8">
                  <c:v>22</c:v>
                </c:pt>
                <c:pt idx="9">
                  <c:v>4</c:v>
                </c:pt>
              </c:numCache>
            </c:numRef>
          </c:yVal>
        </c:ser>
        <c:axId val="287022464"/>
        <c:axId val="287487872"/>
      </c:scatterChart>
      <c:valAx>
        <c:axId val="287022464"/>
        <c:scaling>
          <c:orientation val="minMax"/>
          <c:min val="8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IQ</a:t>
                </a:r>
              </a:p>
            </c:rich>
          </c:tx>
        </c:title>
        <c:numFmt formatCode="General" sourceLinked="1"/>
        <c:tickLblPos val="nextTo"/>
        <c:crossAx val="287487872"/>
        <c:crosses val="autoZero"/>
        <c:crossBetween val="midCat"/>
      </c:valAx>
      <c:valAx>
        <c:axId val="28748787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Rap Music</a:t>
                </a:r>
              </a:p>
            </c:rich>
          </c:tx>
        </c:title>
        <c:numFmt formatCode="General" sourceLinked="1"/>
        <c:tickLblPos val="nextTo"/>
        <c:crossAx val="28702246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Ranked Data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'Spearman Rho 1'!$C$4:$C$13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'Spearman Rho 1'!$D$4:$D$13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</c:ser>
        <c:axId val="287045504"/>
        <c:axId val="287719424"/>
      </c:scatterChart>
      <c:valAx>
        <c:axId val="2870455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IQ</a:t>
                </a:r>
              </a:p>
            </c:rich>
          </c:tx>
        </c:title>
        <c:numFmt formatCode="General" sourceLinked="1"/>
        <c:tickLblPos val="nextTo"/>
        <c:crossAx val="287719424"/>
        <c:crosses val="autoZero"/>
        <c:crossBetween val="midCat"/>
      </c:valAx>
      <c:valAx>
        <c:axId val="28771942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Rap Music</a:t>
                </a:r>
              </a:p>
            </c:rich>
          </c:tx>
        </c:title>
        <c:numFmt formatCode="General" sourceLinked="1"/>
        <c:tickLblPos val="nextTo"/>
        <c:crossAx val="28704550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Longevity</a:t>
            </a:r>
            <a:r>
              <a:rPr lang="en-US" sz="1600" baseline="0"/>
              <a:t> vs Smoking</a:t>
            </a:r>
            <a:endParaRPr lang="en-US" sz="1600"/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'Reg 1'!$B$3</c:f>
              <c:strCache>
                <c:ptCount val="1"/>
                <c:pt idx="0">
                  <c:v>Life Exp (y)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</c:trendline>
          <c:xVal>
            <c:numRef>
              <c:f>'Reg 1'!$A$4:$A$18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'Reg 1'!$B$4:$B$18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53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</c:ser>
        <c:axId val="288121600"/>
        <c:axId val="288123520"/>
      </c:scatterChart>
      <c:valAx>
        <c:axId val="288121600"/>
        <c:scaling>
          <c:orientation val="minMax"/>
          <c:max val="5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Cigarettes smoked (per day)</a:t>
                </a:r>
              </a:p>
            </c:rich>
          </c:tx>
        </c:title>
        <c:numFmt formatCode="General" sourceLinked="1"/>
        <c:tickLblPos val="nextTo"/>
        <c:crossAx val="288123520"/>
        <c:crosses val="autoZero"/>
        <c:crossBetween val="midCat"/>
      </c:valAx>
      <c:valAx>
        <c:axId val="288123520"/>
        <c:scaling>
          <c:orientation val="minMax"/>
          <c:min val="5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Life Expectancy (years)</a:t>
                </a:r>
              </a:p>
            </c:rich>
          </c:tx>
        </c:title>
        <c:numFmt formatCode="General" sourceLinked="1"/>
        <c:tickLblPos val="nextTo"/>
        <c:crossAx val="28812160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Cig (x)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'Reg 2'!$A$4:$A$18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'Reg 4'!$T$5:$T$19</c:f>
              <c:numCache>
                <c:formatCode>General</c:formatCode>
                <c:ptCount val="15"/>
                <c:pt idx="0">
                  <c:v>-2.5794191686621133</c:v>
                </c:pt>
                <c:pt idx="1">
                  <c:v>6.7281881254988747</c:v>
                </c:pt>
                <c:pt idx="2">
                  <c:v>-10.015411064038801</c:v>
                </c:pt>
                <c:pt idx="3">
                  <c:v>-2.5668017437219817</c:v>
                </c:pt>
                <c:pt idx="4">
                  <c:v>9.958985694111874</c:v>
                </c:pt>
                <c:pt idx="5">
                  <c:v>3.30518204703138</c:v>
                </c:pt>
                <c:pt idx="6">
                  <c:v>-10.207619573893282</c:v>
                </c:pt>
                <c:pt idx="7">
                  <c:v>9.6127893411923679</c:v>
                </c:pt>
                <c:pt idx="8">
                  <c:v>2.1897832627248874</c:v>
                </c:pt>
                <c:pt idx="9">
                  <c:v>1.2153865045742123</c:v>
                </c:pt>
                <c:pt idx="10">
                  <c:v>-8.9256155215816193</c:v>
                </c:pt>
                <c:pt idx="11">
                  <c:v>8.2665929882728619</c:v>
                </c:pt>
                <c:pt idx="12">
                  <c:v>-9.5026094431141246</c:v>
                </c:pt>
                <c:pt idx="13">
                  <c:v>8.7923804261067176</c:v>
                </c:pt>
                <c:pt idx="14">
                  <c:v>-6.2718118745011253</c:v>
                </c:pt>
              </c:numCache>
            </c:numRef>
          </c:yVal>
        </c:ser>
        <c:axId val="288222208"/>
        <c:axId val="288507008"/>
      </c:scatterChart>
      <c:valAx>
        <c:axId val="2882222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Cig (x)</a:t>
                </a:r>
              </a:p>
            </c:rich>
          </c:tx>
        </c:title>
        <c:numFmt formatCode="General" sourceLinked="1"/>
        <c:tickLblPos val="nextTo"/>
        <c:crossAx val="288507008"/>
        <c:crosses val="autoZero"/>
        <c:crossBetween val="midCat"/>
      </c:valAx>
      <c:valAx>
        <c:axId val="28850700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8822220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'Reg 4'!$W$5:$W$19</c:f>
              <c:numCache>
                <c:formatCode>General</c:formatCode>
                <c:ptCount val="15"/>
                <c:pt idx="0">
                  <c:v>3.3333333333333335</c:v>
                </c:pt>
                <c:pt idx="1">
                  <c:v>10</c:v>
                </c:pt>
                <c:pt idx="2">
                  <c:v>16.666666666666668</c:v>
                </c:pt>
                <c:pt idx="3">
                  <c:v>23.333333333333332</c:v>
                </c:pt>
                <c:pt idx="4">
                  <c:v>30</c:v>
                </c:pt>
                <c:pt idx="5">
                  <c:v>36.666666666666671</c:v>
                </c:pt>
                <c:pt idx="6">
                  <c:v>43.333333333333336</c:v>
                </c:pt>
                <c:pt idx="7">
                  <c:v>50.000000000000007</c:v>
                </c:pt>
                <c:pt idx="8">
                  <c:v>56.666666666666671</c:v>
                </c:pt>
                <c:pt idx="9">
                  <c:v>63.333333333333336</c:v>
                </c:pt>
                <c:pt idx="10">
                  <c:v>70</c:v>
                </c:pt>
                <c:pt idx="11">
                  <c:v>76.666666666666671</c:v>
                </c:pt>
                <c:pt idx="12">
                  <c:v>83.333333333333329</c:v>
                </c:pt>
                <c:pt idx="13">
                  <c:v>90</c:v>
                </c:pt>
                <c:pt idx="14">
                  <c:v>96.666666666666671</c:v>
                </c:pt>
              </c:numCache>
            </c:numRef>
          </c:xVal>
          <c:yVal>
            <c:numRef>
              <c:f>'Reg 4'!$X$5:$X$19</c:f>
              <c:numCache>
                <c:formatCode>General</c:formatCode>
                <c:ptCount val="15"/>
                <c:pt idx="0">
                  <c:v>53</c:v>
                </c:pt>
                <c:pt idx="1">
                  <c:v>58</c:v>
                </c:pt>
                <c:pt idx="2">
                  <c:v>60</c:v>
                </c:pt>
                <c:pt idx="3">
                  <c:v>65</c:v>
                </c:pt>
                <c:pt idx="4">
                  <c:v>68</c:v>
                </c:pt>
                <c:pt idx="5">
                  <c:v>72</c:v>
                </c:pt>
                <c:pt idx="6">
                  <c:v>73</c:v>
                </c:pt>
                <c:pt idx="7">
                  <c:v>75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84</c:v>
                </c:pt>
                <c:pt idx="13">
                  <c:v>85</c:v>
                </c:pt>
                <c:pt idx="14">
                  <c:v>92</c:v>
                </c:pt>
              </c:numCache>
            </c:numRef>
          </c:yVal>
        </c:ser>
        <c:axId val="288547584"/>
        <c:axId val="288549504"/>
      </c:scatterChart>
      <c:valAx>
        <c:axId val="2885475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</c:title>
        <c:numFmt formatCode="General" sourceLinked="1"/>
        <c:tickLblPos val="nextTo"/>
        <c:crossAx val="288549504"/>
        <c:crosses val="autoZero"/>
        <c:crossBetween val="midCat"/>
      </c:valAx>
      <c:valAx>
        <c:axId val="28854950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Life Exp (y)</a:t>
                </a:r>
              </a:p>
            </c:rich>
          </c:tx>
        </c:title>
        <c:numFmt formatCode="General" sourceLinked="1"/>
        <c:tickLblPos val="nextTo"/>
        <c:crossAx val="28854758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Cig (x)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Life Exp (y)</c:v>
          </c:tx>
          <c:spPr>
            <a:ln w="28575">
              <a:noFill/>
            </a:ln>
          </c:spPr>
          <c:xVal>
            <c:numRef>
              <c:f>'Reg 2'!$A$4:$A$18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'Reg 2'!$B$4:$B$18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53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</c:ser>
        <c:ser>
          <c:idx val="1"/>
          <c:order val="1"/>
          <c:tx>
            <c:v>Predicted Life Exp (y)</c:v>
          </c:tx>
          <c:spPr>
            <a:ln w="28575">
              <a:noFill/>
            </a:ln>
          </c:spPr>
          <c:dPt>
            <c:idx val="5"/>
            <c:marker>
              <c:symbol val="square"/>
              <c:size val="6"/>
            </c:marker>
          </c:dPt>
          <c:xVal>
            <c:numRef>
              <c:f>'Reg 2'!$A$4:$A$18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'Reg 4'!$S$5:$S$19</c:f>
              <c:numCache>
                <c:formatCode>General</c:formatCode>
                <c:ptCount val="15"/>
                <c:pt idx="0">
                  <c:v>82.579419168662113</c:v>
                </c:pt>
                <c:pt idx="1">
                  <c:v>71.271811874501125</c:v>
                </c:pt>
                <c:pt idx="2">
                  <c:v>70.015411064038801</c:v>
                </c:pt>
                <c:pt idx="3">
                  <c:v>55.566801743721982</c:v>
                </c:pt>
                <c:pt idx="4">
                  <c:v>75.041014305888126</c:v>
                </c:pt>
                <c:pt idx="5">
                  <c:v>80.69481795296862</c:v>
                </c:pt>
                <c:pt idx="6">
                  <c:v>83.207619573893282</c:v>
                </c:pt>
                <c:pt idx="7">
                  <c:v>69.387210658807632</c:v>
                </c:pt>
                <c:pt idx="8">
                  <c:v>78.810216737275113</c:v>
                </c:pt>
                <c:pt idx="9">
                  <c:v>73.784613495425788</c:v>
                </c:pt>
                <c:pt idx="10">
                  <c:v>76.925615521581619</c:v>
                </c:pt>
                <c:pt idx="11">
                  <c:v>63.733407011727138</c:v>
                </c:pt>
                <c:pt idx="12">
                  <c:v>67.502609443114125</c:v>
                </c:pt>
                <c:pt idx="13">
                  <c:v>83.207619573893282</c:v>
                </c:pt>
                <c:pt idx="14">
                  <c:v>71.271811874501125</c:v>
                </c:pt>
              </c:numCache>
            </c:numRef>
          </c:yVal>
        </c:ser>
        <c:axId val="289348608"/>
        <c:axId val="289391744"/>
      </c:scatterChart>
      <c:valAx>
        <c:axId val="2893486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Cig (x)</a:t>
                </a:r>
              </a:p>
            </c:rich>
          </c:tx>
        </c:title>
        <c:numFmt formatCode="General" sourceLinked="1"/>
        <c:tickLblPos val="nextTo"/>
        <c:crossAx val="289391744"/>
        <c:crosses val="autoZero"/>
        <c:crossBetween val="midCat"/>
      </c:valAx>
      <c:valAx>
        <c:axId val="28939174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Life Exp (y)</a:t>
                </a:r>
              </a:p>
            </c:rich>
          </c:tx>
        </c:title>
        <c:numFmt formatCode="General" sourceLinked="1"/>
        <c:tickLblPos val="nextTo"/>
        <c:crossAx val="289348608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Men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</c:trendline>
          <c:xVal>
            <c:numRef>
              <c:f>'Reg 5'!$A$5:$A$19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'Reg 5'!$B$5:$B$19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53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</c:ser>
        <c:axId val="289429760"/>
        <c:axId val="289444224"/>
      </c:scatterChart>
      <c:valAx>
        <c:axId val="2894297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Cigarettes</a:t>
                </a:r>
              </a:p>
            </c:rich>
          </c:tx>
        </c:title>
        <c:numFmt formatCode="General" sourceLinked="1"/>
        <c:tickLblPos val="nextTo"/>
        <c:crossAx val="289444224"/>
        <c:crosses val="autoZero"/>
        <c:crossBetween val="midCat"/>
      </c:valAx>
      <c:valAx>
        <c:axId val="289444224"/>
        <c:scaling>
          <c:orientation val="minMax"/>
          <c:max val="100"/>
          <c:min val="5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Longevity</a:t>
                </a:r>
              </a:p>
            </c:rich>
          </c:tx>
        </c:title>
        <c:numFmt formatCode="General" sourceLinked="1"/>
        <c:tickLblPos val="nextTo"/>
        <c:crossAx val="28942976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Women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</c:trendline>
          <c:xVal>
            <c:numRef>
              <c:f>'Reg 5'!$D$5:$D$20</c:f>
              <c:numCache>
                <c:formatCode>General</c:formatCode>
                <c:ptCount val="16"/>
                <c:pt idx="0">
                  <c:v>22</c:v>
                </c:pt>
                <c:pt idx="1">
                  <c:v>7</c:v>
                </c:pt>
                <c:pt idx="2">
                  <c:v>20</c:v>
                </c:pt>
                <c:pt idx="3">
                  <c:v>23</c:v>
                </c:pt>
                <c:pt idx="4">
                  <c:v>15</c:v>
                </c:pt>
                <c:pt idx="5">
                  <c:v>34</c:v>
                </c:pt>
                <c:pt idx="6">
                  <c:v>4</c:v>
                </c:pt>
                <c:pt idx="7">
                  <c:v>40</c:v>
                </c:pt>
                <c:pt idx="8">
                  <c:v>8</c:v>
                </c:pt>
                <c:pt idx="9">
                  <c:v>16</c:v>
                </c:pt>
                <c:pt idx="10">
                  <c:v>11</c:v>
                </c:pt>
                <c:pt idx="11">
                  <c:v>52</c:v>
                </c:pt>
                <c:pt idx="12">
                  <c:v>3</c:v>
                </c:pt>
                <c:pt idx="13">
                  <c:v>31</c:v>
                </c:pt>
                <c:pt idx="14">
                  <c:v>18</c:v>
                </c:pt>
                <c:pt idx="15">
                  <c:v>8</c:v>
                </c:pt>
              </c:numCache>
            </c:numRef>
          </c:xVal>
          <c:yVal>
            <c:numRef>
              <c:f>'Reg 5'!$E$5:$E$20</c:f>
              <c:numCache>
                <c:formatCode>General</c:formatCode>
                <c:ptCount val="16"/>
                <c:pt idx="0">
                  <c:v>88</c:v>
                </c:pt>
                <c:pt idx="1">
                  <c:v>95</c:v>
                </c:pt>
                <c:pt idx="2">
                  <c:v>86</c:v>
                </c:pt>
                <c:pt idx="3">
                  <c:v>60</c:v>
                </c:pt>
                <c:pt idx="4">
                  <c:v>82</c:v>
                </c:pt>
                <c:pt idx="5">
                  <c:v>75</c:v>
                </c:pt>
                <c:pt idx="6">
                  <c:v>80</c:v>
                </c:pt>
                <c:pt idx="7">
                  <c:v>68</c:v>
                </c:pt>
                <c:pt idx="8">
                  <c:v>93</c:v>
                </c:pt>
                <c:pt idx="9">
                  <c:v>77</c:v>
                </c:pt>
                <c:pt idx="10">
                  <c:v>72</c:v>
                </c:pt>
                <c:pt idx="11">
                  <c:v>67</c:v>
                </c:pt>
                <c:pt idx="12">
                  <c:v>90</c:v>
                </c:pt>
                <c:pt idx="13">
                  <c:v>66</c:v>
                </c:pt>
                <c:pt idx="14">
                  <c:v>72</c:v>
                </c:pt>
                <c:pt idx="15">
                  <c:v>78</c:v>
                </c:pt>
              </c:numCache>
            </c:numRef>
          </c:yVal>
        </c:ser>
        <c:axId val="289485568"/>
        <c:axId val="289487488"/>
      </c:scatterChart>
      <c:valAx>
        <c:axId val="2894855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Cigarettes</a:t>
                </a:r>
              </a:p>
            </c:rich>
          </c:tx>
        </c:title>
        <c:numFmt formatCode="General" sourceLinked="1"/>
        <c:tickLblPos val="nextTo"/>
        <c:crossAx val="289487488"/>
        <c:crosses val="autoZero"/>
        <c:crossBetween val="midCat"/>
      </c:valAx>
      <c:valAx>
        <c:axId val="289487488"/>
        <c:scaling>
          <c:orientation val="minMax"/>
          <c:max val="100"/>
          <c:min val="5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Longevity</a:t>
                </a:r>
              </a:p>
            </c:rich>
          </c:tx>
        </c:title>
        <c:numFmt formatCode="General" sourceLinked="1"/>
        <c:tickLblPos val="nextTo"/>
        <c:crossAx val="28948556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Log Transformation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</c:trendline>
          <c:xVal>
            <c:numRef>
              <c:f>'Exp Reg'!$D$6:$D$16</c:f>
              <c:numCache>
                <c:formatCode>General</c:formatCode>
                <c:ptCount val="11"/>
                <c:pt idx="0">
                  <c:v>45</c:v>
                </c:pt>
                <c:pt idx="1">
                  <c:v>99</c:v>
                </c:pt>
                <c:pt idx="2">
                  <c:v>31</c:v>
                </c:pt>
                <c:pt idx="3">
                  <c:v>57</c:v>
                </c:pt>
                <c:pt idx="4">
                  <c:v>37</c:v>
                </c:pt>
                <c:pt idx="5">
                  <c:v>85</c:v>
                </c:pt>
                <c:pt idx="6">
                  <c:v>21</c:v>
                </c:pt>
                <c:pt idx="7">
                  <c:v>64</c:v>
                </c:pt>
                <c:pt idx="8">
                  <c:v>17</c:v>
                </c:pt>
                <c:pt idx="9">
                  <c:v>41</c:v>
                </c:pt>
                <c:pt idx="10">
                  <c:v>103</c:v>
                </c:pt>
              </c:numCache>
            </c:numRef>
          </c:xVal>
          <c:yVal>
            <c:numRef>
              <c:f>'Exp Reg'!$E$6:$E$16</c:f>
              <c:numCache>
                <c:formatCode>General</c:formatCode>
                <c:ptCount val="11"/>
                <c:pt idx="0">
                  <c:v>3.4965075614664802</c:v>
                </c:pt>
                <c:pt idx="1">
                  <c:v>4.2766661190160553</c:v>
                </c:pt>
                <c:pt idx="2">
                  <c:v>2.9444389791664403</c:v>
                </c:pt>
                <c:pt idx="3">
                  <c:v>3.2958368660043291</c:v>
                </c:pt>
                <c:pt idx="4">
                  <c:v>3.1354942159291497</c:v>
                </c:pt>
                <c:pt idx="5">
                  <c:v>4.1271343850450917</c:v>
                </c:pt>
                <c:pt idx="6">
                  <c:v>3.1780538303479458</c:v>
                </c:pt>
                <c:pt idx="7">
                  <c:v>3.4657359027997265</c:v>
                </c:pt>
                <c:pt idx="8">
                  <c:v>2.8903717578961645</c:v>
                </c:pt>
                <c:pt idx="9">
                  <c:v>3.5835189384561099</c:v>
                </c:pt>
                <c:pt idx="10">
                  <c:v>4.3307333402863311</c:v>
                </c:pt>
              </c:numCache>
            </c:numRef>
          </c:yVal>
        </c:ser>
        <c:axId val="287522176"/>
        <c:axId val="287564928"/>
      </c:scatterChart>
      <c:valAx>
        <c:axId val="287522176"/>
        <c:scaling>
          <c:orientation val="minMax"/>
        </c:scaling>
        <c:axPos val="b"/>
        <c:numFmt formatCode="General" sourceLinked="1"/>
        <c:tickLblPos val="nextTo"/>
        <c:crossAx val="287564928"/>
        <c:crosses val="autoZero"/>
        <c:crossBetween val="midCat"/>
      </c:valAx>
      <c:valAx>
        <c:axId val="287564928"/>
        <c:scaling>
          <c:orientation val="minMax"/>
          <c:min val="2.5"/>
        </c:scaling>
        <c:axPos val="l"/>
        <c:majorGridlines/>
        <c:numFmt formatCode="General" sourceLinked="1"/>
        <c:tickLblPos val="nextTo"/>
        <c:crossAx val="28752217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Original Data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exp"/>
          </c:trendline>
          <c:xVal>
            <c:numRef>
              <c:f>'Exp Reg'!$A$6:$A$16</c:f>
              <c:numCache>
                <c:formatCode>General</c:formatCode>
                <c:ptCount val="11"/>
                <c:pt idx="0">
                  <c:v>45</c:v>
                </c:pt>
                <c:pt idx="1">
                  <c:v>99</c:v>
                </c:pt>
                <c:pt idx="2">
                  <c:v>31</c:v>
                </c:pt>
                <c:pt idx="3">
                  <c:v>57</c:v>
                </c:pt>
                <c:pt idx="4">
                  <c:v>37</c:v>
                </c:pt>
                <c:pt idx="5">
                  <c:v>85</c:v>
                </c:pt>
                <c:pt idx="6">
                  <c:v>21</c:v>
                </c:pt>
                <c:pt idx="7">
                  <c:v>64</c:v>
                </c:pt>
                <c:pt idx="8">
                  <c:v>17</c:v>
                </c:pt>
                <c:pt idx="9">
                  <c:v>41</c:v>
                </c:pt>
                <c:pt idx="10">
                  <c:v>103</c:v>
                </c:pt>
              </c:numCache>
            </c:numRef>
          </c:xVal>
          <c:yVal>
            <c:numRef>
              <c:f>'Exp Reg'!$B$6:$B$16</c:f>
              <c:numCache>
                <c:formatCode>General</c:formatCode>
                <c:ptCount val="11"/>
                <c:pt idx="0">
                  <c:v>33</c:v>
                </c:pt>
                <c:pt idx="1">
                  <c:v>72</c:v>
                </c:pt>
                <c:pt idx="2">
                  <c:v>19</c:v>
                </c:pt>
                <c:pt idx="3">
                  <c:v>27</c:v>
                </c:pt>
                <c:pt idx="4">
                  <c:v>23</c:v>
                </c:pt>
                <c:pt idx="5">
                  <c:v>62</c:v>
                </c:pt>
                <c:pt idx="6">
                  <c:v>24</c:v>
                </c:pt>
                <c:pt idx="7">
                  <c:v>32</c:v>
                </c:pt>
                <c:pt idx="8">
                  <c:v>18</c:v>
                </c:pt>
                <c:pt idx="9">
                  <c:v>36</c:v>
                </c:pt>
                <c:pt idx="10">
                  <c:v>76</c:v>
                </c:pt>
              </c:numCache>
            </c:numRef>
          </c:yVal>
        </c:ser>
        <c:axId val="288179328"/>
        <c:axId val="288180864"/>
      </c:scatterChart>
      <c:valAx>
        <c:axId val="288179328"/>
        <c:scaling>
          <c:orientation val="minMax"/>
        </c:scaling>
        <c:axPos val="b"/>
        <c:numFmt formatCode="General" sourceLinked="1"/>
        <c:tickLblPos val="nextTo"/>
        <c:crossAx val="288180864"/>
        <c:crosses val="autoZero"/>
        <c:crossBetween val="midCat"/>
      </c:valAx>
      <c:valAx>
        <c:axId val="288180864"/>
        <c:scaling>
          <c:orientation val="minMax"/>
        </c:scaling>
        <c:axPos val="l"/>
        <c:majorGridlines/>
        <c:numFmt formatCode="General" sourceLinked="1"/>
        <c:tickLblPos val="nextTo"/>
        <c:crossAx val="28817932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Original Data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power"/>
          </c:trendline>
          <c:xVal>
            <c:numRef>
              <c:f>'Pow Reg'!$A$6:$A$16</c:f>
              <c:numCache>
                <c:formatCode>General</c:formatCode>
                <c:ptCount val="11"/>
                <c:pt idx="0">
                  <c:v>8.1</c:v>
                </c:pt>
                <c:pt idx="1">
                  <c:v>69.900000000000006</c:v>
                </c:pt>
                <c:pt idx="2">
                  <c:v>4.2</c:v>
                </c:pt>
                <c:pt idx="3">
                  <c:v>14.1</c:v>
                </c:pt>
                <c:pt idx="4">
                  <c:v>5.6</c:v>
                </c:pt>
                <c:pt idx="5">
                  <c:v>52.1</c:v>
                </c:pt>
                <c:pt idx="6">
                  <c:v>44.6</c:v>
                </c:pt>
                <c:pt idx="7">
                  <c:v>19.600000000000001</c:v>
                </c:pt>
                <c:pt idx="8">
                  <c:v>33</c:v>
                </c:pt>
                <c:pt idx="9">
                  <c:v>6.7</c:v>
                </c:pt>
                <c:pt idx="10">
                  <c:v>30.1</c:v>
                </c:pt>
              </c:numCache>
            </c:numRef>
          </c:xVal>
          <c:yVal>
            <c:numRef>
              <c:f>'Pow Reg'!$B$6:$B$16</c:f>
              <c:numCache>
                <c:formatCode>General</c:formatCode>
                <c:ptCount val="11"/>
                <c:pt idx="0">
                  <c:v>33</c:v>
                </c:pt>
                <c:pt idx="1">
                  <c:v>49</c:v>
                </c:pt>
                <c:pt idx="2">
                  <c:v>18.999999999999996</c:v>
                </c:pt>
                <c:pt idx="3">
                  <c:v>27</c:v>
                </c:pt>
                <c:pt idx="4">
                  <c:v>23</c:v>
                </c:pt>
                <c:pt idx="5">
                  <c:v>51</c:v>
                </c:pt>
                <c:pt idx="6">
                  <c:v>34</c:v>
                </c:pt>
                <c:pt idx="7">
                  <c:v>32</c:v>
                </c:pt>
                <c:pt idx="8">
                  <c:v>28</c:v>
                </c:pt>
                <c:pt idx="9">
                  <c:v>36</c:v>
                </c:pt>
                <c:pt idx="10">
                  <c:v>43</c:v>
                </c:pt>
              </c:numCache>
            </c:numRef>
          </c:yVal>
        </c:ser>
        <c:axId val="287644672"/>
        <c:axId val="287658752"/>
      </c:scatterChart>
      <c:valAx>
        <c:axId val="287644672"/>
        <c:scaling>
          <c:orientation val="minMax"/>
        </c:scaling>
        <c:axPos val="b"/>
        <c:numFmt formatCode="General" sourceLinked="1"/>
        <c:tickLblPos val="nextTo"/>
        <c:crossAx val="287658752"/>
        <c:crosses val="autoZero"/>
        <c:crossBetween val="midCat"/>
      </c:valAx>
      <c:valAx>
        <c:axId val="287658752"/>
        <c:scaling>
          <c:orientation val="minMax"/>
          <c:min val="15"/>
        </c:scaling>
        <c:axPos val="l"/>
        <c:majorGridlines/>
        <c:numFmt formatCode="General" sourceLinked="1"/>
        <c:tickLblPos val="nextTo"/>
        <c:crossAx val="28764467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Log-Log Transformation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</c:trendline>
          <c:xVal>
            <c:numRef>
              <c:f>'Pow Reg'!$D$6:$D$16</c:f>
              <c:numCache>
                <c:formatCode>General</c:formatCode>
                <c:ptCount val="11"/>
                <c:pt idx="0">
                  <c:v>2.0918640616783932</c:v>
                </c:pt>
                <c:pt idx="1">
                  <c:v>4.2470656492397643</c:v>
                </c:pt>
                <c:pt idx="2">
                  <c:v>1.4350845252893227</c:v>
                </c:pt>
                <c:pt idx="3">
                  <c:v>2.6461747973841225</c:v>
                </c:pt>
                <c:pt idx="4">
                  <c:v>1.7227665977411035</c:v>
                </c:pt>
                <c:pt idx="5">
                  <c:v>3.9531649487593215</c:v>
                </c:pt>
                <c:pt idx="6">
                  <c:v>3.7977338590260183</c:v>
                </c:pt>
                <c:pt idx="7">
                  <c:v>2.9755295662364718</c:v>
                </c:pt>
                <c:pt idx="8">
                  <c:v>3.4965075614664802</c:v>
                </c:pt>
                <c:pt idx="9">
                  <c:v>1.9021075263969205</c:v>
                </c:pt>
                <c:pt idx="10">
                  <c:v>3.4045251717548299</c:v>
                </c:pt>
              </c:numCache>
            </c:numRef>
          </c:xVal>
          <c:yVal>
            <c:numRef>
              <c:f>'Pow Reg'!$E$6:$E$16</c:f>
              <c:numCache>
                <c:formatCode>General</c:formatCode>
                <c:ptCount val="11"/>
                <c:pt idx="0">
                  <c:v>3.4965075614664802</c:v>
                </c:pt>
                <c:pt idx="1">
                  <c:v>3.8918202981106265</c:v>
                </c:pt>
                <c:pt idx="2">
                  <c:v>2.9444389791664403</c:v>
                </c:pt>
                <c:pt idx="3">
                  <c:v>3.2958368660043291</c:v>
                </c:pt>
                <c:pt idx="4">
                  <c:v>3.1354942159291497</c:v>
                </c:pt>
                <c:pt idx="5">
                  <c:v>3.9318256327243257</c:v>
                </c:pt>
                <c:pt idx="6">
                  <c:v>3.5263605246161616</c:v>
                </c:pt>
                <c:pt idx="7">
                  <c:v>3.4657359027997265</c:v>
                </c:pt>
                <c:pt idx="8">
                  <c:v>3.3322045101752038</c:v>
                </c:pt>
                <c:pt idx="9">
                  <c:v>3.5835189384561099</c:v>
                </c:pt>
                <c:pt idx="10">
                  <c:v>3.7612001156935624</c:v>
                </c:pt>
              </c:numCache>
            </c:numRef>
          </c:yVal>
        </c:ser>
        <c:axId val="287548160"/>
        <c:axId val="287549696"/>
      </c:scatterChart>
      <c:valAx>
        <c:axId val="287548160"/>
        <c:scaling>
          <c:orientation val="minMax"/>
          <c:min val="1"/>
        </c:scaling>
        <c:axPos val="b"/>
        <c:numFmt formatCode="General" sourceLinked="1"/>
        <c:tickLblPos val="nextTo"/>
        <c:crossAx val="287549696"/>
        <c:crosses val="autoZero"/>
        <c:crossBetween val="midCat"/>
      </c:valAx>
      <c:valAx>
        <c:axId val="287549696"/>
        <c:scaling>
          <c:orientation val="minMax"/>
          <c:min val="2.5"/>
        </c:scaling>
        <c:axPos val="l"/>
        <c:majorGridlines/>
        <c:numFmt formatCode="General" sourceLinked="1"/>
        <c:tickLblPos val="nextTo"/>
        <c:crossAx val="28754816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x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'Reg T 1'!$D$4:$D$23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1A'!$C$25:$C$44</c:f>
              <c:numCache>
                <c:formatCode>General</c:formatCode>
                <c:ptCount val="20"/>
                <c:pt idx="0">
                  <c:v>-2</c:v>
                </c:pt>
                <c:pt idx="1">
                  <c:v>2</c:v>
                </c:pt>
                <c:pt idx="2">
                  <c:v>4</c:v>
                </c:pt>
                <c:pt idx="3">
                  <c:v>-4</c:v>
                </c:pt>
                <c:pt idx="4">
                  <c:v>5</c:v>
                </c:pt>
                <c:pt idx="5">
                  <c:v>0</c:v>
                </c:pt>
                <c:pt idx="6">
                  <c:v>3</c:v>
                </c:pt>
                <c:pt idx="7">
                  <c:v>-6</c:v>
                </c:pt>
                <c:pt idx="8">
                  <c:v>-3</c:v>
                </c:pt>
                <c:pt idx="9">
                  <c:v>1</c:v>
                </c:pt>
                <c:pt idx="10">
                  <c:v>0.89999999999999858</c:v>
                </c:pt>
                <c:pt idx="11">
                  <c:v>-3.1000000000000014</c:v>
                </c:pt>
                <c:pt idx="12">
                  <c:v>-5.1000000000000014</c:v>
                </c:pt>
                <c:pt idx="13">
                  <c:v>4.8999999999999986</c:v>
                </c:pt>
                <c:pt idx="14">
                  <c:v>0.89999999999999858</c:v>
                </c:pt>
                <c:pt idx="15">
                  <c:v>2.8999999999999986</c:v>
                </c:pt>
                <c:pt idx="16">
                  <c:v>-1.1000000000000014</c:v>
                </c:pt>
                <c:pt idx="17">
                  <c:v>6.8999999999999986</c:v>
                </c:pt>
                <c:pt idx="18">
                  <c:v>-7.1000000000000014</c:v>
                </c:pt>
                <c:pt idx="19">
                  <c:v>-0.10000000000000142</c:v>
                </c:pt>
              </c:numCache>
            </c:numRef>
          </c:yVal>
        </c:ser>
        <c:axId val="289286016"/>
        <c:axId val="289308672"/>
      </c:scatterChart>
      <c:valAx>
        <c:axId val="2892860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</c:title>
        <c:numFmt formatCode="General" sourceLinked="1"/>
        <c:tickLblPos val="nextTo"/>
        <c:crossAx val="289308672"/>
        <c:crosses val="autoZero"/>
        <c:crossBetween val="midCat"/>
      </c:valAx>
      <c:valAx>
        <c:axId val="28930867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8928601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x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'Reg T 1'!$D$4:$D$23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1A'!$C$25:$C$44</c:f>
              <c:numCache>
                <c:formatCode>General</c:formatCode>
                <c:ptCount val="20"/>
                <c:pt idx="0">
                  <c:v>-2</c:v>
                </c:pt>
                <c:pt idx="1">
                  <c:v>2</c:v>
                </c:pt>
                <c:pt idx="2">
                  <c:v>4</c:v>
                </c:pt>
                <c:pt idx="3">
                  <c:v>-4</c:v>
                </c:pt>
                <c:pt idx="4">
                  <c:v>5</c:v>
                </c:pt>
                <c:pt idx="5">
                  <c:v>0</c:v>
                </c:pt>
                <c:pt idx="6">
                  <c:v>3</c:v>
                </c:pt>
                <c:pt idx="7">
                  <c:v>-6</c:v>
                </c:pt>
                <c:pt idx="8">
                  <c:v>-3</c:v>
                </c:pt>
                <c:pt idx="9">
                  <c:v>1</c:v>
                </c:pt>
                <c:pt idx="10">
                  <c:v>0.89999999999999858</c:v>
                </c:pt>
                <c:pt idx="11">
                  <c:v>-3.1000000000000014</c:v>
                </c:pt>
                <c:pt idx="12">
                  <c:v>-5.1000000000000014</c:v>
                </c:pt>
                <c:pt idx="13">
                  <c:v>4.8999999999999986</c:v>
                </c:pt>
                <c:pt idx="14">
                  <c:v>0.89999999999999858</c:v>
                </c:pt>
                <c:pt idx="15">
                  <c:v>2.8999999999999986</c:v>
                </c:pt>
                <c:pt idx="16">
                  <c:v>-1.1000000000000014</c:v>
                </c:pt>
                <c:pt idx="17">
                  <c:v>6.8999999999999986</c:v>
                </c:pt>
                <c:pt idx="18">
                  <c:v>-7.1000000000000014</c:v>
                </c:pt>
                <c:pt idx="19">
                  <c:v>-0.10000000000000142</c:v>
                </c:pt>
              </c:numCache>
            </c:numRef>
          </c:yVal>
        </c:ser>
        <c:axId val="289230848"/>
        <c:axId val="289232768"/>
      </c:scatterChart>
      <c:valAx>
        <c:axId val="2892308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</c:title>
        <c:numFmt formatCode="General" sourceLinked="1"/>
        <c:tickLblPos val="nextTo"/>
        <c:crossAx val="289232768"/>
        <c:crosses val="autoZero"/>
        <c:crossBetween val="midCat"/>
      </c:valAx>
      <c:valAx>
        <c:axId val="28923276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8923084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x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'Reg T 1'!$D$4:$D$23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1'!$E$4:$E$23</c:f>
              <c:numCache>
                <c:formatCode>General</c:formatCode>
                <c:ptCount val="20"/>
                <c:pt idx="0">
                  <c:v>13</c:v>
                </c:pt>
                <c:pt idx="1">
                  <c:v>17</c:v>
                </c:pt>
                <c:pt idx="2">
                  <c:v>19</c:v>
                </c:pt>
                <c:pt idx="3">
                  <c:v>11</c:v>
                </c:pt>
                <c:pt idx="4">
                  <c:v>20</c:v>
                </c:pt>
                <c:pt idx="5">
                  <c:v>15</c:v>
                </c:pt>
                <c:pt idx="6">
                  <c:v>18</c:v>
                </c:pt>
                <c:pt idx="7">
                  <c:v>9</c:v>
                </c:pt>
                <c:pt idx="8">
                  <c:v>12</c:v>
                </c:pt>
                <c:pt idx="9">
                  <c:v>16</c:v>
                </c:pt>
                <c:pt idx="10">
                  <c:v>12</c:v>
                </c:pt>
                <c:pt idx="11">
                  <c:v>8</c:v>
                </c:pt>
                <c:pt idx="12">
                  <c:v>6</c:v>
                </c:pt>
                <c:pt idx="13">
                  <c:v>16</c:v>
                </c:pt>
                <c:pt idx="14">
                  <c:v>12</c:v>
                </c:pt>
                <c:pt idx="15">
                  <c:v>14</c:v>
                </c:pt>
                <c:pt idx="16">
                  <c:v>10</c:v>
                </c:pt>
                <c:pt idx="17">
                  <c:v>18</c:v>
                </c:pt>
                <c:pt idx="18">
                  <c:v>4</c:v>
                </c:pt>
                <c:pt idx="19">
                  <c:v>11</c:v>
                </c:pt>
              </c:numCache>
            </c:numRef>
          </c:yVal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'Reg T 1'!$D$4:$D$23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1A'!$B$25:$B$44</c:f>
              <c:numCache>
                <c:formatCode>General</c:formatCode>
                <c:ptCount val="20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11.100000000000001</c:v>
                </c:pt>
                <c:pt idx="11">
                  <c:v>11.100000000000001</c:v>
                </c:pt>
                <c:pt idx="12">
                  <c:v>11.100000000000001</c:v>
                </c:pt>
                <c:pt idx="13">
                  <c:v>11.100000000000001</c:v>
                </c:pt>
                <c:pt idx="14">
                  <c:v>11.100000000000001</c:v>
                </c:pt>
                <c:pt idx="15">
                  <c:v>11.100000000000001</c:v>
                </c:pt>
                <c:pt idx="16">
                  <c:v>11.100000000000001</c:v>
                </c:pt>
                <c:pt idx="17">
                  <c:v>11.100000000000001</c:v>
                </c:pt>
                <c:pt idx="18">
                  <c:v>11.100000000000001</c:v>
                </c:pt>
                <c:pt idx="19">
                  <c:v>11.100000000000001</c:v>
                </c:pt>
              </c:numCache>
            </c:numRef>
          </c:yVal>
        </c:ser>
        <c:axId val="289249536"/>
        <c:axId val="289255808"/>
      </c:scatterChart>
      <c:valAx>
        <c:axId val="2892495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</c:title>
        <c:numFmt formatCode="General" sourceLinked="1"/>
        <c:tickLblPos val="nextTo"/>
        <c:crossAx val="289255808"/>
        <c:crosses val="autoZero"/>
        <c:crossBetween val="midCat"/>
      </c:valAx>
      <c:valAx>
        <c:axId val="28925580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y</a:t>
                </a:r>
              </a:p>
            </c:rich>
          </c:tx>
        </c:title>
        <c:numFmt formatCode="General" sourceLinked="1"/>
        <c:tickLblPos val="nextTo"/>
        <c:crossAx val="289249536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'Reg T 1A'!$F$25:$F$44</c:f>
              <c:numCache>
                <c:formatCode>General</c:formatCode>
                <c:ptCount val="20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  <c:pt idx="18">
                  <c:v>92.5</c:v>
                </c:pt>
                <c:pt idx="19">
                  <c:v>97.5</c:v>
                </c:pt>
              </c:numCache>
            </c:numRef>
          </c:xVal>
          <c:yVal>
            <c:numRef>
              <c:f>'Reg T 1A'!$G$25:$G$44</c:f>
              <c:numCache>
                <c:formatCode>General</c:formatCode>
                <c:ptCount val="20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yVal>
        </c:ser>
        <c:axId val="289558912"/>
        <c:axId val="289560832"/>
      </c:scatterChart>
      <c:valAx>
        <c:axId val="2895589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</c:title>
        <c:numFmt formatCode="General" sourceLinked="1"/>
        <c:tickLblPos val="nextTo"/>
        <c:crossAx val="289560832"/>
        <c:crosses val="autoZero"/>
        <c:crossBetween val="midCat"/>
      </c:valAx>
      <c:valAx>
        <c:axId val="28956083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y</a:t>
                </a:r>
              </a:p>
            </c:rich>
          </c:tx>
        </c:title>
        <c:numFmt formatCode="General" sourceLinked="1"/>
        <c:tickLblPos val="nextTo"/>
        <c:crossAx val="28955891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x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'Reg T 2'!$D$4:$D$23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2A'!$C$25:$C$44</c:f>
              <c:numCache>
                <c:formatCode>General</c:formatCode>
                <c:ptCount val="20"/>
                <c:pt idx="0">
                  <c:v>0.5</c:v>
                </c:pt>
                <c:pt idx="1">
                  <c:v>18.5</c:v>
                </c:pt>
                <c:pt idx="2">
                  <c:v>-16.5</c:v>
                </c:pt>
                <c:pt idx="3">
                  <c:v>11.5</c:v>
                </c:pt>
                <c:pt idx="4">
                  <c:v>-28.5</c:v>
                </c:pt>
                <c:pt idx="5">
                  <c:v>-4.5</c:v>
                </c:pt>
                <c:pt idx="6">
                  <c:v>-2.5</c:v>
                </c:pt>
                <c:pt idx="7">
                  <c:v>-27.5</c:v>
                </c:pt>
                <c:pt idx="8">
                  <c:v>18.5</c:v>
                </c:pt>
                <c:pt idx="9">
                  <c:v>30.5</c:v>
                </c:pt>
                <c:pt idx="10">
                  <c:v>0.89999999999999503</c:v>
                </c:pt>
                <c:pt idx="11">
                  <c:v>-3.100000000000005</c:v>
                </c:pt>
                <c:pt idx="12">
                  <c:v>-5.100000000000005</c:v>
                </c:pt>
                <c:pt idx="13">
                  <c:v>4.899999999999995</c:v>
                </c:pt>
                <c:pt idx="14">
                  <c:v>0.89999999999999503</c:v>
                </c:pt>
                <c:pt idx="15">
                  <c:v>2.899999999999995</c:v>
                </c:pt>
                <c:pt idx="16">
                  <c:v>-1.100000000000005</c:v>
                </c:pt>
                <c:pt idx="17">
                  <c:v>6.899999999999995</c:v>
                </c:pt>
                <c:pt idx="18">
                  <c:v>-7.100000000000005</c:v>
                </c:pt>
                <c:pt idx="19">
                  <c:v>-0.10000000000000497</c:v>
                </c:pt>
              </c:numCache>
            </c:numRef>
          </c:yVal>
        </c:ser>
        <c:axId val="289593600"/>
        <c:axId val="289943936"/>
      </c:scatterChart>
      <c:valAx>
        <c:axId val="2895936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</c:title>
        <c:numFmt formatCode="General" sourceLinked="1"/>
        <c:tickLblPos val="nextTo"/>
        <c:crossAx val="289943936"/>
        <c:crosses val="autoZero"/>
        <c:crossBetween val="midCat"/>
      </c:valAx>
      <c:valAx>
        <c:axId val="28994393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8959360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x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'Reg T 2'!$D$4:$D$23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2A'!$C$25:$C$44</c:f>
              <c:numCache>
                <c:formatCode>General</c:formatCode>
                <c:ptCount val="20"/>
                <c:pt idx="0">
                  <c:v>0.5</c:v>
                </c:pt>
                <c:pt idx="1">
                  <c:v>18.5</c:v>
                </c:pt>
                <c:pt idx="2">
                  <c:v>-16.5</c:v>
                </c:pt>
                <c:pt idx="3">
                  <c:v>11.5</c:v>
                </c:pt>
                <c:pt idx="4">
                  <c:v>-28.5</c:v>
                </c:pt>
                <c:pt idx="5">
                  <c:v>-4.5</c:v>
                </c:pt>
                <c:pt idx="6">
                  <c:v>-2.5</c:v>
                </c:pt>
                <c:pt idx="7">
                  <c:v>-27.5</c:v>
                </c:pt>
                <c:pt idx="8">
                  <c:v>18.5</c:v>
                </c:pt>
                <c:pt idx="9">
                  <c:v>30.5</c:v>
                </c:pt>
                <c:pt idx="10">
                  <c:v>0.89999999999999503</c:v>
                </c:pt>
                <c:pt idx="11">
                  <c:v>-3.100000000000005</c:v>
                </c:pt>
                <c:pt idx="12">
                  <c:v>-5.100000000000005</c:v>
                </c:pt>
                <c:pt idx="13">
                  <c:v>4.899999999999995</c:v>
                </c:pt>
                <c:pt idx="14">
                  <c:v>0.89999999999999503</c:v>
                </c:pt>
                <c:pt idx="15">
                  <c:v>2.899999999999995</c:v>
                </c:pt>
                <c:pt idx="16">
                  <c:v>-1.100000000000005</c:v>
                </c:pt>
                <c:pt idx="17">
                  <c:v>6.899999999999995</c:v>
                </c:pt>
                <c:pt idx="18">
                  <c:v>-7.100000000000005</c:v>
                </c:pt>
                <c:pt idx="19">
                  <c:v>-0.10000000000000497</c:v>
                </c:pt>
              </c:numCache>
            </c:numRef>
          </c:yVal>
        </c:ser>
        <c:axId val="290017664"/>
        <c:axId val="290019584"/>
      </c:scatterChart>
      <c:valAx>
        <c:axId val="2900176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</c:title>
        <c:numFmt formatCode="General" sourceLinked="1"/>
        <c:tickLblPos val="nextTo"/>
        <c:crossAx val="290019584"/>
        <c:crosses val="autoZero"/>
        <c:crossBetween val="midCat"/>
      </c:valAx>
      <c:valAx>
        <c:axId val="29001958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9001766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x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y</c:v>
          </c:tx>
          <c:spPr>
            <a:ln w="28575">
              <a:noFill/>
            </a:ln>
          </c:spPr>
          <c:xVal>
            <c:numRef>
              <c:f>'Reg T 2'!$D$4:$D$23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2'!$E$4:$E$23</c:f>
              <c:numCache>
                <c:formatCode>General</c:formatCode>
                <c:ptCount val="20"/>
                <c:pt idx="0">
                  <c:v>34</c:v>
                </c:pt>
                <c:pt idx="1">
                  <c:v>52</c:v>
                </c:pt>
                <c:pt idx="2">
                  <c:v>17</c:v>
                </c:pt>
                <c:pt idx="3">
                  <c:v>45</c:v>
                </c:pt>
                <c:pt idx="4">
                  <c:v>5</c:v>
                </c:pt>
                <c:pt idx="5">
                  <c:v>29</c:v>
                </c:pt>
                <c:pt idx="6">
                  <c:v>31</c:v>
                </c:pt>
                <c:pt idx="7">
                  <c:v>6</c:v>
                </c:pt>
                <c:pt idx="8">
                  <c:v>52</c:v>
                </c:pt>
                <c:pt idx="9">
                  <c:v>64</c:v>
                </c:pt>
                <c:pt idx="10">
                  <c:v>12</c:v>
                </c:pt>
                <c:pt idx="11">
                  <c:v>8</c:v>
                </c:pt>
                <c:pt idx="12">
                  <c:v>6</c:v>
                </c:pt>
                <c:pt idx="13">
                  <c:v>16</c:v>
                </c:pt>
                <c:pt idx="14">
                  <c:v>12</c:v>
                </c:pt>
                <c:pt idx="15">
                  <c:v>14</c:v>
                </c:pt>
                <c:pt idx="16">
                  <c:v>10</c:v>
                </c:pt>
                <c:pt idx="17">
                  <c:v>18</c:v>
                </c:pt>
                <c:pt idx="18">
                  <c:v>4</c:v>
                </c:pt>
                <c:pt idx="19">
                  <c:v>11</c:v>
                </c:pt>
              </c:numCache>
            </c:numRef>
          </c:yVal>
        </c:ser>
        <c:ser>
          <c:idx val="1"/>
          <c:order val="1"/>
          <c:tx>
            <c:v>Predicted y</c:v>
          </c:tx>
          <c:spPr>
            <a:ln w="28575">
              <a:noFill/>
            </a:ln>
          </c:spPr>
          <c:xVal>
            <c:numRef>
              <c:f>'Reg T 2'!$D$4:$D$23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xVal>
          <c:yVal>
            <c:numRef>
              <c:f>'Reg T 2A'!$B$25:$B$44</c:f>
              <c:numCache>
                <c:formatCode>General</c:formatCode>
                <c:ptCount val="20"/>
                <c:pt idx="0">
                  <c:v>33.5</c:v>
                </c:pt>
                <c:pt idx="1">
                  <c:v>33.5</c:v>
                </c:pt>
                <c:pt idx="2">
                  <c:v>33.5</c:v>
                </c:pt>
                <c:pt idx="3">
                  <c:v>33.5</c:v>
                </c:pt>
                <c:pt idx="4">
                  <c:v>33.5</c:v>
                </c:pt>
                <c:pt idx="5">
                  <c:v>33.5</c:v>
                </c:pt>
                <c:pt idx="6">
                  <c:v>33.5</c:v>
                </c:pt>
                <c:pt idx="7">
                  <c:v>33.5</c:v>
                </c:pt>
                <c:pt idx="8">
                  <c:v>33.5</c:v>
                </c:pt>
                <c:pt idx="9">
                  <c:v>33.5</c:v>
                </c:pt>
                <c:pt idx="10">
                  <c:v>11.100000000000005</c:v>
                </c:pt>
                <c:pt idx="11">
                  <c:v>11.100000000000005</c:v>
                </c:pt>
                <c:pt idx="12">
                  <c:v>11.100000000000005</c:v>
                </c:pt>
                <c:pt idx="13">
                  <c:v>11.100000000000005</c:v>
                </c:pt>
                <c:pt idx="14">
                  <c:v>11.100000000000005</c:v>
                </c:pt>
                <c:pt idx="15">
                  <c:v>11.100000000000005</c:v>
                </c:pt>
                <c:pt idx="16">
                  <c:v>11.100000000000005</c:v>
                </c:pt>
                <c:pt idx="17">
                  <c:v>11.100000000000005</c:v>
                </c:pt>
                <c:pt idx="18">
                  <c:v>11.100000000000005</c:v>
                </c:pt>
                <c:pt idx="19">
                  <c:v>11.100000000000005</c:v>
                </c:pt>
              </c:numCache>
            </c:numRef>
          </c:yVal>
        </c:ser>
        <c:axId val="290056832"/>
        <c:axId val="290063104"/>
      </c:scatterChart>
      <c:valAx>
        <c:axId val="2900568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x</a:t>
                </a:r>
              </a:p>
            </c:rich>
          </c:tx>
        </c:title>
        <c:numFmt formatCode="General" sourceLinked="1"/>
        <c:tickLblPos val="nextTo"/>
        <c:crossAx val="290063104"/>
        <c:crosses val="autoZero"/>
        <c:crossBetween val="midCat"/>
      </c:valAx>
      <c:valAx>
        <c:axId val="29006310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y</a:t>
                </a:r>
              </a:p>
            </c:rich>
          </c:tx>
        </c:title>
        <c:numFmt formatCode="General" sourceLinked="1"/>
        <c:tickLblPos val="nextTo"/>
        <c:crossAx val="290056832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'Reg T 2A'!$F$25:$F$44</c:f>
              <c:numCache>
                <c:formatCode>General</c:formatCode>
                <c:ptCount val="20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  <c:pt idx="18">
                  <c:v>92.5</c:v>
                </c:pt>
                <c:pt idx="19">
                  <c:v>97.5</c:v>
                </c:pt>
              </c:numCache>
            </c:numRef>
          </c:xVal>
          <c:yVal>
            <c:numRef>
              <c:f>'Reg T 2A'!$G$25:$G$44</c:f>
              <c:numCache>
                <c:formatCode>General</c:formatCode>
                <c:ptCount val="2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14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29</c:v>
                </c:pt>
                <c:pt idx="14">
                  <c:v>31</c:v>
                </c:pt>
                <c:pt idx="15">
                  <c:v>34</c:v>
                </c:pt>
                <c:pt idx="16">
                  <c:v>45</c:v>
                </c:pt>
                <c:pt idx="17">
                  <c:v>52</c:v>
                </c:pt>
                <c:pt idx="18">
                  <c:v>52</c:v>
                </c:pt>
                <c:pt idx="19">
                  <c:v>64</c:v>
                </c:pt>
              </c:numCache>
            </c:numRef>
          </c:yVal>
        </c:ser>
        <c:axId val="290075392"/>
        <c:axId val="290077312"/>
      </c:scatterChart>
      <c:valAx>
        <c:axId val="2900753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</c:title>
        <c:numFmt formatCode="General" sourceLinked="1"/>
        <c:tickLblPos val="nextTo"/>
        <c:crossAx val="290077312"/>
        <c:crosses val="autoZero"/>
        <c:crossBetween val="midCat"/>
      </c:valAx>
      <c:valAx>
        <c:axId val="29007731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y</a:t>
                </a:r>
              </a:p>
            </c:rich>
          </c:tx>
        </c:title>
        <c:numFmt formatCode="General" sourceLinked="1"/>
        <c:tickLblPos val="nextTo"/>
        <c:crossAx val="29007539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'Mult Reg 2'!$B$30:$B$40</c:f>
              <c:numCache>
                <c:formatCode>General</c:formatCode>
                <c:ptCount val="11"/>
                <c:pt idx="0">
                  <c:v>-1.3236303505689102</c:v>
                </c:pt>
                <c:pt idx="1">
                  <c:v>-1.0711234253885886</c:v>
                </c:pt>
                <c:pt idx="2">
                  <c:v>-0.95698541007981308</c:v>
                </c:pt>
                <c:pt idx="3">
                  <c:v>-0.85947290855377767</c:v>
                </c:pt>
                <c:pt idx="4">
                  <c:v>-0.40782898942708506</c:v>
                </c:pt>
                <c:pt idx="5">
                  <c:v>-0.23339821457085794</c:v>
                </c:pt>
                <c:pt idx="6">
                  <c:v>0.31381862189921916</c:v>
                </c:pt>
                <c:pt idx="7">
                  <c:v>0.79973849933219099</c:v>
                </c:pt>
                <c:pt idx="8">
                  <c:v>0.86327382787517848</c:v>
                </c:pt>
                <c:pt idx="9">
                  <c:v>0.95211784652177578</c:v>
                </c:pt>
                <c:pt idx="10">
                  <c:v>1.8529159932154711</c:v>
                </c:pt>
              </c:numCache>
            </c:numRef>
          </c:xVal>
          <c:yVal>
            <c:numRef>
              <c:f>'Mult Reg 2'!$C$30:$C$40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</c:ser>
        <c:axId val="290192768"/>
        <c:axId val="290203136"/>
      </c:scatterChart>
      <c:valAx>
        <c:axId val="290192768"/>
        <c:scaling>
          <c:orientation val="minMax"/>
          <c:max val="2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90203136"/>
        <c:crosses val="autoZero"/>
        <c:crossBetween val="midCat"/>
      </c:valAx>
      <c:valAx>
        <c:axId val="2902031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9019276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</c:title>
    <c:plotArea>
      <c:layout>
        <c:manualLayout>
          <c:layoutTarget val="inner"/>
          <c:xMode val="edge"/>
          <c:yMode val="edge"/>
          <c:x val="0.14362751531058535"/>
          <c:y val="0.20406277340332471"/>
          <c:w val="0.80895581802274763"/>
          <c:h val="0.68387685914260721"/>
        </c:manualLayout>
      </c:layout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'Mult Reg 2'!$S$30:$S$40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xVal>
          <c:yVal>
            <c:numRef>
              <c:f>'Mult Reg 2'!$T$30:$T$40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</c:ser>
        <c:axId val="290244480"/>
        <c:axId val="290246656"/>
      </c:scatterChart>
      <c:valAx>
        <c:axId val="290244480"/>
        <c:scaling>
          <c:orientation val="minMax"/>
          <c:min val="2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90246656"/>
        <c:crosses val="autoZero"/>
        <c:crossBetween val="midCat"/>
      </c:valAx>
      <c:valAx>
        <c:axId val="29024665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9024448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2'!$A$48:$A$58</c:f>
              <c:numCache>
                <c:formatCode>0.00000</c:formatCode>
                <c:ptCount val="11"/>
                <c:pt idx="0">
                  <c:v>54.810499624828537</c:v>
                </c:pt>
                <c:pt idx="1">
                  <c:v>42.746177132655433</c:v>
                </c:pt>
                <c:pt idx="2">
                  <c:v>56.295169344614322</c:v>
                </c:pt>
                <c:pt idx="3">
                  <c:v>44.672126057595207</c:v>
                </c:pt>
                <c:pt idx="4">
                  <c:v>57.08424538797891</c:v>
                </c:pt>
                <c:pt idx="5">
                  <c:v>41.261507412869634</c:v>
                </c:pt>
                <c:pt idx="6">
                  <c:v>21.332557116613586</c:v>
                </c:pt>
                <c:pt idx="7">
                  <c:v>34.092473285207895</c:v>
                </c:pt>
                <c:pt idx="8">
                  <c:v>67.222618955212241</c:v>
                </c:pt>
                <c:pt idx="9">
                  <c:v>46.156795777380999</c:v>
                </c:pt>
                <c:pt idx="10">
                  <c:v>53.325829905042738</c:v>
                </c:pt>
              </c:numCache>
            </c:numRef>
          </c:xVal>
          <c:yVal>
            <c:numRef>
              <c:f>'Mult Reg 2'!$B$48:$B$58</c:f>
              <c:numCache>
                <c:formatCode>General</c:formatCode>
                <c:ptCount val="11"/>
                <c:pt idx="0">
                  <c:v>1.8529159932154711</c:v>
                </c:pt>
                <c:pt idx="1">
                  <c:v>-0.95698541007981308</c:v>
                </c:pt>
                <c:pt idx="2">
                  <c:v>-1.0711234253885886</c:v>
                </c:pt>
                <c:pt idx="3">
                  <c:v>-1.3236303505689102</c:v>
                </c:pt>
                <c:pt idx="4">
                  <c:v>-0.40782898942708506</c:v>
                </c:pt>
                <c:pt idx="5">
                  <c:v>0.31381862189921916</c:v>
                </c:pt>
                <c:pt idx="6">
                  <c:v>0.95211784652177578</c:v>
                </c:pt>
                <c:pt idx="7">
                  <c:v>-0.23339821457085794</c:v>
                </c:pt>
                <c:pt idx="8">
                  <c:v>0.79973849933219099</c:v>
                </c:pt>
                <c:pt idx="9">
                  <c:v>0.86327382787517848</c:v>
                </c:pt>
                <c:pt idx="10">
                  <c:v>-0.85947290855377767</c:v>
                </c:pt>
              </c:numCache>
            </c:numRef>
          </c:yVal>
        </c:ser>
        <c:axId val="290258304"/>
        <c:axId val="289027584"/>
      </c:scatterChart>
      <c:valAx>
        <c:axId val="290258304"/>
        <c:scaling>
          <c:orientation val="minMax"/>
          <c:min val="2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Predicted values of price (y variable)</a:t>
                </a:r>
              </a:p>
            </c:rich>
          </c:tx>
        </c:title>
        <c:numFmt formatCode="0" sourceLinked="0"/>
        <c:tickLblPos val="nextTo"/>
        <c:crossAx val="289027584"/>
        <c:crosses val="autoZero"/>
        <c:crossBetween val="midCat"/>
      </c:valAx>
      <c:valAx>
        <c:axId val="289027584"/>
        <c:scaling>
          <c:orientation val="minMax"/>
          <c:max val="2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Studentized residuals</a:t>
                </a:r>
              </a:p>
            </c:rich>
          </c:tx>
        </c:title>
        <c:numFmt formatCode="General" sourceLinked="1"/>
        <c:tickLblPos val="nextTo"/>
        <c:crossAx val="29025830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'Mult 4A'!$O$10:$O$59</c:f>
              <c:numCache>
                <c:formatCode>General</c:formatCode>
                <c:ptCount val="50"/>
                <c:pt idx="0">
                  <c:v>7.6</c:v>
                </c:pt>
                <c:pt idx="1">
                  <c:v>8.1</c:v>
                </c:pt>
                <c:pt idx="2">
                  <c:v>8.4</c:v>
                </c:pt>
                <c:pt idx="3">
                  <c:v>8.6999999999999993</c:v>
                </c:pt>
                <c:pt idx="4">
                  <c:v>9.1</c:v>
                </c:pt>
                <c:pt idx="5">
                  <c:v>9.3000000000000007</c:v>
                </c:pt>
                <c:pt idx="6">
                  <c:v>9.4</c:v>
                </c:pt>
                <c:pt idx="7">
                  <c:v>9.6</c:v>
                </c:pt>
                <c:pt idx="8">
                  <c:v>9.6</c:v>
                </c:pt>
                <c:pt idx="9">
                  <c:v>10</c:v>
                </c:pt>
                <c:pt idx="10">
                  <c:v>10</c:v>
                </c:pt>
                <c:pt idx="11">
                  <c:v>10.199999999999999</c:v>
                </c:pt>
                <c:pt idx="12">
                  <c:v>10.4</c:v>
                </c:pt>
                <c:pt idx="13">
                  <c:v>10.6</c:v>
                </c:pt>
                <c:pt idx="14">
                  <c:v>10.8</c:v>
                </c:pt>
                <c:pt idx="15">
                  <c:v>11.3</c:v>
                </c:pt>
                <c:pt idx="16">
                  <c:v>11.3</c:v>
                </c:pt>
                <c:pt idx="17">
                  <c:v>11.3</c:v>
                </c:pt>
                <c:pt idx="18">
                  <c:v>11.4</c:v>
                </c:pt>
                <c:pt idx="19">
                  <c:v>11.5</c:v>
                </c:pt>
                <c:pt idx="20">
                  <c:v>11.7</c:v>
                </c:pt>
                <c:pt idx="21">
                  <c:v>12</c:v>
                </c:pt>
                <c:pt idx="22">
                  <c:v>12.1</c:v>
                </c:pt>
                <c:pt idx="23">
                  <c:v>12.2</c:v>
                </c:pt>
                <c:pt idx="24">
                  <c:v>12.3</c:v>
                </c:pt>
                <c:pt idx="25">
                  <c:v>12.5</c:v>
                </c:pt>
                <c:pt idx="26">
                  <c:v>12.6</c:v>
                </c:pt>
                <c:pt idx="27">
                  <c:v>13.1</c:v>
                </c:pt>
                <c:pt idx="28">
                  <c:v>13.2</c:v>
                </c:pt>
                <c:pt idx="29">
                  <c:v>13.3</c:v>
                </c:pt>
                <c:pt idx="30">
                  <c:v>13.4</c:v>
                </c:pt>
                <c:pt idx="31">
                  <c:v>13.4</c:v>
                </c:pt>
                <c:pt idx="32">
                  <c:v>13.6</c:v>
                </c:pt>
                <c:pt idx="33">
                  <c:v>13.6</c:v>
                </c:pt>
                <c:pt idx="34">
                  <c:v>14.4</c:v>
                </c:pt>
                <c:pt idx="35">
                  <c:v>14.6</c:v>
                </c:pt>
                <c:pt idx="36">
                  <c:v>14.7</c:v>
                </c:pt>
                <c:pt idx="37">
                  <c:v>14.7</c:v>
                </c:pt>
                <c:pt idx="38">
                  <c:v>14.8</c:v>
                </c:pt>
                <c:pt idx="39">
                  <c:v>15.5</c:v>
                </c:pt>
                <c:pt idx="40">
                  <c:v>15.7</c:v>
                </c:pt>
                <c:pt idx="41">
                  <c:v>15.7</c:v>
                </c:pt>
                <c:pt idx="42">
                  <c:v>15.8</c:v>
                </c:pt>
                <c:pt idx="43">
                  <c:v>15.9</c:v>
                </c:pt>
                <c:pt idx="44">
                  <c:v>17</c:v>
                </c:pt>
                <c:pt idx="45">
                  <c:v>17.100000000000001</c:v>
                </c:pt>
                <c:pt idx="46">
                  <c:v>17.3</c:v>
                </c:pt>
                <c:pt idx="47">
                  <c:v>17.3</c:v>
                </c:pt>
                <c:pt idx="48">
                  <c:v>17.3</c:v>
                </c:pt>
                <c:pt idx="49">
                  <c:v>21.2</c:v>
                </c:pt>
              </c:numCache>
            </c:numRef>
          </c:xVal>
          <c:yVal>
            <c:numRef>
              <c:f>'Mult 4A'!$P$10:$P$59</c:f>
              <c:numCache>
                <c:formatCode>General</c:formatCode>
                <c:ptCount val="50"/>
                <c:pt idx="0">
                  <c:v>-2.3263478740408408</c:v>
                </c:pt>
                <c:pt idx="1">
                  <c:v>-1.8807936081512509</c:v>
                </c:pt>
                <c:pt idx="2">
                  <c:v>-1.6448536269514726</c:v>
                </c:pt>
                <c:pt idx="3">
                  <c:v>-1.4757910281791702</c:v>
                </c:pt>
                <c:pt idx="4">
                  <c:v>-1.3407550336902161</c:v>
                </c:pt>
                <c:pt idx="5">
                  <c:v>-1.2265281200366105</c:v>
                </c:pt>
                <c:pt idx="6">
                  <c:v>-1.1263911290388013</c:v>
                </c:pt>
                <c:pt idx="7">
                  <c:v>-1.0364333894937898</c:v>
                </c:pt>
                <c:pt idx="8">
                  <c:v>-0.95416525314619549</c:v>
                </c:pt>
                <c:pt idx="9">
                  <c:v>-0.87789629505122846</c:v>
                </c:pt>
                <c:pt idx="10">
                  <c:v>-0.80642124701824058</c:v>
                </c:pt>
                <c:pt idx="11">
                  <c:v>-0.73884684918521393</c:v>
                </c:pt>
                <c:pt idx="12">
                  <c:v>-0.67448975019608193</c:v>
                </c:pt>
                <c:pt idx="13">
                  <c:v>-0.61281299101662734</c:v>
                </c:pt>
                <c:pt idx="14">
                  <c:v>-0.55338471955567303</c:v>
                </c:pt>
                <c:pt idx="15">
                  <c:v>-0.49585034734745354</c:v>
                </c:pt>
                <c:pt idx="16">
                  <c:v>-0.43991316567323374</c:v>
                </c:pt>
                <c:pt idx="17">
                  <c:v>-0.38532046640756784</c:v>
                </c:pt>
                <c:pt idx="18">
                  <c:v>-0.33185334643681658</c:v>
                </c:pt>
                <c:pt idx="19">
                  <c:v>-0.27931903444745415</c:v>
                </c:pt>
                <c:pt idx="20">
                  <c:v>-0.2275449766411495</c:v>
                </c:pt>
                <c:pt idx="21">
                  <c:v>-0.17637416478086138</c:v>
                </c:pt>
                <c:pt idx="22">
                  <c:v>-0.12566134685507402</c:v>
                </c:pt>
                <c:pt idx="23">
                  <c:v>-7.5269862099829901E-2</c:v>
                </c:pt>
                <c:pt idx="24">
                  <c:v>-2.506890825871106E-2</c:v>
                </c:pt>
                <c:pt idx="25">
                  <c:v>2.506890825871106E-2</c:v>
                </c:pt>
                <c:pt idx="26">
                  <c:v>7.5269862099829901E-2</c:v>
                </c:pt>
                <c:pt idx="27">
                  <c:v>0.12566134685507416</c:v>
                </c:pt>
                <c:pt idx="28">
                  <c:v>0.17637416478086121</c:v>
                </c:pt>
                <c:pt idx="29">
                  <c:v>0.22754497664114934</c:v>
                </c:pt>
                <c:pt idx="30">
                  <c:v>0.27931903444745415</c:v>
                </c:pt>
                <c:pt idx="31">
                  <c:v>0.33185334643681658</c:v>
                </c:pt>
                <c:pt idx="32">
                  <c:v>0.38532046640756784</c:v>
                </c:pt>
                <c:pt idx="33">
                  <c:v>0.43991316567323396</c:v>
                </c:pt>
                <c:pt idx="34">
                  <c:v>0.49585034734745331</c:v>
                </c:pt>
                <c:pt idx="35">
                  <c:v>0.5533847195556727</c:v>
                </c:pt>
                <c:pt idx="36">
                  <c:v>0.61281299101662734</c:v>
                </c:pt>
                <c:pt idx="37">
                  <c:v>0.67448975019608193</c:v>
                </c:pt>
                <c:pt idx="38">
                  <c:v>0.73884684918521393</c:v>
                </c:pt>
                <c:pt idx="39">
                  <c:v>0.80642124701824058</c:v>
                </c:pt>
                <c:pt idx="40">
                  <c:v>0.87789629505122857</c:v>
                </c:pt>
                <c:pt idx="41">
                  <c:v>0.95416525314619549</c:v>
                </c:pt>
                <c:pt idx="42">
                  <c:v>1.0364333894937898</c:v>
                </c:pt>
                <c:pt idx="43">
                  <c:v>1.1263911290388013</c:v>
                </c:pt>
                <c:pt idx="44">
                  <c:v>1.2265281200366105</c:v>
                </c:pt>
                <c:pt idx="45">
                  <c:v>1.3407550336902161</c:v>
                </c:pt>
                <c:pt idx="46">
                  <c:v>1.4757910281791713</c:v>
                </c:pt>
                <c:pt idx="47">
                  <c:v>1.6448536269514715</c:v>
                </c:pt>
                <c:pt idx="48">
                  <c:v>1.8807936081512504</c:v>
                </c:pt>
                <c:pt idx="49">
                  <c:v>2.3263478740408408</c:v>
                </c:pt>
              </c:numCache>
            </c:numRef>
          </c:yVal>
        </c:ser>
        <c:axId val="289847168"/>
        <c:axId val="289148928"/>
      </c:scatterChart>
      <c:valAx>
        <c:axId val="289847168"/>
        <c:scaling>
          <c:orientation val="minMax"/>
          <c:max val="25"/>
          <c:min val="5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89148928"/>
        <c:crosses val="autoZero"/>
        <c:crossBetween val="midCat"/>
      </c:valAx>
      <c:valAx>
        <c:axId val="289148928"/>
        <c:scaling>
          <c:orientation val="minMax"/>
          <c:max val="3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8984716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Color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5'!$G$28:$G$38</c:f>
              <c:numCache>
                <c:formatCode>General</c:formatCode>
                <c:ptCount val="11"/>
                <c:pt idx="0">
                  <c:v>10.18950037517142</c:v>
                </c:pt>
                <c:pt idx="1">
                  <c:v>-4.7461771326554327</c:v>
                </c:pt>
                <c:pt idx="2">
                  <c:v>-5.2951693446143437</c:v>
                </c:pt>
                <c:pt idx="3">
                  <c:v>-6.6721260575952854</c:v>
                </c:pt>
                <c:pt idx="4">
                  <c:v>-2.0842453879789957</c:v>
                </c:pt>
                <c:pt idx="5">
                  <c:v>1.7384925871303238</c:v>
                </c:pt>
                <c:pt idx="6">
                  <c:v>3.6674428833863679</c:v>
                </c:pt>
                <c:pt idx="7">
                  <c:v>-1.0924732852078947</c:v>
                </c:pt>
                <c:pt idx="8">
                  <c:v>3.7773810447877167</c:v>
                </c:pt>
                <c:pt idx="9">
                  <c:v>4.843204222618958</c:v>
                </c:pt>
                <c:pt idx="10">
                  <c:v>-4.3258299050428306</c:v>
                </c:pt>
              </c:numCache>
            </c:numRef>
          </c:yVal>
        </c:ser>
        <c:axId val="290267136"/>
        <c:axId val="290269056"/>
      </c:scatterChart>
      <c:valAx>
        <c:axId val="2902671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Color</a:t>
                </a:r>
              </a:p>
            </c:rich>
          </c:tx>
        </c:title>
        <c:numFmt formatCode="General" sourceLinked="1"/>
        <c:tickLblPos val="nextTo"/>
        <c:crossAx val="290269056"/>
        <c:crosses val="autoZero"/>
        <c:crossBetween val="midCat"/>
      </c:valAx>
      <c:valAx>
        <c:axId val="29026905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9026713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Quality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5'!$G$28:$G$38</c:f>
              <c:numCache>
                <c:formatCode>General</c:formatCode>
                <c:ptCount val="11"/>
                <c:pt idx="0">
                  <c:v>10.18950037517142</c:v>
                </c:pt>
                <c:pt idx="1">
                  <c:v>-4.7461771326554327</c:v>
                </c:pt>
                <c:pt idx="2">
                  <c:v>-5.2951693446143437</c:v>
                </c:pt>
                <c:pt idx="3">
                  <c:v>-6.6721260575952854</c:v>
                </c:pt>
                <c:pt idx="4">
                  <c:v>-2.0842453879789957</c:v>
                </c:pt>
                <c:pt idx="5">
                  <c:v>1.7384925871303238</c:v>
                </c:pt>
                <c:pt idx="6">
                  <c:v>3.6674428833863679</c:v>
                </c:pt>
                <c:pt idx="7">
                  <c:v>-1.0924732852078947</c:v>
                </c:pt>
                <c:pt idx="8">
                  <c:v>3.7773810447877167</c:v>
                </c:pt>
                <c:pt idx="9">
                  <c:v>4.843204222618958</c:v>
                </c:pt>
                <c:pt idx="10">
                  <c:v>-4.3258299050428306</c:v>
                </c:pt>
              </c:numCache>
            </c:numRef>
          </c:yVal>
        </c:ser>
        <c:axId val="290301440"/>
        <c:axId val="290303360"/>
      </c:scatterChart>
      <c:valAx>
        <c:axId val="2903014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Quality</a:t>
                </a:r>
              </a:p>
            </c:rich>
          </c:tx>
        </c:title>
        <c:numFmt formatCode="General" sourceLinked="1"/>
        <c:tickLblPos val="nextTo"/>
        <c:crossAx val="290303360"/>
        <c:crosses val="autoZero"/>
        <c:crossBetween val="midCat"/>
      </c:valAx>
      <c:valAx>
        <c:axId val="29030336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9030144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Color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Price</c:v>
          </c:tx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5'!$C$4:$C$14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</c:ser>
        <c:ser>
          <c:idx val="1"/>
          <c:order val="1"/>
          <c:tx>
            <c:v>Predicted Price</c:v>
          </c:tx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5'!$F$28:$F$38</c:f>
              <c:numCache>
                <c:formatCode>General</c:formatCode>
                <c:ptCount val="11"/>
                <c:pt idx="0">
                  <c:v>54.81049962482858</c:v>
                </c:pt>
                <c:pt idx="1">
                  <c:v>42.746177132655433</c:v>
                </c:pt>
                <c:pt idx="2">
                  <c:v>56.295169344614344</c:v>
                </c:pt>
                <c:pt idx="3">
                  <c:v>44.672126057595285</c:v>
                </c:pt>
                <c:pt idx="4">
                  <c:v>57.084245387978996</c:v>
                </c:pt>
                <c:pt idx="5">
                  <c:v>41.261507412869676</c:v>
                </c:pt>
                <c:pt idx="6">
                  <c:v>21.332557116613632</c:v>
                </c:pt>
                <c:pt idx="7">
                  <c:v>34.092473285207895</c:v>
                </c:pt>
                <c:pt idx="8">
                  <c:v>67.222618955212283</c:v>
                </c:pt>
                <c:pt idx="9">
                  <c:v>46.156795777381042</c:v>
                </c:pt>
                <c:pt idx="10">
                  <c:v>53.325829905042831</c:v>
                </c:pt>
              </c:numCache>
            </c:numRef>
          </c:yVal>
        </c:ser>
        <c:axId val="290680832"/>
        <c:axId val="290682752"/>
      </c:scatterChart>
      <c:valAx>
        <c:axId val="2906808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Color</a:t>
                </a:r>
              </a:p>
            </c:rich>
          </c:tx>
        </c:title>
        <c:numFmt formatCode="General" sourceLinked="1"/>
        <c:tickLblPos val="nextTo"/>
        <c:crossAx val="290682752"/>
        <c:crosses val="autoZero"/>
        <c:crossBetween val="midCat"/>
      </c:valAx>
      <c:valAx>
        <c:axId val="29068275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</c:title>
        <c:numFmt formatCode="General" sourceLinked="1"/>
        <c:tickLblPos val="nextTo"/>
        <c:crossAx val="290680832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Quality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Price</c:v>
          </c:tx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5'!$C$4:$C$14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</c:ser>
        <c:ser>
          <c:idx val="1"/>
          <c:order val="1"/>
          <c:tx>
            <c:v>Predicted Price</c:v>
          </c:tx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5'!$F$28:$F$38</c:f>
              <c:numCache>
                <c:formatCode>General</c:formatCode>
                <c:ptCount val="11"/>
                <c:pt idx="0">
                  <c:v>54.81049962482858</c:v>
                </c:pt>
                <c:pt idx="1">
                  <c:v>42.746177132655433</c:v>
                </c:pt>
                <c:pt idx="2">
                  <c:v>56.295169344614344</c:v>
                </c:pt>
                <c:pt idx="3">
                  <c:v>44.672126057595285</c:v>
                </c:pt>
                <c:pt idx="4">
                  <c:v>57.084245387978996</c:v>
                </c:pt>
                <c:pt idx="5">
                  <c:v>41.261507412869676</c:v>
                </c:pt>
                <c:pt idx="6">
                  <c:v>21.332557116613632</c:v>
                </c:pt>
                <c:pt idx="7">
                  <c:v>34.092473285207895</c:v>
                </c:pt>
                <c:pt idx="8">
                  <c:v>67.222618955212283</c:v>
                </c:pt>
                <c:pt idx="9">
                  <c:v>46.156795777381042</c:v>
                </c:pt>
                <c:pt idx="10">
                  <c:v>53.325829905042831</c:v>
                </c:pt>
              </c:numCache>
            </c:numRef>
          </c:yVal>
        </c:ser>
        <c:axId val="290695808"/>
        <c:axId val="290706176"/>
      </c:scatterChart>
      <c:valAx>
        <c:axId val="2906958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Quality</a:t>
                </a:r>
              </a:p>
            </c:rich>
          </c:tx>
        </c:title>
        <c:numFmt formatCode="General" sourceLinked="1"/>
        <c:tickLblPos val="nextTo"/>
        <c:crossAx val="290706176"/>
        <c:crosses val="autoZero"/>
        <c:crossBetween val="midCat"/>
      </c:valAx>
      <c:valAx>
        <c:axId val="29070617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</c:title>
        <c:numFmt formatCode="General" sourceLinked="1"/>
        <c:tickLblPos val="nextTo"/>
        <c:crossAx val="290695808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5'!$J$28:$J$38</c:f>
              <c:numCache>
                <c:formatCode>General</c:formatCode>
                <c:ptCount val="11"/>
                <c:pt idx="0">
                  <c:v>4.5454545454545459</c:v>
                </c:pt>
                <c:pt idx="1">
                  <c:v>13.636363636363637</c:v>
                </c:pt>
                <c:pt idx="2">
                  <c:v>22.72727272727273</c:v>
                </c:pt>
                <c:pt idx="3">
                  <c:v>31.81818181818182</c:v>
                </c:pt>
                <c:pt idx="4">
                  <c:v>40.909090909090914</c:v>
                </c:pt>
                <c:pt idx="5">
                  <c:v>50.000000000000007</c:v>
                </c:pt>
                <c:pt idx="6">
                  <c:v>59.090909090909093</c:v>
                </c:pt>
                <c:pt idx="7">
                  <c:v>68.181818181818187</c:v>
                </c:pt>
                <c:pt idx="8">
                  <c:v>77.27272727272728</c:v>
                </c:pt>
                <c:pt idx="9">
                  <c:v>86.363636363636374</c:v>
                </c:pt>
                <c:pt idx="10">
                  <c:v>95.454545454545467</c:v>
                </c:pt>
              </c:numCache>
            </c:numRef>
          </c:xVal>
          <c:yVal>
            <c:numRef>
              <c:f>'Mult Reg 5'!$K$28:$K$38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yVal>
        </c:ser>
        <c:axId val="290738944"/>
        <c:axId val="290740864"/>
      </c:scatterChart>
      <c:valAx>
        <c:axId val="290738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</c:title>
        <c:numFmt formatCode="General" sourceLinked="1"/>
        <c:tickLblPos val="nextTo"/>
        <c:crossAx val="290740864"/>
        <c:crosses val="autoZero"/>
        <c:crossBetween val="midCat"/>
      </c:valAx>
      <c:valAx>
        <c:axId val="29074086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</c:title>
        <c:numFmt formatCode="General" sourceLinked="1"/>
        <c:tickLblPos val="nextTo"/>
        <c:crossAx val="29073894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5'!$N$40:$N$59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'Mult Reg 5'!$O$40:$O$59</c:f>
              <c:numCache>
                <c:formatCode>General</c:formatCode>
                <c:ptCount val="20"/>
                <c:pt idx="0">
                  <c:v>-1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0</c:v>
                </c:pt>
                <c:pt idx="5">
                  <c:v>-7</c:v>
                </c:pt>
                <c:pt idx="6">
                  <c:v>-4</c:v>
                </c:pt>
                <c:pt idx="7">
                  <c:v>1</c:v>
                </c:pt>
                <c:pt idx="8">
                  <c:v>8</c:v>
                </c:pt>
                <c:pt idx="9">
                  <c:v>5</c:v>
                </c:pt>
                <c:pt idx="10">
                  <c:v>6</c:v>
                </c:pt>
                <c:pt idx="11">
                  <c:v>-2</c:v>
                </c:pt>
                <c:pt idx="12">
                  <c:v>-1</c:v>
                </c:pt>
                <c:pt idx="13">
                  <c:v>7</c:v>
                </c:pt>
                <c:pt idx="14">
                  <c:v>0</c:v>
                </c:pt>
                <c:pt idx="15">
                  <c:v>-4</c:v>
                </c:pt>
                <c:pt idx="16">
                  <c:v>6</c:v>
                </c:pt>
                <c:pt idx="17">
                  <c:v>5</c:v>
                </c:pt>
                <c:pt idx="18">
                  <c:v>-8</c:v>
                </c:pt>
                <c:pt idx="19">
                  <c:v>-3</c:v>
                </c:pt>
              </c:numCache>
            </c:numRef>
          </c:yVal>
        </c:ser>
        <c:axId val="290769152"/>
        <c:axId val="290779136"/>
      </c:scatterChart>
      <c:valAx>
        <c:axId val="290769152"/>
        <c:scaling>
          <c:orientation val="minMax"/>
        </c:scaling>
        <c:axPos val="b"/>
        <c:numFmt formatCode="General" sourceLinked="1"/>
        <c:majorTickMark val="none"/>
        <c:tickLblPos val="nextTo"/>
        <c:crossAx val="290779136"/>
        <c:crosses val="autoZero"/>
        <c:crossBetween val="midCat"/>
      </c:valAx>
      <c:valAx>
        <c:axId val="290779136"/>
        <c:scaling>
          <c:orientation val="minMax"/>
        </c:scaling>
        <c:axPos val="l"/>
        <c:numFmt formatCode="General" sourceLinked="1"/>
        <c:majorTickMark val="none"/>
        <c:tickLblPos val="nextTo"/>
        <c:crossAx val="29076915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5'!$N$61:$N$80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'Mult Reg 5'!$O$61:$O$80</c:f>
              <c:numCache>
                <c:formatCode>General</c:formatCode>
                <c:ptCount val="20"/>
                <c:pt idx="0">
                  <c:v>-1</c:v>
                </c:pt>
                <c:pt idx="1">
                  <c:v>1</c:v>
                </c:pt>
                <c:pt idx="2">
                  <c:v>-2</c:v>
                </c:pt>
                <c:pt idx="3">
                  <c:v>1</c:v>
                </c:pt>
                <c:pt idx="4">
                  <c:v>0</c:v>
                </c:pt>
                <c:pt idx="5">
                  <c:v>-3</c:v>
                </c:pt>
                <c:pt idx="6">
                  <c:v>-1</c:v>
                </c:pt>
                <c:pt idx="7">
                  <c:v>0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-2</c:v>
                </c:pt>
                <c:pt idx="12">
                  <c:v>-1</c:v>
                </c:pt>
                <c:pt idx="13">
                  <c:v>4</c:v>
                </c:pt>
                <c:pt idx="14">
                  <c:v>0</c:v>
                </c:pt>
                <c:pt idx="15">
                  <c:v>-4</c:v>
                </c:pt>
                <c:pt idx="16">
                  <c:v>8</c:v>
                </c:pt>
                <c:pt idx="17">
                  <c:v>5</c:v>
                </c:pt>
                <c:pt idx="18">
                  <c:v>-8</c:v>
                </c:pt>
                <c:pt idx="19">
                  <c:v>-3</c:v>
                </c:pt>
              </c:numCache>
            </c:numRef>
          </c:yVal>
        </c:ser>
        <c:axId val="290724480"/>
        <c:axId val="290812288"/>
      </c:scatterChart>
      <c:valAx>
        <c:axId val="290724480"/>
        <c:scaling>
          <c:orientation val="minMax"/>
        </c:scaling>
        <c:axPos val="b"/>
        <c:numFmt formatCode="General" sourceLinked="1"/>
        <c:majorTickMark val="none"/>
        <c:tickLblPos val="nextTo"/>
        <c:crossAx val="290812288"/>
        <c:crosses val="autoZero"/>
        <c:crossBetween val="midCat"/>
      </c:valAx>
      <c:valAx>
        <c:axId val="290812288"/>
        <c:scaling>
          <c:orientation val="minMax"/>
        </c:scaling>
        <c:axPos val="l"/>
        <c:numFmt formatCode="General" sourceLinked="1"/>
        <c:majorTickMark val="none"/>
        <c:tickLblPos val="nextTo"/>
        <c:crossAx val="29072448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5'!$N$82:$N$101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'Mult Reg 5'!$O$82:$O$101</c:f>
              <c:numCache>
                <c:formatCode>General</c:formatCode>
                <c:ptCount val="20"/>
                <c:pt idx="0">
                  <c:v>-1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4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-2</c:v>
                </c:pt>
                <c:pt idx="12">
                  <c:v>-1</c:v>
                </c:pt>
                <c:pt idx="13">
                  <c:v>2</c:v>
                </c:pt>
                <c:pt idx="14">
                  <c:v>0</c:v>
                </c:pt>
                <c:pt idx="15">
                  <c:v>6</c:v>
                </c:pt>
                <c:pt idx="16">
                  <c:v>8</c:v>
                </c:pt>
                <c:pt idx="17">
                  <c:v>-3</c:v>
                </c:pt>
                <c:pt idx="18">
                  <c:v>6</c:v>
                </c:pt>
                <c:pt idx="19">
                  <c:v>4</c:v>
                </c:pt>
              </c:numCache>
            </c:numRef>
          </c:yVal>
        </c:ser>
        <c:axId val="290823168"/>
        <c:axId val="290833152"/>
      </c:scatterChart>
      <c:valAx>
        <c:axId val="290823168"/>
        <c:scaling>
          <c:orientation val="minMax"/>
        </c:scaling>
        <c:axPos val="b"/>
        <c:numFmt formatCode="General" sourceLinked="1"/>
        <c:majorTickMark val="none"/>
        <c:tickLblPos val="nextTo"/>
        <c:crossAx val="290833152"/>
        <c:crosses val="autoZero"/>
        <c:crossBetween val="midCat"/>
      </c:valAx>
      <c:valAx>
        <c:axId val="290833152"/>
        <c:scaling>
          <c:orientation val="minMax"/>
        </c:scaling>
        <c:axPos val="l"/>
        <c:numFmt formatCode="General" sourceLinked="1"/>
        <c:majorTickMark val="none"/>
        <c:tickLblPos val="nextTo"/>
        <c:crossAx val="29082316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Infant Mort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5A'!$C$27:$C$76</c:f>
              <c:numCache>
                <c:formatCode>General</c:formatCode>
                <c:ptCount val="50"/>
                <c:pt idx="0">
                  <c:v>0.53151753471999008</c:v>
                </c:pt>
                <c:pt idx="1">
                  <c:v>-4.3701940963279213</c:v>
                </c:pt>
                <c:pt idx="2">
                  <c:v>2.2462656486003425</c:v>
                </c:pt>
                <c:pt idx="3">
                  <c:v>2.3010586126454893</c:v>
                </c:pt>
                <c:pt idx="4">
                  <c:v>2.9390538653623732</c:v>
                </c:pt>
                <c:pt idx="5">
                  <c:v>-8.3693052508371224E-2</c:v>
                </c:pt>
                <c:pt idx="6">
                  <c:v>-2.4947049280746594</c:v>
                </c:pt>
                <c:pt idx="7">
                  <c:v>-4.733447771089935</c:v>
                </c:pt>
                <c:pt idx="8">
                  <c:v>-0.5029894018649923</c:v>
                </c:pt>
                <c:pt idx="9">
                  <c:v>0.82356267893254831</c:v>
                </c:pt>
                <c:pt idx="10">
                  <c:v>3.2896849450136045E-2</c:v>
                </c:pt>
                <c:pt idx="11">
                  <c:v>-0.31369663181623331</c:v>
                </c:pt>
                <c:pt idx="12">
                  <c:v>-1.2091293343592771</c:v>
                </c:pt>
                <c:pt idx="13">
                  <c:v>-1.243063758629301</c:v>
                </c:pt>
                <c:pt idx="14">
                  <c:v>0.69825056776613792</c:v>
                </c:pt>
                <c:pt idx="15">
                  <c:v>-2.0864954336057906</c:v>
                </c:pt>
                <c:pt idx="16">
                  <c:v>3.5823125986140916</c:v>
                </c:pt>
                <c:pt idx="17">
                  <c:v>0.80471058834260845</c:v>
                </c:pt>
                <c:pt idx="18">
                  <c:v>0.13356232046473338</c:v>
                </c:pt>
                <c:pt idx="19">
                  <c:v>-5.7875976693676634</c:v>
                </c:pt>
                <c:pt idx="20">
                  <c:v>-0.32299043884211009</c:v>
                </c:pt>
                <c:pt idx="21">
                  <c:v>0.78447243635617347</c:v>
                </c:pt>
                <c:pt idx="22">
                  <c:v>-1.1349852544480097</c:v>
                </c:pt>
                <c:pt idx="23">
                  <c:v>4.5861284116821146</c:v>
                </c:pt>
                <c:pt idx="24">
                  <c:v>-0.31101336697906667</c:v>
                </c:pt>
                <c:pt idx="25">
                  <c:v>3.2474355930402812</c:v>
                </c:pt>
                <c:pt idx="26">
                  <c:v>-0.55073752484253724</c:v>
                </c:pt>
                <c:pt idx="27">
                  <c:v>-1.3305975324749575</c:v>
                </c:pt>
                <c:pt idx="28">
                  <c:v>-4.3052076088216076</c:v>
                </c:pt>
                <c:pt idx="29">
                  <c:v>-2.0037708049472513</c:v>
                </c:pt>
                <c:pt idx="30">
                  <c:v>5.247036016924115</c:v>
                </c:pt>
                <c:pt idx="31">
                  <c:v>2.7425474244084391</c:v>
                </c:pt>
                <c:pt idx="32">
                  <c:v>0.45107724189759857</c:v>
                </c:pt>
                <c:pt idx="33">
                  <c:v>0.62006434129559196</c:v>
                </c:pt>
                <c:pt idx="34">
                  <c:v>-0.58329089015636626</c:v>
                </c:pt>
                <c:pt idx="35">
                  <c:v>1.6791058988210104</c:v>
                </c:pt>
                <c:pt idx="36">
                  <c:v>2.4429935212216041</c:v>
                </c:pt>
                <c:pt idx="37">
                  <c:v>-1.7556004573916262</c:v>
                </c:pt>
                <c:pt idx="38">
                  <c:v>-7.8733948462614833E-2</c:v>
                </c:pt>
                <c:pt idx="39">
                  <c:v>0.89819379286492129</c:v>
                </c:pt>
                <c:pt idx="40">
                  <c:v>-0.20895717155026716</c:v>
                </c:pt>
                <c:pt idx="41">
                  <c:v>-5.8122806587869391E-2</c:v>
                </c:pt>
                <c:pt idx="42">
                  <c:v>3.7115298123194638</c:v>
                </c:pt>
                <c:pt idx="43">
                  <c:v>-1.0710112494406534</c:v>
                </c:pt>
                <c:pt idx="44">
                  <c:v>-0.55258597785637065</c:v>
                </c:pt>
                <c:pt idx="45">
                  <c:v>-2.3570521008724015</c:v>
                </c:pt>
                <c:pt idx="46">
                  <c:v>1.31430697733256</c:v>
                </c:pt>
                <c:pt idx="47">
                  <c:v>3.2705481858594432</c:v>
                </c:pt>
                <c:pt idx="48">
                  <c:v>-1.8961744980388389</c:v>
                </c:pt>
                <c:pt idx="49">
                  <c:v>-3.742787209565174</c:v>
                </c:pt>
              </c:numCache>
            </c:numRef>
          </c:yVal>
        </c:ser>
        <c:axId val="290902016"/>
        <c:axId val="290903936"/>
      </c:scatterChart>
      <c:valAx>
        <c:axId val="2909020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Infant Mort</a:t>
                </a:r>
              </a:p>
            </c:rich>
          </c:tx>
        </c:title>
        <c:numFmt formatCode="0.0" sourceLinked="1"/>
        <c:tickLblPos val="nextTo"/>
        <c:crossAx val="290903936"/>
        <c:crosses val="autoZero"/>
        <c:crossBetween val="midCat"/>
      </c:valAx>
      <c:valAx>
        <c:axId val="29090393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9090201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White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4'!$D$4:$D$53</c:f>
              <c:numCache>
                <c:formatCode>0.0</c:formatCode>
                <c:ptCount val="50"/>
                <c:pt idx="0">
                  <c:v>71.027177760140717</c:v>
                </c:pt>
                <c:pt idx="1">
                  <c:v>70.62318863808899</c:v>
                </c:pt>
                <c:pt idx="2">
                  <c:v>86.505696765320337</c:v>
                </c:pt>
                <c:pt idx="3">
                  <c:v>80.783955956979611</c:v>
                </c:pt>
                <c:pt idx="4">
                  <c:v>76.640052174481781</c:v>
                </c:pt>
                <c:pt idx="5">
                  <c:v>89.734092175332663</c:v>
                </c:pt>
                <c:pt idx="6">
                  <c:v>84.278652322083644</c:v>
                </c:pt>
                <c:pt idx="7">
                  <c:v>74.266056727126113</c:v>
                </c:pt>
                <c:pt idx="8">
                  <c:v>79.811068541941054</c:v>
                </c:pt>
                <c:pt idx="9">
                  <c:v>65.387718279566343</c:v>
                </c:pt>
                <c:pt idx="10">
                  <c:v>29.667333748383395</c:v>
                </c:pt>
                <c:pt idx="11">
                  <c:v>94.600660447193093</c:v>
                </c:pt>
                <c:pt idx="12">
                  <c:v>79.13310968601246</c:v>
                </c:pt>
                <c:pt idx="13">
                  <c:v>88.000000627274659</c:v>
                </c:pt>
                <c:pt idx="14">
                  <c:v>94.170464820794294</c:v>
                </c:pt>
                <c:pt idx="15">
                  <c:v>88.703716524620162</c:v>
                </c:pt>
                <c:pt idx="16">
                  <c:v>89.904327345935869</c:v>
                </c:pt>
                <c:pt idx="17">
                  <c:v>64.839543701408999</c:v>
                </c:pt>
                <c:pt idx="18">
                  <c:v>96.389852756187835</c:v>
                </c:pt>
                <c:pt idx="19">
                  <c:v>63.398020838196281</c:v>
                </c:pt>
                <c:pt idx="20">
                  <c:v>86.203669547721617</c:v>
                </c:pt>
                <c:pt idx="21">
                  <c:v>81.183409037427396</c:v>
                </c:pt>
                <c:pt idx="22">
                  <c:v>89.045556531854984</c:v>
                </c:pt>
                <c:pt idx="23">
                  <c:v>60.598179144073846</c:v>
                </c:pt>
                <c:pt idx="24">
                  <c:v>85.028888093842554</c:v>
                </c:pt>
                <c:pt idx="25">
                  <c:v>90.467729264863962</c:v>
                </c:pt>
                <c:pt idx="26">
                  <c:v>91.372477335833381</c:v>
                </c:pt>
                <c:pt idx="27">
                  <c:v>80.891227371165002</c:v>
                </c:pt>
                <c:pt idx="28">
                  <c:v>95.487186970145373</c:v>
                </c:pt>
                <c:pt idx="29">
                  <c:v>76.032117342828414</c:v>
                </c:pt>
                <c:pt idx="30">
                  <c:v>83.996520785584835</c:v>
                </c:pt>
                <c:pt idx="31">
                  <c:v>73.422529169257928</c:v>
                </c:pt>
                <c:pt idx="32">
                  <c:v>73.937344387272134</c:v>
                </c:pt>
                <c:pt idx="33">
                  <c:v>91.393509706444945</c:v>
                </c:pt>
                <c:pt idx="34">
                  <c:v>84.764237226305966</c:v>
                </c:pt>
                <c:pt idx="35">
                  <c:v>78.141238608693655</c:v>
                </c:pt>
                <c:pt idx="36">
                  <c:v>90.140446325387984</c:v>
                </c:pt>
                <c:pt idx="37">
                  <c:v>85.424563507935517</c:v>
                </c:pt>
                <c:pt idx="38">
                  <c:v>88.483880668602993</c:v>
                </c:pt>
                <c:pt idx="39">
                  <c:v>68.748136077503446</c:v>
                </c:pt>
                <c:pt idx="40">
                  <c:v>88.189790025789804</c:v>
                </c:pt>
                <c:pt idx="41">
                  <c:v>80.371971305033981</c:v>
                </c:pt>
                <c:pt idx="42">
                  <c:v>82.402677784750395</c:v>
                </c:pt>
                <c:pt idx="43">
                  <c:v>92.915461931338129</c:v>
                </c:pt>
                <c:pt idx="44">
                  <c:v>96.408807764739961</c:v>
                </c:pt>
                <c:pt idx="45">
                  <c:v>73.031896017666924</c:v>
                </c:pt>
                <c:pt idx="46">
                  <c:v>84.290902250404002</c:v>
                </c:pt>
                <c:pt idx="47">
                  <c:v>94.524786328554711</c:v>
                </c:pt>
                <c:pt idx="48">
                  <c:v>89.673695670212709</c:v>
                </c:pt>
                <c:pt idx="49">
                  <c:v>93.867286940458214</c:v>
                </c:pt>
              </c:numCache>
            </c:numRef>
          </c:xVal>
          <c:yVal>
            <c:numRef>
              <c:f>'Mult Reg 5A'!$C$27:$C$76</c:f>
              <c:numCache>
                <c:formatCode>General</c:formatCode>
                <c:ptCount val="50"/>
                <c:pt idx="0">
                  <c:v>0.53151753471999008</c:v>
                </c:pt>
                <c:pt idx="1">
                  <c:v>-4.3701940963279213</c:v>
                </c:pt>
                <c:pt idx="2">
                  <c:v>2.2462656486003425</c:v>
                </c:pt>
                <c:pt idx="3">
                  <c:v>2.3010586126454893</c:v>
                </c:pt>
                <c:pt idx="4">
                  <c:v>2.9390538653623732</c:v>
                </c:pt>
                <c:pt idx="5">
                  <c:v>-8.3693052508371224E-2</c:v>
                </c:pt>
                <c:pt idx="6">
                  <c:v>-2.4947049280746594</c:v>
                </c:pt>
                <c:pt idx="7">
                  <c:v>-4.733447771089935</c:v>
                </c:pt>
                <c:pt idx="8">
                  <c:v>-0.5029894018649923</c:v>
                </c:pt>
                <c:pt idx="9">
                  <c:v>0.82356267893254831</c:v>
                </c:pt>
                <c:pt idx="10">
                  <c:v>3.2896849450136045E-2</c:v>
                </c:pt>
                <c:pt idx="11">
                  <c:v>-0.31369663181623331</c:v>
                </c:pt>
                <c:pt idx="12">
                  <c:v>-1.2091293343592771</c:v>
                </c:pt>
                <c:pt idx="13">
                  <c:v>-1.243063758629301</c:v>
                </c:pt>
                <c:pt idx="14">
                  <c:v>0.69825056776613792</c:v>
                </c:pt>
                <c:pt idx="15">
                  <c:v>-2.0864954336057906</c:v>
                </c:pt>
                <c:pt idx="16">
                  <c:v>3.5823125986140916</c:v>
                </c:pt>
                <c:pt idx="17">
                  <c:v>0.80471058834260845</c:v>
                </c:pt>
                <c:pt idx="18">
                  <c:v>0.13356232046473338</c:v>
                </c:pt>
                <c:pt idx="19">
                  <c:v>-5.7875976693676634</c:v>
                </c:pt>
                <c:pt idx="20">
                  <c:v>-0.32299043884211009</c:v>
                </c:pt>
                <c:pt idx="21">
                  <c:v>0.78447243635617347</c:v>
                </c:pt>
                <c:pt idx="22">
                  <c:v>-1.1349852544480097</c:v>
                </c:pt>
                <c:pt idx="23">
                  <c:v>4.5861284116821146</c:v>
                </c:pt>
                <c:pt idx="24">
                  <c:v>-0.31101336697906667</c:v>
                </c:pt>
                <c:pt idx="25">
                  <c:v>3.2474355930402812</c:v>
                </c:pt>
                <c:pt idx="26">
                  <c:v>-0.55073752484253724</c:v>
                </c:pt>
                <c:pt idx="27">
                  <c:v>-1.3305975324749575</c:v>
                </c:pt>
                <c:pt idx="28">
                  <c:v>-4.3052076088216076</c:v>
                </c:pt>
                <c:pt idx="29">
                  <c:v>-2.0037708049472513</c:v>
                </c:pt>
                <c:pt idx="30">
                  <c:v>5.247036016924115</c:v>
                </c:pt>
                <c:pt idx="31">
                  <c:v>2.7425474244084391</c:v>
                </c:pt>
                <c:pt idx="32">
                  <c:v>0.45107724189759857</c:v>
                </c:pt>
                <c:pt idx="33">
                  <c:v>0.62006434129559196</c:v>
                </c:pt>
                <c:pt idx="34">
                  <c:v>-0.58329089015636626</c:v>
                </c:pt>
                <c:pt idx="35">
                  <c:v>1.6791058988210104</c:v>
                </c:pt>
                <c:pt idx="36">
                  <c:v>2.4429935212216041</c:v>
                </c:pt>
                <c:pt idx="37">
                  <c:v>-1.7556004573916262</c:v>
                </c:pt>
                <c:pt idx="38">
                  <c:v>-7.8733948462614833E-2</c:v>
                </c:pt>
                <c:pt idx="39">
                  <c:v>0.89819379286492129</c:v>
                </c:pt>
                <c:pt idx="40">
                  <c:v>-0.20895717155026716</c:v>
                </c:pt>
                <c:pt idx="41">
                  <c:v>-5.8122806587869391E-2</c:v>
                </c:pt>
                <c:pt idx="42">
                  <c:v>3.7115298123194638</c:v>
                </c:pt>
                <c:pt idx="43">
                  <c:v>-1.0710112494406534</c:v>
                </c:pt>
                <c:pt idx="44">
                  <c:v>-0.55258597785637065</c:v>
                </c:pt>
                <c:pt idx="45">
                  <c:v>-2.3570521008724015</c:v>
                </c:pt>
                <c:pt idx="46">
                  <c:v>1.31430697733256</c:v>
                </c:pt>
                <c:pt idx="47">
                  <c:v>3.2705481858594432</c:v>
                </c:pt>
                <c:pt idx="48">
                  <c:v>-1.8961744980388389</c:v>
                </c:pt>
                <c:pt idx="49">
                  <c:v>-3.742787209565174</c:v>
                </c:pt>
              </c:numCache>
            </c:numRef>
          </c:yVal>
        </c:ser>
        <c:axId val="290981376"/>
        <c:axId val="290983296"/>
      </c:scatterChart>
      <c:valAx>
        <c:axId val="2909813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White</a:t>
                </a:r>
              </a:p>
            </c:rich>
          </c:tx>
        </c:title>
        <c:numFmt formatCode="0.0" sourceLinked="1"/>
        <c:tickLblPos val="nextTo"/>
        <c:crossAx val="290983296"/>
        <c:crosses val="autoZero"/>
        <c:crossBetween val="midCat"/>
      </c:valAx>
      <c:valAx>
        <c:axId val="29098329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9098137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Crime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4'!$E$4:$E$53</c:f>
              <c:numCache>
                <c:formatCode>#,##0</c:formatCode>
                <c:ptCount val="50"/>
                <c:pt idx="0">
                  <c:v>448</c:v>
                </c:pt>
                <c:pt idx="1">
                  <c:v>661.2</c:v>
                </c:pt>
                <c:pt idx="2">
                  <c:v>482.7</c:v>
                </c:pt>
                <c:pt idx="3">
                  <c:v>529.4</c:v>
                </c:pt>
                <c:pt idx="4">
                  <c:v>522.6</c:v>
                </c:pt>
                <c:pt idx="5">
                  <c:v>347.8</c:v>
                </c:pt>
                <c:pt idx="6">
                  <c:v>256</c:v>
                </c:pt>
                <c:pt idx="7">
                  <c:v>689.2</c:v>
                </c:pt>
                <c:pt idx="8">
                  <c:v>722.6</c:v>
                </c:pt>
                <c:pt idx="9">
                  <c:v>493.2</c:v>
                </c:pt>
                <c:pt idx="10">
                  <c:v>272.8</c:v>
                </c:pt>
                <c:pt idx="11">
                  <c:v>239.4</c:v>
                </c:pt>
                <c:pt idx="12">
                  <c:v>533.20000000000005</c:v>
                </c:pt>
                <c:pt idx="13">
                  <c:v>333.6</c:v>
                </c:pt>
                <c:pt idx="14">
                  <c:v>294.7</c:v>
                </c:pt>
                <c:pt idx="15">
                  <c:v>452.7</c:v>
                </c:pt>
                <c:pt idx="16">
                  <c:v>295</c:v>
                </c:pt>
                <c:pt idx="17">
                  <c:v>729.5</c:v>
                </c:pt>
                <c:pt idx="18">
                  <c:v>118</c:v>
                </c:pt>
                <c:pt idx="19">
                  <c:v>641.9</c:v>
                </c:pt>
                <c:pt idx="20">
                  <c:v>431.5</c:v>
                </c:pt>
                <c:pt idx="21">
                  <c:v>536</c:v>
                </c:pt>
                <c:pt idx="22">
                  <c:v>288.7</c:v>
                </c:pt>
                <c:pt idx="23">
                  <c:v>291.3</c:v>
                </c:pt>
                <c:pt idx="24">
                  <c:v>504.9</c:v>
                </c:pt>
                <c:pt idx="25">
                  <c:v>287.5</c:v>
                </c:pt>
                <c:pt idx="26">
                  <c:v>302.39999999999998</c:v>
                </c:pt>
                <c:pt idx="27">
                  <c:v>750.6</c:v>
                </c:pt>
                <c:pt idx="28">
                  <c:v>137.30000000000001</c:v>
                </c:pt>
                <c:pt idx="29">
                  <c:v>329.3</c:v>
                </c:pt>
                <c:pt idx="30">
                  <c:v>664.2</c:v>
                </c:pt>
                <c:pt idx="31">
                  <c:v>414.1</c:v>
                </c:pt>
                <c:pt idx="32">
                  <c:v>466.4</c:v>
                </c:pt>
                <c:pt idx="33">
                  <c:v>142.4</c:v>
                </c:pt>
                <c:pt idx="34">
                  <c:v>343.2</c:v>
                </c:pt>
                <c:pt idx="35">
                  <c:v>499.6</c:v>
                </c:pt>
                <c:pt idx="36">
                  <c:v>287.60000000000002</c:v>
                </c:pt>
                <c:pt idx="37">
                  <c:v>416.5</c:v>
                </c:pt>
                <c:pt idx="38">
                  <c:v>227.3</c:v>
                </c:pt>
                <c:pt idx="39">
                  <c:v>788.3</c:v>
                </c:pt>
                <c:pt idx="40">
                  <c:v>169.2</c:v>
                </c:pt>
                <c:pt idx="41">
                  <c:v>753.3</c:v>
                </c:pt>
                <c:pt idx="42">
                  <c:v>510.6</c:v>
                </c:pt>
                <c:pt idx="43">
                  <c:v>234.8</c:v>
                </c:pt>
                <c:pt idx="44">
                  <c:v>124.3</c:v>
                </c:pt>
                <c:pt idx="45">
                  <c:v>269.7</c:v>
                </c:pt>
                <c:pt idx="46">
                  <c:v>333.1</c:v>
                </c:pt>
                <c:pt idx="47">
                  <c:v>275.2</c:v>
                </c:pt>
                <c:pt idx="48">
                  <c:v>290.89999999999998</c:v>
                </c:pt>
                <c:pt idx="49">
                  <c:v>239.3</c:v>
                </c:pt>
              </c:numCache>
            </c:numRef>
          </c:xVal>
          <c:yVal>
            <c:numRef>
              <c:f>'Mult Reg 5A'!$C$27:$C$76</c:f>
              <c:numCache>
                <c:formatCode>General</c:formatCode>
                <c:ptCount val="50"/>
                <c:pt idx="0">
                  <c:v>0.53151753471999008</c:v>
                </c:pt>
                <c:pt idx="1">
                  <c:v>-4.3701940963279213</c:v>
                </c:pt>
                <c:pt idx="2">
                  <c:v>2.2462656486003425</c:v>
                </c:pt>
                <c:pt idx="3">
                  <c:v>2.3010586126454893</c:v>
                </c:pt>
                <c:pt idx="4">
                  <c:v>2.9390538653623732</c:v>
                </c:pt>
                <c:pt idx="5">
                  <c:v>-8.3693052508371224E-2</c:v>
                </c:pt>
                <c:pt idx="6">
                  <c:v>-2.4947049280746594</c:v>
                </c:pt>
                <c:pt idx="7">
                  <c:v>-4.733447771089935</c:v>
                </c:pt>
                <c:pt idx="8">
                  <c:v>-0.5029894018649923</c:v>
                </c:pt>
                <c:pt idx="9">
                  <c:v>0.82356267893254831</c:v>
                </c:pt>
                <c:pt idx="10">
                  <c:v>3.2896849450136045E-2</c:v>
                </c:pt>
                <c:pt idx="11">
                  <c:v>-0.31369663181623331</c:v>
                </c:pt>
                <c:pt idx="12">
                  <c:v>-1.2091293343592771</c:v>
                </c:pt>
                <c:pt idx="13">
                  <c:v>-1.243063758629301</c:v>
                </c:pt>
                <c:pt idx="14">
                  <c:v>0.69825056776613792</c:v>
                </c:pt>
                <c:pt idx="15">
                  <c:v>-2.0864954336057906</c:v>
                </c:pt>
                <c:pt idx="16">
                  <c:v>3.5823125986140916</c:v>
                </c:pt>
                <c:pt idx="17">
                  <c:v>0.80471058834260845</c:v>
                </c:pt>
                <c:pt idx="18">
                  <c:v>0.13356232046473338</c:v>
                </c:pt>
                <c:pt idx="19">
                  <c:v>-5.7875976693676634</c:v>
                </c:pt>
                <c:pt idx="20">
                  <c:v>-0.32299043884211009</c:v>
                </c:pt>
                <c:pt idx="21">
                  <c:v>0.78447243635617347</c:v>
                </c:pt>
                <c:pt idx="22">
                  <c:v>-1.1349852544480097</c:v>
                </c:pt>
                <c:pt idx="23">
                  <c:v>4.5861284116821146</c:v>
                </c:pt>
                <c:pt idx="24">
                  <c:v>-0.31101336697906667</c:v>
                </c:pt>
                <c:pt idx="25">
                  <c:v>3.2474355930402812</c:v>
                </c:pt>
                <c:pt idx="26">
                  <c:v>-0.55073752484253724</c:v>
                </c:pt>
                <c:pt idx="27">
                  <c:v>-1.3305975324749575</c:v>
                </c:pt>
                <c:pt idx="28">
                  <c:v>-4.3052076088216076</c:v>
                </c:pt>
                <c:pt idx="29">
                  <c:v>-2.0037708049472513</c:v>
                </c:pt>
                <c:pt idx="30">
                  <c:v>5.247036016924115</c:v>
                </c:pt>
                <c:pt idx="31">
                  <c:v>2.7425474244084391</c:v>
                </c:pt>
                <c:pt idx="32">
                  <c:v>0.45107724189759857</c:v>
                </c:pt>
                <c:pt idx="33">
                  <c:v>0.62006434129559196</c:v>
                </c:pt>
                <c:pt idx="34">
                  <c:v>-0.58329089015636626</c:v>
                </c:pt>
                <c:pt idx="35">
                  <c:v>1.6791058988210104</c:v>
                </c:pt>
                <c:pt idx="36">
                  <c:v>2.4429935212216041</c:v>
                </c:pt>
                <c:pt idx="37">
                  <c:v>-1.7556004573916262</c:v>
                </c:pt>
                <c:pt idx="38">
                  <c:v>-7.8733948462614833E-2</c:v>
                </c:pt>
                <c:pt idx="39">
                  <c:v>0.89819379286492129</c:v>
                </c:pt>
                <c:pt idx="40">
                  <c:v>-0.20895717155026716</c:v>
                </c:pt>
                <c:pt idx="41">
                  <c:v>-5.8122806587869391E-2</c:v>
                </c:pt>
                <c:pt idx="42">
                  <c:v>3.7115298123194638</c:v>
                </c:pt>
                <c:pt idx="43">
                  <c:v>-1.0710112494406534</c:v>
                </c:pt>
                <c:pt idx="44">
                  <c:v>-0.55258597785637065</c:v>
                </c:pt>
                <c:pt idx="45">
                  <c:v>-2.3570521008724015</c:v>
                </c:pt>
                <c:pt idx="46">
                  <c:v>1.31430697733256</c:v>
                </c:pt>
                <c:pt idx="47">
                  <c:v>3.2705481858594432</c:v>
                </c:pt>
                <c:pt idx="48">
                  <c:v>-1.8961744980388389</c:v>
                </c:pt>
                <c:pt idx="49">
                  <c:v>-3.742787209565174</c:v>
                </c:pt>
              </c:numCache>
            </c:numRef>
          </c:yVal>
        </c:ser>
        <c:axId val="291015680"/>
        <c:axId val="291038336"/>
      </c:scatterChart>
      <c:valAx>
        <c:axId val="2910156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Crime</a:t>
                </a:r>
              </a:p>
            </c:rich>
          </c:tx>
        </c:title>
        <c:numFmt formatCode="#,##0" sourceLinked="1"/>
        <c:tickLblPos val="nextTo"/>
        <c:crossAx val="291038336"/>
        <c:crosses val="autoZero"/>
        <c:crossBetween val="midCat"/>
      </c:valAx>
      <c:valAx>
        <c:axId val="29103833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9101568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Infant Mort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Poverty</c:v>
          </c:tx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4'!$B$4:$B$53</c:f>
              <c:numCache>
                <c:formatCode>General</c:formatCode>
                <c:ptCount val="50"/>
                <c:pt idx="0">
                  <c:v>15.7</c:v>
                </c:pt>
                <c:pt idx="1">
                  <c:v>8.4</c:v>
                </c:pt>
                <c:pt idx="2">
                  <c:v>14.7</c:v>
                </c:pt>
                <c:pt idx="3">
                  <c:v>17.3</c:v>
                </c:pt>
                <c:pt idx="4">
                  <c:v>13.3</c:v>
                </c:pt>
                <c:pt idx="5">
                  <c:v>11.4</c:v>
                </c:pt>
                <c:pt idx="6">
                  <c:v>9.3000000000000007</c:v>
                </c:pt>
                <c:pt idx="7" formatCode="#,##0.0">
                  <c:v>10</c:v>
                </c:pt>
                <c:pt idx="8">
                  <c:v>13.2</c:v>
                </c:pt>
                <c:pt idx="9">
                  <c:v>14.7</c:v>
                </c:pt>
                <c:pt idx="10">
                  <c:v>9.1</c:v>
                </c:pt>
                <c:pt idx="11">
                  <c:v>12.6</c:v>
                </c:pt>
                <c:pt idx="12">
                  <c:v>12.2</c:v>
                </c:pt>
                <c:pt idx="13">
                  <c:v>13.1</c:v>
                </c:pt>
                <c:pt idx="14">
                  <c:v>11.5</c:v>
                </c:pt>
                <c:pt idx="15">
                  <c:v>11.3</c:v>
                </c:pt>
                <c:pt idx="16">
                  <c:v>17.3</c:v>
                </c:pt>
                <c:pt idx="17">
                  <c:v>17.3</c:v>
                </c:pt>
                <c:pt idx="18">
                  <c:v>12.3</c:v>
                </c:pt>
                <c:pt idx="19">
                  <c:v>8.1</c:v>
                </c:pt>
                <c:pt idx="20" formatCode="#,##0.0">
                  <c:v>10</c:v>
                </c:pt>
                <c:pt idx="21">
                  <c:v>14.4</c:v>
                </c:pt>
                <c:pt idx="22">
                  <c:v>9.6</c:v>
                </c:pt>
                <c:pt idx="23">
                  <c:v>21.2</c:v>
                </c:pt>
                <c:pt idx="24">
                  <c:v>13.4</c:v>
                </c:pt>
                <c:pt idx="25">
                  <c:v>14.8</c:v>
                </c:pt>
                <c:pt idx="26">
                  <c:v>10.8</c:v>
                </c:pt>
                <c:pt idx="27">
                  <c:v>11.3</c:v>
                </c:pt>
                <c:pt idx="28">
                  <c:v>7.6</c:v>
                </c:pt>
                <c:pt idx="29">
                  <c:v>8.6999999999999993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14.6</c:v>
                </c:pt>
                <c:pt idx="33" formatCode="0.0">
                  <c:v>12</c:v>
                </c:pt>
                <c:pt idx="34">
                  <c:v>13.4</c:v>
                </c:pt>
                <c:pt idx="35">
                  <c:v>15.9</c:v>
                </c:pt>
                <c:pt idx="36">
                  <c:v>13.6</c:v>
                </c:pt>
                <c:pt idx="37">
                  <c:v>12.1</c:v>
                </c:pt>
                <c:pt idx="38">
                  <c:v>11.7</c:v>
                </c:pt>
                <c:pt idx="39">
                  <c:v>15.7</c:v>
                </c:pt>
                <c:pt idx="40">
                  <c:v>12.5</c:v>
                </c:pt>
                <c:pt idx="41">
                  <c:v>15.5</c:v>
                </c:pt>
                <c:pt idx="42">
                  <c:v>15.8</c:v>
                </c:pt>
                <c:pt idx="43">
                  <c:v>9.6</c:v>
                </c:pt>
                <c:pt idx="44">
                  <c:v>10.6</c:v>
                </c:pt>
                <c:pt idx="45">
                  <c:v>10.199999999999999</c:v>
                </c:pt>
                <c:pt idx="46">
                  <c:v>11.3</c:v>
                </c:pt>
                <c:pt idx="47" formatCode="0.0">
                  <c:v>17</c:v>
                </c:pt>
                <c:pt idx="48">
                  <c:v>10.4</c:v>
                </c:pt>
                <c:pt idx="49">
                  <c:v>9.4</c:v>
                </c:pt>
              </c:numCache>
            </c:numRef>
          </c:yVal>
        </c:ser>
        <c:ser>
          <c:idx val="1"/>
          <c:order val="1"/>
          <c:tx>
            <c:v>Predicted Poverty</c:v>
          </c:tx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5A'!$B$27:$B$76</c:f>
              <c:numCache>
                <c:formatCode>General</c:formatCode>
                <c:ptCount val="50"/>
                <c:pt idx="0">
                  <c:v>15.168482465280009</c:v>
                </c:pt>
                <c:pt idx="1">
                  <c:v>12.770194096327922</c:v>
                </c:pt>
                <c:pt idx="2">
                  <c:v>12.453734351399657</c:v>
                </c:pt>
                <c:pt idx="3">
                  <c:v>14.998941387354511</c:v>
                </c:pt>
                <c:pt idx="4">
                  <c:v>10.360946134637627</c:v>
                </c:pt>
                <c:pt idx="5">
                  <c:v>11.483693052508372</c:v>
                </c:pt>
                <c:pt idx="6">
                  <c:v>11.79470492807466</c:v>
                </c:pt>
                <c:pt idx="7">
                  <c:v>14.733447771089935</c:v>
                </c:pt>
                <c:pt idx="8">
                  <c:v>13.702989401864992</c:v>
                </c:pt>
                <c:pt idx="9">
                  <c:v>13.876437321067451</c:v>
                </c:pt>
                <c:pt idx="10">
                  <c:v>9.0671031505498636</c:v>
                </c:pt>
                <c:pt idx="11">
                  <c:v>12.913696631816233</c:v>
                </c:pt>
                <c:pt idx="12">
                  <c:v>13.409129334359276</c:v>
                </c:pt>
                <c:pt idx="13">
                  <c:v>14.343063758629301</c:v>
                </c:pt>
                <c:pt idx="14">
                  <c:v>10.801749432233862</c:v>
                </c:pt>
                <c:pt idx="15">
                  <c:v>13.386495433605791</c:v>
                </c:pt>
                <c:pt idx="16">
                  <c:v>13.717687401385909</c:v>
                </c:pt>
                <c:pt idx="17">
                  <c:v>16.495289411657392</c:v>
                </c:pt>
                <c:pt idx="18">
                  <c:v>12.166437679535267</c:v>
                </c:pt>
                <c:pt idx="19">
                  <c:v>13.887597669367663</c:v>
                </c:pt>
                <c:pt idx="20">
                  <c:v>10.32299043884211</c:v>
                </c:pt>
                <c:pt idx="21">
                  <c:v>13.615527563643827</c:v>
                </c:pt>
                <c:pt idx="22">
                  <c:v>10.734985254448009</c:v>
                </c:pt>
                <c:pt idx="23">
                  <c:v>16.613871588317885</c:v>
                </c:pt>
                <c:pt idx="24">
                  <c:v>13.711013366979067</c:v>
                </c:pt>
                <c:pt idx="25">
                  <c:v>11.55256440695972</c:v>
                </c:pt>
                <c:pt idx="26">
                  <c:v>11.350737524842538</c:v>
                </c:pt>
                <c:pt idx="27">
                  <c:v>12.630597532474958</c:v>
                </c:pt>
                <c:pt idx="28">
                  <c:v>11.905207608821607</c:v>
                </c:pt>
                <c:pt idx="29">
                  <c:v>10.703770804947251</c:v>
                </c:pt>
                <c:pt idx="30">
                  <c:v>11.852963983075886</c:v>
                </c:pt>
                <c:pt idx="31">
                  <c:v>10.857452575591561</c:v>
                </c:pt>
                <c:pt idx="32">
                  <c:v>14.148922758102401</c:v>
                </c:pt>
                <c:pt idx="33">
                  <c:v>11.379935658704408</c:v>
                </c:pt>
                <c:pt idx="34">
                  <c:v>13.983290890156367</c:v>
                </c:pt>
                <c:pt idx="35">
                  <c:v>14.22089410117899</c:v>
                </c:pt>
                <c:pt idx="36">
                  <c:v>11.157006478778396</c:v>
                </c:pt>
                <c:pt idx="37">
                  <c:v>13.855600457391626</c:v>
                </c:pt>
                <c:pt idx="38">
                  <c:v>11.778733948462614</c:v>
                </c:pt>
                <c:pt idx="39">
                  <c:v>14.801806207135078</c:v>
                </c:pt>
                <c:pt idx="40">
                  <c:v>12.708957171550267</c:v>
                </c:pt>
                <c:pt idx="41">
                  <c:v>15.558122806587869</c:v>
                </c:pt>
                <c:pt idx="42">
                  <c:v>12.088470187680537</c:v>
                </c:pt>
                <c:pt idx="43">
                  <c:v>10.671011249440653</c:v>
                </c:pt>
                <c:pt idx="44">
                  <c:v>11.15258597785637</c:v>
                </c:pt>
                <c:pt idx="45">
                  <c:v>12.557052100872401</c:v>
                </c:pt>
                <c:pt idx="46">
                  <c:v>9.9856930226674407</c:v>
                </c:pt>
                <c:pt idx="47">
                  <c:v>13.729451814140557</c:v>
                </c:pt>
                <c:pt idx="48">
                  <c:v>12.296174498038839</c:v>
                </c:pt>
                <c:pt idx="49">
                  <c:v>13.142787209565174</c:v>
                </c:pt>
              </c:numCache>
            </c:numRef>
          </c:yVal>
        </c:ser>
        <c:axId val="291063296"/>
        <c:axId val="291065216"/>
      </c:scatterChart>
      <c:valAx>
        <c:axId val="2910632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Infant Mort</a:t>
                </a:r>
              </a:p>
            </c:rich>
          </c:tx>
        </c:title>
        <c:numFmt formatCode="0.0" sourceLinked="1"/>
        <c:tickLblPos val="nextTo"/>
        <c:crossAx val="291065216"/>
        <c:crosses val="autoZero"/>
        <c:crossBetween val="midCat"/>
      </c:valAx>
      <c:valAx>
        <c:axId val="29106521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</c:title>
        <c:numFmt formatCode="General" sourceLinked="1"/>
        <c:tickLblPos val="nextTo"/>
        <c:crossAx val="291063296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White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Poverty</c:v>
          </c:tx>
          <c:spPr>
            <a:ln w="28575">
              <a:noFill/>
            </a:ln>
          </c:spPr>
          <c:xVal>
            <c:numRef>
              <c:f>'Mult Reg 4'!$D$4:$D$53</c:f>
              <c:numCache>
                <c:formatCode>0.0</c:formatCode>
                <c:ptCount val="50"/>
                <c:pt idx="0">
                  <c:v>71.027177760140717</c:v>
                </c:pt>
                <c:pt idx="1">
                  <c:v>70.62318863808899</c:v>
                </c:pt>
                <c:pt idx="2">
                  <c:v>86.505696765320337</c:v>
                </c:pt>
                <c:pt idx="3">
                  <c:v>80.783955956979611</c:v>
                </c:pt>
                <c:pt idx="4">
                  <c:v>76.640052174481781</c:v>
                </c:pt>
                <c:pt idx="5">
                  <c:v>89.734092175332663</c:v>
                </c:pt>
                <c:pt idx="6">
                  <c:v>84.278652322083644</c:v>
                </c:pt>
                <c:pt idx="7">
                  <c:v>74.266056727126113</c:v>
                </c:pt>
                <c:pt idx="8">
                  <c:v>79.811068541941054</c:v>
                </c:pt>
                <c:pt idx="9">
                  <c:v>65.387718279566343</c:v>
                </c:pt>
                <c:pt idx="10">
                  <c:v>29.667333748383395</c:v>
                </c:pt>
                <c:pt idx="11">
                  <c:v>94.600660447193093</c:v>
                </c:pt>
                <c:pt idx="12">
                  <c:v>79.13310968601246</c:v>
                </c:pt>
                <c:pt idx="13">
                  <c:v>88.000000627274659</c:v>
                </c:pt>
                <c:pt idx="14">
                  <c:v>94.170464820794294</c:v>
                </c:pt>
                <c:pt idx="15">
                  <c:v>88.703716524620162</c:v>
                </c:pt>
                <c:pt idx="16">
                  <c:v>89.904327345935869</c:v>
                </c:pt>
                <c:pt idx="17">
                  <c:v>64.839543701408999</c:v>
                </c:pt>
                <c:pt idx="18">
                  <c:v>96.389852756187835</c:v>
                </c:pt>
                <c:pt idx="19">
                  <c:v>63.398020838196281</c:v>
                </c:pt>
                <c:pt idx="20">
                  <c:v>86.203669547721617</c:v>
                </c:pt>
                <c:pt idx="21">
                  <c:v>81.183409037427396</c:v>
                </c:pt>
                <c:pt idx="22">
                  <c:v>89.045556531854984</c:v>
                </c:pt>
                <c:pt idx="23">
                  <c:v>60.598179144073846</c:v>
                </c:pt>
                <c:pt idx="24">
                  <c:v>85.028888093842554</c:v>
                </c:pt>
                <c:pt idx="25">
                  <c:v>90.467729264863962</c:v>
                </c:pt>
                <c:pt idx="26">
                  <c:v>91.372477335833381</c:v>
                </c:pt>
                <c:pt idx="27">
                  <c:v>80.891227371165002</c:v>
                </c:pt>
                <c:pt idx="28">
                  <c:v>95.487186970145373</c:v>
                </c:pt>
                <c:pt idx="29">
                  <c:v>76.032117342828414</c:v>
                </c:pt>
                <c:pt idx="30">
                  <c:v>83.996520785584835</c:v>
                </c:pt>
                <c:pt idx="31">
                  <c:v>73.422529169257928</c:v>
                </c:pt>
                <c:pt idx="32">
                  <c:v>73.937344387272134</c:v>
                </c:pt>
                <c:pt idx="33">
                  <c:v>91.393509706444945</c:v>
                </c:pt>
                <c:pt idx="34">
                  <c:v>84.764237226305966</c:v>
                </c:pt>
                <c:pt idx="35">
                  <c:v>78.141238608693655</c:v>
                </c:pt>
                <c:pt idx="36">
                  <c:v>90.140446325387984</c:v>
                </c:pt>
                <c:pt idx="37">
                  <c:v>85.424563507935517</c:v>
                </c:pt>
                <c:pt idx="38">
                  <c:v>88.483880668602993</c:v>
                </c:pt>
                <c:pt idx="39">
                  <c:v>68.748136077503446</c:v>
                </c:pt>
                <c:pt idx="40">
                  <c:v>88.189790025789804</c:v>
                </c:pt>
                <c:pt idx="41">
                  <c:v>80.371971305033981</c:v>
                </c:pt>
                <c:pt idx="42">
                  <c:v>82.402677784750395</c:v>
                </c:pt>
                <c:pt idx="43">
                  <c:v>92.915461931338129</c:v>
                </c:pt>
                <c:pt idx="44">
                  <c:v>96.408807764739961</c:v>
                </c:pt>
                <c:pt idx="45">
                  <c:v>73.031896017666924</c:v>
                </c:pt>
                <c:pt idx="46">
                  <c:v>84.290902250404002</c:v>
                </c:pt>
                <c:pt idx="47">
                  <c:v>94.524786328554711</c:v>
                </c:pt>
                <c:pt idx="48">
                  <c:v>89.673695670212709</c:v>
                </c:pt>
                <c:pt idx="49">
                  <c:v>93.867286940458214</c:v>
                </c:pt>
              </c:numCache>
            </c:numRef>
          </c:xVal>
          <c:yVal>
            <c:numRef>
              <c:f>'Mult Reg 4'!$B$4:$B$53</c:f>
              <c:numCache>
                <c:formatCode>General</c:formatCode>
                <c:ptCount val="50"/>
                <c:pt idx="0">
                  <c:v>15.7</c:v>
                </c:pt>
                <c:pt idx="1">
                  <c:v>8.4</c:v>
                </c:pt>
                <c:pt idx="2">
                  <c:v>14.7</c:v>
                </c:pt>
                <c:pt idx="3">
                  <c:v>17.3</c:v>
                </c:pt>
                <c:pt idx="4">
                  <c:v>13.3</c:v>
                </c:pt>
                <c:pt idx="5">
                  <c:v>11.4</c:v>
                </c:pt>
                <c:pt idx="6">
                  <c:v>9.3000000000000007</c:v>
                </c:pt>
                <c:pt idx="7" formatCode="#,##0.0">
                  <c:v>10</c:v>
                </c:pt>
                <c:pt idx="8">
                  <c:v>13.2</c:v>
                </c:pt>
                <c:pt idx="9">
                  <c:v>14.7</c:v>
                </c:pt>
                <c:pt idx="10">
                  <c:v>9.1</c:v>
                </c:pt>
                <c:pt idx="11">
                  <c:v>12.6</c:v>
                </c:pt>
                <c:pt idx="12">
                  <c:v>12.2</c:v>
                </c:pt>
                <c:pt idx="13">
                  <c:v>13.1</c:v>
                </c:pt>
                <c:pt idx="14">
                  <c:v>11.5</c:v>
                </c:pt>
                <c:pt idx="15">
                  <c:v>11.3</c:v>
                </c:pt>
                <c:pt idx="16">
                  <c:v>17.3</c:v>
                </c:pt>
                <c:pt idx="17">
                  <c:v>17.3</c:v>
                </c:pt>
                <c:pt idx="18">
                  <c:v>12.3</c:v>
                </c:pt>
                <c:pt idx="19">
                  <c:v>8.1</c:v>
                </c:pt>
                <c:pt idx="20" formatCode="#,##0.0">
                  <c:v>10</c:v>
                </c:pt>
                <c:pt idx="21">
                  <c:v>14.4</c:v>
                </c:pt>
                <c:pt idx="22">
                  <c:v>9.6</c:v>
                </c:pt>
                <c:pt idx="23">
                  <c:v>21.2</c:v>
                </c:pt>
                <c:pt idx="24">
                  <c:v>13.4</c:v>
                </c:pt>
                <c:pt idx="25">
                  <c:v>14.8</c:v>
                </c:pt>
                <c:pt idx="26">
                  <c:v>10.8</c:v>
                </c:pt>
                <c:pt idx="27">
                  <c:v>11.3</c:v>
                </c:pt>
                <c:pt idx="28">
                  <c:v>7.6</c:v>
                </c:pt>
                <c:pt idx="29">
                  <c:v>8.6999999999999993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14.6</c:v>
                </c:pt>
                <c:pt idx="33" formatCode="0.0">
                  <c:v>12</c:v>
                </c:pt>
                <c:pt idx="34">
                  <c:v>13.4</c:v>
                </c:pt>
                <c:pt idx="35">
                  <c:v>15.9</c:v>
                </c:pt>
                <c:pt idx="36">
                  <c:v>13.6</c:v>
                </c:pt>
                <c:pt idx="37">
                  <c:v>12.1</c:v>
                </c:pt>
                <c:pt idx="38">
                  <c:v>11.7</c:v>
                </c:pt>
                <c:pt idx="39">
                  <c:v>15.7</c:v>
                </c:pt>
                <c:pt idx="40">
                  <c:v>12.5</c:v>
                </c:pt>
                <c:pt idx="41">
                  <c:v>15.5</c:v>
                </c:pt>
                <c:pt idx="42">
                  <c:v>15.8</c:v>
                </c:pt>
                <c:pt idx="43">
                  <c:v>9.6</c:v>
                </c:pt>
                <c:pt idx="44">
                  <c:v>10.6</c:v>
                </c:pt>
                <c:pt idx="45">
                  <c:v>10.199999999999999</c:v>
                </c:pt>
                <c:pt idx="46">
                  <c:v>11.3</c:v>
                </c:pt>
                <c:pt idx="47" formatCode="0.0">
                  <c:v>17</c:v>
                </c:pt>
                <c:pt idx="48">
                  <c:v>10.4</c:v>
                </c:pt>
                <c:pt idx="49">
                  <c:v>9.4</c:v>
                </c:pt>
              </c:numCache>
            </c:numRef>
          </c:yVal>
        </c:ser>
        <c:ser>
          <c:idx val="1"/>
          <c:order val="1"/>
          <c:tx>
            <c:v>Predicted Poverty</c:v>
          </c:tx>
          <c:spPr>
            <a:ln w="28575">
              <a:noFill/>
            </a:ln>
          </c:spPr>
          <c:xVal>
            <c:numRef>
              <c:f>'Mult Reg 4'!$D$4:$D$53</c:f>
              <c:numCache>
                <c:formatCode>0.0</c:formatCode>
                <c:ptCount val="50"/>
                <c:pt idx="0">
                  <c:v>71.027177760140717</c:v>
                </c:pt>
                <c:pt idx="1">
                  <c:v>70.62318863808899</c:v>
                </c:pt>
                <c:pt idx="2">
                  <c:v>86.505696765320337</c:v>
                </c:pt>
                <c:pt idx="3">
                  <c:v>80.783955956979611</c:v>
                </c:pt>
                <c:pt idx="4">
                  <c:v>76.640052174481781</c:v>
                </c:pt>
                <c:pt idx="5">
                  <c:v>89.734092175332663</c:v>
                </c:pt>
                <c:pt idx="6">
                  <c:v>84.278652322083644</c:v>
                </c:pt>
                <c:pt idx="7">
                  <c:v>74.266056727126113</c:v>
                </c:pt>
                <c:pt idx="8">
                  <c:v>79.811068541941054</c:v>
                </c:pt>
                <c:pt idx="9">
                  <c:v>65.387718279566343</c:v>
                </c:pt>
                <c:pt idx="10">
                  <c:v>29.667333748383395</c:v>
                </c:pt>
                <c:pt idx="11">
                  <c:v>94.600660447193093</c:v>
                </c:pt>
                <c:pt idx="12">
                  <c:v>79.13310968601246</c:v>
                </c:pt>
                <c:pt idx="13">
                  <c:v>88.000000627274659</c:v>
                </c:pt>
                <c:pt idx="14">
                  <c:v>94.170464820794294</c:v>
                </c:pt>
                <c:pt idx="15">
                  <c:v>88.703716524620162</c:v>
                </c:pt>
                <c:pt idx="16">
                  <c:v>89.904327345935869</c:v>
                </c:pt>
                <c:pt idx="17">
                  <c:v>64.839543701408999</c:v>
                </c:pt>
                <c:pt idx="18">
                  <c:v>96.389852756187835</c:v>
                </c:pt>
                <c:pt idx="19">
                  <c:v>63.398020838196281</c:v>
                </c:pt>
                <c:pt idx="20">
                  <c:v>86.203669547721617</c:v>
                </c:pt>
                <c:pt idx="21">
                  <c:v>81.183409037427396</c:v>
                </c:pt>
                <c:pt idx="22">
                  <c:v>89.045556531854984</c:v>
                </c:pt>
                <c:pt idx="23">
                  <c:v>60.598179144073846</c:v>
                </c:pt>
                <c:pt idx="24">
                  <c:v>85.028888093842554</c:v>
                </c:pt>
                <c:pt idx="25">
                  <c:v>90.467729264863962</c:v>
                </c:pt>
                <c:pt idx="26">
                  <c:v>91.372477335833381</c:v>
                </c:pt>
                <c:pt idx="27">
                  <c:v>80.891227371165002</c:v>
                </c:pt>
                <c:pt idx="28">
                  <c:v>95.487186970145373</c:v>
                </c:pt>
                <c:pt idx="29">
                  <c:v>76.032117342828414</c:v>
                </c:pt>
                <c:pt idx="30">
                  <c:v>83.996520785584835</c:v>
                </c:pt>
                <c:pt idx="31">
                  <c:v>73.422529169257928</c:v>
                </c:pt>
                <c:pt idx="32">
                  <c:v>73.937344387272134</c:v>
                </c:pt>
                <c:pt idx="33">
                  <c:v>91.393509706444945</c:v>
                </c:pt>
                <c:pt idx="34">
                  <c:v>84.764237226305966</c:v>
                </c:pt>
                <c:pt idx="35">
                  <c:v>78.141238608693655</c:v>
                </c:pt>
                <c:pt idx="36">
                  <c:v>90.140446325387984</c:v>
                </c:pt>
                <c:pt idx="37">
                  <c:v>85.424563507935517</c:v>
                </c:pt>
                <c:pt idx="38">
                  <c:v>88.483880668602993</c:v>
                </c:pt>
                <c:pt idx="39">
                  <c:v>68.748136077503446</c:v>
                </c:pt>
                <c:pt idx="40">
                  <c:v>88.189790025789804</c:v>
                </c:pt>
                <c:pt idx="41">
                  <c:v>80.371971305033981</c:v>
                </c:pt>
                <c:pt idx="42">
                  <c:v>82.402677784750395</c:v>
                </c:pt>
                <c:pt idx="43">
                  <c:v>92.915461931338129</c:v>
                </c:pt>
                <c:pt idx="44">
                  <c:v>96.408807764739961</c:v>
                </c:pt>
                <c:pt idx="45">
                  <c:v>73.031896017666924</c:v>
                </c:pt>
                <c:pt idx="46">
                  <c:v>84.290902250404002</c:v>
                </c:pt>
                <c:pt idx="47">
                  <c:v>94.524786328554711</c:v>
                </c:pt>
                <c:pt idx="48">
                  <c:v>89.673695670212709</c:v>
                </c:pt>
                <c:pt idx="49">
                  <c:v>93.867286940458214</c:v>
                </c:pt>
              </c:numCache>
            </c:numRef>
          </c:xVal>
          <c:yVal>
            <c:numRef>
              <c:f>'Mult Reg 5A'!$B$27:$B$76</c:f>
              <c:numCache>
                <c:formatCode>General</c:formatCode>
                <c:ptCount val="50"/>
                <c:pt idx="0">
                  <c:v>15.168482465280009</c:v>
                </c:pt>
                <c:pt idx="1">
                  <c:v>12.770194096327922</c:v>
                </c:pt>
                <c:pt idx="2">
                  <c:v>12.453734351399657</c:v>
                </c:pt>
                <c:pt idx="3">
                  <c:v>14.998941387354511</c:v>
                </c:pt>
                <c:pt idx="4">
                  <c:v>10.360946134637627</c:v>
                </c:pt>
                <c:pt idx="5">
                  <c:v>11.483693052508372</c:v>
                </c:pt>
                <c:pt idx="6">
                  <c:v>11.79470492807466</c:v>
                </c:pt>
                <c:pt idx="7">
                  <c:v>14.733447771089935</c:v>
                </c:pt>
                <c:pt idx="8">
                  <c:v>13.702989401864992</c:v>
                </c:pt>
                <c:pt idx="9">
                  <c:v>13.876437321067451</c:v>
                </c:pt>
                <c:pt idx="10">
                  <c:v>9.0671031505498636</c:v>
                </c:pt>
                <c:pt idx="11">
                  <c:v>12.913696631816233</c:v>
                </c:pt>
                <c:pt idx="12">
                  <c:v>13.409129334359276</c:v>
                </c:pt>
                <c:pt idx="13">
                  <c:v>14.343063758629301</c:v>
                </c:pt>
                <c:pt idx="14">
                  <c:v>10.801749432233862</c:v>
                </c:pt>
                <c:pt idx="15">
                  <c:v>13.386495433605791</c:v>
                </c:pt>
                <c:pt idx="16">
                  <c:v>13.717687401385909</c:v>
                </c:pt>
                <c:pt idx="17">
                  <c:v>16.495289411657392</c:v>
                </c:pt>
                <c:pt idx="18">
                  <c:v>12.166437679535267</c:v>
                </c:pt>
                <c:pt idx="19">
                  <c:v>13.887597669367663</c:v>
                </c:pt>
                <c:pt idx="20">
                  <c:v>10.32299043884211</c:v>
                </c:pt>
                <c:pt idx="21">
                  <c:v>13.615527563643827</c:v>
                </c:pt>
                <c:pt idx="22">
                  <c:v>10.734985254448009</c:v>
                </c:pt>
                <c:pt idx="23">
                  <c:v>16.613871588317885</c:v>
                </c:pt>
                <c:pt idx="24">
                  <c:v>13.711013366979067</c:v>
                </c:pt>
                <c:pt idx="25">
                  <c:v>11.55256440695972</c:v>
                </c:pt>
                <c:pt idx="26">
                  <c:v>11.350737524842538</c:v>
                </c:pt>
                <c:pt idx="27">
                  <c:v>12.630597532474958</c:v>
                </c:pt>
                <c:pt idx="28">
                  <c:v>11.905207608821607</c:v>
                </c:pt>
                <c:pt idx="29">
                  <c:v>10.703770804947251</c:v>
                </c:pt>
                <c:pt idx="30">
                  <c:v>11.852963983075886</c:v>
                </c:pt>
                <c:pt idx="31">
                  <c:v>10.857452575591561</c:v>
                </c:pt>
                <c:pt idx="32">
                  <c:v>14.148922758102401</c:v>
                </c:pt>
                <c:pt idx="33">
                  <c:v>11.379935658704408</c:v>
                </c:pt>
                <c:pt idx="34">
                  <c:v>13.983290890156367</c:v>
                </c:pt>
                <c:pt idx="35">
                  <c:v>14.22089410117899</c:v>
                </c:pt>
                <c:pt idx="36">
                  <c:v>11.157006478778396</c:v>
                </c:pt>
                <c:pt idx="37">
                  <c:v>13.855600457391626</c:v>
                </c:pt>
                <c:pt idx="38">
                  <c:v>11.778733948462614</c:v>
                </c:pt>
                <c:pt idx="39">
                  <c:v>14.801806207135078</c:v>
                </c:pt>
                <c:pt idx="40">
                  <c:v>12.708957171550267</c:v>
                </c:pt>
                <c:pt idx="41">
                  <c:v>15.558122806587869</c:v>
                </c:pt>
                <c:pt idx="42">
                  <c:v>12.088470187680537</c:v>
                </c:pt>
                <c:pt idx="43">
                  <c:v>10.671011249440653</c:v>
                </c:pt>
                <c:pt idx="44">
                  <c:v>11.15258597785637</c:v>
                </c:pt>
                <c:pt idx="45">
                  <c:v>12.557052100872401</c:v>
                </c:pt>
                <c:pt idx="46">
                  <c:v>9.9856930226674407</c:v>
                </c:pt>
                <c:pt idx="47">
                  <c:v>13.729451814140557</c:v>
                </c:pt>
                <c:pt idx="48">
                  <c:v>12.296174498038839</c:v>
                </c:pt>
                <c:pt idx="49">
                  <c:v>13.142787209565174</c:v>
                </c:pt>
              </c:numCache>
            </c:numRef>
          </c:yVal>
        </c:ser>
        <c:axId val="291250560"/>
        <c:axId val="291252480"/>
      </c:scatterChart>
      <c:valAx>
        <c:axId val="2912505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White</a:t>
                </a:r>
              </a:p>
            </c:rich>
          </c:tx>
        </c:title>
        <c:numFmt formatCode="0.0" sourceLinked="1"/>
        <c:tickLblPos val="nextTo"/>
        <c:crossAx val="291252480"/>
        <c:crosses val="autoZero"/>
        <c:crossBetween val="midCat"/>
      </c:valAx>
      <c:valAx>
        <c:axId val="29125248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</c:title>
        <c:numFmt formatCode="General" sourceLinked="1"/>
        <c:tickLblPos val="nextTo"/>
        <c:crossAx val="291250560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Crime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Poverty</c:v>
          </c:tx>
          <c:spPr>
            <a:ln w="28575">
              <a:noFill/>
            </a:ln>
          </c:spPr>
          <c:xVal>
            <c:numRef>
              <c:f>'Mult Reg 4'!$E$4:$E$53</c:f>
              <c:numCache>
                <c:formatCode>#,##0</c:formatCode>
                <c:ptCount val="50"/>
                <c:pt idx="0">
                  <c:v>448</c:v>
                </c:pt>
                <c:pt idx="1">
                  <c:v>661.2</c:v>
                </c:pt>
                <c:pt idx="2">
                  <c:v>482.7</c:v>
                </c:pt>
                <c:pt idx="3">
                  <c:v>529.4</c:v>
                </c:pt>
                <c:pt idx="4">
                  <c:v>522.6</c:v>
                </c:pt>
                <c:pt idx="5">
                  <c:v>347.8</c:v>
                </c:pt>
                <c:pt idx="6">
                  <c:v>256</c:v>
                </c:pt>
                <c:pt idx="7">
                  <c:v>689.2</c:v>
                </c:pt>
                <c:pt idx="8">
                  <c:v>722.6</c:v>
                </c:pt>
                <c:pt idx="9">
                  <c:v>493.2</c:v>
                </c:pt>
                <c:pt idx="10">
                  <c:v>272.8</c:v>
                </c:pt>
                <c:pt idx="11">
                  <c:v>239.4</c:v>
                </c:pt>
                <c:pt idx="12">
                  <c:v>533.20000000000005</c:v>
                </c:pt>
                <c:pt idx="13">
                  <c:v>333.6</c:v>
                </c:pt>
                <c:pt idx="14">
                  <c:v>294.7</c:v>
                </c:pt>
                <c:pt idx="15">
                  <c:v>452.7</c:v>
                </c:pt>
                <c:pt idx="16">
                  <c:v>295</c:v>
                </c:pt>
                <c:pt idx="17">
                  <c:v>729.5</c:v>
                </c:pt>
                <c:pt idx="18">
                  <c:v>118</c:v>
                </c:pt>
                <c:pt idx="19">
                  <c:v>641.9</c:v>
                </c:pt>
                <c:pt idx="20">
                  <c:v>431.5</c:v>
                </c:pt>
                <c:pt idx="21">
                  <c:v>536</c:v>
                </c:pt>
                <c:pt idx="22">
                  <c:v>288.7</c:v>
                </c:pt>
                <c:pt idx="23">
                  <c:v>291.3</c:v>
                </c:pt>
                <c:pt idx="24">
                  <c:v>504.9</c:v>
                </c:pt>
                <c:pt idx="25">
                  <c:v>287.5</c:v>
                </c:pt>
                <c:pt idx="26">
                  <c:v>302.39999999999998</c:v>
                </c:pt>
                <c:pt idx="27">
                  <c:v>750.6</c:v>
                </c:pt>
                <c:pt idx="28">
                  <c:v>137.30000000000001</c:v>
                </c:pt>
                <c:pt idx="29">
                  <c:v>329.3</c:v>
                </c:pt>
                <c:pt idx="30">
                  <c:v>664.2</c:v>
                </c:pt>
                <c:pt idx="31">
                  <c:v>414.1</c:v>
                </c:pt>
                <c:pt idx="32">
                  <c:v>466.4</c:v>
                </c:pt>
                <c:pt idx="33">
                  <c:v>142.4</c:v>
                </c:pt>
                <c:pt idx="34">
                  <c:v>343.2</c:v>
                </c:pt>
                <c:pt idx="35">
                  <c:v>499.6</c:v>
                </c:pt>
                <c:pt idx="36">
                  <c:v>287.60000000000002</c:v>
                </c:pt>
                <c:pt idx="37">
                  <c:v>416.5</c:v>
                </c:pt>
                <c:pt idx="38">
                  <c:v>227.3</c:v>
                </c:pt>
                <c:pt idx="39">
                  <c:v>788.3</c:v>
                </c:pt>
                <c:pt idx="40">
                  <c:v>169.2</c:v>
                </c:pt>
                <c:pt idx="41">
                  <c:v>753.3</c:v>
                </c:pt>
                <c:pt idx="42">
                  <c:v>510.6</c:v>
                </c:pt>
                <c:pt idx="43">
                  <c:v>234.8</c:v>
                </c:pt>
                <c:pt idx="44">
                  <c:v>124.3</c:v>
                </c:pt>
                <c:pt idx="45">
                  <c:v>269.7</c:v>
                </c:pt>
                <c:pt idx="46">
                  <c:v>333.1</c:v>
                </c:pt>
                <c:pt idx="47">
                  <c:v>275.2</c:v>
                </c:pt>
                <c:pt idx="48">
                  <c:v>290.89999999999998</c:v>
                </c:pt>
                <c:pt idx="49">
                  <c:v>239.3</c:v>
                </c:pt>
              </c:numCache>
            </c:numRef>
          </c:xVal>
          <c:yVal>
            <c:numRef>
              <c:f>'Mult Reg 4'!$B$4:$B$53</c:f>
              <c:numCache>
                <c:formatCode>General</c:formatCode>
                <c:ptCount val="50"/>
                <c:pt idx="0">
                  <c:v>15.7</c:v>
                </c:pt>
                <c:pt idx="1">
                  <c:v>8.4</c:v>
                </c:pt>
                <c:pt idx="2">
                  <c:v>14.7</c:v>
                </c:pt>
                <c:pt idx="3">
                  <c:v>17.3</c:v>
                </c:pt>
                <c:pt idx="4">
                  <c:v>13.3</c:v>
                </c:pt>
                <c:pt idx="5">
                  <c:v>11.4</c:v>
                </c:pt>
                <c:pt idx="6">
                  <c:v>9.3000000000000007</c:v>
                </c:pt>
                <c:pt idx="7" formatCode="#,##0.0">
                  <c:v>10</c:v>
                </c:pt>
                <c:pt idx="8">
                  <c:v>13.2</c:v>
                </c:pt>
                <c:pt idx="9">
                  <c:v>14.7</c:v>
                </c:pt>
                <c:pt idx="10">
                  <c:v>9.1</c:v>
                </c:pt>
                <c:pt idx="11">
                  <c:v>12.6</c:v>
                </c:pt>
                <c:pt idx="12">
                  <c:v>12.2</c:v>
                </c:pt>
                <c:pt idx="13">
                  <c:v>13.1</c:v>
                </c:pt>
                <c:pt idx="14">
                  <c:v>11.5</c:v>
                </c:pt>
                <c:pt idx="15">
                  <c:v>11.3</c:v>
                </c:pt>
                <c:pt idx="16">
                  <c:v>17.3</c:v>
                </c:pt>
                <c:pt idx="17">
                  <c:v>17.3</c:v>
                </c:pt>
                <c:pt idx="18">
                  <c:v>12.3</c:v>
                </c:pt>
                <c:pt idx="19">
                  <c:v>8.1</c:v>
                </c:pt>
                <c:pt idx="20" formatCode="#,##0.0">
                  <c:v>10</c:v>
                </c:pt>
                <c:pt idx="21">
                  <c:v>14.4</c:v>
                </c:pt>
                <c:pt idx="22">
                  <c:v>9.6</c:v>
                </c:pt>
                <c:pt idx="23">
                  <c:v>21.2</c:v>
                </c:pt>
                <c:pt idx="24">
                  <c:v>13.4</c:v>
                </c:pt>
                <c:pt idx="25">
                  <c:v>14.8</c:v>
                </c:pt>
                <c:pt idx="26">
                  <c:v>10.8</c:v>
                </c:pt>
                <c:pt idx="27">
                  <c:v>11.3</c:v>
                </c:pt>
                <c:pt idx="28">
                  <c:v>7.6</c:v>
                </c:pt>
                <c:pt idx="29">
                  <c:v>8.6999999999999993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14.6</c:v>
                </c:pt>
                <c:pt idx="33" formatCode="0.0">
                  <c:v>12</c:v>
                </c:pt>
                <c:pt idx="34">
                  <c:v>13.4</c:v>
                </c:pt>
                <c:pt idx="35">
                  <c:v>15.9</c:v>
                </c:pt>
                <c:pt idx="36">
                  <c:v>13.6</c:v>
                </c:pt>
                <c:pt idx="37">
                  <c:v>12.1</c:v>
                </c:pt>
                <c:pt idx="38">
                  <c:v>11.7</c:v>
                </c:pt>
                <c:pt idx="39">
                  <c:v>15.7</c:v>
                </c:pt>
                <c:pt idx="40">
                  <c:v>12.5</c:v>
                </c:pt>
                <c:pt idx="41">
                  <c:v>15.5</c:v>
                </c:pt>
                <c:pt idx="42">
                  <c:v>15.8</c:v>
                </c:pt>
                <c:pt idx="43">
                  <c:v>9.6</c:v>
                </c:pt>
                <c:pt idx="44">
                  <c:v>10.6</c:v>
                </c:pt>
                <c:pt idx="45">
                  <c:v>10.199999999999999</c:v>
                </c:pt>
                <c:pt idx="46">
                  <c:v>11.3</c:v>
                </c:pt>
                <c:pt idx="47" formatCode="0.0">
                  <c:v>17</c:v>
                </c:pt>
                <c:pt idx="48">
                  <c:v>10.4</c:v>
                </c:pt>
                <c:pt idx="49">
                  <c:v>9.4</c:v>
                </c:pt>
              </c:numCache>
            </c:numRef>
          </c:yVal>
        </c:ser>
        <c:ser>
          <c:idx val="1"/>
          <c:order val="1"/>
          <c:tx>
            <c:v>Predicted Poverty</c:v>
          </c:tx>
          <c:spPr>
            <a:ln w="28575">
              <a:noFill/>
            </a:ln>
          </c:spPr>
          <c:xVal>
            <c:numRef>
              <c:f>'Mult Reg 4'!$E$4:$E$53</c:f>
              <c:numCache>
                <c:formatCode>#,##0</c:formatCode>
                <c:ptCount val="50"/>
                <c:pt idx="0">
                  <c:v>448</c:v>
                </c:pt>
                <c:pt idx="1">
                  <c:v>661.2</c:v>
                </c:pt>
                <c:pt idx="2">
                  <c:v>482.7</c:v>
                </c:pt>
                <c:pt idx="3">
                  <c:v>529.4</c:v>
                </c:pt>
                <c:pt idx="4">
                  <c:v>522.6</c:v>
                </c:pt>
                <c:pt idx="5">
                  <c:v>347.8</c:v>
                </c:pt>
                <c:pt idx="6">
                  <c:v>256</c:v>
                </c:pt>
                <c:pt idx="7">
                  <c:v>689.2</c:v>
                </c:pt>
                <c:pt idx="8">
                  <c:v>722.6</c:v>
                </c:pt>
                <c:pt idx="9">
                  <c:v>493.2</c:v>
                </c:pt>
                <c:pt idx="10">
                  <c:v>272.8</c:v>
                </c:pt>
                <c:pt idx="11">
                  <c:v>239.4</c:v>
                </c:pt>
                <c:pt idx="12">
                  <c:v>533.20000000000005</c:v>
                </c:pt>
                <c:pt idx="13">
                  <c:v>333.6</c:v>
                </c:pt>
                <c:pt idx="14">
                  <c:v>294.7</c:v>
                </c:pt>
                <c:pt idx="15">
                  <c:v>452.7</c:v>
                </c:pt>
                <c:pt idx="16">
                  <c:v>295</c:v>
                </c:pt>
                <c:pt idx="17">
                  <c:v>729.5</c:v>
                </c:pt>
                <c:pt idx="18">
                  <c:v>118</c:v>
                </c:pt>
                <c:pt idx="19">
                  <c:v>641.9</c:v>
                </c:pt>
                <c:pt idx="20">
                  <c:v>431.5</c:v>
                </c:pt>
                <c:pt idx="21">
                  <c:v>536</c:v>
                </c:pt>
                <c:pt idx="22">
                  <c:v>288.7</c:v>
                </c:pt>
                <c:pt idx="23">
                  <c:v>291.3</c:v>
                </c:pt>
                <c:pt idx="24">
                  <c:v>504.9</c:v>
                </c:pt>
                <c:pt idx="25">
                  <c:v>287.5</c:v>
                </c:pt>
                <c:pt idx="26">
                  <c:v>302.39999999999998</c:v>
                </c:pt>
                <c:pt idx="27">
                  <c:v>750.6</c:v>
                </c:pt>
                <c:pt idx="28">
                  <c:v>137.30000000000001</c:v>
                </c:pt>
                <c:pt idx="29">
                  <c:v>329.3</c:v>
                </c:pt>
                <c:pt idx="30">
                  <c:v>664.2</c:v>
                </c:pt>
                <c:pt idx="31">
                  <c:v>414.1</c:v>
                </c:pt>
                <c:pt idx="32">
                  <c:v>466.4</c:v>
                </c:pt>
                <c:pt idx="33">
                  <c:v>142.4</c:v>
                </c:pt>
                <c:pt idx="34">
                  <c:v>343.2</c:v>
                </c:pt>
                <c:pt idx="35">
                  <c:v>499.6</c:v>
                </c:pt>
                <c:pt idx="36">
                  <c:v>287.60000000000002</c:v>
                </c:pt>
                <c:pt idx="37">
                  <c:v>416.5</c:v>
                </c:pt>
                <c:pt idx="38">
                  <c:v>227.3</c:v>
                </c:pt>
                <c:pt idx="39">
                  <c:v>788.3</c:v>
                </c:pt>
                <c:pt idx="40">
                  <c:v>169.2</c:v>
                </c:pt>
                <c:pt idx="41">
                  <c:v>753.3</c:v>
                </c:pt>
                <c:pt idx="42">
                  <c:v>510.6</c:v>
                </c:pt>
                <c:pt idx="43">
                  <c:v>234.8</c:v>
                </c:pt>
                <c:pt idx="44">
                  <c:v>124.3</c:v>
                </c:pt>
                <c:pt idx="45">
                  <c:v>269.7</c:v>
                </c:pt>
                <c:pt idx="46">
                  <c:v>333.1</c:v>
                </c:pt>
                <c:pt idx="47">
                  <c:v>275.2</c:v>
                </c:pt>
                <c:pt idx="48">
                  <c:v>290.89999999999998</c:v>
                </c:pt>
                <c:pt idx="49">
                  <c:v>239.3</c:v>
                </c:pt>
              </c:numCache>
            </c:numRef>
          </c:xVal>
          <c:yVal>
            <c:numRef>
              <c:f>'Mult Reg 5A'!$B$27:$B$76</c:f>
              <c:numCache>
                <c:formatCode>General</c:formatCode>
                <c:ptCount val="50"/>
                <c:pt idx="0">
                  <c:v>15.168482465280009</c:v>
                </c:pt>
                <c:pt idx="1">
                  <c:v>12.770194096327922</c:v>
                </c:pt>
                <c:pt idx="2">
                  <c:v>12.453734351399657</c:v>
                </c:pt>
                <c:pt idx="3">
                  <c:v>14.998941387354511</c:v>
                </c:pt>
                <c:pt idx="4">
                  <c:v>10.360946134637627</c:v>
                </c:pt>
                <c:pt idx="5">
                  <c:v>11.483693052508372</c:v>
                </c:pt>
                <c:pt idx="6">
                  <c:v>11.79470492807466</c:v>
                </c:pt>
                <c:pt idx="7">
                  <c:v>14.733447771089935</c:v>
                </c:pt>
                <c:pt idx="8">
                  <c:v>13.702989401864992</c:v>
                </c:pt>
                <c:pt idx="9">
                  <c:v>13.876437321067451</c:v>
                </c:pt>
                <c:pt idx="10">
                  <c:v>9.0671031505498636</c:v>
                </c:pt>
                <c:pt idx="11">
                  <c:v>12.913696631816233</c:v>
                </c:pt>
                <c:pt idx="12">
                  <c:v>13.409129334359276</c:v>
                </c:pt>
                <c:pt idx="13">
                  <c:v>14.343063758629301</c:v>
                </c:pt>
                <c:pt idx="14">
                  <c:v>10.801749432233862</c:v>
                </c:pt>
                <c:pt idx="15">
                  <c:v>13.386495433605791</c:v>
                </c:pt>
                <c:pt idx="16">
                  <c:v>13.717687401385909</c:v>
                </c:pt>
                <c:pt idx="17">
                  <c:v>16.495289411657392</c:v>
                </c:pt>
                <c:pt idx="18">
                  <c:v>12.166437679535267</c:v>
                </c:pt>
                <c:pt idx="19">
                  <c:v>13.887597669367663</c:v>
                </c:pt>
                <c:pt idx="20">
                  <c:v>10.32299043884211</c:v>
                </c:pt>
                <c:pt idx="21">
                  <c:v>13.615527563643827</c:v>
                </c:pt>
                <c:pt idx="22">
                  <c:v>10.734985254448009</c:v>
                </c:pt>
                <c:pt idx="23">
                  <c:v>16.613871588317885</c:v>
                </c:pt>
                <c:pt idx="24">
                  <c:v>13.711013366979067</c:v>
                </c:pt>
                <c:pt idx="25">
                  <c:v>11.55256440695972</c:v>
                </c:pt>
                <c:pt idx="26">
                  <c:v>11.350737524842538</c:v>
                </c:pt>
                <c:pt idx="27">
                  <c:v>12.630597532474958</c:v>
                </c:pt>
                <c:pt idx="28">
                  <c:v>11.905207608821607</c:v>
                </c:pt>
                <c:pt idx="29">
                  <c:v>10.703770804947251</c:v>
                </c:pt>
                <c:pt idx="30">
                  <c:v>11.852963983075886</c:v>
                </c:pt>
                <c:pt idx="31">
                  <c:v>10.857452575591561</c:v>
                </c:pt>
                <c:pt idx="32">
                  <c:v>14.148922758102401</c:v>
                </c:pt>
                <c:pt idx="33">
                  <c:v>11.379935658704408</c:v>
                </c:pt>
                <c:pt idx="34">
                  <c:v>13.983290890156367</c:v>
                </c:pt>
                <c:pt idx="35">
                  <c:v>14.22089410117899</c:v>
                </c:pt>
                <c:pt idx="36">
                  <c:v>11.157006478778396</c:v>
                </c:pt>
                <c:pt idx="37">
                  <c:v>13.855600457391626</c:v>
                </c:pt>
                <c:pt idx="38">
                  <c:v>11.778733948462614</c:v>
                </c:pt>
                <c:pt idx="39">
                  <c:v>14.801806207135078</c:v>
                </c:pt>
                <c:pt idx="40">
                  <c:v>12.708957171550267</c:v>
                </c:pt>
                <c:pt idx="41">
                  <c:v>15.558122806587869</c:v>
                </c:pt>
                <c:pt idx="42">
                  <c:v>12.088470187680537</c:v>
                </c:pt>
                <c:pt idx="43">
                  <c:v>10.671011249440653</c:v>
                </c:pt>
                <c:pt idx="44">
                  <c:v>11.15258597785637</c:v>
                </c:pt>
                <c:pt idx="45">
                  <c:v>12.557052100872401</c:v>
                </c:pt>
                <c:pt idx="46">
                  <c:v>9.9856930226674407</c:v>
                </c:pt>
                <c:pt idx="47">
                  <c:v>13.729451814140557</c:v>
                </c:pt>
                <c:pt idx="48">
                  <c:v>12.296174498038839</c:v>
                </c:pt>
                <c:pt idx="49">
                  <c:v>13.142787209565174</c:v>
                </c:pt>
              </c:numCache>
            </c:numRef>
          </c:yVal>
        </c:ser>
        <c:axId val="291265536"/>
        <c:axId val="291292288"/>
      </c:scatterChart>
      <c:valAx>
        <c:axId val="2912655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Crime</a:t>
                </a:r>
              </a:p>
            </c:rich>
          </c:tx>
        </c:title>
        <c:numFmt formatCode="#,##0" sourceLinked="1"/>
        <c:tickLblPos val="nextTo"/>
        <c:crossAx val="291292288"/>
        <c:crosses val="autoZero"/>
        <c:crossBetween val="midCat"/>
      </c:valAx>
      <c:valAx>
        <c:axId val="29129228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</c:title>
        <c:numFmt formatCode="General" sourceLinked="1"/>
        <c:tickLblPos val="nextTo"/>
        <c:crossAx val="291265536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5A'!$F$27:$F$76</c:f>
              <c:numCache>
                <c:formatCode>General</c:formatCode>
                <c:ptCount val="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</c:numCache>
            </c:numRef>
          </c:xVal>
          <c:yVal>
            <c:numRef>
              <c:f>'Mult Reg 5A'!$G$27:$G$76</c:f>
              <c:numCache>
                <c:formatCode>General</c:formatCode>
                <c:ptCount val="50"/>
                <c:pt idx="0">
                  <c:v>7.6</c:v>
                </c:pt>
                <c:pt idx="1">
                  <c:v>8.1</c:v>
                </c:pt>
                <c:pt idx="2">
                  <c:v>8.4</c:v>
                </c:pt>
                <c:pt idx="3">
                  <c:v>8.6999999999999993</c:v>
                </c:pt>
                <c:pt idx="4">
                  <c:v>9.1</c:v>
                </c:pt>
                <c:pt idx="5">
                  <c:v>9.3000000000000007</c:v>
                </c:pt>
                <c:pt idx="6">
                  <c:v>9.4</c:v>
                </c:pt>
                <c:pt idx="7">
                  <c:v>9.6</c:v>
                </c:pt>
                <c:pt idx="8">
                  <c:v>9.6</c:v>
                </c:pt>
                <c:pt idx="9">
                  <c:v>10</c:v>
                </c:pt>
                <c:pt idx="10">
                  <c:v>10</c:v>
                </c:pt>
                <c:pt idx="11">
                  <c:v>10.199999999999999</c:v>
                </c:pt>
                <c:pt idx="12">
                  <c:v>10.4</c:v>
                </c:pt>
                <c:pt idx="13">
                  <c:v>10.6</c:v>
                </c:pt>
                <c:pt idx="14">
                  <c:v>10.8</c:v>
                </c:pt>
                <c:pt idx="15">
                  <c:v>11.3</c:v>
                </c:pt>
                <c:pt idx="16">
                  <c:v>11.3</c:v>
                </c:pt>
                <c:pt idx="17">
                  <c:v>11.3</c:v>
                </c:pt>
                <c:pt idx="18">
                  <c:v>11.4</c:v>
                </c:pt>
                <c:pt idx="19">
                  <c:v>11.5</c:v>
                </c:pt>
                <c:pt idx="20">
                  <c:v>11.7</c:v>
                </c:pt>
                <c:pt idx="21">
                  <c:v>12</c:v>
                </c:pt>
                <c:pt idx="22">
                  <c:v>12.1</c:v>
                </c:pt>
                <c:pt idx="23">
                  <c:v>12.2</c:v>
                </c:pt>
                <c:pt idx="24">
                  <c:v>12.3</c:v>
                </c:pt>
                <c:pt idx="25">
                  <c:v>12.5</c:v>
                </c:pt>
                <c:pt idx="26">
                  <c:v>12.6</c:v>
                </c:pt>
                <c:pt idx="27">
                  <c:v>13.1</c:v>
                </c:pt>
                <c:pt idx="28">
                  <c:v>13.2</c:v>
                </c:pt>
                <c:pt idx="29">
                  <c:v>13.3</c:v>
                </c:pt>
                <c:pt idx="30">
                  <c:v>13.4</c:v>
                </c:pt>
                <c:pt idx="31">
                  <c:v>13.4</c:v>
                </c:pt>
                <c:pt idx="32">
                  <c:v>13.6</c:v>
                </c:pt>
                <c:pt idx="33">
                  <c:v>13.6</c:v>
                </c:pt>
                <c:pt idx="34">
                  <c:v>14.4</c:v>
                </c:pt>
                <c:pt idx="35">
                  <c:v>14.6</c:v>
                </c:pt>
                <c:pt idx="36">
                  <c:v>14.7</c:v>
                </c:pt>
                <c:pt idx="37">
                  <c:v>14.7</c:v>
                </c:pt>
                <c:pt idx="38">
                  <c:v>14.8</c:v>
                </c:pt>
                <c:pt idx="39">
                  <c:v>15.5</c:v>
                </c:pt>
                <c:pt idx="40">
                  <c:v>15.7</c:v>
                </c:pt>
                <c:pt idx="41">
                  <c:v>15.7</c:v>
                </c:pt>
                <c:pt idx="42">
                  <c:v>15.8</c:v>
                </c:pt>
                <c:pt idx="43">
                  <c:v>15.9</c:v>
                </c:pt>
                <c:pt idx="44">
                  <c:v>17</c:v>
                </c:pt>
                <c:pt idx="45">
                  <c:v>17.100000000000001</c:v>
                </c:pt>
                <c:pt idx="46">
                  <c:v>17.3</c:v>
                </c:pt>
                <c:pt idx="47">
                  <c:v>17.3</c:v>
                </c:pt>
                <c:pt idx="48">
                  <c:v>17.3</c:v>
                </c:pt>
                <c:pt idx="49">
                  <c:v>21.2</c:v>
                </c:pt>
              </c:numCache>
            </c:numRef>
          </c:yVal>
        </c:ser>
        <c:axId val="291120256"/>
        <c:axId val="291122176"/>
      </c:scatterChart>
      <c:valAx>
        <c:axId val="2911202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</c:title>
        <c:numFmt formatCode="General" sourceLinked="1"/>
        <c:tickLblPos val="nextTo"/>
        <c:crossAx val="291122176"/>
        <c:crosses val="autoZero"/>
        <c:crossBetween val="midCat"/>
      </c:valAx>
      <c:valAx>
        <c:axId val="29112217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</c:title>
        <c:numFmt formatCode="General" sourceLinked="1"/>
        <c:tickLblPos val="nextTo"/>
        <c:crossAx val="29112025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Infant Mort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5B'!$C$25:$C$74</c:f>
              <c:numCache>
                <c:formatCode>General</c:formatCode>
                <c:ptCount val="50"/>
                <c:pt idx="0">
                  <c:v>0.27920136635354176</c:v>
                </c:pt>
                <c:pt idx="1">
                  <c:v>-4.41873543979505</c:v>
                </c:pt>
                <c:pt idx="2">
                  <c:v>2.5008034158838548</c:v>
                </c:pt>
                <c:pt idx="3">
                  <c:v>2.4987402220324508</c:v>
                </c:pt>
                <c:pt idx="4">
                  <c:v>2.8355122117847955</c:v>
                </c:pt>
                <c:pt idx="5">
                  <c:v>6.8157813834327285E-2</c:v>
                </c:pt>
                <c:pt idx="6">
                  <c:v>-2.65138104184458</c:v>
                </c:pt>
                <c:pt idx="7">
                  <c:v>-4.5534442356959897</c:v>
                </c:pt>
                <c:pt idx="8">
                  <c:v>-0.11436652433817507</c:v>
                </c:pt>
                <c:pt idx="9">
                  <c:v>0.39437130657557518</c:v>
                </c:pt>
                <c:pt idx="10">
                  <c:v>-2.1079344150298933</c:v>
                </c:pt>
                <c:pt idx="11">
                  <c:v>-9.4827668659268838E-2</c:v>
                </c:pt>
                <c:pt idx="12">
                  <c:v>-1.1143665243381751</c:v>
                </c:pt>
                <c:pt idx="13">
                  <c:v>-1.0817209222886444</c:v>
                </c:pt>
                <c:pt idx="14">
                  <c:v>0.91160444064901469</c:v>
                </c:pt>
                <c:pt idx="15">
                  <c:v>-1.7665509820666117</c:v>
                </c:pt>
                <c:pt idx="16">
                  <c:v>3.7378179333902626</c:v>
                </c:pt>
                <c:pt idx="17">
                  <c:v>0.76403142613151331</c:v>
                </c:pt>
                <c:pt idx="18">
                  <c:v>0.22471118701963988</c:v>
                </c:pt>
                <c:pt idx="19">
                  <c:v>-6.0817209222886444</c:v>
                </c:pt>
                <c:pt idx="20">
                  <c:v>-0.21667224594364143</c:v>
                </c:pt>
                <c:pt idx="21">
                  <c:v>0.96172570452604411</c:v>
                </c:pt>
                <c:pt idx="22">
                  <c:v>-1.1123033304867675</c:v>
                </c:pt>
                <c:pt idx="23">
                  <c:v>3.7966770281810405</c:v>
                </c:pt>
                <c:pt idx="24">
                  <c:v>-3.8274295473955888E-2</c:v>
                </c:pt>
                <c:pt idx="25">
                  <c:v>3.3442500426985458</c:v>
                </c:pt>
                <c:pt idx="26">
                  <c:v>-0.40793441502989225</c:v>
                </c:pt>
                <c:pt idx="27">
                  <c:v>-0.89919658411614378</c:v>
                </c:pt>
                <c:pt idx="28">
                  <c:v>-4.2274732707087992</c:v>
                </c:pt>
                <c:pt idx="29">
                  <c:v>-2.3840266438941118</c:v>
                </c:pt>
                <c:pt idx="30">
                  <c:v>5.6442500426985465</c:v>
                </c:pt>
                <c:pt idx="31">
                  <c:v>2.3920655849701067</c:v>
                </c:pt>
                <c:pt idx="32">
                  <c:v>0.29437130657557553</c:v>
                </c:pt>
                <c:pt idx="33">
                  <c:v>0.54425004269854504</c:v>
                </c:pt>
                <c:pt idx="34">
                  <c:v>-0.53390538001708165</c:v>
                </c:pt>
                <c:pt idx="35">
                  <c:v>1.7182790777113564</c:v>
                </c:pt>
                <c:pt idx="36">
                  <c:v>2.5159733561058886</c:v>
                </c:pt>
                <c:pt idx="37">
                  <c:v>-1.5860898377455186</c:v>
                </c:pt>
                <c:pt idx="38">
                  <c:v>-0.12747327070879955</c:v>
                </c:pt>
                <c:pt idx="39">
                  <c:v>1.0226479931682295</c:v>
                </c:pt>
                <c:pt idx="40">
                  <c:v>-0.31873543979505037</c:v>
                </c:pt>
                <c:pt idx="41">
                  <c:v>0.45092467976088813</c:v>
                </c:pt>
                <c:pt idx="42">
                  <c:v>3.84861895815542</c:v>
                </c:pt>
                <c:pt idx="43">
                  <c:v>-0.98839555935098566</c:v>
                </c:pt>
                <c:pt idx="44">
                  <c:v>-0.48402664389411143</c:v>
                </c:pt>
                <c:pt idx="45">
                  <c:v>-2.8665509820666131</c:v>
                </c:pt>
                <c:pt idx="46">
                  <c:v>1.2072355251921394</c:v>
                </c:pt>
                <c:pt idx="47">
                  <c:v>3.5617257045260438</c:v>
                </c:pt>
                <c:pt idx="48">
                  <c:v>-1.7991965841161441</c:v>
                </c:pt>
                <c:pt idx="49">
                  <c:v>-3.5426432109308301</c:v>
                </c:pt>
              </c:numCache>
            </c:numRef>
          </c:yVal>
        </c:ser>
        <c:axId val="291195904"/>
        <c:axId val="291222656"/>
      </c:scatterChart>
      <c:valAx>
        <c:axId val="2911959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Infant Mort</a:t>
                </a:r>
              </a:p>
            </c:rich>
          </c:tx>
        </c:title>
        <c:numFmt formatCode="0.0" sourceLinked="1"/>
        <c:tickLblPos val="nextTo"/>
        <c:crossAx val="291222656"/>
        <c:crosses val="autoZero"/>
        <c:crossBetween val="midCat"/>
      </c:valAx>
      <c:valAx>
        <c:axId val="29122265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9119590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Infant Mort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Poverty</c:v>
          </c:tx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4'!$B$4:$B$53</c:f>
              <c:numCache>
                <c:formatCode>General</c:formatCode>
                <c:ptCount val="50"/>
                <c:pt idx="0">
                  <c:v>15.7</c:v>
                </c:pt>
                <c:pt idx="1">
                  <c:v>8.4</c:v>
                </c:pt>
                <c:pt idx="2">
                  <c:v>14.7</c:v>
                </c:pt>
                <c:pt idx="3">
                  <c:v>17.3</c:v>
                </c:pt>
                <c:pt idx="4">
                  <c:v>13.3</c:v>
                </c:pt>
                <c:pt idx="5">
                  <c:v>11.4</c:v>
                </c:pt>
                <c:pt idx="6">
                  <c:v>9.3000000000000007</c:v>
                </c:pt>
                <c:pt idx="7" formatCode="#,##0.0">
                  <c:v>10</c:v>
                </c:pt>
                <c:pt idx="8">
                  <c:v>13.2</c:v>
                </c:pt>
                <c:pt idx="9">
                  <c:v>14.7</c:v>
                </c:pt>
                <c:pt idx="10">
                  <c:v>9.1</c:v>
                </c:pt>
                <c:pt idx="11">
                  <c:v>12.6</c:v>
                </c:pt>
                <c:pt idx="12">
                  <c:v>12.2</c:v>
                </c:pt>
                <c:pt idx="13">
                  <c:v>13.1</c:v>
                </c:pt>
                <c:pt idx="14">
                  <c:v>11.5</c:v>
                </c:pt>
                <c:pt idx="15">
                  <c:v>11.3</c:v>
                </c:pt>
                <c:pt idx="16">
                  <c:v>17.3</c:v>
                </c:pt>
                <c:pt idx="17">
                  <c:v>17.3</c:v>
                </c:pt>
                <c:pt idx="18">
                  <c:v>12.3</c:v>
                </c:pt>
                <c:pt idx="19">
                  <c:v>8.1</c:v>
                </c:pt>
                <c:pt idx="20" formatCode="#,##0.0">
                  <c:v>10</c:v>
                </c:pt>
                <c:pt idx="21">
                  <c:v>14.4</c:v>
                </c:pt>
                <c:pt idx="22">
                  <c:v>9.6</c:v>
                </c:pt>
                <c:pt idx="23">
                  <c:v>21.2</c:v>
                </c:pt>
                <c:pt idx="24">
                  <c:v>13.4</c:v>
                </c:pt>
                <c:pt idx="25">
                  <c:v>14.8</c:v>
                </c:pt>
                <c:pt idx="26">
                  <c:v>10.8</c:v>
                </c:pt>
                <c:pt idx="27">
                  <c:v>11.3</c:v>
                </c:pt>
                <c:pt idx="28">
                  <c:v>7.6</c:v>
                </c:pt>
                <c:pt idx="29">
                  <c:v>8.6999999999999993</c:v>
                </c:pt>
                <c:pt idx="30">
                  <c:v>17.100000000000001</c:v>
                </c:pt>
                <c:pt idx="31">
                  <c:v>13.6</c:v>
                </c:pt>
                <c:pt idx="32">
                  <c:v>14.6</c:v>
                </c:pt>
                <c:pt idx="33" formatCode="0.0">
                  <c:v>12</c:v>
                </c:pt>
                <c:pt idx="34">
                  <c:v>13.4</c:v>
                </c:pt>
                <c:pt idx="35">
                  <c:v>15.9</c:v>
                </c:pt>
                <c:pt idx="36">
                  <c:v>13.6</c:v>
                </c:pt>
                <c:pt idx="37">
                  <c:v>12.1</c:v>
                </c:pt>
                <c:pt idx="38">
                  <c:v>11.7</c:v>
                </c:pt>
                <c:pt idx="39">
                  <c:v>15.7</c:v>
                </c:pt>
                <c:pt idx="40">
                  <c:v>12.5</c:v>
                </c:pt>
                <c:pt idx="41">
                  <c:v>15.5</c:v>
                </c:pt>
                <c:pt idx="42">
                  <c:v>15.8</c:v>
                </c:pt>
                <c:pt idx="43">
                  <c:v>9.6</c:v>
                </c:pt>
                <c:pt idx="44">
                  <c:v>10.6</c:v>
                </c:pt>
                <c:pt idx="45">
                  <c:v>10.199999999999999</c:v>
                </c:pt>
                <c:pt idx="46">
                  <c:v>11.3</c:v>
                </c:pt>
                <c:pt idx="47" formatCode="0.0">
                  <c:v>17</c:v>
                </c:pt>
                <c:pt idx="48">
                  <c:v>10.4</c:v>
                </c:pt>
                <c:pt idx="49">
                  <c:v>9.4</c:v>
                </c:pt>
              </c:numCache>
            </c:numRef>
          </c:yVal>
        </c:ser>
        <c:ser>
          <c:idx val="1"/>
          <c:order val="1"/>
          <c:tx>
            <c:v>Predicted Poverty</c:v>
          </c:tx>
          <c:spPr>
            <a:ln w="28575">
              <a:noFill/>
            </a:ln>
          </c:spPr>
          <c:xVal>
            <c:numRef>
              <c:f>'Mult Reg 4'!$C$4:$C$53</c:f>
              <c:numCache>
                <c:formatCode>0.0</c:formatCode>
                <c:ptCount val="50"/>
                <c:pt idx="0">
                  <c:v>9</c:v>
                </c:pt>
                <c:pt idx="1">
                  <c:v>6.9</c:v>
                </c:pt>
                <c:pt idx="2">
                  <c:v>6.4</c:v>
                </c:pt>
                <c:pt idx="3">
                  <c:v>8.5</c:v>
                </c:pt>
                <c:pt idx="4">
                  <c:v>5</c:v>
                </c:pt>
                <c:pt idx="5">
                  <c:v>5.7</c:v>
                </c:pt>
                <c:pt idx="6">
                  <c:v>6.2</c:v>
                </c:pt>
                <c:pt idx="7">
                  <c:v>8.3000000000000007</c:v>
                </c:pt>
                <c:pt idx="8">
                  <c:v>7.3</c:v>
                </c:pt>
                <c:pt idx="9">
                  <c:v>8.1</c:v>
                </c:pt>
                <c:pt idx="10">
                  <c:v>5.6</c:v>
                </c:pt>
                <c:pt idx="11">
                  <c:v>6.8</c:v>
                </c:pt>
                <c:pt idx="12">
                  <c:v>7.3</c:v>
                </c:pt>
                <c:pt idx="13">
                  <c:v>8</c:v>
                </c:pt>
                <c:pt idx="14">
                  <c:v>5.0999999999999996</c:v>
                </c:pt>
                <c:pt idx="15">
                  <c:v>7.1</c:v>
                </c:pt>
                <c:pt idx="16">
                  <c:v>7.5</c:v>
                </c:pt>
                <c:pt idx="17">
                  <c:v>9.9</c:v>
                </c:pt>
                <c:pt idx="18">
                  <c:v>6.3</c:v>
                </c:pt>
                <c:pt idx="19">
                  <c:v>8</c:v>
                </c:pt>
                <c:pt idx="20">
                  <c:v>4.8</c:v>
                </c:pt>
                <c:pt idx="21">
                  <c:v>7.4</c:v>
                </c:pt>
                <c:pt idx="22">
                  <c:v>5.2</c:v>
                </c:pt>
                <c:pt idx="23">
                  <c:v>10.6</c:v>
                </c:pt>
                <c:pt idx="24">
                  <c:v>7.4</c:v>
                </c:pt>
                <c:pt idx="25">
                  <c:v>5.8</c:v>
                </c:pt>
                <c:pt idx="26">
                  <c:v>5.6</c:v>
                </c:pt>
                <c:pt idx="27">
                  <c:v>6.4</c:v>
                </c:pt>
                <c:pt idx="28">
                  <c:v>6.1</c:v>
                </c:pt>
                <c:pt idx="29">
                  <c:v>5.5</c:v>
                </c:pt>
                <c:pt idx="30">
                  <c:v>5.8</c:v>
                </c:pt>
                <c:pt idx="31">
                  <c:v>5.6</c:v>
                </c:pt>
                <c:pt idx="32">
                  <c:v>8.1</c:v>
                </c:pt>
                <c:pt idx="33">
                  <c:v>5.8</c:v>
                </c:pt>
                <c:pt idx="34">
                  <c:v>7.8</c:v>
                </c:pt>
                <c:pt idx="35">
                  <c:v>8</c:v>
                </c:pt>
                <c:pt idx="36">
                  <c:v>5.5</c:v>
                </c:pt>
                <c:pt idx="37">
                  <c:v>7.6</c:v>
                </c:pt>
                <c:pt idx="38">
                  <c:v>6.1</c:v>
                </c:pt>
                <c:pt idx="39">
                  <c:v>8.4</c:v>
                </c:pt>
                <c:pt idx="40">
                  <c:v>6.9</c:v>
                </c:pt>
                <c:pt idx="41">
                  <c:v>8.6999999999999993</c:v>
                </c:pt>
                <c:pt idx="42">
                  <c:v>6.2</c:v>
                </c:pt>
                <c:pt idx="43">
                  <c:v>5.0999999999999996</c:v>
                </c:pt>
                <c:pt idx="44">
                  <c:v>5.5</c:v>
                </c:pt>
                <c:pt idx="45">
                  <c:v>7.1</c:v>
                </c:pt>
                <c:pt idx="46">
                  <c:v>4.7</c:v>
                </c:pt>
                <c:pt idx="47">
                  <c:v>7.4</c:v>
                </c:pt>
                <c:pt idx="48">
                  <c:v>6.4</c:v>
                </c:pt>
                <c:pt idx="49">
                  <c:v>7</c:v>
                </c:pt>
              </c:numCache>
            </c:numRef>
          </c:xVal>
          <c:yVal>
            <c:numRef>
              <c:f>'Mult Reg 5B'!$B$25:$B$74</c:f>
              <c:numCache>
                <c:formatCode>General</c:formatCode>
                <c:ptCount val="50"/>
                <c:pt idx="0">
                  <c:v>15.420798633646458</c:v>
                </c:pt>
                <c:pt idx="1">
                  <c:v>12.81873543979505</c:v>
                </c:pt>
                <c:pt idx="2">
                  <c:v>12.199196584116144</c:v>
                </c:pt>
                <c:pt idx="3">
                  <c:v>14.80125977796755</c:v>
                </c:pt>
                <c:pt idx="4">
                  <c:v>10.464487788215205</c:v>
                </c:pt>
                <c:pt idx="5">
                  <c:v>11.331842186165673</c:v>
                </c:pt>
                <c:pt idx="6">
                  <c:v>11.951381041844581</c:v>
                </c:pt>
                <c:pt idx="7">
                  <c:v>14.55344423569599</c:v>
                </c:pt>
                <c:pt idx="8">
                  <c:v>13.314366524338174</c:v>
                </c:pt>
                <c:pt idx="9">
                  <c:v>14.305628693424424</c:v>
                </c:pt>
                <c:pt idx="10">
                  <c:v>11.207934415029893</c:v>
                </c:pt>
                <c:pt idx="11">
                  <c:v>12.694827668659268</c:v>
                </c:pt>
                <c:pt idx="12">
                  <c:v>13.314366524338174</c:v>
                </c:pt>
                <c:pt idx="13">
                  <c:v>14.181720922288644</c:v>
                </c:pt>
                <c:pt idx="14">
                  <c:v>10.588395559350985</c:v>
                </c:pt>
                <c:pt idx="15">
                  <c:v>13.066550982066612</c:v>
                </c:pt>
                <c:pt idx="16">
                  <c:v>13.562182066609738</c:v>
                </c:pt>
                <c:pt idx="17">
                  <c:v>16.535968573868487</c:v>
                </c:pt>
                <c:pt idx="18">
                  <c:v>12.075288812980361</c:v>
                </c:pt>
                <c:pt idx="19">
                  <c:v>14.181720922288644</c:v>
                </c:pt>
                <c:pt idx="20">
                  <c:v>10.216672245943641</c:v>
                </c:pt>
                <c:pt idx="21">
                  <c:v>13.438274295473956</c:v>
                </c:pt>
                <c:pt idx="22">
                  <c:v>10.712303330486767</c:v>
                </c:pt>
                <c:pt idx="23">
                  <c:v>17.403322971818959</c:v>
                </c:pt>
                <c:pt idx="24">
                  <c:v>13.438274295473956</c:v>
                </c:pt>
                <c:pt idx="25">
                  <c:v>11.455749957301455</c:v>
                </c:pt>
                <c:pt idx="26">
                  <c:v>11.207934415029893</c:v>
                </c:pt>
                <c:pt idx="27">
                  <c:v>12.199196584116144</c:v>
                </c:pt>
                <c:pt idx="28">
                  <c:v>11.827473270708799</c:v>
                </c:pt>
                <c:pt idx="29">
                  <c:v>11.084026643894111</c:v>
                </c:pt>
                <c:pt idx="30">
                  <c:v>11.455749957301455</c:v>
                </c:pt>
                <c:pt idx="31">
                  <c:v>11.207934415029893</c:v>
                </c:pt>
                <c:pt idx="32">
                  <c:v>14.305628693424424</c:v>
                </c:pt>
                <c:pt idx="33">
                  <c:v>11.455749957301455</c:v>
                </c:pt>
                <c:pt idx="34">
                  <c:v>13.933905380017082</c:v>
                </c:pt>
                <c:pt idx="35">
                  <c:v>14.181720922288644</c:v>
                </c:pt>
                <c:pt idx="36">
                  <c:v>11.084026643894111</c:v>
                </c:pt>
                <c:pt idx="37">
                  <c:v>13.686089837745518</c:v>
                </c:pt>
                <c:pt idx="38">
                  <c:v>11.827473270708799</c:v>
                </c:pt>
                <c:pt idx="39">
                  <c:v>14.67735200683177</c:v>
                </c:pt>
                <c:pt idx="40">
                  <c:v>12.81873543979505</c:v>
                </c:pt>
                <c:pt idx="41">
                  <c:v>15.049075320239112</c:v>
                </c:pt>
                <c:pt idx="42">
                  <c:v>11.951381041844581</c:v>
                </c:pt>
                <c:pt idx="43">
                  <c:v>10.588395559350985</c:v>
                </c:pt>
                <c:pt idx="44">
                  <c:v>11.084026643894111</c:v>
                </c:pt>
                <c:pt idx="45">
                  <c:v>13.066550982066612</c:v>
                </c:pt>
                <c:pt idx="46">
                  <c:v>10.092764474807861</c:v>
                </c:pt>
                <c:pt idx="47">
                  <c:v>13.438274295473956</c:v>
                </c:pt>
                <c:pt idx="48">
                  <c:v>12.199196584116144</c:v>
                </c:pt>
                <c:pt idx="49">
                  <c:v>12.94264321093083</c:v>
                </c:pt>
              </c:numCache>
            </c:numRef>
          </c:yVal>
        </c:ser>
        <c:axId val="291378688"/>
        <c:axId val="291380608"/>
      </c:scatterChart>
      <c:valAx>
        <c:axId val="2913786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Infant Mort</a:t>
                </a:r>
              </a:p>
            </c:rich>
          </c:tx>
        </c:title>
        <c:numFmt formatCode="0.0" sourceLinked="1"/>
        <c:tickLblPos val="nextTo"/>
        <c:crossAx val="291380608"/>
        <c:crosses val="autoZero"/>
        <c:crossBetween val="midCat"/>
      </c:valAx>
      <c:valAx>
        <c:axId val="29138060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</c:title>
        <c:numFmt formatCode="General" sourceLinked="1"/>
        <c:tickLblPos val="nextTo"/>
        <c:crossAx val="291378688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5B'!$F$25:$F$74</c:f>
              <c:numCache>
                <c:formatCode>General</c:formatCode>
                <c:ptCount val="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</c:numCache>
            </c:numRef>
          </c:xVal>
          <c:yVal>
            <c:numRef>
              <c:f>'Mult Reg 5B'!$G$25:$G$74</c:f>
              <c:numCache>
                <c:formatCode>General</c:formatCode>
                <c:ptCount val="50"/>
                <c:pt idx="0">
                  <c:v>7.6</c:v>
                </c:pt>
                <c:pt idx="1">
                  <c:v>8.1</c:v>
                </c:pt>
                <c:pt idx="2">
                  <c:v>8.4</c:v>
                </c:pt>
                <c:pt idx="3">
                  <c:v>8.6999999999999993</c:v>
                </c:pt>
                <c:pt idx="4">
                  <c:v>9.1</c:v>
                </c:pt>
                <c:pt idx="5">
                  <c:v>9.3000000000000007</c:v>
                </c:pt>
                <c:pt idx="6">
                  <c:v>9.4</c:v>
                </c:pt>
                <c:pt idx="7">
                  <c:v>9.6</c:v>
                </c:pt>
                <c:pt idx="8">
                  <c:v>9.6</c:v>
                </c:pt>
                <c:pt idx="9">
                  <c:v>10</c:v>
                </c:pt>
                <c:pt idx="10">
                  <c:v>10</c:v>
                </c:pt>
                <c:pt idx="11">
                  <c:v>10.199999999999999</c:v>
                </c:pt>
                <c:pt idx="12">
                  <c:v>10.4</c:v>
                </c:pt>
                <c:pt idx="13">
                  <c:v>10.6</c:v>
                </c:pt>
                <c:pt idx="14">
                  <c:v>10.8</c:v>
                </c:pt>
                <c:pt idx="15">
                  <c:v>11.3</c:v>
                </c:pt>
                <c:pt idx="16">
                  <c:v>11.3</c:v>
                </c:pt>
                <c:pt idx="17">
                  <c:v>11.3</c:v>
                </c:pt>
                <c:pt idx="18">
                  <c:v>11.4</c:v>
                </c:pt>
                <c:pt idx="19">
                  <c:v>11.5</c:v>
                </c:pt>
                <c:pt idx="20">
                  <c:v>11.7</c:v>
                </c:pt>
                <c:pt idx="21">
                  <c:v>12</c:v>
                </c:pt>
                <c:pt idx="22">
                  <c:v>12.1</c:v>
                </c:pt>
                <c:pt idx="23">
                  <c:v>12.2</c:v>
                </c:pt>
                <c:pt idx="24">
                  <c:v>12.3</c:v>
                </c:pt>
                <c:pt idx="25">
                  <c:v>12.5</c:v>
                </c:pt>
                <c:pt idx="26">
                  <c:v>12.6</c:v>
                </c:pt>
                <c:pt idx="27">
                  <c:v>13.1</c:v>
                </c:pt>
                <c:pt idx="28">
                  <c:v>13.2</c:v>
                </c:pt>
                <c:pt idx="29">
                  <c:v>13.3</c:v>
                </c:pt>
                <c:pt idx="30">
                  <c:v>13.4</c:v>
                </c:pt>
                <c:pt idx="31">
                  <c:v>13.4</c:v>
                </c:pt>
                <c:pt idx="32">
                  <c:v>13.6</c:v>
                </c:pt>
                <c:pt idx="33">
                  <c:v>13.6</c:v>
                </c:pt>
                <c:pt idx="34">
                  <c:v>14.4</c:v>
                </c:pt>
                <c:pt idx="35">
                  <c:v>14.6</c:v>
                </c:pt>
                <c:pt idx="36">
                  <c:v>14.7</c:v>
                </c:pt>
                <c:pt idx="37">
                  <c:v>14.7</c:v>
                </c:pt>
                <c:pt idx="38">
                  <c:v>14.8</c:v>
                </c:pt>
                <c:pt idx="39">
                  <c:v>15.5</c:v>
                </c:pt>
                <c:pt idx="40">
                  <c:v>15.7</c:v>
                </c:pt>
                <c:pt idx="41">
                  <c:v>15.7</c:v>
                </c:pt>
                <c:pt idx="42">
                  <c:v>15.8</c:v>
                </c:pt>
                <c:pt idx="43">
                  <c:v>15.9</c:v>
                </c:pt>
                <c:pt idx="44">
                  <c:v>17</c:v>
                </c:pt>
                <c:pt idx="45">
                  <c:v>17.100000000000001</c:v>
                </c:pt>
                <c:pt idx="46">
                  <c:v>17.3</c:v>
                </c:pt>
                <c:pt idx="47">
                  <c:v>17.3</c:v>
                </c:pt>
                <c:pt idx="48">
                  <c:v>17.3</c:v>
                </c:pt>
                <c:pt idx="49">
                  <c:v>21.2</c:v>
                </c:pt>
              </c:numCache>
            </c:numRef>
          </c:yVal>
        </c:ser>
        <c:axId val="291417472"/>
        <c:axId val="291423744"/>
      </c:scatterChart>
      <c:valAx>
        <c:axId val="2914174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</c:title>
        <c:numFmt formatCode="General" sourceLinked="1"/>
        <c:tickLblPos val="nextTo"/>
        <c:crossAx val="291423744"/>
        <c:crosses val="autoZero"/>
        <c:crossBetween val="midCat"/>
      </c:valAx>
      <c:valAx>
        <c:axId val="29142374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Poverty</a:t>
                </a:r>
              </a:p>
            </c:rich>
          </c:tx>
        </c:title>
        <c:numFmt formatCode="General" sourceLinked="1"/>
        <c:tickLblPos val="nextTo"/>
        <c:crossAx val="29141747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Color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5C'!$C$26:$C$36</c:f>
              <c:numCache>
                <c:formatCode>General</c:formatCode>
                <c:ptCount val="11"/>
                <c:pt idx="0">
                  <c:v>10.18950037517142</c:v>
                </c:pt>
                <c:pt idx="1">
                  <c:v>-4.7461771326554327</c:v>
                </c:pt>
                <c:pt idx="2">
                  <c:v>-5.2951693446143437</c:v>
                </c:pt>
                <c:pt idx="3">
                  <c:v>-6.6721260575952854</c:v>
                </c:pt>
                <c:pt idx="4">
                  <c:v>-2.0842453879789957</c:v>
                </c:pt>
                <c:pt idx="5">
                  <c:v>1.7384925871303238</c:v>
                </c:pt>
                <c:pt idx="6">
                  <c:v>3.6674428833863679</c:v>
                </c:pt>
                <c:pt idx="7">
                  <c:v>-1.0924732852078947</c:v>
                </c:pt>
                <c:pt idx="8">
                  <c:v>3.7773810447877167</c:v>
                </c:pt>
                <c:pt idx="9">
                  <c:v>4.843204222618958</c:v>
                </c:pt>
                <c:pt idx="10">
                  <c:v>-4.3258299050428306</c:v>
                </c:pt>
              </c:numCache>
            </c:numRef>
          </c:yVal>
        </c:ser>
        <c:axId val="291489280"/>
        <c:axId val="291491200"/>
      </c:scatterChart>
      <c:valAx>
        <c:axId val="2914892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Color</a:t>
                </a:r>
              </a:p>
            </c:rich>
          </c:tx>
        </c:title>
        <c:numFmt formatCode="General" sourceLinked="1"/>
        <c:tickLblPos val="nextTo"/>
        <c:crossAx val="291491200"/>
        <c:crosses val="autoZero"/>
        <c:crossBetween val="midCat"/>
      </c:valAx>
      <c:valAx>
        <c:axId val="29149120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9148928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Quality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5C'!$C$26:$C$36</c:f>
              <c:numCache>
                <c:formatCode>General</c:formatCode>
                <c:ptCount val="11"/>
                <c:pt idx="0">
                  <c:v>10.18950037517142</c:v>
                </c:pt>
                <c:pt idx="1">
                  <c:v>-4.7461771326554327</c:v>
                </c:pt>
                <c:pt idx="2">
                  <c:v>-5.2951693446143437</c:v>
                </c:pt>
                <c:pt idx="3">
                  <c:v>-6.6721260575952854</c:v>
                </c:pt>
                <c:pt idx="4">
                  <c:v>-2.0842453879789957</c:v>
                </c:pt>
                <c:pt idx="5">
                  <c:v>1.7384925871303238</c:v>
                </c:pt>
                <c:pt idx="6">
                  <c:v>3.6674428833863679</c:v>
                </c:pt>
                <c:pt idx="7">
                  <c:v>-1.0924732852078947</c:v>
                </c:pt>
                <c:pt idx="8">
                  <c:v>3.7773810447877167</c:v>
                </c:pt>
                <c:pt idx="9">
                  <c:v>4.843204222618958</c:v>
                </c:pt>
                <c:pt idx="10">
                  <c:v>-4.3258299050428306</c:v>
                </c:pt>
              </c:numCache>
            </c:numRef>
          </c:yVal>
        </c:ser>
        <c:axId val="291503104"/>
        <c:axId val="291517568"/>
      </c:scatterChart>
      <c:valAx>
        <c:axId val="2915031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Quality</a:t>
                </a:r>
              </a:p>
            </c:rich>
          </c:tx>
        </c:title>
        <c:numFmt formatCode="General" sourceLinked="1"/>
        <c:tickLblPos val="nextTo"/>
        <c:crossAx val="291517568"/>
        <c:crosses val="autoZero"/>
        <c:crossBetween val="midCat"/>
      </c:valAx>
      <c:valAx>
        <c:axId val="29151756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9150310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Color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Price</c:v>
          </c:tx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5'!$C$4:$C$14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</c:ser>
        <c:ser>
          <c:idx val="1"/>
          <c:order val="1"/>
          <c:tx>
            <c:v>Predicted Price</c:v>
          </c:tx>
          <c:spPr>
            <a:ln w="28575">
              <a:noFill/>
            </a:ln>
          </c:spPr>
          <c:xVal>
            <c:numRef>
              <c:f>'Mult Reg 5'!$A$4:$A$14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5C'!$B$26:$B$36</c:f>
              <c:numCache>
                <c:formatCode>General</c:formatCode>
                <c:ptCount val="11"/>
                <c:pt idx="0">
                  <c:v>54.81049962482858</c:v>
                </c:pt>
                <c:pt idx="1">
                  <c:v>42.746177132655433</c:v>
                </c:pt>
                <c:pt idx="2">
                  <c:v>56.295169344614344</c:v>
                </c:pt>
                <c:pt idx="3">
                  <c:v>44.672126057595285</c:v>
                </c:pt>
                <c:pt idx="4">
                  <c:v>57.084245387978996</c:v>
                </c:pt>
                <c:pt idx="5">
                  <c:v>41.261507412869676</c:v>
                </c:pt>
                <c:pt idx="6">
                  <c:v>21.332557116613632</c:v>
                </c:pt>
                <c:pt idx="7">
                  <c:v>34.092473285207895</c:v>
                </c:pt>
                <c:pt idx="8">
                  <c:v>67.222618955212283</c:v>
                </c:pt>
                <c:pt idx="9">
                  <c:v>46.156795777381042</c:v>
                </c:pt>
                <c:pt idx="10">
                  <c:v>53.325829905042831</c:v>
                </c:pt>
              </c:numCache>
            </c:numRef>
          </c:yVal>
        </c:ser>
        <c:axId val="291558912"/>
        <c:axId val="291560832"/>
      </c:scatterChart>
      <c:valAx>
        <c:axId val="2915589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Color</a:t>
                </a:r>
              </a:p>
            </c:rich>
          </c:tx>
        </c:title>
        <c:numFmt formatCode="General" sourceLinked="1"/>
        <c:tickLblPos val="nextTo"/>
        <c:crossAx val="291560832"/>
        <c:crosses val="autoZero"/>
        <c:crossBetween val="midCat"/>
      </c:valAx>
      <c:valAx>
        <c:axId val="29156083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</c:title>
        <c:numFmt formatCode="General" sourceLinked="1"/>
        <c:tickLblPos val="nextTo"/>
        <c:crossAx val="291558912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Quality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Price</c:v>
          </c:tx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5'!$C$4:$C$14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</c:ser>
        <c:ser>
          <c:idx val="1"/>
          <c:order val="1"/>
          <c:tx>
            <c:v>Predicted Price</c:v>
          </c:tx>
          <c:spPr>
            <a:ln w="28575">
              <a:noFill/>
            </a:ln>
          </c:spPr>
          <c:xVal>
            <c:numRef>
              <c:f>'Mult Reg 5'!$B$4:$B$14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5C'!$B$26:$B$36</c:f>
              <c:numCache>
                <c:formatCode>General</c:formatCode>
                <c:ptCount val="11"/>
                <c:pt idx="0">
                  <c:v>54.81049962482858</c:v>
                </c:pt>
                <c:pt idx="1">
                  <c:v>42.746177132655433</c:v>
                </c:pt>
                <c:pt idx="2">
                  <c:v>56.295169344614344</c:v>
                </c:pt>
                <c:pt idx="3">
                  <c:v>44.672126057595285</c:v>
                </c:pt>
                <c:pt idx="4">
                  <c:v>57.084245387978996</c:v>
                </c:pt>
                <c:pt idx="5">
                  <c:v>41.261507412869676</c:v>
                </c:pt>
                <c:pt idx="6">
                  <c:v>21.332557116613632</c:v>
                </c:pt>
                <c:pt idx="7">
                  <c:v>34.092473285207895</c:v>
                </c:pt>
                <c:pt idx="8">
                  <c:v>67.222618955212283</c:v>
                </c:pt>
                <c:pt idx="9">
                  <c:v>46.156795777381042</c:v>
                </c:pt>
                <c:pt idx="10">
                  <c:v>53.325829905042831</c:v>
                </c:pt>
              </c:numCache>
            </c:numRef>
          </c:yVal>
        </c:ser>
        <c:axId val="291611008"/>
        <c:axId val="291612928"/>
      </c:scatterChart>
      <c:valAx>
        <c:axId val="2916110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Quality</a:t>
                </a:r>
              </a:p>
            </c:rich>
          </c:tx>
        </c:title>
        <c:numFmt formatCode="General" sourceLinked="1"/>
        <c:tickLblPos val="nextTo"/>
        <c:crossAx val="291612928"/>
        <c:crosses val="autoZero"/>
        <c:crossBetween val="midCat"/>
      </c:valAx>
      <c:valAx>
        <c:axId val="29161292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</c:title>
        <c:numFmt formatCode="General" sourceLinked="1"/>
        <c:tickLblPos val="nextTo"/>
        <c:crossAx val="291611008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5C'!$F$26:$F$36</c:f>
              <c:numCache>
                <c:formatCode>General</c:formatCode>
                <c:ptCount val="11"/>
                <c:pt idx="0">
                  <c:v>4.5454545454545459</c:v>
                </c:pt>
                <c:pt idx="1">
                  <c:v>13.636363636363637</c:v>
                </c:pt>
                <c:pt idx="2">
                  <c:v>22.72727272727273</c:v>
                </c:pt>
                <c:pt idx="3">
                  <c:v>31.81818181818182</c:v>
                </c:pt>
                <c:pt idx="4">
                  <c:v>40.909090909090914</c:v>
                </c:pt>
                <c:pt idx="5">
                  <c:v>50.000000000000007</c:v>
                </c:pt>
                <c:pt idx="6">
                  <c:v>59.090909090909093</c:v>
                </c:pt>
                <c:pt idx="7">
                  <c:v>68.181818181818187</c:v>
                </c:pt>
                <c:pt idx="8">
                  <c:v>77.27272727272728</c:v>
                </c:pt>
                <c:pt idx="9">
                  <c:v>86.363636363636374</c:v>
                </c:pt>
                <c:pt idx="10">
                  <c:v>95.454545454545467</c:v>
                </c:pt>
              </c:numCache>
            </c:numRef>
          </c:xVal>
          <c:yVal>
            <c:numRef>
              <c:f>'Mult Reg 5C'!$G$26:$G$36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yVal>
        </c:ser>
        <c:axId val="291625216"/>
        <c:axId val="291631488"/>
      </c:scatterChart>
      <c:valAx>
        <c:axId val="2916252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</c:title>
        <c:numFmt formatCode="General" sourceLinked="1"/>
        <c:tickLblPos val="nextTo"/>
        <c:crossAx val="291631488"/>
        <c:crosses val="autoZero"/>
        <c:crossBetween val="midCat"/>
      </c:valAx>
      <c:valAx>
        <c:axId val="29163148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Price</a:t>
                </a:r>
              </a:p>
            </c:rich>
          </c:tx>
        </c:title>
        <c:numFmt formatCode="General" sourceLinked="1"/>
        <c:tickLblPos val="nextTo"/>
        <c:crossAx val="29162521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6'!$J$26:$J$36</c:f>
              <c:numCache>
                <c:formatCode>General</c:formatCode>
                <c:ptCount val="11"/>
                <c:pt idx="0">
                  <c:v>4.5454545454545459</c:v>
                </c:pt>
                <c:pt idx="1">
                  <c:v>13.636363636363637</c:v>
                </c:pt>
                <c:pt idx="2">
                  <c:v>22.727272727272727</c:v>
                </c:pt>
                <c:pt idx="3">
                  <c:v>31.81818181818182</c:v>
                </c:pt>
                <c:pt idx="4">
                  <c:v>40.909090909090914</c:v>
                </c:pt>
                <c:pt idx="5">
                  <c:v>50.000000000000007</c:v>
                </c:pt>
                <c:pt idx="6">
                  <c:v>59.090909090909101</c:v>
                </c:pt>
                <c:pt idx="7">
                  <c:v>68.181818181818187</c:v>
                </c:pt>
                <c:pt idx="8">
                  <c:v>77.27272727272728</c:v>
                </c:pt>
                <c:pt idx="9">
                  <c:v>86.363636363636374</c:v>
                </c:pt>
                <c:pt idx="10">
                  <c:v>95.454545454545467</c:v>
                </c:pt>
              </c:numCache>
            </c:numRef>
          </c:xVal>
          <c:yVal>
            <c:numRef>
              <c:f>'Mult Reg 6'!$K$26:$K$36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</c:ser>
        <c:axId val="289714944"/>
        <c:axId val="289716864"/>
      </c:scatterChart>
      <c:valAx>
        <c:axId val="289714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</c:title>
        <c:numFmt formatCode="General" sourceLinked="1"/>
        <c:tickLblPos val="nextTo"/>
        <c:crossAx val="289716864"/>
        <c:crosses val="autoZero"/>
        <c:crossBetween val="midCat"/>
      </c:valAx>
      <c:valAx>
        <c:axId val="28971686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Price</a:t>
                </a:r>
              </a:p>
            </c:rich>
          </c:tx>
        </c:title>
        <c:numFmt formatCode="General" sourceLinked="1"/>
        <c:tickLblPos val="nextTo"/>
        <c:crossAx val="28971494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Color Residuals</a:t>
            </a:r>
          </a:p>
        </c:rich>
      </c:tx>
      <c:layout>
        <c:manualLayout>
          <c:xMode val="edge"/>
          <c:yMode val="edge"/>
          <c:x val="0.39397922134733376"/>
          <c:y val="3.7037037037037056E-2"/>
        </c:manualLayout>
      </c:layout>
    </c:title>
    <c:plotArea>
      <c:layout/>
      <c:scatterChart>
        <c:scatterStyle val="lineMarker"/>
        <c:ser>
          <c:idx val="0"/>
          <c:order val="0"/>
          <c:tx>
            <c:strRef>
              <c:f>'Mult Reg 6'!$G$41</c:f>
              <c:strCache>
                <c:ptCount val="1"/>
                <c:pt idx="0">
                  <c:v>Residuals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 Reg 6'!$F$42:$F$52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6'!$G$42:$G$52</c:f>
              <c:numCache>
                <c:formatCode>General</c:formatCode>
                <c:ptCount val="11"/>
                <c:pt idx="0">
                  <c:v>10.189500375171463</c:v>
                </c:pt>
                <c:pt idx="1">
                  <c:v>-4.7461771326554327</c:v>
                </c:pt>
                <c:pt idx="2">
                  <c:v>-5.2951693446143224</c:v>
                </c:pt>
                <c:pt idx="3">
                  <c:v>-6.6721260575952073</c:v>
                </c:pt>
                <c:pt idx="4">
                  <c:v>-2.0842453879789105</c:v>
                </c:pt>
                <c:pt idx="5">
                  <c:v>1.7384925871303665</c:v>
                </c:pt>
                <c:pt idx="6">
                  <c:v>3.6674428833864141</c:v>
                </c:pt>
                <c:pt idx="7">
                  <c:v>-1.0924732852078947</c:v>
                </c:pt>
                <c:pt idx="8">
                  <c:v>3.7773810447877594</c:v>
                </c:pt>
                <c:pt idx="9">
                  <c:v>4.8432042226190006</c:v>
                </c:pt>
                <c:pt idx="10">
                  <c:v>-4.3258299050427382</c:v>
                </c:pt>
              </c:numCache>
            </c:numRef>
          </c:yVal>
        </c:ser>
        <c:axId val="289728768"/>
        <c:axId val="291656064"/>
      </c:scatterChart>
      <c:valAx>
        <c:axId val="289728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Color</a:t>
                </a:r>
              </a:p>
            </c:rich>
          </c:tx>
        </c:title>
        <c:numFmt formatCode="General" sourceLinked="1"/>
        <c:tickLblPos val="nextTo"/>
        <c:crossAx val="291656064"/>
        <c:crosses val="autoZero"/>
        <c:crossBetween val="midCat"/>
      </c:valAx>
      <c:valAx>
        <c:axId val="29165606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</c:title>
        <c:numFmt formatCode="General" sourceLinked="1"/>
        <c:tickLblPos val="nextTo"/>
        <c:crossAx val="28972876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Quality 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'Mult Reg 6'!$I$42:$I$52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6'!$J$42:$J$52</c:f>
              <c:numCache>
                <c:formatCode>General</c:formatCode>
                <c:ptCount val="11"/>
                <c:pt idx="0">
                  <c:v>10.189500375171463</c:v>
                </c:pt>
                <c:pt idx="1">
                  <c:v>-4.7461771326554327</c:v>
                </c:pt>
                <c:pt idx="2">
                  <c:v>-5.2951693446143224</c:v>
                </c:pt>
                <c:pt idx="3">
                  <c:v>-6.6721260575952073</c:v>
                </c:pt>
                <c:pt idx="4">
                  <c:v>-2.0842453879789105</c:v>
                </c:pt>
                <c:pt idx="5">
                  <c:v>1.7384925871303665</c:v>
                </c:pt>
                <c:pt idx="6">
                  <c:v>3.6674428833864141</c:v>
                </c:pt>
                <c:pt idx="7">
                  <c:v>-1.0924732852078947</c:v>
                </c:pt>
                <c:pt idx="8">
                  <c:v>3.7773810447877594</c:v>
                </c:pt>
                <c:pt idx="9">
                  <c:v>4.8432042226190006</c:v>
                </c:pt>
                <c:pt idx="10">
                  <c:v>-4.3258299050427382</c:v>
                </c:pt>
              </c:numCache>
            </c:numRef>
          </c:yVal>
        </c:ser>
        <c:axId val="289746944"/>
        <c:axId val="289748864"/>
      </c:scatterChart>
      <c:valAx>
        <c:axId val="289746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</c:title>
        <c:numFmt formatCode="General" sourceLinked="1"/>
        <c:tickLblPos val="nextTo"/>
        <c:crossAx val="289748864"/>
        <c:crosses val="autoZero"/>
        <c:crossBetween val="midCat"/>
      </c:valAx>
      <c:valAx>
        <c:axId val="28974886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</c:title>
        <c:numFmt formatCode="General" sourceLinked="1"/>
        <c:tickLblPos val="nextTo"/>
        <c:crossAx val="28974694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</c:trendline>
          <c:xVal>
            <c:numRef>
              <c:f>'Mult Reg 6'!$AD$30:$AD$40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xVal>
          <c:yVal>
            <c:numRef>
              <c:f>'Mult Reg 6'!$AE$30:$AE$40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</c:ser>
        <c:axId val="289790208"/>
        <c:axId val="289603968"/>
      </c:scatterChart>
      <c:valAx>
        <c:axId val="289790208"/>
        <c:scaling>
          <c:orientation val="minMax"/>
          <c:min val="2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89603968"/>
        <c:crosses val="autoZero"/>
        <c:crossBetween val="midCat"/>
      </c:valAx>
      <c:valAx>
        <c:axId val="28960396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8979020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Revised QQ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</c:trendline>
          <c:xVal>
            <c:numRef>
              <c:f>'Mult Reg 6'!$AP$30:$AP$40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xVal>
          <c:yVal>
            <c:numRef>
              <c:f>'Mult Reg 6'!$AQ$30:$AQ$40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yVal>
        </c:ser>
        <c:axId val="289637120"/>
        <c:axId val="289639040"/>
      </c:scatterChart>
      <c:valAx>
        <c:axId val="289637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Standard Normal</a:t>
                </a:r>
              </a:p>
            </c:rich>
          </c:tx>
        </c:title>
        <c:numFmt formatCode="General" sourceLinked="1"/>
        <c:tickLblPos val="nextTo"/>
        <c:crossAx val="289639040"/>
        <c:crosses val="autoZero"/>
        <c:crossBetween val="midCat"/>
      </c:valAx>
      <c:valAx>
        <c:axId val="289639040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8963712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Color Line Fit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'Mult Reg 6'!$G$57</c:f>
              <c:strCache>
                <c:ptCount val="1"/>
                <c:pt idx="0">
                  <c:v>Price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 Reg 6'!$F$58:$F$68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6'!$G$58:$G$68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</c:ser>
        <c:ser>
          <c:idx val="1"/>
          <c:order val="1"/>
          <c:tx>
            <c:strRef>
              <c:f>'Mult Reg 6'!$H$57</c:f>
              <c:strCache>
                <c:ptCount val="1"/>
                <c:pt idx="0">
                  <c:v>Pred Price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 Reg 6'!$F$58:$F$68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'Mult Reg 6'!$H$58:$H$68</c:f>
              <c:numCache>
                <c:formatCode>General</c:formatCode>
                <c:ptCount val="11"/>
                <c:pt idx="0">
                  <c:v>54.810499624828537</c:v>
                </c:pt>
                <c:pt idx="1">
                  <c:v>42.746177132655433</c:v>
                </c:pt>
                <c:pt idx="2">
                  <c:v>56.295169344614322</c:v>
                </c:pt>
                <c:pt idx="3">
                  <c:v>44.672126057595207</c:v>
                </c:pt>
                <c:pt idx="4">
                  <c:v>57.08424538797891</c:v>
                </c:pt>
                <c:pt idx="5">
                  <c:v>41.261507412869634</c:v>
                </c:pt>
                <c:pt idx="6">
                  <c:v>21.332557116613586</c:v>
                </c:pt>
                <c:pt idx="7">
                  <c:v>34.092473285207895</c:v>
                </c:pt>
                <c:pt idx="8">
                  <c:v>67.222618955212241</c:v>
                </c:pt>
                <c:pt idx="9">
                  <c:v>46.156795777380999</c:v>
                </c:pt>
                <c:pt idx="10">
                  <c:v>53.325829905042738</c:v>
                </c:pt>
              </c:numCache>
            </c:numRef>
          </c:yVal>
        </c:ser>
        <c:axId val="289664384"/>
        <c:axId val="290600448"/>
      </c:scatterChart>
      <c:valAx>
        <c:axId val="2896643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Color</a:t>
                </a:r>
              </a:p>
            </c:rich>
          </c:tx>
        </c:title>
        <c:numFmt formatCode="General" sourceLinked="1"/>
        <c:tickLblPos val="nextTo"/>
        <c:crossAx val="290600448"/>
        <c:crosses val="autoZero"/>
        <c:crossBetween val="midCat"/>
      </c:valAx>
      <c:valAx>
        <c:axId val="29060044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Price</a:t>
                </a:r>
              </a:p>
            </c:rich>
          </c:tx>
        </c:title>
        <c:numFmt formatCode="General" sourceLinked="1"/>
        <c:tickLblPos val="nextTo"/>
        <c:crossAx val="289664384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Quality Line Fit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'Mult Reg 6'!$K$57</c:f>
              <c:strCache>
                <c:ptCount val="1"/>
                <c:pt idx="0">
                  <c:v>Price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 Reg 6'!$J$58:$J$68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6'!$K$58:$K$68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yVal>
        </c:ser>
        <c:ser>
          <c:idx val="1"/>
          <c:order val="1"/>
          <c:tx>
            <c:strRef>
              <c:f>'Mult Reg 6'!$L$57</c:f>
              <c:strCache>
                <c:ptCount val="1"/>
                <c:pt idx="0">
                  <c:v>Pred Price</c:v>
                </c:pt>
              </c:strCache>
            </c:strRef>
          </c:tx>
          <c:spPr>
            <a:ln w="28575">
              <a:noFill/>
            </a:ln>
          </c:spPr>
          <c:xVal>
            <c:numRef>
              <c:f>'Mult Reg 6'!$J$58:$J$68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'Mult Reg 6'!$L$58:$L$68</c:f>
              <c:numCache>
                <c:formatCode>General</c:formatCode>
                <c:ptCount val="11"/>
                <c:pt idx="0">
                  <c:v>54.810499624828537</c:v>
                </c:pt>
                <c:pt idx="1">
                  <c:v>42.746177132655433</c:v>
                </c:pt>
                <c:pt idx="2">
                  <c:v>56.295169344614322</c:v>
                </c:pt>
                <c:pt idx="3">
                  <c:v>44.672126057595207</c:v>
                </c:pt>
                <c:pt idx="4">
                  <c:v>57.08424538797891</c:v>
                </c:pt>
                <c:pt idx="5">
                  <c:v>41.261507412869634</c:v>
                </c:pt>
                <c:pt idx="6">
                  <c:v>21.332557116613586</c:v>
                </c:pt>
                <c:pt idx="7">
                  <c:v>34.092473285207895</c:v>
                </c:pt>
                <c:pt idx="8">
                  <c:v>67.222618955212241</c:v>
                </c:pt>
                <c:pt idx="9">
                  <c:v>46.156795777380999</c:v>
                </c:pt>
                <c:pt idx="10">
                  <c:v>53.325829905042738</c:v>
                </c:pt>
              </c:numCache>
            </c:numRef>
          </c:yVal>
        </c:ser>
        <c:axId val="290629888"/>
        <c:axId val="290636160"/>
      </c:scatterChart>
      <c:valAx>
        <c:axId val="2906298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Quality</a:t>
                </a:r>
              </a:p>
            </c:rich>
          </c:tx>
        </c:title>
        <c:numFmt formatCode="General" sourceLinked="1"/>
        <c:tickLblPos val="nextTo"/>
        <c:crossAx val="290636160"/>
        <c:crosses val="autoZero"/>
        <c:crossBetween val="midCat"/>
      </c:valAx>
      <c:valAx>
        <c:axId val="2906361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Price</a:t>
                </a:r>
              </a:p>
            </c:rich>
          </c:tx>
        </c:title>
        <c:numFmt formatCode="General" sourceLinked="1"/>
        <c:tickLblPos val="nextTo"/>
        <c:crossAx val="290629888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Internet use</a:t>
            </a:r>
            <a:r>
              <a:rPr lang="en-US" baseline="0"/>
              <a:t> </a:t>
            </a:r>
            <a:r>
              <a:rPr lang="en-US"/>
              <a:t>per month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'Poly Reg'!$K$2</c:f>
              <c:strCache>
                <c:ptCount val="1"/>
                <c:pt idx="0">
                  <c:v>Use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</c:trendline>
          <c:trendline>
            <c:trendlineType val="poly"/>
            <c:order val="2"/>
          </c:trendline>
          <c:xVal>
            <c:numRef>
              <c:f>'Poly Reg'!$I$3:$I$32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</c:numCache>
            </c:numRef>
          </c:xVal>
          <c:yVal>
            <c:numRef>
              <c:f>'Poly Reg'!$K$3:$K$32</c:f>
              <c:numCache>
                <c:formatCode>General</c:formatCode>
                <c:ptCount val="30"/>
                <c:pt idx="0">
                  <c:v>7</c:v>
                </c:pt>
                <c:pt idx="1">
                  <c:v>11</c:v>
                </c:pt>
                <c:pt idx="2">
                  <c:v>23</c:v>
                </c:pt>
                <c:pt idx="3">
                  <c:v>59</c:v>
                </c:pt>
                <c:pt idx="4">
                  <c:v>120</c:v>
                </c:pt>
                <c:pt idx="5">
                  <c:v>180</c:v>
                </c:pt>
                <c:pt idx="6">
                  <c:v>3</c:v>
                </c:pt>
                <c:pt idx="7">
                  <c:v>8</c:v>
                </c:pt>
                <c:pt idx="8">
                  <c:v>20</c:v>
                </c:pt>
                <c:pt idx="9">
                  <c:v>48</c:v>
                </c:pt>
                <c:pt idx="10">
                  <c:v>88</c:v>
                </c:pt>
                <c:pt idx="11">
                  <c:v>140</c:v>
                </c:pt>
                <c:pt idx="12">
                  <c:v>4</c:v>
                </c:pt>
                <c:pt idx="13">
                  <c:v>11</c:v>
                </c:pt>
                <c:pt idx="14">
                  <c:v>21</c:v>
                </c:pt>
                <c:pt idx="15">
                  <c:v>58</c:v>
                </c:pt>
                <c:pt idx="16">
                  <c:v>128</c:v>
                </c:pt>
                <c:pt idx="17">
                  <c:v>195</c:v>
                </c:pt>
                <c:pt idx="18">
                  <c:v>5</c:v>
                </c:pt>
                <c:pt idx="19">
                  <c:v>9</c:v>
                </c:pt>
                <c:pt idx="20">
                  <c:v>16</c:v>
                </c:pt>
                <c:pt idx="21">
                  <c:v>45</c:v>
                </c:pt>
                <c:pt idx="22">
                  <c:v>111</c:v>
                </c:pt>
                <c:pt idx="23">
                  <c:v>156</c:v>
                </c:pt>
                <c:pt idx="24">
                  <c:v>2</c:v>
                </c:pt>
                <c:pt idx="25">
                  <c:v>5</c:v>
                </c:pt>
                <c:pt idx="26">
                  <c:v>12</c:v>
                </c:pt>
                <c:pt idx="27">
                  <c:v>38</c:v>
                </c:pt>
                <c:pt idx="28">
                  <c:v>78</c:v>
                </c:pt>
                <c:pt idx="29">
                  <c:v>145</c:v>
                </c:pt>
              </c:numCache>
            </c:numRef>
          </c:yVal>
        </c:ser>
        <c:axId val="292362496"/>
        <c:axId val="292393344"/>
      </c:scatterChart>
      <c:valAx>
        <c:axId val="292362496"/>
        <c:scaling>
          <c:orientation val="minMax"/>
          <c:max val="6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</c:title>
        <c:numFmt formatCode="General" sourceLinked="1"/>
        <c:tickLblPos val="nextTo"/>
        <c:crossAx val="292393344"/>
        <c:crosses val="autoZero"/>
        <c:crossBetween val="midCat"/>
        <c:majorUnit val="1"/>
      </c:valAx>
      <c:valAx>
        <c:axId val="292393344"/>
        <c:scaling>
          <c:orientation val="minMax"/>
          <c:max val="2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Hours of use per month</a:t>
                </a:r>
              </a:p>
            </c:rich>
          </c:tx>
        </c:title>
        <c:numFmt formatCode="General" sourceLinked="1"/>
        <c:tickLblPos val="nextTo"/>
        <c:crossAx val="292362496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Month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'Poly Reg'!$I$3:$I$32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</c:numCache>
            </c:numRef>
          </c:xVal>
          <c:yVal>
            <c:numRef>
              <c:f>'Poly Reg 1'!$C$26:$C$55</c:f>
              <c:numCache>
                <c:formatCode>General</c:formatCode>
                <c:ptCount val="30"/>
                <c:pt idx="0">
                  <c:v>1.5714285714285303</c:v>
                </c:pt>
                <c:pt idx="1">
                  <c:v>5.9485714285714124</c:v>
                </c:pt>
                <c:pt idx="2">
                  <c:v>2.21142857142857</c:v>
                </c:pt>
                <c:pt idx="3">
                  <c:v>6.3600000000000136</c:v>
                </c:pt>
                <c:pt idx="4">
                  <c:v>19.394285714285743</c:v>
                </c:pt>
                <c:pt idx="5">
                  <c:v>15.314285714285717</c:v>
                </c:pt>
                <c:pt idx="6">
                  <c:v>-2.4285714285714697</c:v>
                </c:pt>
                <c:pt idx="7">
                  <c:v>2.9485714285714124</c:v>
                </c:pt>
                <c:pt idx="8">
                  <c:v>-0.78857142857143003</c:v>
                </c:pt>
                <c:pt idx="9">
                  <c:v>-4.6399999999999864</c:v>
                </c:pt>
                <c:pt idx="10">
                  <c:v>-12.605714285714257</c:v>
                </c:pt>
                <c:pt idx="11">
                  <c:v>-24.685714285714283</c:v>
                </c:pt>
                <c:pt idx="12">
                  <c:v>-1.4285714285714697</c:v>
                </c:pt>
                <c:pt idx="13">
                  <c:v>5.9485714285714124</c:v>
                </c:pt>
                <c:pt idx="14">
                  <c:v>0.21142857142856997</c:v>
                </c:pt>
                <c:pt idx="15">
                  <c:v>5.3600000000000136</c:v>
                </c:pt>
                <c:pt idx="16">
                  <c:v>27.394285714285743</c:v>
                </c:pt>
                <c:pt idx="17">
                  <c:v>30.314285714285717</c:v>
                </c:pt>
                <c:pt idx="18">
                  <c:v>-0.42857142857146968</c:v>
                </c:pt>
                <c:pt idx="19">
                  <c:v>3.9485714285714124</c:v>
                </c:pt>
                <c:pt idx="20">
                  <c:v>-4.78857142857143</c:v>
                </c:pt>
                <c:pt idx="21">
                  <c:v>-7.6399999999999864</c:v>
                </c:pt>
                <c:pt idx="22">
                  <c:v>10.394285714285743</c:v>
                </c:pt>
                <c:pt idx="23">
                  <c:v>-8.6857142857142833</c:v>
                </c:pt>
                <c:pt idx="24">
                  <c:v>-3.4285714285714697</c:v>
                </c:pt>
                <c:pt idx="25">
                  <c:v>-5.1428571428587588E-2</c:v>
                </c:pt>
                <c:pt idx="26">
                  <c:v>-8.78857142857143</c:v>
                </c:pt>
                <c:pt idx="27">
                  <c:v>-14.639999999999986</c:v>
                </c:pt>
                <c:pt idx="28">
                  <c:v>-22.605714285714257</c:v>
                </c:pt>
                <c:pt idx="29">
                  <c:v>-19.685714285714283</c:v>
                </c:pt>
              </c:numCache>
            </c:numRef>
          </c:yVal>
        </c:ser>
        <c:axId val="292225792"/>
        <c:axId val="292227712"/>
      </c:scatterChart>
      <c:valAx>
        <c:axId val="2922257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Month</a:t>
                </a:r>
              </a:p>
            </c:rich>
          </c:tx>
        </c:title>
        <c:numFmt formatCode="General" sourceLinked="1"/>
        <c:tickLblPos val="nextTo"/>
        <c:crossAx val="292227712"/>
        <c:crosses val="autoZero"/>
        <c:crossBetween val="midCat"/>
      </c:valAx>
      <c:valAx>
        <c:axId val="29222771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9222579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MonSq  Residual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'Poly Reg'!$J$3:$J$32</c:f>
              <c:numCache>
                <c:formatCode>General</c:formatCode>
                <c:ptCount val="30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1</c:v>
                </c:pt>
                <c:pt idx="7">
                  <c:v>4</c:v>
                </c:pt>
                <c:pt idx="8">
                  <c:v>9</c:v>
                </c:pt>
                <c:pt idx="9">
                  <c:v>16</c:v>
                </c:pt>
                <c:pt idx="10">
                  <c:v>25</c:v>
                </c:pt>
                <c:pt idx="11">
                  <c:v>36</c:v>
                </c:pt>
                <c:pt idx="12">
                  <c:v>1</c:v>
                </c:pt>
                <c:pt idx="13">
                  <c:v>4</c:v>
                </c:pt>
                <c:pt idx="14">
                  <c:v>9</c:v>
                </c:pt>
                <c:pt idx="15">
                  <c:v>16</c:v>
                </c:pt>
                <c:pt idx="16">
                  <c:v>25</c:v>
                </c:pt>
                <c:pt idx="17">
                  <c:v>36</c:v>
                </c:pt>
                <c:pt idx="18">
                  <c:v>1</c:v>
                </c:pt>
                <c:pt idx="19">
                  <c:v>4</c:v>
                </c:pt>
                <c:pt idx="20">
                  <c:v>9</c:v>
                </c:pt>
                <c:pt idx="21">
                  <c:v>16</c:v>
                </c:pt>
                <c:pt idx="22">
                  <c:v>25</c:v>
                </c:pt>
                <c:pt idx="23">
                  <c:v>36</c:v>
                </c:pt>
                <c:pt idx="24">
                  <c:v>1</c:v>
                </c:pt>
                <c:pt idx="25">
                  <c:v>4</c:v>
                </c:pt>
                <c:pt idx="26">
                  <c:v>9</c:v>
                </c:pt>
                <c:pt idx="27">
                  <c:v>16</c:v>
                </c:pt>
                <c:pt idx="28">
                  <c:v>25</c:v>
                </c:pt>
                <c:pt idx="29">
                  <c:v>36</c:v>
                </c:pt>
              </c:numCache>
            </c:numRef>
          </c:xVal>
          <c:yVal>
            <c:numRef>
              <c:f>'Poly Reg 1'!$C$26:$C$55</c:f>
              <c:numCache>
                <c:formatCode>General</c:formatCode>
                <c:ptCount val="30"/>
                <c:pt idx="0">
                  <c:v>1.5714285714285303</c:v>
                </c:pt>
                <c:pt idx="1">
                  <c:v>5.9485714285714124</c:v>
                </c:pt>
                <c:pt idx="2">
                  <c:v>2.21142857142857</c:v>
                </c:pt>
                <c:pt idx="3">
                  <c:v>6.3600000000000136</c:v>
                </c:pt>
                <c:pt idx="4">
                  <c:v>19.394285714285743</c:v>
                </c:pt>
                <c:pt idx="5">
                  <c:v>15.314285714285717</c:v>
                </c:pt>
                <c:pt idx="6">
                  <c:v>-2.4285714285714697</c:v>
                </c:pt>
                <c:pt idx="7">
                  <c:v>2.9485714285714124</c:v>
                </c:pt>
                <c:pt idx="8">
                  <c:v>-0.78857142857143003</c:v>
                </c:pt>
                <c:pt idx="9">
                  <c:v>-4.6399999999999864</c:v>
                </c:pt>
                <c:pt idx="10">
                  <c:v>-12.605714285714257</c:v>
                </c:pt>
                <c:pt idx="11">
                  <c:v>-24.685714285714283</c:v>
                </c:pt>
                <c:pt idx="12">
                  <c:v>-1.4285714285714697</c:v>
                </c:pt>
                <c:pt idx="13">
                  <c:v>5.9485714285714124</c:v>
                </c:pt>
                <c:pt idx="14">
                  <c:v>0.21142857142856997</c:v>
                </c:pt>
                <c:pt idx="15">
                  <c:v>5.3600000000000136</c:v>
                </c:pt>
                <c:pt idx="16">
                  <c:v>27.394285714285743</c:v>
                </c:pt>
                <c:pt idx="17">
                  <c:v>30.314285714285717</c:v>
                </c:pt>
                <c:pt idx="18">
                  <c:v>-0.42857142857146968</c:v>
                </c:pt>
                <c:pt idx="19">
                  <c:v>3.9485714285714124</c:v>
                </c:pt>
                <c:pt idx="20">
                  <c:v>-4.78857142857143</c:v>
                </c:pt>
                <c:pt idx="21">
                  <c:v>-7.6399999999999864</c:v>
                </c:pt>
                <c:pt idx="22">
                  <c:v>10.394285714285743</c:v>
                </c:pt>
                <c:pt idx="23">
                  <c:v>-8.6857142857142833</c:v>
                </c:pt>
                <c:pt idx="24">
                  <c:v>-3.4285714285714697</c:v>
                </c:pt>
                <c:pt idx="25">
                  <c:v>-5.1428571428587588E-2</c:v>
                </c:pt>
                <c:pt idx="26">
                  <c:v>-8.78857142857143</c:v>
                </c:pt>
                <c:pt idx="27">
                  <c:v>-14.639999999999986</c:v>
                </c:pt>
                <c:pt idx="28">
                  <c:v>-22.605714285714257</c:v>
                </c:pt>
                <c:pt idx="29">
                  <c:v>-19.685714285714283</c:v>
                </c:pt>
              </c:numCache>
            </c:numRef>
          </c:yVal>
        </c:ser>
        <c:axId val="292264192"/>
        <c:axId val="292266368"/>
      </c:scatterChart>
      <c:valAx>
        <c:axId val="2922641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MonSq</a:t>
                </a:r>
              </a:p>
            </c:rich>
          </c:tx>
        </c:title>
        <c:numFmt formatCode="General" sourceLinked="1"/>
        <c:tickLblPos val="nextTo"/>
        <c:crossAx val="292266368"/>
        <c:crosses val="autoZero"/>
        <c:crossBetween val="midCat"/>
      </c:valAx>
      <c:valAx>
        <c:axId val="29226636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Residuals</a:t>
                </a:r>
              </a:p>
            </c:rich>
          </c:tx>
        </c:title>
        <c:numFmt formatCode="General" sourceLinked="1"/>
        <c:tickLblPos val="nextTo"/>
        <c:crossAx val="29226419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Month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Hours</c:v>
          </c:tx>
          <c:spPr>
            <a:ln w="28575">
              <a:noFill/>
            </a:ln>
          </c:spPr>
          <c:xVal>
            <c:numRef>
              <c:f>'Poly Reg'!$I$3:$I$32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</c:numCache>
            </c:numRef>
          </c:xVal>
          <c:yVal>
            <c:numRef>
              <c:f>'Poly Reg'!$K$3:$K$32</c:f>
              <c:numCache>
                <c:formatCode>General</c:formatCode>
                <c:ptCount val="30"/>
                <c:pt idx="0">
                  <c:v>7</c:v>
                </c:pt>
                <c:pt idx="1">
                  <c:v>11</c:v>
                </c:pt>
                <c:pt idx="2">
                  <c:v>23</c:v>
                </c:pt>
                <c:pt idx="3">
                  <c:v>59</c:v>
                </c:pt>
                <c:pt idx="4">
                  <c:v>120</c:v>
                </c:pt>
                <c:pt idx="5">
                  <c:v>180</c:v>
                </c:pt>
                <c:pt idx="6">
                  <c:v>3</c:v>
                </c:pt>
                <c:pt idx="7">
                  <c:v>8</c:v>
                </c:pt>
                <c:pt idx="8">
                  <c:v>20</c:v>
                </c:pt>
                <c:pt idx="9">
                  <c:v>48</c:v>
                </c:pt>
                <c:pt idx="10">
                  <c:v>88</c:v>
                </c:pt>
                <c:pt idx="11">
                  <c:v>140</c:v>
                </c:pt>
                <c:pt idx="12">
                  <c:v>4</c:v>
                </c:pt>
                <c:pt idx="13">
                  <c:v>11</c:v>
                </c:pt>
                <c:pt idx="14">
                  <c:v>21</c:v>
                </c:pt>
                <c:pt idx="15">
                  <c:v>58</c:v>
                </c:pt>
                <c:pt idx="16">
                  <c:v>128</c:v>
                </c:pt>
                <c:pt idx="17">
                  <c:v>195</c:v>
                </c:pt>
                <c:pt idx="18">
                  <c:v>5</c:v>
                </c:pt>
                <c:pt idx="19">
                  <c:v>9</c:v>
                </c:pt>
                <c:pt idx="20">
                  <c:v>16</c:v>
                </c:pt>
                <c:pt idx="21">
                  <c:v>45</c:v>
                </c:pt>
                <c:pt idx="22">
                  <c:v>111</c:v>
                </c:pt>
                <c:pt idx="23">
                  <c:v>156</c:v>
                </c:pt>
                <c:pt idx="24">
                  <c:v>2</c:v>
                </c:pt>
                <c:pt idx="25">
                  <c:v>5</c:v>
                </c:pt>
                <c:pt idx="26">
                  <c:v>12</c:v>
                </c:pt>
                <c:pt idx="27">
                  <c:v>38</c:v>
                </c:pt>
                <c:pt idx="28">
                  <c:v>78</c:v>
                </c:pt>
                <c:pt idx="29">
                  <c:v>145</c:v>
                </c:pt>
              </c:numCache>
            </c:numRef>
          </c:yVal>
        </c:ser>
        <c:ser>
          <c:idx val="1"/>
          <c:order val="1"/>
          <c:tx>
            <c:v>Predicted Hours</c:v>
          </c:tx>
          <c:spPr>
            <a:ln w="28575">
              <a:noFill/>
            </a:ln>
          </c:spPr>
          <c:xVal>
            <c:numRef>
              <c:f>'Poly Reg'!$I$3:$I$32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</c:numCache>
            </c:numRef>
          </c:xVal>
          <c:yVal>
            <c:numRef>
              <c:f>'Poly Reg 1'!$B$26:$B$55</c:f>
              <c:numCache>
                <c:formatCode>General</c:formatCode>
                <c:ptCount val="30"/>
                <c:pt idx="0">
                  <c:v>5.4285714285714697</c:v>
                </c:pt>
                <c:pt idx="1">
                  <c:v>5.0514285714285876</c:v>
                </c:pt>
                <c:pt idx="2">
                  <c:v>20.78857142857143</c:v>
                </c:pt>
                <c:pt idx="3">
                  <c:v>52.639999999999986</c:v>
                </c:pt>
                <c:pt idx="4">
                  <c:v>100.60571428571426</c:v>
                </c:pt>
                <c:pt idx="5">
                  <c:v>164.68571428571428</c:v>
                </c:pt>
                <c:pt idx="6">
                  <c:v>5.4285714285714697</c:v>
                </c:pt>
                <c:pt idx="7">
                  <c:v>5.0514285714285876</c:v>
                </c:pt>
                <c:pt idx="8">
                  <c:v>20.78857142857143</c:v>
                </c:pt>
                <c:pt idx="9">
                  <c:v>52.639999999999986</c:v>
                </c:pt>
                <c:pt idx="10">
                  <c:v>100.60571428571426</c:v>
                </c:pt>
                <c:pt idx="11">
                  <c:v>164.68571428571428</c:v>
                </c:pt>
                <c:pt idx="12">
                  <c:v>5.4285714285714697</c:v>
                </c:pt>
                <c:pt idx="13">
                  <c:v>5.0514285714285876</c:v>
                </c:pt>
                <c:pt idx="14">
                  <c:v>20.78857142857143</c:v>
                </c:pt>
                <c:pt idx="15">
                  <c:v>52.639999999999986</c:v>
                </c:pt>
                <c:pt idx="16">
                  <c:v>100.60571428571426</c:v>
                </c:pt>
                <c:pt idx="17">
                  <c:v>164.68571428571428</c:v>
                </c:pt>
                <c:pt idx="18">
                  <c:v>5.4285714285714697</c:v>
                </c:pt>
                <c:pt idx="19">
                  <c:v>5.0514285714285876</c:v>
                </c:pt>
                <c:pt idx="20">
                  <c:v>20.78857142857143</c:v>
                </c:pt>
                <c:pt idx="21">
                  <c:v>52.639999999999986</c:v>
                </c:pt>
                <c:pt idx="22">
                  <c:v>100.60571428571426</c:v>
                </c:pt>
                <c:pt idx="23">
                  <c:v>164.68571428571428</c:v>
                </c:pt>
                <c:pt idx="24">
                  <c:v>5.4285714285714697</c:v>
                </c:pt>
                <c:pt idx="25">
                  <c:v>5.0514285714285876</c:v>
                </c:pt>
                <c:pt idx="26">
                  <c:v>20.78857142857143</c:v>
                </c:pt>
                <c:pt idx="27">
                  <c:v>52.639999999999986</c:v>
                </c:pt>
                <c:pt idx="28">
                  <c:v>100.60571428571426</c:v>
                </c:pt>
                <c:pt idx="29">
                  <c:v>164.68571428571428</c:v>
                </c:pt>
              </c:numCache>
            </c:numRef>
          </c:yVal>
        </c:ser>
        <c:axId val="292504320"/>
        <c:axId val="292506240"/>
      </c:scatterChart>
      <c:valAx>
        <c:axId val="2925043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Month</a:t>
                </a:r>
              </a:p>
            </c:rich>
          </c:tx>
        </c:title>
        <c:numFmt formatCode="General" sourceLinked="1"/>
        <c:tickLblPos val="nextTo"/>
        <c:crossAx val="292506240"/>
        <c:crosses val="autoZero"/>
        <c:crossBetween val="midCat"/>
      </c:valAx>
      <c:valAx>
        <c:axId val="29250624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Hours</a:t>
                </a:r>
              </a:p>
            </c:rich>
          </c:tx>
        </c:title>
        <c:numFmt formatCode="General" sourceLinked="1"/>
        <c:tickLblPos val="nextTo"/>
        <c:crossAx val="292504320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MonSq Line Fit 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v>Hours</c:v>
          </c:tx>
          <c:spPr>
            <a:ln w="28575">
              <a:noFill/>
            </a:ln>
          </c:spPr>
          <c:xVal>
            <c:numRef>
              <c:f>'Poly Reg'!$J$3:$J$32</c:f>
              <c:numCache>
                <c:formatCode>General</c:formatCode>
                <c:ptCount val="30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1</c:v>
                </c:pt>
                <c:pt idx="7">
                  <c:v>4</c:v>
                </c:pt>
                <c:pt idx="8">
                  <c:v>9</c:v>
                </c:pt>
                <c:pt idx="9">
                  <c:v>16</c:v>
                </c:pt>
                <c:pt idx="10">
                  <c:v>25</c:v>
                </c:pt>
                <c:pt idx="11">
                  <c:v>36</c:v>
                </c:pt>
                <c:pt idx="12">
                  <c:v>1</c:v>
                </c:pt>
                <c:pt idx="13">
                  <c:v>4</c:v>
                </c:pt>
                <c:pt idx="14">
                  <c:v>9</c:v>
                </c:pt>
                <c:pt idx="15">
                  <c:v>16</c:v>
                </c:pt>
                <c:pt idx="16">
                  <c:v>25</c:v>
                </c:pt>
                <c:pt idx="17">
                  <c:v>36</c:v>
                </c:pt>
                <c:pt idx="18">
                  <c:v>1</c:v>
                </c:pt>
                <c:pt idx="19">
                  <c:v>4</c:v>
                </c:pt>
                <c:pt idx="20">
                  <c:v>9</c:v>
                </c:pt>
                <c:pt idx="21">
                  <c:v>16</c:v>
                </c:pt>
                <c:pt idx="22">
                  <c:v>25</c:v>
                </c:pt>
                <c:pt idx="23">
                  <c:v>36</c:v>
                </c:pt>
                <c:pt idx="24">
                  <c:v>1</c:v>
                </c:pt>
                <c:pt idx="25">
                  <c:v>4</c:v>
                </c:pt>
                <c:pt idx="26">
                  <c:v>9</c:v>
                </c:pt>
                <c:pt idx="27">
                  <c:v>16</c:v>
                </c:pt>
                <c:pt idx="28">
                  <c:v>25</c:v>
                </c:pt>
                <c:pt idx="29">
                  <c:v>36</c:v>
                </c:pt>
              </c:numCache>
            </c:numRef>
          </c:xVal>
          <c:yVal>
            <c:numRef>
              <c:f>'Poly Reg'!$K$3:$K$32</c:f>
              <c:numCache>
                <c:formatCode>General</c:formatCode>
                <c:ptCount val="30"/>
                <c:pt idx="0">
                  <c:v>7</c:v>
                </c:pt>
                <c:pt idx="1">
                  <c:v>11</c:v>
                </c:pt>
                <c:pt idx="2">
                  <c:v>23</c:v>
                </c:pt>
                <c:pt idx="3">
                  <c:v>59</c:v>
                </c:pt>
                <c:pt idx="4">
                  <c:v>120</c:v>
                </c:pt>
                <c:pt idx="5">
                  <c:v>180</c:v>
                </c:pt>
                <c:pt idx="6">
                  <c:v>3</c:v>
                </c:pt>
                <c:pt idx="7">
                  <c:v>8</c:v>
                </c:pt>
                <c:pt idx="8">
                  <c:v>20</c:v>
                </c:pt>
                <c:pt idx="9">
                  <c:v>48</c:v>
                </c:pt>
                <c:pt idx="10">
                  <c:v>88</c:v>
                </c:pt>
                <c:pt idx="11">
                  <c:v>140</c:v>
                </c:pt>
                <c:pt idx="12">
                  <c:v>4</c:v>
                </c:pt>
                <c:pt idx="13">
                  <c:v>11</c:v>
                </c:pt>
                <c:pt idx="14">
                  <c:v>21</c:v>
                </c:pt>
                <c:pt idx="15">
                  <c:v>58</c:v>
                </c:pt>
                <c:pt idx="16">
                  <c:v>128</c:v>
                </c:pt>
                <c:pt idx="17">
                  <c:v>195</c:v>
                </c:pt>
                <c:pt idx="18">
                  <c:v>5</c:v>
                </c:pt>
                <c:pt idx="19">
                  <c:v>9</c:v>
                </c:pt>
                <c:pt idx="20">
                  <c:v>16</c:v>
                </c:pt>
                <c:pt idx="21">
                  <c:v>45</c:v>
                </c:pt>
                <c:pt idx="22">
                  <c:v>111</c:v>
                </c:pt>
                <c:pt idx="23">
                  <c:v>156</c:v>
                </c:pt>
                <c:pt idx="24">
                  <c:v>2</c:v>
                </c:pt>
                <c:pt idx="25">
                  <c:v>5</c:v>
                </c:pt>
                <c:pt idx="26">
                  <c:v>12</c:v>
                </c:pt>
                <c:pt idx="27">
                  <c:v>38</c:v>
                </c:pt>
                <c:pt idx="28">
                  <c:v>78</c:v>
                </c:pt>
                <c:pt idx="29">
                  <c:v>145</c:v>
                </c:pt>
              </c:numCache>
            </c:numRef>
          </c:yVal>
        </c:ser>
        <c:ser>
          <c:idx val="1"/>
          <c:order val="1"/>
          <c:tx>
            <c:v>Predicted Hours</c:v>
          </c:tx>
          <c:spPr>
            <a:ln w="28575">
              <a:noFill/>
            </a:ln>
          </c:spPr>
          <c:xVal>
            <c:numRef>
              <c:f>'Poly Reg'!$J$3:$J$32</c:f>
              <c:numCache>
                <c:formatCode>General</c:formatCode>
                <c:ptCount val="30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1</c:v>
                </c:pt>
                <c:pt idx="7">
                  <c:v>4</c:v>
                </c:pt>
                <c:pt idx="8">
                  <c:v>9</c:v>
                </c:pt>
                <c:pt idx="9">
                  <c:v>16</c:v>
                </c:pt>
                <c:pt idx="10">
                  <c:v>25</c:v>
                </c:pt>
                <c:pt idx="11">
                  <c:v>36</c:v>
                </c:pt>
                <c:pt idx="12">
                  <c:v>1</c:v>
                </c:pt>
                <c:pt idx="13">
                  <c:v>4</c:v>
                </c:pt>
                <c:pt idx="14">
                  <c:v>9</c:v>
                </c:pt>
                <c:pt idx="15">
                  <c:v>16</c:v>
                </c:pt>
                <c:pt idx="16">
                  <c:v>25</c:v>
                </c:pt>
                <c:pt idx="17">
                  <c:v>36</c:v>
                </c:pt>
                <c:pt idx="18">
                  <c:v>1</c:v>
                </c:pt>
                <c:pt idx="19">
                  <c:v>4</c:v>
                </c:pt>
                <c:pt idx="20">
                  <c:v>9</c:v>
                </c:pt>
                <c:pt idx="21">
                  <c:v>16</c:v>
                </c:pt>
                <c:pt idx="22">
                  <c:v>25</c:v>
                </c:pt>
                <c:pt idx="23">
                  <c:v>36</c:v>
                </c:pt>
                <c:pt idx="24">
                  <c:v>1</c:v>
                </c:pt>
                <c:pt idx="25">
                  <c:v>4</c:v>
                </c:pt>
                <c:pt idx="26">
                  <c:v>9</c:v>
                </c:pt>
                <c:pt idx="27">
                  <c:v>16</c:v>
                </c:pt>
                <c:pt idx="28">
                  <c:v>25</c:v>
                </c:pt>
                <c:pt idx="29">
                  <c:v>36</c:v>
                </c:pt>
              </c:numCache>
            </c:numRef>
          </c:xVal>
          <c:yVal>
            <c:numRef>
              <c:f>'Poly Reg 1'!$B$26:$B$55</c:f>
              <c:numCache>
                <c:formatCode>General</c:formatCode>
                <c:ptCount val="30"/>
                <c:pt idx="0">
                  <c:v>5.4285714285714697</c:v>
                </c:pt>
                <c:pt idx="1">
                  <c:v>5.0514285714285876</c:v>
                </c:pt>
                <c:pt idx="2">
                  <c:v>20.78857142857143</c:v>
                </c:pt>
                <c:pt idx="3">
                  <c:v>52.639999999999986</c:v>
                </c:pt>
                <c:pt idx="4">
                  <c:v>100.60571428571426</c:v>
                </c:pt>
                <c:pt idx="5">
                  <c:v>164.68571428571428</c:v>
                </c:pt>
                <c:pt idx="6">
                  <c:v>5.4285714285714697</c:v>
                </c:pt>
                <c:pt idx="7">
                  <c:v>5.0514285714285876</c:v>
                </c:pt>
                <c:pt idx="8">
                  <c:v>20.78857142857143</c:v>
                </c:pt>
                <c:pt idx="9">
                  <c:v>52.639999999999986</c:v>
                </c:pt>
                <c:pt idx="10">
                  <c:v>100.60571428571426</c:v>
                </c:pt>
                <c:pt idx="11">
                  <c:v>164.68571428571428</c:v>
                </c:pt>
                <c:pt idx="12">
                  <c:v>5.4285714285714697</c:v>
                </c:pt>
                <c:pt idx="13">
                  <c:v>5.0514285714285876</c:v>
                </c:pt>
                <c:pt idx="14">
                  <c:v>20.78857142857143</c:v>
                </c:pt>
                <c:pt idx="15">
                  <c:v>52.639999999999986</c:v>
                </c:pt>
                <c:pt idx="16">
                  <c:v>100.60571428571426</c:v>
                </c:pt>
                <c:pt idx="17">
                  <c:v>164.68571428571428</c:v>
                </c:pt>
                <c:pt idx="18">
                  <c:v>5.4285714285714697</c:v>
                </c:pt>
                <c:pt idx="19">
                  <c:v>5.0514285714285876</c:v>
                </c:pt>
                <c:pt idx="20">
                  <c:v>20.78857142857143</c:v>
                </c:pt>
                <c:pt idx="21">
                  <c:v>52.639999999999986</c:v>
                </c:pt>
                <c:pt idx="22">
                  <c:v>100.60571428571426</c:v>
                </c:pt>
                <c:pt idx="23">
                  <c:v>164.68571428571428</c:v>
                </c:pt>
                <c:pt idx="24">
                  <c:v>5.4285714285714697</c:v>
                </c:pt>
                <c:pt idx="25">
                  <c:v>5.0514285714285876</c:v>
                </c:pt>
                <c:pt idx="26">
                  <c:v>20.78857142857143</c:v>
                </c:pt>
                <c:pt idx="27">
                  <c:v>52.639999999999986</c:v>
                </c:pt>
                <c:pt idx="28">
                  <c:v>100.60571428571426</c:v>
                </c:pt>
                <c:pt idx="29">
                  <c:v>164.68571428571428</c:v>
                </c:pt>
              </c:numCache>
            </c:numRef>
          </c:yVal>
        </c:ser>
        <c:axId val="292539776"/>
        <c:axId val="292546048"/>
      </c:scatterChart>
      <c:valAx>
        <c:axId val="2925397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MonSq</a:t>
                </a:r>
              </a:p>
            </c:rich>
          </c:tx>
        </c:title>
        <c:numFmt formatCode="General" sourceLinked="1"/>
        <c:tickLblPos val="nextTo"/>
        <c:crossAx val="292546048"/>
        <c:crosses val="autoZero"/>
        <c:crossBetween val="midCat"/>
      </c:valAx>
      <c:valAx>
        <c:axId val="29254604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Hours</a:t>
                </a:r>
              </a:p>
            </c:rich>
          </c:tx>
        </c:title>
        <c:numFmt formatCode="General" sourceLinked="1"/>
        <c:tickLblPos val="nextTo"/>
        <c:crossAx val="292539776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/>
              <a:t>Normal Probability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'Poly Reg 1'!$F$26:$F$55</c:f>
              <c:numCache>
                <c:formatCode>General</c:formatCode>
                <c:ptCount val="30"/>
                <c:pt idx="0">
                  <c:v>1.6666666666666667</c:v>
                </c:pt>
                <c:pt idx="1">
                  <c:v>5</c:v>
                </c:pt>
                <c:pt idx="2">
                  <c:v>8.3333333333333339</c:v>
                </c:pt>
                <c:pt idx="3">
                  <c:v>11.666666666666666</c:v>
                </c:pt>
                <c:pt idx="4">
                  <c:v>15</c:v>
                </c:pt>
                <c:pt idx="5">
                  <c:v>18.333333333333336</c:v>
                </c:pt>
                <c:pt idx="6">
                  <c:v>21.666666666666668</c:v>
                </c:pt>
                <c:pt idx="7">
                  <c:v>25.000000000000004</c:v>
                </c:pt>
                <c:pt idx="8">
                  <c:v>28.333333333333336</c:v>
                </c:pt>
                <c:pt idx="9">
                  <c:v>31.666666666666668</c:v>
                </c:pt>
                <c:pt idx="10">
                  <c:v>35</c:v>
                </c:pt>
                <c:pt idx="11">
                  <c:v>38.333333333333336</c:v>
                </c:pt>
                <c:pt idx="12">
                  <c:v>41.666666666666664</c:v>
                </c:pt>
                <c:pt idx="13">
                  <c:v>45</c:v>
                </c:pt>
                <c:pt idx="14">
                  <c:v>48.333333333333336</c:v>
                </c:pt>
                <c:pt idx="15">
                  <c:v>51.666666666666664</c:v>
                </c:pt>
                <c:pt idx="16">
                  <c:v>55</c:v>
                </c:pt>
                <c:pt idx="17">
                  <c:v>58.333333333333336</c:v>
                </c:pt>
                <c:pt idx="18">
                  <c:v>61.666666666666664</c:v>
                </c:pt>
                <c:pt idx="19">
                  <c:v>65</c:v>
                </c:pt>
                <c:pt idx="20">
                  <c:v>68.333333333333343</c:v>
                </c:pt>
                <c:pt idx="21">
                  <c:v>71.666666666666671</c:v>
                </c:pt>
                <c:pt idx="22">
                  <c:v>75.000000000000014</c:v>
                </c:pt>
                <c:pt idx="23">
                  <c:v>78.333333333333343</c:v>
                </c:pt>
                <c:pt idx="24">
                  <c:v>81.666666666666671</c:v>
                </c:pt>
                <c:pt idx="25">
                  <c:v>85.000000000000014</c:v>
                </c:pt>
                <c:pt idx="26">
                  <c:v>88.333333333333343</c:v>
                </c:pt>
                <c:pt idx="27">
                  <c:v>91.666666666666671</c:v>
                </c:pt>
                <c:pt idx="28">
                  <c:v>95.000000000000014</c:v>
                </c:pt>
                <c:pt idx="29">
                  <c:v>98.333333333333343</c:v>
                </c:pt>
              </c:numCache>
            </c:numRef>
          </c:xVal>
          <c:yVal>
            <c:numRef>
              <c:f>'Poly Reg 1'!$G$26:$G$55</c:f>
              <c:numCache>
                <c:formatCode>General</c:formatCode>
                <c:ptCount val="3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11</c:v>
                </c:pt>
                <c:pt idx="9">
                  <c:v>11</c:v>
                </c:pt>
                <c:pt idx="10">
                  <c:v>12</c:v>
                </c:pt>
                <c:pt idx="11">
                  <c:v>16</c:v>
                </c:pt>
                <c:pt idx="12">
                  <c:v>20</c:v>
                </c:pt>
                <c:pt idx="13">
                  <c:v>21</c:v>
                </c:pt>
                <c:pt idx="14">
                  <c:v>23</c:v>
                </c:pt>
                <c:pt idx="15">
                  <c:v>38</c:v>
                </c:pt>
                <c:pt idx="16">
                  <c:v>45</c:v>
                </c:pt>
                <c:pt idx="17">
                  <c:v>48</c:v>
                </c:pt>
                <c:pt idx="18">
                  <c:v>58</c:v>
                </c:pt>
                <c:pt idx="19">
                  <c:v>59</c:v>
                </c:pt>
                <c:pt idx="20">
                  <c:v>78</c:v>
                </c:pt>
                <c:pt idx="21">
                  <c:v>88</c:v>
                </c:pt>
                <c:pt idx="22">
                  <c:v>111</c:v>
                </c:pt>
                <c:pt idx="23">
                  <c:v>120</c:v>
                </c:pt>
                <c:pt idx="24">
                  <c:v>128</c:v>
                </c:pt>
                <c:pt idx="25">
                  <c:v>140</c:v>
                </c:pt>
                <c:pt idx="26">
                  <c:v>145</c:v>
                </c:pt>
                <c:pt idx="27">
                  <c:v>156</c:v>
                </c:pt>
                <c:pt idx="28">
                  <c:v>180</c:v>
                </c:pt>
                <c:pt idx="29">
                  <c:v>195</c:v>
                </c:pt>
              </c:numCache>
            </c:numRef>
          </c:yVal>
        </c:ser>
        <c:axId val="292570624"/>
        <c:axId val="292572544"/>
      </c:scatterChart>
      <c:valAx>
        <c:axId val="2925706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Sample Percentile</a:t>
                </a:r>
              </a:p>
            </c:rich>
          </c:tx>
        </c:title>
        <c:numFmt formatCode="General" sourceLinked="1"/>
        <c:tickLblPos val="nextTo"/>
        <c:crossAx val="292572544"/>
        <c:crosses val="autoZero"/>
        <c:crossBetween val="midCat"/>
      </c:valAx>
      <c:valAx>
        <c:axId val="29257254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it-IT"/>
                  <a:t>Hours</a:t>
                </a:r>
              </a:p>
            </c:rich>
          </c:tx>
        </c:title>
        <c:numFmt formatCode="General" sourceLinked="1"/>
        <c:tickLblPos val="nextTo"/>
        <c:crossAx val="29257062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'Res 1'!$N$32:$N$46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'Res 1'!$O$32:$O$46</c:f>
              <c:numCache>
                <c:formatCode>General</c:formatCode>
                <c:ptCount val="15"/>
                <c:pt idx="0">
                  <c:v>-2.5794191686621275</c:v>
                </c:pt>
                <c:pt idx="1">
                  <c:v>6.7281881254988463</c:v>
                </c:pt>
                <c:pt idx="2">
                  <c:v>-10.015411064038815</c:v>
                </c:pt>
                <c:pt idx="3">
                  <c:v>-2.5668017437220101</c:v>
                </c:pt>
                <c:pt idx="4">
                  <c:v>9.9589856941118597</c:v>
                </c:pt>
                <c:pt idx="5">
                  <c:v>3.3051820470313658</c:v>
                </c:pt>
                <c:pt idx="6">
                  <c:v>-10.207619573893297</c:v>
                </c:pt>
                <c:pt idx="7">
                  <c:v>9.6127893411923537</c:v>
                </c:pt>
                <c:pt idx="8">
                  <c:v>2.189783262724859</c:v>
                </c:pt>
                <c:pt idx="9">
                  <c:v>1.2153865045741838</c:v>
                </c:pt>
                <c:pt idx="10">
                  <c:v>-8.9256155215816477</c:v>
                </c:pt>
                <c:pt idx="11">
                  <c:v>8.2665929882728335</c:v>
                </c:pt>
                <c:pt idx="12">
                  <c:v>-9.502609443114153</c:v>
                </c:pt>
                <c:pt idx="13">
                  <c:v>8.7923804261067033</c:v>
                </c:pt>
                <c:pt idx="14">
                  <c:v>-6.2718118745011537</c:v>
                </c:pt>
              </c:numCache>
            </c:numRef>
          </c:yVal>
        </c:ser>
        <c:axId val="290398592"/>
        <c:axId val="290400128"/>
      </c:scatterChart>
      <c:valAx>
        <c:axId val="290398592"/>
        <c:scaling>
          <c:orientation val="minMax"/>
        </c:scaling>
        <c:axPos val="b"/>
        <c:numFmt formatCode="General" sourceLinked="1"/>
        <c:tickLblPos val="nextTo"/>
        <c:crossAx val="290400128"/>
        <c:crosses val="autoZero"/>
        <c:crossBetween val="midCat"/>
      </c:valAx>
      <c:valAx>
        <c:axId val="290400128"/>
        <c:scaling>
          <c:orientation val="minMax"/>
        </c:scaling>
        <c:axPos val="l"/>
        <c:majorGridlines/>
        <c:numFmt formatCode="General" sourceLinked="1"/>
        <c:tickLblPos val="nextTo"/>
        <c:crossAx val="29039859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Std 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'Res 1'!$Q$32:$Q$46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'Res 1'!$R$32:$R$46</c:f>
              <c:numCache>
                <c:formatCode>General</c:formatCode>
                <c:ptCount val="15"/>
                <c:pt idx="0">
                  <c:v>-0.32345100811793859</c:v>
                </c:pt>
                <c:pt idx="1">
                  <c:v>0.84369351768774359</c:v>
                </c:pt>
                <c:pt idx="2">
                  <c:v>-1.2559008806076084</c:v>
                </c:pt>
                <c:pt idx="3">
                  <c:v>-0.32186882292434321</c:v>
                </c:pt>
                <c:pt idx="4">
                  <c:v>1.2488253176250446</c:v>
                </c:pt>
                <c:pt idx="5">
                  <c:v>0.41445937834140428</c:v>
                </c:pt>
                <c:pt idx="6">
                  <c:v>-1.2800032200166485</c:v>
                </c:pt>
                <c:pt idx="7">
                  <c:v>1.2054133895758909</c:v>
                </c:pt>
                <c:pt idx="8">
                  <c:v>0.27459189746795337</c:v>
                </c:pt>
                <c:pt idx="9">
                  <c:v>0.1524056248528837</c:v>
                </c:pt>
                <c:pt idx="10">
                  <c:v>-1.1192439653094886</c:v>
                </c:pt>
                <c:pt idx="11">
                  <c:v>1.0366046233363364</c:v>
                </c:pt>
                <c:pt idx="12">
                  <c:v>-1.1915971787247441</c:v>
                </c:pt>
                <c:pt idx="13">
                  <c:v>1.1025367056009348</c:v>
                </c:pt>
                <c:pt idx="14">
                  <c:v>-0.78646537878744494</c:v>
                </c:pt>
              </c:numCache>
            </c:numRef>
          </c:yVal>
        </c:ser>
        <c:axId val="290428032"/>
        <c:axId val="290429568"/>
      </c:scatterChart>
      <c:valAx>
        <c:axId val="290428032"/>
        <c:scaling>
          <c:orientation val="minMax"/>
        </c:scaling>
        <c:axPos val="b"/>
        <c:numFmt formatCode="General" sourceLinked="1"/>
        <c:tickLblPos val="nextTo"/>
        <c:crossAx val="290429568"/>
        <c:crosses val="autoZero"/>
        <c:crossBetween val="midCat"/>
      </c:valAx>
      <c:valAx>
        <c:axId val="290429568"/>
        <c:scaling>
          <c:orientation val="minMax"/>
        </c:scaling>
        <c:axPos val="l"/>
        <c:majorGridlines/>
        <c:numFmt formatCode="General" sourceLinked="1"/>
        <c:tickLblPos val="nextTo"/>
        <c:crossAx val="29042803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Studentized 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'Res 1'!$T$32:$T$46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'Res 1'!$U$32:$U$46</c:f>
              <c:numCache>
                <c:formatCode>General</c:formatCode>
                <c:ptCount val="15"/>
                <c:pt idx="0">
                  <c:v>-0.35336731270605498</c:v>
                </c:pt>
                <c:pt idx="1">
                  <c:v>0.87611128018264017</c:v>
                </c:pt>
                <c:pt idx="2">
                  <c:v>-1.3101560983825884</c:v>
                </c:pt>
                <c:pt idx="3">
                  <c:v>-0.43139948969891356</c:v>
                </c:pt>
                <c:pt idx="4">
                  <c:v>1.2944977248762728</c:v>
                </c:pt>
                <c:pt idx="5">
                  <c:v>0.44345901226089324</c:v>
                </c:pt>
                <c:pt idx="6">
                  <c:v>-1.4099863361999463</c:v>
                </c:pt>
                <c:pt idx="7">
                  <c:v>1.2613493026239915</c:v>
                </c:pt>
                <c:pt idx="8">
                  <c:v>0.28931010782196626</c:v>
                </c:pt>
                <c:pt idx="9">
                  <c:v>0.15776103618215834</c:v>
                </c:pt>
                <c:pt idx="10">
                  <c:v>-1.1669524669732534</c:v>
                </c:pt>
                <c:pt idx="11">
                  <c:v>1.1438539062603683</c:v>
                </c:pt>
                <c:pt idx="12">
                  <c:v>-1.2624561672637942</c:v>
                </c:pt>
                <c:pt idx="13">
                  <c:v>1.2144982651184277</c:v>
                </c:pt>
                <c:pt idx="14">
                  <c:v>-0.81668422879101499</c:v>
                </c:pt>
              </c:numCache>
            </c:numRef>
          </c:yVal>
        </c:ser>
        <c:axId val="290449280"/>
        <c:axId val="290450816"/>
      </c:scatterChart>
      <c:valAx>
        <c:axId val="290449280"/>
        <c:scaling>
          <c:orientation val="minMax"/>
        </c:scaling>
        <c:axPos val="b"/>
        <c:numFmt formatCode="General" sourceLinked="1"/>
        <c:tickLblPos val="nextTo"/>
        <c:crossAx val="290450816"/>
        <c:crosses val="autoZero"/>
        <c:crossBetween val="midCat"/>
      </c:valAx>
      <c:valAx>
        <c:axId val="290450816"/>
        <c:scaling>
          <c:orientation val="minMax"/>
        </c:scaling>
        <c:axPos val="l"/>
        <c:majorGridlines/>
        <c:numFmt formatCode="General" sourceLinked="1"/>
        <c:tickLblPos val="nextTo"/>
        <c:crossAx val="29044928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 - 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'Res 1'!$O$56:$O$70</c:f>
              <c:numCache>
                <c:formatCode>General</c:formatCode>
                <c:ptCount val="15"/>
                <c:pt idx="0">
                  <c:v>-10.207619573893297</c:v>
                </c:pt>
                <c:pt idx="1">
                  <c:v>-10.015411064038815</c:v>
                </c:pt>
                <c:pt idx="2">
                  <c:v>-9.502609443114153</c:v>
                </c:pt>
                <c:pt idx="3">
                  <c:v>-8.9256155215816477</c:v>
                </c:pt>
                <c:pt idx="4">
                  <c:v>-6.2718118745011537</c:v>
                </c:pt>
                <c:pt idx="5">
                  <c:v>-2.5794191686621275</c:v>
                </c:pt>
                <c:pt idx="6">
                  <c:v>-2.5668017437220101</c:v>
                </c:pt>
                <c:pt idx="7">
                  <c:v>1.2153865045741838</c:v>
                </c:pt>
                <c:pt idx="8">
                  <c:v>2.189783262724859</c:v>
                </c:pt>
                <c:pt idx="9">
                  <c:v>3.3051820470313658</c:v>
                </c:pt>
                <c:pt idx="10">
                  <c:v>6.7281881254988463</c:v>
                </c:pt>
                <c:pt idx="11">
                  <c:v>8.2665929882728335</c:v>
                </c:pt>
                <c:pt idx="12">
                  <c:v>8.7923804261067033</c:v>
                </c:pt>
                <c:pt idx="13">
                  <c:v>9.6127893411923537</c:v>
                </c:pt>
                <c:pt idx="14">
                  <c:v>9.9589856941118597</c:v>
                </c:pt>
              </c:numCache>
            </c:numRef>
          </c:xVal>
          <c:yVal>
            <c:numRef>
              <c:f>'Res 1'!$P$56:$P$70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</c:ser>
        <c:axId val="292056448"/>
        <c:axId val="292075008"/>
      </c:scatterChart>
      <c:valAx>
        <c:axId val="2920564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92075008"/>
        <c:crosses val="autoZero"/>
        <c:crossBetween val="midCat"/>
      </c:valAx>
      <c:valAx>
        <c:axId val="29207500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9205644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 - y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'Res 1'!$O$80:$O$94</c:f>
              <c:numCache>
                <c:formatCode>General</c:formatCode>
                <c:ptCount val="15"/>
                <c:pt idx="0">
                  <c:v>53</c:v>
                </c:pt>
                <c:pt idx="1">
                  <c:v>58</c:v>
                </c:pt>
                <c:pt idx="2">
                  <c:v>60</c:v>
                </c:pt>
                <c:pt idx="3">
                  <c:v>65</c:v>
                </c:pt>
                <c:pt idx="4">
                  <c:v>68</c:v>
                </c:pt>
                <c:pt idx="5">
                  <c:v>72</c:v>
                </c:pt>
                <c:pt idx="6">
                  <c:v>73</c:v>
                </c:pt>
                <c:pt idx="7">
                  <c:v>75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84</c:v>
                </c:pt>
                <c:pt idx="13">
                  <c:v>85</c:v>
                </c:pt>
                <c:pt idx="14">
                  <c:v>92</c:v>
                </c:pt>
              </c:numCache>
            </c:numRef>
          </c:xVal>
          <c:yVal>
            <c:numRef>
              <c:f>'Res 1'!$P$80:$P$94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</c:ser>
        <c:axId val="292112256"/>
        <c:axId val="292114432"/>
      </c:scatterChart>
      <c:valAx>
        <c:axId val="292112256"/>
        <c:scaling>
          <c:orientation val="minMax"/>
          <c:min val="5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92114432"/>
        <c:crosses val="autoZero"/>
        <c:crossBetween val="midCat"/>
      </c:valAx>
      <c:valAx>
        <c:axId val="29211443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9211225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 - Studentized 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'Res 1'!$O$104:$O$118</c:f>
              <c:numCache>
                <c:formatCode>General</c:formatCode>
                <c:ptCount val="15"/>
                <c:pt idx="0">
                  <c:v>-4.4098569762515689</c:v>
                </c:pt>
                <c:pt idx="1">
                  <c:v>-3.9547885483193022</c:v>
                </c:pt>
                <c:pt idx="2">
                  <c:v>-3.6074996744649384</c:v>
                </c:pt>
                <c:pt idx="3">
                  <c:v>-3.0521593017915123</c:v>
                </c:pt>
                <c:pt idx="4">
                  <c:v>-2.9181511633249473</c:v>
                </c:pt>
                <c:pt idx="5">
                  <c:v>-0.80323912920398621</c:v>
                </c:pt>
                <c:pt idx="6">
                  <c:v>-0.48341021558419511</c:v>
                </c:pt>
                <c:pt idx="7">
                  <c:v>0.58993854401092605</c:v>
                </c:pt>
                <c:pt idx="8">
                  <c:v>0.87201107950729451</c:v>
                </c:pt>
                <c:pt idx="9">
                  <c:v>1.1652422147908958</c:v>
                </c:pt>
                <c:pt idx="10">
                  <c:v>2.4519555167106906</c:v>
                </c:pt>
                <c:pt idx="11">
                  <c:v>2.6289915595077131</c:v>
                </c:pt>
                <c:pt idx="12">
                  <c:v>3.1304940898048206</c:v>
                </c:pt>
                <c:pt idx="13">
                  <c:v>4.0931940220702412</c:v>
                </c:pt>
                <c:pt idx="14">
                  <c:v>4.7432418796866473</c:v>
                </c:pt>
              </c:numCache>
            </c:numRef>
          </c:xVal>
          <c:yVal>
            <c:numRef>
              <c:f>'Res 1'!$P$104:$P$118</c:f>
              <c:numCache>
                <c:formatCode>General</c:formatCode>
                <c:ptCount val="15"/>
                <c:pt idx="0">
                  <c:v>-1.8339146358159142</c:v>
                </c:pt>
                <c:pt idx="1">
                  <c:v>-1.2815515655446006</c:v>
                </c:pt>
                <c:pt idx="2">
                  <c:v>-0.96742156610170071</c:v>
                </c:pt>
                <c:pt idx="3">
                  <c:v>-0.72791329088164469</c:v>
                </c:pt>
                <c:pt idx="4">
                  <c:v>-0.52440051270804089</c:v>
                </c:pt>
                <c:pt idx="5">
                  <c:v>-0.34069482708779553</c:v>
                </c:pt>
                <c:pt idx="6">
                  <c:v>-0.16789400478810546</c:v>
                </c:pt>
                <c:pt idx="7">
                  <c:v>0</c:v>
                </c:pt>
                <c:pt idx="8">
                  <c:v>0.16789400478810546</c:v>
                </c:pt>
                <c:pt idx="9">
                  <c:v>0.34069482708779542</c:v>
                </c:pt>
                <c:pt idx="10">
                  <c:v>0.52440051270804078</c:v>
                </c:pt>
                <c:pt idx="11">
                  <c:v>0.72791329088164458</c:v>
                </c:pt>
                <c:pt idx="12">
                  <c:v>0.96742156610170071</c:v>
                </c:pt>
                <c:pt idx="13">
                  <c:v>1.2815515655446006</c:v>
                </c:pt>
                <c:pt idx="14">
                  <c:v>1.8339146358159142</c:v>
                </c:pt>
              </c:numCache>
            </c:numRef>
          </c:yVal>
        </c:ser>
        <c:axId val="292155776"/>
        <c:axId val="292157696"/>
      </c:scatterChart>
      <c:valAx>
        <c:axId val="2921557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92157696"/>
        <c:crosses val="autoZero"/>
        <c:crossBetween val="midCat"/>
      </c:valAx>
      <c:valAx>
        <c:axId val="29215769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9215577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</c:trendline>
          <c:xVal>
            <c:numRef>
              <c:f>'Res 2'!$B$31:$B$41</c:f>
              <c:numCache>
                <c:formatCode>General</c:formatCode>
                <c:ptCount val="11"/>
                <c:pt idx="0">
                  <c:v>25</c:v>
                </c:pt>
                <c:pt idx="1">
                  <c:v>33</c:v>
                </c:pt>
                <c:pt idx="2">
                  <c:v>38</c:v>
                </c:pt>
                <c:pt idx="3">
                  <c:v>38</c:v>
                </c:pt>
                <c:pt idx="4">
                  <c:v>43</c:v>
                </c:pt>
                <c:pt idx="5">
                  <c:v>49</c:v>
                </c:pt>
                <c:pt idx="6">
                  <c:v>51</c:v>
                </c:pt>
                <c:pt idx="7">
                  <c:v>51</c:v>
                </c:pt>
                <c:pt idx="8">
                  <c:v>55</c:v>
                </c:pt>
                <c:pt idx="9">
                  <c:v>65</c:v>
                </c:pt>
                <c:pt idx="10">
                  <c:v>71</c:v>
                </c:pt>
              </c:numCache>
            </c:numRef>
          </c:xVal>
          <c:yVal>
            <c:numRef>
              <c:f>'Res 2'!$C$31:$C$41</c:f>
              <c:numCache>
                <c:formatCode>General</c:formatCode>
                <c:ptCount val="11"/>
                <c:pt idx="0">
                  <c:v>-1.6906216295848977</c:v>
                </c:pt>
                <c:pt idx="1">
                  <c:v>-1.096803562093513</c:v>
                </c:pt>
                <c:pt idx="2">
                  <c:v>-0.74785859476330196</c:v>
                </c:pt>
                <c:pt idx="3">
                  <c:v>-0.47278912099226744</c:v>
                </c:pt>
                <c:pt idx="4">
                  <c:v>-0.22988411757923208</c:v>
                </c:pt>
                <c:pt idx="5">
                  <c:v>0</c:v>
                </c:pt>
                <c:pt idx="6">
                  <c:v>0.22988411757923222</c:v>
                </c:pt>
                <c:pt idx="7">
                  <c:v>0.47278912099226728</c:v>
                </c:pt>
                <c:pt idx="8">
                  <c:v>0.74785859476330196</c:v>
                </c:pt>
                <c:pt idx="9">
                  <c:v>1.096803562093513</c:v>
                </c:pt>
                <c:pt idx="10">
                  <c:v>1.6906216295848984</c:v>
                </c:pt>
              </c:numCache>
            </c:numRef>
          </c:yVal>
        </c:ser>
        <c:axId val="292797440"/>
        <c:axId val="293217408"/>
      </c:scatterChart>
      <c:valAx>
        <c:axId val="292797440"/>
        <c:scaling>
          <c:orientation val="minMax"/>
          <c:min val="2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</c:title>
        <c:numFmt formatCode="General" sourceLinked="1"/>
        <c:tickLblPos val="nextTo"/>
        <c:crossAx val="293217408"/>
        <c:crosses val="autoZero"/>
        <c:crossBetween val="midCat"/>
      </c:valAx>
      <c:valAx>
        <c:axId val="29321740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</c:title>
        <c:numFmt formatCode="General" sourceLinked="1"/>
        <c:tickLblPos val="nextTo"/>
        <c:crossAx val="29279744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'Res 2'!$S$27:$S$37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'Res 2'!$T$27:$T$37</c:f>
              <c:numCache>
                <c:formatCode>General</c:formatCode>
                <c:ptCount val="11"/>
                <c:pt idx="0">
                  <c:v>10.189500375171463</c:v>
                </c:pt>
                <c:pt idx="1">
                  <c:v>-4.7461771326554327</c:v>
                </c:pt>
                <c:pt idx="2">
                  <c:v>-5.2951693446143224</c:v>
                </c:pt>
                <c:pt idx="3">
                  <c:v>-6.6721260575952073</c:v>
                </c:pt>
                <c:pt idx="4">
                  <c:v>-2.0842453879789105</c:v>
                </c:pt>
                <c:pt idx="5">
                  <c:v>1.7384925871303665</c:v>
                </c:pt>
                <c:pt idx="6">
                  <c:v>3.6674428833864141</c:v>
                </c:pt>
                <c:pt idx="7">
                  <c:v>-1.0924732852078947</c:v>
                </c:pt>
                <c:pt idx="8">
                  <c:v>3.7773810447877594</c:v>
                </c:pt>
                <c:pt idx="9">
                  <c:v>4.8432042226190006</c:v>
                </c:pt>
                <c:pt idx="10">
                  <c:v>-4.3258299050427382</c:v>
                </c:pt>
              </c:numCache>
            </c:numRef>
          </c:yVal>
        </c:ser>
        <c:axId val="293241600"/>
        <c:axId val="293243136"/>
      </c:scatterChart>
      <c:valAx>
        <c:axId val="293241600"/>
        <c:scaling>
          <c:orientation val="minMax"/>
        </c:scaling>
        <c:axPos val="b"/>
        <c:numFmt formatCode="General" sourceLinked="1"/>
        <c:tickLblPos val="nextTo"/>
        <c:crossAx val="293243136"/>
        <c:crosses val="autoZero"/>
        <c:crossBetween val="midCat"/>
      </c:valAx>
      <c:valAx>
        <c:axId val="293243136"/>
        <c:scaling>
          <c:orientation val="minMax"/>
        </c:scaling>
        <c:axPos val="l"/>
        <c:majorGridlines/>
        <c:numFmt formatCode="General" sourceLinked="1"/>
        <c:tickLblPos val="nextTo"/>
        <c:crossAx val="29324160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Std 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'Res 2'!$V$27:$V$37</c:f>
              <c:numCache>
                <c:formatCode>General</c:formatCode>
                <c:ptCount val="11"/>
                <c:pt idx="0">
                  <c:v>7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</c:numCache>
            </c:numRef>
          </c:xVal>
          <c:yVal>
            <c:numRef>
              <c:f>'Res 2'!$W$27:$W$37</c:f>
              <c:numCache>
                <c:formatCode>General</c:formatCode>
                <c:ptCount val="11"/>
                <c:pt idx="0">
                  <c:v>0.72498805947326206</c:v>
                </c:pt>
                <c:pt idx="1">
                  <c:v>-0.33769288214608184</c:v>
                </c:pt>
                <c:pt idx="2">
                  <c:v>-0.37675395322507593</c:v>
                </c:pt>
                <c:pt idx="3">
                  <c:v>-0.47472511359277891</c:v>
                </c:pt>
                <c:pt idx="4">
                  <c:v>-0.14829510414258162</c:v>
                </c:pt>
                <c:pt idx="5">
                  <c:v>0.12369461904368265</c:v>
                </c:pt>
                <c:pt idx="6">
                  <c:v>0.26094039956405612</c:v>
                </c:pt>
                <c:pt idx="7">
                  <c:v>-7.7730021876163222E-2</c:v>
                </c:pt>
                <c:pt idx="8">
                  <c:v>0.26876255485742384</c:v>
                </c:pt>
                <c:pt idx="9">
                  <c:v>0.34459640823460619</c:v>
                </c:pt>
                <c:pt idx="10">
                  <c:v>-0.30778496619031398</c:v>
                </c:pt>
              </c:numCache>
            </c:numRef>
          </c:yVal>
        </c:ser>
        <c:axId val="293406208"/>
        <c:axId val="293407744"/>
      </c:scatterChart>
      <c:valAx>
        <c:axId val="293406208"/>
        <c:scaling>
          <c:orientation val="minMax"/>
        </c:scaling>
        <c:axPos val="b"/>
        <c:numFmt formatCode="General" sourceLinked="1"/>
        <c:tickLblPos val="nextTo"/>
        <c:crossAx val="293407744"/>
        <c:crosses val="autoZero"/>
        <c:crossBetween val="midCat"/>
      </c:valAx>
      <c:valAx>
        <c:axId val="293407744"/>
        <c:scaling>
          <c:orientation val="minMax"/>
        </c:scaling>
        <c:axPos val="l"/>
        <c:majorGridlines/>
        <c:numFmt formatCode="General" sourceLinked="1"/>
        <c:tickLblPos val="nextTo"/>
        <c:crossAx val="29340620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Studentized 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'Res 2'!$Z$27:$Z$37</c:f>
              <c:numCache>
                <c:formatCode>General</c:formatCode>
                <c:ptCount val="11"/>
                <c:pt idx="0">
                  <c:v>65</c:v>
                </c:pt>
                <c:pt idx="1">
                  <c:v>38</c:v>
                </c:pt>
                <c:pt idx="2">
                  <c:v>51</c:v>
                </c:pt>
                <c:pt idx="3">
                  <c:v>38</c:v>
                </c:pt>
                <c:pt idx="4">
                  <c:v>55</c:v>
                </c:pt>
                <c:pt idx="5">
                  <c:v>43</c:v>
                </c:pt>
                <c:pt idx="6">
                  <c:v>25</c:v>
                </c:pt>
                <c:pt idx="7">
                  <c:v>33</c:v>
                </c:pt>
                <c:pt idx="8">
                  <c:v>71</c:v>
                </c:pt>
                <c:pt idx="9">
                  <c:v>51</c:v>
                </c:pt>
                <c:pt idx="10">
                  <c:v>49</c:v>
                </c:pt>
              </c:numCache>
            </c:numRef>
          </c:xVal>
          <c:yVal>
            <c:numRef>
              <c:f>'Res 2'!$Y$27:$Y$37</c:f>
              <c:numCache>
                <c:formatCode>General</c:formatCode>
                <c:ptCount val="11"/>
                <c:pt idx="0">
                  <c:v>0.77626092500939581</c:v>
                </c:pt>
                <c:pt idx="1">
                  <c:v>-0.40091962202771336</c:v>
                </c:pt>
                <c:pt idx="2">
                  <c:v>-0.44873662056771335</c:v>
                </c:pt>
                <c:pt idx="3">
                  <c:v>-0.55452191252345118</c:v>
                </c:pt>
                <c:pt idx="4">
                  <c:v>-0.17085594259939102</c:v>
                </c:pt>
                <c:pt idx="5">
                  <c:v>0.13147122406662365</c:v>
                </c:pt>
                <c:pt idx="6">
                  <c:v>0.39888040416573833</c:v>
                </c:pt>
                <c:pt idx="7">
                  <c:v>-9.7779885651430545E-2</c:v>
                </c:pt>
                <c:pt idx="8">
                  <c:v>0.33504257588057895</c:v>
                </c:pt>
                <c:pt idx="9">
                  <c:v>0.36166007666644429</c:v>
                </c:pt>
                <c:pt idx="10">
                  <c:v>-0.36006771891297884</c:v>
                </c:pt>
              </c:numCache>
            </c:numRef>
          </c:yVal>
        </c:ser>
        <c:axId val="293435648"/>
        <c:axId val="293437440"/>
      </c:scatterChart>
      <c:valAx>
        <c:axId val="293435648"/>
        <c:scaling>
          <c:orientation val="minMax"/>
          <c:min val="20"/>
        </c:scaling>
        <c:axPos val="b"/>
        <c:numFmt formatCode="General" sourceLinked="1"/>
        <c:tickLblPos val="nextTo"/>
        <c:crossAx val="293437440"/>
        <c:crosses val="autoZero"/>
        <c:crossBetween val="midCat"/>
      </c:valAx>
      <c:valAx>
        <c:axId val="293437440"/>
        <c:scaling>
          <c:orientation val="minMax"/>
        </c:scaling>
        <c:axPos val="l"/>
        <c:majorGridlines/>
        <c:numFmt formatCode="General" sourceLinked="1"/>
        <c:tickLblPos val="nextTo"/>
        <c:crossAx val="29343564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'Res 2'!$S$60:$S$70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'Res 2'!$T$60:$T$70</c:f>
              <c:numCache>
                <c:formatCode>General</c:formatCode>
                <c:ptCount val="11"/>
                <c:pt idx="0">
                  <c:v>10.189500375171463</c:v>
                </c:pt>
                <c:pt idx="1">
                  <c:v>-4.7461771326554327</c:v>
                </c:pt>
                <c:pt idx="2">
                  <c:v>-5.2951693446143224</c:v>
                </c:pt>
                <c:pt idx="3">
                  <c:v>-6.6721260575952073</c:v>
                </c:pt>
                <c:pt idx="4">
                  <c:v>-2.0842453879789105</c:v>
                </c:pt>
                <c:pt idx="5">
                  <c:v>1.7384925871303665</c:v>
                </c:pt>
                <c:pt idx="6">
                  <c:v>3.6674428833864141</c:v>
                </c:pt>
                <c:pt idx="7">
                  <c:v>-1.0924732852078947</c:v>
                </c:pt>
                <c:pt idx="8">
                  <c:v>3.7773810447877594</c:v>
                </c:pt>
                <c:pt idx="9">
                  <c:v>4.8432042226190006</c:v>
                </c:pt>
                <c:pt idx="10">
                  <c:v>-4.3258299050427382</c:v>
                </c:pt>
              </c:numCache>
            </c:numRef>
          </c:yVal>
        </c:ser>
        <c:axId val="293452800"/>
        <c:axId val="293274368"/>
      </c:scatterChart>
      <c:valAx>
        <c:axId val="293452800"/>
        <c:scaling>
          <c:orientation val="minMax"/>
        </c:scaling>
        <c:axPos val="b"/>
        <c:numFmt formatCode="General" sourceLinked="1"/>
        <c:tickLblPos val="nextTo"/>
        <c:crossAx val="293274368"/>
        <c:crosses val="autoZero"/>
        <c:crossBetween val="midCat"/>
      </c:valAx>
      <c:valAx>
        <c:axId val="293274368"/>
        <c:scaling>
          <c:orientation val="minMax"/>
        </c:scaling>
        <c:axPos val="l"/>
        <c:majorGridlines/>
        <c:numFmt formatCode="General" sourceLinked="1"/>
        <c:tickLblPos val="nextTo"/>
        <c:crossAx val="29345280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Std 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'Res 2'!$V$60:$V$70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'Res 2'!$W$60:$W$70</c:f>
              <c:numCache>
                <c:formatCode>General</c:formatCode>
                <c:ptCount val="11"/>
                <c:pt idx="0">
                  <c:v>0.72498805947326206</c:v>
                </c:pt>
                <c:pt idx="1">
                  <c:v>-0.33769288214608184</c:v>
                </c:pt>
                <c:pt idx="2">
                  <c:v>-0.37675395322507593</c:v>
                </c:pt>
                <c:pt idx="3">
                  <c:v>-0.47472511359277891</c:v>
                </c:pt>
                <c:pt idx="4">
                  <c:v>-0.14829510414258162</c:v>
                </c:pt>
                <c:pt idx="5">
                  <c:v>0.12369461904368265</c:v>
                </c:pt>
                <c:pt idx="6">
                  <c:v>0.26094039956405612</c:v>
                </c:pt>
                <c:pt idx="7">
                  <c:v>-7.7730021876163222E-2</c:v>
                </c:pt>
                <c:pt idx="8">
                  <c:v>0.26876255485742384</c:v>
                </c:pt>
                <c:pt idx="9">
                  <c:v>0.34459640823460619</c:v>
                </c:pt>
                <c:pt idx="10">
                  <c:v>-0.30778496619031398</c:v>
                </c:pt>
              </c:numCache>
            </c:numRef>
          </c:yVal>
        </c:ser>
        <c:axId val="293326848"/>
        <c:axId val="293328384"/>
      </c:scatterChart>
      <c:valAx>
        <c:axId val="293326848"/>
        <c:scaling>
          <c:orientation val="minMax"/>
        </c:scaling>
        <c:axPos val="b"/>
        <c:numFmt formatCode="General" sourceLinked="1"/>
        <c:tickLblPos val="nextTo"/>
        <c:crossAx val="293328384"/>
        <c:crosses val="autoZero"/>
        <c:crossBetween val="midCat"/>
      </c:valAx>
      <c:valAx>
        <c:axId val="293328384"/>
        <c:scaling>
          <c:orientation val="minMax"/>
        </c:scaling>
        <c:axPos val="l"/>
        <c:majorGridlines/>
        <c:numFmt formatCode="General" sourceLinked="1"/>
        <c:tickLblPos val="nextTo"/>
        <c:crossAx val="293326848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Studentized Residuals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'Res 2'!$Y$60:$Y$70</c:f>
              <c:numCache>
                <c:formatCode>General</c:formatCode>
                <c:ptCount val="11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2</c:v>
                </c:pt>
              </c:numCache>
            </c:numRef>
          </c:xVal>
          <c:yVal>
            <c:numRef>
              <c:f>'Res 2'!$Z$60:$Z$70</c:f>
              <c:numCache>
                <c:formatCode>General</c:formatCode>
                <c:ptCount val="11"/>
                <c:pt idx="0">
                  <c:v>0.72498805947326206</c:v>
                </c:pt>
                <c:pt idx="1">
                  <c:v>-0.33769288214608184</c:v>
                </c:pt>
                <c:pt idx="2">
                  <c:v>-0.37675395322507593</c:v>
                </c:pt>
                <c:pt idx="3">
                  <c:v>-0.47472511359277891</c:v>
                </c:pt>
                <c:pt idx="4">
                  <c:v>-0.14829510414258162</c:v>
                </c:pt>
                <c:pt idx="5">
                  <c:v>0.12369461904368265</c:v>
                </c:pt>
                <c:pt idx="6">
                  <c:v>0.26094039956405612</c:v>
                </c:pt>
                <c:pt idx="7">
                  <c:v>-7.7730021876163222E-2</c:v>
                </c:pt>
                <c:pt idx="8">
                  <c:v>0.26876255485742384</c:v>
                </c:pt>
                <c:pt idx="9">
                  <c:v>0.34459640823460619</c:v>
                </c:pt>
                <c:pt idx="10">
                  <c:v>-0.30778496619031398</c:v>
                </c:pt>
              </c:numCache>
            </c:numRef>
          </c:yVal>
        </c:ser>
        <c:axId val="293344000"/>
        <c:axId val="293345536"/>
      </c:scatterChart>
      <c:valAx>
        <c:axId val="293344000"/>
        <c:scaling>
          <c:orientation val="minMax"/>
        </c:scaling>
        <c:axPos val="b"/>
        <c:numFmt formatCode="General" sourceLinked="1"/>
        <c:tickLblPos val="nextTo"/>
        <c:crossAx val="293345536"/>
        <c:crosses val="autoZero"/>
        <c:crossBetween val="midCat"/>
      </c:valAx>
      <c:valAx>
        <c:axId val="293345536"/>
        <c:scaling>
          <c:orientation val="minMax"/>
        </c:scaling>
        <c:axPos val="l"/>
        <c:majorGridlines/>
        <c:numFmt formatCode="General" sourceLinked="1"/>
        <c:tickLblPos val="nextTo"/>
        <c:crossAx val="29334400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Longevity</a:t>
            </a:r>
            <a:r>
              <a:rPr lang="en-US" baseline="0"/>
              <a:t> vs Smoking - Version 1</a:t>
            </a:r>
            <a:endParaRPr lang="en-US"/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'Cooks 1'!$B$5</c:f>
              <c:strCache>
                <c:ptCount val="1"/>
                <c:pt idx="0">
                  <c:v>Life Exp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</c:trendline>
          <c:xVal>
            <c:numRef>
              <c:f>'Cooks 1'!$A$6:$A$20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'Cooks 1'!$B$6:$B$20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53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</c:ser>
        <c:axId val="293517952"/>
        <c:axId val="293720832"/>
      </c:scatterChart>
      <c:valAx>
        <c:axId val="293517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Cigarettes smoked (per day)</a:t>
                </a:r>
              </a:p>
            </c:rich>
          </c:tx>
        </c:title>
        <c:numFmt formatCode="General" sourceLinked="1"/>
        <c:tickLblPos val="nextTo"/>
        <c:crossAx val="293720832"/>
        <c:crosses val="autoZero"/>
        <c:crossBetween val="midCat"/>
      </c:valAx>
      <c:valAx>
        <c:axId val="293720832"/>
        <c:scaling>
          <c:orientation val="minMax"/>
          <c:min val="5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Life Expectancy (years)</a:t>
                </a:r>
              </a:p>
            </c:rich>
          </c:tx>
        </c:title>
        <c:numFmt formatCode="General" sourceLinked="1"/>
        <c:tickLblPos val="nextTo"/>
        <c:crossAx val="29351795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Longevity</a:t>
            </a:r>
            <a:r>
              <a:rPr lang="en-US" baseline="0"/>
              <a:t> vs Smoking - Version 2</a:t>
            </a:r>
            <a:endParaRPr lang="en-US"/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'Cooks 1'!$B$28</c:f>
              <c:strCache>
                <c:ptCount val="1"/>
                <c:pt idx="0">
                  <c:v>Life Exp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</c:trendline>
          <c:xVal>
            <c:numRef>
              <c:f>'Cooks 1'!$A$29:$A$43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'Cooks 1'!$B$29:$B$43</c:f>
              <c:numCache>
                <c:formatCode>General</c:formatCode>
                <c:ptCount val="15"/>
                <c:pt idx="0">
                  <c:v>80</c:v>
                </c:pt>
                <c:pt idx="1">
                  <c:v>78</c:v>
                </c:pt>
                <c:pt idx="2">
                  <c:v>60</c:v>
                </c:pt>
                <c:pt idx="3">
                  <c:v>83</c:v>
                </c:pt>
                <c:pt idx="4">
                  <c:v>85</c:v>
                </c:pt>
                <c:pt idx="5">
                  <c:v>84</c:v>
                </c:pt>
                <c:pt idx="6">
                  <c:v>73</c:v>
                </c:pt>
                <c:pt idx="7">
                  <c:v>79</c:v>
                </c:pt>
                <c:pt idx="8">
                  <c:v>81</c:v>
                </c:pt>
                <c:pt idx="9">
                  <c:v>75</c:v>
                </c:pt>
                <c:pt idx="10">
                  <c:v>68</c:v>
                </c:pt>
                <c:pt idx="11">
                  <c:v>72</c:v>
                </c:pt>
                <c:pt idx="12">
                  <c:v>58</c:v>
                </c:pt>
                <c:pt idx="13">
                  <c:v>92</c:v>
                </c:pt>
                <c:pt idx="14">
                  <c:v>65</c:v>
                </c:pt>
              </c:numCache>
            </c:numRef>
          </c:yVal>
        </c:ser>
        <c:axId val="241788032"/>
        <c:axId val="241789952"/>
      </c:scatterChart>
      <c:valAx>
        <c:axId val="2417880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Cigarettes smoked (per day)</a:t>
                </a:r>
              </a:p>
            </c:rich>
          </c:tx>
        </c:title>
        <c:numFmt formatCode="General" sourceLinked="1"/>
        <c:tickLblPos val="nextTo"/>
        <c:crossAx val="241789952"/>
        <c:crosses val="autoZero"/>
        <c:crossBetween val="midCat"/>
      </c:valAx>
      <c:valAx>
        <c:axId val="241789952"/>
        <c:scaling>
          <c:orientation val="minMax"/>
          <c:min val="5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Life Expectancy (years)</a:t>
                </a:r>
              </a:p>
            </c:rich>
          </c:tx>
        </c:title>
        <c:numFmt formatCode="General" sourceLinked="1"/>
        <c:tickLblPos val="nextTo"/>
        <c:crossAx val="24178803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 sz="1600"/>
              <a:t>Studentized Residuals - Version 2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'Cooks 1'!$W$66</c:f>
              <c:strCache>
                <c:ptCount val="1"/>
                <c:pt idx="0">
                  <c:v>RStudent</c:v>
                </c:pt>
              </c:strCache>
            </c:strRef>
          </c:tx>
          <c:spPr>
            <a:ln w="28575">
              <a:noFill/>
            </a:ln>
          </c:spPr>
          <c:xVal>
            <c:numRef>
              <c:f>'Cooks 1'!$V$67:$V$81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'Cooks 1'!$W$67:$W$81</c:f>
              <c:numCache>
                <c:formatCode>General</c:formatCode>
                <c:ptCount val="15"/>
                <c:pt idx="0">
                  <c:v>0.14623230177453703</c:v>
                </c:pt>
                <c:pt idx="1">
                  <c:v>0.41656011578665819</c:v>
                </c:pt>
                <c:pt idx="2">
                  <c:v>-2.0878910978328102</c:v>
                </c:pt>
                <c:pt idx="3">
                  <c:v>3.0335704242792341</c:v>
                </c:pt>
                <c:pt idx="4">
                  <c:v>1.1745697221543929</c:v>
                </c:pt>
                <c:pt idx="5">
                  <c:v>0.76700036126600379</c:v>
                </c:pt>
                <c:pt idx="6">
                  <c:v>-0.8359285807354262</c:v>
                </c:pt>
                <c:pt idx="7">
                  <c:v>0.64172189954042136</c:v>
                </c:pt>
                <c:pt idx="8">
                  <c:v>0.44909462967616182</c:v>
                </c:pt>
                <c:pt idx="9">
                  <c:v>-7.8160390167444527E-2</c:v>
                </c:pt>
                <c:pt idx="10">
                  <c:v>-1.1651995306055807</c:v>
                </c:pt>
                <c:pt idx="11">
                  <c:v>1.3696739817148742E-2</c:v>
                </c:pt>
                <c:pt idx="12">
                  <c:v>-2.3634766178487125</c:v>
                </c:pt>
                <c:pt idx="13">
                  <c:v>1.9646219279288331</c:v>
                </c:pt>
                <c:pt idx="14">
                  <c:v>-1.294749553741537</c:v>
                </c:pt>
              </c:numCache>
            </c:numRef>
          </c:yVal>
        </c:ser>
        <c:axId val="241814144"/>
        <c:axId val="293536128"/>
      </c:scatterChart>
      <c:valAx>
        <c:axId val="241814144"/>
        <c:scaling>
          <c:orientation val="minMax"/>
          <c:max val="50"/>
        </c:scaling>
        <c:axPos val="b"/>
        <c:numFmt formatCode="General" sourceLinked="1"/>
        <c:tickLblPos val="nextTo"/>
        <c:crossAx val="293536128"/>
        <c:crosses val="autoZero"/>
        <c:crossBetween val="midCat"/>
      </c:valAx>
      <c:valAx>
        <c:axId val="293536128"/>
        <c:scaling>
          <c:orientation val="minMax"/>
        </c:scaling>
        <c:axPos val="l"/>
        <c:majorGridlines/>
        <c:numFmt formatCode="General" sourceLinked="1"/>
        <c:tickLblPos val="nextTo"/>
        <c:crossAx val="24181414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 sz="1600" b="1" i="0" baseline="0">
                <a:effectLst/>
              </a:rPr>
              <a:t>Studentized Residuals - Version 1</a:t>
            </a:r>
            <a:endParaRPr lang="it-IT" sz="1600">
              <a:effectLst/>
            </a:endParaRPr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'Cooks 1'!$T$66</c:f>
              <c:strCache>
                <c:ptCount val="1"/>
                <c:pt idx="0">
                  <c:v>RStudent</c:v>
                </c:pt>
              </c:strCache>
            </c:strRef>
          </c:tx>
          <c:spPr>
            <a:ln w="28575">
              <a:noFill/>
            </a:ln>
          </c:spPr>
          <c:xVal>
            <c:numRef>
              <c:f>'Cooks 1'!$S$67:$S$81</c:f>
              <c:numCache>
                <c:formatCode>General</c:formatCode>
                <c:ptCount val="15"/>
                <c:pt idx="0">
                  <c:v>5</c:v>
                </c:pt>
                <c:pt idx="1">
                  <c:v>23</c:v>
                </c:pt>
                <c:pt idx="2">
                  <c:v>25</c:v>
                </c:pt>
                <c:pt idx="3">
                  <c:v>48</c:v>
                </c:pt>
                <c:pt idx="4">
                  <c:v>17</c:v>
                </c:pt>
                <c:pt idx="5">
                  <c:v>8</c:v>
                </c:pt>
                <c:pt idx="6">
                  <c:v>4</c:v>
                </c:pt>
                <c:pt idx="7">
                  <c:v>26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35</c:v>
                </c:pt>
                <c:pt idx="12">
                  <c:v>29</c:v>
                </c:pt>
                <c:pt idx="13">
                  <c:v>4</c:v>
                </c:pt>
                <c:pt idx="14">
                  <c:v>23</c:v>
                </c:pt>
              </c:numCache>
            </c:numRef>
          </c:xVal>
          <c:yVal>
            <c:numRef>
              <c:f>'Cooks 1'!$T$67:$T$81</c:f>
              <c:numCache>
                <c:formatCode>General</c:formatCode>
                <c:ptCount val="15"/>
                <c:pt idx="0">
                  <c:v>-0.34114668806182424</c:v>
                </c:pt>
                <c:pt idx="1">
                  <c:v>0.8677478429535036</c:v>
                </c:pt>
                <c:pt idx="2">
                  <c:v>-1.3511137768141768</c:v>
                </c:pt>
                <c:pt idx="3">
                  <c:v>-0.41747423579741882</c:v>
                </c:pt>
                <c:pt idx="4">
                  <c:v>1.3325597725103162</c:v>
                </c:pt>
                <c:pt idx="5">
                  <c:v>0.42932126412379101</c:v>
                </c:pt>
                <c:pt idx="6">
                  <c:v>-1.4718841811600343</c:v>
                </c:pt>
                <c:pt idx="7">
                  <c:v>1.2936066624599454</c:v>
                </c:pt>
                <c:pt idx="8">
                  <c:v>0.27885932646467648</c:v>
                </c:pt>
                <c:pt idx="9">
                  <c:v>0.1517172019269904</c:v>
                </c:pt>
                <c:pt idx="10">
                  <c:v>-1.1849512188942048</c:v>
                </c:pt>
                <c:pt idx="11">
                  <c:v>1.1588420374683235</c:v>
                </c:pt>
                <c:pt idx="12">
                  <c:v>-1.2949003726146766</c:v>
                </c:pt>
                <c:pt idx="13">
                  <c:v>1.2392735154674501</c:v>
                </c:pt>
                <c:pt idx="14">
                  <c:v>-0.80558236972443698</c:v>
                </c:pt>
              </c:numCache>
            </c:numRef>
          </c:yVal>
        </c:ser>
        <c:axId val="293547392"/>
        <c:axId val="293573760"/>
      </c:scatterChart>
      <c:valAx>
        <c:axId val="293547392"/>
        <c:scaling>
          <c:orientation val="minMax"/>
          <c:max val="50"/>
        </c:scaling>
        <c:axPos val="b"/>
        <c:numFmt formatCode="General" sourceLinked="1"/>
        <c:tickLblPos val="nextTo"/>
        <c:crossAx val="293573760"/>
        <c:crosses val="autoZero"/>
        <c:crossBetween val="midCat"/>
      </c:valAx>
      <c:valAx>
        <c:axId val="293573760"/>
        <c:scaling>
          <c:orientation val="minMax"/>
        </c:scaling>
        <c:axPos val="l"/>
        <c:majorGridlines/>
        <c:numFmt formatCode="General" sourceLinked="1"/>
        <c:tickLblPos val="nextTo"/>
        <c:crossAx val="29354739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style val="3"/>
  <c:chart>
    <c:autoTitleDeleted val="1"/>
    <c:plotArea>
      <c:layout/>
      <c:lineChart>
        <c:grouping val="standard"/>
        <c:ser>
          <c:idx val="1"/>
          <c:order val="0"/>
          <c:marker>
            <c:symbol val="none"/>
          </c:marker>
          <c:cat>
            <c:numRef>
              <c:f>'Logit 1'!$D$7:$D$37</c:f>
              <c:numCache>
                <c:formatCode>General</c:formatCode>
                <c:ptCount val="31"/>
                <c:pt idx="0">
                  <c:v>-3</c:v>
                </c:pt>
                <c:pt idx="1">
                  <c:v>-2.8</c:v>
                </c:pt>
                <c:pt idx="2">
                  <c:v>-2.5999999999999996</c:v>
                </c:pt>
                <c:pt idx="3">
                  <c:v>-2.3999999999999995</c:v>
                </c:pt>
                <c:pt idx="4">
                  <c:v>-2.1999999999999993</c:v>
                </c:pt>
                <c:pt idx="5">
                  <c:v>-1.9999999999999993</c:v>
                </c:pt>
                <c:pt idx="6">
                  <c:v>-1.7999999999999994</c:v>
                </c:pt>
                <c:pt idx="7">
                  <c:v>-1.5999999999999994</c:v>
                </c:pt>
                <c:pt idx="8">
                  <c:v>-1.3999999999999995</c:v>
                </c:pt>
                <c:pt idx="9">
                  <c:v>-1.1999999999999995</c:v>
                </c:pt>
                <c:pt idx="10">
                  <c:v>-0.99999999999999956</c:v>
                </c:pt>
                <c:pt idx="11">
                  <c:v>-0.7999999999999996</c:v>
                </c:pt>
                <c:pt idx="12">
                  <c:v>-0.59999999999999964</c:v>
                </c:pt>
                <c:pt idx="13">
                  <c:v>-0.39999999999999963</c:v>
                </c:pt>
                <c:pt idx="14">
                  <c:v>-0.19999999999999962</c:v>
                </c:pt>
                <c:pt idx="15">
                  <c:v>0</c:v>
                </c:pt>
                <c:pt idx="16">
                  <c:v>0.2</c:v>
                </c:pt>
                <c:pt idx="17">
                  <c:v>0.4</c:v>
                </c:pt>
                <c:pt idx="18">
                  <c:v>0.60000000000000009</c:v>
                </c:pt>
                <c:pt idx="19">
                  <c:v>0.8</c:v>
                </c:pt>
                <c:pt idx="20">
                  <c:v>1</c:v>
                </c:pt>
                <c:pt idx="21">
                  <c:v>1.2</c:v>
                </c:pt>
                <c:pt idx="22">
                  <c:v>1.4</c:v>
                </c:pt>
                <c:pt idx="23">
                  <c:v>1.5999999999999999</c:v>
                </c:pt>
                <c:pt idx="24">
                  <c:v>1.7999999999999998</c:v>
                </c:pt>
                <c:pt idx="25">
                  <c:v>1.9999999999999998</c:v>
                </c:pt>
                <c:pt idx="26">
                  <c:v>2.1999999999999997</c:v>
                </c:pt>
                <c:pt idx="27">
                  <c:v>2.4</c:v>
                </c:pt>
                <c:pt idx="28">
                  <c:v>2.6</c:v>
                </c:pt>
                <c:pt idx="29">
                  <c:v>2.8000000000000003</c:v>
                </c:pt>
                <c:pt idx="30">
                  <c:v>3.0000000000000004</c:v>
                </c:pt>
              </c:numCache>
            </c:numRef>
          </c:cat>
          <c:val>
            <c:numRef>
              <c:f>'Logit 1'!$B$7:$B$37</c:f>
              <c:numCache>
                <c:formatCode>General</c:formatCode>
                <c:ptCount val="31"/>
                <c:pt idx="0">
                  <c:v>1.2339457598623172E-4</c:v>
                </c:pt>
                <c:pt idx="1">
                  <c:v>2.0342697805520653E-4</c:v>
                </c:pt>
                <c:pt idx="2">
                  <c:v>3.3535013046647811E-4</c:v>
                </c:pt>
                <c:pt idx="3">
                  <c:v>5.5277863692360053E-4</c:v>
                </c:pt>
                <c:pt idx="4">
                  <c:v>9.1105119440064691E-4</c:v>
                </c:pt>
                <c:pt idx="5">
                  <c:v>1.5011822567369941E-3</c:v>
                </c:pt>
                <c:pt idx="6">
                  <c:v>2.4726231566347808E-3</c:v>
                </c:pt>
                <c:pt idx="7">
                  <c:v>4.0701377158961416E-3</c:v>
                </c:pt>
                <c:pt idx="8">
                  <c:v>6.6928509242848789E-3</c:v>
                </c:pt>
                <c:pt idx="9">
                  <c:v>1.0986942630593218E-2</c:v>
                </c:pt>
                <c:pt idx="10">
                  <c:v>1.7986209962091621E-2</c:v>
                </c:pt>
                <c:pt idx="11">
                  <c:v>2.931223075135642E-2</c:v>
                </c:pt>
                <c:pt idx="12">
                  <c:v>4.7425873177566941E-2</c:v>
                </c:pt>
                <c:pt idx="13">
                  <c:v>7.5858180021243796E-2</c:v>
                </c:pt>
                <c:pt idx="14">
                  <c:v>0.11920292202211794</c:v>
                </c:pt>
                <c:pt idx="15">
                  <c:v>0.18242552380635688</c:v>
                </c:pt>
                <c:pt idx="16">
                  <c:v>0.26894142136999571</c:v>
                </c:pt>
                <c:pt idx="17">
                  <c:v>0.37754066879814618</c:v>
                </c:pt>
                <c:pt idx="18">
                  <c:v>0.50000000000000078</c:v>
                </c:pt>
                <c:pt idx="19">
                  <c:v>0.62245933120185537</c:v>
                </c:pt>
                <c:pt idx="20">
                  <c:v>0.7310585786300049</c:v>
                </c:pt>
                <c:pt idx="21">
                  <c:v>0.81757447619364365</c:v>
                </c:pt>
                <c:pt idx="22">
                  <c:v>0.88079707797788231</c:v>
                </c:pt>
                <c:pt idx="23">
                  <c:v>0.92414181997875655</c:v>
                </c:pt>
                <c:pt idx="24">
                  <c:v>0.95257412682243336</c:v>
                </c:pt>
                <c:pt idx="25">
                  <c:v>0.97068776924864364</c:v>
                </c:pt>
                <c:pt idx="26">
                  <c:v>0.98201379003790845</c:v>
                </c:pt>
                <c:pt idx="27">
                  <c:v>0.98901305736940681</c:v>
                </c:pt>
                <c:pt idx="28">
                  <c:v>0.99330714907571527</c:v>
                </c:pt>
                <c:pt idx="29">
                  <c:v>0.99592986228410396</c:v>
                </c:pt>
                <c:pt idx="30">
                  <c:v>0.99752737684336534</c:v>
                </c:pt>
              </c:numCache>
            </c:numRef>
          </c:val>
        </c:ser>
        <c:marker val="1"/>
        <c:axId val="293037184"/>
        <c:axId val="293038720"/>
      </c:lineChart>
      <c:catAx>
        <c:axId val="293037184"/>
        <c:scaling>
          <c:orientation val="minMax"/>
        </c:scaling>
        <c:axPos val="b"/>
        <c:numFmt formatCode="#,##0.0" sourceLinked="0"/>
        <c:majorTickMark val="none"/>
        <c:tickLblPos val="nextTo"/>
        <c:crossAx val="293038720"/>
        <c:crosses val="autoZero"/>
        <c:auto val="1"/>
        <c:lblAlgn val="ctr"/>
        <c:lblOffset val="100"/>
      </c:catAx>
      <c:valAx>
        <c:axId val="293038720"/>
        <c:scaling>
          <c:orientation val="minMax"/>
          <c:max val="1"/>
        </c:scaling>
        <c:axPos val="l"/>
        <c:majorGridlines/>
        <c:numFmt formatCode="General" sourceLinked="1"/>
        <c:majorTickMark val="none"/>
        <c:tickLblPos val="nextTo"/>
        <c:crossAx val="293037184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Pr>
        <a:bodyPr/>
        <a:lstStyle/>
        <a:p>
          <a:pPr>
            <a:defRPr sz="1400"/>
          </a:pPr>
          <a:endParaRPr lang="es-ES_tradnl"/>
        </a:p>
      </c:txPr>
    </c:title>
    <c:plotArea>
      <c:layout/>
      <c:scatterChart>
        <c:scatterStyle val="lineMarker"/>
        <c:ser>
          <c:idx val="0"/>
          <c:order val="0"/>
          <c:tx>
            <c:strRef>
              <c:f>'Logit 2'!$K$3</c:f>
              <c:strCache>
                <c:ptCount val="1"/>
                <c:pt idx="0">
                  <c:v>P(E)</c:v>
                </c:pt>
              </c:strCache>
            </c:strRef>
          </c:tx>
          <c:spPr>
            <a:ln w="28575">
              <a:noFill/>
            </a:ln>
          </c:spPr>
          <c:xVal>
            <c:numRef>
              <c:f>'Logit 2'!$J$4:$J$13</c:f>
              <c:numCache>
                <c:formatCode>General</c:formatCode>
                <c:ptCount val="10"/>
                <c:pt idx="0">
                  <c:v>50</c:v>
                </c:pt>
                <c:pt idx="1">
                  <c:v>150</c:v>
                </c:pt>
                <c:pt idx="2">
                  <c:v>250</c:v>
                </c:pt>
                <c:pt idx="3">
                  <c:v>350</c:v>
                </c:pt>
                <c:pt idx="4">
                  <c:v>450</c:v>
                </c:pt>
                <c:pt idx="5">
                  <c:v>550</c:v>
                </c:pt>
                <c:pt idx="6">
                  <c:v>650</c:v>
                </c:pt>
                <c:pt idx="7">
                  <c:v>750</c:v>
                </c:pt>
                <c:pt idx="8">
                  <c:v>850</c:v>
                </c:pt>
                <c:pt idx="9">
                  <c:v>950</c:v>
                </c:pt>
              </c:numCache>
            </c:numRef>
          </c:xVal>
          <c:yVal>
            <c:numRef>
              <c:f>'Logit 2'!$K$4:$K$13</c:f>
              <c:numCache>
                <c:formatCode>General</c:formatCode>
                <c:ptCount val="10"/>
                <c:pt idx="0">
                  <c:v>1</c:v>
                </c:pt>
                <c:pt idx="1">
                  <c:v>0.96666666666666667</c:v>
                </c:pt>
                <c:pt idx="2">
                  <c:v>0.93548387096774188</c:v>
                </c:pt>
                <c:pt idx="3">
                  <c:v>0.87209302325581395</c:v>
                </c:pt>
                <c:pt idx="4">
                  <c:v>0.78703703703703709</c:v>
                </c:pt>
                <c:pt idx="5">
                  <c:v>0.62745098039215685</c:v>
                </c:pt>
                <c:pt idx="6">
                  <c:v>0.42063492063492064</c:v>
                </c:pt>
                <c:pt idx="7">
                  <c:v>0.2767857142857143</c:v>
                </c:pt>
                <c:pt idx="8">
                  <c:v>0.19607843137254902</c:v>
                </c:pt>
                <c:pt idx="9">
                  <c:v>9.6774193548387094E-2</c:v>
                </c:pt>
              </c:numCache>
            </c:numRef>
          </c:yVal>
        </c:ser>
        <c:axId val="293149696"/>
        <c:axId val="293188736"/>
      </c:scatterChart>
      <c:valAx>
        <c:axId val="2931496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Rems</a:t>
                </a:r>
              </a:p>
            </c:rich>
          </c:tx>
        </c:title>
        <c:numFmt formatCode="General" sourceLinked="1"/>
        <c:tickLblPos val="nextTo"/>
        <c:crossAx val="293188736"/>
        <c:crosses val="autoZero"/>
        <c:crossBetween val="midCat"/>
      </c:valAx>
      <c:valAx>
        <c:axId val="2931887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 of survival</a:t>
                </a:r>
              </a:p>
            </c:rich>
          </c:tx>
        </c:title>
        <c:numFmt formatCode="General" sourceLinked="1"/>
        <c:tickLblPos val="nextTo"/>
        <c:crossAx val="293149696"/>
        <c:crosses val="autoZero"/>
        <c:crossBetween val="midCat"/>
      </c:valAx>
    </c:plotArea>
    <c:plotVisOnly val="1"/>
    <c:dispBlanksAs val="gap"/>
  </c:chart>
  <c:spPr>
    <a:solidFill>
      <a:schemeClr val="lt1"/>
    </a:solidFill>
    <a:ln w="9525" cap="flat" cmpd="sng" algn="ctr">
      <a:solidFill>
        <a:schemeClr val="accent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ES_tradnl"/>
    </a:p>
  </c:txPr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 sz="1400"/>
            </a:pPr>
            <a:r>
              <a:rPr lang="it-IT" sz="1400"/>
              <a:t>ln Odds(E)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'Logit 2'!$K$17:$K$18</c:f>
              <c:strCache>
                <c:ptCount val="1"/>
                <c:pt idx="0">
                  <c:v>ln Odds(E) ∞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</c:trendline>
          <c:xVal>
            <c:numRef>
              <c:f>'Logit 2'!$J$19:$J$27</c:f>
              <c:numCache>
                <c:formatCode>General</c:formatCode>
                <c:ptCount val="9"/>
                <c:pt idx="0">
                  <c:v>150</c:v>
                </c:pt>
                <c:pt idx="1">
                  <c:v>250</c:v>
                </c:pt>
                <c:pt idx="2">
                  <c:v>350</c:v>
                </c:pt>
                <c:pt idx="3">
                  <c:v>450</c:v>
                </c:pt>
                <c:pt idx="4">
                  <c:v>550</c:v>
                </c:pt>
                <c:pt idx="5">
                  <c:v>650</c:v>
                </c:pt>
                <c:pt idx="6">
                  <c:v>750</c:v>
                </c:pt>
                <c:pt idx="7">
                  <c:v>850</c:v>
                </c:pt>
                <c:pt idx="8">
                  <c:v>950</c:v>
                </c:pt>
              </c:numCache>
            </c:numRef>
          </c:xVal>
          <c:yVal>
            <c:numRef>
              <c:f>'Logit 2'!$K$19:$K$27</c:f>
              <c:numCache>
                <c:formatCode>General</c:formatCode>
                <c:ptCount val="9"/>
                <c:pt idx="0">
                  <c:v>3.3672958299864741</c:v>
                </c:pt>
                <c:pt idx="1">
                  <c:v>2.6741486494265279</c:v>
                </c:pt>
                <c:pt idx="2">
                  <c:v>1.9195928407379399</c:v>
                </c:pt>
                <c:pt idx="3">
                  <c:v>1.3071570405611672</c:v>
                </c:pt>
                <c:pt idx="4">
                  <c:v>0.52129692363328606</c:v>
                </c:pt>
                <c:pt idx="5">
                  <c:v>-0.3201675275962691</c:v>
                </c:pt>
                <c:pt idx="6">
                  <c:v>-0.96046195018729241</c:v>
                </c:pt>
                <c:pt idx="7">
                  <c:v>-1.410986973710262</c:v>
                </c:pt>
                <c:pt idx="8">
                  <c:v>-2.2335922215070942</c:v>
                </c:pt>
              </c:numCache>
            </c:numRef>
          </c:yVal>
        </c:ser>
        <c:axId val="293090816"/>
        <c:axId val="293092736"/>
      </c:scatterChart>
      <c:valAx>
        <c:axId val="2930908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Rems</a:t>
                </a:r>
              </a:p>
            </c:rich>
          </c:tx>
        </c:title>
        <c:numFmt formatCode="General" sourceLinked="1"/>
        <c:tickLblPos val="nextTo"/>
        <c:crossAx val="293092736"/>
        <c:crosses val="autoZero"/>
        <c:crossBetween val="midCat"/>
      </c:valAx>
      <c:valAx>
        <c:axId val="2930927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Odds of survival</a:t>
                </a:r>
              </a:p>
            </c:rich>
          </c:tx>
        </c:title>
        <c:numFmt formatCode="General" sourceLinked="1"/>
        <c:tickLblPos val="nextTo"/>
        <c:crossAx val="293090816"/>
        <c:crosses val="autoZero"/>
        <c:crossBetween val="midCat"/>
      </c:valAx>
    </c:plotArea>
    <c:plotVisOnly val="1"/>
    <c:dispBlanksAs val="gap"/>
  </c:chart>
  <c:spPr>
    <a:solidFill>
      <a:schemeClr val="lt1"/>
    </a:solidFill>
    <a:ln w="9525" cap="flat" cmpd="sng" algn="ctr">
      <a:solidFill>
        <a:schemeClr val="accent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ES_tradnl"/>
    </a:p>
  </c:txPr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'Logit 3a'!$AI$6:$AI$16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'Logit 3a'!$AJ$6:$AJ$16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</c:ser>
        <c:axId val="294762752"/>
        <c:axId val="293933440"/>
      </c:scatterChart>
      <c:valAx>
        <c:axId val="294762752"/>
        <c:scaling>
          <c:orientation val="minMax"/>
          <c:max val="1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</c:title>
        <c:numFmt formatCode="General" sourceLinked="1"/>
        <c:tickLblPos val="nextTo"/>
        <c:crossAx val="293933440"/>
        <c:crosses val="autoZero"/>
        <c:crossBetween val="midCat"/>
      </c:valAx>
      <c:valAx>
        <c:axId val="293933440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</c:title>
        <c:numFmt formatCode="General" sourceLinked="1"/>
        <c:tickLblPos val="nextTo"/>
        <c:crossAx val="29476275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'Logit 3a'!$AI$33:$AI$43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'Logit 3a'!$AJ$33:$AJ$43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</c:ser>
        <c:axId val="293974016"/>
        <c:axId val="293975936"/>
      </c:scatterChart>
      <c:valAx>
        <c:axId val="293974016"/>
        <c:scaling>
          <c:orientation val="minMax"/>
          <c:max val="1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</c:title>
        <c:numFmt formatCode="General" sourceLinked="1"/>
        <c:tickLblPos val="nextTo"/>
        <c:crossAx val="293975936"/>
        <c:crosses val="autoZero"/>
        <c:crossBetween val="midCat"/>
      </c:valAx>
      <c:valAx>
        <c:axId val="293975936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</c:title>
        <c:numFmt formatCode="General" sourceLinked="1"/>
        <c:tickLblPos val="nextTo"/>
        <c:crossAx val="29397401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'Logit 4a'!$AK$6:$AK$16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'Logit 4a'!$AL$6:$AL$16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</c:ser>
        <c:axId val="294950784"/>
        <c:axId val="294424576"/>
      </c:scatterChart>
      <c:valAx>
        <c:axId val="294950784"/>
        <c:scaling>
          <c:orientation val="minMax"/>
          <c:max val="1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</c:title>
        <c:numFmt formatCode="General" sourceLinked="1"/>
        <c:tickLblPos val="nextTo"/>
        <c:crossAx val="294424576"/>
        <c:crosses val="autoZero"/>
        <c:crossBetween val="midCat"/>
      </c:valAx>
      <c:valAx>
        <c:axId val="294424576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</c:title>
        <c:numFmt formatCode="General" sourceLinked="1"/>
        <c:tickLblPos val="nextTo"/>
        <c:crossAx val="29495078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'Logit 5'!$AM$6:$AM$12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'Logit 5'!$AN$6:$AN$12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</c:ser>
        <c:axId val="295092224"/>
        <c:axId val="295094144"/>
      </c:scatterChart>
      <c:valAx>
        <c:axId val="295092224"/>
        <c:scaling>
          <c:orientation val="minMax"/>
          <c:max val="1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</c:title>
        <c:numFmt formatCode="General" sourceLinked="1"/>
        <c:tickLblPos val="nextTo"/>
        <c:crossAx val="295094144"/>
        <c:crosses val="autoZero"/>
        <c:crossBetween val="midCat"/>
      </c:valAx>
      <c:valAx>
        <c:axId val="295094144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</c:title>
        <c:numFmt formatCode="General" sourceLinked="1"/>
        <c:tickLblPos val="nextTo"/>
        <c:crossAx val="295092224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'Logit 6'!$AN$6:$AN$18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'Logit 6'!$AO$6:$AO$18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</c:ser>
        <c:axId val="292972800"/>
        <c:axId val="292979072"/>
      </c:scatterChart>
      <c:valAx>
        <c:axId val="292972800"/>
        <c:scaling>
          <c:orientation val="minMax"/>
          <c:max val="1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</c:title>
        <c:numFmt formatCode="General" sourceLinked="1"/>
        <c:tickLblPos val="nextTo"/>
        <c:crossAx val="292979072"/>
        <c:crosses val="autoZero"/>
        <c:crossBetween val="midCat"/>
      </c:valAx>
      <c:valAx>
        <c:axId val="292979072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</c:title>
        <c:numFmt formatCode="General" sourceLinked="1"/>
        <c:tickLblPos val="nextTo"/>
        <c:crossAx val="29297280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'Logit 6'!$AL$29:$AL$35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xVal>
          <c:yVal>
            <c:numRef>
              <c:f>'Logit 6'!$AM$29:$AM$35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</c:ser>
        <c:axId val="292991360"/>
        <c:axId val="292993280"/>
      </c:scatterChart>
      <c:valAx>
        <c:axId val="292991360"/>
        <c:scaling>
          <c:orientation val="minMax"/>
          <c:max val="1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</c:title>
        <c:numFmt formatCode="General" sourceLinked="1"/>
        <c:tickLblPos val="nextTo"/>
        <c:crossAx val="292993280"/>
        <c:crosses val="autoZero"/>
        <c:crossBetween val="midCat"/>
      </c:valAx>
      <c:valAx>
        <c:axId val="292993280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</c:title>
        <c:numFmt formatCode="General" sourceLinked="1"/>
        <c:tickLblPos val="nextTo"/>
        <c:crossAx val="29299136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'Logit 6'!$AL$50:$AL$52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xVal>
          <c:yVal>
            <c:numRef>
              <c:f>'Logit 6'!$AM$50:$AM$52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</c:ser>
        <c:axId val="294860672"/>
        <c:axId val="294879232"/>
      </c:scatterChart>
      <c:valAx>
        <c:axId val="294860672"/>
        <c:scaling>
          <c:orientation val="minMax"/>
          <c:max val="1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</c:title>
        <c:numFmt formatCode="General" sourceLinked="1"/>
        <c:tickLblPos val="nextTo"/>
        <c:crossAx val="294879232"/>
        <c:crosses val="autoZero"/>
        <c:crossBetween val="midCat"/>
      </c:valAx>
      <c:valAx>
        <c:axId val="294879232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</c:title>
        <c:numFmt formatCode="General" sourceLinked="1"/>
        <c:tickLblPos val="nextTo"/>
        <c:crossAx val="294860672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</c:title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'Logit 6'!$AR$71:$AR$83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xVal>
          <c:yVal>
            <c:numRef>
              <c:f>'Logit 6'!$AS$71:$AS$83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</c:ser>
        <c:axId val="292822400"/>
        <c:axId val="292861440"/>
      </c:scatterChart>
      <c:valAx>
        <c:axId val="292822400"/>
        <c:scaling>
          <c:orientation val="minMax"/>
          <c:max val="1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</c:title>
        <c:numFmt formatCode="General" sourceLinked="1"/>
        <c:tickLblPos val="nextTo"/>
        <c:crossAx val="292861440"/>
        <c:crosses val="autoZero"/>
        <c:crossBetween val="midCat"/>
      </c:valAx>
      <c:valAx>
        <c:axId val="292861440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</c:title>
        <c:numFmt formatCode="General" sourceLinked="1"/>
        <c:tickLblPos val="nextTo"/>
        <c:crossAx val="292822400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lineChart>
        <c:grouping val="standard"/>
        <c:ser>
          <c:idx val="0"/>
          <c:order val="0"/>
          <c:tx>
            <c:v>1 vs 2+3+4</c:v>
          </c:tx>
          <c:marker>
            <c:symbol val="none"/>
          </c:marker>
          <c:val>
            <c:numRef>
              <c:f>'OLogit 1'!$D$28:$D$35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1"/>
          <c:order val="1"/>
          <c:tx>
            <c:v>1+2 vs 3+4</c:v>
          </c:tx>
          <c:marker>
            <c:symbol val="none"/>
          </c:marker>
          <c:val>
            <c:numRef>
              <c:f>'OLogit 1'!$K$28:$K$35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2"/>
          <c:order val="2"/>
          <c:tx>
            <c:v>1+2+3 vs 4</c:v>
          </c:tx>
          <c:marker>
            <c:symbol val="none"/>
          </c:marker>
          <c:val>
            <c:numRef>
              <c:f>'OLogit 1'!$R$28:$R$35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marker val="1"/>
        <c:axId val="295828480"/>
        <c:axId val="294986496"/>
      </c:lineChart>
      <c:catAx>
        <c:axId val="295828480"/>
        <c:scaling>
          <c:orientation val="minMax"/>
        </c:scaling>
        <c:axPos val="b"/>
        <c:numFmt formatCode="General" sourceLinked="1"/>
        <c:tickLblPos val="nextTo"/>
        <c:crossAx val="294986496"/>
        <c:crosses val="autoZero"/>
        <c:auto val="1"/>
        <c:lblAlgn val="ctr"/>
        <c:lblOffset val="100"/>
      </c:catAx>
      <c:valAx>
        <c:axId val="294986496"/>
        <c:scaling>
          <c:orientation val="minMax"/>
        </c:scaling>
        <c:axPos val="l"/>
        <c:majorGridlines/>
        <c:numFmt formatCode="General" sourceLinked="1"/>
        <c:tickLblPos val="nextTo"/>
        <c:crossAx val="29582848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lineChart>
        <c:grouping val="standard"/>
        <c:ser>
          <c:idx val="0"/>
          <c:order val="0"/>
          <c:tx>
            <c:strRef>
              <c:f>'ANOVA Match 2.2'!$A$29</c:f>
              <c:strCache>
                <c:ptCount val="1"/>
                <c:pt idx="0">
                  <c:v>Pre</c:v>
                </c:pt>
              </c:strCache>
            </c:strRef>
          </c:tx>
          <c:cat>
            <c:strRef>
              <c:f>'ANOVA Match 2.2'!$B$28:$D$28</c:f>
              <c:strCache>
                <c:ptCount val="3"/>
                <c:pt idx="0">
                  <c:v>Product</c:v>
                </c:pt>
                <c:pt idx="1">
                  <c:v>Client</c:v>
                </c:pt>
                <c:pt idx="2">
                  <c:v>Action</c:v>
                </c:pt>
              </c:strCache>
            </c:strRef>
          </c:cat>
          <c:val>
            <c:numRef>
              <c:f>'ANOVA Match 2.2'!$B$29:$D$29</c:f>
              <c:numCache>
                <c:formatCode>General</c:formatCode>
                <c:ptCount val="3"/>
                <c:pt idx="0">
                  <c:v>15.5</c:v>
                </c:pt>
                <c:pt idx="1">
                  <c:v>20.3</c:v>
                </c:pt>
                <c:pt idx="2">
                  <c:v>22.3</c:v>
                </c:pt>
              </c:numCache>
            </c:numRef>
          </c:val>
        </c:ser>
        <c:ser>
          <c:idx val="1"/>
          <c:order val="1"/>
          <c:tx>
            <c:strRef>
              <c:f>'ANOVA Match 2.2'!$A$30</c:f>
              <c:strCache>
                <c:ptCount val="1"/>
                <c:pt idx="0">
                  <c:v>Post</c:v>
                </c:pt>
              </c:strCache>
            </c:strRef>
          </c:tx>
          <c:cat>
            <c:strRef>
              <c:f>'ANOVA Match 2.2'!$B$28:$D$28</c:f>
              <c:strCache>
                <c:ptCount val="3"/>
                <c:pt idx="0">
                  <c:v>Product</c:v>
                </c:pt>
                <c:pt idx="1">
                  <c:v>Client</c:v>
                </c:pt>
                <c:pt idx="2">
                  <c:v>Action</c:v>
                </c:pt>
              </c:strCache>
            </c:strRef>
          </c:cat>
          <c:val>
            <c:numRef>
              <c:f>'ANOVA Match 2.2'!$B$30:$D$30</c:f>
              <c:numCache>
                <c:formatCode>General</c:formatCode>
                <c:ptCount val="3"/>
                <c:pt idx="0">
                  <c:v>17.5</c:v>
                </c:pt>
                <c:pt idx="1">
                  <c:v>29.9</c:v>
                </c:pt>
                <c:pt idx="2">
                  <c:v>33</c:v>
                </c:pt>
              </c:numCache>
            </c:numRef>
          </c:val>
        </c:ser>
        <c:marker val="1"/>
        <c:axId val="295327616"/>
        <c:axId val="295329152"/>
      </c:lineChart>
      <c:catAx>
        <c:axId val="295327616"/>
        <c:scaling>
          <c:orientation val="minMax"/>
        </c:scaling>
        <c:axPos val="b"/>
        <c:tickLblPos val="nextTo"/>
        <c:crossAx val="295329152"/>
        <c:crosses val="autoZero"/>
        <c:auto val="1"/>
        <c:lblAlgn val="ctr"/>
        <c:lblOffset val="100"/>
      </c:catAx>
      <c:valAx>
        <c:axId val="295329152"/>
        <c:scaling>
          <c:orientation val="minMax"/>
          <c:min val="15"/>
        </c:scaling>
        <c:axPos val="l"/>
        <c:majorGridlines/>
        <c:numFmt formatCode="General" sourceLinked="1"/>
        <c:tickLblPos val="nextTo"/>
        <c:crossAx val="29532761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lineChart>
        <c:grouping val="standard"/>
        <c:ser>
          <c:idx val="0"/>
          <c:order val="0"/>
          <c:tx>
            <c:strRef>
              <c:f>'ANOVA Match 2.2'!$B$28</c:f>
              <c:strCache>
                <c:ptCount val="1"/>
                <c:pt idx="0">
                  <c:v>Product</c:v>
                </c:pt>
              </c:strCache>
            </c:strRef>
          </c:tx>
          <c:cat>
            <c:strRef>
              <c:f>'ANOVA Match 2.2'!$A$29:$A$30</c:f>
              <c:strCache>
                <c:ptCount val="2"/>
                <c:pt idx="0">
                  <c:v>Pre</c:v>
                </c:pt>
                <c:pt idx="1">
                  <c:v>Post</c:v>
                </c:pt>
              </c:strCache>
            </c:strRef>
          </c:cat>
          <c:val>
            <c:numRef>
              <c:f>'ANOVA Match 2.2'!$B$29:$B$30</c:f>
              <c:numCache>
                <c:formatCode>General</c:formatCode>
                <c:ptCount val="2"/>
                <c:pt idx="0">
                  <c:v>15.5</c:v>
                </c:pt>
                <c:pt idx="1">
                  <c:v>17.5</c:v>
                </c:pt>
              </c:numCache>
            </c:numRef>
          </c:val>
        </c:ser>
        <c:ser>
          <c:idx val="1"/>
          <c:order val="1"/>
          <c:tx>
            <c:strRef>
              <c:f>'ANOVA Match 2.2'!$C$28</c:f>
              <c:strCache>
                <c:ptCount val="1"/>
                <c:pt idx="0">
                  <c:v>Client</c:v>
                </c:pt>
              </c:strCache>
            </c:strRef>
          </c:tx>
          <c:cat>
            <c:strRef>
              <c:f>'ANOVA Match 2.2'!$A$29:$A$30</c:f>
              <c:strCache>
                <c:ptCount val="2"/>
                <c:pt idx="0">
                  <c:v>Pre</c:v>
                </c:pt>
                <c:pt idx="1">
                  <c:v>Post</c:v>
                </c:pt>
              </c:strCache>
            </c:strRef>
          </c:cat>
          <c:val>
            <c:numRef>
              <c:f>'ANOVA Match 2.2'!$C$29:$C$30</c:f>
              <c:numCache>
                <c:formatCode>General</c:formatCode>
                <c:ptCount val="2"/>
                <c:pt idx="0">
                  <c:v>20.3</c:v>
                </c:pt>
                <c:pt idx="1">
                  <c:v>29.9</c:v>
                </c:pt>
              </c:numCache>
            </c:numRef>
          </c:val>
        </c:ser>
        <c:ser>
          <c:idx val="2"/>
          <c:order val="2"/>
          <c:tx>
            <c:strRef>
              <c:f>'ANOVA Match 2.2'!$D$28</c:f>
              <c:strCache>
                <c:ptCount val="1"/>
                <c:pt idx="0">
                  <c:v>Action</c:v>
                </c:pt>
              </c:strCache>
            </c:strRef>
          </c:tx>
          <c:cat>
            <c:strRef>
              <c:f>'ANOVA Match 2.2'!$A$29:$A$30</c:f>
              <c:strCache>
                <c:ptCount val="2"/>
                <c:pt idx="0">
                  <c:v>Pre</c:v>
                </c:pt>
                <c:pt idx="1">
                  <c:v>Post</c:v>
                </c:pt>
              </c:strCache>
            </c:strRef>
          </c:cat>
          <c:val>
            <c:numRef>
              <c:f>'ANOVA Match 2.2'!$D$29:$D$30</c:f>
              <c:numCache>
                <c:formatCode>General</c:formatCode>
                <c:ptCount val="2"/>
                <c:pt idx="0">
                  <c:v>22.3</c:v>
                </c:pt>
                <c:pt idx="1">
                  <c:v>33</c:v>
                </c:pt>
              </c:numCache>
            </c:numRef>
          </c:val>
        </c:ser>
        <c:marker val="1"/>
        <c:axId val="296161664"/>
        <c:axId val="296163200"/>
      </c:lineChart>
      <c:catAx>
        <c:axId val="296161664"/>
        <c:scaling>
          <c:orientation val="minMax"/>
        </c:scaling>
        <c:axPos val="b"/>
        <c:tickLblPos val="nextTo"/>
        <c:crossAx val="296163200"/>
        <c:crosses val="autoZero"/>
        <c:auto val="1"/>
        <c:lblAlgn val="ctr"/>
        <c:lblOffset val="100"/>
      </c:catAx>
      <c:valAx>
        <c:axId val="296163200"/>
        <c:scaling>
          <c:orientation val="minMax"/>
          <c:min val="15"/>
        </c:scaling>
        <c:axPos val="l"/>
        <c:majorGridlines/>
        <c:numFmt formatCode="General" sourceLinked="1"/>
        <c:tickLblPos val="nextTo"/>
        <c:crossAx val="29616166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lineChart>
        <c:grouping val="standard"/>
        <c:ser>
          <c:idx val="0"/>
          <c:order val="0"/>
          <c:tx>
            <c:strRef>
              <c:f>'ANOVA Match 2.3'!$I$9</c:f>
              <c:strCache>
                <c:ptCount val="1"/>
                <c:pt idx="0">
                  <c:v>Young</c:v>
                </c:pt>
              </c:strCache>
            </c:strRef>
          </c:tx>
          <c:cat>
            <c:strRef>
              <c:f>'ANOVA Match 2.3'!$J$8:$N$8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'ANOVA Match 2.3'!$J$9:$N$9</c:f>
              <c:numCache>
                <c:formatCode>General</c:formatCode>
                <c:ptCount val="5"/>
                <c:pt idx="0">
                  <c:v>184.85714285714286</c:v>
                </c:pt>
                <c:pt idx="1">
                  <c:v>259.85714285714283</c:v>
                </c:pt>
                <c:pt idx="2">
                  <c:v>382.85714285714283</c:v>
                </c:pt>
                <c:pt idx="3">
                  <c:v>362.57142857142856</c:v>
                </c:pt>
                <c:pt idx="4">
                  <c:v>383.71428571428572</c:v>
                </c:pt>
              </c:numCache>
            </c:numRef>
          </c:val>
        </c:ser>
        <c:ser>
          <c:idx val="1"/>
          <c:order val="1"/>
          <c:tx>
            <c:strRef>
              <c:f>'ANOVA Match 2.3'!$I$10</c:f>
              <c:strCache>
                <c:ptCount val="1"/>
                <c:pt idx="0">
                  <c:v>Middle</c:v>
                </c:pt>
              </c:strCache>
            </c:strRef>
          </c:tx>
          <c:cat>
            <c:strRef>
              <c:f>'ANOVA Match 2.3'!$J$8:$N$8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'ANOVA Match 2.3'!$J$10:$N$10</c:f>
              <c:numCache>
                <c:formatCode>General</c:formatCode>
                <c:ptCount val="5"/>
                <c:pt idx="0">
                  <c:v>54.428571428571431</c:v>
                </c:pt>
                <c:pt idx="1">
                  <c:v>119.14285714285714</c:v>
                </c:pt>
                <c:pt idx="2">
                  <c:v>317.42857142857144</c:v>
                </c:pt>
                <c:pt idx="3">
                  <c:v>281.57142857142856</c:v>
                </c:pt>
                <c:pt idx="4">
                  <c:v>309.85714285714283</c:v>
                </c:pt>
              </c:numCache>
            </c:numRef>
          </c:val>
        </c:ser>
        <c:ser>
          <c:idx val="2"/>
          <c:order val="2"/>
          <c:tx>
            <c:strRef>
              <c:f>'ANOVA Match 2.3'!$I$11</c:f>
              <c:strCache>
                <c:ptCount val="1"/>
                <c:pt idx="0">
                  <c:v>Old</c:v>
                </c:pt>
              </c:strCache>
            </c:strRef>
          </c:tx>
          <c:cat>
            <c:strRef>
              <c:f>'ANOVA Match 2.3'!$J$8:$N$8</c:f>
              <c:strCache>
                <c:ptCount val="5"/>
                <c:pt idx="0">
                  <c:v>Day 1</c:v>
                </c:pt>
                <c:pt idx="1">
                  <c:v>Day 2</c:v>
                </c:pt>
                <c:pt idx="2">
                  <c:v>Day 3</c:v>
                </c:pt>
                <c:pt idx="3">
                  <c:v>Day 4</c:v>
                </c:pt>
                <c:pt idx="4">
                  <c:v>Day 5</c:v>
                </c:pt>
              </c:strCache>
            </c:strRef>
          </c:cat>
          <c:val>
            <c:numRef>
              <c:f>'ANOVA Match 2.3'!$J$11:$N$11</c:f>
              <c:numCache>
                <c:formatCode>General</c:formatCode>
                <c:ptCount val="5"/>
                <c:pt idx="0">
                  <c:v>87.428571428571431</c:v>
                </c:pt>
                <c:pt idx="1">
                  <c:v>238.71428571428572</c:v>
                </c:pt>
                <c:pt idx="2">
                  <c:v>369.57142857142856</c:v>
                </c:pt>
                <c:pt idx="3">
                  <c:v>374.28571428571428</c:v>
                </c:pt>
                <c:pt idx="4">
                  <c:v>358</c:v>
                </c:pt>
              </c:numCache>
            </c:numRef>
          </c:val>
        </c:ser>
        <c:marker val="1"/>
        <c:axId val="297249792"/>
        <c:axId val="297259776"/>
      </c:lineChart>
      <c:catAx>
        <c:axId val="297249792"/>
        <c:scaling>
          <c:orientation val="minMax"/>
        </c:scaling>
        <c:axPos val="b"/>
        <c:tickLblPos val="nextTo"/>
        <c:crossAx val="297259776"/>
        <c:crosses val="autoZero"/>
        <c:auto val="1"/>
        <c:lblAlgn val="ctr"/>
        <c:lblOffset val="100"/>
      </c:catAx>
      <c:valAx>
        <c:axId val="297259776"/>
        <c:scaling>
          <c:orientation val="minMax"/>
        </c:scaling>
        <c:axPos val="l"/>
        <c:majorGridlines/>
        <c:numFmt formatCode="General" sourceLinked="1"/>
        <c:tickLblPos val="nextTo"/>
        <c:crossAx val="29724979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'ANOVA Match 2.3'!$BH$6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2.3'!$BI$6:$BK$6</c:f>
              <c:numCache>
                <c:formatCode>General</c:formatCode>
                <c:ptCount val="3"/>
                <c:pt idx="0">
                  <c:v>237</c:v>
                </c:pt>
                <c:pt idx="1">
                  <c:v>155.19999999999999</c:v>
                </c:pt>
                <c:pt idx="2">
                  <c:v>249.8</c:v>
                </c:pt>
              </c:numCache>
            </c:numRef>
          </c:val>
        </c:ser>
        <c:ser>
          <c:idx val="1"/>
          <c:order val="1"/>
          <c:tx>
            <c:strRef>
              <c:f>'ANOVA Match 2.3'!$BH$7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2.3'!$BI$7:$BK$7</c:f>
              <c:numCache>
                <c:formatCode>General</c:formatCode>
                <c:ptCount val="3"/>
                <c:pt idx="0">
                  <c:v>37.100000000000023</c:v>
                </c:pt>
                <c:pt idx="1">
                  <c:v>32.199999999999989</c:v>
                </c:pt>
                <c:pt idx="2">
                  <c:v>9.6999999999999886</c:v>
                </c:pt>
              </c:numCache>
            </c:numRef>
          </c:val>
        </c:ser>
        <c:ser>
          <c:idx val="2"/>
          <c:order val="2"/>
          <c:tx>
            <c:strRef>
              <c:f>'ANOVA Match 2.3'!$BH$8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2.3'!$BI$8:$BK$8</c:f>
              <c:numCache>
                <c:formatCode>General</c:formatCode>
                <c:ptCount val="3"/>
                <c:pt idx="0">
                  <c:v>57.699999999999989</c:v>
                </c:pt>
                <c:pt idx="1">
                  <c:v>43.400000000000034</c:v>
                </c:pt>
                <c:pt idx="2">
                  <c:v>5.1000000000000227</c:v>
                </c:pt>
              </c:numCache>
            </c:numRef>
          </c:val>
        </c:ser>
        <c:ser>
          <c:idx val="3"/>
          <c:order val="3"/>
          <c:tx>
            <c:strRef>
              <c:f>'ANOVA Match 2.3'!$BH$9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'ANOVA Match 2.3'!$BI$10:$BK$10</c:f>
                <c:numCache>
                  <c:formatCode>General</c:formatCode>
                  <c:ptCount val="3"/>
                  <c:pt idx="0">
                    <c:v>15.099999999999966</c:v>
                  </c:pt>
                  <c:pt idx="1">
                    <c:v>34.900000000000006</c:v>
                  </c:pt>
                  <c:pt idx="2">
                    <c:v>47.199999999999989</c:v>
                  </c:pt>
                </c:numCache>
              </c:numRef>
            </c:plus>
          </c:errBars>
          <c:cat>
            <c:strRef>
              <c:f>'ANOVA Match 2.3'!$BI$5:$BK$5</c:f>
              <c:strCache>
                <c:ptCount val="3"/>
                <c:pt idx="0">
                  <c:v>Young</c:v>
                </c:pt>
                <c:pt idx="1">
                  <c:v>Middle</c:v>
                </c:pt>
                <c:pt idx="2">
                  <c:v>Old</c:v>
                </c:pt>
              </c:strCache>
            </c:strRef>
          </c:cat>
          <c:val>
            <c:numRef>
              <c:f>'ANOVA Match 2.3'!$BI$9:$BK$9</c:f>
              <c:numCache>
                <c:formatCode>General</c:formatCode>
                <c:ptCount val="3"/>
                <c:pt idx="0">
                  <c:v>25.300000000000011</c:v>
                </c:pt>
                <c:pt idx="1">
                  <c:v>9.0999999999999943</c:v>
                </c:pt>
                <c:pt idx="2">
                  <c:v>41.599999999999966</c:v>
                </c:pt>
              </c:numCache>
            </c:numRef>
          </c:val>
        </c:ser>
        <c:overlap val="100"/>
        <c:axId val="296233984"/>
        <c:axId val="296248064"/>
      </c:barChart>
      <c:catAx>
        <c:axId val="296233984"/>
        <c:scaling>
          <c:orientation val="minMax"/>
        </c:scaling>
        <c:axPos val="b"/>
        <c:tickLblPos val="nextTo"/>
        <c:crossAx val="296248064"/>
        <c:crosses val="autoZero"/>
        <c:auto val="1"/>
        <c:lblAlgn val="ctr"/>
        <c:lblOffset val="100"/>
      </c:catAx>
      <c:valAx>
        <c:axId val="296248064"/>
        <c:scaling>
          <c:orientation val="minMax"/>
        </c:scaling>
        <c:axPos val="l"/>
        <c:majorGridlines/>
        <c:numFmt formatCode="General" sourceLinked="1"/>
        <c:tickLblPos val="nextTo"/>
        <c:crossAx val="296233984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'ANOVA Match 2.3'!$BD$24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2.3'!$BE$24:$BS$24</c:f>
              <c:numCache>
                <c:formatCode>General</c:formatCode>
                <c:ptCount val="15"/>
                <c:pt idx="0">
                  <c:v>65</c:v>
                </c:pt>
                <c:pt idx="1">
                  <c:v>167</c:v>
                </c:pt>
                <c:pt idx="2">
                  <c:v>257</c:v>
                </c:pt>
                <c:pt idx="3">
                  <c:v>275</c:v>
                </c:pt>
                <c:pt idx="4">
                  <c:v>298</c:v>
                </c:pt>
                <c:pt idx="5">
                  <c:v>3</c:v>
                </c:pt>
                <c:pt idx="6">
                  <c:v>54</c:v>
                </c:pt>
                <c:pt idx="7">
                  <c:v>193</c:v>
                </c:pt>
                <c:pt idx="8">
                  <c:v>216</c:v>
                </c:pt>
                <c:pt idx="9">
                  <c:v>233</c:v>
                </c:pt>
                <c:pt idx="10">
                  <c:v>38</c:v>
                </c:pt>
                <c:pt idx="11">
                  <c:v>124</c:v>
                </c:pt>
                <c:pt idx="12">
                  <c:v>289</c:v>
                </c:pt>
                <c:pt idx="13">
                  <c:v>307</c:v>
                </c:pt>
                <c:pt idx="14">
                  <c:v>295</c:v>
                </c:pt>
              </c:numCache>
            </c:numRef>
          </c:val>
        </c:ser>
        <c:ser>
          <c:idx val="1"/>
          <c:order val="1"/>
          <c:tx>
            <c:strRef>
              <c:f>'ANOVA Match 2.3'!$BD$25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2.3'!$BE$25:$BS$25</c:f>
              <c:numCache>
                <c:formatCode>General</c:formatCode>
                <c:ptCount val="15"/>
                <c:pt idx="0">
                  <c:v>63.5</c:v>
                </c:pt>
                <c:pt idx="1">
                  <c:v>67</c:v>
                </c:pt>
                <c:pt idx="2">
                  <c:v>105.5</c:v>
                </c:pt>
                <c:pt idx="3">
                  <c:v>54.5</c:v>
                </c:pt>
                <c:pt idx="4">
                  <c:v>39</c:v>
                </c:pt>
                <c:pt idx="5">
                  <c:v>21.5</c:v>
                </c:pt>
                <c:pt idx="6">
                  <c:v>29.5</c:v>
                </c:pt>
                <c:pt idx="7">
                  <c:v>91</c:v>
                </c:pt>
                <c:pt idx="8">
                  <c:v>33.5</c:v>
                </c:pt>
                <c:pt idx="9">
                  <c:v>23.5</c:v>
                </c:pt>
                <c:pt idx="10">
                  <c:v>33</c:v>
                </c:pt>
                <c:pt idx="11">
                  <c:v>85</c:v>
                </c:pt>
                <c:pt idx="12">
                  <c:v>47.5</c:v>
                </c:pt>
                <c:pt idx="13">
                  <c:v>33</c:v>
                </c:pt>
                <c:pt idx="14">
                  <c:v>19.5</c:v>
                </c:pt>
              </c:numCache>
            </c:numRef>
          </c:val>
        </c:ser>
        <c:ser>
          <c:idx val="2"/>
          <c:order val="2"/>
          <c:tx>
            <c:strRef>
              <c:f>'ANOVA Match 2.3'!$BD$26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2.3'!$BE$26:$BS$26</c:f>
              <c:numCache>
                <c:formatCode>General</c:formatCode>
                <c:ptCount val="15"/>
                <c:pt idx="0">
                  <c:v>101.5</c:v>
                </c:pt>
                <c:pt idx="1">
                  <c:v>44</c:v>
                </c:pt>
                <c:pt idx="2">
                  <c:v>38.5</c:v>
                </c:pt>
                <c:pt idx="3">
                  <c:v>52.5</c:v>
                </c:pt>
                <c:pt idx="4">
                  <c:v>30</c:v>
                </c:pt>
                <c:pt idx="5">
                  <c:v>9.5</c:v>
                </c:pt>
                <c:pt idx="6">
                  <c:v>32.5</c:v>
                </c:pt>
                <c:pt idx="7">
                  <c:v>23</c:v>
                </c:pt>
                <c:pt idx="8">
                  <c:v>11.5</c:v>
                </c:pt>
                <c:pt idx="9">
                  <c:v>16.5</c:v>
                </c:pt>
                <c:pt idx="10">
                  <c:v>12</c:v>
                </c:pt>
                <c:pt idx="11">
                  <c:v>38</c:v>
                </c:pt>
                <c:pt idx="12">
                  <c:v>28.5</c:v>
                </c:pt>
                <c:pt idx="13">
                  <c:v>40</c:v>
                </c:pt>
                <c:pt idx="14">
                  <c:v>16.5</c:v>
                </c:pt>
              </c:numCache>
            </c:numRef>
          </c:val>
        </c:ser>
        <c:ser>
          <c:idx val="3"/>
          <c:order val="3"/>
          <c:tx>
            <c:strRef>
              <c:f>'ANOVA Match 2.3'!$BD$27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'ANOVA Match 2.3'!$BE$28:$BS$28</c:f>
                <c:numCache>
                  <c:formatCode>General</c:formatCode>
                  <c:ptCount val="15"/>
                  <c:pt idx="0">
                    <c:v>5.5</c:v>
                  </c:pt>
                  <c:pt idx="1">
                    <c:v>18</c:v>
                  </c:pt>
                  <c:pt idx="2">
                    <c:v>14.5</c:v>
                  </c:pt>
                  <c:pt idx="3">
                    <c:v>20.5</c:v>
                  </c:pt>
                  <c:pt idx="4">
                    <c:v>28.5</c:v>
                  </c:pt>
                  <c:pt idx="5">
                    <c:v>152.5</c:v>
                  </c:pt>
                  <c:pt idx="6">
                    <c:v>9.5</c:v>
                  </c:pt>
                  <c:pt idx="7">
                    <c:v>60.5</c:v>
                  </c:pt>
                  <c:pt idx="8">
                    <c:v>99.5</c:v>
                  </c:pt>
                  <c:pt idx="9">
                    <c:v>130</c:v>
                  </c:pt>
                  <c:pt idx="10">
                    <c:v>10</c:v>
                  </c:pt>
                  <c:pt idx="11">
                    <c:v>55.5</c:v>
                  </c:pt>
                  <c:pt idx="12">
                    <c:v>76.5</c:v>
                  </c:pt>
                  <c:pt idx="13">
                    <c:v>65</c:v>
                  </c:pt>
                  <c:pt idx="14">
                    <c:v>42</c:v>
                  </c:pt>
                </c:numCache>
              </c:numRef>
            </c:plus>
          </c:errBars>
          <c:cat>
            <c:strRef>
              <c:f>'ANOVA Match 2.3'!$BE$23:$BS$23</c:f>
              <c:strCache>
                <c:ptCount val="15"/>
                <c:pt idx="0">
                  <c:v>Y 1</c:v>
                </c:pt>
                <c:pt idx="1">
                  <c:v>Y 2</c:v>
                </c:pt>
                <c:pt idx="2">
                  <c:v>Y 3</c:v>
                </c:pt>
                <c:pt idx="3">
                  <c:v>Y 4 </c:v>
                </c:pt>
                <c:pt idx="4">
                  <c:v>Y 5</c:v>
                </c:pt>
                <c:pt idx="5">
                  <c:v>M 1</c:v>
                </c:pt>
                <c:pt idx="6">
                  <c:v>M 2</c:v>
                </c:pt>
                <c:pt idx="7">
                  <c:v>M 3</c:v>
                </c:pt>
                <c:pt idx="8">
                  <c:v>M 4 </c:v>
                </c:pt>
                <c:pt idx="9">
                  <c:v>M 5</c:v>
                </c:pt>
                <c:pt idx="10">
                  <c:v>O 1</c:v>
                </c:pt>
                <c:pt idx="11">
                  <c:v>O 2</c:v>
                </c:pt>
                <c:pt idx="12">
                  <c:v>O 3</c:v>
                </c:pt>
                <c:pt idx="13">
                  <c:v>O 4 </c:v>
                </c:pt>
                <c:pt idx="14">
                  <c:v>O 5</c:v>
                </c:pt>
              </c:strCache>
            </c:strRef>
          </c:cat>
          <c:val>
            <c:numRef>
              <c:f>'ANOVA Match 2.3'!$BE$27:$BS$27</c:f>
              <c:numCache>
                <c:formatCode>General</c:formatCode>
                <c:ptCount val="15"/>
                <c:pt idx="0">
                  <c:v>15.5</c:v>
                </c:pt>
                <c:pt idx="1">
                  <c:v>18</c:v>
                </c:pt>
                <c:pt idx="2">
                  <c:v>26.5</c:v>
                </c:pt>
                <c:pt idx="3">
                  <c:v>18.5</c:v>
                </c:pt>
                <c:pt idx="4">
                  <c:v>72.5</c:v>
                </c:pt>
                <c:pt idx="5">
                  <c:v>13.5</c:v>
                </c:pt>
                <c:pt idx="6">
                  <c:v>46.5</c:v>
                </c:pt>
                <c:pt idx="7">
                  <c:v>57.5</c:v>
                </c:pt>
                <c:pt idx="8">
                  <c:v>37.5</c:v>
                </c:pt>
                <c:pt idx="9">
                  <c:v>67</c:v>
                </c:pt>
                <c:pt idx="10">
                  <c:v>30</c:v>
                </c:pt>
                <c:pt idx="11">
                  <c:v>28.5</c:v>
                </c:pt>
                <c:pt idx="12">
                  <c:v>29.5</c:v>
                </c:pt>
                <c:pt idx="13">
                  <c:v>16</c:v>
                </c:pt>
                <c:pt idx="14">
                  <c:v>72</c:v>
                </c:pt>
              </c:numCache>
            </c:numRef>
          </c:val>
        </c:ser>
        <c:overlap val="100"/>
        <c:axId val="296622720"/>
        <c:axId val="296632704"/>
      </c:barChart>
      <c:catAx>
        <c:axId val="296622720"/>
        <c:scaling>
          <c:orientation val="minMax"/>
        </c:scaling>
        <c:axPos val="b"/>
        <c:tickLblPos val="nextTo"/>
        <c:crossAx val="296632704"/>
        <c:crosses val="autoZero"/>
        <c:auto val="1"/>
        <c:lblAlgn val="ctr"/>
        <c:lblOffset val="100"/>
      </c:catAx>
      <c:valAx>
        <c:axId val="296632704"/>
        <c:scaling>
          <c:orientation val="minMax"/>
        </c:scaling>
        <c:axPos val="l"/>
        <c:majorGridlines/>
        <c:numFmt formatCode="General" sourceLinked="1"/>
        <c:tickLblPos val="nextTo"/>
        <c:crossAx val="29662272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barChart>
        <c:barDir val="col"/>
        <c:grouping val="stacked"/>
        <c:ser>
          <c:idx val="0"/>
          <c:order val="0"/>
          <c:tx>
            <c:strRef>
              <c:f>'ANCOVA 1'!$M$6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1'!$N$6:$Q$6</c:f>
              <c:numCache>
                <c:formatCode>General</c:formatCode>
                <c:ptCount val="4"/>
                <c:pt idx="0">
                  <c:v>8</c:v>
                </c:pt>
                <c:pt idx="1">
                  <c:v>13</c:v>
                </c:pt>
                <c:pt idx="2">
                  <c:v>9</c:v>
                </c:pt>
                <c:pt idx="3">
                  <c:v>7</c:v>
                </c:pt>
              </c:numCache>
            </c:numRef>
          </c:val>
        </c:ser>
        <c:ser>
          <c:idx val="1"/>
          <c:order val="1"/>
          <c:tx>
            <c:strRef>
              <c:f>'ANCOVA 1'!$M$7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="" xmlns:r="http://schemas.openxmlformats.org/officeDocument/2006/relationships"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errBars>
            <c:errBarType val="minus"/>
            <c:errValType val="percentage"/>
            <c:val val="100"/>
          </c:errBars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1'!$N$7:$Q$7</c:f>
              <c:numCache>
                <c:formatCode>General</c:formatCode>
                <c:ptCount val="4"/>
                <c:pt idx="0">
                  <c:v>6.25</c:v>
                </c:pt>
                <c:pt idx="1">
                  <c:v>16</c:v>
                </c:pt>
                <c:pt idx="2">
                  <c:v>4.5</c:v>
                </c:pt>
                <c:pt idx="3">
                  <c:v>3.5</c:v>
                </c:pt>
              </c:numCache>
            </c:numRef>
          </c:val>
        </c:ser>
        <c:ser>
          <c:idx val="2"/>
          <c:order val="2"/>
          <c:tx>
            <c:strRef>
              <c:f>'ANCOVA 1'!$M$8</c:f>
              <c:strCache>
                <c:ptCount val="1"/>
                <c:pt idx="0">
                  <c:v>Med-Q1</c:v>
                </c:pt>
              </c:strCache>
            </c:strRef>
          </c:tx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1'!$N$8:$Q$8</c:f>
              <c:numCache>
                <c:formatCode>General</c:formatCode>
                <c:ptCount val="4"/>
                <c:pt idx="0">
                  <c:v>6.75</c:v>
                </c:pt>
                <c:pt idx="1">
                  <c:v>7</c:v>
                </c:pt>
                <c:pt idx="2">
                  <c:v>7</c:v>
                </c:pt>
                <c:pt idx="3">
                  <c:v>5.5</c:v>
                </c:pt>
              </c:numCache>
            </c:numRef>
          </c:val>
        </c:ser>
        <c:ser>
          <c:idx val="3"/>
          <c:order val="3"/>
          <c:tx>
            <c:strRef>
              <c:f>'ANCOVA 1'!$M$9</c:f>
              <c:strCache>
                <c:ptCount val="1"/>
                <c:pt idx="0">
                  <c:v>Q3-Med</c:v>
                </c:pt>
              </c:strCache>
            </c:strRef>
          </c:tx>
          <c:errBars>
            <c:errBarType val="plus"/>
            <c:errValType val="cust"/>
            <c:plus>
              <c:numRef>
                <c:f>'ANCOVA 1'!$N$10:$Q$10</c:f>
                <c:numCache>
                  <c:formatCode>General</c:formatCode>
                  <c:ptCount val="4"/>
                  <c:pt idx="0">
                    <c:v>6.75</c:v>
                  </c:pt>
                  <c:pt idx="1">
                    <c:v>8.75</c:v>
                  </c:pt>
                  <c:pt idx="2">
                    <c:v>12.75</c:v>
                  </c:pt>
                  <c:pt idx="3">
                    <c:v>7</c:v>
                  </c:pt>
                </c:numCache>
              </c:numRef>
            </c:plus>
          </c:errBars>
          <c:cat>
            <c:strRef>
              <c:f>'ANCOVA 1'!$N$5:$Q$5</c:f>
              <c:strCache>
                <c:ptCount val="4"/>
                <c:pt idx="0">
                  <c:v>Method 1</c:v>
                </c:pt>
                <c:pt idx="1">
                  <c:v>Method 2</c:v>
                </c:pt>
                <c:pt idx="2">
                  <c:v>Method 3</c:v>
                </c:pt>
                <c:pt idx="3">
                  <c:v>Method 4</c:v>
                </c:pt>
              </c:strCache>
            </c:strRef>
          </c:cat>
          <c:val>
            <c:numRef>
              <c:f>'ANCOVA 1'!$N$9:$Q$9</c:f>
              <c:numCache>
                <c:formatCode>General</c:formatCode>
                <c:ptCount val="4"/>
                <c:pt idx="0">
                  <c:v>11.25</c:v>
                </c:pt>
                <c:pt idx="1">
                  <c:v>5.25</c:v>
                </c:pt>
                <c:pt idx="2">
                  <c:v>8.75</c:v>
                </c:pt>
                <c:pt idx="3">
                  <c:v>3</c:v>
                </c:pt>
              </c:numCache>
            </c:numRef>
          </c:val>
        </c:ser>
        <c:overlap val="100"/>
        <c:axId val="295856768"/>
        <c:axId val="295866752"/>
      </c:barChart>
      <c:catAx>
        <c:axId val="295856768"/>
        <c:scaling>
          <c:orientation val="minMax"/>
        </c:scaling>
        <c:axPos val="b"/>
        <c:tickLblPos val="nextTo"/>
        <c:crossAx val="295866752"/>
        <c:crosses val="autoZero"/>
        <c:auto val="1"/>
        <c:lblAlgn val="ctr"/>
        <c:lblOffset val="100"/>
      </c:catAx>
      <c:valAx>
        <c:axId val="295866752"/>
        <c:scaling>
          <c:orientation val="minMax"/>
        </c:scaling>
        <c:axPos val="l"/>
        <c:majorGridlines/>
        <c:numFmt formatCode="General" sourceLinked="1"/>
        <c:tickLblPos val="nextTo"/>
        <c:crossAx val="295856768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scatterChart>
        <c:scatterStyle val="lineMarker"/>
        <c:ser>
          <c:idx val="0"/>
          <c:order val="0"/>
          <c:tx>
            <c:v>Method 1</c:v>
          </c:tx>
          <c:spPr>
            <a:ln w="28575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</c:trendline>
          <c:xVal>
            <c:numRef>
              <c:f>'ANCOVA 1'!$T$6:$T$13</c:f>
              <c:numCache>
                <c:formatCode>General</c:formatCode>
                <c:ptCount val="8"/>
                <c:pt idx="0">
                  <c:v>17.5</c:v>
                </c:pt>
                <c:pt idx="1">
                  <c:v>104.60000000000001</c:v>
                </c:pt>
                <c:pt idx="2">
                  <c:v>64.7</c:v>
                </c:pt>
                <c:pt idx="3">
                  <c:v>47</c:v>
                </c:pt>
                <c:pt idx="4">
                  <c:v>22</c:v>
                </c:pt>
                <c:pt idx="5">
                  <c:v>12.4</c:v>
                </c:pt>
                <c:pt idx="6">
                  <c:v>20</c:v>
                </c:pt>
                <c:pt idx="7">
                  <c:v>79.7</c:v>
                </c:pt>
              </c:numCache>
            </c:numRef>
          </c:xVal>
          <c:yVal>
            <c:numRef>
              <c:f>'ANCOVA 1'!$U$6:$U$13</c:f>
              <c:numCache>
                <c:formatCode>General</c:formatCode>
                <c:ptCount val="8"/>
                <c:pt idx="0">
                  <c:v>12</c:v>
                </c:pt>
                <c:pt idx="1">
                  <c:v>39</c:v>
                </c:pt>
                <c:pt idx="2">
                  <c:v>36</c:v>
                </c:pt>
                <c:pt idx="3">
                  <c:v>17</c:v>
                </c:pt>
                <c:pt idx="4">
                  <c:v>25</c:v>
                </c:pt>
                <c:pt idx="5">
                  <c:v>15</c:v>
                </c:pt>
                <c:pt idx="6">
                  <c:v>8</c:v>
                </c:pt>
                <c:pt idx="7">
                  <c:v>31</c:v>
                </c:pt>
              </c:numCache>
            </c:numRef>
          </c:yVal>
        </c:ser>
        <c:ser>
          <c:idx val="1"/>
          <c:order val="1"/>
          <c:tx>
            <c:v>Method 2</c:v>
          </c:tx>
          <c:spPr>
            <a:ln w="28575">
              <a:noFill/>
            </a:ln>
          </c:spPr>
          <c:trendline>
            <c:spPr>
              <a:ln>
                <a:solidFill>
                  <a:schemeClr val="accent2"/>
                </a:solidFill>
              </a:ln>
            </c:spPr>
            <c:trendlineType val="linear"/>
          </c:trendline>
          <c:xVal>
            <c:numRef>
              <c:f>'ANCOVA 1'!$V$6:$V$13</c:f>
              <c:numCache>
                <c:formatCode>General</c:formatCode>
                <c:ptCount val="8"/>
                <c:pt idx="0">
                  <c:v>70.8</c:v>
                </c:pt>
                <c:pt idx="1">
                  <c:v>45.9</c:v>
                </c:pt>
                <c:pt idx="2">
                  <c:v>47.5</c:v>
                </c:pt>
                <c:pt idx="3">
                  <c:v>77.8</c:v>
                </c:pt>
                <c:pt idx="4">
                  <c:v>70.900000000000006</c:v>
                </c:pt>
                <c:pt idx="5">
                  <c:v>84.8</c:v>
                </c:pt>
                <c:pt idx="6">
                  <c:v>49.8</c:v>
                </c:pt>
                <c:pt idx="7">
                  <c:v>34.599999999999994</c:v>
                </c:pt>
              </c:numCache>
            </c:numRef>
          </c:xVal>
          <c:yVal>
            <c:numRef>
              <c:f>'ANCOVA 1'!$W$6:$W$13</c:f>
              <c:numCache>
                <c:formatCode>General</c:formatCode>
                <c:ptCount val="8"/>
                <c:pt idx="0">
                  <c:v>45</c:v>
                </c:pt>
                <c:pt idx="1">
                  <c:v>37</c:v>
                </c:pt>
                <c:pt idx="2">
                  <c:v>13</c:v>
                </c:pt>
                <c:pt idx="3">
                  <c:v>50</c:v>
                </c:pt>
                <c:pt idx="4">
                  <c:v>35</c:v>
                </c:pt>
                <c:pt idx="5">
                  <c:v>40</c:v>
                </c:pt>
                <c:pt idx="6">
                  <c:v>33</c:v>
                </c:pt>
                <c:pt idx="7">
                  <c:v>17</c:v>
                </c:pt>
              </c:numCache>
            </c:numRef>
          </c:yVal>
        </c:ser>
        <c:ser>
          <c:idx val="2"/>
          <c:order val="2"/>
          <c:tx>
            <c:v>Method 3</c:v>
          </c:tx>
          <c:spPr>
            <a:ln w="28575">
              <a:noFill/>
            </a:ln>
          </c:spPr>
          <c:trendline>
            <c:spPr>
              <a:ln>
                <a:solidFill>
                  <a:schemeClr val="accent3"/>
                </a:solidFill>
              </a:ln>
            </c:spPr>
            <c:trendlineType val="linear"/>
          </c:trendline>
          <c:xVal>
            <c:numRef>
              <c:f>'ANCOVA 1'!$X$6:$X$15</c:f>
              <c:numCache>
                <c:formatCode>General</c:formatCode>
                <c:ptCount val="10"/>
                <c:pt idx="0">
                  <c:v>71.400000000000006</c:v>
                </c:pt>
                <c:pt idx="1">
                  <c:v>55</c:v>
                </c:pt>
                <c:pt idx="2">
                  <c:v>54</c:v>
                </c:pt>
                <c:pt idx="3">
                  <c:v>27.9</c:v>
                </c:pt>
                <c:pt idx="4">
                  <c:v>40.599999999999994</c:v>
                </c:pt>
                <c:pt idx="5">
                  <c:v>33</c:v>
                </c:pt>
                <c:pt idx="6">
                  <c:v>22.2</c:v>
                </c:pt>
                <c:pt idx="7">
                  <c:v>80.5</c:v>
                </c:pt>
                <c:pt idx="8">
                  <c:v>80</c:v>
                </c:pt>
                <c:pt idx="9">
                  <c:v>41</c:v>
                </c:pt>
              </c:numCache>
            </c:numRef>
          </c:xVal>
          <c:yVal>
            <c:numRef>
              <c:f>'ANCOVA 1'!$Y$6:$Y$15</c:f>
              <c:numCache>
                <c:formatCode>General</c:formatCode>
                <c:ptCount val="10"/>
                <c:pt idx="0">
                  <c:v>20</c:v>
                </c:pt>
                <c:pt idx="1">
                  <c:v>42</c:v>
                </c:pt>
                <c:pt idx="2">
                  <c:v>31</c:v>
                </c:pt>
                <c:pt idx="3">
                  <c:v>24</c:v>
                </c:pt>
                <c:pt idx="4">
                  <c:v>15</c:v>
                </c:pt>
                <c:pt idx="5">
                  <c:v>13</c:v>
                </c:pt>
                <c:pt idx="6">
                  <c:v>9</c:v>
                </c:pt>
                <c:pt idx="7">
                  <c:v>21</c:v>
                </c:pt>
                <c:pt idx="8">
                  <c:v>31</c:v>
                </c:pt>
                <c:pt idx="9">
                  <c:v>13</c:v>
                </c:pt>
              </c:numCache>
            </c:numRef>
          </c:yVal>
        </c:ser>
        <c:ser>
          <c:idx val="3"/>
          <c:order val="3"/>
          <c:tx>
            <c:v>Method 4</c:v>
          </c:tx>
          <c:spPr>
            <a:ln w="28575">
              <a:noFill/>
            </a:ln>
          </c:spPr>
          <c:marker>
            <c:symbol val="circle"/>
            <c:size val="7"/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</c:trendline>
          <c:xVal>
            <c:numRef>
              <c:f>'ANCOVA 1'!$Z$6:$Z$15</c:f>
              <c:numCache>
                <c:formatCode>General</c:formatCode>
                <c:ptCount val="10"/>
                <c:pt idx="0">
                  <c:v>35</c:v>
                </c:pt>
                <c:pt idx="1">
                  <c:v>33</c:v>
                </c:pt>
                <c:pt idx="2">
                  <c:v>34.200000000000003</c:v>
                </c:pt>
                <c:pt idx="3">
                  <c:v>43.2</c:v>
                </c:pt>
                <c:pt idx="4">
                  <c:v>20</c:v>
                </c:pt>
                <c:pt idx="5">
                  <c:v>37</c:v>
                </c:pt>
                <c:pt idx="6">
                  <c:v>28.2</c:v>
                </c:pt>
                <c:pt idx="7">
                  <c:v>46.400000000000006</c:v>
                </c:pt>
                <c:pt idx="8">
                  <c:v>64.900000000000006</c:v>
                </c:pt>
                <c:pt idx="9">
                  <c:v>59.4</c:v>
                </c:pt>
              </c:numCache>
            </c:numRef>
          </c:xVal>
          <c:yVal>
            <c:numRef>
              <c:f>'ANCOVA 1'!$AA$6:$AA$15</c:f>
              <c:numCache>
                <c:formatCode>General</c:formatCode>
                <c:ptCount val="10"/>
                <c:pt idx="0">
                  <c:v>12</c:v>
                </c:pt>
                <c:pt idx="1">
                  <c:v>10</c:v>
                </c:pt>
                <c:pt idx="2">
                  <c:v>19</c:v>
                </c:pt>
                <c:pt idx="3">
                  <c:v>18</c:v>
                </c:pt>
                <c:pt idx="4">
                  <c:v>14</c:v>
                </c:pt>
                <c:pt idx="5">
                  <c:v>8</c:v>
                </c:pt>
                <c:pt idx="6">
                  <c:v>7</c:v>
                </c:pt>
                <c:pt idx="7">
                  <c:v>19</c:v>
                </c:pt>
                <c:pt idx="8">
                  <c:v>25</c:v>
                </c:pt>
                <c:pt idx="9">
                  <c:v>26</c:v>
                </c:pt>
              </c:numCache>
            </c:numRef>
          </c:yVal>
        </c:ser>
        <c:axId val="295920384"/>
        <c:axId val="295921920"/>
      </c:scatterChart>
      <c:valAx>
        <c:axId val="295920384"/>
        <c:scaling>
          <c:orientation val="minMax"/>
        </c:scaling>
        <c:axPos val="b"/>
        <c:numFmt formatCode="General" sourceLinked="1"/>
        <c:tickLblPos val="nextTo"/>
        <c:crossAx val="295921920"/>
        <c:crosses val="autoZero"/>
        <c:crossBetween val="midCat"/>
      </c:valAx>
      <c:valAx>
        <c:axId val="295921920"/>
        <c:scaling>
          <c:orientation val="minMax"/>
        </c:scaling>
        <c:axPos val="l"/>
        <c:majorGridlines/>
        <c:numFmt formatCode="General" sourceLinked="1"/>
        <c:tickLblPos val="nextTo"/>
        <c:crossAx val="295920384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it-IT" sz="1800" b="0" i="0">
                <a:effectLst/>
              </a:rPr>
              <a:t>𝒚 = 𝒇(𝒙)</a:t>
            </a:r>
            <a:endParaRPr lang="it-IT" b="0">
              <a:effectLst/>
            </a:endParaRPr>
          </a:p>
        </c:rich>
      </c:tx>
    </c:title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Graph!$A$4:$A$104</c:f>
              <c:numCache>
                <c:formatCode>General</c:formatCode>
                <c:ptCount val="101"/>
                <c:pt idx="0">
                  <c:v>-5</c:v>
                </c:pt>
                <c:pt idx="1">
                  <c:v>-4.9000000000000004</c:v>
                </c:pt>
                <c:pt idx="2">
                  <c:v>-4.8000000000000007</c:v>
                </c:pt>
                <c:pt idx="3">
                  <c:v>-4.7000000000000011</c:v>
                </c:pt>
                <c:pt idx="4">
                  <c:v>-4.6000000000000014</c:v>
                </c:pt>
                <c:pt idx="5">
                  <c:v>-4.5000000000000018</c:v>
                </c:pt>
                <c:pt idx="6">
                  <c:v>-4.4000000000000021</c:v>
                </c:pt>
                <c:pt idx="7">
                  <c:v>-4.3000000000000025</c:v>
                </c:pt>
                <c:pt idx="8">
                  <c:v>-4.2000000000000028</c:v>
                </c:pt>
                <c:pt idx="9">
                  <c:v>-4.1000000000000032</c:v>
                </c:pt>
                <c:pt idx="10">
                  <c:v>-4.0000000000000036</c:v>
                </c:pt>
                <c:pt idx="11">
                  <c:v>-3.9000000000000035</c:v>
                </c:pt>
                <c:pt idx="12">
                  <c:v>-3.8000000000000034</c:v>
                </c:pt>
                <c:pt idx="13">
                  <c:v>-3.7000000000000033</c:v>
                </c:pt>
                <c:pt idx="14">
                  <c:v>-3.6000000000000032</c:v>
                </c:pt>
                <c:pt idx="15">
                  <c:v>-3.5000000000000031</c:v>
                </c:pt>
                <c:pt idx="16">
                  <c:v>-3.400000000000003</c:v>
                </c:pt>
                <c:pt idx="17">
                  <c:v>-3.3000000000000029</c:v>
                </c:pt>
                <c:pt idx="18">
                  <c:v>-3.2000000000000028</c:v>
                </c:pt>
                <c:pt idx="19">
                  <c:v>-3.1000000000000028</c:v>
                </c:pt>
                <c:pt idx="20">
                  <c:v>-3.0000000000000027</c:v>
                </c:pt>
                <c:pt idx="21">
                  <c:v>-2.9000000000000026</c:v>
                </c:pt>
                <c:pt idx="22">
                  <c:v>-2.8000000000000025</c:v>
                </c:pt>
                <c:pt idx="23">
                  <c:v>-2.7000000000000024</c:v>
                </c:pt>
                <c:pt idx="24">
                  <c:v>-2.6000000000000023</c:v>
                </c:pt>
                <c:pt idx="25">
                  <c:v>-2.5000000000000022</c:v>
                </c:pt>
                <c:pt idx="26">
                  <c:v>-2.4000000000000021</c:v>
                </c:pt>
                <c:pt idx="27">
                  <c:v>-2.300000000000002</c:v>
                </c:pt>
                <c:pt idx="28">
                  <c:v>-2.200000000000002</c:v>
                </c:pt>
                <c:pt idx="29">
                  <c:v>-2.1000000000000019</c:v>
                </c:pt>
                <c:pt idx="30">
                  <c:v>-2.0000000000000018</c:v>
                </c:pt>
                <c:pt idx="31">
                  <c:v>-1.9000000000000017</c:v>
                </c:pt>
                <c:pt idx="32">
                  <c:v>-1.8000000000000016</c:v>
                </c:pt>
                <c:pt idx="33">
                  <c:v>-1.7000000000000015</c:v>
                </c:pt>
                <c:pt idx="34">
                  <c:v>-1.6000000000000014</c:v>
                </c:pt>
                <c:pt idx="35">
                  <c:v>-1.5000000000000013</c:v>
                </c:pt>
                <c:pt idx="36">
                  <c:v>-1.4000000000000012</c:v>
                </c:pt>
                <c:pt idx="37">
                  <c:v>-1.3000000000000012</c:v>
                </c:pt>
                <c:pt idx="38">
                  <c:v>-1.2000000000000011</c:v>
                </c:pt>
                <c:pt idx="39">
                  <c:v>-1.100000000000001</c:v>
                </c:pt>
                <c:pt idx="40">
                  <c:v>-1.0000000000000009</c:v>
                </c:pt>
                <c:pt idx="41">
                  <c:v>-0.90000000000000091</c:v>
                </c:pt>
                <c:pt idx="42">
                  <c:v>-0.80000000000000093</c:v>
                </c:pt>
                <c:pt idx="43">
                  <c:v>-0.70000000000000095</c:v>
                </c:pt>
                <c:pt idx="44">
                  <c:v>-0.60000000000000098</c:v>
                </c:pt>
                <c:pt idx="45">
                  <c:v>-0.500000000000001</c:v>
                </c:pt>
                <c:pt idx="46">
                  <c:v>-0.40000000000000102</c:v>
                </c:pt>
                <c:pt idx="47">
                  <c:v>-0.30000000000000104</c:v>
                </c:pt>
                <c:pt idx="48">
                  <c:v>-0.20000000000000104</c:v>
                </c:pt>
                <c:pt idx="49">
                  <c:v>-0.10000000000000103</c:v>
                </c:pt>
                <c:pt idx="50">
                  <c:v>0</c:v>
                </c:pt>
                <c:pt idx="51">
                  <c:v>0.1</c:v>
                </c:pt>
                <c:pt idx="52">
                  <c:v>0.2</c:v>
                </c:pt>
                <c:pt idx="53">
                  <c:v>0.30000000000000004</c:v>
                </c:pt>
                <c:pt idx="54">
                  <c:v>0.4</c:v>
                </c:pt>
                <c:pt idx="55">
                  <c:v>0.5</c:v>
                </c:pt>
                <c:pt idx="56">
                  <c:v>0.6</c:v>
                </c:pt>
                <c:pt idx="57">
                  <c:v>0.7</c:v>
                </c:pt>
                <c:pt idx="58">
                  <c:v>0.79999999999999993</c:v>
                </c:pt>
                <c:pt idx="59">
                  <c:v>0.89999999999999991</c:v>
                </c:pt>
                <c:pt idx="60">
                  <c:v>0.99999999999999989</c:v>
                </c:pt>
                <c:pt idx="61">
                  <c:v>1.0999999999999999</c:v>
                </c:pt>
                <c:pt idx="62">
                  <c:v>1.2</c:v>
                </c:pt>
                <c:pt idx="63">
                  <c:v>1.3</c:v>
                </c:pt>
                <c:pt idx="64">
                  <c:v>1.4000000000000001</c:v>
                </c:pt>
                <c:pt idx="65">
                  <c:v>1.5000000000000002</c:v>
                </c:pt>
                <c:pt idx="66">
                  <c:v>1.6000000000000003</c:v>
                </c:pt>
                <c:pt idx="67">
                  <c:v>1.7000000000000004</c:v>
                </c:pt>
                <c:pt idx="68">
                  <c:v>1.8000000000000005</c:v>
                </c:pt>
                <c:pt idx="69">
                  <c:v>1.9000000000000006</c:v>
                </c:pt>
                <c:pt idx="70">
                  <c:v>2.0000000000000004</c:v>
                </c:pt>
                <c:pt idx="71">
                  <c:v>2.1000000000000005</c:v>
                </c:pt>
                <c:pt idx="72">
                  <c:v>2.2000000000000006</c:v>
                </c:pt>
                <c:pt idx="73">
                  <c:v>2.3000000000000007</c:v>
                </c:pt>
                <c:pt idx="74">
                  <c:v>2.4000000000000008</c:v>
                </c:pt>
                <c:pt idx="75">
                  <c:v>2.5000000000000009</c:v>
                </c:pt>
                <c:pt idx="76">
                  <c:v>2.600000000000001</c:v>
                </c:pt>
                <c:pt idx="77">
                  <c:v>2.7000000000000011</c:v>
                </c:pt>
                <c:pt idx="78">
                  <c:v>2.8000000000000012</c:v>
                </c:pt>
                <c:pt idx="79">
                  <c:v>2.9000000000000012</c:v>
                </c:pt>
                <c:pt idx="80">
                  <c:v>3.0000000000000013</c:v>
                </c:pt>
                <c:pt idx="81">
                  <c:v>3.1000000000000014</c:v>
                </c:pt>
                <c:pt idx="82">
                  <c:v>3.2000000000000015</c:v>
                </c:pt>
                <c:pt idx="83">
                  <c:v>3.3000000000000016</c:v>
                </c:pt>
                <c:pt idx="84">
                  <c:v>3.4000000000000017</c:v>
                </c:pt>
                <c:pt idx="85">
                  <c:v>3.5000000000000018</c:v>
                </c:pt>
                <c:pt idx="86">
                  <c:v>3.6000000000000019</c:v>
                </c:pt>
                <c:pt idx="87">
                  <c:v>3.700000000000002</c:v>
                </c:pt>
                <c:pt idx="88">
                  <c:v>3.800000000000002</c:v>
                </c:pt>
                <c:pt idx="89">
                  <c:v>3.9000000000000021</c:v>
                </c:pt>
                <c:pt idx="90">
                  <c:v>4.0000000000000018</c:v>
                </c:pt>
                <c:pt idx="91">
                  <c:v>4.1000000000000014</c:v>
                </c:pt>
                <c:pt idx="92">
                  <c:v>4.2000000000000011</c:v>
                </c:pt>
                <c:pt idx="93">
                  <c:v>4.3000000000000007</c:v>
                </c:pt>
                <c:pt idx="94">
                  <c:v>4.4000000000000004</c:v>
                </c:pt>
                <c:pt idx="95">
                  <c:v>4.5</c:v>
                </c:pt>
                <c:pt idx="96">
                  <c:v>4.5999999999999996</c:v>
                </c:pt>
                <c:pt idx="97">
                  <c:v>4.6999999999999993</c:v>
                </c:pt>
                <c:pt idx="98">
                  <c:v>4.7999999999999989</c:v>
                </c:pt>
                <c:pt idx="99">
                  <c:v>4.8999999999999986</c:v>
                </c:pt>
                <c:pt idx="100">
                  <c:v>4.9999999999999982</c:v>
                </c:pt>
              </c:numCache>
            </c:numRef>
          </c:cat>
          <c:val>
            <c:numRef>
              <c:f>Graph!$B$4:$B$104</c:f>
              <c:numCache>
                <c:formatCode>General</c:formatCode>
                <c:ptCount val="101"/>
                <c:pt idx="0">
                  <c:v>25</c:v>
                </c:pt>
                <c:pt idx="1">
                  <c:v>24.010000000000005</c:v>
                </c:pt>
                <c:pt idx="2">
                  <c:v>23.040000000000006</c:v>
                </c:pt>
                <c:pt idx="3">
                  <c:v>22.090000000000011</c:v>
                </c:pt>
                <c:pt idx="4">
                  <c:v>21.160000000000014</c:v>
                </c:pt>
                <c:pt idx="5">
                  <c:v>20.250000000000014</c:v>
                </c:pt>
                <c:pt idx="6">
                  <c:v>19.360000000000017</c:v>
                </c:pt>
                <c:pt idx="7">
                  <c:v>18.49000000000002</c:v>
                </c:pt>
                <c:pt idx="8">
                  <c:v>17.640000000000025</c:v>
                </c:pt>
                <c:pt idx="9">
                  <c:v>16.810000000000027</c:v>
                </c:pt>
                <c:pt idx="10">
                  <c:v>16.000000000000028</c:v>
                </c:pt>
                <c:pt idx="11">
                  <c:v>15.210000000000027</c:v>
                </c:pt>
                <c:pt idx="12">
                  <c:v>14.440000000000026</c:v>
                </c:pt>
                <c:pt idx="13">
                  <c:v>13.690000000000024</c:v>
                </c:pt>
                <c:pt idx="14">
                  <c:v>12.960000000000022</c:v>
                </c:pt>
                <c:pt idx="15">
                  <c:v>12.250000000000021</c:v>
                </c:pt>
                <c:pt idx="16">
                  <c:v>11.56000000000002</c:v>
                </c:pt>
                <c:pt idx="17">
                  <c:v>10.89000000000002</c:v>
                </c:pt>
                <c:pt idx="18">
                  <c:v>10.240000000000018</c:v>
                </c:pt>
                <c:pt idx="19">
                  <c:v>9.6100000000000172</c:v>
                </c:pt>
                <c:pt idx="20">
                  <c:v>9.000000000000016</c:v>
                </c:pt>
                <c:pt idx="21">
                  <c:v>8.4100000000000144</c:v>
                </c:pt>
                <c:pt idx="22">
                  <c:v>7.8400000000000141</c:v>
                </c:pt>
                <c:pt idx="23">
                  <c:v>7.2900000000000134</c:v>
                </c:pt>
                <c:pt idx="24">
                  <c:v>6.7600000000000122</c:v>
                </c:pt>
                <c:pt idx="25">
                  <c:v>6.2500000000000107</c:v>
                </c:pt>
                <c:pt idx="26">
                  <c:v>5.7600000000000104</c:v>
                </c:pt>
                <c:pt idx="27">
                  <c:v>5.2900000000000098</c:v>
                </c:pt>
                <c:pt idx="28">
                  <c:v>4.8400000000000087</c:v>
                </c:pt>
                <c:pt idx="29">
                  <c:v>4.4100000000000081</c:v>
                </c:pt>
                <c:pt idx="30">
                  <c:v>4.0000000000000071</c:v>
                </c:pt>
                <c:pt idx="31">
                  <c:v>3.6100000000000065</c:v>
                </c:pt>
                <c:pt idx="32">
                  <c:v>3.2400000000000055</c:v>
                </c:pt>
                <c:pt idx="33">
                  <c:v>2.890000000000005</c:v>
                </c:pt>
                <c:pt idx="34">
                  <c:v>2.5600000000000045</c:v>
                </c:pt>
                <c:pt idx="35">
                  <c:v>2.250000000000004</c:v>
                </c:pt>
                <c:pt idx="36">
                  <c:v>1.9600000000000035</c:v>
                </c:pt>
                <c:pt idx="37">
                  <c:v>1.6900000000000031</c:v>
                </c:pt>
                <c:pt idx="38">
                  <c:v>1.4400000000000026</c:v>
                </c:pt>
                <c:pt idx="39">
                  <c:v>1.2100000000000022</c:v>
                </c:pt>
                <c:pt idx="40">
                  <c:v>1.0000000000000018</c:v>
                </c:pt>
                <c:pt idx="41">
                  <c:v>0.81000000000000161</c:v>
                </c:pt>
                <c:pt idx="42">
                  <c:v>0.64000000000000146</c:v>
                </c:pt>
                <c:pt idx="43">
                  <c:v>0.49000000000000132</c:v>
                </c:pt>
                <c:pt idx="44">
                  <c:v>0.36000000000000115</c:v>
                </c:pt>
                <c:pt idx="45">
                  <c:v>0.250000000000001</c:v>
                </c:pt>
                <c:pt idx="46">
                  <c:v>0.16000000000000081</c:v>
                </c:pt>
                <c:pt idx="47">
                  <c:v>9.0000000000000621E-2</c:v>
                </c:pt>
                <c:pt idx="48">
                  <c:v>4.0000000000000417E-2</c:v>
                </c:pt>
                <c:pt idx="49">
                  <c:v>1.0000000000000207E-2</c:v>
                </c:pt>
                <c:pt idx="50">
                  <c:v>0</c:v>
                </c:pt>
                <c:pt idx="51">
                  <c:v>1.0000000000000002E-2</c:v>
                </c:pt>
                <c:pt idx="52">
                  <c:v>4.0000000000000008E-2</c:v>
                </c:pt>
                <c:pt idx="53">
                  <c:v>9.0000000000000024E-2</c:v>
                </c:pt>
                <c:pt idx="54">
                  <c:v>0.16000000000000003</c:v>
                </c:pt>
                <c:pt idx="55">
                  <c:v>0.25</c:v>
                </c:pt>
                <c:pt idx="56">
                  <c:v>0.36</c:v>
                </c:pt>
                <c:pt idx="57">
                  <c:v>0.48999999999999994</c:v>
                </c:pt>
                <c:pt idx="58">
                  <c:v>0.6399999999999999</c:v>
                </c:pt>
                <c:pt idx="59">
                  <c:v>0.80999999999999983</c:v>
                </c:pt>
                <c:pt idx="60">
                  <c:v>0.99999999999999978</c:v>
                </c:pt>
                <c:pt idx="61">
                  <c:v>1.2099999999999997</c:v>
                </c:pt>
                <c:pt idx="62">
                  <c:v>1.44</c:v>
                </c:pt>
                <c:pt idx="63">
                  <c:v>1.6900000000000002</c:v>
                </c:pt>
                <c:pt idx="64">
                  <c:v>1.9600000000000004</c:v>
                </c:pt>
                <c:pt idx="65">
                  <c:v>2.2500000000000009</c:v>
                </c:pt>
                <c:pt idx="66">
                  <c:v>2.5600000000000009</c:v>
                </c:pt>
                <c:pt idx="67">
                  <c:v>2.8900000000000015</c:v>
                </c:pt>
                <c:pt idx="68">
                  <c:v>3.2400000000000015</c:v>
                </c:pt>
                <c:pt idx="69">
                  <c:v>3.6100000000000021</c:v>
                </c:pt>
                <c:pt idx="70">
                  <c:v>4.0000000000000018</c:v>
                </c:pt>
                <c:pt idx="71">
                  <c:v>4.4100000000000019</c:v>
                </c:pt>
                <c:pt idx="72">
                  <c:v>4.8400000000000025</c:v>
                </c:pt>
                <c:pt idx="73">
                  <c:v>5.2900000000000036</c:v>
                </c:pt>
                <c:pt idx="74">
                  <c:v>5.7600000000000042</c:v>
                </c:pt>
                <c:pt idx="75">
                  <c:v>6.2500000000000044</c:v>
                </c:pt>
                <c:pt idx="76">
                  <c:v>6.7600000000000051</c:v>
                </c:pt>
                <c:pt idx="77">
                  <c:v>7.2900000000000054</c:v>
                </c:pt>
                <c:pt idx="78">
                  <c:v>7.8400000000000061</c:v>
                </c:pt>
                <c:pt idx="79">
                  <c:v>8.4100000000000072</c:v>
                </c:pt>
                <c:pt idx="80">
                  <c:v>9.0000000000000071</c:v>
                </c:pt>
                <c:pt idx="81">
                  <c:v>9.6100000000000083</c:v>
                </c:pt>
                <c:pt idx="82">
                  <c:v>10.240000000000009</c:v>
                </c:pt>
                <c:pt idx="83">
                  <c:v>10.890000000000011</c:v>
                </c:pt>
                <c:pt idx="84">
                  <c:v>11.560000000000011</c:v>
                </c:pt>
                <c:pt idx="85">
                  <c:v>12.250000000000012</c:v>
                </c:pt>
                <c:pt idx="86">
                  <c:v>12.960000000000013</c:v>
                </c:pt>
                <c:pt idx="87">
                  <c:v>13.690000000000014</c:v>
                </c:pt>
                <c:pt idx="88">
                  <c:v>14.440000000000015</c:v>
                </c:pt>
                <c:pt idx="89">
                  <c:v>15.210000000000017</c:v>
                </c:pt>
                <c:pt idx="90">
                  <c:v>16.000000000000014</c:v>
                </c:pt>
                <c:pt idx="91">
                  <c:v>16.810000000000013</c:v>
                </c:pt>
                <c:pt idx="92">
                  <c:v>17.640000000000008</c:v>
                </c:pt>
                <c:pt idx="93">
                  <c:v>18.490000000000006</c:v>
                </c:pt>
                <c:pt idx="94">
                  <c:v>19.360000000000003</c:v>
                </c:pt>
                <c:pt idx="95">
                  <c:v>20.25</c:v>
                </c:pt>
                <c:pt idx="96">
                  <c:v>21.159999999999997</c:v>
                </c:pt>
                <c:pt idx="97">
                  <c:v>22.089999999999993</c:v>
                </c:pt>
                <c:pt idx="98">
                  <c:v>23.039999999999988</c:v>
                </c:pt>
                <c:pt idx="99">
                  <c:v>24.009999999999987</c:v>
                </c:pt>
                <c:pt idx="100">
                  <c:v>24.999999999999982</c:v>
                </c:pt>
              </c:numCache>
            </c:numRef>
          </c:val>
        </c:ser>
        <c:marker val="1"/>
        <c:axId val="296875904"/>
        <c:axId val="297807872"/>
      </c:lineChart>
      <c:catAx>
        <c:axId val="2968759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x-axis</a:t>
                </a:r>
              </a:p>
            </c:rich>
          </c:tx>
        </c:title>
        <c:numFmt formatCode="General" sourceLinked="1"/>
        <c:tickLblPos val="nextTo"/>
        <c:crossAx val="297807872"/>
        <c:crosses val="autoZero"/>
        <c:auto val="1"/>
        <c:lblAlgn val="ctr"/>
        <c:lblOffset val="100"/>
        <c:tickLblSkip val="10"/>
        <c:tickMarkSkip val="10"/>
      </c:catAx>
      <c:valAx>
        <c:axId val="297807872"/>
        <c:scaling>
          <c:orientation val="minMax"/>
          <c:max val="25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y-axis</a:t>
                </a:r>
              </a:p>
            </c:rich>
          </c:tx>
        </c:title>
        <c:numFmt formatCode="General" sourceLinked="1"/>
        <c:tickLblPos val="nextTo"/>
        <c:crossAx val="296875904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cat>
            <c:numRef>
              <c:f>'Conversion 2'!$J$6:$J$12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cat>
          <c:val>
            <c:numRef>
              <c:f>'Conversion 2'!$K$6:$K$12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axId val="297779200"/>
        <c:axId val="297781120"/>
      </c:barChart>
      <c:catAx>
        <c:axId val="2977792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</c:title>
        <c:numFmt formatCode="General" sourceLinked="1"/>
        <c:tickLblPos val="nextTo"/>
        <c:crossAx val="297781120"/>
        <c:crosses val="autoZero"/>
        <c:auto val="1"/>
        <c:lblAlgn val="ctr"/>
        <c:lblOffset val="100"/>
      </c:catAx>
      <c:valAx>
        <c:axId val="29778112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General" sourceLinked="1"/>
        <c:tickLblPos val="nextTo"/>
        <c:crossAx val="297779200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cat>
            <c:numRef>
              <c:f>'Conversion 2'!$J$45:$J$50</c:f>
              <c:numCache>
                <c:formatCode>General</c:formatCode>
                <c:ptCount val="6"/>
                <c:pt idx="0">
                  <c:v>4.9999999999999991</c:v>
                </c:pt>
                <c:pt idx="1">
                  <c:v>5.1599999999999993</c:v>
                </c:pt>
                <c:pt idx="2">
                  <c:v>5.3199999999999994</c:v>
                </c:pt>
                <c:pt idx="3">
                  <c:v>5.4799999999999995</c:v>
                </c:pt>
                <c:pt idx="4">
                  <c:v>5.64</c:v>
                </c:pt>
                <c:pt idx="5">
                  <c:v>5.8</c:v>
                </c:pt>
              </c:numCache>
            </c:numRef>
          </c:cat>
          <c:val>
            <c:numRef>
              <c:f>'Conversion 2'!$K$45:$K$50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3</c:v>
                </c:pt>
                <c:pt idx="5">
                  <c:v>7</c:v>
                </c:pt>
              </c:numCache>
            </c:numRef>
          </c:val>
        </c:ser>
        <c:axId val="297481728"/>
        <c:axId val="297483648"/>
      </c:barChart>
      <c:catAx>
        <c:axId val="2974817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</c:title>
        <c:numFmt formatCode="General" sourceLinked="1"/>
        <c:tickLblPos val="nextTo"/>
        <c:crossAx val="297483648"/>
        <c:crosses val="autoZero"/>
        <c:auto val="1"/>
        <c:lblAlgn val="ctr"/>
        <c:lblOffset val="100"/>
      </c:catAx>
      <c:valAx>
        <c:axId val="29748364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General" sourceLinked="1"/>
        <c:tickLblPos val="nextTo"/>
        <c:crossAx val="297481728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cat>
            <c:numRef>
              <c:f>'Conversion 2'!$J$27:$J$32</c:f>
              <c:numCache>
                <c:formatCode>General</c:formatCode>
                <c:ptCount val="6"/>
                <c:pt idx="0">
                  <c:v>5.049999999999998</c:v>
                </c:pt>
                <c:pt idx="1">
                  <c:v>5.1999999999999984</c:v>
                </c:pt>
                <c:pt idx="2">
                  <c:v>5.3499999999999988</c:v>
                </c:pt>
                <c:pt idx="3">
                  <c:v>5.4999999999999991</c:v>
                </c:pt>
                <c:pt idx="4">
                  <c:v>5.6499999999999995</c:v>
                </c:pt>
                <c:pt idx="5">
                  <c:v>5.8</c:v>
                </c:pt>
              </c:numCache>
            </c:numRef>
          </c:cat>
          <c:val>
            <c:numRef>
              <c:f>'Conversion 2'!$K$27:$K$32</c:f>
              <c:numCache>
                <c:formatCode>General</c:formatCode>
                <c:ptCount val="6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7</c:v>
                </c:pt>
              </c:numCache>
            </c:numRef>
          </c:val>
        </c:ser>
        <c:axId val="297520128"/>
        <c:axId val="297526400"/>
      </c:barChart>
      <c:catAx>
        <c:axId val="2975201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</c:title>
        <c:numFmt formatCode="General" sourceLinked="1"/>
        <c:tickLblPos val="nextTo"/>
        <c:crossAx val="297526400"/>
        <c:crosses val="autoZero"/>
        <c:auto val="1"/>
        <c:lblAlgn val="ctr"/>
        <c:lblOffset val="100"/>
      </c:catAx>
      <c:valAx>
        <c:axId val="29752640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General" sourceLinked="1"/>
        <c:tickLblPos val="nextTo"/>
        <c:crossAx val="297520128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Stress Levels by Week</a:t>
            </a:r>
          </a:p>
        </c:rich>
      </c:tx>
    </c:title>
    <c:plotArea>
      <c:layout/>
      <c:lineChart>
        <c:grouping val="standard"/>
        <c:ser>
          <c:idx val="0"/>
          <c:order val="0"/>
          <c:errBars>
            <c:errDir val="y"/>
            <c:errBarType val="both"/>
            <c:errValType val="cust"/>
            <c:plus>
              <c:numRef>
                <c:f>'Chart s.e.'!$B$21:$E$21</c:f>
                <c:numCache>
                  <c:formatCode>General</c:formatCode>
                  <c:ptCount val="4"/>
                  <c:pt idx="0">
                    <c:v>4.1723199743372952</c:v>
                  </c:pt>
                  <c:pt idx="1">
                    <c:v>5.6111001100002165</c:v>
                  </c:pt>
                  <c:pt idx="2">
                    <c:v>3.1193202352690133</c:v>
                  </c:pt>
                  <c:pt idx="3">
                    <c:v>9.9582302246106558</c:v>
                  </c:pt>
                </c:numCache>
              </c:numRef>
            </c:plus>
            <c:minus>
              <c:numRef>
                <c:f>'Chart s.e.'!$B$21:$E$21</c:f>
                <c:numCache>
                  <c:formatCode>General</c:formatCode>
                  <c:ptCount val="4"/>
                  <c:pt idx="0">
                    <c:v>4.1723199743372952</c:v>
                  </c:pt>
                  <c:pt idx="1">
                    <c:v>5.6111001100002165</c:v>
                  </c:pt>
                  <c:pt idx="2">
                    <c:v>3.1193202352690133</c:v>
                  </c:pt>
                  <c:pt idx="3">
                    <c:v>9.9582302246106558</c:v>
                  </c:pt>
                </c:numCache>
              </c:numRef>
            </c:minus>
          </c:errBars>
          <c:cat>
            <c:strRef>
              <c:f>'Chart s.e.'!$B$3:$E$3</c:f>
              <c:strCache>
                <c:ptCount val="4"/>
                <c:pt idx="0">
                  <c:v>Before</c:v>
                </c:pt>
                <c:pt idx="1">
                  <c:v>1 week</c:v>
                </c:pt>
                <c:pt idx="2">
                  <c:v>2 weeks</c:v>
                </c:pt>
                <c:pt idx="3">
                  <c:v>3 weeks</c:v>
                </c:pt>
              </c:strCache>
            </c:strRef>
          </c:cat>
          <c:val>
            <c:numRef>
              <c:f>'Chart s.e.'!$B$19:$E$19</c:f>
              <c:numCache>
                <c:formatCode>General</c:formatCode>
                <c:ptCount val="4"/>
                <c:pt idx="0">
                  <c:v>18.133333333333333</c:v>
                </c:pt>
                <c:pt idx="1">
                  <c:v>27.133333333333333</c:v>
                </c:pt>
                <c:pt idx="2">
                  <c:v>23.666666666666668</c:v>
                </c:pt>
                <c:pt idx="3">
                  <c:v>40.733333333333334</c:v>
                </c:pt>
              </c:numCache>
            </c:numRef>
          </c:val>
        </c:ser>
        <c:marker val="1"/>
        <c:axId val="297645568"/>
        <c:axId val="297647104"/>
      </c:lineChart>
      <c:catAx>
        <c:axId val="297645568"/>
        <c:scaling>
          <c:orientation val="minMax"/>
        </c:scaling>
        <c:axPos val="b"/>
        <c:tickLblPos val="nextTo"/>
        <c:crossAx val="297647104"/>
        <c:crosses val="autoZero"/>
        <c:auto val="1"/>
        <c:lblAlgn val="ctr"/>
        <c:lblOffset val="100"/>
      </c:catAx>
      <c:valAx>
        <c:axId val="29764710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Stress Level</a:t>
                </a:r>
              </a:p>
            </c:rich>
          </c:tx>
        </c:title>
        <c:numFmt formatCode="General" sourceLinked="1"/>
        <c:tickLblPos val="nextTo"/>
        <c:crossAx val="297645568"/>
        <c:crosses val="autoZero"/>
        <c:crossBetween val="between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Powe</a:t>
            </a:r>
            <a:r>
              <a:rPr lang="en-US" baseline="0"/>
              <a:t>r by effect size</a:t>
            </a:r>
            <a:endParaRPr lang="en-US"/>
          </a:p>
        </c:rich>
      </c:tx>
    </c:title>
    <c:plotArea>
      <c:layout/>
      <c:scatterChart>
        <c:scatterStyle val="smoothMarker"/>
        <c:ser>
          <c:idx val="1"/>
          <c:order val="0"/>
          <c:tx>
            <c:strRef>
              <c:f>'T Power 1'!$N$5</c:f>
              <c:strCache>
                <c:ptCount val="1"/>
                <c:pt idx="0">
                  <c:v>power</c:v>
                </c:pt>
              </c:strCache>
            </c:strRef>
          </c:tx>
          <c:marker>
            <c:symbol val="none"/>
          </c:marker>
          <c:xVal>
            <c:numRef>
              <c:f>'T Power 1'!$L$6:$L$32</c:f>
              <c:numCache>
                <c:formatCode>General</c:formatCode>
                <c:ptCount val="27"/>
                <c:pt idx="0">
                  <c:v>0</c:v>
                </c:pt>
                <c:pt idx="1">
                  <c:v>4.8471600449361961E-2</c:v>
                </c:pt>
                <c:pt idx="2">
                  <c:v>9.6943200898723922E-2</c:v>
                </c:pt>
                <c:pt idx="3">
                  <c:v>0.14541480134808588</c:v>
                </c:pt>
                <c:pt idx="4">
                  <c:v>0.19388640179744784</c:v>
                </c:pt>
                <c:pt idx="5">
                  <c:v>0.24235800224680981</c:v>
                </c:pt>
                <c:pt idx="6">
                  <c:v>0.29082960269617175</c:v>
                </c:pt>
                <c:pt idx="7">
                  <c:v>0.33930120314553375</c:v>
                </c:pt>
                <c:pt idx="8">
                  <c:v>0.38777280359489569</c:v>
                </c:pt>
                <c:pt idx="9">
                  <c:v>0.43624440404425768</c:v>
                </c:pt>
                <c:pt idx="10">
                  <c:v>0.48471600449361962</c:v>
                </c:pt>
                <c:pt idx="11">
                  <c:v>0.53318760494298156</c:v>
                </c:pt>
                <c:pt idx="12">
                  <c:v>0.5816592053923435</c:v>
                </c:pt>
                <c:pt idx="13">
                  <c:v>0.63013080584170555</c:v>
                </c:pt>
                <c:pt idx="14">
                  <c:v>0.67860240629106749</c:v>
                </c:pt>
                <c:pt idx="15">
                  <c:v>0.72707400674042943</c:v>
                </c:pt>
                <c:pt idx="16">
                  <c:v>0.77554560718979138</c:v>
                </c:pt>
                <c:pt idx="17">
                  <c:v>0.82401720763915332</c:v>
                </c:pt>
                <c:pt idx="18">
                  <c:v>0.87248880808851537</c:v>
                </c:pt>
                <c:pt idx="19">
                  <c:v>0.92096040853787731</c:v>
                </c:pt>
                <c:pt idx="20">
                  <c:v>0.96943200898723925</c:v>
                </c:pt>
              </c:numCache>
            </c:numRef>
          </c:xVal>
          <c:yVal>
            <c:numRef>
              <c:f>'T Power 1'!$N$6:$N$32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1"/>
        </c:ser>
        <c:axId val="298044416"/>
        <c:axId val="298927232"/>
      </c:scatterChart>
      <c:valAx>
        <c:axId val="298044416"/>
        <c:scaling>
          <c:orientation val="minMax"/>
          <c:max val="1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effect size</a:t>
                </a:r>
              </a:p>
            </c:rich>
          </c:tx>
        </c:title>
        <c:numFmt formatCode="General" sourceLinked="1"/>
        <c:tickLblPos val="nextTo"/>
        <c:crossAx val="298927232"/>
        <c:crosses val="autoZero"/>
        <c:crossBetween val="midCat"/>
      </c:valAx>
      <c:valAx>
        <c:axId val="298927232"/>
        <c:scaling>
          <c:orientation val="minMax"/>
          <c:max val="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power</a:t>
                </a:r>
              </a:p>
            </c:rich>
          </c:tx>
        </c:title>
        <c:numFmt formatCode="#,##0.0" sourceLinked="0"/>
        <c:tickLblPos val="nextTo"/>
        <c:crossAx val="298044416"/>
        <c:crosses val="autoZero"/>
        <c:crossBetween val="midCat"/>
      </c:valAx>
    </c:plotArea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plotArea>
      <c:layout/>
      <c:scatterChart>
        <c:scatterStyle val="smoothMarker"/>
        <c:ser>
          <c:idx val="0"/>
          <c:order val="0"/>
          <c:tx>
            <c:strRef>
              <c:f>'T Power 1'!$C$34</c:f>
              <c:strCache>
                <c:ptCount val="1"/>
                <c:pt idx="0">
                  <c:v>H0</c:v>
                </c:pt>
              </c:strCache>
            </c:strRef>
          </c:tx>
          <c:marker>
            <c:symbol val="none"/>
          </c:marker>
          <c:xVal>
            <c:numRef>
              <c:f>'T Power 1'!$B$35:$B$195</c:f>
              <c:numCache>
                <c:formatCode>General</c:formatCode>
                <c:ptCount val="161"/>
                <c:pt idx="0">
                  <c:v>43.577577660338285</c:v>
                </c:pt>
                <c:pt idx="1">
                  <c:v>43.682857939584053</c:v>
                </c:pt>
                <c:pt idx="2">
                  <c:v>43.788138218829829</c:v>
                </c:pt>
                <c:pt idx="3">
                  <c:v>43.893418498075597</c:v>
                </c:pt>
                <c:pt idx="4">
                  <c:v>43.998698777321366</c:v>
                </c:pt>
                <c:pt idx="5">
                  <c:v>44.103979056567141</c:v>
                </c:pt>
                <c:pt idx="6">
                  <c:v>44.209259335812909</c:v>
                </c:pt>
                <c:pt idx="7">
                  <c:v>44.314539615058678</c:v>
                </c:pt>
                <c:pt idx="8">
                  <c:v>44.419819894304453</c:v>
                </c:pt>
                <c:pt idx="9">
                  <c:v>44.525100173550221</c:v>
                </c:pt>
                <c:pt idx="10">
                  <c:v>44.630380452795997</c:v>
                </c:pt>
                <c:pt idx="11">
                  <c:v>44.735660732041765</c:v>
                </c:pt>
                <c:pt idx="12">
                  <c:v>44.840941011287534</c:v>
                </c:pt>
                <c:pt idx="13">
                  <c:v>44.946221290533309</c:v>
                </c:pt>
                <c:pt idx="14">
                  <c:v>45.051501569779077</c:v>
                </c:pt>
                <c:pt idx="15">
                  <c:v>45.156781849024853</c:v>
                </c:pt>
                <c:pt idx="16">
                  <c:v>45.262062128270621</c:v>
                </c:pt>
                <c:pt idx="17">
                  <c:v>45.367342407516389</c:v>
                </c:pt>
                <c:pt idx="18">
                  <c:v>45.472622686762165</c:v>
                </c:pt>
                <c:pt idx="19">
                  <c:v>45.577902966007933</c:v>
                </c:pt>
                <c:pt idx="20">
                  <c:v>45.683183245253701</c:v>
                </c:pt>
                <c:pt idx="21">
                  <c:v>45.788463524499477</c:v>
                </c:pt>
                <c:pt idx="22">
                  <c:v>45.893743803745245</c:v>
                </c:pt>
                <c:pt idx="23">
                  <c:v>45.999024082991021</c:v>
                </c:pt>
                <c:pt idx="24">
                  <c:v>46.104304362236789</c:v>
                </c:pt>
                <c:pt idx="25">
                  <c:v>46.209584641482564</c:v>
                </c:pt>
                <c:pt idx="26">
                  <c:v>46.314864920728333</c:v>
                </c:pt>
                <c:pt idx="27">
                  <c:v>46.420145199974101</c:v>
                </c:pt>
                <c:pt idx="28">
                  <c:v>46.525425479219876</c:v>
                </c:pt>
                <c:pt idx="29">
                  <c:v>46.630705758465645</c:v>
                </c:pt>
                <c:pt idx="30">
                  <c:v>46.735986037711413</c:v>
                </c:pt>
                <c:pt idx="31">
                  <c:v>46.841266316957189</c:v>
                </c:pt>
                <c:pt idx="32">
                  <c:v>46.946546596202957</c:v>
                </c:pt>
                <c:pt idx="33">
                  <c:v>47.051826875448725</c:v>
                </c:pt>
                <c:pt idx="34">
                  <c:v>47.157107154694501</c:v>
                </c:pt>
                <c:pt idx="35">
                  <c:v>47.262387433940269</c:v>
                </c:pt>
                <c:pt idx="36">
                  <c:v>47.367667713186044</c:v>
                </c:pt>
                <c:pt idx="37">
                  <c:v>47.472947992431813</c:v>
                </c:pt>
                <c:pt idx="38">
                  <c:v>47.578228271677588</c:v>
                </c:pt>
                <c:pt idx="39">
                  <c:v>47.683508550923356</c:v>
                </c:pt>
                <c:pt idx="40">
                  <c:v>47.788788830169125</c:v>
                </c:pt>
                <c:pt idx="41">
                  <c:v>47.8940691094149</c:v>
                </c:pt>
                <c:pt idx="42">
                  <c:v>47.999349388660669</c:v>
                </c:pt>
                <c:pt idx="43">
                  <c:v>48.104629667906444</c:v>
                </c:pt>
                <c:pt idx="44">
                  <c:v>48.209909947152212</c:v>
                </c:pt>
                <c:pt idx="45">
                  <c:v>48.315190226397988</c:v>
                </c:pt>
                <c:pt idx="46">
                  <c:v>48.420470505643756</c:v>
                </c:pt>
                <c:pt idx="47">
                  <c:v>48.525750784889524</c:v>
                </c:pt>
                <c:pt idx="48">
                  <c:v>48.6310310641353</c:v>
                </c:pt>
                <c:pt idx="49">
                  <c:v>48.736311343381068</c:v>
                </c:pt>
                <c:pt idx="50">
                  <c:v>48.841591622626844</c:v>
                </c:pt>
                <c:pt idx="51">
                  <c:v>48.946871901872612</c:v>
                </c:pt>
                <c:pt idx="52">
                  <c:v>49.052152181118387</c:v>
                </c:pt>
                <c:pt idx="53">
                  <c:v>49.157432460364156</c:v>
                </c:pt>
                <c:pt idx="54">
                  <c:v>49.262712739609931</c:v>
                </c:pt>
                <c:pt idx="55">
                  <c:v>49.367993018855699</c:v>
                </c:pt>
                <c:pt idx="56">
                  <c:v>49.473273298101475</c:v>
                </c:pt>
                <c:pt idx="57">
                  <c:v>49.578553577347243</c:v>
                </c:pt>
                <c:pt idx="58">
                  <c:v>49.683833856593012</c:v>
                </c:pt>
                <c:pt idx="59">
                  <c:v>49.789114135838787</c:v>
                </c:pt>
                <c:pt idx="60">
                  <c:v>49.894394415084555</c:v>
                </c:pt>
                <c:pt idx="61">
                  <c:v>49.999674694330331</c:v>
                </c:pt>
                <c:pt idx="62">
                  <c:v>50.104954973576099</c:v>
                </c:pt>
                <c:pt idx="63">
                  <c:v>50.210235252821874</c:v>
                </c:pt>
                <c:pt idx="64">
                  <c:v>50.315515532067643</c:v>
                </c:pt>
                <c:pt idx="65">
                  <c:v>50.420795811313418</c:v>
                </c:pt>
                <c:pt idx="66">
                  <c:v>50.526076090559187</c:v>
                </c:pt>
                <c:pt idx="67">
                  <c:v>50.631356369804962</c:v>
                </c:pt>
                <c:pt idx="68">
                  <c:v>50.73663664905073</c:v>
                </c:pt>
                <c:pt idx="69">
                  <c:v>50.841916928296499</c:v>
                </c:pt>
                <c:pt idx="70">
                  <c:v>50.947197207542274</c:v>
                </c:pt>
                <c:pt idx="71">
                  <c:v>51.052477486788042</c:v>
                </c:pt>
                <c:pt idx="72">
                  <c:v>51.157757766033818</c:v>
                </c:pt>
                <c:pt idx="73">
                  <c:v>51.263038045279586</c:v>
                </c:pt>
                <c:pt idx="74">
                  <c:v>51.368318324525362</c:v>
                </c:pt>
                <c:pt idx="75">
                  <c:v>51.47359860377113</c:v>
                </c:pt>
                <c:pt idx="76">
                  <c:v>51.578878883016905</c:v>
                </c:pt>
                <c:pt idx="77">
                  <c:v>51.684159162262674</c:v>
                </c:pt>
                <c:pt idx="78">
                  <c:v>51.789439441508442</c:v>
                </c:pt>
                <c:pt idx="79">
                  <c:v>51.894719720754217</c:v>
                </c:pt>
                <c:pt idx="80">
                  <c:v>51.999999999999986</c:v>
                </c:pt>
                <c:pt idx="81">
                  <c:v>52.105280279245761</c:v>
                </c:pt>
                <c:pt idx="82">
                  <c:v>52.21056055849153</c:v>
                </c:pt>
                <c:pt idx="83">
                  <c:v>52.315840837737305</c:v>
                </c:pt>
                <c:pt idx="84">
                  <c:v>52.421121116983073</c:v>
                </c:pt>
                <c:pt idx="85">
                  <c:v>52.526401396228842</c:v>
                </c:pt>
                <c:pt idx="86">
                  <c:v>52.631681675474617</c:v>
                </c:pt>
                <c:pt idx="87">
                  <c:v>52.736961954720385</c:v>
                </c:pt>
                <c:pt idx="88">
                  <c:v>52.842242233966161</c:v>
                </c:pt>
                <c:pt idx="89">
                  <c:v>52.947522513211929</c:v>
                </c:pt>
                <c:pt idx="90">
                  <c:v>53.052802792457705</c:v>
                </c:pt>
                <c:pt idx="91">
                  <c:v>53.158083071703473</c:v>
                </c:pt>
                <c:pt idx="92">
                  <c:v>53.263363350949248</c:v>
                </c:pt>
                <c:pt idx="93">
                  <c:v>53.368643630195017</c:v>
                </c:pt>
                <c:pt idx="94">
                  <c:v>53.473923909440785</c:v>
                </c:pt>
                <c:pt idx="95">
                  <c:v>53.57920418868656</c:v>
                </c:pt>
                <c:pt idx="96">
                  <c:v>53.684484467932329</c:v>
                </c:pt>
                <c:pt idx="97">
                  <c:v>53.789764747178104</c:v>
                </c:pt>
                <c:pt idx="98">
                  <c:v>53.895045026423873</c:v>
                </c:pt>
                <c:pt idx="99">
                  <c:v>54.000325305669648</c:v>
                </c:pt>
                <c:pt idx="100">
                  <c:v>54.105605584915416</c:v>
                </c:pt>
                <c:pt idx="101">
                  <c:v>54.210885864161192</c:v>
                </c:pt>
                <c:pt idx="102">
                  <c:v>54.31616614340696</c:v>
                </c:pt>
                <c:pt idx="103">
                  <c:v>54.421446422652735</c:v>
                </c:pt>
                <c:pt idx="104">
                  <c:v>54.526726701898504</c:v>
                </c:pt>
                <c:pt idx="105">
                  <c:v>54.632006981144272</c:v>
                </c:pt>
                <c:pt idx="106">
                  <c:v>54.737287260390048</c:v>
                </c:pt>
                <c:pt idx="107">
                  <c:v>54.842567539635816</c:v>
                </c:pt>
                <c:pt idx="108">
                  <c:v>54.947847818881591</c:v>
                </c:pt>
                <c:pt idx="109">
                  <c:v>55.05312809812736</c:v>
                </c:pt>
                <c:pt idx="110">
                  <c:v>55.158408377373135</c:v>
                </c:pt>
                <c:pt idx="111">
                  <c:v>55.263688656618903</c:v>
                </c:pt>
                <c:pt idx="112">
                  <c:v>55.368968935864679</c:v>
                </c:pt>
                <c:pt idx="113">
                  <c:v>55.474249215110447</c:v>
                </c:pt>
                <c:pt idx="114">
                  <c:v>55.579529494356223</c:v>
                </c:pt>
                <c:pt idx="115">
                  <c:v>55.684809773601991</c:v>
                </c:pt>
                <c:pt idx="116">
                  <c:v>55.790090052847759</c:v>
                </c:pt>
                <c:pt idx="117">
                  <c:v>55.895370332093535</c:v>
                </c:pt>
                <c:pt idx="118">
                  <c:v>56.000650611339303</c:v>
                </c:pt>
                <c:pt idx="119">
                  <c:v>56.105930890585078</c:v>
                </c:pt>
                <c:pt idx="120">
                  <c:v>56.211211169830847</c:v>
                </c:pt>
                <c:pt idx="121">
                  <c:v>56.316491449076622</c:v>
                </c:pt>
                <c:pt idx="122">
                  <c:v>56.421771728322391</c:v>
                </c:pt>
                <c:pt idx="123">
                  <c:v>56.527052007568159</c:v>
                </c:pt>
                <c:pt idx="124">
                  <c:v>56.632332286813934</c:v>
                </c:pt>
                <c:pt idx="125">
                  <c:v>56.737612566059703</c:v>
                </c:pt>
                <c:pt idx="126">
                  <c:v>56.842892845305478</c:v>
                </c:pt>
                <c:pt idx="127">
                  <c:v>56.948173124551246</c:v>
                </c:pt>
                <c:pt idx="128">
                  <c:v>57.053453403797015</c:v>
                </c:pt>
                <c:pt idx="129">
                  <c:v>57.15873368304279</c:v>
                </c:pt>
                <c:pt idx="130">
                  <c:v>57.264013962288558</c:v>
                </c:pt>
                <c:pt idx="131">
                  <c:v>57.369294241534334</c:v>
                </c:pt>
                <c:pt idx="132">
                  <c:v>57.474574520780102</c:v>
                </c:pt>
                <c:pt idx="133">
                  <c:v>57.579854800025871</c:v>
                </c:pt>
                <c:pt idx="134">
                  <c:v>57.685135079271646</c:v>
                </c:pt>
                <c:pt idx="135">
                  <c:v>57.790415358517414</c:v>
                </c:pt>
                <c:pt idx="136">
                  <c:v>57.895695637763183</c:v>
                </c:pt>
                <c:pt idx="137">
                  <c:v>58.000975917008958</c:v>
                </c:pt>
                <c:pt idx="138">
                  <c:v>58.106256196254726</c:v>
                </c:pt>
                <c:pt idx="139">
                  <c:v>58.211536475500502</c:v>
                </c:pt>
                <c:pt idx="140">
                  <c:v>58.31681675474627</c:v>
                </c:pt>
                <c:pt idx="141">
                  <c:v>58.422097033992046</c:v>
                </c:pt>
                <c:pt idx="142">
                  <c:v>58.527377313237814</c:v>
                </c:pt>
                <c:pt idx="143">
                  <c:v>58.632657592483582</c:v>
                </c:pt>
                <c:pt idx="144">
                  <c:v>58.737937871729358</c:v>
                </c:pt>
                <c:pt idx="145">
                  <c:v>58.843218150975126</c:v>
                </c:pt>
                <c:pt idx="146">
                  <c:v>58.948498430220894</c:v>
                </c:pt>
                <c:pt idx="147">
                  <c:v>59.05377870946667</c:v>
                </c:pt>
                <c:pt idx="148">
                  <c:v>59.159058988712438</c:v>
                </c:pt>
                <c:pt idx="149">
                  <c:v>59.264339267958206</c:v>
                </c:pt>
                <c:pt idx="150">
                  <c:v>59.369619547203982</c:v>
                </c:pt>
                <c:pt idx="151">
                  <c:v>59.47489982644975</c:v>
                </c:pt>
                <c:pt idx="152">
                  <c:v>59.580180105695526</c:v>
                </c:pt>
                <c:pt idx="153">
                  <c:v>59.685460384941294</c:v>
                </c:pt>
                <c:pt idx="154">
                  <c:v>59.790740664187069</c:v>
                </c:pt>
                <c:pt idx="155">
                  <c:v>59.896020943432838</c:v>
                </c:pt>
                <c:pt idx="156">
                  <c:v>60.001301222678606</c:v>
                </c:pt>
                <c:pt idx="157">
                  <c:v>60.106581501924381</c:v>
                </c:pt>
                <c:pt idx="158">
                  <c:v>60.21186178117015</c:v>
                </c:pt>
                <c:pt idx="159">
                  <c:v>60.317142060415918</c:v>
                </c:pt>
                <c:pt idx="160">
                  <c:v>60.422422339661694</c:v>
                </c:pt>
              </c:numCache>
            </c:numRef>
          </c:xVal>
          <c:yVal>
            <c:numRef>
              <c:f>'T Power 1'!$C$35:$C$195</c:f>
              <c:numCache>
                <c:formatCode>General</c:formatCode>
                <c:ptCount val="161"/>
                <c:pt idx="0">
                  <c:v>6.9847313290886926E-4</c:v>
                </c:pt>
                <c:pt idx="1">
                  <c:v>7.8984124769042709E-4</c:v>
                </c:pt>
                <c:pt idx="2">
                  <c:v>8.9289530112840465E-4</c:v>
                </c:pt>
                <c:pt idx="3">
                  <c:v>1.009072129465419E-3</c:v>
                </c:pt>
                <c:pt idx="4">
                  <c:v>1.1399739020851629E-3</c:v>
                </c:pt>
                <c:pt idx="5">
                  <c:v>1.2873850492757806E-3</c:v>
                </c:pt>
                <c:pt idx="6">
                  <c:v>1.4532905470307582E-3</c:v>
                </c:pt>
                <c:pt idx="7">
                  <c:v>1.6398955995339201E-3</c:v>
                </c:pt>
                <c:pt idx="8">
                  <c:v>1.8496467470340457E-3</c:v>
                </c:pt>
                <c:pt idx="9">
                  <c:v>2.0852544104593158E-3</c:v>
                </c:pt>
                <c:pt idx="10">
                  <c:v>2.3497168638986388E-3</c:v>
                </c:pt>
                <c:pt idx="11">
                  <c:v>2.6463456015155106E-3</c:v>
                </c:pt>
                <c:pt idx="12">
                  <c:v>2.9787920360836552E-3</c:v>
                </c:pt>
                <c:pt idx="13">
                  <c:v>3.3510754316705203E-3</c:v>
                </c:pt>
                <c:pt idx="14">
                  <c:v>3.7676119325930216E-3</c:v>
                </c:pt>
                <c:pt idx="15">
                  <c:v>4.2332445042163065E-3</c:v>
                </c:pt>
                <c:pt idx="16">
                  <c:v>4.7532735481092868E-3</c:v>
                </c:pt>
                <c:pt idx="17">
                  <c:v>5.3334878942436457E-3</c:v>
                </c:pt>
                <c:pt idx="18">
                  <c:v>5.9801958061783105E-3</c:v>
                </c:pt>
                <c:pt idx="19">
                  <c:v>6.7002555615100464E-3</c:v>
                </c:pt>
                <c:pt idx="20">
                  <c:v>7.5011050894841901E-3</c:v>
                </c:pt>
                <c:pt idx="21">
                  <c:v>8.3907900609672421E-3</c:v>
                </c:pt>
                <c:pt idx="22">
                  <c:v>9.3779897336767962E-3</c:v>
                </c:pt>
                <c:pt idx="23">
                  <c:v>1.047203975865761E-2</c:v>
                </c:pt>
                <c:pt idx="24">
                  <c:v>1.1682951053855523E-2</c:v>
                </c:pt>
                <c:pt idx="25">
                  <c:v>1.3021423749058569E-2</c:v>
                </c:pt>
                <c:pt idx="26">
                  <c:v>1.4498855105670489E-2</c:v>
                </c:pt>
                <c:pt idx="27">
                  <c:v>1.6127340217466212E-2</c:v>
                </c:pt>
                <c:pt idx="28">
                  <c:v>1.7919664207860907E-2</c:v>
                </c:pt>
                <c:pt idx="29">
                  <c:v>1.9889284559029965E-2</c:v>
                </c:pt>
                <c:pt idx="30">
                  <c:v>2.2050302142681284E-2</c:v>
                </c:pt>
                <c:pt idx="31">
                  <c:v>2.4417419476118345E-2</c:v>
                </c:pt>
                <c:pt idx="32">
                  <c:v>2.700588470559059E-2</c:v>
                </c:pt>
                <c:pt idx="33">
                  <c:v>2.9831419827300948E-2</c:v>
                </c:pt>
                <c:pt idx="34">
                  <c:v>3.2910131700565608E-2</c:v>
                </c:pt>
                <c:pt idx="35">
                  <c:v>3.6258404493318533E-2</c:v>
                </c:pt>
                <c:pt idx="36">
                  <c:v>3.9892772333153199E-2</c:v>
                </c:pt>
                <c:pt idx="37">
                  <c:v>4.382977112280334E-2</c:v>
                </c:pt>
                <c:pt idx="38">
                  <c:v>4.8085768722214935E-2</c:v>
                </c:pt>
                <c:pt idx="39">
                  <c:v>5.2676773004108904E-2</c:v>
                </c:pt>
                <c:pt idx="40">
                  <c:v>5.7618217658942907E-2</c:v>
                </c:pt>
                <c:pt idx="41">
                  <c:v>6.2924726059680677E-2</c:v>
                </c:pt>
                <c:pt idx="42">
                  <c:v>6.8609853996107487E-2</c:v>
                </c:pt>
                <c:pt idx="43">
                  <c:v>7.4685812649714314E-2</c:v>
                </c:pt>
                <c:pt idx="44">
                  <c:v>8.1163173797966212E-2</c:v>
                </c:pt>
                <c:pt idx="45">
                  <c:v>8.8050559902822512E-2</c:v>
                </c:pt>
                <c:pt idx="46">
                  <c:v>9.5354322441383171E-2</c:v>
                </c:pt>
                <c:pt idx="47">
                  <c:v>0.10307821256203414</c:v>
                </c:pt>
                <c:pt idx="48">
                  <c:v>0.1112230488798211</c:v>
                </c:pt>
                <c:pt idx="49">
                  <c:v>0.11978638793929315</c:v>
                </c:pt>
                <c:pt idx="50">
                  <c:v>0.12876220354825577</c:v>
                </c:pt>
                <c:pt idx="51">
                  <c:v>0.13814058179593361</c:v>
                </c:pt>
                <c:pt idx="52">
                  <c:v>0.14790743908643475</c:v>
                </c:pt>
                <c:pt idx="53">
                  <c:v>0.15804427091466802</c:v>
                </c:pt>
                <c:pt idx="54">
                  <c:v>0.16852793935858928</c:v>
                </c:pt>
                <c:pt idx="55">
                  <c:v>0.17933050733160047</c:v>
                </c:pt>
                <c:pt idx="56">
                  <c:v>0.19041912750727322</c:v>
                </c:pt>
                <c:pt idx="57">
                  <c:v>0.20175599347423381</c:v>
                </c:pt>
                <c:pt idx="58">
                  <c:v>0.21329836008602401</c:v>
                </c:pt>
                <c:pt idx="59">
                  <c:v>0.22499863912943704</c:v>
                </c:pt>
                <c:pt idx="60">
                  <c:v>0.23680457534321936</c:v>
                </c:pt>
                <c:pt idx="61">
                  <c:v>0.24865950648372862</c:v>
                </c:pt>
                <c:pt idx="62">
                  <c:v>0.2605027095711378</c:v>
                </c:pt>
                <c:pt idx="63">
                  <c:v>0.27226983368486285</c:v>
                </c:pt>
                <c:pt idx="64">
                  <c:v>0.28389341774567617</c:v>
                </c:pt>
                <c:pt idx="65">
                  <c:v>0.29530348966950626</c:v>
                </c:pt>
                <c:pt idx="66">
                  <c:v>0.30642824115777911</c:v>
                </c:pt>
                <c:pt idx="67">
                  <c:v>0.31719477026207782</c:v>
                </c:pt>
                <c:pt idx="68">
                  <c:v>0.32752988179298531</c:v>
                </c:pt>
                <c:pt idx="69">
                  <c:v>0.33736093370341957</c:v>
                </c:pt>
                <c:pt idx="70">
                  <c:v>0.3466167158353175</c:v>
                </c:pt>
                <c:pt idx="71">
                  <c:v>0.35522834594263486</c:v>
                </c:pt>
                <c:pt idx="72">
                  <c:v>0.36313016675558774</c:v>
                </c:pt>
                <c:pt idx="73">
                  <c:v>0.37026062708506108</c:v>
                </c:pt>
                <c:pt idx="74">
                  <c:v>0.37656312962559563</c:v>
                </c:pt>
                <c:pt idx="75">
                  <c:v>0.38198682823059565</c:v>
                </c:pt>
                <c:pt idx="76">
                  <c:v>0.38648735801961398</c:v>
                </c:pt>
                <c:pt idx="77">
                  <c:v>0.39002748273363458</c:v>
                </c:pt>
                <c:pt idx="78">
                  <c:v>0.39257764526209188</c:v>
                </c:pt>
                <c:pt idx="79">
                  <c:v>0.39411640919001467</c:v>
                </c:pt>
                <c:pt idx="80">
                  <c:v>0.39463078150433906</c:v>
                </c:pt>
                <c:pt idx="81">
                  <c:v>0.39411640919001489</c:v>
                </c:pt>
                <c:pt idx="82">
                  <c:v>0.39257764526209232</c:v>
                </c:pt>
                <c:pt idx="83">
                  <c:v>0.39002748273363524</c:v>
                </c:pt>
                <c:pt idx="84">
                  <c:v>0.38648735801961487</c:v>
                </c:pt>
                <c:pt idx="85">
                  <c:v>0.38198682823059676</c:v>
                </c:pt>
                <c:pt idx="86">
                  <c:v>0.37656312962559696</c:v>
                </c:pt>
                <c:pt idx="87">
                  <c:v>0.37026062708506263</c:v>
                </c:pt>
                <c:pt idx="88">
                  <c:v>0.36313016675558951</c:v>
                </c:pt>
                <c:pt idx="89">
                  <c:v>0.3552283459426368</c:v>
                </c:pt>
                <c:pt idx="90">
                  <c:v>0.34661671583531956</c:v>
                </c:pt>
                <c:pt idx="91">
                  <c:v>0.33736093370342191</c:v>
                </c:pt>
                <c:pt idx="92">
                  <c:v>0.32752988179298775</c:v>
                </c:pt>
                <c:pt idx="93">
                  <c:v>0.31719477026208032</c:v>
                </c:pt>
                <c:pt idx="94">
                  <c:v>0.30642824115778167</c:v>
                </c:pt>
                <c:pt idx="95">
                  <c:v>0.29530348966950876</c:v>
                </c:pt>
                <c:pt idx="96">
                  <c:v>0.28389341774567878</c:v>
                </c:pt>
                <c:pt idx="97">
                  <c:v>0.27226983368486563</c:v>
                </c:pt>
                <c:pt idx="98">
                  <c:v>0.26050270957114058</c:v>
                </c:pt>
                <c:pt idx="99">
                  <c:v>0.24865950648373136</c:v>
                </c:pt>
                <c:pt idx="100">
                  <c:v>0.23680457534322211</c:v>
                </c:pt>
                <c:pt idx="101">
                  <c:v>0.22499863912943982</c:v>
                </c:pt>
                <c:pt idx="102">
                  <c:v>0.21329836008602673</c:v>
                </c:pt>
                <c:pt idx="103">
                  <c:v>0.20175599347423653</c:v>
                </c:pt>
                <c:pt idx="104">
                  <c:v>0.19041912750727583</c:v>
                </c:pt>
                <c:pt idx="105">
                  <c:v>0.17933050733160305</c:v>
                </c:pt>
                <c:pt idx="106">
                  <c:v>0.16852793935859181</c:v>
                </c:pt>
                <c:pt idx="107">
                  <c:v>0.15804427091467044</c:v>
                </c:pt>
                <c:pt idx="108">
                  <c:v>0.14790743908643708</c:v>
                </c:pt>
                <c:pt idx="109">
                  <c:v>0.13814058179593591</c:v>
                </c:pt>
                <c:pt idx="110">
                  <c:v>0.12876220354825788</c:v>
                </c:pt>
                <c:pt idx="111">
                  <c:v>0.11978638793929525</c:v>
                </c:pt>
                <c:pt idx="112">
                  <c:v>0.11122304887982307</c:v>
                </c:pt>
                <c:pt idx="113">
                  <c:v>0.103078212562036</c:v>
                </c:pt>
                <c:pt idx="114">
                  <c:v>9.5354322441384975E-2</c:v>
                </c:pt>
                <c:pt idx="115">
                  <c:v>8.8050559902824205E-2</c:v>
                </c:pt>
                <c:pt idx="116">
                  <c:v>8.116317379796778E-2</c:v>
                </c:pt>
                <c:pt idx="117">
                  <c:v>7.4685812649715799E-2</c:v>
                </c:pt>
                <c:pt idx="118">
                  <c:v>6.8609853996108847E-2</c:v>
                </c:pt>
                <c:pt idx="119">
                  <c:v>6.2924726059681954E-2</c:v>
                </c:pt>
                <c:pt idx="120">
                  <c:v>5.7618217658944128E-2</c:v>
                </c:pt>
                <c:pt idx="121">
                  <c:v>5.2676773004109993E-2</c:v>
                </c:pt>
                <c:pt idx="122">
                  <c:v>4.8085768722215941E-2</c:v>
                </c:pt>
                <c:pt idx="123">
                  <c:v>4.3829771122804284E-2</c:v>
                </c:pt>
                <c:pt idx="124">
                  <c:v>3.989277233315406E-2</c:v>
                </c:pt>
                <c:pt idx="125">
                  <c:v>3.6258404493319359E-2</c:v>
                </c:pt>
                <c:pt idx="126">
                  <c:v>3.291013170056635E-2</c:v>
                </c:pt>
                <c:pt idx="127">
                  <c:v>2.9831419827301624E-2</c:v>
                </c:pt>
                <c:pt idx="128">
                  <c:v>2.7005884705591225E-2</c:v>
                </c:pt>
                <c:pt idx="129">
                  <c:v>2.4417419476118914E-2</c:v>
                </c:pt>
                <c:pt idx="130">
                  <c:v>2.2050302142681801E-2</c:v>
                </c:pt>
                <c:pt idx="131">
                  <c:v>1.9889284559030451E-2</c:v>
                </c:pt>
                <c:pt idx="132">
                  <c:v>1.7919664207861331E-2</c:v>
                </c:pt>
                <c:pt idx="133">
                  <c:v>1.6127340217466608E-2</c:v>
                </c:pt>
                <c:pt idx="134">
                  <c:v>1.4498855105670852E-2</c:v>
                </c:pt>
                <c:pt idx="135">
                  <c:v>1.3021423749058899E-2</c:v>
                </c:pt>
                <c:pt idx="136">
                  <c:v>1.1682951053855821E-2</c:v>
                </c:pt>
                <c:pt idx="137">
                  <c:v>1.0472039758657872E-2</c:v>
                </c:pt>
                <c:pt idx="138">
                  <c:v>9.3779897336770356E-3</c:v>
                </c:pt>
                <c:pt idx="139">
                  <c:v>8.3907900609674554E-3</c:v>
                </c:pt>
                <c:pt idx="140">
                  <c:v>7.5011050894843853E-3</c:v>
                </c:pt>
                <c:pt idx="141">
                  <c:v>6.7002555615102146E-3</c:v>
                </c:pt>
                <c:pt idx="142">
                  <c:v>5.9801958061784658E-3</c:v>
                </c:pt>
                <c:pt idx="143">
                  <c:v>5.3334878942437837E-3</c:v>
                </c:pt>
                <c:pt idx="144">
                  <c:v>4.7532735481094143E-3</c:v>
                </c:pt>
                <c:pt idx="145">
                  <c:v>4.2332445042164279E-3</c:v>
                </c:pt>
                <c:pt idx="146">
                  <c:v>3.7676119325931292E-3</c:v>
                </c:pt>
                <c:pt idx="147">
                  <c:v>3.3510754316706131E-3</c:v>
                </c:pt>
                <c:pt idx="148">
                  <c:v>2.9787920360837329E-3</c:v>
                </c:pt>
                <c:pt idx="149">
                  <c:v>2.6463456015155843E-3</c:v>
                </c:pt>
                <c:pt idx="150">
                  <c:v>2.3497168638986999E-3</c:v>
                </c:pt>
                <c:pt idx="151">
                  <c:v>2.0852544104593717E-3</c:v>
                </c:pt>
                <c:pt idx="152">
                  <c:v>1.8496467470340988E-3</c:v>
                </c:pt>
                <c:pt idx="153">
                  <c:v>1.6398955995339658E-3</c:v>
                </c:pt>
                <c:pt idx="154">
                  <c:v>1.4532905470307971E-3</c:v>
                </c:pt>
                <c:pt idx="155">
                  <c:v>1.2873850492758165E-3</c:v>
                </c:pt>
                <c:pt idx="156">
                  <c:v>1.1399739020851968E-3</c:v>
                </c:pt>
                <c:pt idx="157">
                  <c:v>1.0090721294654457E-3</c:v>
                </c:pt>
                <c:pt idx="158">
                  <c:v>8.9289530112843024E-4</c:v>
                </c:pt>
                <c:pt idx="159">
                  <c:v>7.8984124769044975E-4</c:v>
                </c:pt>
                <c:pt idx="160">
                  <c:v>6.9847313290888867E-4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'T Power 1'!$D$34</c:f>
              <c:strCache>
                <c:ptCount val="1"/>
                <c:pt idx="0">
                  <c:v>H1</c:v>
                </c:pt>
              </c:strCache>
            </c:strRef>
          </c:tx>
          <c:marker>
            <c:symbol val="none"/>
          </c:marker>
          <c:xVal>
            <c:numRef>
              <c:f>'T Power 1'!$B$35:$B$195</c:f>
              <c:numCache>
                <c:formatCode>General</c:formatCode>
                <c:ptCount val="161"/>
                <c:pt idx="0">
                  <c:v>43.577577660338285</c:v>
                </c:pt>
                <c:pt idx="1">
                  <c:v>43.682857939584053</c:v>
                </c:pt>
                <c:pt idx="2">
                  <c:v>43.788138218829829</c:v>
                </c:pt>
                <c:pt idx="3">
                  <c:v>43.893418498075597</c:v>
                </c:pt>
                <c:pt idx="4">
                  <c:v>43.998698777321366</c:v>
                </c:pt>
                <c:pt idx="5">
                  <c:v>44.103979056567141</c:v>
                </c:pt>
                <c:pt idx="6">
                  <c:v>44.209259335812909</c:v>
                </c:pt>
                <c:pt idx="7">
                  <c:v>44.314539615058678</c:v>
                </c:pt>
                <c:pt idx="8">
                  <c:v>44.419819894304453</c:v>
                </c:pt>
                <c:pt idx="9">
                  <c:v>44.525100173550221</c:v>
                </c:pt>
                <c:pt idx="10">
                  <c:v>44.630380452795997</c:v>
                </c:pt>
                <c:pt idx="11">
                  <c:v>44.735660732041765</c:v>
                </c:pt>
                <c:pt idx="12">
                  <c:v>44.840941011287534</c:v>
                </c:pt>
                <c:pt idx="13">
                  <c:v>44.946221290533309</c:v>
                </c:pt>
                <c:pt idx="14">
                  <c:v>45.051501569779077</c:v>
                </c:pt>
                <c:pt idx="15">
                  <c:v>45.156781849024853</c:v>
                </c:pt>
                <c:pt idx="16">
                  <c:v>45.262062128270621</c:v>
                </c:pt>
                <c:pt idx="17">
                  <c:v>45.367342407516389</c:v>
                </c:pt>
                <c:pt idx="18">
                  <c:v>45.472622686762165</c:v>
                </c:pt>
                <c:pt idx="19">
                  <c:v>45.577902966007933</c:v>
                </c:pt>
                <c:pt idx="20">
                  <c:v>45.683183245253701</c:v>
                </c:pt>
                <c:pt idx="21">
                  <c:v>45.788463524499477</c:v>
                </c:pt>
                <c:pt idx="22">
                  <c:v>45.893743803745245</c:v>
                </c:pt>
                <c:pt idx="23">
                  <c:v>45.999024082991021</c:v>
                </c:pt>
                <c:pt idx="24">
                  <c:v>46.104304362236789</c:v>
                </c:pt>
                <c:pt idx="25">
                  <c:v>46.209584641482564</c:v>
                </c:pt>
                <c:pt idx="26">
                  <c:v>46.314864920728333</c:v>
                </c:pt>
                <c:pt idx="27">
                  <c:v>46.420145199974101</c:v>
                </c:pt>
                <c:pt idx="28">
                  <c:v>46.525425479219876</c:v>
                </c:pt>
                <c:pt idx="29">
                  <c:v>46.630705758465645</c:v>
                </c:pt>
                <c:pt idx="30">
                  <c:v>46.735986037711413</c:v>
                </c:pt>
                <c:pt idx="31">
                  <c:v>46.841266316957189</c:v>
                </c:pt>
                <c:pt idx="32">
                  <c:v>46.946546596202957</c:v>
                </c:pt>
                <c:pt idx="33">
                  <c:v>47.051826875448725</c:v>
                </c:pt>
                <c:pt idx="34">
                  <c:v>47.157107154694501</c:v>
                </c:pt>
                <c:pt idx="35">
                  <c:v>47.262387433940269</c:v>
                </c:pt>
                <c:pt idx="36">
                  <c:v>47.367667713186044</c:v>
                </c:pt>
                <c:pt idx="37">
                  <c:v>47.472947992431813</c:v>
                </c:pt>
                <c:pt idx="38">
                  <c:v>47.578228271677588</c:v>
                </c:pt>
                <c:pt idx="39">
                  <c:v>47.683508550923356</c:v>
                </c:pt>
                <c:pt idx="40">
                  <c:v>47.788788830169125</c:v>
                </c:pt>
                <c:pt idx="41">
                  <c:v>47.8940691094149</c:v>
                </c:pt>
                <c:pt idx="42">
                  <c:v>47.999349388660669</c:v>
                </c:pt>
                <c:pt idx="43">
                  <c:v>48.104629667906444</c:v>
                </c:pt>
                <c:pt idx="44">
                  <c:v>48.209909947152212</c:v>
                </c:pt>
                <c:pt idx="45">
                  <c:v>48.315190226397988</c:v>
                </c:pt>
                <c:pt idx="46">
                  <c:v>48.420470505643756</c:v>
                </c:pt>
                <c:pt idx="47">
                  <c:v>48.525750784889524</c:v>
                </c:pt>
                <c:pt idx="48">
                  <c:v>48.6310310641353</c:v>
                </c:pt>
                <c:pt idx="49">
                  <c:v>48.736311343381068</c:v>
                </c:pt>
                <c:pt idx="50">
                  <c:v>48.841591622626844</c:v>
                </c:pt>
                <c:pt idx="51">
                  <c:v>48.946871901872612</c:v>
                </c:pt>
                <c:pt idx="52">
                  <c:v>49.052152181118387</c:v>
                </c:pt>
                <c:pt idx="53">
                  <c:v>49.157432460364156</c:v>
                </c:pt>
                <c:pt idx="54">
                  <c:v>49.262712739609931</c:v>
                </c:pt>
                <c:pt idx="55">
                  <c:v>49.367993018855699</c:v>
                </c:pt>
                <c:pt idx="56">
                  <c:v>49.473273298101475</c:v>
                </c:pt>
                <c:pt idx="57">
                  <c:v>49.578553577347243</c:v>
                </c:pt>
                <c:pt idx="58">
                  <c:v>49.683833856593012</c:v>
                </c:pt>
                <c:pt idx="59">
                  <c:v>49.789114135838787</c:v>
                </c:pt>
                <c:pt idx="60">
                  <c:v>49.894394415084555</c:v>
                </c:pt>
                <c:pt idx="61">
                  <c:v>49.999674694330331</c:v>
                </c:pt>
                <c:pt idx="62">
                  <c:v>50.104954973576099</c:v>
                </c:pt>
                <c:pt idx="63">
                  <c:v>50.210235252821874</c:v>
                </c:pt>
                <c:pt idx="64">
                  <c:v>50.315515532067643</c:v>
                </c:pt>
                <c:pt idx="65">
                  <c:v>50.420795811313418</c:v>
                </c:pt>
                <c:pt idx="66">
                  <c:v>50.526076090559187</c:v>
                </c:pt>
                <c:pt idx="67">
                  <c:v>50.631356369804962</c:v>
                </c:pt>
                <c:pt idx="68">
                  <c:v>50.73663664905073</c:v>
                </c:pt>
                <c:pt idx="69">
                  <c:v>50.841916928296499</c:v>
                </c:pt>
                <c:pt idx="70">
                  <c:v>50.947197207542274</c:v>
                </c:pt>
                <c:pt idx="71">
                  <c:v>51.052477486788042</c:v>
                </c:pt>
                <c:pt idx="72">
                  <c:v>51.157757766033818</c:v>
                </c:pt>
                <c:pt idx="73">
                  <c:v>51.263038045279586</c:v>
                </c:pt>
                <c:pt idx="74">
                  <c:v>51.368318324525362</c:v>
                </c:pt>
                <c:pt idx="75">
                  <c:v>51.47359860377113</c:v>
                </c:pt>
                <c:pt idx="76">
                  <c:v>51.578878883016905</c:v>
                </c:pt>
                <c:pt idx="77">
                  <c:v>51.684159162262674</c:v>
                </c:pt>
                <c:pt idx="78">
                  <c:v>51.789439441508442</c:v>
                </c:pt>
                <c:pt idx="79">
                  <c:v>51.894719720754217</c:v>
                </c:pt>
                <c:pt idx="80">
                  <c:v>51.999999999999986</c:v>
                </c:pt>
                <c:pt idx="81">
                  <c:v>52.105280279245761</c:v>
                </c:pt>
                <c:pt idx="82">
                  <c:v>52.21056055849153</c:v>
                </c:pt>
                <c:pt idx="83">
                  <c:v>52.315840837737305</c:v>
                </c:pt>
                <c:pt idx="84">
                  <c:v>52.421121116983073</c:v>
                </c:pt>
                <c:pt idx="85">
                  <c:v>52.526401396228842</c:v>
                </c:pt>
                <c:pt idx="86">
                  <c:v>52.631681675474617</c:v>
                </c:pt>
                <c:pt idx="87">
                  <c:v>52.736961954720385</c:v>
                </c:pt>
                <c:pt idx="88">
                  <c:v>52.842242233966161</c:v>
                </c:pt>
                <c:pt idx="89">
                  <c:v>52.947522513211929</c:v>
                </c:pt>
                <c:pt idx="90">
                  <c:v>53.052802792457705</c:v>
                </c:pt>
                <c:pt idx="91">
                  <c:v>53.158083071703473</c:v>
                </c:pt>
                <c:pt idx="92">
                  <c:v>53.263363350949248</c:v>
                </c:pt>
                <c:pt idx="93">
                  <c:v>53.368643630195017</c:v>
                </c:pt>
                <c:pt idx="94">
                  <c:v>53.473923909440785</c:v>
                </c:pt>
                <c:pt idx="95">
                  <c:v>53.57920418868656</c:v>
                </c:pt>
                <c:pt idx="96">
                  <c:v>53.684484467932329</c:v>
                </c:pt>
                <c:pt idx="97">
                  <c:v>53.789764747178104</c:v>
                </c:pt>
                <c:pt idx="98">
                  <c:v>53.895045026423873</c:v>
                </c:pt>
                <c:pt idx="99">
                  <c:v>54.000325305669648</c:v>
                </c:pt>
                <c:pt idx="100">
                  <c:v>54.105605584915416</c:v>
                </c:pt>
                <c:pt idx="101">
                  <c:v>54.210885864161192</c:v>
                </c:pt>
                <c:pt idx="102">
                  <c:v>54.31616614340696</c:v>
                </c:pt>
                <c:pt idx="103">
                  <c:v>54.421446422652735</c:v>
                </c:pt>
                <c:pt idx="104">
                  <c:v>54.526726701898504</c:v>
                </c:pt>
                <c:pt idx="105">
                  <c:v>54.632006981144272</c:v>
                </c:pt>
                <c:pt idx="106">
                  <c:v>54.737287260390048</c:v>
                </c:pt>
                <c:pt idx="107">
                  <c:v>54.842567539635816</c:v>
                </c:pt>
                <c:pt idx="108">
                  <c:v>54.947847818881591</c:v>
                </c:pt>
                <c:pt idx="109">
                  <c:v>55.05312809812736</c:v>
                </c:pt>
                <c:pt idx="110">
                  <c:v>55.158408377373135</c:v>
                </c:pt>
                <c:pt idx="111">
                  <c:v>55.263688656618903</c:v>
                </c:pt>
                <c:pt idx="112">
                  <c:v>55.368968935864679</c:v>
                </c:pt>
                <c:pt idx="113">
                  <c:v>55.474249215110447</c:v>
                </c:pt>
                <c:pt idx="114">
                  <c:v>55.579529494356223</c:v>
                </c:pt>
                <c:pt idx="115">
                  <c:v>55.684809773601991</c:v>
                </c:pt>
                <c:pt idx="116">
                  <c:v>55.790090052847759</c:v>
                </c:pt>
                <c:pt idx="117">
                  <c:v>55.895370332093535</c:v>
                </c:pt>
                <c:pt idx="118">
                  <c:v>56.000650611339303</c:v>
                </c:pt>
                <c:pt idx="119">
                  <c:v>56.105930890585078</c:v>
                </c:pt>
                <c:pt idx="120">
                  <c:v>56.211211169830847</c:v>
                </c:pt>
                <c:pt idx="121">
                  <c:v>56.316491449076622</c:v>
                </c:pt>
                <c:pt idx="122">
                  <c:v>56.421771728322391</c:v>
                </c:pt>
                <c:pt idx="123">
                  <c:v>56.527052007568159</c:v>
                </c:pt>
                <c:pt idx="124">
                  <c:v>56.632332286813934</c:v>
                </c:pt>
                <c:pt idx="125">
                  <c:v>56.737612566059703</c:v>
                </c:pt>
                <c:pt idx="126">
                  <c:v>56.842892845305478</c:v>
                </c:pt>
                <c:pt idx="127">
                  <c:v>56.948173124551246</c:v>
                </c:pt>
                <c:pt idx="128">
                  <c:v>57.053453403797015</c:v>
                </c:pt>
                <c:pt idx="129">
                  <c:v>57.15873368304279</c:v>
                </c:pt>
                <c:pt idx="130">
                  <c:v>57.264013962288558</c:v>
                </c:pt>
                <c:pt idx="131">
                  <c:v>57.369294241534334</c:v>
                </c:pt>
                <c:pt idx="132">
                  <c:v>57.474574520780102</c:v>
                </c:pt>
                <c:pt idx="133">
                  <c:v>57.579854800025871</c:v>
                </c:pt>
                <c:pt idx="134">
                  <c:v>57.685135079271646</c:v>
                </c:pt>
                <c:pt idx="135">
                  <c:v>57.790415358517414</c:v>
                </c:pt>
                <c:pt idx="136">
                  <c:v>57.895695637763183</c:v>
                </c:pt>
                <c:pt idx="137">
                  <c:v>58.000975917008958</c:v>
                </c:pt>
                <c:pt idx="138">
                  <c:v>58.106256196254726</c:v>
                </c:pt>
                <c:pt idx="139">
                  <c:v>58.211536475500502</c:v>
                </c:pt>
                <c:pt idx="140">
                  <c:v>58.31681675474627</c:v>
                </c:pt>
                <c:pt idx="141">
                  <c:v>58.422097033992046</c:v>
                </c:pt>
                <c:pt idx="142">
                  <c:v>58.527377313237814</c:v>
                </c:pt>
                <c:pt idx="143">
                  <c:v>58.632657592483582</c:v>
                </c:pt>
                <c:pt idx="144">
                  <c:v>58.737937871729358</c:v>
                </c:pt>
                <c:pt idx="145">
                  <c:v>58.843218150975126</c:v>
                </c:pt>
                <c:pt idx="146">
                  <c:v>58.948498430220894</c:v>
                </c:pt>
                <c:pt idx="147">
                  <c:v>59.05377870946667</c:v>
                </c:pt>
                <c:pt idx="148">
                  <c:v>59.159058988712438</c:v>
                </c:pt>
                <c:pt idx="149">
                  <c:v>59.264339267958206</c:v>
                </c:pt>
                <c:pt idx="150">
                  <c:v>59.369619547203982</c:v>
                </c:pt>
                <c:pt idx="151">
                  <c:v>59.47489982644975</c:v>
                </c:pt>
                <c:pt idx="152">
                  <c:v>59.580180105695526</c:v>
                </c:pt>
                <c:pt idx="153">
                  <c:v>59.685460384941294</c:v>
                </c:pt>
                <c:pt idx="154">
                  <c:v>59.790740664187069</c:v>
                </c:pt>
                <c:pt idx="155">
                  <c:v>59.896020943432838</c:v>
                </c:pt>
                <c:pt idx="156">
                  <c:v>60.001301222678606</c:v>
                </c:pt>
                <c:pt idx="157">
                  <c:v>60.106581501924381</c:v>
                </c:pt>
                <c:pt idx="158">
                  <c:v>60.21186178117015</c:v>
                </c:pt>
                <c:pt idx="159">
                  <c:v>60.317142060415918</c:v>
                </c:pt>
                <c:pt idx="160">
                  <c:v>60.422422339661694</c:v>
                </c:pt>
              </c:numCache>
            </c:numRef>
          </c:xVal>
          <c:yVal>
            <c:numRef>
              <c:f>'T Power 1'!$D$35:$D$195</c:f>
              <c:numCache>
                <c:formatCode>General</c:formatCode>
                <c:ptCount val="161"/>
                <c:pt idx="11">
                  <c:v>6.9847313290886926E-4</c:v>
                </c:pt>
                <c:pt idx="12">
                  <c:v>7.8984124769042709E-4</c:v>
                </c:pt>
                <c:pt idx="13">
                  <c:v>8.9289530112840465E-4</c:v>
                </c:pt>
                <c:pt idx="14">
                  <c:v>1.009072129465419E-3</c:v>
                </c:pt>
                <c:pt idx="15">
                  <c:v>1.1399739020851629E-3</c:v>
                </c:pt>
                <c:pt idx="16">
                  <c:v>1.2873850492757806E-3</c:v>
                </c:pt>
                <c:pt idx="17">
                  <c:v>1.4532905470307582E-3</c:v>
                </c:pt>
                <c:pt idx="18">
                  <c:v>1.6398955995339201E-3</c:v>
                </c:pt>
                <c:pt idx="19">
                  <c:v>1.8496467470340457E-3</c:v>
                </c:pt>
                <c:pt idx="20">
                  <c:v>2.0852544104593158E-3</c:v>
                </c:pt>
                <c:pt idx="21">
                  <c:v>2.3497168638986388E-3</c:v>
                </c:pt>
                <c:pt idx="22">
                  <c:v>2.6463456015155106E-3</c:v>
                </c:pt>
                <c:pt idx="23">
                  <c:v>2.9787920360836552E-3</c:v>
                </c:pt>
                <c:pt idx="24">
                  <c:v>3.3510754316705203E-3</c:v>
                </c:pt>
                <c:pt idx="25">
                  <c:v>3.7676119325930216E-3</c:v>
                </c:pt>
                <c:pt idx="26">
                  <c:v>4.2332445042163065E-3</c:v>
                </c:pt>
                <c:pt idx="27">
                  <c:v>4.7532735481092868E-3</c:v>
                </c:pt>
                <c:pt idx="28">
                  <c:v>5.3334878942436457E-3</c:v>
                </c:pt>
                <c:pt idx="29">
                  <c:v>5.9801958061783105E-3</c:v>
                </c:pt>
                <c:pt idx="30">
                  <c:v>6.7002555615100464E-3</c:v>
                </c:pt>
                <c:pt idx="31">
                  <c:v>7.5011050894841901E-3</c:v>
                </c:pt>
                <c:pt idx="32">
                  <c:v>8.3907900609672421E-3</c:v>
                </c:pt>
                <c:pt idx="33">
                  <c:v>9.3779897336767962E-3</c:v>
                </c:pt>
                <c:pt idx="34">
                  <c:v>1.047203975865761E-2</c:v>
                </c:pt>
                <c:pt idx="35">
                  <c:v>1.1682951053855523E-2</c:v>
                </c:pt>
                <c:pt idx="36">
                  <c:v>1.3021423749058569E-2</c:v>
                </c:pt>
                <c:pt idx="37">
                  <c:v>1.4498855105670489E-2</c:v>
                </c:pt>
                <c:pt idx="38">
                  <c:v>1.6127340217466212E-2</c:v>
                </c:pt>
                <c:pt idx="39">
                  <c:v>1.7919664207860907E-2</c:v>
                </c:pt>
                <c:pt idx="40">
                  <c:v>1.9889284559029965E-2</c:v>
                </c:pt>
                <c:pt idx="41">
                  <c:v>2.2050302142681284E-2</c:v>
                </c:pt>
                <c:pt idx="42">
                  <c:v>2.4417419476118345E-2</c:v>
                </c:pt>
                <c:pt idx="43">
                  <c:v>2.700588470559059E-2</c:v>
                </c:pt>
                <c:pt idx="44">
                  <c:v>2.9831419827300948E-2</c:v>
                </c:pt>
                <c:pt idx="45">
                  <c:v>3.2910131700565608E-2</c:v>
                </c:pt>
                <c:pt idx="46">
                  <c:v>3.6258404493318533E-2</c:v>
                </c:pt>
                <c:pt idx="47">
                  <c:v>3.9892772333153199E-2</c:v>
                </c:pt>
                <c:pt idx="48">
                  <c:v>4.382977112280334E-2</c:v>
                </c:pt>
                <c:pt idx="49">
                  <c:v>4.8085768722214935E-2</c:v>
                </c:pt>
                <c:pt idx="50">
                  <c:v>5.2676773004108904E-2</c:v>
                </c:pt>
                <c:pt idx="51">
                  <c:v>5.7618217658942907E-2</c:v>
                </c:pt>
                <c:pt idx="52">
                  <c:v>6.2924726059680677E-2</c:v>
                </c:pt>
                <c:pt idx="53">
                  <c:v>6.8609853996107487E-2</c:v>
                </c:pt>
                <c:pt idx="54">
                  <c:v>7.4685812649714314E-2</c:v>
                </c:pt>
                <c:pt idx="55">
                  <c:v>8.1163173797966212E-2</c:v>
                </c:pt>
                <c:pt idx="56">
                  <c:v>8.8050559902822512E-2</c:v>
                </c:pt>
                <c:pt idx="57">
                  <c:v>9.5354322441383171E-2</c:v>
                </c:pt>
                <c:pt idx="58">
                  <c:v>0.10307821256203414</c:v>
                </c:pt>
                <c:pt idx="59">
                  <c:v>0.1112230488798211</c:v>
                </c:pt>
                <c:pt idx="60">
                  <c:v>0.11978638793929315</c:v>
                </c:pt>
                <c:pt idx="61">
                  <c:v>0.12876220354825577</c:v>
                </c:pt>
                <c:pt idx="62">
                  <c:v>0.13814058179593361</c:v>
                </c:pt>
                <c:pt idx="63">
                  <c:v>0.14790743908643475</c:v>
                </c:pt>
                <c:pt idx="64">
                  <c:v>0.15804427091466802</c:v>
                </c:pt>
                <c:pt idx="65">
                  <c:v>0.16852793935858928</c:v>
                </c:pt>
                <c:pt idx="66">
                  <c:v>0.17933050733160047</c:v>
                </c:pt>
                <c:pt idx="67">
                  <c:v>0.19041912750727322</c:v>
                </c:pt>
                <c:pt idx="68">
                  <c:v>0.20175599347423381</c:v>
                </c:pt>
                <c:pt idx="69">
                  <c:v>0.21329836008602401</c:v>
                </c:pt>
                <c:pt idx="70">
                  <c:v>0.22499863912943704</c:v>
                </c:pt>
                <c:pt idx="71">
                  <c:v>0.23680457534321936</c:v>
                </c:pt>
                <c:pt idx="72">
                  <c:v>0.24865950648372862</c:v>
                </c:pt>
                <c:pt idx="73">
                  <c:v>0.2605027095711378</c:v>
                </c:pt>
                <c:pt idx="74">
                  <c:v>0.27226983368486285</c:v>
                </c:pt>
                <c:pt idx="75">
                  <c:v>0.28389341774567617</c:v>
                </c:pt>
                <c:pt idx="76">
                  <c:v>0.29530348966950626</c:v>
                </c:pt>
                <c:pt idx="77">
                  <c:v>0.30642824115777911</c:v>
                </c:pt>
                <c:pt idx="78">
                  <c:v>0.31719477026207782</c:v>
                </c:pt>
                <c:pt idx="79">
                  <c:v>0.32752988179298531</c:v>
                </c:pt>
                <c:pt idx="80">
                  <c:v>0.33736093370341957</c:v>
                </c:pt>
                <c:pt idx="81">
                  <c:v>0.3466167158353175</c:v>
                </c:pt>
                <c:pt idx="82">
                  <c:v>0.35522834594263486</c:v>
                </c:pt>
                <c:pt idx="83">
                  <c:v>0.36313016675558774</c:v>
                </c:pt>
                <c:pt idx="84">
                  <c:v>0.37026062708506108</c:v>
                </c:pt>
                <c:pt idx="85">
                  <c:v>0.37656312962559563</c:v>
                </c:pt>
                <c:pt idx="86">
                  <c:v>0.38198682823059565</c:v>
                </c:pt>
                <c:pt idx="87">
                  <c:v>0.38648735801961398</c:v>
                </c:pt>
                <c:pt idx="88">
                  <c:v>0.39002748273363458</c:v>
                </c:pt>
                <c:pt idx="89">
                  <c:v>0.39257764526209188</c:v>
                </c:pt>
                <c:pt idx="90">
                  <c:v>0.39411640919001467</c:v>
                </c:pt>
                <c:pt idx="91">
                  <c:v>0.39463078150433906</c:v>
                </c:pt>
                <c:pt idx="92">
                  <c:v>0.39411640919001489</c:v>
                </c:pt>
                <c:pt idx="93">
                  <c:v>0.39257764526209232</c:v>
                </c:pt>
                <c:pt idx="94">
                  <c:v>0.39002748273363524</c:v>
                </c:pt>
                <c:pt idx="95">
                  <c:v>0.38648735801961487</c:v>
                </c:pt>
                <c:pt idx="96">
                  <c:v>0.38198682823059676</c:v>
                </c:pt>
                <c:pt idx="97">
                  <c:v>0.37656312962559696</c:v>
                </c:pt>
                <c:pt idx="98">
                  <c:v>0.37026062708506263</c:v>
                </c:pt>
                <c:pt idx="99">
                  <c:v>0.36313016675558951</c:v>
                </c:pt>
                <c:pt idx="100">
                  <c:v>0.3552283459426368</c:v>
                </c:pt>
                <c:pt idx="101">
                  <c:v>0.34661671583531956</c:v>
                </c:pt>
                <c:pt idx="102">
                  <c:v>0.33736093370342191</c:v>
                </c:pt>
                <c:pt idx="103">
                  <c:v>0.32752988179298775</c:v>
                </c:pt>
                <c:pt idx="104">
                  <c:v>0.31719477026208032</c:v>
                </c:pt>
                <c:pt idx="105">
                  <c:v>0.30642824115778167</c:v>
                </c:pt>
                <c:pt idx="106">
                  <c:v>0.29530348966950876</c:v>
                </c:pt>
                <c:pt idx="107">
                  <c:v>0.28389341774567878</c:v>
                </c:pt>
                <c:pt idx="108">
                  <c:v>0.27226983368486563</c:v>
                </c:pt>
                <c:pt idx="109">
                  <c:v>0.26050270957114058</c:v>
                </c:pt>
                <c:pt idx="110">
                  <c:v>0.24865950648373136</c:v>
                </c:pt>
                <c:pt idx="111">
                  <c:v>0.23680457534322211</c:v>
                </c:pt>
                <c:pt idx="112">
                  <c:v>0.22499863912943982</c:v>
                </c:pt>
                <c:pt idx="113">
                  <c:v>0.21329836008602673</c:v>
                </c:pt>
                <c:pt idx="114">
                  <c:v>0.20175599347423653</c:v>
                </c:pt>
                <c:pt idx="115">
                  <c:v>0.19041912750727583</c:v>
                </c:pt>
                <c:pt idx="116">
                  <c:v>0.17933050733160305</c:v>
                </c:pt>
                <c:pt idx="117">
                  <c:v>0.16852793935859181</c:v>
                </c:pt>
                <c:pt idx="118">
                  <c:v>0.15804427091467044</c:v>
                </c:pt>
                <c:pt idx="119">
                  <c:v>0.14790743908643708</c:v>
                </c:pt>
                <c:pt idx="120">
                  <c:v>0.13814058179593591</c:v>
                </c:pt>
                <c:pt idx="121">
                  <c:v>0.12876220354825788</c:v>
                </c:pt>
                <c:pt idx="122">
                  <c:v>0.11978638793929525</c:v>
                </c:pt>
                <c:pt idx="123">
                  <c:v>0.11122304887982307</c:v>
                </c:pt>
                <c:pt idx="124">
                  <c:v>0.103078212562036</c:v>
                </c:pt>
                <c:pt idx="125">
                  <c:v>9.5354322441384975E-2</c:v>
                </c:pt>
                <c:pt idx="126">
                  <c:v>8.8050559902824205E-2</c:v>
                </c:pt>
                <c:pt idx="127">
                  <c:v>8.116317379796778E-2</c:v>
                </c:pt>
                <c:pt idx="128">
                  <c:v>7.4685812649715799E-2</c:v>
                </c:pt>
                <c:pt idx="129">
                  <c:v>6.8609853996108847E-2</c:v>
                </c:pt>
                <c:pt idx="130">
                  <c:v>6.2924726059681954E-2</c:v>
                </c:pt>
                <c:pt idx="131">
                  <c:v>5.7618217658944128E-2</c:v>
                </c:pt>
                <c:pt idx="132">
                  <c:v>5.2676773004109993E-2</c:v>
                </c:pt>
                <c:pt idx="133">
                  <c:v>4.8085768722215941E-2</c:v>
                </c:pt>
                <c:pt idx="134">
                  <c:v>4.3829771122804284E-2</c:v>
                </c:pt>
                <c:pt idx="135">
                  <c:v>3.989277233315406E-2</c:v>
                </c:pt>
                <c:pt idx="136">
                  <c:v>3.6258404493319359E-2</c:v>
                </c:pt>
                <c:pt idx="137">
                  <c:v>3.291013170056635E-2</c:v>
                </c:pt>
                <c:pt idx="138">
                  <c:v>2.9831419827301624E-2</c:v>
                </c:pt>
                <c:pt idx="139">
                  <c:v>2.7005884705591225E-2</c:v>
                </c:pt>
                <c:pt idx="140">
                  <c:v>2.4417419476118914E-2</c:v>
                </c:pt>
                <c:pt idx="141">
                  <c:v>2.2050302142681801E-2</c:v>
                </c:pt>
                <c:pt idx="142">
                  <c:v>1.9889284559030451E-2</c:v>
                </c:pt>
                <c:pt idx="143">
                  <c:v>1.7919664207861331E-2</c:v>
                </c:pt>
                <c:pt idx="144">
                  <c:v>1.6127340217466608E-2</c:v>
                </c:pt>
                <c:pt idx="145">
                  <c:v>1.4498855105670852E-2</c:v>
                </c:pt>
                <c:pt idx="146">
                  <c:v>1.3021423749058899E-2</c:v>
                </c:pt>
                <c:pt idx="147">
                  <c:v>1.1682951053855821E-2</c:v>
                </c:pt>
                <c:pt idx="148">
                  <c:v>1.0472039758657872E-2</c:v>
                </c:pt>
                <c:pt idx="149">
                  <c:v>9.3779897336770356E-3</c:v>
                </c:pt>
                <c:pt idx="150">
                  <c:v>8.3907900609674554E-3</c:v>
                </c:pt>
                <c:pt idx="151">
                  <c:v>7.5011050894843853E-3</c:v>
                </c:pt>
                <c:pt idx="152">
                  <c:v>6.7002555615102146E-3</c:v>
                </c:pt>
                <c:pt idx="153">
                  <c:v>5.9801958061784658E-3</c:v>
                </c:pt>
                <c:pt idx="154">
                  <c:v>5.3334878942437837E-3</c:v>
                </c:pt>
                <c:pt idx="155">
                  <c:v>4.7532735481094143E-3</c:v>
                </c:pt>
                <c:pt idx="156">
                  <c:v>4.2332445042164279E-3</c:v>
                </c:pt>
                <c:pt idx="157">
                  <c:v>3.7676119325931292E-3</c:v>
                </c:pt>
                <c:pt idx="158">
                  <c:v>3.3510754316706131E-3</c:v>
                </c:pt>
                <c:pt idx="159">
                  <c:v>2.9787920360837329E-3</c:v>
                </c:pt>
                <c:pt idx="160">
                  <c:v>2.6463456015155843E-3</c:v>
                </c:pt>
              </c:numCache>
            </c:numRef>
          </c:yVal>
          <c:smooth val="1"/>
        </c:ser>
        <c:axId val="298952192"/>
        <c:axId val="298953728"/>
      </c:scatterChart>
      <c:valAx>
        <c:axId val="298952192"/>
        <c:scaling>
          <c:orientation val="minMax"/>
          <c:max val="62"/>
          <c:min val="42"/>
        </c:scaling>
        <c:axPos val="b"/>
        <c:numFmt formatCode="General" sourceLinked="1"/>
        <c:tickLblPos val="nextTo"/>
        <c:crossAx val="298953728"/>
        <c:crosses val="autoZero"/>
        <c:crossBetween val="midCat"/>
      </c:valAx>
      <c:valAx>
        <c:axId val="298953728"/>
        <c:scaling>
          <c:orientation val="minMax"/>
        </c:scaling>
        <c:axPos val="l"/>
        <c:majorGridlines/>
        <c:numFmt formatCode="General" sourceLinked="1"/>
        <c:tickLblPos val="nextTo"/>
        <c:crossAx val="298952192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Noncentral t pdf (df = 10) 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'NT 1'!$B$7</c:f>
              <c:strCache>
                <c:ptCount val="1"/>
                <c:pt idx="0">
                  <c:v>ncp 0</c:v>
                </c:pt>
              </c:strCache>
            </c:strRef>
          </c:tx>
          <c:marker>
            <c:symbol val="none"/>
          </c:marker>
          <c:cat>
            <c:numRef>
              <c:f>'NT 1'!$A$8:$A$209</c:f>
              <c:numCache>
                <c:formatCode>General</c:formatCode>
                <c:ptCount val="202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-1.8790524691780774E-14</c:v>
                </c:pt>
                <c:pt idx="101">
                  <c:v>9.9999999999981215E-2</c:v>
                </c:pt>
                <c:pt idx="102">
                  <c:v>0.19999999999998122</c:v>
                </c:pt>
                <c:pt idx="103">
                  <c:v>0.29999999999998123</c:v>
                </c:pt>
                <c:pt idx="104">
                  <c:v>0.39999999999998126</c:v>
                </c:pt>
                <c:pt idx="105">
                  <c:v>0.49999999999998124</c:v>
                </c:pt>
                <c:pt idx="106">
                  <c:v>0.59999999999998122</c:v>
                </c:pt>
                <c:pt idx="107">
                  <c:v>0.69999999999998119</c:v>
                </c:pt>
                <c:pt idx="108">
                  <c:v>0.79999999999998117</c:v>
                </c:pt>
                <c:pt idx="109">
                  <c:v>0.89999999999998115</c:v>
                </c:pt>
                <c:pt idx="110">
                  <c:v>0.99999999999998113</c:v>
                </c:pt>
                <c:pt idx="111">
                  <c:v>1.0999999999999812</c:v>
                </c:pt>
                <c:pt idx="112">
                  <c:v>1.1999999999999813</c:v>
                </c:pt>
                <c:pt idx="113">
                  <c:v>1.2999999999999814</c:v>
                </c:pt>
                <c:pt idx="114">
                  <c:v>1.3999999999999815</c:v>
                </c:pt>
                <c:pt idx="115">
                  <c:v>1.4999999999999816</c:v>
                </c:pt>
                <c:pt idx="116">
                  <c:v>1.5999999999999817</c:v>
                </c:pt>
                <c:pt idx="117">
                  <c:v>1.6999999999999817</c:v>
                </c:pt>
                <c:pt idx="118">
                  <c:v>1.7999999999999818</c:v>
                </c:pt>
                <c:pt idx="119">
                  <c:v>1.8999999999999819</c:v>
                </c:pt>
                <c:pt idx="120">
                  <c:v>1.999999999999982</c:v>
                </c:pt>
                <c:pt idx="121">
                  <c:v>2.0999999999999819</c:v>
                </c:pt>
                <c:pt idx="122">
                  <c:v>2.199999999999982</c:v>
                </c:pt>
                <c:pt idx="123">
                  <c:v>2.2999999999999821</c:v>
                </c:pt>
                <c:pt idx="124">
                  <c:v>2.3999999999999821</c:v>
                </c:pt>
                <c:pt idx="125">
                  <c:v>2.4999999999999822</c:v>
                </c:pt>
                <c:pt idx="126">
                  <c:v>2.5999999999999823</c:v>
                </c:pt>
                <c:pt idx="127">
                  <c:v>2.6999999999999824</c:v>
                </c:pt>
                <c:pt idx="128">
                  <c:v>2.7999999999999825</c:v>
                </c:pt>
                <c:pt idx="129">
                  <c:v>2.8999999999999826</c:v>
                </c:pt>
                <c:pt idx="130">
                  <c:v>2.9999999999999827</c:v>
                </c:pt>
                <c:pt idx="131">
                  <c:v>3.0999999999999828</c:v>
                </c:pt>
                <c:pt idx="132">
                  <c:v>3.1999999999999829</c:v>
                </c:pt>
                <c:pt idx="133">
                  <c:v>3.2999999999999829</c:v>
                </c:pt>
                <c:pt idx="134">
                  <c:v>3.399999999999983</c:v>
                </c:pt>
                <c:pt idx="135">
                  <c:v>3.4999999999999831</c:v>
                </c:pt>
                <c:pt idx="136">
                  <c:v>3.5999999999999832</c:v>
                </c:pt>
                <c:pt idx="137">
                  <c:v>3.6999999999999833</c:v>
                </c:pt>
                <c:pt idx="138">
                  <c:v>3.7999999999999834</c:v>
                </c:pt>
                <c:pt idx="139">
                  <c:v>3.8999999999999835</c:v>
                </c:pt>
                <c:pt idx="140">
                  <c:v>3.9999999999999836</c:v>
                </c:pt>
                <c:pt idx="141">
                  <c:v>4.0999999999999837</c:v>
                </c:pt>
                <c:pt idx="142">
                  <c:v>4.1999999999999833</c:v>
                </c:pt>
                <c:pt idx="143">
                  <c:v>4.2999999999999829</c:v>
                </c:pt>
                <c:pt idx="144">
                  <c:v>4.3999999999999826</c:v>
                </c:pt>
                <c:pt idx="145">
                  <c:v>4.4999999999999822</c:v>
                </c:pt>
                <c:pt idx="146">
                  <c:v>4.5999999999999819</c:v>
                </c:pt>
                <c:pt idx="147">
                  <c:v>4.6999999999999815</c:v>
                </c:pt>
                <c:pt idx="148">
                  <c:v>4.7999999999999812</c:v>
                </c:pt>
                <c:pt idx="149">
                  <c:v>4.8999999999999808</c:v>
                </c:pt>
                <c:pt idx="150">
                  <c:v>4.9999999999999805</c:v>
                </c:pt>
                <c:pt idx="151">
                  <c:v>5.0999999999999801</c:v>
                </c:pt>
                <c:pt idx="152">
                  <c:v>5.1999999999999797</c:v>
                </c:pt>
                <c:pt idx="153">
                  <c:v>5.2999999999999794</c:v>
                </c:pt>
                <c:pt idx="154">
                  <c:v>5.399999999999979</c:v>
                </c:pt>
                <c:pt idx="155">
                  <c:v>5.4999999999999787</c:v>
                </c:pt>
                <c:pt idx="156">
                  <c:v>5.5999999999999783</c:v>
                </c:pt>
                <c:pt idx="157">
                  <c:v>5.699999999999978</c:v>
                </c:pt>
                <c:pt idx="158">
                  <c:v>5.7999999999999776</c:v>
                </c:pt>
                <c:pt idx="159">
                  <c:v>5.8999999999999773</c:v>
                </c:pt>
                <c:pt idx="160">
                  <c:v>5.9999999999999769</c:v>
                </c:pt>
                <c:pt idx="161">
                  <c:v>6.0999999999999766</c:v>
                </c:pt>
                <c:pt idx="162">
                  <c:v>6.1999999999999762</c:v>
                </c:pt>
                <c:pt idx="163">
                  <c:v>6.2999999999999758</c:v>
                </c:pt>
                <c:pt idx="164">
                  <c:v>6.3999999999999755</c:v>
                </c:pt>
                <c:pt idx="165">
                  <c:v>6.4999999999999751</c:v>
                </c:pt>
                <c:pt idx="166">
                  <c:v>6.5999999999999748</c:v>
                </c:pt>
                <c:pt idx="167">
                  <c:v>6.6999999999999744</c:v>
                </c:pt>
                <c:pt idx="168">
                  <c:v>6.7999999999999741</c:v>
                </c:pt>
                <c:pt idx="169">
                  <c:v>6.8999999999999737</c:v>
                </c:pt>
                <c:pt idx="170">
                  <c:v>6.9999999999999734</c:v>
                </c:pt>
                <c:pt idx="171">
                  <c:v>7.099999999999973</c:v>
                </c:pt>
                <c:pt idx="172">
                  <c:v>7.1999999999999726</c:v>
                </c:pt>
                <c:pt idx="173">
                  <c:v>7.2999999999999723</c:v>
                </c:pt>
                <c:pt idx="174">
                  <c:v>7.3999999999999719</c:v>
                </c:pt>
                <c:pt idx="175">
                  <c:v>7.4999999999999716</c:v>
                </c:pt>
                <c:pt idx="176">
                  <c:v>7.5999999999999712</c:v>
                </c:pt>
                <c:pt idx="177">
                  <c:v>7.6999999999999709</c:v>
                </c:pt>
                <c:pt idx="178">
                  <c:v>7.7999999999999705</c:v>
                </c:pt>
                <c:pt idx="179">
                  <c:v>7.8999999999999702</c:v>
                </c:pt>
                <c:pt idx="180">
                  <c:v>7.9999999999999698</c:v>
                </c:pt>
                <c:pt idx="181">
                  <c:v>8.0999999999999694</c:v>
                </c:pt>
                <c:pt idx="182">
                  <c:v>8.1999999999999691</c:v>
                </c:pt>
                <c:pt idx="183">
                  <c:v>8.2999999999999687</c:v>
                </c:pt>
                <c:pt idx="184">
                  <c:v>8.3999999999999684</c:v>
                </c:pt>
                <c:pt idx="185">
                  <c:v>8.499999999999968</c:v>
                </c:pt>
                <c:pt idx="186">
                  <c:v>8.5999999999999677</c:v>
                </c:pt>
                <c:pt idx="187">
                  <c:v>8.6999999999999673</c:v>
                </c:pt>
                <c:pt idx="188">
                  <c:v>8.799999999999967</c:v>
                </c:pt>
                <c:pt idx="189">
                  <c:v>8.8999999999999666</c:v>
                </c:pt>
                <c:pt idx="190">
                  <c:v>8.9999999999999662</c:v>
                </c:pt>
                <c:pt idx="191">
                  <c:v>9.0999999999999659</c:v>
                </c:pt>
                <c:pt idx="192">
                  <c:v>9.1999999999999655</c:v>
                </c:pt>
                <c:pt idx="193">
                  <c:v>9.2999999999999652</c:v>
                </c:pt>
                <c:pt idx="194">
                  <c:v>9.3999999999999648</c:v>
                </c:pt>
                <c:pt idx="195">
                  <c:v>9.4999999999999645</c:v>
                </c:pt>
                <c:pt idx="196">
                  <c:v>9.5999999999999641</c:v>
                </c:pt>
                <c:pt idx="197">
                  <c:v>9.6999999999999638</c:v>
                </c:pt>
                <c:pt idx="198">
                  <c:v>9.7999999999999634</c:v>
                </c:pt>
                <c:pt idx="199">
                  <c:v>9.8999999999999631</c:v>
                </c:pt>
                <c:pt idx="200">
                  <c:v>9.9999999999999627</c:v>
                </c:pt>
                <c:pt idx="201">
                  <c:v>10.099999999999962</c:v>
                </c:pt>
              </c:numCache>
            </c:numRef>
          </c:cat>
          <c:val>
            <c:numRef>
              <c:f>'NT 1'!$B$8:$B$209</c:f>
              <c:numCache>
                <c:formatCode>General</c:formatCode>
                <c:ptCount val="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val>
        </c:ser>
        <c:ser>
          <c:idx val="1"/>
          <c:order val="1"/>
          <c:tx>
            <c:strRef>
              <c:f>'NT 1'!$C$7</c:f>
              <c:strCache>
                <c:ptCount val="1"/>
                <c:pt idx="0">
                  <c:v>ncp 2</c:v>
                </c:pt>
              </c:strCache>
            </c:strRef>
          </c:tx>
          <c:marker>
            <c:symbol val="none"/>
          </c:marker>
          <c:cat>
            <c:numRef>
              <c:f>'NT 1'!$A$8:$A$209</c:f>
              <c:numCache>
                <c:formatCode>General</c:formatCode>
                <c:ptCount val="202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-1.8790524691780774E-14</c:v>
                </c:pt>
                <c:pt idx="101">
                  <c:v>9.9999999999981215E-2</c:v>
                </c:pt>
                <c:pt idx="102">
                  <c:v>0.19999999999998122</c:v>
                </c:pt>
                <c:pt idx="103">
                  <c:v>0.29999999999998123</c:v>
                </c:pt>
                <c:pt idx="104">
                  <c:v>0.39999999999998126</c:v>
                </c:pt>
                <c:pt idx="105">
                  <c:v>0.49999999999998124</c:v>
                </c:pt>
                <c:pt idx="106">
                  <c:v>0.59999999999998122</c:v>
                </c:pt>
                <c:pt idx="107">
                  <c:v>0.69999999999998119</c:v>
                </c:pt>
                <c:pt idx="108">
                  <c:v>0.79999999999998117</c:v>
                </c:pt>
                <c:pt idx="109">
                  <c:v>0.89999999999998115</c:v>
                </c:pt>
                <c:pt idx="110">
                  <c:v>0.99999999999998113</c:v>
                </c:pt>
                <c:pt idx="111">
                  <c:v>1.0999999999999812</c:v>
                </c:pt>
                <c:pt idx="112">
                  <c:v>1.1999999999999813</c:v>
                </c:pt>
                <c:pt idx="113">
                  <c:v>1.2999999999999814</c:v>
                </c:pt>
                <c:pt idx="114">
                  <c:v>1.3999999999999815</c:v>
                </c:pt>
                <c:pt idx="115">
                  <c:v>1.4999999999999816</c:v>
                </c:pt>
                <c:pt idx="116">
                  <c:v>1.5999999999999817</c:v>
                </c:pt>
                <c:pt idx="117">
                  <c:v>1.6999999999999817</c:v>
                </c:pt>
                <c:pt idx="118">
                  <c:v>1.7999999999999818</c:v>
                </c:pt>
                <c:pt idx="119">
                  <c:v>1.8999999999999819</c:v>
                </c:pt>
                <c:pt idx="120">
                  <c:v>1.999999999999982</c:v>
                </c:pt>
                <c:pt idx="121">
                  <c:v>2.0999999999999819</c:v>
                </c:pt>
                <c:pt idx="122">
                  <c:v>2.199999999999982</c:v>
                </c:pt>
                <c:pt idx="123">
                  <c:v>2.2999999999999821</c:v>
                </c:pt>
                <c:pt idx="124">
                  <c:v>2.3999999999999821</c:v>
                </c:pt>
                <c:pt idx="125">
                  <c:v>2.4999999999999822</c:v>
                </c:pt>
                <c:pt idx="126">
                  <c:v>2.5999999999999823</c:v>
                </c:pt>
                <c:pt idx="127">
                  <c:v>2.6999999999999824</c:v>
                </c:pt>
                <c:pt idx="128">
                  <c:v>2.7999999999999825</c:v>
                </c:pt>
                <c:pt idx="129">
                  <c:v>2.8999999999999826</c:v>
                </c:pt>
                <c:pt idx="130">
                  <c:v>2.9999999999999827</c:v>
                </c:pt>
                <c:pt idx="131">
                  <c:v>3.0999999999999828</c:v>
                </c:pt>
                <c:pt idx="132">
                  <c:v>3.1999999999999829</c:v>
                </c:pt>
                <c:pt idx="133">
                  <c:v>3.2999999999999829</c:v>
                </c:pt>
                <c:pt idx="134">
                  <c:v>3.399999999999983</c:v>
                </c:pt>
                <c:pt idx="135">
                  <c:v>3.4999999999999831</c:v>
                </c:pt>
                <c:pt idx="136">
                  <c:v>3.5999999999999832</c:v>
                </c:pt>
                <c:pt idx="137">
                  <c:v>3.6999999999999833</c:v>
                </c:pt>
                <c:pt idx="138">
                  <c:v>3.7999999999999834</c:v>
                </c:pt>
                <c:pt idx="139">
                  <c:v>3.8999999999999835</c:v>
                </c:pt>
                <c:pt idx="140">
                  <c:v>3.9999999999999836</c:v>
                </c:pt>
                <c:pt idx="141">
                  <c:v>4.0999999999999837</c:v>
                </c:pt>
                <c:pt idx="142">
                  <c:v>4.1999999999999833</c:v>
                </c:pt>
                <c:pt idx="143">
                  <c:v>4.2999999999999829</c:v>
                </c:pt>
                <c:pt idx="144">
                  <c:v>4.3999999999999826</c:v>
                </c:pt>
                <c:pt idx="145">
                  <c:v>4.4999999999999822</c:v>
                </c:pt>
                <c:pt idx="146">
                  <c:v>4.5999999999999819</c:v>
                </c:pt>
                <c:pt idx="147">
                  <c:v>4.6999999999999815</c:v>
                </c:pt>
                <c:pt idx="148">
                  <c:v>4.7999999999999812</c:v>
                </c:pt>
                <c:pt idx="149">
                  <c:v>4.8999999999999808</c:v>
                </c:pt>
                <c:pt idx="150">
                  <c:v>4.9999999999999805</c:v>
                </c:pt>
                <c:pt idx="151">
                  <c:v>5.0999999999999801</c:v>
                </c:pt>
                <c:pt idx="152">
                  <c:v>5.1999999999999797</c:v>
                </c:pt>
                <c:pt idx="153">
                  <c:v>5.2999999999999794</c:v>
                </c:pt>
                <c:pt idx="154">
                  <c:v>5.399999999999979</c:v>
                </c:pt>
                <c:pt idx="155">
                  <c:v>5.4999999999999787</c:v>
                </c:pt>
                <c:pt idx="156">
                  <c:v>5.5999999999999783</c:v>
                </c:pt>
                <c:pt idx="157">
                  <c:v>5.699999999999978</c:v>
                </c:pt>
                <c:pt idx="158">
                  <c:v>5.7999999999999776</c:v>
                </c:pt>
                <c:pt idx="159">
                  <c:v>5.8999999999999773</c:v>
                </c:pt>
                <c:pt idx="160">
                  <c:v>5.9999999999999769</c:v>
                </c:pt>
                <c:pt idx="161">
                  <c:v>6.0999999999999766</c:v>
                </c:pt>
                <c:pt idx="162">
                  <c:v>6.1999999999999762</c:v>
                </c:pt>
                <c:pt idx="163">
                  <c:v>6.2999999999999758</c:v>
                </c:pt>
                <c:pt idx="164">
                  <c:v>6.3999999999999755</c:v>
                </c:pt>
                <c:pt idx="165">
                  <c:v>6.4999999999999751</c:v>
                </c:pt>
                <c:pt idx="166">
                  <c:v>6.5999999999999748</c:v>
                </c:pt>
                <c:pt idx="167">
                  <c:v>6.6999999999999744</c:v>
                </c:pt>
                <c:pt idx="168">
                  <c:v>6.7999999999999741</c:v>
                </c:pt>
                <c:pt idx="169">
                  <c:v>6.8999999999999737</c:v>
                </c:pt>
                <c:pt idx="170">
                  <c:v>6.9999999999999734</c:v>
                </c:pt>
                <c:pt idx="171">
                  <c:v>7.099999999999973</c:v>
                </c:pt>
                <c:pt idx="172">
                  <c:v>7.1999999999999726</c:v>
                </c:pt>
                <c:pt idx="173">
                  <c:v>7.2999999999999723</c:v>
                </c:pt>
                <c:pt idx="174">
                  <c:v>7.3999999999999719</c:v>
                </c:pt>
                <c:pt idx="175">
                  <c:v>7.4999999999999716</c:v>
                </c:pt>
                <c:pt idx="176">
                  <c:v>7.5999999999999712</c:v>
                </c:pt>
                <c:pt idx="177">
                  <c:v>7.6999999999999709</c:v>
                </c:pt>
                <c:pt idx="178">
                  <c:v>7.7999999999999705</c:v>
                </c:pt>
                <c:pt idx="179">
                  <c:v>7.8999999999999702</c:v>
                </c:pt>
                <c:pt idx="180">
                  <c:v>7.9999999999999698</c:v>
                </c:pt>
                <c:pt idx="181">
                  <c:v>8.0999999999999694</c:v>
                </c:pt>
                <c:pt idx="182">
                  <c:v>8.1999999999999691</c:v>
                </c:pt>
                <c:pt idx="183">
                  <c:v>8.2999999999999687</c:v>
                </c:pt>
                <c:pt idx="184">
                  <c:v>8.3999999999999684</c:v>
                </c:pt>
                <c:pt idx="185">
                  <c:v>8.499999999999968</c:v>
                </c:pt>
                <c:pt idx="186">
                  <c:v>8.5999999999999677</c:v>
                </c:pt>
                <c:pt idx="187">
                  <c:v>8.6999999999999673</c:v>
                </c:pt>
                <c:pt idx="188">
                  <c:v>8.799999999999967</c:v>
                </c:pt>
                <c:pt idx="189">
                  <c:v>8.8999999999999666</c:v>
                </c:pt>
                <c:pt idx="190">
                  <c:v>8.9999999999999662</c:v>
                </c:pt>
                <c:pt idx="191">
                  <c:v>9.0999999999999659</c:v>
                </c:pt>
                <c:pt idx="192">
                  <c:v>9.1999999999999655</c:v>
                </c:pt>
                <c:pt idx="193">
                  <c:v>9.2999999999999652</c:v>
                </c:pt>
                <c:pt idx="194">
                  <c:v>9.3999999999999648</c:v>
                </c:pt>
                <c:pt idx="195">
                  <c:v>9.4999999999999645</c:v>
                </c:pt>
                <c:pt idx="196">
                  <c:v>9.5999999999999641</c:v>
                </c:pt>
                <c:pt idx="197">
                  <c:v>9.6999999999999638</c:v>
                </c:pt>
                <c:pt idx="198">
                  <c:v>9.7999999999999634</c:v>
                </c:pt>
                <c:pt idx="199">
                  <c:v>9.8999999999999631</c:v>
                </c:pt>
                <c:pt idx="200">
                  <c:v>9.9999999999999627</c:v>
                </c:pt>
                <c:pt idx="201">
                  <c:v>10.099999999999962</c:v>
                </c:pt>
              </c:numCache>
            </c:numRef>
          </c:cat>
          <c:val>
            <c:numRef>
              <c:f>'NT 1'!$C$8:$C$209</c:f>
              <c:numCache>
                <c:formatCode>General</c:formatCode>
                <c:ptCount val="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val>
        </c:ser>
        <c:ser>
          <c:idx val="2"/>
          <c:order val="2"/>
          <c:tx>
            <c:strRef>
              <c:f>'NT 1'!$D$7</c:f>
              <c:strCache>
                <c:ptCount val="1"/>
                <c:pt idx="0">
                  <c:v>ncp 4</c:v>
                </c:pt>
              </c:strCache>
            </c:strRef>
          </c:tx>
          <c:marker>
            <c:symbol val="none"/>
          </c:marker>
          <c:cat>
            <c:numRef>
              <c:f>'NT 1'!$A$8:$A$209</c:f>
              <c:numCache>
                <c:formatCode>General</c:formatCode>
                <c:ptCount val="202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-1.8790524691780774E-14</c:v>
                </c:pt>
                <c:pt idx="101">
                  <c:v>9.9999999999981215E-2</c:v>
                </c:pt>
                <c:pt idx="102">
                  <c:v>0.19999999999998122</c:v>
                </c:pt>
                <c:pt idx="103">
                  <c:v>0.29999999999998123</c:v>
                </c:pt>
                <c:pt idx="104">
                  <c:v>0.39999999999998126</c:v>
                </c:pt>
                <c:pt idx="105">
                  <c:v>0.49999999999998124</c:v>
                </c:pt>
                <c:pt idx="106">
                  <c:v>0.59999999999998122</c:v>
                </c:pt>
                <c:pt idx="107">
                  <c:v>0.69999999999998119</c:v>
                </c:pt>
                <c:pt idx="108">
                  <c:v>0.79999999999998117</c:v>
                </c:pt>
                <c:pt idx="109">
                  <c:v>0.89999999999998115</c:v>
                </c:pt>
                <c:pt idx="110">
                  <c:v>0.99999999999998113</c:v>
                </c:pt>
                <c:pt idx="111">
                  <c:v>1.0999999999999812</c:v>
                </c:pt>
                <c:pt idx="112">
                  <c:v>1.1999999999999813</c:v>
                </c:pt>
                <c:pt idx="113">
                  <c:v>1.2999999999999814</c:v>
                </c:pt>
                <c:pt idx="114">
                  <c:v>1.3999999999999815</c:v>
                </c:pt>
                <c:pt idx="115">
                  <c:v>1.4999999999999816</c:v>
                </c:pt>
                <c:pt idx="116">
                  <c:v>1.5999999999999817</c:v>
                </c:pt>
                <c:pt idx="117">
                  <c:v>1.6999999999999817</c:v>
                </c:pt>
                <c:pt idx="118">
                  <c:v>1.7999999999999818</c:v>
                </c:pt>
                <c:pt idx="119">
                  <c:v>1.8999999999999819</c:v>
                </c:pt>
                <c:pt idx="120">
                  <c:v>1.999999999999982</c:v>
                </c:pt>
                <c:pt idx="121">
                  <c:v>2.0999999999999819</c:v>
                </c:pt>
                <c:pt idx="122">
                  <c:v>2.199999999999982</c:v>
                </c:pt>
                <c:pt idx="123">
                  <c:v>2.2999999999999821</c:v>
                </c:pt>
                <c:pt idx="124">
                  <c:v>2.3999999999999821</c:v>
                </c:pt>
                <c:pt idx="125">
                  <c:v>2.4999999999999822</c:v>
                </c:pt>
                <c:pt idx="126">
                  <c:v>2.5999999999999823</c:v>
                </c:pt>
                <c:pt idx="127">
                  <c:v>2.6999999999999824</c:v>
                </c:pt>
                <c:pt idx="128">
                  <c:v>2.7999999999999825</c:v>
                </c:pt>
                <c:pt idx="129">
                  <c:v>2.8999999999999826</c:v>
                </c:pt>
                <c:pt idx="130">
                  <c:v>2.9999999999999827</c:v>
                </c:pt>
                <c:pt idx="131">
                  <c:v>3.0999999999999828</c:v>
                </c:pt>
                <c:pt idx="132">
                  <c:v>3.1999999999999829</c:v>
                </c:pt>
                <c:pt idx="133">
                  <c:v>3.2999999999999829</c:v>
                </c:pt>
                <c:pt idx="134">
                  <c:v>3.399999999999983</c:v>
                </c:pt>
                <c:pt idx="135">
                  <c:v>3.4999999999999831</c:v>
                </c:pt>
                <c:pt idx="136">
                  <c:v>3.5999999999999832</c:v>
                </c:pt>
                <c:pt idx="137">
                  <c:v>3.6999999999999833</c:v>
                </c:pt>
                <c:pt idx="138">
                  <c:v>3.7999999999999834</c:v>
                </c:pt>
                <c:pt idx="139">
                  <c:v>3.8999999999999835</c:v>
                </c:pt>
                <c:pt idx="140">
                  <c:v>3.9999999999999836</c:v>
                </c:pt>
                <c:pt idx="141">
                  <c:v>4.0999999999999837</c:v>
                </c:pt>
                <c:pt idx="142">
                  <c:v>4.1999999999999833</c:v>
                </c:pt>
                <c:pt idx="143">
                  <c:v>4.2999999999999829</c:v>
                </c:pt>
                <c:pt idx="144">
                  <c:v>4.3999999999999826</c:v>
                </c:pt>
                <c:pt idx="145">
                  <c:v>4.4999999999999822</c:v>
                </c:pt>
                <c:pt idx="146">
                  <c:v>4.5999999999999819</c:v>
                </c:pt>
                <c:pt idx="147">
                  <c:v>4.6999999999999815</c:v>
                </c:pt>
                <c:pt idx="148">
                  <c:v>4.7999999999999812</c:v>
                </c:pt>
                <c:pt idx="149">
                  <c:v>4.8999999999999808</c:v>
                </c:pt>
                <c:pt idx="150">
                  <c:v>4.9999999999999805</c:v>
                </c:pt>
                <c:pt idx="151">
                  <c:v>5.0999999999999801</c:v>
                </c:pt>
                <c:pt idx="152">
                  <c:v>5.1999999999999797</c:v>
                </c:pt>
                <c:pt idx="153">
                  <c:v>5.2999999999999794</c:v>
                </c:pt>
                <c:pt idx="154">
                  <c:v>5.399999999999979</c:v>
                </c:pt>
                <c:pt idx="155">
                  <c:v>5.4999999999999787</c:v>
                </c:pt>
                <c:pt idx="156">
                  <c:v>5.5999999999999783</c:v>
                </c:pt>
                <c:pt idx="157">
                  <c:v>5.699999999999978</c:v>
                </c:pt>
                <c:pt idx="158">
                  <c:v>5.7999999999999776</c:v>
                </c:pt>
                <c:pt idx="159">
                  <c:v>5.8999999999999773</c:v>
                </c:pt>
                <c:pt idx="160">
                  <c:v>5.9999999999999769</c:v>
                </c:pt>
                <c:pt idx="161">
                  <c:v>6.0999999999999766</c:v>
                </c:pt>
                <c:pt idx="162">
                  <c:v>6.1999999999999762</c:v>
                </c:pt>
                <c:pt idx="163">
                  <c:v>6.2999999999999758</c:v>
                </c:pt>
                <c:pt idx="164">
                  <c:v>6.3999999999999755</c:v>
                </c:pt>
                <c:pt idx="165">
                  <c:v>6.4999999999999751</c:v>
                </c:pt>
                <c:pt idx="166">
                  <c:v>6.5999999999999748</c:v>
                </c:pt>
                <c:pt idx="167">
                  <c:v>6.6999999999999744</c:v>
                </c:pt>
                <c:pt idx="168">
                  <c:v>6.7999999999999741</c:v>
                </c:pt>
                <c:pt idx="169">
                  <c:v>6.8999999999999737</c:v>
                </c:pt>
                <c:pt idx="170">
                  <c:v>6.9999999999999734</c:v>
                </c:pt>
                <c:pt idx="171">
                  <c:v>7.099999999999973</c:v>
                </c:pt>
                <c:pt idx="172">
                  <c:v>7.1999999999999726</c:v>
                </c:pt>
                <c:pt idx="173">
                  <c:v>7.2999999999999723</c:v>
                </c:pt>
                <c:pt idx="174">
                  <c:v>7.3999999999999719</c:v>
                </c:pt>
                <c:pt idx="175">
                  <c:v>7.4999999999999716</c:v>
                </c:pt>
                <c:pt idx="176">
                  <c:v>7.5999999999999712</c:v>
                </c:pt>
                <c:pt idx="177">
                  <c:v>7.6999999999999709</c:v>
                </c:pt>
                <c:pt idx="178">
                  <c:v>7.7999999999999705</c:v>
                </c:pt>
                <c:pt idx="179">
                  <c:v>7.8999999999999702</c:v>
                </c:pt>
                <c:pt idx="180">
                  <c:v>7.9999999999999698</c:v>
                </c:pt>
                <c:pt idx="181">
                  <c:v>8.0999999999999694</c:v>
                </c:pt>
                <c:pt idx="182">
                  <c:v>8.1999999999999691</c:v>
                </c:pt>
                <c:pt idx="183">
                  <c:v>8.2999999999999687</c:v>
                </c:pt>
                <c:pt idx="184">
                  <c:v>8.3999999999999684</c:v>
                </c:pt>
                <c:pt idx="185">
                  <c:v>8.499999999999968</c:v>
                </c:pt>
                <c:pt idx="186">
                  <c:v>8.5999999999999677</c:v>
                </c:pt>
                <c:pt idx="187">
                  <c:v>8.6999999999999673</c:v>
                </c:pt>
                <c:pt idx="188">
                  <c:v>8.799999999999967</c:v>
                </c:pt>
                <c:pt idx="189">
                  <c:v>8.8999999999999666</c:v>
                </c:pt>
                <c:pt idx="190">
                  <c:v>8.9999999999999662</c:v>
                </c:pt>
                <c:pt idx="191">
                  <c:v>9.0999999999999659</c:v>
                </c:pt>
                <c:pt idx="192">
                  <c:v>9.1999999999999655</c:v>
                </c:pt>
                <c:pt idx="193">
                  <c:v>9.2999999999999652</c:v>
                </c:pt>
                <c:pt idx="194">
                  <c:v>9.3999999999999648</c:v>
                </c:pt>
                <c:pt idx="195">
                  <c:v>9.4999999999999645</c:v>
                </c:pt>
                <c:pt idx="196">
                  <c:v>9.5999999999999641</c:v>
                </c:pt>
                <c:pt idx="197">
                  <c:v>9.6999999999999638</c:v>
                </c:pt>
                <c:pt idx="198">
                  <c:v>9.7999999999999634</c:v>
                </c:pt>
                <c:pt idx="199">
                  <c:v>9.8999999999999631</c:v>
                </c:pt>
                <c:pt idx="200">
                  <c:v>9.9999999999999627</c:v>
                </c:pt>
                <c:pt idx="201">
                  <c:v>10.099999999999962</c:v>
                </c:pt>
              </c:numCache>
            </c:numRef>
          </c:cat>
          <c:val>
            <c:numRef>
              <c:f>'NT 1'!$D$8:$D$209</c:f>
              <c:numCache>
                <c:formatCode>General</c:formatCode>
                <c:ptCount val="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val>
        </c:ser>
        <c:ser>
          <c:idx val="3"/>
          <c:order val="3"/>
          <c:tx>
            <c:strRef>
              <c:f>'NT 1'!$E$7</c:f>
              <c:strCache>
                <c:ptCount val="1"/>
                <c:pt idx="0">
                  <c:v>ncp 6</c:v>
                </c:pt>
              </c:strCache>
            </c:strRef>
          </c:tx>
          <c:marker>
            <c:symbol val="none"/>
          </c:marker>
          <c:cat>
            <c:numRef>
              <c:f>'NT 1'!$A$8:$A$209</c:f>
              <c:numCache>
                <c:formatCode>General</c:formatCode>
                <c:ptCount val="202"/>
                <c:pt idx="0">
                  <c:v>-10</c:v>
                </c:pt>
                <c:pt idx="1">
                  <c:v>-9.9</c:v>
                </c:pt>
                <c:pt idx="2">
                  <c:v>-9.8000000000000007</c:v>
                </c:pt>
                <c:pt idx="3">
                  <c:v>-9.7000000000000011</c:v>
                </c:pt>
                <c:pt idx="4">
                  <c:v>-9.6000000000000014</c:v>
                </c:pt>
                <c:pt idx="5">
                  <c:v>-9.5000000000000018</c:v>
                </c:pt>
                <c:pt idx="6">
                  <c:v>-9.4000000000000021</c:v>
                </c:pt>
                <c:pt idx="7">
                  <c:v>-9.3000000000000025</c:v>
                </c:pt>
                <c:pt idx="8">
                  <c:v>-9.2000000000000028</c:v>
                </c:pt>
                <c:pt idx="9">
                  <c:v>-9.1000000000000032</c:v>
                </c:pt>
                <c:pt idx="10">
                  <c:v>-9.0000000000000036</c:v>
                </c:pt>
                <c:pt idx="11">
                  <c:v>-8.9000000000000039</c:v>
                </c:pt>
                <c:pt idx="12">
                  <c:v>-8.8000000000000043</c:v>
                </c:pt>
                <c:pt idx="13">
                  <c:v>-8.7000000000000046</c:v>
                </c:pt>
                <c:pt idx="14">
                  <c:v>-8.600000000000005</c:v>
                </c:pt>
                <c:pt idx="15">
                  <c:v>-8.5000000000000053</c:v>
                </c:pt>
                <c:pt idx="16">
                  <c:v>-8.4000000000000057</c:v>
                </c:pt>
                <c:pt idx="17">
                  <c:v>-8.300000000000006</c:v>
                </c:pt>
                <c:pt idx="18">
                  <c:v>-8.2000000000000064</c:v>
                </c:pt>
                <c:pt idx="19">
                  <c:v>-8.1000000000000068</c:v>
                </c:pt>
                <c:pt idx="20">
                  <c:v>-8.0000000000000071</c:v>
                </c:pt>
                <c:pt idx="21">
                  <c:v>-7.9000000000000075</c:v>
                </c:pt>
                <c:pt idx="22">
                  <c:v>-7.8000000000000078</c:v>
                </c:pt>
                <c:pt idx="23">
                  <c:v>-7.7000000000000082</c:v>
                </c:pt>
                <c:pt idx="24">
                  <c:v>-7.6000000000000085</c:v>
                </c:pt>
                <c:pt idx="25">
                  <c:v>-7.5000000000000089</c:v>
                </c:pt>
                <c:pt idx="26">
                  <c:v>-7.4000000000000092</c:v>
                </c:pt>
                <c:pt idx="27">
                  <c:v>-7.3000000000000096</c:v>
                </c:pt>
                <c:pt idx="28">
                  <c:v>-7.2000000000000099</c:v>
                </c:pt>
                <c:pt idx="29">
                  <c:v>-7.1000000000000103</c:v>
                </c:pt>
                <c:pt idx="30">
                  <c:v>-7.0000000000000107</c:v>
                </c:pt>
                <c:pt idx="31">
                  <c:v>-6.900000000000011</c:v>
                </c:pt>
                <c:pt idx="32">
                  <c:v>-6.8000000000000114</c:v>
                </c:pt>
                <c:pt idx="33">
                  <c:v>-6.7000000000000117</c:v>
                </c:pt>
                <c:pt idx="34">
                  <c:v>-6.6000000000000121</c:v>
                </c:pt>
                <c:pt idx="35">
                  <c:v>-6.5000000000000124</c:v>
                </c:pt>
                <c:pt idx="36">
                  <c:v>-6.4000000000000128</c:v>
                </c:pt>
                <c:pt idx="37">
                  <c:v>-6.3000000000000131</c:v>
                </c:pt>
                <c:pt idx="38">
                  <c:v>-6.2000000000000135</c:v>
                </c:pt>
                <c:pt idx="39">
                  <c:v>-6.1000000000000139</c:v>
                </c:pt>
                <c:pt idx="40">
                  <c:v>-6.0000000000000142</c:v>
                </c:pt>
                <c:pt idx="41">
                  <c:v>-5.9000000000000146</c:v>
                </c:pt>
                <c:pt idx="42">
                  <c:v>-5.8000000000000149</c:v>
                </c:pt>
                <c:pt idx="43">
                  <c:v>-5.7000000000000153</c:v>
                </c:pt>
                <c:pt idx="44">
                  <c:v>-5.6000000000000156</c:v>
                </c:pt>
                <c:pt idx="45">
                  <c:v>-5.500000000000016</c:v>
                </c:pt>
                <c:pt idx="46">
                  <c:v>-5.4000000000000163</c:v>
                </c:pt>
                <c:pt idx="47">
                  <c:v>-5.3000000000000167</c:v>
                </c:pt>
                <c:pt idx="48">
                  <c:v>-5.2000000000000171</c:v>
                </c:pt>
                <c:pt idx="49">
                  <c:v>-5.1000000000000174</c:v>
                </c:pt>
                <c:pt idx="50">
                  <c:v>-5.0000000000000178</c:v>
                </c:pt>
                <c:pt idx="51">
                  <c:v>-4.9000000000000181</c:v>
                </c:pt>
                <c:pt idx="52">
                  <c:v>-4.8000000000000185</c:v>
                </c:pt>
                <c:pt idx="53">
                  <c:v>-4.7000000000000188</c:v>
                </c:pt>
                <c:pt idx="54">
                  <c:v>-4.6000000000000192</c:v>
                </c:pt>
                <c:pt idx="55">
                  <c:v>-4.5000000000000195</c:v>
                </c:pt>
                <c:pt idx="56">
                  <c:v>-4.4000000000000199</c:v>
                </c:pt>
                <c:pt idx="57">
                  <c:v>-4.3000000000000203</c:v>
                </c:pt>
                <c:pt idx="58">
                  <c:v>-4.2000000000000206</c:v>
                </c:pt>
                <c:pt idx="59">
                  <c:v>-4.100000000000021</c:v>
                </c:pt>
                <c:pt idx="60">
                  <c:v>-4.0000000000000213</c:v>
                </c:pt>
                <c:pt idx="61">
                  <c:v>-3.9000000000000212</c:v>
                </c:pt>
                <c:pt idx="62">
                  <c:v>-3.8000000000000211</c:v>
                </c:pt>
                <c:pt idx="63">
                  <c:v>-3.700000000000021</c:v>
                </c:pt>
                <c:pt idx="64">
                  <c:v>-3.600000000000021</c:v>
                </c:pt>
                <c:pt idx="65">
                  <c:v>-3.5000000000000209</c:v>
                </c:pt>
                <c:pt idx="66">
                  <c:v>-3.4000000000000208</c:v>
                </c:pt>
                <c:pt idx="67">
                  <c:v>-3.3000000000000207</c:v>
                </c:pt>
                <c:pt idx="68">
                  <c:v>-3.2000000000000206</c:v>
                </c:pt>
                <c:pt idx="69">
                  <c:v>-3.1000000000000205</c:v>
                </c:pt>
                <c:pt idx="70">
                  <c:v>-3.0000000000000204</c:v>
                </c:pt>
                <c:pt idx="71">
                  <c:v>-2.9000000000000203</c:v>
                </c:pt>
                <c:pt idx="72">
                  <c:v>-2.8000000000000203</c:v>
                </c:pt>
                <c:pt idx="73">
                  <c:v>-2.7000000000000202</c:v>
                </c:pt>
                <c:pt idx="74">
                  <c:v>-2.6000000000000201</c:v>
                </c:pt>
                <c:pt idx="75">
                  <c:v>-2.50000000000002</c:v>
                </c:pt>
                <c:pt idx="76">
                  <c:v>-2.4000000000000199</c:v>
                </c:pt>
                <c:pt idx="77">
                  <c:v>-2.3000000000000198</c:v>
                </c:pt>
                <c:pt idx="78">
                  <c:v>-2.2000000000000197</c:v>
                </c:pt>
                <c:pt idx="79">
                  <c:v>-2.1000000000000196</c:v>
                </c:pt>
                <c:pt idx="80">
                  <c:v>-2.0000000000000195</c:v>
                </c:pt>
                <c:pt idx="81">
                  <c:v>-1.9000000000000195</c:v>
                </c:pt>
                <c:pt idx="82">
                  <c:v>-1.8000000000000194</c:v>
                </c:pt>
                <c:pt idx="83">
                  <c:v>-1.7000000000000193</c:v>
                </c:pt>
                <c:pt idx="84">
                  <c:v>-1.6000000000000192</c:v>
                </c:pt>
                <c:pt idx="85">
                  <c:v>-1.5000000000000191</c:v>
                </c:pt>
                <c:pt idx="86">
                  <c:v>-1.400000000000019</c:v>
                </c:pt>
                <c:pt idx="87">
                  <c:v>-1.3000000000000189</c:v>
                </c:pt>
                <c:pt idx="88">
                  <c:v>-1.2000000000000188</c:v>
                </c:pt>
                <c:pt idx="89">
                  <c:v>-1.1000000000000187</c:v>
                </c:pt>
                <c:pt idx="90">
                  <c:v>-1.0000000000000187</c:v>
                </c:pt>
                <c:pt idx="91">
                  <c:v>-0.90000000000001867</c:v>
                </c:pt>
                <c:pt idx="92">
                  <c:v>-0.8000000000000187</c:v>
                </c:pt>
                <c:pt idx="93">
                  <c:v>-0.70000000000001872</c:v>
                </c:pt>
                <c:pt idx="94">
                  <c:v>-0.60000000000001874</c:v>
                </c:pt>
                <c:pt idx="95">
                  <c:v>-0.50000000000001876</c:v>
                </c:pt>
                <c:pt idx="96">
                  <c:v>-0.40000000000001878</c:v>
                </c:pt>
                <c:pt idx="97">
                  <c:v>-0.30000000000001881</c:v>
                </c:pt>
                <c:pt idx="98">
                  <c:v>-0.2000000000000188</c:v>
                </c:pt>
                <c:pt idx="99">
                  <c:v>-0.1000000000000188</c:v>
                </c:pt>
                <c:pt idx="100">
                  <c:v>-1.8790524691780774E-14</c:v>
                </c:pt>
                <c:pt idx="101">
                  <c:v>9.9999999999981215E-2</c:v>
                </c:pt>
                <c:pt idx="102">
                  <c:v>0.19999999999998122</c:v>
                </c:pt>
                <c:pt idx="103">
                  <c:v>0.29999999999998123</c:v>
                </c:pt>
                <c:pt idx="104">
                  <c:v>0.39999999999998126</c:v>
                </c:pt>
                <c:pt idx="105">
                  <c:v>0.49999999999998124</c:v>
                </c:pt>
                <c:pt idx="106">
                  <c:v>0.59999999999998122</c:v>
                </c:pt>
                <c:pt idx="107">
                  <c:v>0.69999999999998119</c:v>
                </c:pt>
                <c:pt idx="108">
                  <c:v>0.79999999999998117</c:v>
                </c:pt>
                <c:pt idx="109">
                  <c:v>0.89999999999998115</c:v>
                </c:pt>
                <c:pt idx="110">
                  <c:v>0.99999999999998113</c:v>
                </c:pt>
                <c:pt idx="111">
                  <c:v>1.0999999999999812</c:v>
                </c:pt>
                <c:pt idx="112">
                  <c:v>1.1999999999999813</c:v>
                </c:pt>
                <c:pt idx="113">
                  <c:v>1.2999999999999814</c:v>
                </c:pt>
                <c:pt idx="114">
                  <c:v>1.3999999999999815</c:v>
                </c:pt>
                <c:pt idx="115">
                  <c:v>1.4999999999999816</c:v>
                </c:pt>
                <c:pt idx="116">
                  <c:v>1.5999999999999817</c:v>
                </c:pt>
                <c:pt idx="117">
                  <c:v>1.6999999999999817</c:v>
                </c:pt>
                <c:pt idx="118">
                  <c:v>1.7999999999999818</c:v>
                </c:pt>
                <c:pt idx="119">
                  <c:v>1.8999999999999819</c:v>
                </c:pt>
                <c:pt idx="120">
                  <c:v>1.999999999999982</c:v>
                </c:pt>
                <c:pt idx="121">
                  <c:v>2.0999999999999819</c:v>
                </c:pt>
                <c:pt idx="122">
                  <c:v>2.199999999999982</c:v>
                </c:pt>
                <c:pt idx="123">
                  <c:v>2.2999999999999821</c:v>
                </c:pt>
                <c:pt idx="124">
                  <c:v>2.3999999999999821</c:v>
                </c:pt>
                <c:pt idx="125">
                  <c:v>2.4999999999999822</c:v>
                </c:pt>
                <c:pt idx="126">
                  <c:v>2.5999999999999823</c:v>
                </c:pt>
                <c:pt idx="127">
                  <c:v>2.6999999999999824</c:v>
                </c:pt>
                <c:pt idx="128">
                  <c:v>2.7999999999999825</c:v>
                </c:pt>
                <c:pt idx="129">
                  <c:v>2.8999999999999826</c:v>
                </c:pt>
                <c:pt idx="130">
                  <c:v>2.9999999999999827</c:v>
                </c:pt>
                <c:pt idx="131">
                  <c:v>3.0999999999999828</c:v>
                </c:pt>
                <c:pt idx="132">
                  <c:v>3.1999999999999829</c:v>
                </c:pt>
                <c:pt idx="133">
                  <c:v>3.2999999999999829</c:v>
                </c:pt>
                <c:pt idx="134">
                  <c:v>3.399999999999983</c:v>
                </c:pt>
                <c:pt idx="135">
                  <c:v>3.4999999999999831</c:v>
                </c:pt>
                <c:pt idx="136">
                  <c:v>3.5999999999999832</c:v>
                </c:pt>
                <c:pt idx="137">
                  <c:v>3.6999999999999833</c:v>
                </c:pt>
                <c:pt idx="138">
                  <c:v>3.7999999999999834</c:v>
                </c:pt>
                <c:pt idx="139">
                  <c:v>3.8999999999999835</c:v>
                </c:pt>
                <c:pt idx="140">
                  <c:v>3.9999999999999836</c:v>
                </c:pt>
                <c:pt idx="141">
                  <c:v>4.0999999999999837</c:v>
                </c:pt>
                <c:pt idx="142">
                  <c:v>4.1999999999999833</c:v>
                </c:pt>
                <c:pt idx="143">
                  <c:v>4.2999999999999829</c:v>
                </c:pt>
                <c:pt idx="144">
                  <c:v>4.3999999999999826</c:v>
                </c:pt>
                <c:pt idx="145">
                  <c:v>4.4999999999999822</c:v>
                </c:pt>
                <c:pt idx="146">
                  <c:v>4.5999999999999819</c:v>
                </c:pt>
                <c:pt idx="147">
                  <c:v>4.6999999999999815</c:v>
                </c:pt>
                <c:pt idx="148">
                  <c:v>4.7999999999999812</c:v>
                </c:pt>
                <c:pt idx="149">
                  <c:v>4.8999999999999808</c:v>
                </c:pt>
                <c:pt idx="150">
                  <c:v>4.9999999999999805</c:v>
                </c:pt>
                <c:pt idx="151">
                  <c:v>5.0999999999999801</c:v>
                </c:pt>
                <c:pt idx="152">
                  <c:v>5.1999999999999797</c:v>
                </c:pt>
                <c:pt idx="153">
                  <c:v>5.2999999999999794</c:v>
                </c:pt>
                <c:pt idx="154">
                  <c:v>5.399999999999979</c:v>
                </c:pt>
                <c:pt idx="155">
                  <c:v>5.4999999999999787</c:v>
                </c:pt>
                <c:pt idx="156">
                  <c:v>5.5999999999999783</c:v>
                </c:pt>
                <c:pt idx="157">
                  <c:v>5.699999999999978</c:v>
                </c:pt>
                <c:pt idx="158">
                  <c:v>5.7999999999999776</c:v>
                </c:pt>
                <c:pt idx="159">
                  <c:v>5.8999999999999773</c:v>
                </c:pt>
                <c:pt idx="160">
                  <c:v>5.9999999999999769</c:v>
                </c:pt>
                <c:pt idx="161">
                  <c:v>6.0999999999999766</c:v>
                </c:pt>
                <c:pt idx="162">
                  <c:v>6.1999999999999762</c:v>
                </c:pt>
                <c:pt idx="163">
                  <c:v>6.2999999999999758</c:v>
                </c:pt>
                <c:pt idx="164">
                  <c:v>6.3999999999999755</c:v>
                </c:pt>
                <c:pt idx="165">
                  <c:v>6.4999999999999751</c:v>
                </c:pt>
                <c:pt idx="166">
                  <c:v>6.5999999999999748</c:v>
                </c:pt>
                <c:pt idx="167">
                  <c:v>6.6999999999999744</c:v>
                </c:pt>
                <c:pt idx="168">
                  <c:v>6.7999999999999741</c:v>
                </c:pt>
                <c:pt idx="169">
                  <c:v>6.8999999999999737</c:v>
                </c:pt>
                <c:pt idx="170">
                  <c:v>6.9999999999999734</c:v>
                </c:pt>
                <c:pt idx="171">
                  <c:v>7.099999999999973</c:v>
                </c:pt>
                <c:pt idx="172">
                  <c:v>7.1999999999999726</c:v>
                </c:pt>
                <c:pt idx="173">
                  <c:v>7.2999999999999723</c:v>
                </c:pt>
                <c:pt idx="174">
                  <c:v>7.3999999999999719</c:v>
                </c:pt>
                <c:pt idx="175">
                  <c:v>7.4999999999999716</c:v>
                </c:pt>
                <c:pt idx="176">
                  <c:v>7.5999999999999712</c:v>
                </c:pt>
                <c:pt idx="177">
                  <c:v>7.6999999999999709</c:v>
                </c:pt>
                <c:pt idx="178">
                  <c:v>7.7999999999999705</c:v>
                </c:pt>
                <c:pt idx="179">
                  <c:v>7.8999999999999702</c:v>
                </c:pt>
                <c:pt idx="180">
                  <c:v>7.9999999999999698</c:v>
                </c:pt>
                <c:pt idx="181">
                  <c:v>8.0999999999999694</c:v>
                </c:pt>
                <c:pt idx="182">
                  <c:v>8.1999999999999691</c:v>
                </c:pt>
                <c:pt idx="183">
                  <c:v>8.2999999999999687</c:v>
                </c:pt>
                <c:pt idx="184">
                  <c:v>8.3999999999999684</c:v>
                </c:pt>
                <c:pt idx="185">
                  <c:v>8.499999999999968</c:v>
                </c:pt>
                <c:pt idx="186">
                  <c:v>8.5999999999999677</c:v>
                </c:pt>
                <c:pt idx="187">
                  <c:v>8.6999999999999673</c:v>
                </c:pt>
                <c:pt idx="188">
                  <c:v>8.799999999999967</c:v>
                </c:pt>
                <c:pt idx="189">
                  <c:v>8.8999999999999666</c:v>
                </c:pt>
                <c:pt idx="190">
                  <c:v>8.9999999999999662</c:v>
                </c:pt>
                <c:pt idx="191">
                  <c:v>9.0999999999999659</c:v>
                </c:pt>
                <c:pt idx="192">
                  <c:v>9.1999999999999655</c:v>
                </c:pt>
                <c:pt idx="193">
                  <c:v>9.2999999999999652</c:v>
                </c:pt>
                <c:pt idx="194">
                  <c:v>9.3999999999999648</c:v>
                </c:pt>
                <c:pt idx="195">
                  <c:v>9.4999999999999645</c:v>
                </c:pt>
                <c:pt idx="196">
                  <c:v>9.5999999999999641</c:v>
                </c:pt>
                <c:pt idx="197">
                  <c:v>9.6999999999999638</c:v>
                </c:pt>
                <c:pt idx="198">
                  <c:v>9.7999999999999634</c:v>
                </c:pt>
                <c:pt idx="199">
                  <c:v>9.8999999999999631</c:v>
                </c:pt>
                <c:pt idx="200">
                  <c:v>9.9999999999999627</c:v>
                </c:pt>
                <c:pt idx="201">
                  <c:v>10.099999999999962</c:v>
                </c:pt>
              </c:numCache>
            </c:numRef>
          </c:cat>
          <c:val>
            <c:numRef>
              <c:f>'NT 1'!$E$8:$E$209</c:f>
              <c:numCache>
                <c:formatCode>General</c:formatCode>
                <c:ptCount val="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val>
        </c:ser>
        <c:marker val="1"/>
        <c:axId val="300283008"/>
        <c:axId val="300284544"/>
      </c:lineChart>
      <c:catAx>
        <c:axId val="300283008"/>
        <c:scaling>
          <c:orientation val="minMax"/>
        </c:scaling>
        <c:axPos val="b"/>
        <c:numFmt formatCode="#,##0" sourceLinked="0"/>
        <c:tickLblPos val="nextTo"/>
        <c:crossAx val="300284544"/>
        <c:crosses val="autoZero"/>
        <c:auto val="1"/>
        <c:lblAlgn val="ctr"/>
        <c:lblOffset val="100"/>
        <c:tickMarkSkip val="20"/>
      </c:catAx>
      <c:valAx>
        <c:axId val="300284544"/>
        <c:scaling>
          <c:orientation val="minMax"/>
        </c:scaling>
        <c:axPos val="l"/>
        <c:majorGridlines/>
        <c:numFmt formatCode="#,##0.00" sourceLinked="0"/>
        <c:tickLblPos val="nextTo"/>
        <c:crossAx val="30028300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Noncentral t pdf (ncp</a:t>
            </a:r>
            <a:r>
              <a:rPr lang="en-US" baseline="0"/>
              <a:t> = 2)</a:t>
            </a:r>
            <a:endParaRPr lang="en-US"/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'NT 1'!$R$7</c:f>
              <c:strCache>
                <c:ptCount val="1"/>
                <c:pt idx="0">
                  <c:v>df 1</c:v>
                </c:pt>
              </c:strCache>
            </c:strRef>
          </c:tx>
          <c:marker>
            <c:symbol val="none"/>
          </c:marker>
          <c:cat>
            <c:numRef>
              <c:f>'NT 1'!$Q$8:$Q$209</c:f>
              <c:numCache>
                <c:formatCode>General</c:formatCode>
                <c:ptCount val="202"/>
                <c:pt idx="0">
                  <c:v>-6</c:v>
                </c:pt>
                <c:pt idx="1">
                  <c:v>-5.9</c:v>
                </c:pt>
                <c:pt idx="2">
                  <c:v>-5.8000000000000007</c:v>
                </c:pt>
                <c:pt idx="3">
                  <c:v>-5.7000000000000011</c:v>
                </c:pt>
                <c:pt idx="4">
                  <c:v>-5.6000000000000014</c:v>
                </c:pt>
                <c:pt idx="5">
                  <c:v>-5.5000000000000018</c:v>
                </c:pt>
                <c:pt idx="6">
                  <c:v>-5.4000000000000021</c:v>
                </c:pt>
                <c:pt idx="7">
                  <c:v>-5.3000000000000025</c:v>
                </c:pt>
                <c:pt idx="8">
                  <c:v>-5.2000000000000028</c:v>
                </c:pt>
                <c:pt idx="9">
                  <c:v>-5.1000000000000032</c:v>
                </c:pt>
                <c:pt idx="10">
                  <c:v>-5.0000000000000036</c:v>
                </c:pt>
                <c:pt idx="11">
                  <c:v>-4.9000000000000039</c:v>
                </c:pt>
                <c:pt idx="12">
                  <c:v>-4.8000000000000043</c:v>
                </c:pt>
                <c:pt idx="13">
                  <c:v>-4.7000000000000046</c:v>
                </c:pt>
                <c:pt idx="14">
                  <c:v>-4.600000000000005</c:v>
                </c:pt>
                <c:pt idx="15">
                  <c:v>-4.5000000000000053</c:v>
                </c:pt>
                <c:pt idx="16">
                  <c:v>-4.4000000000000057</c:v>
                </c:pt>
                <c:pt idx="17">
                  <c:v>-4.300000000000006</c:v>
                </c:pt>
                <c:pt idx="18">
                  <c:v>-4.2000000000000064</c:v>
                </c:pt>
                <c:pt idx="19">
                  <c:v>-4.1000000000000068</c:v>
                </c:pt>
                <c:pt idx="20">
                  <c:v>-4.0000000000000071</c:v>
                </c:pt>
                <c:pt idx="21">
                  <c:v>-3.900000000000007</c:v>
                </c:pt>
                <c:pt idx="22">
                  <c:v>-3.8000000000000069</c:v>
                </c:pt>
                <c:pt idx="23">
                  <c:v>-3.7000000000000068</c:v>
                </c:pt>
                <c:pt idx="24">
                  <c:v>-3.6000000000000068</c:v>
                </c:pt>
                <c:pt idx="25">
                  <c:v>-3.5000000000000067</c:v>
                </c:pt>
                <c:pt idx="26">
                  <c:v>-3.4000000000000066</c:v>
                </c:pt>
                <c:pt idx="27">
                  <c:v>-3.3000000000000065</c:v>
                </c:pt>
                <c:pt idx="28">
                  <c:v>-3.2000000000000064</c:v>
                </c:pt>
                <c:pt idx="29">
                  <c:v>-3.1000000000000063</c:v>
                </c:pt>
                <c:pt idx="30">
                  <c:v>-3.0000000000000062</c:v>
                </c:pt>
                <c:pt idx="31">
                  <c:v>-2.9000000000000061</c:v>
                </c:pt>
                <c:pt idx="32">
                  <c:v>-2.800000000000006</c:v>
                </c:pt>
                <c:pt idx="33">
                  <c:v>-2.700000000000006</c:v>
                </c:pt>
                <c:pt idx="34">
                  <c:v>-2.6000000000000059</c:v>
                </c:pt>
                <c:pt idx="35">
                  <c:v>-2.5000000000000058</c:v>
                </c:pt>
                <c:pt idx="36">
                  <c:v>-2.4000000000000057</c:v>
                </c:pt>
                <c:pt idx="37">
                  <c:v>-2.3000000000000056</c:v>
                </c:pt>
                <c:pt idx="38">
                  <c:v>-2.2000000000000055</c:v>
                </c:pt>
                <c:pt idx="39">
                  <c:v>-2.1000000000000054</c:v>
                </c:pt>
                <c:pt idx="40">
                  <c:v>-2.0000000000000053</c:v>
                </c:pt>
                <c:pt idx="41">
                  <c:v>-1.9000000000000052</c:v>
                </c:pt>
                <c:pt idx="42">
                  <c:v>-1.8000000000000052</c:v>
                </c:pt>
                <c:pt idx="43">
                  <c:v>-1.7000000000000051</c:v>
                </c:pt>
                <c:pt idx="44">
                  <c:v>-1.600000000000005</c:v>
                </c:pt>
                <c:pt idx="45">
                  <c:v>-1.5000000000000049</c:v>
                </c:pt>
                <c:pt idx="46">
                  <c:v>-1.4000000000000048</c:v>
                </c:pt>
                <c:pt idx="47">
                  <c:v>-1.3000000000000047</c:v>
                </c:pt>
                <c:pt idx="48">
                  <c:v>-1.2000000000000046</c:v>
                </c:pt>
                <c:pt idx="49">
                  <c:v>-1.1000000000000045</c:v>
                </c:pt>
                <c:pt idx="50">
                  <c:v>-1.0000000000000044</c:v>
                </c:pt>
                <c:pt idx="51">
                  <c:v>-0.90000000000000446</c:v>
                </c:pt>
                <c:pt idx="52">
                  <c:v>-0.80000000000000449</c:v>
                </c:pt>
                <c:pt idx="53">
                  <c:v>-0.70000000000000451</c:v>
                </c:pt>
                <c:pt idx="54">
                  <c:v>-0.60000000000000453</c:v>
                </c:pt>
                <c:pt idx="55">
                  <c:v>-0.50000000000000455</c:v>
                </c:pt>
                <c:pt idx="56">
                  <c:v>-0.40000000000000457</c:v>
                </c:pt>
                <c:pt idx="57">
                  <c:v>-0.3000000000000046</c:v>
                </c:pt>
                <c:pt idx="58">
                  <c:v>-0.20000000000000459</c:v>
                </c:pt>
                <c:pt idx="59">
                  <c:v>-0.10000000000000459</c:v>
                </c:pt>
                <c:pt idx="60">
                  <c:v>-4.5796699765787707E-15</c:v>
                </c:pt>
                <c:pt idx="61">
                  <c:v>9.9999999999995426E-2</c:v>
                </c:pt>
                <c:pt idx="62">
                  <c:v>0.19999999999999543</c:v>
                </c:pt>
                <c:pt idx="63">
                  <c:v>0.29999999999999544</c:v>
                </c:pt>
                <c:pt idx="64">
                  <c:v>0.39999999999999547</c:v>
                </c:pt>
                <c:pt idx="65">
                  <c:v>0.49999999999999545</c:v>
                </c:pt>
                <c:pt idx="66">
                  <c:v>0.59999999999999543</c:v>
                </c:pt>
                <c:pt idx="67">
                  <c:v>0.6999999999999954</c:v>
                </c:pt>
                <c:pt idx="68">
                  <c:v>0.79999999999999538</c:v>
                </c:pt>
                <c:pt idx="69">
                  <c:v>0.89999999999999536</c:v>
                </c:pt>
                <c:pt idx="70">
                  <c:v>0.99999999999999534</c:v>
                </c:pt>
                <c:pt idx="71">
                  <c:v>1.0999999999999954</c:v>
                </c:pt>
                <c:pt idx="72">
                  <c:v>1.1999999999999955</c:v>
                </c:pt>
                <c:pt idx="73">
                  <c:v>1.2999999999999956</c:v>
                </c:pt>
                <c:pt idx="74">
                  <c:v>1.3999999999999957</c:v>
                </c:pt>
                <c:pt idx="75">
                  <c:v>1.4999999999999958</c:v>
                </c:pt>
                <c:pt idx="76">
                  <c:v>1.5999999999999959</c:v>
                </c:pt>
                <c:pt idx="77">
                  <c:v>1.699999999999996</c:v>
                </c:pt>
                <c:pt idx="78">
                  <c:v>1.799999999999996</c:v>
                </c:pt>
                <c:pt idx="79">
                  <c:v>1.8999999999999961</c:v>
                </c:pt>
                <c:pt idx="80">
                  <c:v>1.9999999999999962</c:v>
                </c:pt>
                <c:pt idx="81">
                  <c:v>2.0999999999999961</c:v>
                </c:pt>
                <c:pt idx="82">
                  <c:v>2.1999999999999962</c:v>
                </c:pt>
                <c:pt idx="83">
                  <c:v>2.2999999999999963</c:v>
                </c:pt>
                <c:pt idx="84">
                  <c:v>2.3999999999999964</c:v>
                </c:pt>
                <c:pt idx="85">
                  <c:v>2.4999999999999964</c:v>
                </c:pt>
                <c:pt idx="86">
                  <c:v>2.5999999999999965</c:v>
                </c:pt>
                <c:pt idx="87">
                  <c:v>2.6999999999999966</c:v>
                </c:pt>
                <c:pt idx="88">
                  <c:v>2.7999999999999967</c:v>
                </c:pt>
                <c:pt idx="89">
                  <c:v>2.8999999999999968</c:v>
                </c:pt>
                <c:pt idx="90">
                  <c:v>2.9999999999999969</c:v>
                </c:pt>
                <c:pt idx="91">
                  <c:v>3.099999999999997</c:v>
                </c:pt>
                <c:pt idx="92">
                  <c:v>3.1999999999999971</c:v>
                </c:pt>
                <c:pt idx="93">
                  <c:v>3.2999999999999972</c:v>
                </c:pt>
                <c:pt idx="94">
                  <c:v>3.3999999999999972</c:v>
                </c:pt>
                <c:pt idx="95">
                  <c:v>3.4999999999999973</c:v>
                </c:pt>
                <c:pt idx="96">
                  <c:v>3.5999999999999974</c:v>
                </c:pt>
                <c:pt idx="97">
                  <c:v>3.6999999999999975</c:v>
                </c:pt>
                <c:pt idx="98">
                  <c:v>3.7999999999999976</c:v>
                </c:pt>
                <c:pt idx="99">
                  <c:v>3.8999999999999977</c:v>
                </c:pt>
                <c:pt idx="100">
                  <c:v>3.9999999999999978</c:v>
                </c:pt>
                <c:pt idx="101">
                  <c:v>4.0999999999999979</c:v>
                </c:pt>
                <c:pt idx="102">
                  <c:v>4.1999999999999975</c:v>
                </c:pt>
                <c:pt idx="103">
                  <c:v>4.2999999999999972</c:v>
                </c:pt>
                <c:pt idx="104">
                  <c:v>4.3999999999999968</c:v>
                </c:pt>
                <c:pt idx="105">
                  <c:v>4.4999999999999964</c:v>
                </c:pt>
                <c:pt idx="106">
                  <c:v>4.5999999999999961</c:v>
                </c:pt>
                <c:pt idx="107">
                  <c:v>4.6999999999999957</c:v>
                </c:pt>
                <c:pt idx="108">
                  <c:v>4.7999999999999954</c:v>
                </c:pt>
                <c:pt idx="109">
                  <c:v>4.899999999999995</c:v>
                </c:pt>
                <c:pt idx="110">
                  <c:v>4.9999999999999947</c:v>
                </c:pt>
                <c:pt idx="111">
                  <c:v>5.0999999999999943</c:v>
                </c:pt>
                <c:pt idx="112">
                  <c:v>5.199999999999994</c:v>
                </c:pt>
                <c:pt idx="113">
                  <c:v>5.2999999999999936</c:v>
                </c:pt>
                <c:pt idx="114">
                  <c:v>5.3999999999999932</c:v>
                </c:pt>
                <c:pt idx="115">
                  <c:v>5.4999999999999929</c:v>
                </c:pt>
                <c:pt idx="116">
                  <c:v>5.5999999999999925</c:v>
                </c:pt>
                <c:pt idx="117">
                  <c:v>5.6999999999999922</c:v>
                </c:pt>
                <c:pt idx="118">
                  <c:v>5.7999999999999918</c:v>
                </c:pt>
                <c:pt idx="119">
                  <c:v>5.8999999999999915</c:v>
                </c:pt>
                <c:pt idx="120">
                  <c:v>5.9999999999999911</c:v>
                </c:pt>
                <c:pt idx="121">
                  <c:v>6.0999999999999908</c:v>
                </c:pt>
                <c:pt idx="122">
                  <c:v>6.1999999999999904</c:v>
                </c:pt>
                <c:pt idx="123">
                  <c:v>6.2999999999999901</c:v>
                </c:pt>
                <c:pt idx="124">
                  <c:v>6.3999999999999897</c:v>
                </c:pt>
                <c:pt idx="125">
                  <c:v>6.4999999999999893</c:v>
                </c:pt>
                <c:pt idx="126">
                  <c:v>6.599999999999989</c:v>
                </c:pt>
                <c:pt idx="127">
                  <c:v>6.6999999999999886</c:v>
                </c:pt>
                <c:pt idx="128">
                  <c:v>6.7999999999999883</c:v>
                </c:pt>
                <c:pt idx="129">
                  <c:v>6.8999999999999879</c:v>
                </c:pt>
                <c:pt idx="130">
                  <c:v>6.9999999999999876</c:v>
                </c:pt>
                <c:pt idx="131">
                  <c:v>7.0999999999999872</c:v>
                </c:pt>
                <c:pt idx="132">
                  <c:v>7.1999999999999869</c:v>
                </c:pt>
                <c:pt idx="133">
                  <c:v>7.2999999999999865</c:v>
                </c:pt>
                <c:pt idx="134">
                  <c:v>7.3999999999999861</c:v>
                </c:pt>
                <c:pt idx="135">
                  <c:v>7.4999999999999858</c:v>
                </c:pt>
                <c:pt idx="136">
                  <c:v>7.5999999999999854</c:v>
                </c:pt>
                <c:pt idx="137">
                  <c:v>7.6999999999999851</c:v>
                </c:pt>
                <c:pt idx="138">
                  <c:v>7.7999999999999847</c:v>
                </c:pt>
                <c:pt idx="139">
                  <c:v>7.8999999999999844</c:v>
                </c:pt>
                <c:pt idx="140">
                  <c:v>7.999999999999984</c:v>
                </c:pt>
                <c:pt idx="141">
                  <c:v>8.0999999999999837</c:v>
                </c:pt>
                <c:pt idx="142">
                  <c:v>8.1999999999999833</c:v>
                </c:pt>
                <c:pt idx="143">
                  <c:v>8.2999999999999829</c:v>
                </c:pt>
                <c:pt idx="144">
                  <c:v>8.3999999999999826</c:v>
                </c:pt>
                <c:pt idx="145">
                  <c:v>8.4999999999999822</c:v>
                </c:pt>
                <c:pt idx="146">
                  <c:v>8.5999999999999819</c:v>
                </c:pt>
                <c:pt idx="147">
                  <c:v>8.6999999999999815</c:v>
                </c:pt>
                <c:pt idx="148">
                  <c:v>8.7999999999999812</c:v>
                </c:pt>
                <c:pt idx="149">
                  <c:v>8.8999999999999808</c:v>
                </c:pt>
                <c:pt idx="150">
                  <c:v>8.9999999999999805</c:v>
                </c:pt>
                <c:pt idx="151">
                  <c:v>9.0999999999999801</c:v>
                </c:pt>
                <c:pt idx="152">
                  <c:v>9.1999999999999797</c:v>
                </c:pt>
                <c:pt idx="153">
                  <c:v>9.2999999999999794</c:v>
                </c:pt>
                <c:pt idx="154">
                  <c:v>9.399999999999979</c:v>
                </c:pt>
                <c:pt idx="155">
                  <c:v>9.4999999999999787</c:v>
                </c:pt>
                <c:pt idx="156">
                  <c:v>9.5999999999999783</c:v>
                </c:pt>
                <c:pt idx="157">
                  <c:v>9.699999999999978</c:v>
                </c:pt>
                <c:pt idx="158">
                  <c:v>9.7999999999999776</c:v>
                </c:pt>
                <c:pt idx="159">
                  <c:v>9.8999999999999773</c:v>
                </c:pt>
                <c:pt idx="160">
                  <c:v>9.9999999999999769</c:v>
                </c:pt>
                <c:pt idx="161">
                  <c:v>10.099999999999977</c:v>
                </c:pt>
                <c:pt idx="162">
                  <c:v>10.199999999999976</c:v>
                </c:pt>
                <c:pt idx="163">
                  <c:v>10.299999999999976</c:v>
                </c:pt>
                <c:pt idx="164">
                  <c:v>10.399999999999975</c:v>
                </c:pt>
                <c:pt idx="165">
                  <c:v>10.499999999999975</c:v>
                </c:pt>
                <c:pt idx="166">
                  <c:v>10.599999999999975</c:v>
                </c:pt>
                <c:pt idx="167">
                  <c:v>10.699999999999974</c:v>
                </c:pt>
                <c:pt idx="168">
                  <c:v>10.799999999999974</c:v>
                </c:pt>
                <c:pt idx="169">
                  <c:v>10.899999999999974</c:v>
                </c:pt>
                <c:pt idx="170">
                  <c:v>10.999999999999973</c:v>
                </c:pt>
                <c:pt idx="171">
                  <c:v>11.099999999999973</c:v>
                </c:pt>
                <c:pt idx="172">
                  <c:v>11.199999999999973</c:v>
                </c:pt>
                <c:pt idx="173">
                  <c:v>11.299999999999972</c:v>
                </c:pt>
                <c:pt idx="174">
                  <c:v>11.399999999999972</c:v>
                </c:pt>
                <c:pt idx="175">
                  <c:v>11.499999999999972</c:v>
                </c:pt>
                <c:pt idx="176">
                  <c:v>11.599999999999971</c:v>
                </c:pt>
                <c:pt idx="177">
                  <c:v>11.699999999999971</c:v>
                </c:pt>
                <c:pt idx="178">
                  <c:v>11.799999999999971</c:v>
                </c:pt>
                <c:pt idx="179">
                  <c:v>11.89999999999997</c:v>
                </c:pt>
                <c:pt idx="180">
                  <c:v>11.99999999999997</c:v>
                </c:pt>
                <c:pt idx="181">
                  <c:v>12.099999999999969</c:v>
                </c:pt>
                <c:pt idx="182">
                  <c:v>12.199999999999969</c:v>
                </c:pt>
                <c:pt idx="183">
                  <c:v>12.299999999999969</c:v>
                </c:pt>
                <c:pt idx="184">
                  <c:v>12.399999999999968</c:v>
                </c:pt>
                <c:pt idx="185">
                  <c:v>12.499999999999968</c:v>
                </c:pt>
                <c:pt idx="186">
                  <c:v>12.599999999999968</c:v>
                </c:pt>
                <c:pt idx="187">
                  <c:v>12.699999999999967</c:v>
                </c:pt>
                <c:pt idx="188">
                  <c:v>12.799999999999967</c:v>
                </c:pt>
                <c:pt idx="189">
                  <c:v>12.899999999999967</c:v>
                </c:pt>
                <c:pt idx="190">
                  <c:v>12.999999999999966</c:v>
                </c:pt>
                <c:pt idx="191">
                  <c:v>13.099999999999966</c:v>
                </c:pt>
                <c:pt idx="192">
                  <c:v>13.199999999999966</c:v>
                </c:pt>
                <c:pt idx="193">
                  <c:v>13.299999999999965</c:v>
                </c:pt>
                <c:pt idx="194">
                  <c:v>13.399999999999965</c:v>
                </c:pt>
                <c:pt idx="195">
                  <c:v>13.499999999999964</c:v>
                </c:pt>
                <c:pt idx="196">
                  <c:v>13.599999999999964</c:v>
                </c:pt>
                <c:pt idx="197">
                  <c:v>13.699999999999964</c:v>
                </c:pt>
                <c:pt idx="198">
                  <c:v>13.799999999999963</c:v>
                </c:pt>
                <c:pt idx="199">
                  <c:v>13.899999999999963</c:v>
                </c:pt>
                <c:pt idx="200">
                  <c:v>13.999999999999963</c:v>
                </c:pt>
                <c:pt idx="201">
                  <c:v>14.099999999999962</c:v>
                </c:pt>
              </c:numCache>
            </c:numRef>
          </c:cat>
          <c:val>
            <c:numRef>
              <c:f>'NT 1'!$R$8:$R$209</c:f>
              <c:numCache>
                <c:formatCode>General</c:formatCode>
                <c:ptCount val="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val>
        </c:ser>
        <c:ser>
          <c:idx val="1"/>
          <c:order val="1"/>
          <c:tx>
            <c:strRef>
              <c:f>'NT 1'!$S$7</c:f>
              <c:strCache>
                <c:ptCount val="1"/>
                <c:pt idx="0">
                  <c:v>df 3</c:v>
                </c:pt>
              </c:strCache>
            </c:strRef>
          </c:tx>
          <c:marker>
            <c:symbol val="none"/>
          </c:marker>
          <c:cat>
            <c:numRef>
              <c:f>'NT 1'!$Q$8:$Q$209</c:f>
              <c:numCache>
                <c:formatCode>General</c:formatCode>
                <c:ptCount val="202"/>
                <c:pt idx="0">
                  <c:v>-6</c:v>
                </c:pt>
                <c:pt idx="1">
                  <c:v>-5.9</c:v>
                </c:pt>
                <c:pt idx="2">
                  <c:v>-5.8000000000000007</c:v>
                </c:pt>
                <c:pt idx="3">
                  <c:v>-5.7000000000000011</c:v>
                </c:pt>
                <c:pt idx="4">
                  <c:v>-5.6000000000000014</c:v>
                </c:pt>
                <c:pt idx="5">
                  <c:v>-5.5000000000000018</c:v>
                </c:pt>
                <c:pt idx="6">
                  <c:v>-5.4000000000000021</c:v>
                </c:pt>
                <c:pt idx="7">
                  <c:v>-5.3000000000000025</c:v>
                </c:pt>
                <c:pt idx="8">
                  <c:v>-5.2000000000000028</c:v>
                </c:pt>
                <c:pt idx="9">
                  <c:v>-5.1000000000000032</c:v>
                </c:pt>
                <c:pt idx="10">
                  <c:v>-5.0000000000000036</c:v>
                </c:pt>
                <c:pt idx="11">
                  <c:v>-4.9000000000000039</c:v>
                </c:pt>
                <c:pt idx="12">
                  <c:v>-4.8000000000000043</c:v>
                </c:pt>
                <c:pt idx="13">
                  <c:v>-4.7000000000000046</c:v>
                </c:pt>
                <c:pt idx="14">
                  <c:v>-4.600000000000005</c:v>
                </c:pt>
                <c:pt idx="15">
                  <c:v>-4.5000000000000053</c:v>
                </c:pt>
                <c:pt idx="16">
                  <c:v>-4.4000000000000057</c:v>
                </c:pt>
                <c:pt idx="17">
                  <c:v>-4.300000000000006</c:v>
                </c:pt>
                <c:pt idx="18">
                  <c:v>-4.2000000000000064</c:v>
                </c:pt>
                <c:pt idx="19">
                  <c:v>-4.1000000000000068</c:v>
                </c:pt>
                <c:pt idx="20">
                  <c:v>-4.0000000000000071</c:v>
                </c:pt>
                <c:pt idx="21">
                  <c:v>-3.900000000000007</c:v>
                </c:pt>
                <c:pt idx="22">
                  <c:v>-3.8000000000000069</c:v>
                </c:pt>
                <c:pt idx="23">
                  <c:v>-3.7000000000000068</c:v>
                </c:pt>
                <c:pt idx="24">
                  <c:v>-3.6000000000000068</c:v>
                </c:pt>
                <c:pt idx="25">
                  <c:v>-3.5000000000000067</c:v>
                </c:pt>
                <c:pt idx="26">
                  <c:v>-3.4000000000000066</c:v>
                </c:pt>
                <c:pt idx="27">
                  <c:v>-3.3000000000000065</c:v>
                </c:pt>
                <c:pt idx="28">
                  <c:v>-3.2000000000000064</c:v>
                </c:pt>
                <c:pt idx="29">
                  <c:v>-3.1000000000000063</c:v>
                </c:pt>
                <c:pt idx="30">
                  <c:v>-3.0000000000000062</c:v>
                </c:pt>
                <c:pt idx="31">
                  <c:v>-2.9000000000000061</c:v>
                </c:pt>
                <c:pt idx="32">
                  <c:v>-2.800000000000006</c:v>
                </c:pt>
                <c:pt idx="33">
                  <c:v>-2.700000000000006</c:v>
                </c:pt>
                <c:pt idx="34">
                  <c:v>-2.6000000000000059</c:v>
                </c:pt>
                <c:pt idx="35">
                  <c:v>-2.5000000000000058</c:v>
                </c:pt>
                <c:pt idx="36">
                  <c:v>-2.4000000000000057</c:v>
                </c:pt>
                <c:pt idx="37">
                  <c:v>-2.3000000000000056</c:v>
                </c:pt>
                <c:pt idx="38">
                  <c:v>-2.2000000000000055</c:v>
                </c:pt>
                <c:pt idx="39">
                  <c:v>-2.1000000000000054</c:v>
                </c:pt>
                <c:pt idx="40">
                  <c:v>-2.0000000000000053</c:v>
                </c:pt>
                <c:pt idx="41">
                  <c:v>-1.9000000000000052</c:v>
                </c:pt>
                <c:pt idx="42">
                  <c:v>-1.8000000000000052</c:v>
                </c:pt>
                <c:pt idx="43">
                  <c:v>-1.7000000000000051</c:v>
                </c:pt>
                <c:pt idx="44">
                  <c:v>-1.600000000000005</c:v>
                </c:pt>
                <c:pt idx="45">
                  <c:v>-1.5000000000000049</c:v>
                </c:pt>
                <c:pt idx="46">
                  <c:v>-1.4000000000000048</c:v>
                </c:pt>
                <c:pt idx="47">
                  <c:v>-1.3000000000000047</c:v>
                </c:pt>
                <c:pt idx="48">
                  <c:v>-1.2000000000000046</c:v>
                </c:pt>
                <c:pt idx="49">
                  <c:v>-1.1000000000000045</c:v>
                </c:pt>
                <c:pt idx="50">
                  <c:v>-1.0000000000000044</c:v>
                </c:pt>
                <c:pt idx="51">
                  <c:v>-0.90000000000000446</c:v>
                </c:pt>
                <c:pt idx="52">
                  <c:v>-0.80000000000000449</c:v>
                </c:pt>
                <c:pt idx="53">
                  <c:v>-0.70000000000000451</c:v>
                </c:pt>
                <c:pt idx="54">
                  <c:v>-0.60000000000000453</c:v>
                </c:pt>
                <c:pt idx="55">
                  <c:v>-0.50000000000000455</c:v>
                </c:pt>
                <c:pt idx="56">
                  <c:v>-0.40000000000000457</c:v>
                </c:pt>
                <c:pt idx="57">
                  <c:v>-0.3000000000000046</c:v>
                </c:pt>
                <c:pt idx="58">
                  <c:v>-0.20000000000000459</c:v>
                </c:pt>
                <c:pt idx="59">
                  <c:v>-0.10000000000000459</c:v>
                </c:pt>
                <c:pt idx="60">
                  <c:v>-4.5796699765787707E-15</c:v>
                </c:pt>
                <c:pt idx="61">
                  <c:v>9.9999999999995426E-2</c:v>
                </c:pt>
                <c:pt idx="62">
                  <c:v>0.19999999999999543</c:v>
                </c:pt>
                <c:pt idx="63">
                  <c:v>0.29999999999999544</c:v>
                </c:pt>
                <c:pt idx="64">
                  <c:v>0.39999999999999547</c:v>
                </c:pt>
                <c:pt idx="65">
                  <c:v>0.49999999999999545</c:v>
                </c:pt>
                <c:pt idx="66">
                  <c:v>0.59999999999999543</c:v>
                </c:pt>
                <c:pt idx="67">
                  <c:v>0.6999999999999954</c:v>
                </c:pt>
                <c:pt idx="68">
                  <c:v>0.79999999999999538</c:v>
                </c:pt>
                <c:pt idx="69">
                  <c:v>0.89999999999999536</c:v>
                </c:pt>
                <c:pt idx="70">
                  <c:v>0.99999999999999534</c:v>
                </c:pt>
                <c:pt idx="71">
                  <c:v>1.0999999999999954</c:v>
                </c:pt>
                <c:pt idx="72">
                  <c:v>1.1999999999999955</c:v>
                </c:pt>
                <c:pt idx="73">
                  <c:v>1.2999999999999956</c:v>
                </c:pt>
                <c:pt idx="74">
                  <c:v>1.3999999999999957</c:v>
                </c:pt>
                <c:pt idx="75">
                  <c:v>1.4999999999999958</c:v>
                </c:pt>
                <c:pt idx="76">
                  <c:v>1.5999999999999959</c:v>
                </c:pt>
                <c:pt idx="77">
                  <c:v>1.699999999999996</c:v>
                </c:pt>
                <c:pt idx="78">
                  <c:v>1.799999999999996</c:v>
                </c:pt>
                <c:pt idx="79">
                  <c:v>1.8999999999999961</c:v>
                </c:pt>
                <c:pt idx="80">
                  <c:v>1.9999999999999962</c:v>
                </c:pt>
                <c:pt idx="81">
                  <c:v>2.0999999999999961</c:v>
                </c:pt>
                <c:pt idx="82">
                  <c:v>2.1999999999999962</c:v>
                </c:pt>
                <c:pt idx="83">
                  <c:v>2.2999999999999963</c:v>
                </c:pt>
                <c:pt idx="84">
                  <c:v>2.3999999999999964</c:v>
                </c:pt>
                <c:pt idx="85">
                  <c:v>2.4999999999999964</c:v>
                </c:pt>
                <c:pt idx="86">
                  <c:v>2.5999999999999965</c:v>
                </c:pt>
                <c:pt idx="87">
                  <c:v>2.6999999999999966</c:v>
                </c:pt>
                <c:pt idx="88">
                  <c:v>2.7999999999999967</c:v>
                </c:pt>
                <c:pt idx="89">
                  <c:v>2.8999999999999968</c:v>
                </c:pt>
                <c:pt idx="90">
                  <c:v>2.9999999999999969</c:v>
                </c:pt>
                <c:pt idx="91">
                  <c:v>3.099999999999997</c:v>
                </c:pt>
                <c:pt idx="92">
                  <c:v>3.1999999999999971</c:v>
                </c:pt>
                <c:pt idx="93">
                  <c:v>3.2999999999999972</c:v>
                </c:pt>
                <c:pt idx="94">
                  <c:v>3.3999999999999972</c:v>
                </c:pt>
                <c:pt idx="95">
                  <c:v>3.4999999999999973</c:v>
                </c:pt>
                <c:pt idx="96">
                  <c:v>3.5999999999999974</c:v>
                </c:pt>
                <c:pt idx="97">
                  <c:v>3.6999999999999975</c:v>
                </c:pt>
                <c:pt idx="98">
                  <c:v>3.7999999999999976</c:v>
                </c:pt>
                <c:pt idx="99">
                  <c:v>3.8999999999999977</c:v>
                </c:pt>
                <c:pt idx="100">
                  <c:v>3.9999999999999978</c:v>
                </c:pt>
                <c:pt idx="101">
                  <c:v>4.0999999999999979</c:v>
                </c:pt>
                <c:pt idx="102">
                  <c:v>4.1999999999999975</c:v>
                </c:pt>
                <c:pt idx="103">
                  <c:v>4.2999999999999972</c:v>
                </c:pt>
                <c:pt idx="104">
                  <c:v>4.3999999999999968</c:v>
                </c:pt>
                <c:pt idx="105">
                  <c:v>4.4999999999999964</c:v>
                </c:pt>
                <c:pt idx="106">
                  <c:v>4.5999999999999961</c:v>
                </c:pt>
                <c:pt idx="107">
                  <c:v>4.6999999999999957</c:v>
                </c:pt>
                <c:pt idx="108">
                  <c:v>4.7999999999999954</c:v>
                </c:pt>
                <c:pt idx="109">
                  <c:v>4.899999999999995</c:v>
                </c:pt>
                <c:pt idx="110">
                  <c:v>4.9999999999999947</c:v>
                </c:pt>
                <c:pt idx="111">
                  <c:v>5.0999999999999943</c:v>
                </c:pt>
                <c:pt idx="112">
                  <c:v>5.199999999999994</c:v>
                </c:pt>
                <c:pt idx="113">
                  <c:v>5.2999999999999936</c:v>
                </c:pt>
                <c:pt idx="114">
                  <c:v>5.3999999999999932</c:v>
                </c:pt>
                <c:pt idx="115">
                  <c:v>5.4999999999999929</c:v>
                </c:pt>
                <c:pt idx="116">
                  <c:v>5.5999999999999925</c:v>
                </c:pt>
                <c:pt idx="117">
                  <c:v>5.6999999999999922</c:v>
                </c:pt>
                <c:pt idx="118">
                  <c:v>5.7999999999999918</c:v>
                </c:pt>
                <c:pt idx="119">
                  <c:v>5.8999999999999915</c:v>
                </c:pt>
                <c:pt idx="120">
                  <c:v>5.9999999999999911</c:v>
                </c:pt>
                <c:pt idx="121">
                  <c:v>6.0999999999999908</c:v>
                </c:pt>
                <c:pt idx="122">
                  <c:v>6.1999999999999904</c:v>
                </c:pt>
                <c:pt idx="123">
                  <c:v>6.2999999999999901</c:v>
                </c:pt>
                <c:pt idx="124">
                  <c:v>6.3999999999999897</c:v>
                </c:pt>
                <c:pt idx="125">
                  <c:v>6.4999999999999893</c:v>
                </c:pt>
                <c:pt idx="126">
                  <c:v>6.599999999999989</c:v>
                </c:pt>
                <c:pt idx="127">
                  <c:v>6.6999999999999886</c:v>
                </c:pt>
                <c:pt idx="128">
                  <c:v>6.7999999999999883</c:v>
                </c:pt>
                <c:pt idx="129">
                  <c:v>6.8999999999999879</c:v>
                </c:pt>
                <c:pt idx="130">
                  <c:v>6.9999999999999876</c:v>
                </c:pt>
                <c:pt idx="131">
                  <c:v>7.0999999999999872</c:v>
                </c:pt>
                <c:pt idx="132">
                  <c:v>7.1999999999999869</c:v>
                </c:pt>
                <c:pt idx="133">
                  <c:v>7.2999999999999865</c:v>
                </c:pt>
                <c:pt idx="134">
                  <c:v>7.3999999999999861</c:v>
                </c:pt>
                <c:pt idx="135">
                  <c:v>7.4999999999999858</c:v>
                </c:pt>
                <c:pt idx="136">
                  <c:v>7.5999999999999854</c:v>
                </c:pt>
                <c:pt idx="137">
                  <c:v>7.6999999999999851</c:v>
                </c:pt>
                <c:pt idx="138">
                  <c:v>7.7999999999999847</c:v>
                </c:pt>
                <c:pt idx="139">
                  <c:v>7.8999999999999844</c:v>
                </c:pt>
                <c:pt idx="140">
                  <c:v>7.999999999999984</c:v>
                </c:pt>
                <c:pt idx="141">
                  <c:v>8.0999999999999837</c:v>
                </c:pt>
                <c:pt idx="142">
                  <c:v>8.1999999999999833</c:v>
                </c:pt>
                <c:pt idx="143">
                  <c:v>8.2999999999999829</c:v>
                </c:pt>
                <c:pt idx="144">
                  <c:v>8.3999999999999826</c:v>
                </c:pt>
                <c:pt idx="145">
                  <c:v>8.4999999999999822</c:v>
                </c:pt>
                <c:pt idx="146">
                  <c:v>8.5999999999999819</c:v>
                </c:pt>
                <c:pt idx="147">
                  <c:v>8.6999999999999815</c:v>
                </c:pt>
                <c:pt idx="148">
                  <c:v>8.7999999999999812</c:v>
                </c:pt>
                <c:pt idx="149">
                  <c:v>8.8999999999999808</c:v>
                </c:pt>
                <c:pt idx="150">
                  <c:v>8.9999999999999805</c:v>
                </c:pt>
                <c:pt idx="151">
                  <c:v>9.0999999999999801</c:v>
                </c:pt>
                <c:pt idx="152">
                  <c:v>9.1999999999999797</c:v>
                </c:pt>
                <c:pt idx="153">
                  <c:v>9.2999999999999794</c:v>
                </c:pt>
                <c:pt idx="154">
                  <c:v>9.399999999999979</c:v>
                </c:pt>
                <c:pt idx="155">
                  <c:v>9.4999999999999787</c:v>
                </c:pt>
                <c:pt idx="156">
                  <c:v>9.5999999999999783</c:v>
                </c:pt>
                <c:pt idx="157">
                  <c:v>9.699999999999978</c:v>
                </c:pt>
                <c:pt idx="158">
                  <c:v>9.7999999999999776</c:v>
                </c:pt>
                <c:pt idx="159">
                  <c:v>9.8999999999999773</c:v>
                </c:pt>
                <c:pt idx="160">
                  <c:v>9.9999999999999769</c:v>
                </c:pt>
                <c:pt idx="161">
                  <c:v>10.099999999999977</c:v>
                </c:pt>
                <c:pt idx="162">
                  <c:v>10.199999999999976</c:v>
                </c:pt>
                <c:pt idx="163">
                  <c:v>10.299999999999976</c:v>
                </c:pt>
                <c:pt idx="164">
                  <c:v>10.399999999999975</c:v>
                </c:pt>
                <c:pt idx="165">
                  <c:v>10.499999999999975</c:v>
                </c:pt>
                <c:pt idx="166">
                  <c:v>10.599999999999975</c:v>
                </c:pt>
                <c:pt idx="167">
                  <c:v>10.699999999999974</c:v>
                </c:pt>
                <c:pt idx="168">
                  <c:v>10.799999999999974</c:v>
                </c:pt>
                <c:pt idx="169">
                  <c:v>10.899999999999974</c:v>
                </c:pt>
                <c:pt idx="170">
                  <c:v>10.999999999999973</c:v>
                </c:pt>
                <c:pt idx="171">
                  <c:v>11.099999999999973</c:v>
                </c:pt>
                <c:pt idx="172">
                  <c:v>11.199999999999973</c:v>
                </c:pt>
                <c:pt idx="173">
                  <c:v>11.299999999999972</c:v>
                </c:pt>
                <c:pt idx="174">
                  <c:v>11.399999999999972</c:v>
                </c:pt>
                <c:pt idx="175">
                  <c:v>11.499999999999972</c:v>
                </c:pt>
                <c:pt idx="176">
                  <c:v>11.599999999999971</c:v>
                </c:pt>
                <c:pt idx="177">
                  <c:v>11.699999999999971</c:v>
                </c:pt>
                <c:pt idx="178">
                  <c:v>11.799999999999971</c:v>
                </c:pt>
                <c:pt idx="179">
                  <c:v>11.89999999999997</c:v>
                </c:pt>
                <c:pt idx="180">
                  <c:v>11.99999999999997</c:v>
                </c:pt>
                <c:pt idx="181">
                  <c:v>12.099999999999969</c:v>
                </c:pt>
                <c:pt idx="182">
                  <c:v>12.199999999999969</c:v>
                </c:pt>
                <c:pt idx="183">
                  <c:v>12.299999999999969</c:v>
                </c:pt>
                <c:pt idx="184">
                  <c:v>12.399999999999968</c:v>
                </c:pt>
                <c:pt idx="185">
                  <c:v>12.499999999999968</c:v>
                </c:pt>
                <c:pt idx="186">
                  <c:v>12.599999999999968</c:v>
                </c:pt>
                <c:pt idx="187">
                  <c:v>12.699999999999967</c:v>
                </c:pt>
                <c:pt idx="188">
                  <c:v>12.799999999999967</c:v>
                </c:pt>
                <c:pt idx="189">
                  <c:v>12.899999999999967</c:v>
                </c:pt>
                <c:pt idx="190">
                  <c:v>12.999999999999966</c:v>
                </c:pt>
                <c:pt idx="191">
                  <c:v>13.099999999999966</c:v>
                </c:pt>
                <c:pt idx="192">
                  <c:v>13.199999999999966</c:v>
                </c:pt>
                <c:pt idx="193">
                  <c:v>13.299999999999965</c:v>
                </c:pt>
                <c:pt idx="194">
                  <c:v>13.399999999999965</c:v>
                </c:pt>
                <c:pt idx="195">
                  <c:v>13.499999999999964</c:v>
                </c:pt>
                <c:pt idx="196">
                  <c:v>13.599999999999964</c:v>
                </c:pt>
                <c:pt idx="197">
                  <c:v>13.699999999999964</c:v>
                </c:pt>
                <c:pt idx="198">
                  <c:v>13.799999999999963</c:v>
                </c:pt>
                <c:pt idx="199">
                  <c:v>13.899999999999963</c:v>
                </c:pt>
                <c:pt idx="200">
                  <c:v>13.999999999999963</c:v>
                </c:pt>
                <c:pt idx="201">
                  <c:v>14.099999999999962</c:v>
                </c:pt>
              </c:numCache>
            </c:numRef>
          </c:cat>
          <c:val>
            <c:numRef>
              <c:f>'NT 1'!$S$8:$S$209</c:f>
              <c:numCache>
                <c:formatCode>General</c:formatCode>
                <c:ptCount val="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val>
        </c:ser>
        <c:ser>
          <c:idx val="2"/>
          <c:order val="2"/>
          <c:tx>
            <c:strRef>
              <c:f>'NT 1'!$T$7</c:f>
              <c:strCache>
                <c:ptCount val="1"/>
                <c:pt idx="0">
                  <c:v>df 5</c:v>
                </c:pt>
              </c:strCache>
            </c:strRef>
          </c:tx>
          <c:marker>
            <c:symbol val="none"/>
          </c:marker>
          <c:cat>
            <c:numRef>
              <c:f>'NT 1'!$Q$8:$Q$209</c:f>
              <c:numCache>
                <c:formatCode>General</c:formatCode>
                <c:ptCount val="202"/>
                <c:pt idx="0">
                  <c:v>-6</c:v>
                </c:pt>
                <c:pt idx="1">
                  <c:v>-5.9</c:v>
                </c:pt>
                <c:pt idx="2">
                  <c:v>-5.8000000000000007</c:v>
                </c:pt>
                <c:pt idx="3">
                  <c:v>-5.7000000000000011</c:v>
                </c:pt>
                <c:pt idx="4">
                  <c:v>-5.6000000000000014</c:v>
                </c:pt>
                <c:pt idx="5">
                  <c:v>-5.5000000000000018</c:v>
                </c:pt>
                <c:pt idx="6">
                  <c:v>-5.4000000000000021</c:v>
                </c:pt>
                <c:pt idx="7">
                  <c:v>-5.3000000000000025</c:v>
                </c:pt>
                <c:pt idx="8">
                  <c:v>-5.2000000000000028</c:v>
                </c:pt>
                <c:pt idx="9">
                  <c:v>-5.1000000000000032</c:v>
                </c:pt>
                <c:pt idx="10">
                  <c:v>-5.0000000000000036</c:v>
                </c:pt>
                <c:pt idx="11">
                  <c:v>-4.9000000000000039</c:v>
                </c:pt>
                <c:pt idx="12">
                  <c:v>-4.8000000000000043</c:v>
                </c:pt>
                <c:pt idx="13">
                  <c:v>-4.7000000000000046</c:v>
                </c:pt>
                <c:pt idx="14">
                  <c:v>-4.600000000000005</c:v>
                </c:pt>
                <c:pt idx="15">
                  <c:v>-4.5000000000000053</c:v>
                </c:pt>
                <c:pt idx="16">
                  <c:v>-4.4000000000000057</c:v>
                </c:pt>
                <c:pt idx="17">
                  <c:v>-4.300000000000006</c:v>
                </c:pt>
                <c:pt idx="18">
                  <c:v>-4.2000000000000064</c:v>
                </c:pt>
                <c:pt idx="19">
                  <c:v>-4.1000000000000068</c:v>
                </c:pt>
                <c:pt idx="20">
                  <c:v>-4.0000000000000071</c:v>
                </c:pt>
                <c:pt idx="21">
                  <c:v>-3.900000000000007</c:v>
                </c:pt>
                <c:pt idx="22">
                  <c:v>-3.8000000000000069</c:v>
                </c:pt>
                <c:pt idx="23">
                  <c:v>-3.7000000000000068</c:v>
                </c:pt>
                <c:pt idx="24">
                  <c:v>-3.6000000000000068</c:v>
                </c:pt>
                <c:pt idx="25">
                  <c:v>-3.5000000000000067</c:v>
                </c:pt>
                <c:pt idx="26">
                  <c:v>-3.4000000000000066</c:v>
                </c:pt>
                <c:pt idx="27">
                  <c:v>-3.3000000000000065</c:v>
                </c:pt>
                <c:pt idx="28">
                  <c:v>-3.2000000000000064</c:v>
                </c:pt>
                <c:pt idx="29">
                  <c:v>-3.1000000000000063</c:v>
                </c:pt>
                <c:pt idx="30">
                  <c:v>-3.0000000000000062</c:v>
                </c:pt>
                <c:pt idx="31">
                  <c:v>-2.9000000000000061</c:v>
                </c:pt>
                <c:pt idx="32">
                  <c:v>-2.800000000000006</c:v>
                </c:pt>
                <c:pt idx="33">
                  <c:v>-2.700000000000006</c:v>
                </c:pt>
                <c:pt idx="34">
                  <c:v>-2.6000000000000059</c:v>
                </c:pt>
                <c:pt idx="35">
                  <c:v>-2.5000000000000058</c:v>
                </c:pt>
                <c:pt idx="36">
                  <c:v>-2.4000000000000057</c:v>
                </c:pt>
                <c:pt idx="37">
                  <c:v>-2.3000000000000056</c:v>
                </c:pt>
                <c:pt idx="38">
                  <c:v>-2.2000000000000055</c:v>
                </c:pt>
                <c:pt idx="39">
                  <c:v>-2.1000000000000054</c:v>
                </c:pt>
                <c:pt idx="40">
                  <c:v>-2.0000000000000053</c:v>
                </c:pt>
                <c:pt idx="41">
                  <c:v>-1.9000000000000052</c:v>
                </c:pt>
                <c:pt idx="42">
                  <c:v>-1.8000000000000052</c:v>
                </c:pt>
                <c:pt idx="43">
                  <c:v>-1.7000000000000051</c:v>
                </c:pt>
                <c:pt idx="44">
                  <c:v>-1.600000000000005</c:v>
                </c:pt>
                <c:pt idx="45">
                  <c:v>-1.5000000000000049</c:v>
                </c:pt>
                <c:pt idx="46">
                  <c:v>-1.4000000000000048</c:v>
                </c:pt>
                <c:pt idx="47">
                  <c:v>-1.3000000000000047</c:v>
                </c:pt>
                <c:pt idx="48">
                  <c:v>-1.2000000000000046</c:v>
                </c:pt>
                <c:pt idx="49">
                  <c:v>-1.1000000000000045</c:v>
                </c:pt>
                <c:pt idx="50">
                  <c:v>-1.0000000000000044</c:v>
                </c:pt>
                <c:pt idx="51">
                  <c:v>-0.90000000000000446</c:v>
                </c:pt>
                <c:pt idx="52">
                  <c:v>-0.80000000000000449</c:v>
                </c:pt>
                <c:pt idx="53">
                  <c:v>-0.70000000000000451</c:v>
                </c:pt>
                <c:pt idx="54">
                  <c:v>-0.60000000000000453</c:v>
                </c:pt>
                <c:pt idx="55">
                  <c:v>-0.50000000000000455</c:v>
                </c:pt>
                <c:pt idx="56">
                  <c:v>-0.40000000000000457</c:v>
                </c:pt>
                <c:pt idx="57">
                  <c:v>-0.3000000000000046</c:v>
                </c:pt>
                <c:pt idx="58">
                  <c:v>-0.20000000000000459</c:v>
                </c:pt>
                <c:pt idx="59">
                  <c:v>-0.10000000000000459</c:v>
                </c:pt>
                <c:pt idx="60">
                  <c:v>-4.5796699765787707E-15</c:v>
                </c:pt>
                <c:pt idx="61">
                  <c:v>9.9999999999995426E-2</c:v>
                </c:pt>
                <c:pt idx="62">
                  <c:v>0.19999999999999543</c:v>
                </c:pt>
                <c:pt idx="63">
                  <c:v>0.29999999999999544</c:v>
                </c:pt>
                <c:pt idx="64">
                  <c:v>0.39999999999999547</c:v>
                </c:pt>
                <c:pt idx="65">
                  <c:v>0.49999999999999545</c:v>
                </c:pt>
                <c:pt idx="66">
                  <c:v>0.59999999999999543</c:v>
                </c:pt>
                <c:pt idx="67">
                  <c:v>0.6999999999999954</c:v>
                </c:pt>
                <c:pt idx="68">
                  <c:v>0.79999999999999538</c:v>
                </c:pt>
                <c:pt idx="69">
                  <c:v>0.89999999999999536</c:v>
                </c:pt>
                <c:pt idx="70">
                  <c:v>0.99999999999999534</c:v>
                </c:pt>
                <c:pt idx="71">
                  <c:v>1.0999999999999954</c:v>
                </c:pt>
                <c:pt idx="72">
                  <c:v>1.1999999999999955</c:v>
                </c:pt>
                <c:pt idx="73">
                  <c:v>1.2999999999999956</c:v>
                </c:pt>
                <c:pt idx="74">
                  <c:v>1.3999999999999957</c:v>
                </c:pt>
                <c:pt idx="75">
                  <c:v>1.4999999999999958</c:v>
                </c:pt>
                <c:pt idx="76">
                  <c:v>1.5999999999999959</c:v>
                </c:pt>
                <c:pt idx="77">
                  <c:v>1.699999999999996</c:v>
                </c:pt>
                <c:pt idx="78">
                  <c:v>1.799999999999996</c:v>
                </c:pt>
                <c:pt idx="79">
                  <c:v>1.8999999999999961</c:v>
                </c:pt>
                <c:pt idx="80">
                  <c:v>1.9999999999999962</c:v>
                </c:pt>
                <c:pt idx="81">
                  <c:v>2.0999999999999961</c:v>
                </c:pt>
                <c:pt idx="82">
                  <c:v>2.1999999999999962</c:v>
                </c:pt>
                <c:pt idx="83">
                  <c:v>2.2999999999999963</c:v>
                </c:pt>
                <c:pt idx="84">
                  <c:v>2.3999999999999964</c:v>
                </c:pt>
                <c:pt idx="85">
                  <c:v>2.4999999999999964</c:v>
                </c:pt>
                <c:pt idx="86">
                  <c:v>2.5999999999999965</c:v>
                </c:pt>
                <c:pt idx="87">
                  <c:v>2.6999999999999966</c:v>
                </c:pt>
                <c:pt idx="88">
                  <c:v>2.7999999999999967</c:v>
                </c:pt>
                <c:pt idx="89">
                  <c:v>2.8999999999999968</c:v>
                </c:pt>
                <c:pt idx="90">
                  <c:v>2.9999999999999969</c:v>
                </c:pt>
                <c:pt idx="91">
                  <c:v>3.099999999999997</c:v>
                </c:pt>
                <c:pt idx="92">
                  <c:v>3.1999999999999971</c:v>
                </c:pt>
                <c:pt idx="93">
                  <c:v>3.2999999999999972</c:v>
                </c:pt>
                <c:pt idx="94">
                  <c:v>3.3999999999999972</c:v>
                </c:pt>
                <c:pt idx="95">
                  <c:v>3.4999999999999973</c:v>
                </c:pt>
                <c:pt idx="96">
                  <c:v>3.5999999999999974</c:v>
                </c:pt>
                <c:pt idx="97">
                  <c:v>3.6999999999999975</c:v>
                </c:pt>
                <c:pt idx="98">
                  <c:v>3.7999999999999976</c:v>
                </c:pt>
                <c:pt idx="99">
                  <c:v>3.8999999999999977</c:v>
                </c:pt>
                <c:pt idx="100">
                  <c:v>3.9999999999999978</c:v>
                </c:pt>
                <c:pt idx="101">
                  <c:v>4.0999999999999979</c:v>
                </c:pt>
                <c:pt idx="102">
                  <c:v>4.1999999999999975</c:v>
                </c:pt>
                <c:pt idx="103">
                  <c:v>4.2999999999999972</c:v>
                </c:pt>
                <c:pt idx="104">
                  <c:v>4.3999999999999968</c:v>
                </c:pt>
                <c:pt idx="105">
                  <c:v>4.4999999999999964</c:v>
                </c:pt>
                <c:pt idx="106">
                  <c:v>4.5999999999999961</c:v>
                </c:pt>
                <c:pt idx="107">
                  <c:v>4.6999999999999957</c:v>
                </c:pt>
                <c:pt idx="108">
                  <c:v>4.7999999999999954</c:v>
                </c:pt>
                <c:pt idx="109">
                  <c:v>4.899999999999995</c:v>
                </c:pt>
                <c:pt idx="110">
                  <c:v>4.9999999999999947</c:v>
                </c:pt>
                <c:pt idx="111">
                  <c:v>5.0999999999999943</c:v>
                </c:pt>
                <c:pt idx="112">
                  <c:v>5.199999999999994</c:v>
                </c:pt>
                <c:pt idx="113">
                  <c:v>5.2999999999999936</c:v>
                </c:pt>
                <c:pt idx="114">
                  <c:v>5.3999999999999932</c:v>
                </c:pt>
                <c:pt idx="115">
                  <c:v>5.4999999999999929</c:v>
                </c:pt>
                <c:pt idx="116">
                  <c:v>5.5999999999999925</c:v>
                </c:pt>
                <c:pt idx="117">
                  <c:v>5.6999999999999922</c:v>
                </c:pt>
                <c:pt idx="118">
                  <c:v>5.7999999999999918</c:v>
                </c:pt>
                <c:pt idx="119">
                  <c:v>5.8999999999999915</c:v>
                </c:pt>
                <c:pt idx="120">
                  <c:v>5.9999999999999911</c:v>
                </c:pt>
                <c:pt idx="121">
                  <c:v>6.0999999999999908</c:v>
                </c:pt>
                <c:pt idx="122">
                  <c:v>6.1999999999999904</c:v>
                </c:pt>
                <c:pt idx="123">
                  <c:v>6.2999999999999901</c:v>
                </c:pt>
                <c:pt idx="124">
                  <c:v>6.3999999999999897</c:v>
                </c:pt>
                <c:pt idx="125">
                  <c:v>6.4999999999999893</c:v>
                </c:pt>
                <c:pt idx="126">
                  <c:v>6.599999999999989</c:v>
                </c:pt>
                <c:pt idx="127">
                  <c:v>6.6999999999999886</c:v>
                </c:pt>
                <c:pt idx="128">
                  <c:v>6.7999999999999883</c:v>
                </c:pt>
                <c:pt idx="129">
                  <c:v>6.8999999999999879</c:v>
                </c:pt>
                <c:pt idx="130">
                  <c:v>6.9999999999999876</c:v>
                </c:pt>
                <c:pt idx="131">
                  <c:v>7.0999999999999872</c:v>
                </c:pt>
                <c:pt idx="132">
                  <c:v>7.1999999999999869</c:v>
                </c:pt>
                <c:pt idx="133">
                  <c:v>7.2999999999999865</c:v>
                </c:pt>
                <c:pt idx="134">
                  <c:v>7.3999999999999861</c:v>
                </c:pt>
                <c:pt idx="135">
                  <c:v>7.4999999999999858</c:v>
                </c:pt>
                <c:pt idx="136">
                  <c:v>7.5999999999999854</c:v>
                </c:pt>
                <c:pt idx="137">
                  <c:v>7.6999999999999851</c:v>
                </c:pt>
                <c:pt idx="138">
                  <c:v>7.7999999999999847</c:v>
                </c:pt>
                <c:pt idx="139">
                  <c:v>7.8999999999999844</c:v>
                </c:pt>
                <c:pt idx="140">
                  <c:v>7.999999999999984</c:v>
                </c:pt>
                <c:pt idx="141">
                  <c:v>8.0999999999999837</c:v>
                </c:pt>
                <c:pt idx="142">
                  <c:v>8.1999999999999833</c:v>
                </c:pt>
                <c:pt idx="143">
                  <c:v>8.2999999999999829</c:v>
                </c:pt>
                <c:pt idx="144">
                  <c:v>8.3999999999999826</c:v>
                </c:pt>
                <c:pt idx="145">
                  <c:v>8.4999999999999822</c:v>
                </c:pt>
                <c:pt idx="146">
                  <c:v>8.5999999999999819</c:v>
                </c:pt>
                <c:pt idx="147">
                  <c:v>8.6999999999999815</c:v>
                </c:pt>
                <c:pt idx="148">
                  <c:v>8.7999999999999812</c:v>
                </c:pt>
                <c:pt idx="149">
                  <c:v>8.8999999999999808</c:v>
                </c:pt>
                <c:pt idx="150">
                  <c:v>8.9999999999999805</c:v>
                </c:pt>
                <c:pt idx="151">
                  <c:v>9.0999999999999801</c:v>
                </c:pt>
                <c:pt idx="152">
                  <c:v>9.1999999999999797</c:v>
                </c:pt>
                <c:pt idx="153">
                  <c:v>9.2999999999999794</c:v>
                </c:pt>
                <c:pt idx="154">
                  <c:v>9.399999999999979</c:v>
                </c:pt>
                <c:pt idx="155">
                  <c:v>9.4999999999999787</c:v>
                </c:pt>
                <c:pt idx="156">
                  <c:v>9.5999999999999783</c:v>
                </c:pt>
                <c:pt idx="157">
                  <c:v>9.699999999999978</c:v>
                </c:pt>
                <c:pt idx="158">
                  <c:v>9.7999999999999776</c:v>
                </c:pt>
                <c:pt idx="159">
                  <c:v>9.8999999999999773</c:v>
                </c:pt>
                <c:pt idx="160">
                  <c:v>9.9999999999999769</c:v>
                </c:pt>
                <c:pt idx="161">
                  <c:v>10.099999999999977</c:v>
                </c:pt>
                <c:pt idx="162">
                  <c:v>10.199999999999976</c:v>
                </c:pt>
                <c:pt idx="163">
                  <c:v>10.299999999999976</c:v>
                </c:pt>
                <c:pt idx="164">
                  <c:v>10.399999999999975</c:v>
                </c:pt>
                <c:pt idx="165">
                  <c:v>10.499999999999975</c:v>
                </c:pt>
                <c:pt idx="166">
                  <c:v>10.599999999999975</c:v>
                </c:pt>
                <c:pt idx="167">
                  <c:v>10.699999999999974</c:v>
                </c:pt>
                <c:pt idx="168">
                  <c:v>10.799999999999974</c:v>
                </c:pt>
                <c:pt idx="169">
                  <c:v>10.899999999999974</c:v>
                </c:pt>
                <c:pt idx="170">
                  <c:v>10.999999999999973</c:v>
                </c:pt>
                <c:pt idx="171">
                  <c:v>11.099999999999973</c:v>
                </c:pt>
                <c:pt idx="172">
                  <c:v>11.199999999999973</c:v>
                </c:pt>
                <c:pt idx="173">
                  <c:v>11.299999999999972</c:v>
                </c:pt>
                <c:pt idx="174">
                  <c:v>11.399999999999972</c:v>
                </c:pt>
                <c:pt idx="175">
                  <c:v>11.499999999999972</c:v>
                </c:pt>
                <c:pt idx="176">
                  <c:v>11.599999999999971</c:v>
                </c:pt>
                <c:pt idx="177">
                  <c:v>11.699999999999971</c:v>
                </c:pt>
                <c:pt idx="178">
                  <c:v>11.799999999999971</c:v>
                </c:pt>
                <c:pt idx="179">
                  <c:v>11.89999999999997</c:v>
                </c:pt>
                <c:pt idx="180">
                  <c:v>11.99999999999997</c:v>
                </c:pt>
                <c:pt idx="181">
                  <c:v>12.099999999999969</c:v>
                </c:pt>
                <c:pt idx="182">
                  <c:v>12.199999999999969</c:v>
                </c:pt>
                <c:pt idx="183">
                  <c:v>12.299999999999969</c:v>
                </c:pt>
                <c:pt idx="184">
                  <c:v>12.399999999999968</c:v>
                </c:pt>
                <c:pt idx="185">
                  <c:v>12.499999999999968</c:v>
                </c:pt>
                <c:pt idx="186">
                  <c:v>12.599999999999968</c:v>
                </c:pt>
                <c:pt idx="187">
                  <c:v>12.699999999999967</c:v>
                </c:pt>
                <c:pt idx="188">
                  <c:v>12.799999999999967</c:v>
                </c:pt>
                <c:pt idx="189">
                  <c:v>12.899999999999967</c:v>
                </c:pt>
                <c:pt idx="190">
                  <c:v>12.999999999999966</c:v>
                </c:pt>
                <c:pt idx="191">
                  <c:v>13.099999999999966</c:v>
                </c:pt>
                <c:pt idx="192">
                  <c:v>13.199999999999966</c:v>
                </c:pt>
                <c:pt idx="193">
                  <c:v>13.299999999999965</c:v>
                </c:pt>
                <c:pt idx="194">
                  <c:v>13.399999999999965</c:v>
                </c:pt>
                <c:pt idx="195">
                  <c:v>13.499999999999964</c:v>
                </c:pt>
                <c:pt idx="196">
                  <c:v>13.599999999999964</c:v>
                </c:pt>
                <c:pt idx="197">
                  <c:v>13.699999999999964</c:v>
                </c:pt>
                <c:pt idx="198">
                  <c:v>13.799999999999963</c:v>
                </c:pt>
                <c:pt idx="199">
                  <c:v>13.899999999999963</c:v>
                </c:pt>
                <c:pt idx="200">
                  <c:v>13.999999999999963</c:v>
                </c:pt>
                <c:pt idx="201">
                  <c:v>14.099999999999962</c:v>
                </c:pt>
              </c:numCache>
            </c:numRef>
          </c:cat>
          <c:val>
            <c:numRef>
              <c:f>'NT 1'!$T$8:$T$209</c:f>
              <c:numCache>
                <c:formatCode>General</c:formatCode>
                <c:ptCount val="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val>
        </c:ser>
        <c:ser>
          <c:idx val="3"/>
          <c:order val="3"/>
          <c:tx>
            <c:strRef>
              <c:f>'NT 1'!$U$7</c:f>
              <c:strCache>
                <c:ptCount val="1"/>
                <c:pt idx="0">
                  <c:v>df 10</c:v>
                </c:pt>
              </c:strCache>
            </c:strRef>
          </c:tx>
          <c:marker>
            <c:symbol val="none"/>
          </c:marker>
          <c:cat>
            <c:numRef>
              <c:f>'NT 1'!$Q$8:$Q$209</c:f>
              <c:numCache>
                <c:formatCode>General</c:formatCode>
                <c:ptCount val="202"/>
                <c:pt idx="0">
                  <c:v>-6</c:v>
                </c:pt>
                <c:pt idx="1">
                  <c:v>-5.9</c:v>
                </c:pt>
                <c:pt idx="2">
                  <c:v>-5.8000000000000007</c:v>
                </c:pt>
                <c:pt idx="3">
                  <c:v>-5.7000000000000011</c:v>
                </c:pt>
                <c:pt idx="4">
                  <c:v>-5.6000000000000014</c:v>
                </c:pt>
                <c:pt idx="5">
                  <c:v>-5.5000000000000018</c:v>
                </c:pt>
                <c:pt idx="6">
                  <c:v>-5.4000000000000021</c:v>
                </c:pt>
                <c:pt idx="7">
                  <c:v>-5.3000000000000025</c:v>
                </c:pt>
                <c:pt idx="8">
                  <c:v>-5.2000000000000028</c:v>
                </c:pt>
                <c:pt idx="9">
                  <c:v>-5.1000000000000032</c:v>
                </c:pt>
                <c:pt idx="10">
                  <c:v>-5.0000000000000036</c:v>
                </c:pt>
                <c:pt idx="11">
                  <c:v>-4.9000000000000039</c:v>
                </c:pt>
                <c:pt idx="12">
                  <c:v>-4.8000000000000043</c:v>
                </c:pt>
                <c:pt idx="13">
                  <c:v>-4.7000000000000046</c:v>
                </c:pt>
                <c:pt idx="14">
                  <c:v>-4.600000000000005</c:v>
                </c:pt>
                <c:pt idx="15">
                  <c:v>-4.5000000000000053</c:v>
                </c:pt>
                <c:pt idx="16">
                  <c:v>-4.4000000000000057</c:v>
                </c:pt>
                <c:pt idx="17">
                  <c:v>-4.300000000000006</c:v>
                </c:pt>
                <c:pt idx="18">
                  <c:v>-4.2000000000000064</c:v>
                </c:pt>
                <c:pt idx="19">
                  <c:v>-4.1000000000000068</c:v>
                </c:pt>
                <c:pt idx="20">
                  <c:v>-4.0000000000000071</c:v>
                </c:pt>
                <c:pt idx="21">
                  <c:v>-3.900000000000007</c:v>
                </c:pt>
                <c:pt idx="22">
                  <c:v>-3.8000000000000069</c:v>
                </c:pt>
                <c:pt idx="23">
                  <c:v>-3.7000000000000068</c:v>
                </c:pt>
                <c:pt idx="24">
                  <c:v>-3.6000000000000068</c:v>
                </c:pt>
                <c:pt idx="25">
                  <c:v>-3.5000000000000067</c:v>
                </c:pt>
                <c:pt idx="26">
                  <c:v>-3.4000000000000066</c:v>
                </c:pt>
                <c:pt idx="27">
                  <c:v>-3.3000000000000065</c:v>
                </c:pt>
                <c:pt idx="28">
                  <c:v>-3.2000000000000064</c:v>
                </c:pt>
                <c:pt idx="29">
                  <c:v>-3.1000000000000063</c:v>
                </c:pt>
                <c:pt idx="30">
                  <c:v>-3.0000000000000062</c:v>
                </c:pt>
                <c:pt idx="31">
                  <c:v>-2.9000000000000061</c:v>
                </c:pt>
                <c:pt idx="32">
                  <c:v>-2.800000000000006</c:v>
                </c:pt>
                <c:pt idx="33">
                  <c:v>-2.700000000000006</c:v>
                </c:pt>
                <c:pt idx="34">
                  <c:v>-2.6000000000000059</c:v>
                </c:pt>
                <c:pt idx="35">
                  <c:v>-2.5000000000000058</c:v>
                </c:pt>
                <c:pt idx="36">
                  <c:v>-2.4000000000000057</c:v>
                </c:pt>
                <c:pt idx="37">
                  <c:v>-2.3000000000000056</c:v>
                </c:pt>
                <c:pt idx="38">
                  <c:v>-2.2000000000000055</c:v>
                </c:pt>
                <c:pt idx="39">
                  <c:v>-2.1000000000000054</c:v>
                </c:pt>
                <c:pt idx="40">
                  <c:v>-2.0000000000000053</c:v>
                </c:pt>
                <c:pt idx="41">
                  <c:v>-1.9000000000000052</c:v>
                </c:pt>
                <c:pt idx="42">
                  <c:v>-1.8000000000000052</c:v>
                </c:pt>
                <c:pt idx="43">
                  <c:v>-1.7000000000000051</c:v>
                </c:pt>
                <c:pt idx="44">
                  <c:v>-1.600000000000005</c:v>
                </c:pt>
                <c:pt idx="45">
                  <c:v>-1.5000000000000049</c:v>
                </c:pt>
                <c:pt idx="46">
                  <c:v>-1.4000000000000048</c:v>
                </c:pt>
                <c:pt idx="47">
                  <c:v>-1.3000000000000047</c:v>
                </c:pt>
                <c:pt idx="48">
                  <c:v>-1.2000000000000046</c:v>
                </c:pt>
                <c:pt idx="49">
                  <c:v>-1.1000000000000045</c:v>
                </c:pt>
                <c:pt idx="50">
                  <c:v>-1.0000000000000044</c:v>
                </c:pt>
                <c:pt idx="51">
                  <c:v>-0.90000000000000446</c:v>
                </c:pt>
                <c:pt idx="52">
                  <c:v>-0.80000000000000449</c:v>
                </c:pt>
                <c:pt idx="53">
                  <c:v>-0.70000000000000451</c:v>
                </c:pt>
                <c:pt idx="54">
                  <c:v>-0.60000000000000453</c:v>
                </c:pt>
                <c:pt idx="55">
                  <c:v>-0.50000000000000455</c:v>
                </c:pt>
                <c:pt idx="56">
                  <c:v>-0.40000000000000457</c:v>
                </c:pt>
                <c:pt idx="57">
                  <c:v>-0.3000000000000046</c:v>
                </c:pt>
                <c:pt idx="58">
                  <c:v>-0.20000000000000459</c:v>
                </c:pt>
                <c:pt idx="59">
                  <c:v>-0.10000000000000459</c:v>
                </c:pt>
                <c:pt idx="60">
                  <c:v>-4.5796699765787707E-15</c:v>
                </c:pt>
                <c:pt idx="61">
                  <c:v>9.9999999999995426E-2</c:v>
                </c:pt>
                <c:pt idx="62">
                  <c:v>0.19999999999999543</c:v>
                </c:pt>
                <c:pt idx="63">
                  <c:v>0.29999999999999544</c:v>
                </c:pt>
                <c:pt idx="64">
                  <c:v>0.39999999999999547</c:v>
                </c:pt>
                <c:pt idx="65">
                  <c:v>0.49999999999999545</c:v>
                </c:pt>
                <c:pt idx="66">
                  <c:v>0.59999999999999543</c:v>
                </c:pt>
                <c:pt idx="67">
                  <c:v>0.6999999999999954</c:v>
                </c:pt>
                <c:pt idx="68">
                  <c:v>0.79999999999999538</c:v>
                </c:pt>
                <c:pt idx="69">
                  <c:v>0.89999999999999536</c:v>
                </c:pt>
                <c:pt idx="70">
                  <c:v>0.99999999999999534</c:v>
                </c:pt>
                <c:pt idx="71">
                  <c:v>1.0999999999999954</c:v>
                </c:pt>
                <c:pt idx="72">
                  <c:v>1.1999999999999955</c:v>
                </c:pt>
                <c:pt idx="73">
                  <c:v>1.2999999999999956</c:v>
                </c:pt>
                <c:pt idx="74">
                  <c:v>1.3999999999999957</c:v>
                </c:pt>
                <c:pt idx="75">
                  <c:v>1.4999999999999958</c:v>
                </c:pt>
                <c:pt idx="76">
                  <c:v>1.5999999999999959</c:v>
                </c:pt>
                <c:pt idx="77">
                  <c:v>1.699999999999996</c:v>
                </c:pt>
                <c:pt idx="78">
                  <c:v>1.799999999999996</c:v>
                </c:pt>
                <c:pt idx="79">
                  <c:v>1.8999999999999961</c:v>
                </c:pt>
                <c:pt idx="80">
                  <c:v>1.9999999999999962</c:v>
                </c:pt>
                <c:pt idx="81">
                  <c:v>2.0999999999999961</c:v>
                </c:pt>
                <c:pt idx="82">
                  <c:v>2.1999999999999962</c:v>
                </c:pt>
                <c:pt idx="83">
                  <c:v>2.2999999999999963</c:v>
                </c:pt>
                <c:pt idx="84">
                  <c:v>2.3999999999999964</c:v>
                </c:pt>
                <c:pt idx="85">
                  <c:v>2.4999999999999964</c:v>
                </c:pt>
                <c:pt idx="86">
                  <c:v>2.5999999999999965</c:v>
                </c:pt>
                <c:pt idx="87">
                  <c:v>2.6999999999999966</c:v>
                </c:pt>
                <c:pt idx="88">
                  <c:v>2.7999999999999967</c:v>
                </c:pt>
                <c:pt idx="89">
                  <c:v>2.8999999999999968</c:v>
                </c:pt>
                <c:pt idx="90">
                  <c:v>2.9999999999999969</c:v>
                </c:pt>
                <c:pt idx="91">
                  <c:v>3.099999999999997</c:v>
                </c:pt>
                <c:pt idx="92">
                  <c:v>3.1999999999999971</c:v>
                </c:pt>
                <c:pt idx="93">
                  <c:v>3.2999999999999972</c:v>
                </c:pt>
                <c:pt idx="94">
                  <c:v>3.3999999999999972</c:v>
                </c:pt>
                <c:pt idx="95">
                  <c:v>3.4999999999999973</c:v>
                </c:pt>
                <c:pt idx="96">
                  <c:v>3.5999999999999974</c:v>
                </c:pt>
                <c:pt idx="97">
                  <c:v>3.6999999999999975</c:v>
                </c:pt>
                <c:pt idx="98">
                  <c:v>3.7999999999999976</c:v>
                </c:pt>
                <c:pt idx="99">
                  <c:v>3.8999999999999977</c:v>
                </c:pt>
                <c:pt idx="100">
                  <c:v>3.9999999999999978</c:v>
                </c:pt>
                <c:pt idx="101">
                  <c:v>4.0999999999999979</c:v>
                </c:pt>
                <c:pt idx="102">
                  <c:v>4.1999999999999975</c:v>
                </c:pt>
                <c:pt idx="103">
                  <c:v>4.2999999999999972</c:v>
                </c:pt>
                <c:pt idx="104">
                  <c:v>4.3999999999999968</c:v>
                </c:pt>
                <c:pt idx="105">
                  <c:v>4.4999999999999964</c:v>
                </c:pt>
                <c:pt idx="106">
                  <c:v>4.5999999999999961</c:v>
                </c:pt>
                <c:pt idx="107">
                  <c:v>4.6999999999999957</c:v>
                </c:pt>
                <c:pt idx="108">
                  <c:v>4.7999999999999954</c:v>
                </c:pt>
                <c:pt idx="109">
                  <c:v>4.899999999999995</c:v>
                </c:pt>
                <c:pt idx="110">
                  <c:v>4.9999999999999947</c:v>
                </c:pt>
                <c:pt idx="111">
                  <c:v>5.0999999999999943</c:v>
                </c:pt>
                <c:pt idx="112">
                  <c:v>5.199999999999994</c:v>
                </c:pt>
                <c:pt idx="113">
                  <c:v>5.2999999999999936</c:v>
                </c:pt>
                <c:pt idx="114">
                  <c:v>5.3999999999999932</c:v>
                </c:pt>
                <c:pt idx="115">
                  <c:v>5.4999999999999929</c:v>
                </c:pt>
                <c:pt idx="116">
                  <c:v>5.5999999999999925</c:v>
                </c:pt>
                <c:pt idx="117">
                  <c:v>5.6999999999999922</c:v>
                </c:pt>
                <c:pt idx="118">
                  <c:v>5.7999999999999918</c:v>
                </c:pt>
                <c:pt idx="119">
                  <c:v>5.8999999999999915</c:v>
                </c:pt>
                <c:pt idx="120">
                  <c:v>5.9999999999999911</c:v>
                </c:pt>
                <c:pt idx="121">
                  <c:v>6.0999999999999908</c:v>
                </c:pt>
                <c:pt idx="122">
                  <c:v>6.1999999999999904</c:v>
                </c:pt>
                <c:pt idx="123">
                  <c:v>6.2999999999999901</c:v>
                </c:pt>
                <c:pt idx="124">
                  <c:v>6.3999999999999897</c:v>
                </c:pt>
                <c:pt idx="125">
                  <c:v>6.4999999999999893</c:v>
                </c:pt>
                <c:pt idx="126">
                  <c:v>6.599999999999989</c:v>
                </c:pt>
                <c:pt idx="127">
                  <c:v>6.6999999999999886</c:v>
                </c:pt>
                <c:pt idx="128">
                  <c:v>6.7999999999999883</c:v>
                </c:pt>
                <c:pt idx="129">
                  <c:v>6.8999999999999879</c:v>
                </c:pt>
                <c:pt idx="130">
                  <c:v>6.9999999999999876</c:v>
                </c:pt>
                <c:pt idx="131">
                  <c:v>7.0999999999999872</c:v>
                </c:pt>
                <c:pt idx="132">
                  <c:v>7.1999999999999869</c:v>
                </c:pt>
                <c:pt idx="133">
                  <c:v>7.2999999999999865</c:v>
                </c:pt>
                <c:pt idx="134">
                  <c:v>7.3999999999999861</c:v>
                </c:pt>
                <c:pt idx="135">
                  <c:v>7.4999999999999858</c:v>
                </c:pt>
                <c:pt idx="136">
                  <c:v>7.5999999999999854</c:v>
                </c:pt>
                <c:pt idx="137">
                  <c:v>7.6999999999999851</c:v>
                </c:pt>
                <c:pt idx="138">
                  <c:v>7.7999999999999847</c:v>
                </c:pt>
                <c:pt idx="139">
                  <c:v>7.8999999999999844</c:v>
                </c:pt>
                <c:pt idx="140">
                  <c:v>7.999999999999984</c:v>
                </c:pt>
                <c:pt idx="141">
                  <c:v>8.0999999999999837</c:v>
                </c:pt>
                <c:pt idx="142">
                  <c:v>8.1999999999999833</c:v>
                </c:pt>
                <c:pt idx="143">
                  <c:v>8.2999999999999829</c:v>
                </c:pt>
                <c:pt idx="144">
                  <c:v>8.3999999999999826</c:v>
                </c:pt>
                <c:pt idx="145">
                  <c:v>8.4999999999999822</c:v>
                </c:pt>
                <c:pt idx="146">
                  <c:v>8.5999999999999819</c:v>
                </c:pt>
                <c:pt idx="147">
                  <c:v>8.6999999999999815</c:v>
                </c:pt>
                <c:pt idx="148">
                  <c:v>8.7999999999999812</c:v>
                </c:pt>
                <c:pt idx="149">
                  <c:v>8.8999999999999808</c:v>
                </c:pt>
                <c:pt idx="150">
                  <c:v>8.9999999999999805</c:v>
                </c:pt>
                <c:pt idx="151">
                  <c:v>9.0999999999999801</c:v>
                </c:pt>
                <c:pt idx="152">
                  <c:v>9.1999999999999797</c:v>
                </c:pt>
                <c:pt idx="153">
                  <c:v>9.2999999999999794</c:v>
                </c:pt>
                <c:pt idx="154">
                  <c:v>9.399999999999979</c:v>
                </c:pt>
                <c:pt idx="155">
                  <c:v>9.4999999999999787</c:v>
                </c:pt>
                <c:pt idx="156">
                  <c:v>9.5999999999999783</c:v>
                </c:pt>
                <c:pt idx="157">
                  <c:v>9.699999999999978</c:v>
                </c:pt>
                <c:pt idx="158">
                  <c:v>9.7999999999999776</c:v>
                </c:pt>
                <c:pt idx="159">
                  <c:v>9.8999999999999773</c:v>
                </c:pt>
                <c:pt idx="160">
                  <c:v>9.9999999999999769</c:v>
                </c:pt>
                <c:pt idx="161">
                  <c:v>10.099999999999977</c:v>
                </c:pt>
                <c:pt idx="162">
                  <c:v>10.199999999999976</c:v>
                </c:pt>
                <c:pt idx="163">
                  <c:v>10.299999999999976</c:v>
                </c:pt>
                <c:pt idx="164">
                  <c:v>10.399999999999975</c:v>
                </c:pt>
                <c:pt idx="165">
                  <c:v>10.499999999999975</c:v>
                </c:pt>
                <c:pt idx="166">
                  <c:v>10.599999999999975</c:v>
                </c:pt>
                <c:pt idx="167">
                  <c:v>10.699999999999974</c:v>
                </c:pt>
                <c:pt idx="168">
                  <c:v>10.799999999999974</c:v>
                </c:pt>
                <c:pt idx="169">
                  <c:v>10.899999999999974</c:v>
                </c:pt>
                <c:pt idx="170">
                  <c:v>10.999999999999973</c:v>
                </c:pt>
                <c:pt idx="171">
                  <c:v>11.099999999999973</c:v>
                </c:pt>
                <c:pt idx="172">
                  <c:v>11.199999999999973</c:v>
                </c:pt>
                <c:pt idx="173">
                  <c:v>11.299999999999972</c:v>
                </c:pt>
                <c:pt idx="174">
                  <c:v>11.399999999999972</c:v>
                </c:pt>
                <c:pt idx="175">
                  <c:v>11.499999999999972</c:v>
                </c:pt>
                <c:pt idx="176">
                  <c:v>11.599999999999971</c:v>
                </c:pt>
                <c:pt idx="177">
                  <c:v>11.699999999999971</c:v>
                </c:pt>
                <c:pt idx="178">
                  <c:v>11.799999999999971</c:v>
                </c:pt>
                <c:pt idx="179">
                  <c:v>11.89999999999997</c:v>
                </c:pt>
                <c:pt idx="180">
                  <c:v>11.99999999999997</c:v>
                </c:pt>
                <c:pt idx="181">
                  <c:v>12.099999999999969</c:v>
                </c:pt>
                <c:pt idx="182">
                  <c:v>12.199999999999969</c:v>
                </c:pt>
                <c:pt idx="183">
                  <c:v>12.299999999999969</c:v>
                </c:pt>
                <c:pt idx="184">
                  <c:v>12.399999999999968</c:v>
                </c:pt>
                <c:pt idx="185">
                  <c:v>12.499999999999968</c:v>
                </c:pt>
                <c:pt idx="186">
                  <c:v>12.599999999999968</c:v>
                </c:pt>
                <c:pt idx="187">
                  <c:v>12.699999999999967</c:v>
                </c:pt>
                <c:pt idx="188">
                  <c:v>12.799999999999967</c:v>
                </c:pt>
                <c:pt idx="189">
                  <c:v>12.899999999999967</c:v>
                </c:pt>
                <c:pt idx="190">
                  <c:v>12.999999999999966</c:v>
                </c:pt>
                <c:pt idx="191">
                  <c:v>13.099999999999966</c:v>
                </c:pt>
                <c:pt idx="192">
                  <c:v>13.199999999999966</c:v>
                </c:pt>
                <c:pt idx="193">
                  <c:v>13.299999999999965</c:v>
                </c:pt>
                <c:pt idx="194">
                  <c:v>13.399999999999965</c:v>
                </c:pt>
                <c:pt idx="195">
                  <c:v>13.499999999999964</c:v>
                </c:pt>
                <c:pt idx="196">
                  <c:v>13.599999999999964</c:v>
                </c:pt>
                <c:pt idx="197">
                  <c:v>13.699999999999964</c:v>
                </c:pt>
                <c:pt idx="198">
                  <c:v>13.799999999999963</c:v>
                </c:pt>
                <c:pt idx="199">
                  <c:v>13.899999999999963</c:v>
                </c:pt>
                <c:pt idx="200">
                  <c:v>13.999999999999963</c:v>
                </c:pt>
                <c:pt idx="201">
                  <c:v>14.099999999999962</c:v>
                </c:pt>
              </c:numCache>
            </c:numRef>
          </c:cat>
          <c:val>
            <c:numRef>
              <c:f>'NT 1'!$U$8:$U$209</c:f>
              <c:numCache>
                <c:formatCode>General</c:formatCode>
                <c:ptCount val="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val>
        </c:ser>
        <c:marker val="1"/>
        <c:axId val="300532480"/>
        <c:axId val="300534016"/>
      </c:lineChart>
      <c:catAx>
        <c:axId val="300532480"/>
        <c:scaling>
          <c:orientation val="minMax"/>
        </c:scaling>
        <c:axPos val="b"/>
        <c:numFmt formatCode="#,##0" sourceLinked="0"/>
        <c:tickLblPos val="nextTo"/>
        <c:crossAx val="300534016"/>
        <c:crosses val="autoZero"/>
        <c:auto val="1"/>
        <c:lblAlgn val="ctr"/>
        <c:lblOffset val="100"/>
        <c:tickMarkSkip val="10"/>
      </c:catAx>
      <c:valAx>
        <c:axId val="300534016"/>
        <c:scaling>
          <c:orientation val="minMax"/>
        </c:scaling>
        <c:axPos val="l"/>
        <c:majorGridlines/>
        <c:numFmt formatCode="#,##0.00" sourceLinked="0"/>
        <c:tickLblPos val="nextTo"/>
        <c:crossAx val="30053248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Noncentral Chi-square (df = 5)</a:t>
            </a:r>
          </a:p>
        </c:rich>
      </c:tx>
    </c:title>
    <c:plotArea>
      <c:layout/>
      <c:scatterChart>
        <c:scatterStyle val="smoothMarker"/>
        <c:ser>
          <c:idx val="0"/>
          <c:order val="0"/>
          <c:tx>
            <c:strRef>
              <c:f>'NCHI 1'!$B$7</c:f>
              <c:strCache>
                <c:ptCount val="1"/>
                <c:pt idx="0">
                  <c:v>ncp 0</c:v>
                </c:pt>
              </c:strCache>
            </c:strRef>
          </c:tx>
          <c:marker>
            <c:symbol val="none"/>
          </c:marker>
          <c:xVal>
            <c:numRef>
              <c:f>'NCHI 1'!$A$8:$A$109</c:f>
              <c:numCache>
                <c:formatCode>General</c:formatCode>
                <c:ptCount val="102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0.89999999999999991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2.6999999999999997</c:v>
                </c:pt>
                <c:pt idx="10">
                  <c:v>2.9999999999999996</c:v>
                </c:pt>
                <c:pt idx="11">
                  <c:v>3.2999999999999994</c:v>
                </c:pt>
                <c:pt idx="12">
                  <c:v>3.5999999999999992</c:v>
                </c:pt>
                <c:pt idx="13">
                  <c:v>3.899999999999999</c:v>
                </c:pt>
                <c:pt idx="14">
                  <c:v>4.1999999999999993</c:v>
                </c:pt>
                <c:pt idx="15">
                  <c:v>4.4999999999999991</c:v>
                </c:pt>
                <c:pt idx="16">
                  <c:v>4.7999999999999989</c:v>
                </c:pt>
                <c:pt idx="17">
                  <c:v>5.0999999999999988</c:v>
                </c:pt>
                <c:pt idx="18">
                  <c:v>5.3999999999999986</c:v>
                </c:pt>
                <c:pt idx="19">
                  <c:v>5.6999999999999984</c:v>
                </c:pt>
                <c:pt idx="20">
                  <c:v>5.9999999999999982</c:v>
                </c:pt>
                <c:pt idx="21">
                  <c:v>6.299999999999998</c:v>
                </c:pt>
                <c:pt idx="22">
                  <c:v>6.5999999999999979</c:v>
                </c:pt>
                <c:pt idx="23">
                  <c:v>6.8999999999999977</c:v>
                </c:pt>
                <c:pt idx="24">
                  <c:v>7.1999999999999975</c:v>
                </c:pt>
                <c:pt idx="25">
                  <c:v>7.4999999999999973</c:v>
                </c:pt>
                <c:pt idx="26">
                  <c:v>7.7999999999999972</c:v>
                </c:pt>
                <c:pt idx="27">
                  <c:v>8.0999999999999979</c:v>
                </c:pt>
                <c:pt idx="28">
                  <c:v>8.3999999999999986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9.6000000000000014</c:v>
                </c:pt>
                <c:pt idx="33">
                  <c:v>9.9000000000000021</c:v>
                </c:pt>
                <c:pt idx="34">
                  <c:v>10.200000000000003</c:v>
                </c:pt>
                <c:pt idx="35">
                  <c:v>10.500000000000004</c:v>
                </c:pt>
                <c:pt idx="36">
                  <c:v>10.800000000000004</c:v>
                </c:pt>
                <c:pt idx="37">
                  <c:v>11.100000000000005</c:v>
                </c:pt>
                <c:pt idx="38">
                  <c:v>11.400000000000006</c:v>
                </c:pt>
                <c:pt idx="39">
                  <c:v>11.700000000000006</c:v>
                </c:pt>
                <c:pt idx="40">
                  <c:v>12.000000000000007</c:v>
                </c:pt>
                <c:pt idx="41">
                  <c:v>12.300000000000008</c:v>
                </c:pt>
                <c:pt idx="42">
                  <c:v>12.600000000000009</c:v>
                </c:pt>
                <c:pt idx="43">
                  <c:v>12.900000000000009</c:v>
                </c:pt>
                <c:pt idx="44">
                  <c:v>13.20000000000001</c:v>
                </c:pt>
                <c:pt idx="45">
                  <c:v>13.500000000000011</c:v>
                </c:pt>
                <c:pt idx="46">
                  <c:v>13.800000000000011</c:v>
                </c:pt>
                <c:pt idx="47">
                  <c:v>14.100000000000012</c:v>
                </c:pt>
                <c:pt idx="48">
                  <c:v>14.400000000000013</c:v>
                </c:pt>
                <c:pt idx="49">
                  <c:v>14.700000000000014</c:v>
                </c:pt>
                <c:pt idx="50">
                  <c:v>15.000000000000014</c:v>
                </c:pt>
                <c:pt idx="51">
                  <c:v>15.300000000000015</c:v>
                </c:pt>
                <c:pt idx="52">
                  <c:v>15.600000000000016</c:v>
                </c:pt>
                <c:pt idx="53">
                  <c:v>15.900000000000016</c:v>
                </c:pt>
                <c:pt idx="54">
                  <c:v>16.200000000000017</c:v>
                </c:pt>
                <c:pt idx="55">
                  <c:v>16.500000000000018</c:v>
                </c:pt>
                <c:pt idx="56">
                  <c:v>16.800000000000018</c:v>
                </c:pt>
                <c:pt idx="57">
                  <c:v>17.100000000000019</c:v>
                </c:pt>
                <c:pt idx="58">
                  <c:v>17.40000000000002</c:v>
                </c:pt>
                <c:pt idx="59">
                  <c:v>17.700000000000021</c:v>
                </c:pt>
                <c:pt idx="60">
                  <c:v>18.000000000000021</c:v>
                </c:pt>
                <c:pt idx="61">
                  <c:v>18.300000000000022</c:v>
                </c:pt>
                <c:pt idx="62">
                  <c:v>18.600000000000023</c:v>
                </c:pt>
                <c:pt idx="63">
                  <c:v>18.900000000000023</c:v>
                </c:pt>
                <c:pt idx="64">
                  <c:v>19.200000000000024</c:v>
                </c:pt>
                <c:pt idx="65">
                  <c:v>19.500000000000025</c:v>
                </c:pt>
                <c:pt idx="66">
                  <c:v>19.800000000000026</c:v>
                </c:pt>
                <c:pt idx="67">
                  <c:v>20.100000000000026</c:v>
                </c:pt>
                <c:pt idx="68">
                  <c:v>20.400000000000027</c:v>
                </c:pt>
                <c:pt idx="69">
                  <c:v>20.700000000000028</c:v>
                </c:pt>
                <c:pt idx="70">
                  <c:v>21.000000000000028</c:v>
                </c:pt>
                <c:pt idx="71">
                  <c:v>21.300000000000029</c:v>
                </c:pt>
                <c:pt idx="72">
                  <c:v>21.60000000000003</c:v>
                </c:pt>
                <c:pt idx="73">
                  <c:v>21.900000000000031</c:v>
                </c:pt>
                <c:pt idx="74">
                  <c:v>22.200000000000031</c:v>
                </c:pt>
                <c:pt idx="75">
                  <c:v>22.500000000000032</c:v>
                </c:pt>
                <c:pt idx="76">
                  <c:v>22.800000000000033</c:v>
                </c:pt>
                <c:pt idx="77">
                  <c:v>23.100000000000033</c:v>
                </c:pt>
                <c:pt idx="78">
                  <c:v>23.400000000000034</c:v>
                </c:pt>
                <c:pt idx="79">
                  <c:v>23.700000000000035</c:v>
                </c:pt>
                <c:pt idx="80">
                  <c:v>24.000000000000036</c:v>
                </c:pt>
                <c:pt idx="81">
                  <c:v>24.300000000000036</c:v>
                </c:pt>
                <c:pt idx="82">
                  <c:v>24.600000000000037</c:v>
                </c:pt>
                <c:pt idx="83">
                  <c:v>24.900000000000038</c:v>
                </c:pt>
                <c:pt idx="84">
                  <c:v>25.200000000000038</c:v>
                </c:pt>
                <c:pt idx="85">
                  <c:v>25.500000000000039</c:v>
                </c:pt>
                <c:pt idx="86">
                  <c:v>25.80000000000004</c:v>
                </c:pt>
                <c:pt idx="87">
                  <c:v>26.100000000000041</c:v>
                </c:pt>
                <c:pt idx="88">
                  <c:v>26.400000000000041</c:v>
                </c:pt>
                <c:pt idx="89">
                  <c:v>26.700000000000042</c:v>
                </c:pt>
                <c:pt idx="90">
                  <c:v>27.000000000000043</c:v>
                </c:pt>
                <c:pt idx="91">
                  <c:v>27.300000000000043</c:v>
                </c:pt>
                <c:pt idx="92">
                  <c:v>27.600000000000044</c:v>
                </c:pt>
                <c:pt idx="93">
                  <c:v>27.900000000000045</c:v>
                </c:pt>
                <c:pt idx="94">
                  <c:v>28.200000000000045</c:v>
                </c:pt>
                <c:pt idx="95">
                  <c:v>28.500000000000046</c:v>
                </c:pt>
                <c:pt idx="96">
                  <c:v>28.800000000000047</c:v>
                </c:pt>
                <c:pt idx="97">
                  <c:v>29.100000000000048</c:v>
                </c:pt>
                <c:pt idx="98">
                  <c:v>29.400000000000048</c:v>
                </c:pt>
                <c:pt idx="99">
                  <c:v>29.700000000000049</c:v>
                </c:pt>
                <c:pt idx="100">
                  <c:v>30.00000000000005</c:v>
                </c:pt>
                <c:pt idx="101">
                  <c:v>30.30000000000005</c:v>
                </c:pt>
              </c:numCache>
            </c:numRef>
          </c:xVal>
          <c:yVal>
            <c:numRef>
              <c:f>'NCHI 1'!$B$8:$B$109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'NCHI 1'!$C$7</c:f>
              <c:strCache>
                <c:ptCount val="1"/>
                <c:pt idx="0">
                  <c:v>ncp 2</c:v>
                </c:pt>
              </c:strCache>
            </c:strRef>
          </c:tx>
          <c:marker>
            <c:symbol val="none"/>
          </c:marker>
          <c:xVal>
            <c:numRef>
              <c:f>'NCHI 1'!$A$8:$A$109</c:f>
              <c:numCache>
                <c:formatCode>General</c:formatCode>
                <c:ptCount val="102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0.89999999999999991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2.6999999999999997</c:v>
                </c:pt>
                <c:pt idx="10">
                  <c:v>2.9999999999999996</c:v>
                </c:pt>
                <c:pt idx="11">
                  <c:v>3.2999999999999994</c:v>
                </c:pt>
                <c:pt idx="12">
                  <c:v>3.5999999999999992</c:v>
                </c:pt>
                <c:pt idx="13">
                  <c:v>3.899999999999999</c:v>
                </c:pt>
                <c:pt idx="14">
                  <c:v>4.1999999999999993</c:v>
                </c:pt>
                <c:pt idx="15">
                  <c:v>4.4999999999999991</c:v>
                </c:pt>
                <c:pt idx="16">
                  <c:v>4.7999999999999989</c:v>
                </c:pt>
                <c:pt idx="17">
                  <c:v>5.0999999999999988</c:v>
                </c:pt>
                <c:pt idx="18">
                  <c:v>5.3999999999999986</c:v>
                </c:pt>
                <c:pt idx="19">
                  <c:v>5.6999999999999984</c:v>
                </c:pt>
                <c:pt idx="20">
                  <c:v>5.9999999999999982</c:v>
                </c:pt>
                <c:pt idx="21">
                  <c:v>6.299999999999998</c:v>
                </c:pt>
                <c:pt idx="22">
                  <c:v>6.5999999999999979</c:v>
                </c:pt>
                <c:pt idx="23">
                  <c:v>6.8999999999999977</c:v>
                </c:pt>
                <c:pt idx="24">
                  <c:v>7.1999999999999975</c:v>
                </c:pt>
                <c:pt idx="25">
                  <c:v>7.4999999999999973</c:v>
                </c:pt>
                <c:pt idx="26">
                  <c:v>7.7999999999999972</c:v>
                </c:pt>
                <c:pt idx="27">
                  <c:v>8.0999999999999979</c:v>
                </c:pt>
                <c:pt idx="28">
                  <c:v>8.3999999999999986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9.6000000000000014</c:v>
                </c:pt>
                <c:pt idx="33">
                  <c:v>9.9000000000000021</c:v>
                </c:pt>
                <c:pt idx="34">
                  <c:v>10.200000000000003</c:v>
                </c:pt>
                <c:pt idx="35">
                  <c:v>10.500000000000004</c:v>
                </c:pt>
                <c:pt idx="36">
                  <c:v>10.800000000000004</c:v>
                </c:pt>
                <c:pt idx="37">
                  <c:v>11.100000000000005</c:v>
                </c:pt>
                <c:pt idx="38">
                  <c:v>11.400000000000006</c:v>
                </c:pt>
                <c:pt idx="39">
                  <c:v>11.700000000000006</c:v>
                </c:pt>
                <c:pt idx="40">
                  <c:v>12.000000000000007</c:v>
                </c:pt>
                <c:pt idx="41">
                  <c:v>12.300000000000008</c:v>
                </c:pt>
                <c:pt idx="42">
                  <c:v>12.600000000000009</c:v>
                </c:pt>
                <c:pt idx="43">
                  <c:v>12.900000000000009</c:v>
                </c:pt>
                <c:pt idx="44">
                  <c:v>13.20000000000001</c:v>
                </c:pt>
                <c:pt idx="45">
                  <c:v>13.500000000000011</c:v>
                </c:pt>
                <c:pt idx="46">
                  <c:v>13.800000000000011</c:v>
                </c:pt>
                <c:pt idx="47">
                  <c:v>14.100000000000012</c:v>
                </c:pt>
                <c:pt idx="48">
                  <c:v>14.400000000000013</c:v>
                </c:pt>
                <c:pt idx="49">
                  <c:v>14.700000000000014</c:v>
                </c:pt>
                <c:pt idx="50">
                  <c:v>15.000000000000014</c:v>
                </c:pt>
                <c:pt idx="51">
                  <c:v>15.300000000000015</c:v>
                </c:pt>
                <c:pt idx="52">
                  <c:v>15.600000000000016</c:v>
                </c:pt>
                <c:pt idx="53">
                  <c:v>15.900000000000016</c:v>
                </c:pt>
                <c:pt idx="54">
                  <c:v>16.200000000000017</c:v>
                </c:pt>
                <c:pt idx="55">
                  <c:v>16.500000000000018</c:v>
                </c:pt>
                <c:pt idx="56">
                  <c:v>16.800000000000018</c:v>
                </c:pt>
                <c:pt idx="57">
                  <c:v>17.100000000000019</c:v>
                </c:pt>
                <c:pt idx="58">
                  <c:v>17.40000000000002</c:v>
                </c:pt>
                <c:pt idx="59">
                  <c:v>17.700000000000021</c:v>
                </c:pt>
                <c:pt idx="60">
                  <c:v>18.000000000000021</c:v>
                </c:pt>
                <c:pt idx="61">
                  <c:v>18.300000000000022</c:v>
                </c:pt>
                <c:pt idx="62">
                  <c:v>18.600000000000023</c:v>
                </c:pt>
                <c:pt idx="63">
                  <c:v>18.900000000000023</c:v>
                </c:pt>
                <c:pt idx="64">
                  <c:v>19.200000000000024</c:v>
                </c:pt>
                <c:pt idx="65">
                  <c:v>19.500000000000025</c:v>
                </c:pt>
                <c:pt idx="66">
                  <c:v>19.800000000000026</c:v>
                </c:pt>
                <c:pt idx="67">
                  <c:v>20.100000000000026</c:v>
                </c:pt>
                <c:pt idx="68">
                  <c:v>20.400000000000027</c:v>
                </c:pt>
                <c:pt idx="69">
                  <c:v>20.700000000000028</c:v>
                </c:pt>
                <c:pt idx="70">
                  <c:v>21.000000000000028</c:v>
                </c:pt>
                <c:pt idx="71">
                  <c:v>21.300000000000029</c:v>
                </c:pt>
                <c:pt idx="72">
                  <c:v>21.60000000000003</c:v>
                </c:pt>
                <c:pt idx="73">
                  <c:v>21.900000000000031</c:v>
                </c:pt>
                <c:pt idx="74">
                  <c:v>22.200000000000031</c:v>
                </c:pt>
                <c:pt idx="75">
                  <c:v>22.500000000000032</c:v>
                </c:pt>
                <c:pt idx="76">
                  <c:v>22.800000000000033</c:v>
                </c:pt>
                <c:pt idx="77">
                  <c:v>23.100000000000033</c:v>
                </c:pt>
                <c:pt idx="78">
                  <c:v>23.400000000000034</c:v>
                </c:pt>
                <c:pt idx="79">
                  <c:v>23.700000000000035</c:v>
                </c:pt>
                <c:pt idx="80">
                  <c:v>24.000000000000036</c:v>
                </c:pt>
                <c:pt idx="81">
                  <c:v>24.300000000000036</c:v>
                </c:pt>
                <c:pt idx="82">
                  <c:v>24.600000000000037</c:v>
                </c:pt>
                <c:pt idx="83">
                  <c:v>24.900000000000038</c:v>
                </c:pt>
                <c:pt idx="84">
                  <c:v>25.200000000000038</c:v>
                </c:pt>
                <c:pt idx="85">
                  <c:v>25.500000000000039</c:v>
                </c:pt>
                <c:pt idx="86">
                  <c:v>25.80000000000004</c:v>
                </c:pt>
                <c:pt idx="87">
                  <c:v>26.100000000000041</c:v>
                </c:pt>
                <c:pt idx="88">
                  <c:v>26.400000000000041</c:v>
                </c:pt>
                <c:pt idx="89">
                  <c:v>26.700000000000042</c:v>
                </c:pt>
                <c:pt idx="90">
                  <c:v>27.000000000000043</c:v>
                </c:pt>
                <c:pt idx="91">
                  <c:v>27.300000000000043</c:v>
                </c:pt>
                <c:pt idx="92">
                  <c:v>27.600000000000044</c:v>
                </c:pt>
                <c:pt idx="93">
                  <c:v>27.900000000000045</c:v>
                </c:pt>
                <c:pt idx="94">
                  <c:v>28.200000000000045</c:v>
                </c:pt>
                <c:pt idx="95">
                  <c:v>28.500000000000046</c:v>
                </c:pt>
                <c:pt idx="96">
                  <c:v>28.800000000000047</c:v>
                </c:pt>
                <c:pt idx="97">
                  <c:v>29.100000000000048</c:v>
                </c:pt>
                <c:pt idx="98">
                  <c:v>29.400000000000048</c:v>
                </c:pt>
                <c:pt idx="99">
                  <c:v>29.700000000000049</c:v>
                </c:pt>
                <c:pt idx="100">
                  <c:v>30.00000000000005</c:v>
                </c:pt>
                <c:pt idx="101">
                  <c:v>30.30000000000005</c:v>
                </c:pt>
              </c:numCache>
            </c:numRef>
          </c:xVal>
          <c:yVal>
            <c:numRef>
              <c:f>'NCHI 1'!$C$8:$C$109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'NCHI 1'!$D$7</c:f>
              <c:strCache>
                <c:ptCount val="1"/>
                <c:pt idx="0">
                  <c:v>ncp 4</c:v>
                </c:pt>
              </c:strCache>
            </c:strRef>
          </c:tx>
          <c:marker>
            <c:symbol val="none"/>
          </c:marker>
          <c:xVal>
            <c:numRef>
              <c:f>'NCHI 1'!$A$8:$A$109</c:f>
              <c:numCache>
                <c:formatCode>General</c:formatCode>
                <c:ptCount val="102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0.89999999999999991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2.6999999999999997</c:v>
                </c:pt>
                <c:pt idx="10">
                  <c:v>2.9999999999999996</c:v>
                </c:pt>
                <c:pt idx="11">
                  <c:v>3.2999999999999994</c:v>
                </c:pt>
                <c:pt idx="12">
                  <c:v>3.5999999999999992</c:v>
                </c:pt>
                <c:pt idx="13">
                  <c:v>3.899999999999999</c:v>
                </c:pt>
                <c:pt idx="14">
                  <c:v>4.1999999999999993</c:v>
                </c:pt>
                <c:pt idx="15">
                  <c:v>4.4999999999999991</c:v>
                </c:pt>
                <c:pt idx="16">
                  <c:v>4.7999999999999989</c:v>
                </c:pt>
                <c:pt idx="17">
                  <c:v>5.0999999999999988</c:v>
                </c:pt>
                <c:pt idx="18">
                  <c:v>5.3999999999999986</c:v>
                </c:pt>
                <c:pt idx="19">
                  <c:v>5.6999999999999984</c:v>
                </c:pt>
                <c:pt idx="20">
                  <c:v>5.9999999999999982</c:v>
                </c:pt>
                <c:pt idx="21">
                  <c:v>6.299999999999998</c:v>
                </c:pt>
                <c:pt idx="22">
                  <c:v>6.5999999999999979</c:v>
                </c:pt>
                <c:pt idx="23">
                  <c:v>6.8999999999999977</c:v>
                </c:pt>
                <c:pt idx="24">
                  <c:v>7.1999999999999975</c:v>
                </c:pt>
                <c:pt idx="25">
                  <c:v>7.4999999999999973</c:v>
                </c:pt>
                <c:pt idx="26">
                  <c:v>7.7999999999999972</c:v>
                </c:pt>
                <c:pt idx="27">
                  <c:v>8.0999999999999979</c:v>
                </c:pt>
                <c:pt idx="28">
                  <c:v>8.3999999999999986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9.6000000000000014</c:v>
                </c:pt>
                <c:pt idx="33">
                  <c:v>9.9000000000000021</c:v>
                </c:pt>
                <c:pt idx="34">
                  <c:v>10.200000000000003</c:v>
                </c:pt>
                <c:pt idx="35">
                  <c:v>10.500000000000004</c:v>
                </c:pt>
                <c:pt idx="36">
                  <c:v>10.800000000000004</c:v>
                </c:pt>
                <c:pt idx="37">
                  <c:v>11.100000000000005</c:v>
                </c:pt>
                <c:pt idx="38">
                  <c:v>11.400000000000006</c:v>
                </c:pt>
                <c:pt idx="39">
                  <c:v>11.700000000000006</c:v>
                </c:pt>
                <c:pt idx="40">
                  <c:v>12.000000000000007</c:v>
                </c:pt>
                <c:pt idx="41">
                  <c:v>12.300000000000008</c:v>
                </c:pt>
                <c:pt idx="42">
                  <c:v>12.600000000000009</c:v>
                </c:pt>
                <c:pt idx="43">
                  <c:v>12.900000000000009</c:v>
                </c:pt>
                <c:pt idx="44">
                  <c:v>13.20000000000001</c:v>
                </c:pt>
                <c:pt idx="45">
                  <c:v>13.500000000000011</c:v>
                </c:pt>
                <c:pt idx="46">
                  <c:v>13.800000000000011</c:v>
                </c:pt>
                <c:pt idx="47">
                  <c:v>14.100000000000012</c:v>
                </c:pt>
                <c:pt idx="48">
                  <c:v>14.400000000000013</c:v>
                </c:pt>
                <c:pt idx="49">
                  <c:v>14.700000000000014</c:v>
                </c:pt>
                <c:pt idx="50">
                  <c:v>15.000000000000014</c:v>
                </c:pt>
                <c:pt idx="51">
                  <c:v>15.300000000000015</c:v>
                </c:pt>
                <c:pt idx="52">
                  <c:v>15.600000000000016</c:v>
                </c:pt>
                <c:pt idx="53">
                  <c:v>15.900000000000016</c:v>
                </c:pt>
                <c:pt idx="54">
                  <c:v>16.200000000000017</c:v>
                </c:pt>
                <c:pt idx="55">
                  <c:v>16.500000000000018</c:v>
                </c:pt>
                <c:pt idx="56">
                  <c:v>16.800000000000018</c:v>
                </c:pt>
                <c:pt idx="57">
                  <c:v>17.100000000000019</c:v>
                </c:pt>
                <c:pt idx="58">
                  <c:v>17.40000000000002</c:v>
                </c:pt>
                <c:pt idx="59">
                  <c:v>17.700000000000021</c:v>
                </c:pt>
                <c:pt idx="60">
                  <c:v>18.000000000000021</c:v>
                </c:pt>
                <c:pt idx="61">
                  <c:v>18.300000000000022</c:v>
                </c:pt>
                <c:pt idx="62">
                  <c:v>18.600000000000023</c:v>
                </c:pt>
                <c:pt idx="63">
                  <c:v>18.900000000000023</c:v>
                </c:pt>
                <c:pt idx="64">
                  <c:v>19.200000000000024</c:v>
                </c:pt>
                <c:pt idx="65">
                  <c:v>19.500000000000025</c:v>
                </c:pt>
                <c:pt idx="66">
                  <c:v>19.800000000000026</c:v>
                </c:pt>
                <c:pt idx="67">
                  <c:v>20.100000000000026</c:v>
                </c:pt>
                <c:pt idx="68">
                  <c:v>20.400000000000027</c:v>
                </c:pt>
                <c:pt idx="69">
                  <c:v>20.700000000000028</c:v>
                </c:pt>
                <c:pt idx="70">
                  <c:v>21.000000000000028</c:v>
                </c:pt>
                <c:pt idx="71">
                  <c:v>21.300000000000029</c:v>
                </c:pt>
                <c:pt idx="72">
                  <c:v>21.60000000000003</c:v>
                </c:pt>
                <c:pt idx="73">
                  <c:v>21.900000000000031</c:v>
                </c:pt>
                <c:pt idx="74">
                  <c:v>22.200000000000031</c:v>
                </c:pt>
                <c:pt idx="75">
                  <c:v>22.500000000000032</c:v>
                </c:pt>
                <c:pt idx="76">
                  <c:v>22.800000000000033</c:v>
                </c:pt>
                <c:pt idx="77">
                  <c:v>23.100000000000033</c:v>
                </c:pt>
                <c:pt idx="78">
                  <c:v>23.400000000000034</c:v>
                </c:pt>
                <c:pt idx="79">
                  <c:v>23.700000000000035</c:v>
                </c:pt>
                <c:pt idx="80">
                  <c:v>24.000000000000036</c:v>
                </c:pt>
                <c:pt idx="81">
                  <c:v>24.300000000000036</c:v>
                </c:pt>
                <c:pt idx="82">
                  <c:v>24.600000000000037</c:v>
                </c:pt>
                <c:pt idx="83">
                  <c:v>24.900000000000038</c:v>
                </c:pt>
                <c:pt idx="84">
                  <c:v>25.200000000000038</c:v>
                </c:pt>
                <c:pt idx="85">
                  <c:v>25.500000000000039</c:v>
                </c:pt>
                <c:pt idx="86">
                  <c:v>25.80000000000004</c:v>
                </c:pt>
                <c:pt idx="87">
                  <c:v>26.100000000000041</c:v>
                </c:pt>
                <c:pt idx="88">
                  <c:v>26.400000000000041</c:v>
                </c:pt>
                <c:pt idx="89">
                  <c:v>26.700000000000042</c:v>
                </c:pt>
                <c:pt idx="90">
                  <c:v>27.000000000000043</c:v>
                </c:pt>
                <c:pt idx="91">
                  <c:v>27.300000000000043</c:v>
                </c:pt>
                <c:pt idx="92">
                  <c:v>27.600000000000044</c:v>
                </c:pt>
                <c:pt idx="93">
                  <c:v>27.900000000000045</c:v>
                </c:pt>
                <c:pt idx="94">
                  <c:v>28.200000000000045</c:v>
                </c:pt>
                <c:pt idx="95">
                  <c:v>28.500000000000046</c:v>
                </c:pt>
                <c:pt idx="96">
                  <c:v>28.800000000000047</c:v>
                </c:pt>
                <c:pt idx="97">
                  <c:v>29.100000000000048</c:v>
                </c:pt>
                <c:pt idx="98">
                  <c:v>29.400000000000048</c:v>
                </c:pt>
                <c:pt idx="99">
                  <c:v>29.700000000000049</c:v>
                </c:pt>
                <c:pt idx="100">
                  <c:v>30.00000000000005</c:v>
                </c:pt>
                <c:pt idx="101">
                  <c:v>30.30000000000005</c:v>
                </c:pt>
              </c:numCache>
            </c:numRef>
          </c:xVal>
          <c:yVal>
            <c:numRef>
              <c:f>'NCHI 1'!$D$8:$D$109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'NCHI 1'!$E$7</c:f>
              <c:strCache>
                <c:ptCount val="1"/>
                <c:pt idx="0">
                  <c:v> ncp 6</c:v>
                </c:pt>
              </c:strCache>
            </c:strRef>
          </c:tx>
          <c:marker>
            <c:symbol val="none"/>
          </c:marker>
          <c:xVal>
            <c:numRef>
              <c:f>'NCHI 1'!$A$8:$A$109</c:f>
              <c:numCache>
                <c:formatCode>General</c:formatCode>
                <c:ptCount val="102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0.89999999999999991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2.6999999999999997</c:v>
                </c:pt>
                <c:pt idx="10">
                  <c:v>2.9999999999999996</c:v>
                </c:pt>
                <c:pt idx="11">
                  <c:v>3.2999999999999994</c:v>
                </c:pt>
                <c:pt idx="12">
                  <c:v>3.5999999999999992</c:v>
                </c:pt>
                <c:pt idx="13">
                  <c:v>3.899999999999999</c:v>
                </c:pt>
                <c:pt idx="14">
                  <c:v>4.1999999999999993</c:v>
                </c:pt>
                <c:pt idx="15">
                  <c:v>4.4999999999999991</c:v>
                </c:pt>
                <c:pt idx="16">
                  <c:v>4.7999999999999989</c:v>
                </c:pt>
                <c:pt idx="17">
                  <c:v>5.0999999999999988</c:v>
                </c:pt>
                <c:pt idx="18">
                  <c:v>5.3999999999999986</c:v>
                </c:pt>
                <c:pt idx="19">
                  <c:v>5.6999999999999984</c:v>
                </c:pt>
                <c:pt idx="20">
                  <c:v>5.9999999999999982</c:v>
                </c:pt>
                <c:pt idx="21">
                  <c:v>6.299999999999998</c:v>
                </c:pt>
                <c:pt idx="22">
                  <c:v>6.5999999999999979</c:v>
                </c:pt>
                <c:pt idx="23">
                  <c:v>6.8999999999999977</c:v>
                </c:pt>
                <c:pt idx="24">
                  <c:v>7.1999999999999975</c:v>
                </c:pt>
                <c:pt idx="25">
                  <c:v>7.4999999999999973</c:v>
                </c:pt>
                <c:pt idx="26">
                  <c:v>7.7999999999999972</c:v>
                </c:pt>
                <c:pt idx="27">
                  <c:v>8.0999999999999979</c:v>
                </c:pt>
                <c:pt idx="28">
                  <c:v>8.3999999999999986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9.6000000000000014</c:v>
                </c:pt>
                <c:pt idx="33">
                  <c:v>9.9000000000000021</c:v>
                </c:pt>
                <c:pt idx="34">
                  <c:v>10.200000000000003</c:v>
                </c:pt>
                <c:pt idx="35">
                  <c:v>10.500000000000004</c:v>
                </c:pt>
                <c:pt idx="36">
                  <c:v>10.800000000000004</c:v>
                </c:pt>
                <c:pt idx="37">
                  <c:v>11.100000000000005</c:v>
                </c:pt>
                <c:pt idx="38">
                  <c:v>11.400000000000006</c:v>
                </c:pt>
                <c:pt idx="39">
                  <c:v>11.700000000000006</c:v>
                </c:pt>
                <c:pt idx="40">
                  <c:v>12.000000000000007</c:v>
                </c:pt>
                <c:pt idx="41">
                  <c:v>12.300000000000008</c:v>
                </c:pt>
                <c:pt idx="42">
                  <c:v>12.600000000000009</c:v>
                </c:pt>
                <c:pt idx="43">
                  <c:v>12.900000000000009</c:v>
                </c:pt>
                <c:pt idx="44">
                  <c:v>13.20000000000001</c:v>
                </c:pt>
                <c:pt idx="45">
                  <c:v>13.500000000000011</c:v>
                </c:pt>
                <c:pt idx="46">
                  <c:v>13.800000000000011</c:v>
                </c:pt>
                <c:pt idx="47">
                  <c:v>14.100000000000012</c:v>
                </c:pt>
                <c:pt idx="48">
                  <c:v>14.400000000000013</c:v>
                </c:pt>
                <c:pt idx="49">
                  <c:v>14.700000000000014</c:v>
                </c:pt>
                <c:pt idx="50">
                  <c:v>15.000000000000014</c:v>
                </c:pt>
                <c:pt idx="51">
                  <c:v>15.300000000000015</c:v>
                </c:pt>
                <c:pt idx="52">
                  <c:v>15.600000000000016</c:v>
                </c:pt>
                <c:pt idx="53">
                  <c:v>15.900000000000016</c:v>
                </c:pt>
                <c:pt idx="54">
                  <c:v>16.200000000000017</c:v>
                </c:pt>
                <c:pt idx="55">
                  <c:v>16.500000000000018</c:v>
                </c:pt>
                <c:pt idx="56">
                  <c:v>16.800000000000018</c:v>
                </c:pt>
                <c:pt idx="57">
                  <c:v>17.100000000000019</c:v>
                </c:pt>
                <c:pt idx="58">
                  <c:v>17.40000000000002</c:v>
                </c:pt>
                <c:pt idx="59">
                  <c:v>17.700000000000021</c:v>
                </c:pt>
                <c:pt idx="60">
                  <c:v>18.000000000000021</c:v>
                </c:pt>
                <c:pt idx="61">
                  <c:v>18.300000000000022</c:v>
                </c:pt>
                <c:pt idx="62">
                  <c:v>18.600000000000023</c:v>
                </c:pt>
                <c:pt idx="63">
                  <c:v>18.900000000000023</c:v>
                </c:pt>
                <c:pt idx="64">
                  <c:v>19.200000000000024</c:v>
                </c:pt>
                <c:pt idx="65">
                  <c:v>19.500000000000025</c:v>
                </c:pt>
                <c:pt idx="66">
                  <c:v>19.800000000000026</c:v>
                </c:pt>
                <c:pt idx="67">
                  <c:v>20.100000000000026</c:v>
                </c:pt>
                <c:pt idx="68">
                  <c:v>20.400000000000027</c:v>
                </c:pt>
                <c:pt idx="69">
                  <c:v>20.700000000000028</c:v>
                </c:pt>
                <c:pt idx="70">
                  <c:v>21.000000000000028</c:v>
                </c:pt>
                <c:pt idx="71">
                  <c:v>21.300000000000029</c:v>
                </c:pt>
                <c:pt idx="72">
                  <c:v>21.60000000000003</c:v>
                </c:pt>
                <c:pt idx="73">
                  <c:v>21.900000000000031</c:v>
                </c:pt>
                <c:pt idx="74">
                  <c:v>22.200000000000031</c:v>
                </c:pt>
                <c:pt idx="75">
                  <c:v>22.500000000000032</c:v>
                </c:pt>
                <c:pt idx="76">
                  <c:v>22.800000000000033</c:v>
                </c:pt>
                <c:pt idx="77">
                  <c:v>23.100000000000033</c:v>
                </c:pt>
                <c:pt idx="78">
                  <c:v>23.400000000000034</c:v>
                </c:pt>
                <c:pt idx="79">
                  <c:v>23.700000000000035</c:v>
                </c:pt>
                <c:pt idx="80">
                  <c:v>24.000000000000036</c:v>
                </c:pt>
                <c:pt idx="81">
                  <c:v>24.300000000000036</c:v>
                </c:pt>
                <c:pt idx="82">
                  <c:v>24.600000000000037</c:v>
                </c:pt>
                <c:pt idx="83">
                  <c:v>24.900000000000038</c:v>
                </c:pt>
                <c:pt idx="84">
                  <c:v>25.200000000000038</c:v>
                </c:pt>
                <c:pt idx="85">
                  <c:v>25.500000000000039</c:v>
                </c:pt>
                <c:pt idx="86">
                  <c:v>25.80000000000004</c:v>
                </c:pt>
                <c:pt idx="87">
                  <c:v>26.100000000000041</c:v>
                </c:pt>
                <c:pt idx="88">
                  <c:v>26.400000000000041</c:v>
                </c:pt>
                <c:pt idx="89">
                  <c:v>26.700000000000042</c:v>
                </c:pt>
                <c:pt idx="90">
                  <c:v>27.000000000000043</c:v>
                </c:pt>
                <c:pt idx="91">
                  <c:v>27.300000000000043</c:v>
                </c:pt>
                <c:pt idx="92">
                  <c:v>27.600000000000044</c:v>
                </c:pt>
                <c:pt idx="93">
                  <c:v>27.900000000000045</c:v>
                </c:pt>
                <c:pt idx="94">
                  <c:v>28.200000000000045</c:v>
                </c:pt>
                <c:pt idx="95">
                  <c:v>28.500000000000046</c:v>
                </c:pt>
                <c:pt idx="96">
                  <c:v>28.800000000000047</c:v>
                </c:pt>
                <c:pt idx="97">
                  <c:v>29.100000000000048</c:v>
                </c:pt>
                <c:pt idx="98">
                  <c:v>29.400000000000048</c:v>
                </c:pt>
                <c:pt idx="99">
                  <c:v>29.700000000000049</c:v>
                </c:pt>
                <c:pt idx="100">
                  <c:v>30.00000000000005</c:v>
                </c:pt>
                <c:pt idx="101">
                  <c:v>30.30000000000005</c:v>
                </c:pt>
              </c:numCache>
            </c:numRef>
          </c:xVal>
          <c:yVal>
            <c:numRef>
              <c:f>'NCHI 1'!$E$8:$E$109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yVal>
          <c:smooth val="1"/>
        </c:ser>
        <c:axId val="301216512"/>
        <c:axId val="301218048"/>
      </c:scatterChart>
      <c:valAx>
        <c:axId val="301216512"/>
        <c:scaling>
          <c:orientation val="minMax"/>
          <c:max val="30"/>
        </c:scaling>
        <c:axPos val="b"/>
        <c:numFmt formatCode="General" sourceLinked="1"/>
        <c:tickLblPos val="nextTo"/>
        <c:crossAx val="301218048"/>
        <c:crosses val="autoZero"/>
        <c:crossBetween val="midCat"/>
      </c:valAx>
      <c:valAx>
        <c:axId val="301218048"/>
        <c:scaling>
          <c:orientation val="minMax"/>
          <c:max val="0.16000000000000003"/>
        </c:scaling>
        <c:axPos val="l"/>
        <c:majorGridlines/>
        <c:numFmt formatCode="#,##0.00" sourceLinked="0"/>
        <c:tickLblPos val="nextTo"/>
        <c:crossAx val="301216512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_tradnl"/>
  <c:chart>
    <c:title>
      <c:tx>
        <c:rich>
          <a:bodyPr/>
          <a:lstStyle/>
          <a:p>
            <a:pPr>
              <a:defRPr/>
            </a:pPr>
            <a:r>
              <a:rPr lang="en-US"/>
              <a:t>Noncentral F pdf (df = 5, 10)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'NF 1'!$B$7</c:f>
              <c:strCache>
                <c:ptCount val="1"/>
                <c:pt idx="0">
                  <c:v>ncp 0</c:v>
                </c:pt>
              </c:strCache>
            </c:strRef>
          </c:tx>
          <c:marker>
            <c:symbol val="none"/>
          </c:marker>
          <c:cat>
            <c:numRef>
              <c:f>'NF 1'!$A$8:$A$109</c:f>
              <c:numCache>
                <c:formatCode>General</c:formatCode>
                <c:ptCount val="10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</c:numCache>
            </c:numRef>
          </c:cat>
          <c:val>
            <c:numRef>
              <c:f>'NF 1'!$B$8:$B$109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</c:ser>
        <c:ser>
          <c:idx val="1"/>
          <c:order val="1"/>
          <c:tx>
            <c:strRef>
              <c:f>'NF 1'!$C$7</c:f>
              <c:strCache>
                <c:ptCount val="1"/>
                <c:pt idx="0">
                  <c:v>ncp 1</c:v>
                </c:pt>
              </c:strCache>
            </c:strRef>
          </c:tx>
          <c:marker>
            <c:symbol val="none"/>
          </c:marker>
          <c:cat>
            <c:numRef>
              <c:f>'NF 1'!$A$8:$A$109</c:f>
              <c:numCache>
                <c:formatCode>General</c:formatCode>
                <c:ptCount val="10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</c:numCache>
            </c:numRef>
          </c:cat>
          <c:val>
            <c:numRef>
              <c:f>'NF 1'!$C$8:$C$109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</c:ser>
        <c:ser>
          <c:idx val="2"/>
          <c:order val="2"/>
          <c:tx>
            <c:strRef>
              <c:f>'NF 1'!$D$7</c:f>
              <c:strCache>
                <c:ptCount val="1"/>
                <c:pt idx="0">
                  <c:v>ncp 5</c:v>
                </c:pt>
              </c:strCache>
            </c:strRef>
          </c:tx>
          <c:marker>
            <c:symbol val="none"/>
          </c:marker>
          <c:cat>
            <c:numRef>
              <c:f>'NF 1'!$A$8:$A$109</c:f>
              <c:numCache>
                <c:formatCode>General</c:formatCode>
                <c:ptCount val="10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</c:numCache>
            </c:numRef>
          </c:cat>
          <c:val>
            <c:numRef>
              <c:f>'NF 1'!$D$8:$D$109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</c:ser>
        <c:ser>
          <c:idx val="3"/>
          <c:order val="3"/>
          <c:tx>
            <c:strRef>
              <c:f>'NF 1'!$E$7</c:f>
              <c:strCache>
                <c:ptCount val="1"/>
                <c:pt idx="0">
                  <c:v>ncp 10</c:v>
                </c:pt>
              </c:strCache>
            </c:strRef>
          </c:tx>
          <c:marker>
            <c:symbol val="none"/>
          </c:marker>
          <c:cat>
            <c:numRef>
              <c:f>'NF 1'!$A$8:$A$109</c:f>
              <c:numCache>
                <c:formatCode>General</c:formatCode>
                <c:ptCount val="10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</c:numCache>
            </c:numRef>
          </c:cat>
          <c:val>
            <c:numRef>
              <c:f>'NF 1'!$E$8:$E$109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</c:ser>
        <c:ser>
          <c:idx val="4"/>
          <c:order val="4"/>
          <c:tx>
            <c:strRef>
              <c:f>'NF 1'!$F$7</c:f>
              <c:strCache>
                <c:ptCount val="1"/>
                <c:pt idx="0">
                  <c:v>ncp 20</c:v>
                </c:pt>
              </c:strCache>
            </c:strRef>
          </c:tx>
          <c:marker>
            <c:symbol val="none"/>
          </c:marker>
          <c:cat>
            <c:numRef>
              <c:f>'NF 1'!$A$8:$A$109</c:f>
              <c:numCache>
                <c:formatCode>General</c:formatCode>
                <c:ptCount val="10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</c:numCache>
            </c:numRef>
          </c:cat>
          <c:val>
            <c:numRef>
              <c:f>'NF 1'!$F$8:$F$109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</c:ser>
        <c:marker val="1"/>
        <c:axId val="301381120"/>
        <c:axId val="301382656"/>
      </c:lineChart>
      <c:catAx>
        <c:axId val="301381120"/>
        <c:scaling>
          <c:orientation val="minMax"/>
        </c:scaling>
        <c:axPos val="b"/>
        <c:numFmt formatCode="#,##0.0" sourceLinked="0"/>
        <c:tickLblPos val="nextTo"/>
        <c:crossAx val="301382656"/>
        <c:crosses val="autoZero"/>
        <c:auto val="1"/>
        <c:lblAlgn val="ctr"/>
        <c:lblOffset val="100"/>
        <c:tickMarkSkip val="5"/>
      </c:catAx>
      <c:valAx>
        <c:axId val="301382656"/>
        <c:scaling>
          <c:orientation val="minMax"/>
        </c:scaling>
        <c:axPos val="l"/>
        <c:majorGridlines/>
        <c:numFmt formatCode="General" sourceLinked="1"/>
        <c:tickLblPos val="nextTo"/>
        <c:crossAx val="30138112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7.xml"/><Relationship Id="rId3" Type="http://schemas.openxmlformats.org/officeDocument/2006/relationships/chart" Target="../charts/chart52.xml"/><Relationship Id="rId7" Type="http://schemas.openxmlformats.org/officeDocument/2006/relationships/chart" Target="../charts/chart56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chart" Target="../charts/chart85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7.xml"/><Relationship Id="rId1" Type="http://schemas.openxmlformats.org/officeDocument/2006/relationships/chart" Target="../charts/chart9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9.xml"/><Relationship Id="rId1" Type="http://schemas.openxmlformats.org/officeDocument/2006/relationships/chart" Target="../charts/chart98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2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6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1.xml"/><Relationship Id="rId3" Type="http://schemas.openxmlformats.org/officeDocument/2006/relationships/chart" Target="../charts/chart116.xml"/><Relationship Id="rId7" Type="http://schemas.openxmlformats.org/officeDocument/2006/relationships/chart" Target="../charts/chart120.xml"/><Relationship Id="rId2" Type="http://schemas.openxmlformats.org/officeDocument/2006/relationships/chart" Target="../charts/chart115.xml"/><Relationship Id="rId1" Type="http://schemas.openxmlformats.org/officeDocument/2006/relationships/chart" Target="../charts/chart114.xml"/><Relationship Id="rId6" Type="http://schemas.openxmlformats.org/officeDocument/2006/relationships/chart" Target="../charts/chart119.xml"/><Relationship Id="rId5" Type="http://schemas.openxmlformats.org/officeDocument/2006/relationships/chart" Target="../charts/chart118.xml"/><Relationship Id="rId4" Type="http://schemas.openxmlformats.org/officeDocument/2006/relationships/chart" Target="../charts/chart117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4.xml"/><Relationship Id="rId7" Type="http://schemas.openxmlformats.org/officeDocument/2006/relationships/chart" Target="../charts/chart128.xml"/><Relationship Id="rId2" Type="http://schemas.openxmlformats.org/officeDocument/2006/relationships/chart" Target="../charts/chart123.xml"/><Relationship Id="rId1" Type="http://schemas.openxmlformats.org/officeDocument/2006/relationships/chart" Target="../charts/chart122.xml"/><Relationship Id="rId6" Type="http://schemas.openxmlformats.org/officeDocument/2006/relationships/chart" Target="../charts/chart127.xml"/><Relationship Id="rId5" Type="http://schemas.openxmlformats.org/officeDocument/2006/relationships/chart" Target="../charts/chart126.xml"/><Relationship Id="rId4" Type="http://schemas.openxmlformats.org/officeDocument/2006/relationships/chart" Target="../charts/chart125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1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4.xml"/><Relationship Id="rId2" Type="http://schemas.openxmlformats.org/officeDocument/2006/relationships/chart" Target="../charts/chart133.xml"/><Relationship Id="rId1" Type="http://schemas.openxmlformats.org/officeDocument/2006/relationships/chart" Target="../charts/chart132.xml"/><Relationship Id="rId5" Type="http://schemas.openxmlformats.org/officeDocument/2006/relationships/chart" Target="../charts/chart136.xml"/><Relationship Id="rId4" Type="http://schemas.openxmlformats.org/officeDocument/2006/relationships/chart" Target="../charts/chart135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9.xml"/><Relationship Id="rId7" Type="http://schemas.openxmlformats.org/officeDocument/2006/relationships/chart" Target="../charts/chart143.xml"/><Relationship Id="rId2" Type="http://schemas.openxmlformats.org/officeDocument/2006/relationships/chart" Target="../charts/chart138.xml"/><Relationship Id="rId1" Type="http://schemas.openxmlformats.org/officeDocument/2006/relationships/chart" Target="../charts/chart137.xml"/><Relationship Id="rId6" Type="http://schemas.openxmlformats.org/officeDocument/2006/relationships/chart" Target="../charts/chart142.xml"/><Relationship Id="rId5" Type="http://schemas.openxmlformats.org/officeDocument/2006/relationships/chart" Target="../charts/chart141.xml"/><Relationship Id="rId4" Type="http://schemas.openxmlformats.org/officeDocument/2006/relationships/chart" Target="../charts/chart140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4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5" Type="http://schemas.openxmlformats.org/officeDocument/2006/relationships/chart" Target="../charts/chart149.xml"/><Relationship Id="rId4" Type="http://schemas.openxmlformats.org/officeDocument/2006/relationships/chart" Target="../charts/chart148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2.xml"/><Relationship Id="rId2" Type="http://schemas.openxmlformats.org/officeDocument/2006/relationships/chart" Target="../charts/chart151.xml"/><Relationship Id="rId1" Type="http://schemas.openxmlformats.org/officeDocument/2006/relationships/chart" Target="../charts/chart150.xml"/><Relationship Id="rId6" Type="http://schemas.openxmlformats.org/officeDocument/2006/relationships/chart" Target="../charts/chart155.xml"/><Relationship Id="rId5" Type="http://schemas.openxmlformats.org/officeDocument/2006/relationships/chart" Target="../charts/chart154.xml"/><Relationship Id="rId4" Type="http://schemas.openxmlformats.org/officeDocument/2006/relationships/chart" Target="../charts/chart15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8.xml"/><Relationship Id="rId7" Type="http://schemas.openxmlformats.org/officeDocument/2006/relationships/chart" Target="../charts/chart162.xml"/><Relationship Id="rId2" Type="http://schemas.openxmlformats.org/officeDocument/2006/relationships/chart" Target="../charts/chart157.xml"/><Relationship Id="rId1" Type="http://schemas.openxmlformats.org/officeDocument/2006/relationships/chart" Target="../charts/chart156.xml"/><Relationship Id="rId6" Type="http://schemas.openxmlformats.org/officeDocument/2006/relationships/chart" Target="../charts/chart161.xml"/><Relationship Id="rId5" Type="http://schemas.openxmlformats.org/officeDocument/2006/relationships/chart" Target="../charts/chart160.xml"/><Relationship Id="rId4" Type="http://schemas.openxmlformats.org/officeDocument/2006/relationships/chart" Target="../charts/chart159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4" Type="http://schemas.openxmlformats.org/officeDocument/2006/relationships/chart" Target="../charts/chart16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7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9.xml"/><Relationship Id="rId1" Type="http://schemas.openxmlformats.org/officeDocument/2006/relationships/chart" Target="../charts/chart168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1.xml"/><Relationship Id="rId1" Type="http://schemas.openxmlformats.org/officeDocument/2006/relationships/chart" Target="../charts/chart170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2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3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6.xml"/><Relationship Id="rId2" Type="http://schemas.openxmlformats.org/officeDocument/2006/relationships/chart" Target="../charts/chart175.xml"/><Relationship Id="rId1" Type="http://schemas.openxmlformats.org/officeDocument/2006/relationships/chart" Target="../charts/chart174.xml"/><Relationship Id="rId4" Type="http://schemas.openxmlformats.org/officeDocument/2006/relationships/chart" Target="../charts/chart177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8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0.xml"/><Relationship Id="rId1" Type="http://schemas.openxmlformats.org/officeDocument/2006/relationships/chart" Target="../charts/chart179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6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0.xml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2.xml"/><Relationship Id="rId1" Type="http://schemas.openxmlformats.org/officeDocument/2006/relationships/chart" Target="../charts/chart191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gif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gi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5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15875</xdr:colOff>
      <xdr:row>1</xdr:row>
      <xdr:rowOff>104774</xdr:rowOff>
    </xdr:from>
    <xdr:to>
      <xdr:col>12</xdr:col>
      <xdr:colOff>19050</xdr:colOff>
      <xdr:row>14</xdr:row>
      <xdr:rowOff>190499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19050</xdr:rowOff>
    </xdr:from>
    <xdr:to>
      <xdr:col>8</xdr:col>
      <xdr:colOff>495300</xdr:colOff>
      <xdr:row>13</xdr:row>
      <xdr:rowOff>43815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</xdr:row>
      <xdr:rowOff>100012</xdr:rowOff>
    </xdr:from>
    <xdr:to>
      <xdr:col>10</xdr:col>
      <xdr:colOff>361950</xdr:colOff>
      <xdr:row>15</xdr:row>
      <xdr:rowOff>73342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1</xdr:row>
      <xdr:rowOff>176212</xdr:rowOff>
    </xdr:from>
    <xdr:to>
      <xdr:col>18</xdr:col>
      <xdr:colOff>306388</xdr:colOff>
      <xdr:row>14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209550</xdr:colOff>
      <xdr:row>19</xdr:row>
      <xdr:rowOff>33337</xdr:rowOff>
    </xdr:from>
    <xdr:to>
      <xdr:col>10</xdr:col>
      <xdr:colOff>315913</xdr:colOff>
      <xdr:row>32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1</xdr:row>
      <xdr:rowOff>19050</xdr:rowOff>
    </xdr:from>
    <xdr:to>
      <xdr:col>11</xdr:col>
      <xdr:colOff>438150</xdr:colOff>
      <xdr:row>12</xdr:row>
      <xdr:rowOff>129540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514350</xdr:colOff>
      <xdr:row>1</xdr:row>
      <xdr:rowOff>19050</xdr:rowOff>
    </xdr:from>
    <xdr:to>
      <xdr:col>17</xdr:col>
      <xdr:colOff>571500</xdr:colOff>
      <xdr:row>12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123825</xdr:colOff>
      <xdr:row>1</xdr:row>
      <xdr:rowOff>61912</xdr:rowOff>
    </xdr:from>
    <xdr:to>
      <xdr:col>27</xdr:col>
      <xdr:colOff>428625</xdr:colOff>
      <xdr:row>15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17</xdr:row>
      <xdr:rowOff>9525</xdr:rowOff>
    </xdr:from>
    <xdr:to>
      <xdr:col>9</xdr:col>
      <xdr:colOff>38100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200025</xdr:colOff>
      <xdr:row>2</xdr:row>
      <xdr:rowOff>128587</xdr:rowOff>
    </xdr:from>
    <xdr:to>
      <xdr:col>26</xdr:col>
      <xdr:colOff>504825</xdr:colOff>
      <xdr:row>17</xdr:row>
      <xdr:rowOff>4762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180975</xdr:colOff>
      <xdr:row>20</xdr:row>
      <xdr:rowOff>61912</xdr:rowOff>
    </xdr:from>
    <xdr:to>
      <xdr:col>26</xdr:col>
      <xdr:colOff>485775</xdr:colOff>
      <xdr:row>34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2</xdr:row>
      <xdr:rowOff>4762</xdr:rowOff>
    </xdr:from>
    <xdr:to>
      <xdr:col>16</xdr:col>
      <xdr:colOff>323850</xdr:colOff>
      <xdr:row>16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581025</xdr:colOff>
      <xdr:row>21</xdr:row>
      <xdr:rowOff>42862</xdr:rowOff>
    </xdr:from>
    <xdr:to>
      <xdr:col>16</xdr:col>
      <xdr:colOff>276225</xdr:colOff>
      <xdr:row>35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2</xdr:row>
      <xdr:rowOff>4762</xdr:rowOff>
    </xdr:from>
    <xdr:to>
      <xdr:col>16</xdr:col>
      <xdr:colOff>276225</xdr:colOff>
      <xdr:row>16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581025</xdr:colOff>
      <xdr:row>21</xdr:row>
      <xdr:rowOff>4762</xdr:rowOff>
    </xdr:from>
    <xdr:to>
      <xdr:col>16</xdr:col>
      <xdr:colOff>276225</xdr:colOff>
      <xdr:row>35</xdr:row>
      <xdr:rowOff>80962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1</xdr:row>
      <xdr:rowOff>166687</xdr:rowOff>
    </xdr:from>
    <xdr:to>
      <xdr:col>16</xdr:col>
      <xdr:colOff>428625</xdr:colOff>
      <xdr:row>16</xdr:row>
      <xdr:rowOff>52387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123825</xdr:colOff>
      <xdr:row>20</xdr:row>
      <xdr:rowOff>166687</xdr:rowOff>
    </xdr:from>
    <xdr:to>
      <xdr:col>16</xdr:col>
      <xdr:colOff>428625</xdr:colOff>
      <xdr:row>35</xdr:row>
      <xdr:rowOff>52387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3</xdr:row>
      <xdr:rowOff>4762</xdr:rowOff>
    </xdr:from>
    <xdr:to>
      <xdr:col>13</xdr:col>
      <xdr:colOff>47625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</xdr:colOff>
      <xdr:row>106</xdr:row>
      <xdr:rowOff>61912</xdr:rowOff>
    </xdr:from>
    <xdr:to>
      <xdr:col>13</xdr:col>
      <xdr:colOff>361950</xdr:colOff>
      <xdr:row>120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19050</xdr:colOff>
      <xdr:row>138</xdr:row>
      <xdr:rowOff>4762</xdr:rowOff>
    </xdr:from>
    <xdr:to>
      <xdr:col>13</xdr:col>
      <xdr:colOff>323850</xdr:colOff>
      <xdr:row>152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2</xdr:row>
      <xdr:rowOff>80962</xdr:rowOff>
    </xdr:from>
    <xdr:to>
      <xdr:col>12</xdr:col>
      <xdr:colOff>504825</xdr:colOff>
      <xdr:row>16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247650</xdr:colOff>
      <xdr:row>18</xdr:row>
      <xdr:rowOff>195262</xdr:rowOff>
    </xdr:from>
    <xdr:to>
      <xdr:col>12</xdr:col>
      <xdr:colOff>552450</xdr:colOff>
      <xdr:row>33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408517</xdr:colOff>
      <xdr:row>6</xdr:row>
      <xdr:rowOff>58738</xdr:rowOff>
    </xdr:from>
    <xdr:to>
      <xdr:col>12</xdr:col>
      <xdr:colOff>103717</xdr:colOff>
      <xdr:row>20</xdr:row>
      <xdr:rowOff>134938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21</xdr:row>
      <xdr:rowOff>147637</xdr:rowOff>
    </xdr:from>
    <xdr:to>
      <xdr:col>11</xdr:col>
      <xdr:colOff>190500</xdr:colOff>
      <xdr:row>36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9</xdr:row>
      <xdr:rowOff>4762</xdr:rowOff>
    </xdr:from>
    <xdr:to>
      <xdr:col>9</xdr:col>
      <xdr:colOff>504825</xdr:colOff>
      <xdr:row>19</xdr:row>
      <xdr:rowOff>134302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40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4276725" y="16716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219075</xdr:colOff>
      <xdr:row>2</xdr:row>
      <xdr:rowOff>4762</xdr:rowOff>
    </xdr:from>
    <xdr:to>
      <xdr:col>10</xdr:col>
      <xdr:colOff>523875</xdr:colOff>
      <xdr:row>16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238125</xdr:colOff>
      <xdr:row>27</xdr:row>
      <xdr:rowOff>95250</xdr:rowOff>
    </xdr:from>
    <xdr:to>
      <xdr:col>10</xdr:col>
      <xdr:colOff>542925</xdr:colOff>
      <xdr:row>41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8</xdr:row>
      <xdr:rowOff>66675</xdr:rowOff>
    </xdr:from>
    <xdr:ext cx="184731" cy="264560"/>
    <xdr:sp macro="" textlink="">
      <xdr:nvSpPr>
        <xdr:cNvPr id="2" name="TextBox 1"/>
        <xdr:cNvSpPr txBox="1"/>
      </xdr:nvSpPr>
      <xdr:spPr>
        <a:xfrm>
          <a:off x="4276725" y="10163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19050</xdr:colOff>
      <xdr:row>9</xdr:row>
      <xdr:rowOff>109537</xdr:rowOff>
    </xdr:from>
    <xdr:to>
      <xdr:col>12</xdr:col>
      <xdr:colOff>323850</xdr:colOff>
      <xdr:row>23</xdr:row>
      <xdr:rowOff>185737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33337</xdr:rowOff>
    </xdr:from>
    <xdr:to>
      <xdr:col>21</xdr:col>
      <xdr:colOff>371475</xdr:colOff>
      <xdr:row>17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0</xdr:row>
      <xdr:rowOff>119062</xdr:rowOff>
    </xdr:from>
    <xdr:to>
      <xdr:col>17</xdr:col>
      <xdr:colOff>371475</xdr:colOff>
      <xdr:row>15</xdr:row>
      <xdr:rowOff>4762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66675</xdr:colOff>
      <xdr:row>15</xdr:row>
      <xdr:rowOff>180975</xdr:rowOff>
    </xdr:from>
    <xdr:to>
      <xdr:col>17</xdr:col>
      <xdr:colOff>371475</xdr:colOff>
      <xdr:row>30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57150</xdr:colOff>
      <xdr:row>31</xdr:row>
      <xdr:rowOff>161925</xdr:rowOff>
    </xdr:from>
    <xdr:to>
      <xdr:col>17</xdr:col>
      <xdr:colOff>361950</xdr:colOff>
      <xdr:row>46</xdr:row>
      <xdr:rowOff>47625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10</xdr:row>
      <xdr:rowOff>14287</xdr:rowOff>
    </xdr:from>
    <xdr:to>
      <xdr:col>10</xdr:col>
      <xdr:colOff>600075</xdr:colOff>
      <xdr:row>24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142875</xdr:colOff>
      <xdr:row>7</xdr:row>
      <xdr:rowOff>61912</xdr:rowOff>
    </xdr:from>
    <xdr:to>
      <xdr:col>22</xdr:col>
      <xdr:colOff>447675</xdr:colOff>
      <xdr:row>21</xdr:row>
      <xdr:rowOff>138112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0.60417</cdr:x>
      <cdr:y>0.23785</cdr:y>
    </cdr:from>
    <cdr:to>
      <cdr:x>0.60625</cdr:x>
      <cdr:y>0.87674</cdr:y>
    </cdr:to>
    <cdr:cxnSp macro="">
      <cdr:nvCxnSpPr>
        <cdr:cNvPr id="3" name="Straight Connector 2"/>
        <cdr:cNvCxnSpPr/>
      </cdr:nvCxnSpPr>
      <cdr:spPr>
        <a:xfrm xmlns:a="http://schemas.openxmlformats.org/drawingml/2006/main" flipV="1">
          <a:off x="2762250" y="652463"/>
          <a:ext cx="9525" cy="17526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0.59792</cdr:x>
      <cdr:y>0.26215</cdr:y>
    </cdr:from>
    <cdr:to>
      <cdr:x>0.79792</cdr:x>
      <cdr:y>0.36285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2733675" y="719138"/>
          <a:ext cx="9144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it-IT" sz="1100">
              <a:solidFill>
                <a:srgbClr val="FF0000"/>
              </a:solidFill>
            </a:rPr>
            <a:t>critical value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8</xdr:row>
      <xdr:rowOff>80962</xdr:rowOff>
    </xdr:from>
    <xdr:to>
      <xdr:col>10</xdr:col>
      <xdr:colOff>561975</xdr:colOff>
      <xdr:row>22</xdr:row>
      <xdr:rowOff>157162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4</xdr:row>
      <xdr:rowOff>38100</xdr:rowOff>
    </xdr:from>
    <xdr:to>
      <xdr:col>3</xdr:col>
      <xdr:colOff>333375</xdr:colOff>
      <xdr:row>7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7150" y="800100"/>
          <a:ext cx="2581275" cy="571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47625</xdr:colOff>
      <xdr:row>18</xdr:row>
      <xdr:rowOff>176212</xdr:rowOff>
    </xdr:from>
    <xdr:to>
      <xdr:col>15</xdr:col>
      <xdr:colOff>352425</xdr:colOff>
      <xdr:row>33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66675</xdr:colOff>
      <xdr:row>33</xdr:row>
      <xdr:rowOff>176212</xdr:rowOff>
    </xdr:from>
    <xdr:to>
      <xdr:col>15</xdr:col>
      <xdr:colOff>371475</xdr:colOff>
      <xdr:row>48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514350</xdr:colOff>
      <xdr:row>15</xdr:row>
      <xdr:rowOff>147637</xdr:rowOff>
    </xdr:from>
    <xdr:to>
      <xdr:col>17</xdr:col>
      <xdr:colOff>209550</xdr:colOff>
      <xdr:row>30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523875</xdr:colOff>
      <xdr:row>31</xdr:row>
      <xdr:rowOff>80962</xdr:rowOff>
    </xdr:from>
    <xdr:to>
      <xdr:col>17</xdr:col>
      <xdr:colOff>219075</xdr:colOff>
      <xdr:row>45</xdr:row>
      <xdr:rowOff>157162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2</xdr:row>
      <xdr:rowOff>47625</xdr:rowOff>
    </xdr:from>
    <xdr:to>
      <xdr:col>20</xdr:col>
      <xdr:colOff>295275</xdr:colOff>
      <xdr:row>12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285750</xdr:colOff>
      <xdr:row>30</xdr:row>
      <xdr:rowOff>33337</xdr:rowOff>
    </xdr:from>
    <xdr:to>
      <xdr:col>21</xdr:col>
      <xdr:colOff>590550</xdr:colOff>
      <xdr:row>44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466725</xdr:colOff>
      <xdr:row>13</xdr:row>
      <xdr:rowOff>61911</xdr:rowOff>
    </xdr:from>
    <xdr:to>
      <xdr:col>20</xdr:col>
      <xdr:colOff>265113</xdr:colOff>
      <xdr:row>27</xdr:row>
      <xdr:rowOff>180974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100012</xdr:rowOff>
    </xdr:from>
    <xdr:to>
      <xdr:col>9</xdr:col>
      <xdr:colOff>333375</xdr:colOff>
      <xdr:row>15</xdr:row>
      <xdr:rowOff>952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2</xdr:row>
      <xdr:rowOff>0</xdr:rowOff>
    </xdr:from>
    <xdr:to>
      <xdr:col>22</xdr:col>
      <xdr:colOff>9525</xdr:colOff>
      <xdr:row>12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600075</xdr:colOff>
      <xdr:row>13</xdr:row>
      <xdr:rowOff>190500</xdr:rowOff>
    </xdr:from>
    <xdr:to>
      <xdr:col>21</xdr:col>
      <xdr:colOff>600075</xdr:colOff>
      <xdr:row>23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42862</xdr:rowOff>
    </xdr:from>
    <xdr:to>
      <xdr:col>9</xdr:col>
      <xdr:colOff>385763</xdr:colOff>
      <xdr:row>14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600075</xdr:colOff>
      <xdr:row>2</xdr:row>
      <xdr:rowOff>23812</xdr:rowOff>
    </xdr:from>
    <xdr:to>
      <xdr:col>19</xdr:col>
      <xdr:colOff>295275</xdr:colOff>
      <xdr:row>16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4</xdr:row>
      <xdr:rowOff>0</xdr:rowOff>
    </xdr:from>
    <xdr:to>
      <xdr:col>1</xdr:col>
      <xdr:colOff>28575</xdr:colOff>
      <xdr:row>7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5725" y="762000"/>
          <a:ext cx="1028700" cy="581025"/>
        </a:xfrm>
        <a:prstGeom prst="rect">
          <a:avLst/>
        </a:prstGeom>
        <a:noFill/>
      </xdr:spPr>
    </xdr:pic>
    <xdr:clientData/>
  </xdr:twoCellAnchor>
  <xdr:twoCellAnchor>
    <xdr:from>
      <xdr:col>7</xdr:col>
      <xdr:colOff>19050</xdr:colOff>
      <xdr:row>16</xdr:row>
      <xdr:rowOff>128587</xdr:rowOff>
    </xdr:from>
    <xdr:to>
      <xdr:col>13</xdr:col>
      <xdr:colOff>314325</xdr:colOff>
      <xdr:row>31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9525</xdr:colOff>
      <xdr:row>0</xdr:row>
      <xdr:rowOff>176212</xdr:rowOff>
    </xdr:from>
    <xdr:to>
      <xdr:col>13</xdr:col>
      <xdr:colOff>304800</xdr:colOff>
      <xdr:row>15</xdr:row>
      <xdr:rowOff>61912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119062</xdr:rowOff>
    </xdr:from>
    <xdr:to>
      <xdr:col>13</xdr:col>
      <xdr:colOff>476250</xdr:colOff>
      <xdr:row>16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145256</xdr:colOff>
      <xdr:row>9</xdr:row>
      <xdr:rowOff>100012</xdr:rowOff>
    </xdr:from>
    <xdr:to>
      <xdr:col>13</xdr:col>
      <xdr:colOff>450056</xdr:colOff>
      <xdr:row>23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2</xdr:row>
      <xdr:rowOff>157162</xdr:rowOff>
    </xdr:from>
    <xdr:to>
      <xdr:col>11</xdr:col>
      <xdr:colOff>323850</xdr:colOff>
      <xdr:row>16</xdr:row>
      <xdr:rowOff>107632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23</xdr:row>
      <xdr:rowOff>4762</xdr:rowOff>
    </xdr:from>
    <xdr:to>
      <xdr:col>14</xdr:col>
      <xdr:colOff>295275</xdr:colOff>
      <xdr:row>37</xdr:row>
      <xdr:rowOff>80962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14</xdr:col>
      <xdr:colOff>304800</xdr:colOff>
      <xdr:row>16</xdr:row>
      <xdr:rowOff>76200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2</xdr:row>
      <xdr:rowOff>4762</xdr:rowOff>
    </xdr:from>
    <xdr:to>
      <xdr:col>19</xdr:col>
      <xdr:colOff>314325</xdr:colOff>
      <xdr:row>16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266700</xdr:colOff>
      <xdr:row>1</xdr:row>
      <xdr:rowOff>52387</xdr:rowOff>
    </xdr:from>
    <xdr:to>
      <xdr:col>22</xdr:col>
      <xdr:colOff>571500</xdr:colOff>
      <xdr:row>15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30</xdr:row>
      <xdr:rowOff>100012</xdr:rowOff>
    </xdr:from>
    <xdr:to>
      <xdr:col>11</xdr:col>
      <xdr:colOff>581025</xdr:colOff>
      <xdr:row>44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400050</xdr:colOff>
      <xdr:row>30</xdr:row>
      <xdr:rowOff>23812</xdr:rowOff>
    </xdr:from>
    <xdr:to>
      <xdr:col>25</xdr:col>
      <xdr:colOff>314325</xdr:colOff>
      <xdr:row>44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10</xdr:row>
      <xdr:rowOff>157162</xdr:rowOff>
    </xdr:from>
    <xdr:to>
      <xdr:col>15</xdr:col>
      <xdr:colOff>209550</xdr:colOff>
      <xdr:row>22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2</xdr:row>
      <xdr:rowOff>0</xdr:rowOff>
    </xdr:from>
    <xdr:to>
      <xdr:col>14</xdr:col>
      <xdr:colOff>447675</xdr:colOff>
      <xdr:row>12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533400</xdr:colOff>
      <xdr:row>1</xdr:row>
      <xdr:rowOff>176212</xdr:rowOff>
    </xdr:from>
    <xdr:to>
      <xdr:col>25</xdr:col>
      <xdr:colOff>19050</xdr:colOff>
      <xdr:row>13</xdr:row>
      <xdr:rowOff>122872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381000</xdr:colOff>
      <xdr:row>14</xdr:row>
      <xdr:rowOff>157162</xdr:rowOff>
    </xdr:from>
    <xdr:to>
      <xdr:col>18</xdr:col>
      <xdr:colOff>76200</xdr:colOff>
      <xdr:row>29</xdr:row>
      <xdr:rowOff>42862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30</xdr:row>
      <xdr:rowOff>14287</xdr:rowOff>
    </xdr:from>
    <xdr:to>
      <xdr:col>8</xdr:col>
      <xdr:colOff>0</xdr:colOff>
      <xdr:row>44</xdr:row>
      <xdr:rowOff>138112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30</xdr:row>
      <xdr:rowOff>4761</xdr:rowOff>
    </xdr:from>
    <xdr:to>
      <xdr:col>15</xdr:col>
      <xdr:colOff>395288</xdr:colOff>
      <xdr:row>44</xdr:row>
      <xdr:rowOff>123824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409575</xdr:colOff>
      <xdr:row>2</xdr:row>
      <xdr:rowOff>4762</xdr:rowOff>
    </xdr:from>
    <xdr:to>
      <xdr:col>21</xdr:col>
      <xdr:colOff>123825</xdr:colOff>
      <xdr:row>13</xdr:row>
      <xdr:rowOff>107632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1</xdr:row>
      <xdr:rowOff>166687</xdr:rowOff>
    </xdr:from>
    <xdr:to>
      <xdr:col>16</xdr:col>
      <xdr:colOff>152400</xdr:colOff>
      <xdr:row>16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228600</xdr:colOff>
      <xdr:row>2</xdr:row>
      <xdr:rowOff>138112</xdr:rowOff>
    </xdr:from>
    <xdr:to>
      <xdr:col>21</xdr:col>
      <xdr:colOff>533400</xdr:colOff>
      <xdr:row>17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1</xdr:row>
      <xdr:rowOff>80962</xdr:rowOff>
    </xdr:from>
    <xdr:to>
      <xdr:col>17</xdr:col>
      <xdr:colOff>504825</xdr:colOff>
      <xdr:row>15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23</xdr:row>
      <xdr:rowOff>4762</xdr:rowOff>
    </xdr:from>
    <xdr:to>
      <xdr:col>14</xdr:col>
      <xdr:colOff>304800</xdr:colOff>
      <xdr:row>37</xdr:row>
      <xdr:rowOff>52387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39</xdr:row>
      <xdr:rowOff>4762</xdr:rowOff>
    </xdr:from>
    <xdr:to>
      <xdr:col>14</xdr:col>
      <xdr:colOff>314325</xdr:colOff>
      <xdr:row>53</xdr:row>
      <xdr:rowOff>71437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10584</xdr:colOff>
      <xdr:row>2</xdr:row>
      <xdr:rowOff>20108</xdr:rowOff>
    </xdr:from>
    <xdr:to>
      <xdr:col>21</xdr:col>
      <xdr:colOff>285751</xdr:colOff>
      <xdr:row>16</xdr:row>
      <xdr:rowOff>64558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370417</xdr:colOff>
      <xdr:row>2</xdr:row>
      <xdr:rowOff>20106</xdr:rowOff>
    </xdr:from>
    <xdr:to>
      <xdr:col>29</xdr:col>
      <xdr:colOff>31750</xdr:colOff>
      <xdr:row>16</xdr:row>
      <xdr:rowOff>64556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19050</xdr:colOff>
      <xdr:row>1</xdr:row>
      <xdr:rowOff>185737</xdr:rowOff>
    </xdr:from>
    <xdr:to>
      <xdr:col>27</xdr:col>
      <xdr:colOff>323850</xdr:colOff>
      <xdr:row>16</xdr:row>
      <xdr:rowOff>23812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176212</xdr:rowOff>
    </xdr:from>
    <xdr:to>
      <xdr:col>10</xdr:col>
      <xdr:colOff>485775</xdr:colOff>
      <xdr:row>14</xdr:row>
      <xdr:rowOff>180022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594148</xdr:colOff>
      <xdr:row>15</xdr:row>
      <xdr:rowOff>49847</xdr:rowOff>
    </xdr:from>
    <xdr:to>
      <xdr:col>10</xdr:col>
      <xdr:colOff>474557</xdr:colOff>
      <xdr:row>28</xdr:row>
      <xdr:rowOff>59372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529167</xdr:colOff>
      <xdr:row>15</xdr:row>
      <xdr:rowOff>40746</xdr:rowOff>
    </xdr:from>
    <xdr:to>
      <xdr:col>17</xdr:col>
      <xdr:colOff>383118</xdr:colOff>
      <xdr:row>28</xdr:row>
      <xdr:rowOff>42334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517525</xdr:colOff>
      <xdr:row>1</xdr:row>
      <xdr:rowOff>176211</xdr:rowOff>
    </xdr:from>
    <xdr:to>
      <xdr:col>17</xdr:col>
      <xdr:colOff>384174</xdr:colOff>
      <xdr:row>14</xdr:row>
      <xdr:rowOff>180020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152400</xdr:colOff>
      <xdr:row>1</xdr:row>
      <xdr:rowOff>33337</xdr:rowOff>
    </xdr:from>
    <xdr:to>
      <xdr:col>25</xdr:col>
      <xdr:colOff>457200</xdr:colOff>
      <xdr:row>15</xdr:row>
      <xdr:rowOff>71437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161925</xdr:colOff>
      <xdr:row>31</xdr:row>
      <xdr:rowOff>52387</xdr:rowOff>
    </xdr:from>
    <xdr:to>
      <xdr:col>25</xdr:col>
      <xdr:colOff>466725</xdr:colOff>
      <xdr:row>45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152400</xdr:colOff>
      <xdr:row>16</xdr:row>
      <xdr:rowOff>14287</xdr:rowOff>
    </xdr:from>
    <xdr:to>
      <xdr:col>25</xdr:col>
      <xdr:colOff>495300</xdr:colOff>
      <xdr:row>30</xdr:row>
      <xdr:rowOff>113347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10583</xdr:colOff>
      <xdr:row>2</xdr:row>
      <xdr:rowOff>0</xdr:rowOff>
    </xdr:from>
    <xdr:to>
      <xdr:col>15</xdr:col>
      <xdr:colOff>285750</xdr:colOff>
      <xdr:row>16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1</xdr:row>
      <xdr:rowOff>176212</xdr:rowOff>
    </xdr:from>
    <xdr:to>
      <xdr:col>12</xdr:col>
      <xdr:colOff>276225</xdr:colOff>
      <xdr:row>16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400050</xdr:colOff>
      <xdr:row>1</xdr:row>
      <xdr:rowOff>176212</xdr:rowOff>
    </xdr:from>
    <xdr:to>
      <xdr:col>20</xdr:col>
      <xdr:colOff>95250</xdr:colOff>
      <xdr:row>16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42182</xdr:colOff>
      <xdr:row>5</xdr:row>
      <xdr:rowOff>123145</xdr:rowOff>
    </xdr:from>
    <xdr:to>
      <xdr:col>6</xdr:col>
      <xdr:colOff>2452007</xdr:colOff>
      <xdr:row>18</xdr:row>
      <xdr:rowOff>69805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219075</xdr:colOff>
      <xdr:row>11</xdr:row>
      <xdr:rowOff>180975</xdr:rowOff>
    </xdr:from>
    <xdr:to>
      <xdr:col>15</xdr:col>
      <xdr:colOff>219075</xdr:colOff>
      <xdr:row>21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200025</xdr:colOff>
      <xdr:row>23</xdr:row>
      <xdr:rowOff>47625</xdr:rowOff>
    </xdr:from>
    <xdr:to>
      <xdr:col>19</xdr:col>
      <xdr:colOff>734926</xdr:colOff>
      <xdr:row>44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342899</xdr:colOff>
      <xdr:row>0</xdr:row>
      <xdr:rowOff>100012</xdr:rowOff>
    </xdr:from>
    <xdr:to>
      <xdr:col>11</xdr:col>
      <xdr:colOff>449525</xdr:colOff>
      <xdr:row>12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333374</xdr:colOff>
      <xdr:row>12</xdr:row>
      <xdr:rowOff>100011</xdr:rowOff>
    </xdr:from>
    <xdr:to>
      <xdr:col>11</xdr:col>
      <xdr:colOff>438150</xdr:colOff>
      <xdr:row>24</xdr:row>
      <xdr:rowOff>15217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25</xdr:row>
      <xdr:rowOff>14287</xdr:rowOff>
    </xdr:from>
    <xdr:to>
      <xdr:col>12</xdr:col>
      <xdr:colOff>304800</xdr:colOff>
      <xdr:row>39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24</xdr:row>
      <xdr:rowOff>185737</xdr:rowOff>
    </xdr:from>
    <xdr:to>
      <xdr:col>6</xdr:col>
      <xdr:colOff>1131127</xdr:colOff>
      <xdr:row>39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24</xdr:row>
      <xdr:rowOff>185737</xdr:rowOff>
    </xdr:from>
    <xdr:to>
      <xdr:col>6</xdr:col>
      <xdr:colOff>1114425</xdr:colOff>
      <xdr:row>39</xdr:row>
      <xdr:rowOff>71437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47625</xdr:colOff>
      <xdr:row>25</xdr:row>
      <xdr:rowOff>14287</xdr:rowOff>
    </xdr:from>
    <xdr:to>
      <xdr:col>12</xdr:col>
      <xdr:colOff>304800</xdr:colOff>
      <xdr:row>39</xdr:row>
      <xdr:rowOff>90487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18</xdr:row>
      <xdr:rowOff>0</xdr:rowOff>
    </xdr:from>
    <xdr:to>
      <xdr:col>17</xdr:col>
      <xdr:colOff>476250</xdr:colOff>
      <xdr:row>28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285750</xdr:colOff>
      <xdr:row>6</xdr:row>
      <xdr:rowOff>171450</xdr:rowOff>
    </xdr:from>
    <xdr:to>
      <xdr:col>20</xdr:col>
      <xdr:colOff>285750</xdr:colOff>
      <xdr:row>16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371475</xdr:colOff>
      <xdr:row>15</xdr:row>
      <xdr:rowOff>95250</xdr:rowOff>
    </xdr:from>
    <xdr:to>
      <xdr:col>17</xdr:col>
      <xdr:colOff>371475</xdr:colOff>
      <xdr:row>25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18</xdr:row>
      <xdr:rowOff>0</xdr:rowOff>
    </xdr:from>
    <xdr:to>
      <xdr:col>17</xdr:col>
      <xdr:colOff>533400</xdr:colOff>
      <xdr:row>28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180975</xdr:colOff>
      <xdr:row>0</xdr:row>
      <xdr:rowOff>171450</xdr:rowOff>
    </xdr:from>
    <xdr:to>
      <xdr:col>22</xdr:col>
      <xdr:colOff>180975</xdr:colOff>
      <xdr:row>10</xdr:row>
      <xdr:rowOff>161925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361950</xdr:colOff>
      <xdr:row>15</xdr:row>
      <xdr:rowOff>104775</xdr:rowOff>
    </xdr:from>
    <xdr:to>
      <xdr:col>17</xdr:col>
      <xdr:colOff>361950</xdr:colOff>
      <xdr:row>25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28</xdr:row>
      <xdr:rowOff>4762</xdr:rowOff>
    </xdr:from>
    <xdr:to>
      <xdr:col>15</xdr:col>
      <xdr:colOff>266700</xdr:colOff>
      <xdr:row>42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228600</xdr:colOff>
      <xdr:row>27</xdr:row>
      <xdr:rowOff>185737</xdr:rowOff>
    </xdr:from>
    <xdr:to>
      <xdr:col>28</xdr:col>
      <xdr:colOff>533400</xdr:colOff>
      <xdr:row>42</xdr:row>
      <xdr:rowOff>71437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19050</xdr:colOff>
      <xdr:row>44</xdr:row>
      <xdr:rowOff>157162</xdr:rowOff>
    </xdr:from>
    <xdr:to>
      <xdr:col>15</xdr:col>
      <xdr:colOff>238125</xdr:colOff>
      <xdr:row>59</xdr:row>
      <xdr:rowOff>42862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590550</xdr:colOff>
      <xdr:row>2</xdr:row>
      <xdr:rowOff>33337</xdr:rowOff>
    </xdr:from>
    <xdr:to>
      <xdr:col>25</xdr:col>
      <xdr:colOff>285750</xdr:colOff>
      <xdr:row>16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238125</xdr:colOff>
      <xdr:row>2</xdr:row>
      <xdr:rowOff>180975</xdr:rowOff>
    </xdr:from>
    <xdr:to>
      <xdr:col>19</xdr:col>
      <xdr:colOff>238125</xdr:colOff>
      <xdr:row>12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333375</xdr:colOff>
      <xdr:row>2</xdr:row>
      <xdr:rowOff>180975</xdr:rowOff>
    </xdr:from>
    <xdr:to>
      <xdr:col>25</xdr:col>
      <xdr:colOff>333375</xdr:colOff>
      <xdr:row>12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352425</xdr:colOff>
      <xdr:row>14</xdr:row>
      <xdr:rowOff>19050</xdr:rowOff>
    </xdr:from>
    <xdr:to>
      <xdr:col>25</xdr:col>
      <xdr:colOff>352425</xdr:colOff>
      <xdr:row>24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238125</xdr:colOff>
      <xdr:row>14</xdr:row>
      <xdr:rowOff>19050</xdr:rowOff>
    </xdr:from>
    <xdr:to>
      <xdr:col>19</xdr:col>
      <xdr:colOff>238125</xdr:colOff>
      <xdr:row>24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247650</xdr:colOff>
      <xdr:row>24</xdr:row>
      <xdr:rowOff>171450</xdr:rowOff>
    </xdr:from>
    <xdr:to>
      <xdr:col>19</xdr:col>
      <xdr:colOff>247650</xdr:colOff>
      <xdr:row>35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39</xdr:row>
      <xdr:rowOff>4762</xdr:rowOff>
    </xdr:from>
    <xdr:to>
      <xdr:col>23</xdr:col>
      <xdr:colOff>304800</xdr:colOff>
      <xdr:row>53</xdr:row>
      <xdr:rowOff>80962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19050</xdr:colOff>
      <xdr:row>60</xdr:row>
      <xdr:rowOff>4762</xdr:rowOff>
    </xdr:from>
    <xdr:to>
      <xdr:col>23</xdr:col>
      <xdr:colOff>323850</xdr:colOff>
      <xdr:row>74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371475</xdr:colOff>
      <xdr:row>59</xdr:row>
      <xdr:rowOff>185737</xdr:rowOff>
    </xdr:from>
    <xdr:to>
      <xdr:col>31</xdr:col>
      <xdr:colOff>66675</xdr:colOff>
      <xdr:row>74</xdr:row>
      <xdr:rowOff>71437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2</xdr:row>
      <xdr:rowOff>180975</xdr:rowOff>
    </xdr:from>
    <xdr:to>
      <xdr:col>16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238125</xdr:colOff>
      <xdr:row>4</xdr:row>
      <xdr:rowOff>180975</xdr:rowOff>
    </xdr:from>
    <xdr:to>
      <xdr:col>17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238125</xdr:colOff>
      <xdr:row>6</xdr:row>
      <xdr:rowOff>180975</xdr:rowOff>
    </xdr:from>
    <xdr:to>
      <xdr:col>18</xdr:col>
      <xdr:colOff>238125</xdr:colOff>
      <xdr:row>16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238125</xdr:colOff>
      <xdr:row>8</xdr:row>
      <xdr:rowOff>180975</xdr:rowOff>
    </xdr:from>
    <xdr:to>
      <xdr:col>19</xdr:col>
      <xdr:colOff>238125</xdr:colOff>
      <xdr:row>18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238125</xdr:colOff>
      <xdr:row>10</xdr:row>
      <xdr:rowOff>180975</xdr:rowOff>
    </xdr:from>
    <xdr:to>
      <xdr:col>20</xdr:col>
      <xdr:colOff>238125</xdr:colOff>
      <xdr:row>20</xdr:row>
      <xdr:rowOff>180975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238125</xdr:colOff>
      <xdr:row>12</xdr:row>
      <xdr:rowOff>180975</xdr:rowOff>
    </xdr:from>
    <xdr:to>
      <xdr:col>21</xdr:col>
      <xdr:colOff>238125</xdr:colOff>
      <xdr:row>22</xdr:row>
      <xdr:rowOff>180975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0</xdr:row>
      <xdr:rowOff>180975</xdr:rowOff>
    </xdr:from>
    <xdr:to>
      <xdr:col>13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238125</xdr:colOff>
      <xdr:row>2</xdr:row>
      <xdr:rowOff>180975</xdr:rowOff>
    </xdr:from>
    <xdr:to>
      <xdr:col>14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238125</xdr:colOff>
      <xdr:row>4</xdr:row>
      <xdr:rowOff>180975</xdr:rowOff>
    </xdr:from>
    <xdr:to>
      <xdr:col>15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123825</xdr:colOff>
      <xdr:row>12</xdr:row>
      <xdr:rowOff>38100</xdr:rowOff>
    </xdr:from>
    <xdr:to>
      <xdr:col>18</xdr:col>
      <xdr:colOff>123825</xdr:colOff>
      <xdr:row>22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238125</xdr:colOff>
      <xdr:row>2</xdr:row>
      <xdr:rowOff>180975</xdr:rowOff>
    </xdr:from>
    <xdr:to>
      <xdr:col>14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238125</xdr:colOff>
      <xdr:row>4</xdr:row>
      <xdr:rowOff>180975</xdr:rowOff>
    </xdr:from>
    <xdr:to>
      <xdr:col>15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238125</xdr:colOff>
      <xdr:row>6</xdr:row>
      <xdr:rowOff>180975</xdr:rowOff>
    </xdr:from>
    <xdr:to>
      <xdr:col>16</xdr:col>
      <xdr:colOff>238125</xdr:colOff>
      <xdr:row>16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200025</xdr:colOff>
      <xdr:row>9</xdr:row>
      <xdr:rowOff>76200</xdr:rowOff>
    </xdr:from>
    <xdr:to>
      <xdr:col>17</xdr:col>
      <xdr:colOff>200025</xdr:colOff>
      <xdr:row>19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22</xdr:row>
      <xdr:rowOff>52387</xdr:rowOff>
    </xdr:from>
    <xdr:to>
      <xdr:col>19</xdr:col>
      <xdr:colOff>95250</xdr:colOff>
      <xdr:row>36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28575</xdr:colOff>
      <xdr:row>37</xdr:row>
      <xdr:rowOff>185737</xdr:rowOff>
    </xdr:from>
    <xdr:to>
      <xdr:col>19</xdr:col>
      <xdr:colOff>95250</xdr:colOff>
      <xdr:row>52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323850</xdr:colOff>
      <xdr:row>37</xdr:row>
      <xdr:rowOff>166687</xdr:rowOff>
    </xdr:from>
    <xdr:to>
      <xdr:col>27</xdr:col>
      <xdr:colOff>19050</xdr:colOff>
      <xdr:row>52</xdr:row>
      <xdr:rowOff>52387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314325</xdr:colOff>
      <xdr:row>22</xdr:row>
      <xdr:rowOff>33337</xdr:rowOff>
    </xdr:from>
    <xdr:to>
      <xdr:col>27</xdr:col>
      <xdr:colOff>9525</xdr:colOff>
      <xdr:row>36</xdr:row>
      <xdr:rowOff>90487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9525</xdr:colOff>
      <xdr:row>22</xdr:row>
      <xdr:rowOff>33337</xdr:rowOff>
    </xdr:from>
    <xdr:to>
      <xdr:col>40</xdr:col>
      <xdr:colOff>314325</xdr:colOff>
      <xdr:row>36</xdr:row>
      <xdr:rowOff>90487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19050</xdr:colOff>
      <xdr:row>55</xdr:row>
      <xdr:rowOff>4762</xdr:rowOff>
    </xdr:from>
    <xdr:to>
      <xdr:col>19</xdr:col>
      <xdr:colOff>85725</xdr:colOff>
      <xdr:row>69</xdr:row>
      <xdr:rowOff>80962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28575</xdr:colOff>
      <xdr:row>69</xdr:row>
      <xdr:rowOff>166687</xdr:rowOff>
    </xdr:from>
    <xdr:to>
      <xdr:col>19</xdr:col>
      <xdr:colOff>95250</xdr:colOff>
      <xdr:row>84</xdr:row>
      <xdr:rowOff>52387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40215</xdr:colOff>
      <xdr:row>11</xdr:row>
      <xdr:rowOff>1587</xdr:rowOff>
    </xdr:from>
    <xdr:to>
      <xdr:col>7</xdr:col>
      <xdr:colOff>661458</xdr:colOff>
      <xdr:row>23</xdr:row>
      <xdr:rowOff>127318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0</xdr:row>
      <xdr:rowOff>180975</xdr:rowOff>
    </xdr:from>
    <xdr:to>
      <xdr:col>14</xdr:col>
      <xdr:colOff>238125</xdr:colOff>
      <xdr:row>10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238125</xdr:colOff>
      <xdr:row>2</xdr:row>
      <xdr:rowOff>180975</xdr:rowOff>
    </xdr:from>
    <xdr:to>
      <xdr:col>15</xdr:col>
      <xdr:colOff>238125</xdr:colOff>
      <xdr:row>12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238125</xdr:colOff>
      <xdr:row>4</xdr:row>
      <xdr:rowOff>180975</xdr:rowOff>
    </xdr:from>
    <xdr:to>
      <xdr:col>16</xdr:col>
      <xdr:colOff>238125</xdr:colOff>
      <xdr:row>14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238125</xdr:colOff>
      <xdr:row>6</xdr:row>
      <xdr:rowOff>180975</xdr:rowOff>
    </xdr:from>
    <xdr:to>
      <xdr:col>17</xdr:col>
      <xdr:colOff>238125</xdr:colOff>
      <xdr:row>16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238125</xdr:colOff>
      <xdr:row>8</xdr:row>
      <xdr:rowOff>180975</xdr:rowOff>
    </xdr:from>
    <xdr:to>
      <xdr:col>18</xdr:col>
      <xdr:colOff>238125</xdr:colOff>
      <xdr:row>18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48</xdr:row>
      <xdr:rowOff>0</xdr:rowOff>
    </xdr:from>
    <xdr:to>
      <xdr:col>13</xdr:col>
      <xdr:colOff>1095375</xdr:colOff>
      <xdr:row>49</xdr:row>
      <xdr:rowOff>180975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9296400"/>
          <a:ext cx="1095375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590550</xdr:colOff>
      <xdr:row>23</xdr:row>
      <xdr:rowOff>195262</xdr:rowOff>
    </xdr:from>
    <xdr:to>
      <xdr:col>30</xdr:col>
      <xdr:colOff>285750</xdr:colOff>
      <xdr:row>37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590550</xdr:colOff>
      <xdr:row>38</xdr:row>
      <xdr:rowOff>90487</xdr:rowOff>
    </xdr:from>
    <xdr:to>
      <xdr:col>30</xdr:col>
      <xdr:colOff>285750</xdr:colOff>
      <xdr:row>52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53</xdr:row>
      <xdr:rowOff>80962</xdr:rowOff>
    </xdr:from>
    <xdr:to>
      <xdr:col>30</xdr:col>
      <xdr:colOff>304800</xdr:colOff>
      <xdr:row>67</xdr:row>
      <xdr:rowOff>157162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123825</xdr:colOff>
      <xdr:row>48</xdr:row>
      <xdr:rowOff>23812</xdr:rowOff>
    </xdr:from>
    <xdr:to>
      <xdr:col>12</xdr:col>
      <xdr:colOff>0</xdr:colOff>
      <xdr:row>62</xdr:row>
      <xdr:rowOff>100012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123825</xdr:colOff>
      <xdr:row>70</xdr:row>
      <xdr:rowOff>100012</xdr:rowOff>
    </xdr:from>
    <xdr:to>
      <xdr:col>12</xdr:col>
      <xdr:colOff>0</xdr:colOff>
      <xdr:row>84</xdr:row>
      <xdr:rowOff>176212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171450</xdr:colOff>
      <xdr:row>95</xdr:row>
      <xdr:rowOff>176212</xdr:rowOff>
    </xdr:from>
    <xdr:to>
      <xdr:col>12</xdr:col>
      <xdr:colOff>47625</xdr:colOff>
      <xdr:row>110</xdr:row>
      <xdr:rowOff>61912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25</xdr:row>
      <xdr:rowOff>4762</xdr:rowOff>
    </xdr:from>
    <xdr:to>
      <xdr:col>13</xdr:col>
      <xdr:colOff>323850</xdr:colOff>
      <xdr:row>39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19050</xdr:colOff>
      <xdr:row>23</xdr:row>
      <xdr:rowOff>4762</xdr:rowOff>
    </xdr:from>
    <xdr:to>
      <xdr:col>34</xdr:col>
      <xdr:colOff>323850</xdr:colOff>
      <xdr:row>37</xdr:row>
      <xdr:rowOff>80962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304800</xdr:colOff>
      <xdr:row>38</xdr:row>
      <xdr:rowOff>71437</xdr:rowOff>
    </xdr:from>
    <xdr:to>
      <xdr:col>26</xdr:col>
      <xdr:colOff>0</xdr:colOff>
      <xdr:row>52</xdr:row>
      <xdr:rowOff>147637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9525</xdr:colOff>
      <xdr:row>38</xdr:row>
      <xdr:rowOff>42862</xdr:rowOff>
    </xdr:from>
    <xdr:to>
      <xdr:col>34</xdr:col>
      <xdr:colOff>314325</xdr:colOff>
      <xdr:row>52</xdr:row>
      <xdr:rowOff>119062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56</xdr:row>
      <xdr:rowOff>33337</xdr:rowOff>
    </xdr:from>
    <xdr:to>
      <xdr:col>34</xdr:col>
      <xdr:colOff>304800</xdr:colOff>
      <xdr:row>70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257175</xdr:colOff>
      <xdr:row>71</xdr:row>
      <xdr:rowOff>138112</xdr:rowOff>
    </xdr:from>
    <xdr:to>
      <xdr:col>25</xdr:col>
      <xdr:colOff>561975</xdr:colOff>
      <xdr:row>86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71</xdr:row>
      <xdr:rowOff>90487</xdr:rowOff>
    </xdr:from>
    <xdr:to>
      <xdr:col>34</xdr:col>
      <xdr:colOff>304800</xdr:colOff>
      <xdr:row>85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48</xdr:row>
      <xdr:rowOff>128587</xdr:rowOff>
    </xdr:from>
    <xdr:to>
      <xdr:col>9</xdr:col>
      <xdr:colOff>200025</xdr:colOff>
      <xdr:row>63</xdr:row>
      <xdr:rowOff>14287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323850</xdr:colOff>
      <xdr:row>48</xdr:row>
      <xdr:rowOff>123825</xdr:rowOff>
    </xdr:from>
    <xdr:to>
      <xdr:col>16</xdr:col>
      <xdr:colOff>485775</xdr:colOff>
      <xdr:row>63</xdr:row>
      <xdr:rowOff>9525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323850</xdr:colOff>
      <xdr:row>65</xdr:row>
      <xdr:rowOff>14287</xdr:rowOff>
    </xdr:from>
    <xdr:to>
      <xdr:col>16</xdr:col>
      <xdr:colOff>485775</xdr:colOff>
      <xdr:row>79</xdr:row>
      <xdr:rowOff>90487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76200</xdr:colOff>
      <xdr:row>65</xdr:row>
      <xdr:rowOff>23812</xdr:rowOff>
    </xdr:from>
    <xdr:to>
      <xdr:col>9</xdr:col>
      <xdr:colOff>180975</xdr:colOff>
      <xdr:row>79</xdr:row>
      <xdr:rowOff>100012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6</xdr:row>
      <xdr:rowOff>90487</xdr:rowOff>
    </xdr:from>
    <xdr:to>
      <xdr:col>13</xdr:col>
      <xdr:colOff>38100</xdr:colOff>
      <xdr:row>20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238125</xdr:colOff>
      <xdr:row>2</xdr:row>
      <xdr:rowOff>4762</xdr:rowOff>
    </xdr:from>
    <xdr:to>
      <xdr:col>18</xdr:col>
      <xdr:colOff>123825</xdr:colOff>
      <xdr:row>13</xdr:row>
      <xdr:rowOff>100012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141286</xdr:colOff>
      <xdr:row>2</xdr:row>
      <xdr:rowOff>9525</xdr:rowOff>
    </xdr:from>
    <xdr:to>
      <xdr:col>25</xdr:col>
      <xdr:colOff>419100</xdr:colOff>
      <xdr:row>13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476250</xdr:colOff>
      <xdr:row>3</xdr:row>
      <xdr:rowOff>147637</xdr:rowOff>
    </xdr:from>
    <xdr:to>
      <xdr:col>45</xdr:col>
      <xdr:colOff>171450</xdr:colOff>
      <xdr:row>17</xdr:row>
      <xdr:rowOff>195262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400050</xdr:colOff>
      <xdr:row>29</xdr:row>
      <xdr:rowOff>138112</xdr:rowOff>
    </xdr:from>
    <xdr:to>
      <xdr:col>45</xdr:col>
      <xdr:colOff>95250</xdr:colOff>
      <xdr:row>43</xdr:row>
      <xdr:rowOff>195262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276225</xdr:colOff>
      <xdr:row>17</xdr:row>
      <xdr:rowOff>166687</xdr:rowOff>
    </xdr:from>
    <xdr:to>
      <xdr:col>38</xdr:col>
      <xdr:colOff>581025</xdr:colOff>
      <xdr:row>32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266700</xdr:colOff>
      <xdr:row>14</xdr:row>
      <xdr:rowOff>61912</xdr:rowOff>
    </xdr:from>
    <xdr:to>
      <xdr:col>40</xdr:col>
      <xdr:colOff>571500</xdr:colOff>
      <xdr:row>28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76200</xdr:colOff>
      <xdr:row>4</xdr:row>
      <xdr:rowOff>80962</xdr:rowOff>
    </xdr:from>
    <xdr:to>
      <xdr:col>50</xdr:col>
      <xdr:colOff>381000</xdr:colOff>
      <xdr:row>18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590550</xdr:colOff>
      <xdr:row>25</xdr:row>
      <xdr:rowOff>90487</xdr:rowOff>
    </xdr:from>
    <xdr:to>
      <xdr:col>48</xdr:col>
      <xdr:colOff>285750</xdr:colOff>
      <xdr:row>39</xdr:row>
      <xdr:rowOff>128587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152400</xdr:colOff>
      <xdr:row>54</xdr:row>
      <xdr:rowOff>14287</xdr:rowOff>
    </xdr:from>
    <xdr:to>
      <xdr:col>39</xdr:col>
      <xdr:colOff>457200</xdr:colOff>
      <xdr:row>68</xdr:row>
      <xdr:rowOff>90487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133350</xdr:colOff>
      <xdr:row>84</xdr:row>
      <xdr:rowOff>138112</xdr:rowOff>
    </xdr:from>
    <xdr:to>
      <xdr:col>45</xdr:col>
      <xdr:colOff>438150</xdr:colOff>
      <xdr:row>99</xdr:row>
      <xdr:rowOff>14287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38100</xdr:colOff>
      <xdr:row>24</xdr:row>
      <xdr:rowOff>23812</xdr:rowOff>
    </xdr:from>
    <xdr:to>
      <xdr:col>26</xdr:col>
      <xdr:colOff>342900</xdr:colOff>
      <xdr:row>38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26</xdr:row>
      <xdr:rowOff>104774</xdr:rowOff>
    </xdr:from>
    <xdr:to>
      <xdr:col>10</xdr:col>
      <xdr:colOff>519112</xdr:colOff>
      <xdr:row>37</xdr:row>
      <xdr:rowOff>160971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561975</xdr:colOff>
      <xdr:row>26</xdr:row>
      <xdr:rowOff>114300</xdr:rowOff>
    </xdr:from>
    <xdr:to>
      <xdr:col>16</xdr:col>
      <xdr:colOff>438151</xdr:colOff>
      <xdr:row>38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12</xdr:row>
      <xdr:rowOff>76200</xdr:rowOff>
    </xdr:from>
    <xdr:to>
      <xdr:col>14</xdr:col>
      <xdr:colOff>514350</xdr:colOff>
      <xdr:row>24</xdr:row>
      <xdr:rowOff>147636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514350</xdr:colOff>
      <xdr:row>1</xdr:row>
      <xdr:rowOff>33337</xdr:rowOff>
    </xdr:from>
    <xdr:to>
      <xdr:col>69</xdr:col>
      <xdr:colOff>209550</xdr:colOff>
      <xdr:row>11</xdr:row>
      <xdr:rowOff>111442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19050</xdr:colOff>
      <xdr:row>28</xdr:row>
      <xdr:rowOff>185737</xdr:rowOff>
    </xdr:from>
    <xdr:to>
      <xdr:col>62</xdr:col>
      <xdr:colOff>323850</xdr:colOff>
      <xdr:row>43</xdr:row>
      <xdr:rowOff>23812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28574</xdr:colOff>
      <xdr:row>10</xdr:row>
      <xdr:rowOff>128587</xdr:rowOff>
    </xdr:from>
    <xdr:to>
      <xdr:col>18</xdr:col>
      <xdr:colOff>266699</xdr:colOff>
      <xdr:row>22</xdr:row>
      <xdr:rowOff>180022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47625</xdr:colOff>
      <xdr:row>15</xdr:row>
      <xdr:rowOff>166687</xdr:rowOff>
    </xdr:from>
    <xdr:to>
      <xdr:col>26</xdr:col>
      <xdr:colOff>352425</xdr:colOff>
      <xdr:row>30</xdr:row>
      <xdr:rowOff>52387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3</xdr:row>
      <xdr:rowOff>23812</xdr:rowOff>
    </xdr:from>
    <xdr:to>
      <xdr:col>10</xdr:col>
      <xdr:colOff>314325</xdr:colOff>
      <xdr:row>17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238125</xdr:colOff>
      <xdr:row>2</xdr:row>
      <xdr:rowOff>52387</xdr:rowOff>
    </xdr:from>
    <xdr:to>
      <xdr:col>19</xdr:col>
      <xdr:colOff>542925</xdr:colOff>
      <xdr:row>16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209550</xdr:colOff>
      <xdr:row>36</xdr:row>
      <xdr:rowOff>42862</xdr:rowOff>
    </xdr:from>
    <xdr:to>
      <xdr:col>19</xdr:col>
      <xdr:colOff>514350</xdr:colOff>
      <xdr:row>50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219075</xdr:colOff>
      <xdr:row>18</xdr:row>
      <xdr:rowOff>61912</xdr:rowOff>
    </xdr:from>
    <xdr:to>
      <xdr:col>19</xdr:col>
      <xdr:colOff>523875</xdr:colOff>
      <xdr:row>32</xdr:row>
      <xdr:rowOff>138112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42862</xdr:rowOff>
    </xdr:from>
    <xdr:to>
      <xdr:col>13</xdr:col>
      <xdr:colOff>390525</xdr:colOff>
      <xdr:row>17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5</xdr:row>
      <xdr:rowOff>80962</xdr:rowOff>
    </xdr:from>
    <xdr:to>
      <xdr:col>21</xdr:col>
      <xdr:colOff>495300</xdr:colOff>
      <xdr:row>19</xdr:row>
      <xdr:rowOff>157162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476250</xdr:colOff>
      <xdr:row>38</xdr:row>
      <xdr:rowOff>4762</xdr:rowOff>
    </xdr:from>
    <xdr:to>
      <xdr:col>15</xdr:col>
      <xdr:colOff>419100</xdr:colOff>
      <xdr:row>52</xdr:row>
      <xdr:rowOff>80962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9525</xdr:colOff>
      <xdr:row>2</xdr:row>
      <xdr:rowOff>95250</xdr:rowOff>
    </xdr:to>
    <xdr:pic>
      <xdr:nvPicPr>
        <xdr:cNvPr id="2" name="Picture 1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62575" y="381000"/>
          <a:ext cx="9525" cy="952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9525</xdr:colOff>
      <xdr:row>2</xdr:row>
      <xdr:rowOff>95250</xdr:rowOff>
    </xdr:to>
    <xdr:pic>
      <xdr:nvPicPr>
        <xdr:cNvPr id="3" name="Picture 2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38400" y="381000"/>
          <a:ext cx="9525" cy="95250"/>
        </a:xfrm>
        <a:prstGeom prst="rect">
          <a:avLst/>
        </a:prstGeom>
        <a:noFill/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9525</xdr:colOff>
      <xdr:row>2</xdr:row>
      <xdr:rowOff>95250</xdr:rowOff>
    </xdr:to>
    <xdr:pic>
      <xdr:nvPicPr>
        <xdr:cNvPr id="2" name="Picture 1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"/>
          <a:ext cx="9525" cy="952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9525</xdr:colOff>
      <xdr:row>2</xdr:row>
      <xdr:rowOff>95250</xdr:rowOff>
    </xdr:to>
    <xdr:pic>
      <xdr:nvPicPr>
        <xdr:cNvPr id="3" name="Picture 2" descr="http://www.eridlc.com/images/1pix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38400" y="381000"/>
          <a:ext cx="9525" cy="95250"/>
        </a:xfrm>
        <a:prstGeom prst="rect">
          <a:avLst/>
        </a:prstGeom>
        <a:noFill/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5</xdr:row>
      <xdr:rowOff>90486</xdr:rowOff>
    </xdr:from>
    <xdr:to>
      <xdr:col>14</xdr:col>
      <xdr:colOff>514349</xdr:colOff>
      <xdr:row>20</xdr:row>
      <xdr:rowOff>187641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600074</xdr:colOff>
      <xdr:row>5</xdr:row>
      <xdr:rowOff>100011</xdr:rowOff>
    </xdr:from>
    <xdr:to>
      <xdr:col>30</xdr:col>
      <xdr:colOff>323849</xdr:colOff>
      <xdr:row>21</xdr:row>
      <xdr:rowOff>178116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5</xdr:row>
      <xdr:rowOff>90487</xdr:rowOff>
    </xdr:from>
    <xdr:to>
      <xdr:col>14</xdr:col>
      <xdr:colOff>161925</xdr:colOff>
      <xdr:row>19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5</xdr:row>
      <xdr:rowOff>90487</xdr:rowOff>
    </xdr:from>
    <xdr:to>
      <xdr:col>14</xdr:col>
      <xdr:colOff>561975</xdr:colOff>
      <xdr:row>21</xdr:row>
      <xdr:rowOff>25717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Library" Target="RealStats-2007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Wilcoxon Table"/>
      <sheetName val="Mann Table"/>
      <sheetName val="RSign Table"/>
      <sheetName val="Runs Table"/>
      <sheetName val="KS Table"/>
      <sheetName val="SW Table"/>
      <sheetName val="Stud. Q Table"/>
      <sheetName val="Stud. Q Table 2"/>
      <sheetName val="Sp Rho Table"/>
      <sheetName val="Ken Tau Table"/>
      <sheetName val="Durbin Table"/>
      <sheetName val="RealStats-2007"/>
    </sheetNames>
    <definedNames>
      <definedName name="AdjRSquare"/>
      <definedName name="ANOVA1"/>
      <definedName name="ANOVA1_POWER"/>
      <definedName name="ANOVA1_SIZE"/>
      <definedName name="Anova1Std"/>
      <definedName name="Anova2Std"/>
      <definedName name="Anova3Cols"/>
      <definedName name="Anova3Rows"/>
      <definedName name="ANOVACol"/>
      <definedName name="Anovaint"/>
      <definedName name="ANOVARow"/>
      <definedName name="Atest"/>
      <definedName name="AtestCol"/>
      <definedName name="Atestint"/>
      <definedName name="Atestrow"/>
      <definedName name="bftest"/>
      <definedName name="BINOM_POWER"/>
      <definedName name="BINOM_SIZE"/>
      <definedName name="CALPHA"/>
      <definedName name="CATCODE"/>
      <definedName name="CHI_MAX"/>
      <definedName name="CHI_MAX_TEST"/>
      <definedName name="CHI_MAX2"/>
      <definedName name="chi_stat"/>
      <definedName name="CHI_STAT2"/>
      <definedName name="CHI_TESt"/>
      <definedName name="CHISQ_DIST"/>
      <definedName name="CHISQ_POWER"/>
      <definedName name="CHISQ_SIZE"/>
      <definedName name="CHOL"/>
      <definedName name="CONFIDENCE_T"/>
      <definedName name="core"/>
      <definedName name="CORR"/>
      <definedName name="CORREL1_POWER"/>
      <definedName name="CORREL1_SIZE"/>
      <definedName name="Correl2Test"/>
      <definedName name="CorrelTest"/>
      <definedName name="CorrelTTest"/>
      <definedName name="CorrLower"/>
      <definedName name="CorrTest"/>
      <definedName name="CorrTLower"/>
      <definedName name="CorrTTest"/>
      <definedName name="CorrTUpper"/>
      <definedName name="CorrUpper"/>
      <definedName name="COUNTAU"/>
      <definedName name="COUNTCOL"/>
      <definedName name="CountFullRows"/>
      <definedName name="CountPairs"/>
      <definedName name="CountRowsUnique"/>
      <definedName name="COUNTU"/>
      <definedName name="COV"/>
      <definedName name="COVP"/>
      <definedName name="CRONALPHA"/>
      <definedName name="DELBLANK"/>
      <definedName name="DELROWBLANK"/>
      <definedName name="DescStats"/>
      <definedName name="DESIGN"/>
      <definedName name="DF_POOLED"/>
      <definedName name="dfBet"/>
      <definedName name="dfcol"/>
      <definedName name="dfint"/>
      <definedName name="dfreg"/>
      <definedName name="dfregtot"/>
      <definedName name="dfres"/>
      <definedName name="dfrow"/>
      <definedName name="dfstar"/>
      <definedName name="dftot"/>
      <definedName name="dfw"/>
      <definedName name="dfWF"/>
      <definedName name="DIAG"/>
      <definedName name="DIAGONAL"/>
      <definedName name="DLowerCRIT"/>
      <definedName name="DUpperCRIT"/>
      <definedName name="DURBIN"/>
      <definedName name="Effect_Paired"/>
      <definedName name="ELIM"/>
      <definedName name="ESD"/>
      <definedName name="eVALUES"/>
      <definedName name="eVECTORS"/>
      <definedName name="ExtractUnique"/>
      <definedName name="FISHERTEST"/>
      <definedName name="FIT_TEST"/>
      <definedName name="Freq2Raw"/>
      <definedName name="FREQTABLE"/>
      <definedName name="FRIEDMAN"/>
      <definedName name="FrTEST"/>
      <definedName name="fstar"/>
      <definedName name="FSTAR_TEST"/>
      <definedName name="FTEXT"/>
      <definedName name="GGEpsilon"/>
      <definedName name="GRUBB"/>
      <definedName name="hat"/>
      <definedName name="HFEpsilon"/>
      <definedName name="HLTEST"/>
      <definedName name="HOSMER"/>
      <definedName name="HYPGEOM_INV"/>
      <definedName name="ICC"/>
      <definedName name="IDENTITY"/>
      <definedName name="ilookup"/>
      <definedName name="ImputedData"/>
      <definedName name="ImputeFCS"/>
      <definedName name="ImputeParam"/>
      <definedName name="ImputeReg"/>
      <definedName name="ImputeSimple"/>
      <definedName name="ImputeVar"/>
      <definedName name="Iqr"/>
      <definedName name="ITEMDIFF"/>
      <definedName name="ITEMDISC"/>
      <definedName name="KAPPA"/>
      <definedName name="KCORREL"/>
      <definedName name="KendallW"/>
      <definedName name="KINV"/>
      <definedName name="KRUSKAL"/>
      <definedName name="KS2TEST"/>
      <definedName name="KSCRIT"/>
      <definedName name="KSDIST"/>
      <definedName name="kSINV"/>
      <definedName name="KSPROB"/>
      <definedName name="Ktest"/>
      <definedName name="KUDER"/>
      <definedName name="LENGTH"/>
      <definedName name="Levene"/>
      <definedName name="LEVERAGE"/>
      <definedName name="LINEQU"/>
      <definedName name="LLReg"/>
      <definedName name="LogitCoeff"/>
      <definedName name="LogitMatches"/>
      <definedName name="LogitPred"/>
      <definedName name="LogitPredC"/>
      <definedName name="LogitReduce"/>
      <definedName name="LogitRSquare"/>
      <definedName name="LogitSelect"/>
      <definedName name="LogitSummary"/>
      <definedName name="LogitTest"/>
      <definedName name="MAD"/>
      <definedName name="MANN"/>
      <definedName name="MANN_EXACT"/>
      <definedName name="MANN_TEST"/>
      <definedName name="MANNDIST"/>
      <definedName name="MANNINV"/>
      <definedName name="MCRIT"/>
      <definedName name="MEANCOL"/>
      <definedName name="MEANROW"/>
      <definedName name="MICombine"/>
      <definedName name="MissingFreq"/>
      <definedName name="MissingPairwise"/>
      <definedName name="MissingPatterns"/>
      <definedName name="MISummary"/>
      <definedName name="MLogitCoeff"/>
      <definedName name="MLogitExtract"/>
      <definedName name="MLogitParam"/>
      <definedName name="MLogitPred"/>
      <definedName name="MLogitPredC"/>
      <definedName name="MLogitRSquare"/>
      <definedName name="MLogitSelect"/>
      <definedName name="MLogitSummary"/>
      <definedName name="MLogitTest"/>
      <definedName name="mlookup"/>
      <definedName name="MOODS_STAT"/>
      <definedName name="MOODS_TEST"/>
      <definedName name="MPROB"/>
      <definedName name="mrank"/>
      <definedName name="MSBet"/>
      <definedName name="mscol"/>
      <definedName name="msint"/>
      <definedName name="mSReg"/>
      <definedName name="MSRes"/>
      <definedName name="msrow"/>
      <definedName name="mstot"/>
      <definedName name="MSW"/>
      <definedName name="MSWF"/>
      <definedName name="MTEST"/>
      <definedName name="MULTINOMDIST"/>
      <definedName name="MultipleR"/>
      <definedName name="NCHISQ_DIST"/>
      <definedName name="NEGBINOM_INV"/>
      <definedName name="NF_DIST"/>
      <definedName name="NODUPES"/>
      <definedName name="NORM_CONF"/>
      <definedName name="NORM_LOwer"/>
      <definedName name="NORM_UPPER"/>
      <definedName name="NORM1_POWER"/>
      <definedName name="NORM1_SIZE"/>
      <definedName name="NORM2_POWER"/>
      <definedName name="NORM2_SIZE"/>
      <definedName name="NT_DIST"/>
      <definedName name="OLogitPredC"/>
      <definedName name="OUTLIERS"/>
      <definedName name="PCorr"/>
      <definedName name="PCorrel"/>
      <definedName name="PERM2DIST"/>
      <definedName name="PERM2INV"/>
      <definedName name="PERMDIST"/>
      <definedName name="PERMINV"/>
      <definedName name="POISSON_INV"/>
      <definedName name="QCRIT"/>
      <definedName name="QINV"/>
      <definedName name="QRFactorR"/>
      <definedName name="QSORT"/>
      <definedName name="QSORTRows"/>
      <definedName name="RANDOMIZE"/>
      <definedName name="RANK_AVG"/>
      <definedName name="RANK_SUM"/>
      <definedName name="RegAIC"/>
      <definedName name="RegAICc"/>
      <definedName name="RegCoeff"/>
      <definedName name="RegCoeffSE"/>
      <definedName name="RegCov"/>
      <definedName name="rege"/>
      <definedName name="regF"/>
      <definedName name="RegPred"/>
      <definedName name="regse"/>
      <definedName name="RegStudE"/>
      <definedName name="regtest"/>
      <definedName name="regY"/>
      <definedName name="RESHAPE"/>
      <definedName name="REVERSE"/>
      <definedName name="RLowerCRIT"/>
      <definedName name="RNG"/>
      <definedName name="RSquare"/>
      <definedName name="RSquareTest"/>
      <definedName name="RUNSDIST"/>
      <definedName name="RUNSTEST"/>
      <definedName name="RUpperCRIT"/>
      <definedName name="SCORREL"/>
      <definedName name="SelectCols"/>
      <definedName name="Shapiro"/>
      <definedName name="SHUFFLE"/>
      <definedName name="SignTest"/>
      <definedName name="SlopesTest"/>
      <definedName name="SortRowsCount"/>
      <definedName name="SortRowsSum"/>
      <definedName name="SortRowsUnique"/>
      <definedName name="SortUnique"/>
      <definedName name="SPLIT_HALF"/>
      <definedName name="SPLITHALF"/>
      <definedName name="SRank"/>
      <definedName name="SRANK_TEST"/>
      <definedName name="SRankCRIT"/>
      <definedName name="SRankPair"/>
      <definedName name="SRankPROB"/>
      <definedName name="SRTEST"/>
      <definedName name="SRTESTPair"/>
      <definedName name="SSAnova2"/>
      <definedName name="SSAnova3"/>
      <definedName name="SSBet"/>
      <definedName name="sscol"/>
      <definedName name="SSInt"/>
      <definedName name="SSReg"/>
      <definedName name="SSRegTot"/>
      <definedName name="ssres"/>
      <definedName name="ssrow"/>
      <definedName name="sstot"/>
      <definedName name="SSW"/>
      <definedName name="SSWF"/>
      <definedName name="StdAnova1"/>
      <definedName name="StdAnova2"/>
      <definedName name="STDERR"/>
      <definedName name="STDERR_POOLED"/>
      <definedName name="stdev_pooled"/>
      <definedName name="STDEVCOL"/>
      <definedName name="StdNested"/>
      <definedName name="swcoeff"/>
      <definedName name="SWPROB"/>
      <definedName name="swtest"/>
      <definedName name="T_CONF"/>
      <definedName name="t_dist"/>
      <definedName name="T_lower"/>
      <definedName name="T_upper"/>
      <definedName name="T1_POWER"/>
      <definedName name="T1_SIZE"/>
      <definedName name="T2_POWER"/>
      <definedName name="T2_SIZE"/>
      <definedName name="TAGCODE"/>
      <definedName name="TauCRIT"/>
      <definedName name="TiesCorrection"/>
      <definedName name="TOLERANCE"/>
      <definedName name="TRACE"/>
      <definedName name="TRIMDATA"/>
      <definedName name="UNIFORM_DIST"/>
      <definedName name="var_pooled"/>
      <definedName name="VAR1_POWER"/>
      <definedName name="VAR1_SIZE"/>
      <definedName name="VAR2_POWER"/>
      <definedName name="VAR2_SIZE"/>
      <definedName name="VARCOL"/>
      <definedName name="VIF"/>
      <definedName name="wcrit"/>
      <definedName name="WELCH_TEST"/>
      <definedName name="WILCOXON"/>
      <definedName name="WINMEAN"/>
      <definedName name="WINSORIZE"/>
      <definedName name="WKAPPA"/>
      <definedName name="WPROB"/>
      <definedName name="wtes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7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1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4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25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6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york.ac.uk/depts/maths/tables/kendall.pdf" TargetMode="Externa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40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41"/>
  <dimension ref="A1:B41"/>
  <sheetViews>
    <sheetView topLeftCell="A13" workbookViewId="0">
      <selection activeCell="A25" sqref="A25"/>
    </sheetView>
  </sheetViews>
  <sheetFormatPr defaultRowHeight="14.4"/>
  <cols>
    <col min="1" max="1" width="43.5546875" customWidth="1"/>
  </cols>
  <sheetData>
    <row r="1" spans="1:2">
      <c r="A1" s="1" t="s">
        <v>2554</v>
      </c>
      <c r="B1" s="1"/>
    </row>
    <row r="2" spans="1:2">
      <c r="A2" s="1" t="s">
        <v>4256</v>
      </c>
      <c r="B2" s="1"/>
    </row>
    <row r="3" spans="1:2">
      <c r="A3" s="1"/>
      <c r="B3" s="1"/>
    </row>
    <row r="4" spans="1:2">
      <c r="A4" s="932" t="s">
        <v>2965</v>
      </c>
    </row>
    <row r="6" spans="1:2">
      <c r="A6" s="1" t="s">
        <v>2127</v>
      </c>
    </row>
    <row r="8" spans="1:2">
      <c r="A8" s="2" t="s">
        <v>2126</v>
      </c>
    </row>
    <row r="9" spans="1:2">
      <c r="A9" s="2" t="s">
        <v>3780</v>
      </c>
    </row>
    <row r="10" spans="1:2">
      <c r="A10" s="2" t="s">
        <v>2128</v>
      </c>
    </row>
    <row r="11" spans="1:2">
      <c r="A11" s="2" t="s">
        <v>95</v>
      </c>
    </row>
    <row r="12" spans="1:2">
      <c r="A12" s="2" t="s">
        <v>2155</v>
      </c>
    </row>
    <row r="13" spans="1:2">
      <c r="A13" s="2" t="s">
        <v>2158</v>
      </c>
    </row>
    <row r="14" spans="1:2">
      <c r="A14" s="2" t="s">
        <v>2164</v>
      </c>
    </row>
    <row r="15" spans="1:2">
      <c r="A15" s="2" t="s">
        <v>2188</v>
      </c>
    </row>
    <row r="16" spans="1:2">
      <c r="A16" s="2" t="s">
        <v>2189</v>
      </c>
    </row>
    <row r="17" spans="1:1">
      <c r="A17" s="2" t="s">
        <v>2190</v>
      </c>
    </row>
    <row r="18" spans="1:1">
      <c r="A18" s="2" t="s">
        <v>3964</v>
      </c>
    </row>
    <row r="19" spans="1:1">
      <c r="A19" s="2" t="s">
        <v>3965</v>
      </c>
    </row>
    <row r="20" spans="1:1">
      <c r="A20" s="2" t="s">
        <v>2191</v>
      </c>
    </row>
    <row r="21" spans="1:1">
      <c r="A21" s="2" t="s">
        <v>2192</v>
      </c>
    </row>
    <row r="22" spans="1:1">
      <c r="A22" s="2" t="s">
        <v>553</v>
      </c>
    </row>
    <row r="23" spans="1:1">
      <c r="A23" s="2" t="s">
        <v>2265</v>
      </c>
    </row>
    <row r="24" spans="1:1">
      <c r="A24" s="2" t="s">
        <v>2847</v>
      </c>
    </row>
    <row r="25" spans="1:1">
      <c r="A25" s="2" t="s">
        <v>2746</v>
      </c>
    </row>
    <row r="26" spans="1:1">
      <c r="A26" s="2" t="s">
        <v>799</v>
      </c>
    </row>
    <row r="27" spans="1:1">
      <c r="A27" s="2" t="s">
        <v>1971</v>
      </c>
    </row>
    <row r="28" spans="1:1">
      <c r="A28" s="2" t="s">
        <v>3046</v>
      </c>
    </row>
    <row r="29" spans="1:1">
      <c r="A29" s="2" t="s">
        <v>2266</v>
      </c>
    </row>
    <row r="30" spans="1:1">
      <c r="A30" s="2" t="s">
        <v>4190</v>
      </c>
    </row>
    <row r="31" spans="1:1">
      <c r="A31" s="2" t="s">
        <v>2267</v>
      </c>
    </row>
    <row r="32" spans="1:1">
      <c r="A32" s="2" t="s">
        <v>2269</v>
      </c>
    </row>
    <row r="33" spans="1:1">
      <c r="A33" s="2" t="s">
        <v>2268</v>
      </c>
    </row>
    <row r="34" spans="1:1">
      <c r="A34" s="2" t="s">
        <v>3351</v>
      </c>
    </row>
    <row r="36" spans="1:1">
      <c r="A36" s="1" t="s">
        <v>2271</v>
      </c>
    </row>
    <row r="38" spans="1:1">
      <c r="A38" s="2" t="s">
        <v>2272</v>
      </c>
    </row>
    <row r="39" spans="1:1">
      <c r="A39" s="2" t="s">
        <v>2270</v>
      </c>
    </row>
    <row r="40" spans="1:1">
      <c r="A40" s="2" t="s">
        <v>2273</v>
      </c>
    </row>
    <row r="41" spans="1:1">
      <c r="A41" s="2" t="s">
        <v>2274</v>
      </c>
    </row>
  </sheetData>
  <hyperlinks>
    <hyperlink ref="A8" location="TOC!A8" display="Excel Environment"/>
    <hyperlink ref="A10" location="TOC!A44" display="Probability Functions"/>
    <hyperlink ref="A11" location="TOC!A55" display="Descriptive Statistics"/>
    <hyperlink ref="A12" location="TOC!A106" display="Hypothesis Testing"/>
    <hyperlink ref="A13" location="TOC!A111" display="Normal Distribution"/>
    <hyperlink ref="A14" location="TOC!A121" display="Sampling Distributions"/>
    <hyperlink ref="A15" location="TOC!A158" display="Binomial and Related Distributions"/>
    <hyperlink ref="A16" location="TOC!A212" display="Other Key Distributions"/>
    <hyperlink ref="A17" location="TOC!A227" display="Student's t Distribution"/>
    <hyperlink ref="A18" location="TOC!A281" display="Chi-square Distribution"/>
    <hyperlink ref="A20" location="TOC!A327" display="Testing for Normality and Symmetry"/>
    <hyperlink ref="A21" location="TOC!A361" display="Non-parametric Tests"/>
    <hyperlink ref="A23" location="TOC!A410" display="One-way Analysis of Variance (ANOVA)"/>
    <hyperlink ref="A24" location="TOC!A478" display="Factorial ANOVA"/>
    <hyperlink ref="A22" location="TOC!A510" display="Correlation"/>
    <hyperlink ref="A25" location="TOC!A564" display="Linear Regression"/>
    <hyperlink ref="A26" location="TOC!A599" display="Multiple Regression"/>
    <hyperlink ref="A27" location="TOC!A675" display="Logistic Regression"/>
    <hyperlink ref="A29" location="TOC!A736" display="Log-Linear Regression"/>
    <hyperlink ref="A31" location="TOC!A785" display="ANOVA with Repeated Measures"/>
    <hyperlink ref="A33" location="TOC!A858" display="Reliability"/>
    <hyperlink ref="A32" location="TOC!A830" display="Analysis of Covariance (ANCOVA)"/>
    <hyperlink ref="A38" location="TOC!A936" display="Mathematical Notation"/>
    <hyperlink ref="A39" location="TOC!A941" display="Excel Capabilities"/>
    <hyperlink ref="A40" location="TOC!A973" display="Matrices and Iterative Procedures"/>
    <hyperlink ref="A41" location="TOC!A1007" display="Tables"/>
    <hyperlink ref="A28" location="TOC!A714" display="Multinomial and Ordinal Logistic Regression"/>
    <hyperlink ref="A34" location="TOC!A904" display="Missing Data and Multiple Imputation"/>
    <hyperlink ref="A9" location="TOC!A27" display="Real Statistics Environment"/>
    <hyperlink ref="A19" location="TOC!A316" display="F Distribution"/>
    <hyperlink ref="A30" location="TOC!A771" display="ANOVA with Random or Nested Factors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B1019"/>
  <sheetViews>
    <sheetView topLeftCell="A576" workbookViewId="0">
      <selection activeCell="B587" sqref="B587"/>
    </sheetView>
  </sheetViews>
  <sheetFormatPr defaultRowHeight="15" customHeight="1"/>
  <cols>
    <col min="1" max="1" width="4" customWidth="1"/>
    <col min="2" max="2" width="85.5546875" customWidth="1"/>
  </cols>
  <sheetData>
    <row r="1" spans="1:2" ht="15" customHeight="1">
      <c r="A1" s="1" t="s">
        <v>2554</v>
      </c>
      <c r="B1" s="1"/>
    </row>
    <row r="2" spans="1:2" ht="15" customHeight="1">
      <c r="A2" s="1" t="s">
        <v>4256</v>
      </c>
      <c r="B2" s="1"/>
    </row>
    <row r="3" spans="1:2" ht="15" customHeight="1">
      <c r="A3" s="1"/>
      <c r="B3" s="1"/>
    </row>
    <row r="4" spans="1:2" ht="15" customHeight="1">
      <c r="A4" s="932" t="s">
        <v>2965</v>
      </c>
    </row>
    <row r="6" spans="1:2" ht="15" customHeight="1">
      <c r="A6" s="1" t="s">
        <v>0</v>
      </c>
    </row>
    <row r="7" spans="1:2" ht="15" customHeight="1">
      <c r="A7" s="1"/>
    </row>
    <row r="8" spans="1:2" ht="15" customHeight="1">
      <c r="A8" s="1" t="s">
        <v>2126</v>
      </c>
    </row>
    <row r="10" spans="1:2" ht="15" customHeight="1">
      <c r="A10" t="s">
        <v>2124</v>
      </c>
    </row>
    <row r="11" spans="1:2" ht="15" customHeight="1">
      <c r="B11" s="2" t="s">
        <v>2134</v>
      </c>
    </row>
    <row r="13" spans="1:2" ht="15" customHeight="1">
      <c r="A13" t="s">
        <v>2125</v>
      </c>
    </row>
    <row r="14" spans="1:2" ht="15" customHeight="1">
      <c r="B14" s="2" t="s">
        <v>2135</v>
      </c>
    </row>
    <row r="15" spans="1:2" ht="15" customHeight="1">
      <c r="B15" s="2" t="s">
        <v>2136</v>
      </c>
    </row>
    <row r="16" spans="1:2" ht="15" customHeight="1">
      <c r="B16" s="2" t="s">
        <v>3198</v>
      </c>
    </row>
    <row r="18" spans="1:2" ht="15" customHeight="1">
      <c r="A18" t="s">
        <v>2129</v>
      </c>
    </row>
    <row r="19" spans="1:2" ht="15" customHeight="1">
      <c r="B19" s="2" t="s">
        <v>2137</v>
      </c>
    </row>
    <row r="20" spans="1:2" ht="15" customHeight="1">
      <c r="B20" s="2" t="s">
        <v>2138</v>
      </c>
    </row>
    <row r="21" spans="1:2" ht="15" customHeight="1">
      <c r="B21" s="2"/>
    </row>
    <row r="22" spans="1:2" ht="15" customHeight="1">
      <c r="A22" t="s">
        <v>3261</v>
      </c>
      <c r="B22" s="2"/>
    </row>
    <row r="23" spans="1:2" ht="15" customHeight="1">
      <c r="B23" s="2" t="s">
        <v>3306</v>
      </c>
    </row>
    <row r="24" spans="1:2" ht="15" customHeight="1">
      <c r="B24" s="2" t="s">
        <v>3305</v>
      </c>
    </row>
    <row r="25" spans="1:2" ht="15" customHeight="1">
      <c r="B25" s="2" t="s">
        <v>3304</v>
      </c>
    </row>
    <row r="26" spans="1:2" ht="15" customHeight="1">
      <c r="B26" s="2"/>
    </row>
    <row r="27" spans="1:2" ht="15" customHeight="1">
      <c r="A27" s="1" t="s">
        <v>3780</v>
      </c>
      <c r="B27" s="2"/>
    </row>
    <row r="28" spans="1:2" ht="15" customHeight="1">
      <c r="B28" s="2"/>
    </row>
    <row r="29" spans="1:2" ht="15" customHeight="1">
      <c r="A29" t="s">
        <v>3781</v>
      </c>
      <c r="B29" s="2"/>
    </row>
    <row r="30" spans="1:2" ht="15" customHeight="1">
      <c r="B30" s="2" t="s">
        <v>3782</v>
      </c>
    </row>
    <row r="31" spans="1:2" ht="15" customHeight="1">
      <c r="B31" s="2" t="s">
        <v>3786</v>
      </c>
    </row>
    <row r="32" spans="1:2" ht="15" customHeight="1">
      <c r="B32" s="2"/>
    </row>
    <row r="33" spans="1:2" ht="15" customHeight="1">
      <c r="A33" t="s">
        <v>2923</v>
      </c>
      <c r="B33" s="2"/>
    </row>
    <row r="34" spans="1:2" ht="15" customHeight="1">
      <c r="B34" s="2" t="s">
        <v>2924</v>
      </c>
    </row>
    <row r="35" spans="1:2" ht="15" customHeight="1">
      <c r="B35" s="2" t="s">
        <v>2925</v>
      </c>
    </row>
    <row r="36" spans="1:2" ht="15" customHeight="1">
      <c r="B36" s="2"/>
    </row>
    <row r="37" spans="1:2" ht="15" customHeight="1">
      <c r="A37" t="s">
        <v>2926</v>
      </c>
      <c r="B37" s="2"/>
    </row>
    <row r="38" spans="1:2" ht="15" customHeight="1">
      <c r="B38" s="2" t="s">
        <v>2927</v>
      </c>
    </row>
    <row r="39" spans="1:2" ht="15" customHeight="1">
      <c r="B39" s="2" t="s">
        <v>2928</v>
      </c>
    </row>
    <row r="40" spans="1:2" ht="15" customHeight="1">
      <c r="B40" s="2"/>
    </row>
    <row r="41" spans="1:2" s="1" customFormat="1" ht="15" customHeight="1">
      <c r="A41" s="25" t="s">
        <v>3787</v>
      </c>
      <c r="B41" s="951"/>
    </row>
    <row r="42" spans="1:2" s="1" customFormat="1" ht="15" customHeight="1">
      <c r="B42" s="1394" t="s">
        <v>3788</v>
      </c>
    </row>
    <row r="43" spans="1:2" ht="15" customHeight="1">
      <c r="B43" s="2"/>
    </row>
    <row r="44" spans="1:2" ht="15" customHeight="1">
      <c r="A44" s="1" t="s">
        <v>2128</v>
      </c>
      <c r="B44" s="2"/>
    </row>
    <row r="45" spans="1:2" ht="15" customHeight="1">
      <c r="B45" s="2"/>
    </row>
    <row r="46" spans="1:2" ht="15" customHeight="1">
      <c r="A46" t="s">
        <v>2130</v>
      </c>
      <c r="B46" s="2"/>
    </row>
    <row r="47" spans="1:2" ht="15" customHeight="1">
      <c r="B47" s="2" t="s">
        <v>2139</v>
      </c>
    </row>
    <row r="49" spans="1:2" ht="15" customHeight="1">
      <c r="A49" t="s">
        <v>2131</v>
      </c>
    </row>
    <row r="50" spans="1:2" ht="15" customHeight="1">
      <c r="B50" s="2" t="s">
        <v>2140</v>
      </c>
    </row>
    <row r="51" spans="1:2" ht="15" customHeight="1">
      <c r="B51" s="2" t="s">
        <v>2141</v>
      </c>
    </row>
    <row r="52" spans="1:2" ht="15" customHeight="1">
      <c r="B52" s="2" t="s">
        <v>2961</v>
      </c>
    </row>
    <row r="53" spans="1:2" ht="15" customHeight="1">
      <c r="B53" s="2" t="s">
        <v>2962</v>
      </c>
    </row>
    <row r="54" spans="1:2" ht="15" customHeight="1">
      <c r="B54" s="2"/>
    </row>
    <row r="55" spans="1:2" ht="15" customHeight="1">
      <c r="A55" s="1" t="s">
        <v>95</v>
      </c>
      <c r="B55" s="2"/>
    </row>
    <row r="56" spans="1:2" ht="15" customHeight="1">
      <c r="B56" s="2"/>
    </row>
    <row r="57" spans="1:2" ht="15" customHeight="1">
      <c r="A57" t="s">
        <v>2132</v>
      </c>
      <c r="B57" s="2"/>
    </row>
    <row r="58" spans="1:2" ht="15" customHeight="1">
      <c r="B58" s="2" t="s">
        <v>4083</v>
      </c>
    </row>
    <row r="59" spans="1:2" ht="15" customHeight="1">
      <c r="B59" s="2" t="s">
        <v>4082</v>
      </c>
    </row>
    <row r="60" spans="1:2" ht="15" customHeight="1">
      <c r="B60" s="2" t="s">
        <v>4084</v>
      </c>
    </row>
    <row r="61" spans="1:2" ht="15" customHeight="1">
      <c r="B61" s="2"/>
    </row>
    <row r="62" spans="1:2" ht="15" customHeight="1">
      <c r="A62" t="s">
        <v>2142</v>
      </c>
      <c r="B62" s="2"/>
    </row>
    <row r="63" spans="1:2" ht="15" customHeight="1">
      <c r="B63" s="2" t="s">
        <v>4085</v>
      </c>
    </row>
    <row r="64" spans="1:2" ht="15" customHeight="1">
      <c r="B64" s="2" t="s">
        <v>4087</v>
      </c>
    </row>
    <row r="65" spans="1:2" ht="15" customHeight="1">
      <c r="B65" s="2" t="s">
        <v>4086</v>
      </c>
    </row>
    <row r="66" spans="1:2" ht="15" customHeight="1">
      <c r="B66" s="2"/>
    </row>
    <row r="67" spans="1:2" ht="15" customHeight="1">
      <c r="A67" t="s">
        <v>3223</v>
      </c>
      <c r="B67" s="2"/>
    </row>
    <row r="68" spans="1:2" ht="15" customHeight="1">
      <c r="B68" s="2" t="s">
        <v>3224</v>
      </c>
    </row>
    <row r="69" spans="1:2" ht="15" customHeight="1">
      <c r="B69" s="2" t="s">
        <v>2143</v>
      </c>
    </row>
    <row r="70" spans="1:2" ht="15" customHeight="1">
      <c r="B70" s="2" t="s">
        <v>2144</v>
      </c>
    </row>
    <row r="72" spans="1:2" ht="15" customHeight="1">
      <c r="A72" t="s">
        <v>2004</v>
      </c>
    </row>
    <row r="73" spans="1:2" ht="15" customHeight="1">
      <c r="B73" s="2" t="s">
        <v>3228</v>
      </c>
    </row>
    <row r="74" spans="1:2" ht="15" customHeight="1">
      <c r="B74" s="2" t="s">
        <v>3225</v>
      </c>
    </row>
    <row r="75" spans="1:2" ht="15" customHeight="1">
      <c r="B75" s="2" t="s">
        <v>3226</v>
      </c>
    </row>
    <row r="76" spans="1:2" ht="15" customHeight="1">
      <c r="B76" s="2" t="s">
        <v>3227</v>
      </c>
    </row>
    <row r="78" spans="1:2" ht="15" customHeight="1">
      <c r="A78" t="s">
        <v>2133</v>
      </c>
    </row>
    <row r="79" spans="1:2" ht="15" customHeight="1">
      <c r="B79" s="2" t="s">
        <v>2145</v>
      </c>
    </row>
    <row r="80" spans="1:2" ht="15" customHeight="1">
      <c r="B80" s="2" t="s">
        <v>2146</v>
      </c>
    </row>
    <row r="81" spans="1:2" ht="15" customHeight="1">
      <c r="B81" s="2" t="s">
        <v>3229</v>
      </c>
    </row>
    <row r="83" spans="1:2" ht="15" customHeight="1">
      <c r="A83" t="s">
        <v>2147</v>
      </c>
    </row>
    <row r="84" spans="1:2" ht="15" customHeight="1">
      <c r="B84" s="2" t="s">
        <v>2148</v>
      </c>
    </row>
    <row r="85" spans="1:2" ht="15" customHeight="1">
      <c r="B85" s="2" t="s">
        <v>2140</v>
      </c>
    </row>
    <row r="86" spans="1:2" ht="15" customHeight="1">
      <c r="B86" s="2" t="s">
        <v>2149</v>
      </c>
    </row>
    <row r="87" spans="1:2" ht="15" customHeight="1">
      <c r="B87" s="2" t="s">
        <v>2150</v>
      </c>
    </row>
    <row r="88" spans="1:2" ht="15" customHeight="1">
      <c r="B88" s="2" t="s">
        <v>2959</v>
      </c>
    </row>
    <row r="89" spans="1:2" ht="15" customHeight="1">
      <c r="B89" s="2" t="s">
        <v>3778</v>
      </c>
    </row>
    <row r="90" spans="1:2" ht="15" customHeight="1">
      <c r="B90" s="2" t="s">
        <v>3779</v>
      </c>
    </row>
    <row r="91" spans="1:2" ht="15" customHeight="1">
      <c r="B91" s="2"/>
    </row>
    <row r="92" spans="1:2" ht="15" customHeight="1">
      <c r="A92" t="s">
        <v>2151</v>
      </c>
    </row>
    <row r="93" spans="1:2" ht="15" customHeight="1">
      <c r="B93" s="2" t="s">
        <v>2152</v>
      </c>
    </row>
    <row r="94" spans="1:2" ht="15" customHeight="1">
      <c r="B94" s="2" t="s">
        <v>2960</v>
      </c>
    </row>
    <row r="96" spans="1:2" ht="15" customHeight="1">
      <c r="A96" t="s">
        <v>2153</v>
      </c>
    </row>
    <row r="97" spans="1:2" ht="15" customHeight="1">
      <c r="B97" s="2" t="s">
        <v>2154</v>
      </c>
    </row>
    <row r="98" spans="1:2" ht="15" customHeight="1">
      <c r="B98" s="2"/>
    </row>
    <row r="99" spans="1:2" ht="15" customHeight="1">
      <c r="A99" t="s">
        <v>3748</v>
      </c>
      <c r="B99" s="2"/>
    </row>
    <row r="100" spans="1:2" ht="15" customHeight="1">
      <c r="B100" s="2" t="s">
        <v>3749</v>
      </c>
    </row>
    <row r="101" spans="1:2" ht="15" customHeight="1">
      <c r="B101" s="2"/>
    </row>
    <row r="102" spans="1:2" ht="15" customHeight="1">
      <c r="A102" t="s">
        <v>3285</v>
      </c>
      <c r="B102" s="2"/>
    </row>
    <row r="103" spans="1:2" ht="15" customHeight="1">
      <c r="B103" s="2" t="s">
        <v>3286</v>
      </c>
    </row>
    <row r="104" spans="1:2" ht="15" customHeight="1">
      <c r="B104" s="2" t="s">
        <v>2637</v>
      </c>
    </row>
    <row r="105" spans="1:2" ht="15" customHeight="1">
      <c r="B105" s="2"/>
    </row>
    <row r="106" spans="1:2" ht="15" customHeight="1">
      <c r="A106" s="1" t="s">
        <v>2155</v>
      </c>
      <c r="B106" s="2"/>
    </row>
    <row r="108" spans="1:2" ht="15" customHeight="1">
      <c r="A108" t="s">
        <v>2156</v>
      </c>
    </row>
    <row r="109" spans="1:2" ht="15" customHeight="1">
      <c r="B109" s="2" t="s">
        <v>2157</v>
      </c>
    </row>
    <row r="110" spans="1:2" ht="15" customHeight="1">
      <c r="B110" s="2"/>
    </row>
    <row r="111" spans="1:2" ht="15" customHeight="1">
      <c r="A111" s="1" t="s">
        <v>2158</v>
      </c>
      <c r="B111" s="2"/>
    </row>
    <row r="113" spans="1:2" ht="15" customHeight="1">
      <c r="A113" t="s">
        <v>2161</v>
      </c>
    </row>
    <row r="114" spans="1:2" ht="15" customHeight="1">
      <c r="B114" s="2" t="s">
        <v>2159</v>
      </c>
    </row>
    <row r="115" spans="1:2" ht="15" customHeight="1">
      <c r="B115" s="2" t="s">
        <v>1695</v>
      </c>
    </row>
    <row r="116" spans="1:2" ht="15" customHeight="1">
      <c r="B116" s="2" t="s">
        <v>2160</v>
      </c>
    </row>
    <row r="117" spans="1:2" ht="15" customHeight="1">
      <c r="B117" s="2"/>
    </row>
    <row r="118" spans="1:2" ht="15" customHeight="1">
      <c r="A118" t="s">
        <v>2162</v>
      </c>
      <c r="B118" s="2"/>
    </row>
    <row r="119" spans="1:2" ht="15" customHeight="1">
      <c r="B119" s="2" t="s">
        <v>2163</v>
      </c>
    </row>
    <row r="120" spans="1:2" ht="15" customHeight="1">
      <c r="B120" s="2"/>
    </row>
    <row r="121" spans="1:2" ht="15" customHeight="1">
      <c r="A121" s="1" t="s">
        <v>2164</v>
      </c>
      <c r="B121" s="2"/>
    </row>
    <row r="123" spans="1:2" ht="15" customHeight="1">
      <c r="A123" t="s">
        <v>2168</v>
      </c>
    </row>
    <row r="124" spans="1:2" ht="15" customHeight="1">
      <c r="B124" s="2" t="s">
        <v>2165</v>
      </c>
    </row>
    <row r="125" spans="1:2" ht="15" customHeight="1">
      <c r="B125" s="2" t="s">
        <v>2166</v>
      </c>
    </row>
    <row r="126" spans="1:2" ht="15" customHeight="1">
      <c r="B126" s="2" t="s">
        <v>2167</v>
      </c>
    </row>
    <row r="127" spans="1:2" ht="15" customHeight="1">
      <c r="B127" s="2"/>
    </row>
    <row r="128" spans="1:2" ht="15" customHeight="1">
      <c r="A128" t="s">
        <v>2171</v>
      </c>
      <c r="B128" s="2"/>
    </row>
    <row r="129" spans="1:2" ht="15" customHeight="1">
      <c r="B129" s="2" t="s">
        <v>2169</v>
      </c>
    </row>
    <row r="130" spans="1:2" ht="15" customHeight="1">
      <c r="B130" s="2" t="s">
        <v>2170</v>
      </c>
    </row>
    <row r="131" spans="1:2" ht="15" customHeight="1">
      <c r="B131" s="2"/>
    </row>
    <row r="132" spans="1:2" ht="15" customHeight="1">
      <c r="A132" t="s">
        <v>2172</v>
      </c>
      <c r="B132" s="2"/>
    </row>
    <row r="133" spans="1:2" ht="15" customHeight="1">
      <c r="B133" s="2" t="s">
        <v>2173</v>
      </c>
    </row>
    <row r="134" spans="1:2" ht="15" customHeight="1">
      <c r="B134" s="2"/>
    </row>
    <row r="135" spans="1:2" ht="15" customHeight="1">
      <c r="A135" t="s">
        <v>2175</v>
      </c>
      <c r="B135" s="2"/>
    </row>
    <row r="136" spans="1:2" ht="15" customHeight="1">
      <c r="B136" s="2" t="s">
        <v>2174</v>
      </c>
    </row>
    <row r="137" spans="1:2" ht="15" customHeight="1">
      <c r="B137" s="2"/>
    </row>
    <row r="138" spans="1:2" ht="15" customHeight="1">
      <c r="A138" t="s">
        <v>2176</v>
      </c>
      <c r="B138" s="2"/>
    </row>
    <row r="139" spans="1:2" ht="15" customHeight="1">
      <c r="B139" s="2" t="s">
        <v>2177</v>
      </c>
    </row>
    <row r="140" spans="1:2" ht="15" customHeight="1">
      <c r="B140" s="2" t="s">
        <v>2178</v>
      </c>
    </row>
    <row r="141" spans="1:2" ht="15" customHeight="1">
      <c r="B141" s="2" t="s">
        <v>1791</v>
      </c>
    </row>
    <row r="142" spans="1:2" ht="15" customHeight="1">
      <c r="B142" s="2" t="s">
        <v>1792</v>
      </c>
    </row>
    <row r="143" spans="1:2" ht="15" customHeight="1">
      <c r="B143" s="2" t="s">
        <v>2179</v>
      </c>
    </row>
    <row r="144" spans="1:2" ht="15" customHeight="1">
      <c r="B144" s="2"/>
    </row>
    <row r="145" spans="1:2" ht="15" customHeight="1">
      <c r="A145" t="s">
        <v>1764</v>
      </c>
      <c r="B145" s="2"/>
    </row>
    <row r="146" spans="1:2" ht="15" customHeight="1">
      <c r="B146" s="2" t="s">
        <v>2180</v>
      </c>
    </row>
    <row r="147" spans="1:2" ht="15" customHeight="1">
      <c r="B147" s="2" t="s">
        <v>2181</v>
      </c>
    </row>
    <row r="148" spans="1:2" ht="15" customHeight="1">
      <c r="B148" s="2" t="s">
        <v>1793</v>
      </c>
    </row>
    <row r="149" spans="1:2" ht="15" customHeight="1">
      <c r="B149" s="2"/>
    </row>
    <row r="150" spans="1:2" ht="15" customHeight="1">
      <c r="A150" t="s">
        <v>114</v>
      </c>
      <c r="B150" s="2"/>
    </row>
    <row r="151" spans="1:2" ht="15" customHeight="1">
      <c r="B151" s="2" t="s">
        <v>2182</v>
      </c>
    </row>
    <row r="152" spans="1:2" ht="15" customHeight="1">
      <c r="B152" s="722" t="s">
        <v>2185</v>
      </c>
    </row>
    <row r="153" spans="1:2" ht="15" customHeight="1">
      <c r="B153" s="722" t="s">
        <v>2183</v>
      </c>
    </row>
    <row r="154" spans="1:2" ht="15" customHeight="1">
      <c r="B154" s="2" t="s">
        <v>2184</v>
      </c>
    </row>
    <row r="155" spans="1:2" ht="15" customHeight="1">
      <c r="B155" s="2" t="s">
        <v>2186</v>
      </c>
    </row>
    <row r="156" spans="1:2" ht="15" customHeight="1">
      <c r="B156" s="2" t="s">
        <v>2187</v>
      </c>
    </row>
    <row r="157" spans="1:2" ht="15" customHeight="1">
      <c r="B157" s="2"/>
    </row>
    <row r="158" spans="1:2" ht="15" customHeight="1">
      <c r="A158" s="1" t="s">
        <v>2188</v>
      </c>
      <c r="B158" s="2"/>
    </row>
    <row r="159" spans="1:2" ht="15" customHeight="1">
      <c r="B159" s="2"/>
    </row>
    <row r="160" spans="1:2" ht="15" customHeight="1">
      <c r="A160" t="s">
        <v>324</v>
      </c>
    </row>
    <row r="161" spans="1:2" ht="15" customHeight="1">
      <c r="B161" s="2" t="s">
        <v>2193</v>
      </c>
    </row>
    <row r="162" spans="1:2" ht="15" customHeight="1">
      <c r="B162" s="2" t="s">
        <v>2194</v>
      </c>
    </row>
    <row r="163" spans="1:2" ht="15" customHeight="1">
      <c r="B163" s="2"/>
    </row>
    <row r="164" spans="1:2" ht="15" customHeight="1">
      <c r="A164" t="s">
        <v>2195</v>
      </c>
      <c r="B164" s="2"/>
    </row>
    <row r="165" spans="1:2" ht="15" customHeight="1">
      <c r="B165" s="2" t="s">
        <v>2196</v>
      </c>
    </row>
    <row r="166" spans="1:2" ht="15" customHeight="1">
      <c r="B166" s="2" t="s">
        <v>2197</v>
      </c>
    </row>
    <row r="167" spans="1:2" ht="15" customHeight="1">
      <c r="B167" s="2" t="s">
        <v>3853</v>
      </c>
    </row>
    <row r="168" spans="1:2" ht="15" customHeight="1">
      <c r="B168" s="2"/>
    </row>
    <row r="169" spans="1:2" ht="15" customHeight="1">
      <c r="A169" t="s">
        <v>2198</v>
      </c>
      <c r="B169" s="2"/>
    </row>
    <row r="170" spans="1:2" ht="15" customHeight="1">
      <c r="B170" s="2" t="s">
        <v>2199</v>
      </c>
    </row>
    <row r="171" spans="1:2" ht="15" customHeight="1">
      <c r="B171" s="2"/>
    </row>
    <row r="172" spans="1:2" ht="15" customHeight="1">
      <c r="A172" t="s">
        <v>326</v>
      </c>
      <c r="B172" s="2"/>
    </row>
    <row r="173" spans="1:2" ht="15" customHeight="1">
      <c r="B173" s="2" t="s">
        <v>2201</v>
      </c>
    </row>
    <row r="174" spans="1:2" ht="15" customHeight="1">
      <c r="B174" s="2" t="s">
        <v>2202</v>
      </c>
    </row>
    <row r="175" spans="1:2" ht="15" customHeight="1">
      <c r="B175" s="2" t="s">
        <v>2203</v>
      </c>
    </row>
    <row r="176" spans="1:2" ht="15" customHeight="1">
      <c r="B176" s="2" t="s">
        <v>2200</v>
      </c>
    </row>
    <row r="177" spans="1:2" ht="15" customHeight="1">
      <c r="B177" s="2"/>
    </row>
    <row r="178" spans="1:2" ht="15" customHeight="1">
      <c r="A178" t="s">
        <v>3831</v>
      </c>
      <c r="B178" s="2"/>
    </row>
    <row r="179" spans="1:2" ht="15" customHeight="1">
      <c r="B179" s="2" t="s">
        <v>3832</v>
      </c>
    </row>
    <row r="180" spans="1:2" ht="15" customHeight="1">
      <c r="B180" s="2" t="s">
        <v>3833</v>
      </c>
    </row>
    <row r="181" spans="1:2" ht="15" customHeight="1">
      <c r="B181" s="2" t="s">
        <v>3839</v>
      </c>
    </row>
    <row r="182" spans="1:2" ht="15" customHeight="1">
      <c r="B182" s="2"/>
    </row>
    <row r="183" spans="1:2" ht="15" customHeight="1">
      <c r="A183" t="s">
        <v>3842</v>
      </c>
      <c r="B183" s="2"/>
    </row>
    <row r="184" spans="1:2" ht="15" customHeight="1">
      <c r="B184" s="2" t="s">
        <v>3844</v>
      </c>
    </row>
    <row r="185" spans="1:2" ht="15" customHeight="1">
      <c r="B185" s="2" t="s">
        <v>3845</v>
      </c>
    </row>
    <row r="186" spans="1:2" ht="15" customHeight="1">
      <c r="B186" s="2" t="s">
        <v>3846</v>
      </c>
    </row>
    <row r="187" spans="1:2" ht="15" customHeight="1">
      <c r="B187" s="2" t="s">
        <v>3915</v>
      </c>
    </row>
    <row r="188" spans="1:2" ht="15" customHeight="1">
      <c r="B188" s="2"/>
    </row>
    <row r="189" spans="1:2" ht="15" customHeight="1">
      <c r="A189" t="s">
        <v>1877</v>
      </c>
      <c r="B189" s="2"/>
    </row>
    <row r="190" spans="1:2" ht="15" customHeight="1">
      <c r="B190" s="2" t="s">
        <v>3978</v>
      </c>
    </row>
    <row r="191" spans="1:2" ht="15" customHeight="1">
      <c r="B191" s="2" t="s">
        <v>2204</v>
      </c>
    </row>
    <row r="193" spans="1:2" ht="15" customHeight="1">
      <c r="A193" t="s">
        <v>1701</v>
      </c>
    </row>
    <row r="194" spans="1:2" ht="15" customHeight="1">
      <c r="B194" s="2" t="s">
        <v>2205</v>
      </c>
    </row>
    <row r="196" spans="1:2" ht="15" customHeight="1">
      <c r="A196" t="s">
        <v>1722</v>
      </c>
    </row>
    <row r="197" spans="1:2" ht="15" customHeight="1">
      <c r="B197" s="2" t="s">
        <v>3979</v>
      </c>
    </row>
    <row r="198" spans="1:2" ht="15" customHeight="1">
      <c r="B198" s="2" t="s">
        <v>2206</v>
      </c>
    </row>
    <row r="199" spans="1:2" ht="15" customHeight="1">
      <c r="B199" s="2" t="s">
        <v>3840</v>
      </c>
    </row>
    <row r="200" spans="1:2" ht="15" customHeight="1">
      <c r="B200" s="2"/>
    </row>
    <row r="201" spans="1:2" ht="15" customHeight="1">
      <c r="A201" t="s">
        <v>3175</v>
      </c>
      <c r="B201" s="2"/>
    </row>
    <row r="202" spans="1:2" ht="15" customHeight="1">
      <c r="B202" s="2" t="s">
        <v>3180</v>
      </c>
    </row>
    <row r="203" spans="1:2" ht="15" customHeight="1">
      <c r="B203" s="2" t="s">
        <v>3179</v>
      </c>
    </row>
    <row r="204" spans="1:2" ht="15" customHeight="1">
      <c r="B204" s="2" t="s">
        <v>3181</v>
      </c>
    </row>
    <row r="205" spans="1:2" ht="15" customHeight="1">
      <c r="B205" s="2"/>
    </row>
    <row r="206" spans="1:2" ht="15" customHeight="1">
      <c r="A206" t="s">
        <v>3847</v>
      </c>
      <c r="B206" s="2"/>
    </row>
    <row r="207" spans="1:2" ht="15" customHeight="1">
      <c r="B207" s="2" t="s">
        <v>3849</v>
      </c>
    </row>
    <row r="208" spans="1:2" ht="15" customHeight="1">
      <c r="B208" s="2" t="s">
        <v>3854</v>
      </c>
    </row>
    <row r="209" spans="1:2" ht="15" customHeight="1">
      <c r="B209" s="2" t="s">
        <v>3850</v>
      </c>
    </row>
    <row r="210" spans="1:2" ht="15" customHeight="1">
      <c r="B210" s="2" t="s">
        <v>3851</v>
      </c>
    </row>
    <row r="211" spans="1:2" ht="15" customHeight="1">
      <c r="B211" s="2"/>
    </row>
    <row r="212" spans="1:2" ht="15" customHeight="1">
      <c r="A212" s="1" t="s">
        <v>2189</v>
      </c>
      <c r="B212" s="2"/>
    </row>
    <row r="213" spans="1:2" ht="15" customHeight="1">
      <c r="A213" s="1"/>
      <c r="B213" s="2"/>
    </row>
    <row r="214" spans="1:2" ht="15" customHeight="1">
      <c r="A214" s="25" t="s">
        <v>3826</v>
      </c>
      <c r="B214" s="2"/>
    </row>
    <row r="215" spans="1:2" ht="15" customHeight="1">
      <c r="A215" s="1"/>
      <c r="B215" s="2" t="s">
        <v>3828</v>
      </c>
    </row>
    <row r="216" spans="1:2" ht="15" customHeight="1">
      <c r="A216" s="1"/>
      <c r="B216" s="2"/>
    </row>
    <row r="217" spans="1:2" ht="15" customHeight="1">
      <c r="A217" s="25" t="s">
        <v>3827</v>
      </c>
      <c r="B217" s="2"/>
    </row>
    <row r="218" spans="1:2" ht="15" customHeight="1">
      <c r="A218" s="1"/>
      <c r="B218" s="2" t="s">
        <v>3829</v>
      </c>
    </row>
    <row r="219" spans="1:2" ht="15" customHeight="1">
      <c r="A219" s="1"/>
      <c r="B219" s="2" t="s">
        <v>3830</v>
      </c>
    </row>
    <row r="220" spans="1:2" ht="15" customHeight="1">
      <c r="A220" s="1"/>
      <c r="B220" s="2"/>
    </row>
    <row r="221" spans="1:2" ht="15" customHeight="1">
      <c r="A221" s="25" t="s">
        <v>3807</v>
      </c>
      <c r="B221" s="2"/>
    </row>
    <row r="222" spans="1:2" ht="15" customHeight="1">
      <c r="A222" s="1"/>
      <c r="B222" s="2" t="s">
        <v>3808</v>
      </c>
    </row>
    <row r="223" spans="1:2" ht="15" customHeight="1">
      <c r="B223" s="2"/>
    </row>
    <row r="224" spans="1:2" ht="15" customHeight="1">
      <c r="A224" t="s">
        <v>2207</v>
      </c>
      <c r="B224" s="2"/>
    </row>
    <row r="225" spans="1:2" ht="15" customHeight="1">
      <c r="B225" s="2" t="s">
        <v>2208</v>
      </c>
    </row>
    <row r="226" spans="1:2" ht="15" customHeight="1">
      <c r="B226" s="2"/>
    </row>
    <row r="227" spans="1:2" ht="15" customHeight="1">
      <c r="A227" s="1" t="s">
        <v>2190</v>
      </c>
      <c r="B227" s="2"/>
    </row>
    <row r="229" spans="1:2" ht="15" customHeight="1">
      <c r="A229" t="s">
        <v>2209</v>
      </c>
    </row>
    <row r="230" spans="1:2" ht="15" customHeight="1">
      <c r="B230" s="2" t="s">
        <v>2210</v>
      </c>
    </row>
    <row r="231" spans="1:2" ht="15" customHeight="1">
      <c r="B231" s="2" t="s">
        <v>3901</v>
      </c>
    </row>
    <row r="233" spans="1:2" ht="15" customHeight="1">
      <c r="A233" t="s">
        <v>2218</v>
      </c>
    </row>
    <row r="234" spans="1:2" ht="15" customHeight="1">
      <c r="B234" s="2" t="s">
        <v>2211</v>
      </c>
    </row>
    <row r="235" spans="1:2" ht="15" customHeight="1">
      <c r="B235" s="2" t="s">
        <v>2212</v>
      </c>
    </row>
    <row r="236" spans="1:2" ht="15" customHeight="1">
      <c r="B236" s="2" t="s">
        <v>2213</v>
      </c>
    </row>
    <row r="237" spans="1:2" ht="15" customHeight="1">
      <c r="B237" s="2" t="s">
        <v>2214</v>
      </c>
    </row>
    <row r="238" spans="1:2" ht="15" customHeight="1">
      <c r="B238" s="2" t="s">
        <v>2716</v>
      </c>
    </row>
    <row r="239" spans="1:2" ht="15" customHeight="1">
      <c r="B239" s="2" t="s">
        <v>2215</v>
      </c>
    </row>
    <row r="240" spans="1:2" ht="15" customHeight="1">
      <c r="B240" s="2" t="s">
        <v>2216</v>
      </c>
    </row>
    <row r="241" spans="1:2" ht="15" customHeight="1">
      <c r="B241" s="2" t="s">
        <v>3552</v>
      </c>
    </row>
    <row r="242" spans="1:2" ht="15" customHeight="1">
      <c r="B242" s="2" t="s">
        <v>2217</v>
      </c>
    </row>
    <row r="243" spans="1:2" ht="15" customHeight="1">
      <c r="B243" s="2" t="s">
        <v>3553</v>
      </c>
    </row>
    <row r="244" spans="1:2" ht="15" customHeight="1">
      <c r="B244" s="2" t="s">
        <v>3554</v>
      </c>
    </row>
    <row r="245" spans="1:2" ht="15" customHeight="1">
      <c r="B245" s="2" t="s">
        <v>3555</v>
      </c>
    </row>
    <row r="246" spans="1:2" ht="15" customHeight="1">
      <c r="B246" s="2" t="s">
        <v>3556</v>
      </c>
    </row>
    <row r="247" spans="1:2" ht="15" customHeight="1">
      <c r="B247" s="2" t="s">
        <v>3557</v>
      </c>
    </row>
    <row r="248" spans="1:2" ht="15" customHeight="1">
      <c r="B248" s="2"/>
    </row>
    <row r="249" spans="1:2" ht="15" customHeight="1">
      <c r="A249" t="s">
        <v>2223</v>
      </c>
    </row>
    <row r="250" spans="1:2" ht="15" customHeight="1">
      <c r="B250" s="2" t="s">
        <v>2219</v>
      </c>
    </row>
    <row r="251" spans="1:2" ht="15" customHeight="1">
      <c r="B251" s="2" t="s">
        <v>2220</v>
      </c>
    </row>
    <row r="252" spans="1:2" ht="15" customHeight="1">
      <c r="B252" s="2" t="s">
        <v>2221</v>
      </c>
    </row>
    <row r="253" spans="1:2" ht="15" customHeight="1">
      <c r="B253" s="804" t="s">
        <v>2222</v>
      </c>
    </row>
    <row r="254" spans="1:2" ht="15" customHeight="1">
      <c r="B254" s="804"/>
    </row>
    <row r="255" spans="1:2" ht="15" customHeight="1">
      <c r="A255" t="s">
        <v>2224</v>
      </c>
    </row>
    <row r="256" spans="1:2" ht="15" customHeight="1">
      <c r="B256" s="2" t="s">
        <v>2225</v>
      </c>
    </row>
    <row r="257" spans="1:2" ht="15" customHeight="1">
      <c r="B257" s="2" t="s">
        <v>2226</v>
      </c>
    </row>
    <row r="258" spans="1:2" ht="15" customHeight="1">
      <c r="B258" s="2" t="s">
        <v>2228</v>
      </c>
    </row>
    <row r="259" spans="1:2" ht="15" customHeight="1">
      <c r="B259" s="2" t="s">
        <v>2229</v>
      </c>
    </row>
    <row r="260" spans="1:2" ht="15" customHeight="1">
      <c r="B260" s="2" t="s">
        <v>2227</v>
      </c>
    </row>
    <row r="261" spans="1:2" ht="15" customHeight="1">
      <c r="B261" s="2"/>
    </row>
    <row r="262" spans="1:2" ht="15" customHeight="1">
      <c r="A262" t="s">
        <v>2230</v>
      </c>
      <c r="B262" s="2"/>
    </row>
    <row r="263" spans="1:2" ht="15" customHeight="1">
      <c r="B263" s="2" t="s">
        <v>2231</v>
      </c>
    </row>
    <row r="264" spans="1:2" ht="15" customHeight="1">
      <c r="B264" s="2" t="s">
        <v>2232</v>
      </c>
    </row>
    <row r="265" spans="1:2" ht="15" customHeight="1">
      <c r="B265" s="2" t="s">
        <v>2233</v>
      </c>
    </row>
    <row r="266" spans="1:2" ht="15" customHeight="1">
      <c r="B266" s="2" t="s">
        <v>2234</v>
      </c>
    </row>
    <row r="267" spans="1:2" ht="15" customHeight="1">
      <c r="B267" s="2" t="s">
        <v>2235</v>
      </c>
    </row>
    <row r="268" spans="1:2" ht="15" customHeight="1">
      <c r="B268" s="2"/>
    </row>
    <row r="269" spans="1:2" ht="15" customHeight="1">
      <c r="A269" t="s">
        <v>3679</v>
      </c>
      <c r="B269" s="2"/>
    </row>
    <row r="270" spans="1:2" ht="15" customHeight="1">
      <c r="B270" s="2" t="s">
        <v>3680</v>
      </c>
    </row>
    <row r="271" spans="1:2" ht="15" customHeight="1">
      <c r="B271" s="2" t="s">
        <v>3682</v>
      </c>
    </row>
    <row r="272" spans="1:2" ht="15" customHeight="1">
      <c r="B272" s="2" t="s">
        <v>3681</v>
      </c>
    </row>
    <row r="273" spans="1:2" ht="15" customHeight="1">
      <c r="B273" s="2" t="s">
        <v>3683</v>
      </c>
    </row>
    <row r="274" spans="1:2" ht="15" customHeight="1">
      <c r="B274" s="2" t="s">
        <v>3684</v>
      </c>
    </row>
    <row r="275" spans="1:2" ht="15" customHeight="1">
      <c r="B275" s="2" t="s">
        <v>3685</v>
      </c>
    </row>
    <row r="276" spans="1:2" ht="15" customHeight="1">
      <c r="B276" s="2"/>
    </row>
    <row r="277" spans="1:2" ht="15" customHeight="1">
      <c r="A277" t="s">
        <v>4215</v>
      </c>
      <c r="B277" s="2"/>
    </row>
    <row r="278" spans="1:2" ht="15" customHeight="1">
      <c r="B278" s="2" t="s">
        <v>4216</v>
      </c>
    </row>
    <row r="279" spans="1:2" ht="15" customHeight="1">
      <c r="B279" s="2" t="s">
        <v>4234</v>
      </c>
    </row>
    <row r="280" spans="1:2" ht="15" customHeight="1">
      <c r="B280" s="2"/>
    </row>
    <row r="281" spans="1:2" ht="15" customHeight="1">
      <c r="A281" s="1" t="s">
        <v>3964</v>
      </c>
      <c r="B281" s="2"/>
    </row>
    <row r="283" spans="1:2" ht="15" customHeight="1">
      <c r="A283" t="s">
        <v>327</v>
      </c>
    </row>
    <row r="284" spans="1:2" ht="15" customHeight="1">
      <c r="B284" s="2" t="s">
        <v>2236</v>
      </c>
    </row>
    <row r="286" spans="1:2" ht="15" customHeight="1">
      <c r="A286" t="s">
        <v>2237</v>
      </c>
    </row>
    <row r="287" spans="1:2" ht="15" customHeight="1">
      <c r="B287" s="2" t="s">
        <v>2238</v>
      </c>
    </row>
    <row r="288" spans="1:2" ht="15" customHeight="1">
      <c r="B288" s="2" t="s">
        <v>2239</v>
      </c>
    </row>
    <row r="289" spans="1:2" ht="15" customHeight="1">
      <c r="B289" s="2" t="s">
        <v>3687</v>
      </c>
    </row>
    <row r="290" spans="1:2" ht="15" customHeight="1">
      <c r="B290" s="2" t="s">
        <v>3688</v>
      </c>
    </row>
    <row r="292" spans="1:2" ht="15" customHeight="1">
      <c r="A292" t="s">
        <v>2240</v>
      </c>
    </row>
    <row r="293" spans="1:2" ht="15" customHeight="1">
      <c r="B293" s="2" t="s">
        <v>2241</v>
      </c>
    </row>
    <row r="294" spans="1:2" ht="15" customHeight="1">
      <c r="B294" s="2" t="s">
        <v>2242</v>
      </c>
    </row>
    <row r="295" spans="1:2" ht="15" customHeight="1">
      <c r="B295" s="2" t="s">
        <v>2243</v>
      </c>
    </row>
    <row r="296" spans="1:2" ht="15" customHeight="1">
      <c r="B296" s="2" t="s">
        <v>2244</v>
      </c>
    </row>
    <row r="298" spans="1:2" ht="15" customHeight="1">
      <c r="A298" t="s">
        <v>2245</v>
      </c>
    </row>
    <row r="299" spans="1:2" ht="15" customHeight="1">
      <c r="B299" s="2" t="s">
        <v>2246</v>
      </c>
    </row>
    <row r="300" spans="1:2" ht="15" customHeight="1">
      <c r="B300" s="2" t="s">
        <v>2247</v>
      </c>
    </row>
    <row r="301" spans="1:2" ht="15" customHeight="1">
      <c r="B301" s="2" t="s">
        <v>2248</v>
      </c>
    </row>
    <row r="302" spans="1:2" ht="15" customHeight="1">
      <c r="B302" s="2" t="s">
        <v>3326</v>
      </c>
    </row>
    <row r="303" spans="1:2" ht="15" customHeight="1">
      <c r="B303" s="2"/>
    </row>
    <row r="304" spans="1:2" ht="15" customHeight="1">
      <c r="A304" t="s">
        <v>1804</v>
      </c>
      <c r="B304" s="2"/>
    </row>
    <row r="305" spans="1:2" ht="15" customHeight="1">
      <c r="B305" s="2" t="s">
        <v>2249</v>
      </c>
    </row>
    <row r="306" spans="1:2" ht="15" customHeight="1">
      <c r="B306" s="2"/>
    </row>
    <row r="307" spans="1:2" ht="15" customHeight="1">
      <c r="A307" t="s">
        <v>2250</v>
      </c>
      <c r="B307" s="2"/>
    </row>
    <row r="308" spans="1:2" ht="15" customHeight="1">
      <c r="B308" s="2" t="s">
        <v>2251</v>
      </c>
    </row>
    <row r="309" spans="1:2" ht="15" customHeight="1">
      <c r="B309" s="2" t="s">
        <v>2252</v>
      </c>
    </row>
    <row r="310" spans="1:2" ht="15" customHeight="1">
      <c r="B310" s="2"/>
    </row>
    <row r="311" spans="1:2" ht="15" customHeight="1">
      <c r="A311" t="s">
        <v>3691</v>
      </c>
      <c r="B311" s="2"/>
    </row>
    <row r="312" spans="1:2" ht="15" customHeight="1">
      <c r="B312" s="2" t="s">
        <v>3692</v>
      </c>
    </row>
    <row r="313" spans="1:2" ht="15" customHeight="1">
      <c r="B313" s="2" t="s">
        <v>3689</v>
      </c>
    </row>
    <row r="314" spans="1:2" ht="15" customHeight="1">
      <c r="B314" s="2" t="s">
        <v>3690</v>
      </c>
    </row>
    <row r="315" spans="1:2" ht="15" customHeight="1">
      <c r="B315" s="2"/>
    </row>
    <row r="316" spans="1:2" ht="15" customHeight="1">
      <c r="A316" s="1" t="s">
        <v>3965</v>
      </c>
      <c r="B316" s="2"/>
    </row>
    <row r="317" spans="1:2" ht="15" customHeight="1">
      <c r="B317" s="2"/>
    </row>
    <row r="318" spans="1:2" ht="15" customHeight="1">
      <c r="A318" t="s">
        <v>2253</v>
      </c>
      <c r="B318" s="2"/>
    </row>
    <row r="319" spans="1:2" ht="15" customHeight="1">
      <c r="B319" s="2" t="s">
        <v>2254</v>
      </c>
    </row>
    <row r="320" spans="1:2" ht="15" customHeight="1">
      <c r="B320" s="2" t="s">
        <v>2255</v>
      </c>
    </row>
    <row r="321" spans="1:2" ht="15" customHeight="1">
      <c r="B321" s="2"/>
    </row>
    <row r="322" spans="1:2" ht="15" customHeight="1">
      <c r="A322" t="s">
        <v>3695</v>
      </c>
      <c r="B322" s="2"/>
    </row>
    <row r="323" spans="1:2" ht="15" customHeight="1">
      <c r="B323" s="2" t="s">
        <v>3696</v>
      </c>
    </row>
    <row r="324" spans="1:2" ht="15" customHeight="1">
      <c r="B324" s="2" t="s">
        <v>3697</v>
      </c>
    </row>
    <row r="325" spans="1:2" ht="15" customHeight="1">
      <c r="B325" s="2" t="s">
        <v>3698</v>
      </c>
    </row>
    <row r="326" spans="1:2" ht="15" customHeight="1">
      <c r="B326" s="2"/>
    </row>
    <row r="327" spans="1:2" ht="15" customHeight="1">
      <c r="A327" s="1" t="s">
        <v>2191</v>
      </c>
      <c r="B327" s="2"/>
    </row>
    <row r="328" spans="1:2" ht="15" customHeight="1">
      <c r="B328" s="25"/>
    </row>
    <row r="329" spans="1:2" ht="15" customHeight="1">
      <c r="A329" t="s">
        <v>2256</v>
      </c>
      <c r="B329" s="2"/>
    </row>
    <row r="330" spans="1:2" ht="15" customHeight="1">
      <c r="B330" s="2" t="s">
        <v>2260</v>
      </c>
    </row>
    <row r="331" spans="1:2" ht="15" customHeight="1">
      <c r="B331" s="2" t="s">
        <v>2257</v>
      </c>
    </row>
    <row r="332" spans="1:2" ht="15" customHeight="1">
      <c r="B332" s="2" t="s">
        <v>2258</v>
      </c>
    </row>
    <row r="333" spans="1:2" ht="15" customHeight="1">
      <c r="B333" s="2" t="s">
        <v>2259</v>
      </c>
    </row>
    <row r="334" spans="1:2" ht="15" customHeight="1">
      <c r="B334" s="2"/>
    </row>
    <row r="335" spans="1:2" ht="15" customHeight="1">
      <c r="A335" t="s">
        <v>2261</v>
      </c>
      <c r="B335" s="2"/>
    </row>
    <row r="336" spans="1:2" ht="15" customHeight="1">
      <c r="B336" s="2" t="s">
        <v>2262</v>
      </c>
    </row>
    <row r="337" spans="1:2" ht="15" customHeight="1">
      <c r="B337" s="2"/>
    </row>
    <row r="338" spans="1:2" ht="15" customHeight="1">
      <c r="A338" t="s">
        <v>2471</v>
      </c>
      <c r="B338" s="2"/>
    </row>
    <row r="339" spans="1:2" ht="15" customHeight="1">
      <c r="B339" s="952"/>
    </row>
    <row r="340" spans="1:2" ht="15" customHeight="1">
      <c r="A340" t="s">
        <v>2697</v>
      </c>
      <c r="B340" s="2"/>
    </row>
    <row r="341" spans="1:2" ht="15" customHeight="1">
      <c r="B341" s="2" t="s">
        <v>2474</v>
      </c>
    </row>
    <row r="342" spans="1:2" ht="15" customHeight="1">
      <c r="B342" s="2" t="s">
        <v>2475</v>
      </c>
    </row>
    <row r="343" spans="1:2" ht="15" customHeight="1">
      <c r="B343" s="2"/>
    </row>
    <row r="344" spans="1:2" ht="15" customHeight="1">
      <c r="A344" t="s">
        <v>2698</v>
      </c>
      <c r="B344" s="2"/>
    </row>
    <row r="345" spans="1:2" ht="15" customHeight="1">
      <c r="B345" s="2" t="s">
        <v>2476</v>
      </c>
    </row>
    <row r="346" spans="1:2" ht="15" customHeight="1">
      <c r="B346" s="2" t="s">
        <v>2477</v>
      </c>
    </row>
    <row r="347" spans="1:2" ht="15" customHeight="1">
      <c r="B347" s="2"/>
    </row>
    <row r="348" spans="1:2" ht="15" customHeight="1">
      <c r="A348" t="s">
        <v>2699</v>
      </c>
      <c r="B348" s="2"/>
    </row>
    <row r="349" spans="1:2" ht="15" customHeight="1">
      <c r="B349" s="2" t="s">
        <v>2472</v>
      </c>
    </row>
    <row r="350" spans="1:2" s="25" customFormat="1" ht="15" customHeight="1">
      <c r="B350" s="2" t="s">
        <v>2473</v>
      </c>
    </row>
    <row r="351" spans="1:2" ht="15" customHeight="1">
      <c r="B351" s="2"/>
    </row>
    <row r="352" spans="1:2" ht="15" customHeight="1">
      <c r="A352" t="s">
        <v>2700</v>
      </c>
      <c r="B352" s="2"/>
    </row>
    <row r="353" spans="1:2" ht="15" customHeight="1">
      <c r="B353" s="2" t="s">
        <v>2472</v>
      </c>
    </row>
    <row r="354" spans="1:2" ht="15" customHeight="1">
      <c r="B354" s="2" t="s">
        <v>2701</v>
      </c>
    </row>
    <row r="355" spans="1:2" ht="15" customHeight="1">
      <c r="B355" s="2" t="s">
        <v>2702</v>
      </c>
    </row>
    <row r="356" spans="1:2" ht="15" customHeight="1">
      <c r="B356" s="2" t="s">
        <v>2703</v>
      </c>
    </row>
    <row r="357" spans="1:2" ht="15" customHeight="1">
      <c r="B357" s="2"/>
    </row>
    <row r="358" spans="1:2" ht="15" customHeight="1">
      <c r="A358" t="s">
        <v>2263</v>
      </c>
      <c r="B358" s="2"/>
    </row>
    <row r="359" spans="1:2" ht="15" customHeight="1">
      <c r="B359" s="2" t="s">
        <v>2264</v>
      </c>
    </row>
    <row r="360" spans="1:2" ht="15" customHeight="1">
      <c r="B360" s="2"/>
    </row>
    <row r="361" spans="1:2" ht="15" customHeight="1">
      <c r="A361" s="1" t="s">
        <v>2192</v>
      </c>
      <c r="B361" s="2"/>
    </row>
    <row r="362" spans="1:2" ht="15" customHeight="1">
      <c r="B362" s="2"/>
    </row>
    <row r="363" spans="1:2" ht="15" customHeight="1">
      <c r="A363" t="s">
        <v>2399</v>
      </c>
      <c r="B363" s="2"/>
    </row>
    <row r="364" spans="1:2" ht="15" customHeight="1">
      <c r="B364" s="2" t="s">
        <v>4031</v>
      </c>
    </row>
    <row r="365" spans="1:2" ht="15" customHeight="1">
      <c r="B365" s="2" t="s">
        <v>4032</v>
      </c>
    </row>
    <row r="366" spans="1:2" ht="15" customHeight="1">
      <c r="B366" s="2"/>
    </row>
    <row r="367" spans="1:2" ht="15" customHeight="1">
      <c r="A367" t="s">
        <v>2400</v>
      </c>
      <c r="B367" s="2"/>
    </row>
    <row r="368" spans="1:2" ht="15" customHeight="1">
      <c r="B368" s="2" t="s">
        <v>2457</v>
      </c>
    </row>
    <row r="369" spans="1:2" ht="15" customHeight="1">
      <c r="B369" s="2" t="s">
        <v>2462</v>
      </c>
    </row>
    <row r="370" spans="1:2" ht="15" customHeight="1">
      <c r="B370" s="2" t="s">
        <v>2458</v>
      </c>
    </row>
    <row r="371" spans="1:2" ht="15" customHeight="1">
      <c r="B371" s="2" t="s">
        <v>2459</v>
      </c>
    </row>
    <row r="372" spans="1:2" ht="15" customHeight="1">
      <c r="B372" s="2" t="s">
        <v>4186</v>
      </c>
    </row>
    <row r="373" spans="1:2" ht="15" customHeight="1">
      <c r="B373" s="2" t="s">
        <v>4238</v>
      </c>
    </row>
    <row r="374" spans="1:2" ht="15" customHeight="1">
      <c r="B374" s="2" t="s">
        <v>4204</v>
      </c>
    </row>
    <row r="376" spans="1:2" ht="15" customHeight="1">
      <c r="A376" t="s">
        <v>2401</v>
      </c>
      <c r="B376" s="2"/>
    </row>
    <row r="377" spans="1:2" ht="15" customHeight="1">
      <c r="B377" s="2" t="s">
        <v>2460</v>
      </c>
    </row>
    <row r="378" spans="1:2" ht="15" customHeight="1">
      <c r="B378" s="2" t="s">
        <v>2461</v>
      </c>
    </row>
    <row r="379" spans="1:2" ht="15" customHeight="1">
      <c r="B379" s="2" t="s">
        <v>4248</v>
      </c>
    </row>
    <row r="380" spans="1:2" ht="15" customHeight="1">
      <c r="B380" s="2" t="s">
        <v>4187</v>
      </c>
    </row>
    <row r="381" spans="1:2" ht="15" customHeight="1">
      <c r="B381" s="2"/>
    </row>
    <row r="382" spans="1:2" ht="15" customHeight="1">
      <c r="A382" t="s">
        <v>2402</v>
      </c>
      <c r="B382" s="2"/>
    </row>
    <row r="383" spans="1:2" ht="15" customHeight="1">
      <c r="B383" s="2" t="s">
        <v>2403</v>
      </c>
    </row>
    <row r="384" spans="1:2" ht="15" customHeight="1">
      <c r="B384" s="2" t="s">
        <v>2404</v>
      </c>
    </row>
    <row r="385" spans="1:2" ht="15" customHeight="1">
      <c r="B385" s="2" t="s">
        <v>2579</v>
      </c>
    </row>
    <row r="386" spans="1:2" ht="15" customHeight="1">
      <c r="B386" s="2" t="s">
        <v>2405</v>
      </c>
    </row>
    <row r="387" spans="1:2" ht="15" customHeight="1">
      <c r="B387" s="2" t="s">
        <v>4186</v>
      </c>
    </row>
    <row r="388" spans="1:2" ht="15" customHeight="1">
      <c r="B388" s="2" t="s">
        <v>4187</v>
      </c>
    </row>
    <row r="389" spans="1:2" ht="15" customHeight="1">
      <c r="B389" s="2"/>
    </row>
    <row r="390" spans="1:2" ht="15" customHeight="1">
      <c r="A390" t="s">
        <v>2406</v>
      </c>
      <c r="B390" s="2"/>
    </row>
    <row r="391" spans="1:2" ht="15" customHeight="1">
      <c r="B391" s="2" t="s">
        <v>2407</v>
      </c>
    </row>
    <row r="392" spans="1:2" ht="15" customHeight="1">
      <c r="B392" s="2" t="s">
        <v>2408</v>
      </c>
    </row>
    <row r="393" spans="1:2" ht="15" customHeight="1">
      <c r="B393" s="2"/>
    </row>
    <row r="394" spans="1:2" ht="15" customHeight="1">
      <c r="A394" t="s">
        <v>2409</v>
      </c>
      <c r="B394" s="2"/>
    </row>
    <row r="395" spans="1:2" ht="15" customHeight="1">
      <c r="B395" s="2" t="s">
        <v>2410</v>
      </c>
    </row>
    <row r="396" spans="1:2" ht="15" customHeight="1">
      <c r="B396" s="2" t="s">
        <v>2411</v>
      </c>
    </row>
    <row r="397" spans="1:2" ht="15" customHeight="1">
      <c r="B397" s="2" t="s">
        <v>4185</v>
      </c>
    </row>
    <row r="398" spans="1:2" ht="15" customHeight="1">
      <c r="B398" s="2"/>
    </row>
    <row r="399" spans="1:2" ht="15" customHeight="1">
      <c r="A399" t="s">
        <v>3677</v>
      </c>
      <c r="B399" s="2"/>
    </row>
    <row r="400" spans="1:2" ht="15" customHeight="1">
      <c r="B400" s="2" t="s">
        <v>3678</v>
      </c>
    </row>
    <row r="401" spans="1:2" ht="15" customHeight="1">
      <c r="B401" s="2"/>
    </row>
    <row r="402" spans="1:2" ht="15" customHeight="1">
      <c r="A402" t="s">
        <v>3566</v>
      </c>
      <c r="B402" s="2"/>
    </row>
    <row r="403" spans="1:2" ht="15" customHeight="1">
      <c r="B403" s="2" t="s">
        <v>3567</v>
      </c>
    </row>
    <row r="404" spans="1:2" ht="15" customHeight="1">
      <c r="B404" s="2"/>
    </row>
    <row r="405" spans="1:2" ht="15" customHeight="1">
      <c r="A405" t="s">
        <v>2300</v>
      </c>
      <c r="B405" s="2"/>
    </row>
    <row r="406" spans="1:2" ht="15" customHeight="1">
      <c r="B406" s="2" t="s">
        <v>2301</v>
      </c>
    </row>
    <row r="407" spans="1:2" ht="15" customHeight="1">
      <c r="B407" s="2" t="s">
        <v>2302</v>
      </c>
    </row>
    <row r="408" spans="1:2" ht="15" customHeight="1">
      <c r="B408" s="2" t="s">
        <v>2303</v>
      </c>
    </row>
    <row r="409" spans="1:2" ht="15" customHeight="1">
      <c r="B409" s="2"/>
    </row>
    <row r="410" spans="1:2" ht="15" customHeight="1">
      <c r="A410" s="1" t="s">
        <v>2265</v>
      </c>
      <c r="B410" s="2"/>
    </row>
    <row r="412" spans="1:2" ht="15" customHeight="1">
      <c r="A412" t="s">
        <v>2285</v>
      </c>
      <c r="B412" s="2"/>
    </row>
    <row r="413" spans="1:2" ht="15" customHeight="1">
      <c r="B413" s="2" t="s">
        <v>2412</v>
      </c>
    </row>
    <row r="414" spans="1:2" ht="15" customHeight="1">
      <c r="B414" s="2" t="s">
        <v>2413</v>
      </c>
    </row>
    <row r="415" spans="1:2" ht="15" customHeight="1">
      <c r="B415" s="2" t="s">
        <v>2511</v>
      </c>
    </row>
    <row r="416" spans="1:2" ht="15" customHeight="1">
      <c r="B416" s="2" t="s">
        <v>2414</v>
      </c>
    </row>
    <row r="417" spans="1:2" ht="15" customHeight="1">
      <c r="B417" s="2" t="s">
        <v>2090</v>
      </c>
    </row>
    <row r="418" spans="1:2" ht="15" customHeight="1">
      <c r="B418" s="2"/>
    </row>
    <row r="419" spans="1:2" ht="15" customHeight="1">
      <c r="A419" t="s">
        <v>669</v>
      </c>
      <c r="B419" s="2"/>
    </row>
    <row r="420" spans="1:2" ht="15" customHeight="1">
      <c r="B420" s="2" t="s">
        <v>2831</v>
      </c>
    </row>
    <row r="421" spans="1:2" ht="15" customHeight="1">
      <c r="B421" s="2" t="s">
        <v>2834</v>
      </c>
    </row>
    <row r="422" spans="1:2" ht="15" customHeight="1">
      <c r="B422" s="2" t="s">
        <v>2835</v>
      </c>
    </row>
    <row r="423" spans="1:2" ht="15" customHeight="1">
      <c r="B423" s="2"/>
    </row>
    <row r="424" spans="1:2" ht="15" customHeight="1">
      <c r="A424" t="s">
        <v>928</v>
      </c>
      <c r="B424" s="2"/>
    </row>
    <row r="425" spans="1:2" ht="15" customHeight="1">
      <c r="B425" s="2" t="s">
        <v>2415</v>
      </c>
    </row>
    <row r="426" spans="1:2" ht="15" customHeight="1">
      <c r="B426" s="2" t="s">
        <v>2426</v>
      </c>
    </row>
    <row r="427" spans="1:2" ht="15" customHeight="1">
      <c r="B427" s="2" t="s">
        <v>2427</v>
      </c>
    </row>
    <row r="428" spans="1:2" ht="15" customHeight="1">
      <c r="B428" s="2" t="s">
        <v>2428</v>
      </c>
    </row>
    <row r="429" spans="1:2" ht="15" customHeight="1">
      <c r="B429" s="2" t="s">
        <v>3478</v>
      </c>
    </row>
    <row r="430" spans="1:2" ht="15" customHeight="1">
      <c r="B430" s="2"/>
    </row>
    <row r="431" spans="1:2" ht="15" customHeight="1">
      <c r="A431" t="s">
        <v>2416</v>
      </c>
      <c r="B431" s="2"/>
    </row>
    <row r="432" spans="1:2" ht="15" customHeight="1">
      <c r="B432" s="2" t="s">
        <v>2417</v>
      </c>
    </row>
    <row r="433" spans="1:2" ht="15" customHeight="1">
      <c r="B433" s="2" t="s">
        <v>2443</v>
      </c>
    </row>
    <row r="434" spans="1:2" ht="15" customHeight="1">
      <c r="B434" s="2" t="s">
        <v>2730</v>
      </c>
    </row>
    <row r="435" spans="1:2" ht="15" customHeight="1">
      <c r="B435" s="2" t="s">
        <v>2731</v>
      </c>
    </row>
    <row r="436" spans="1:2" ht="15" customHeight="1">
      <c r="B436" s="2" t="s">
        <v>2732</v>
      </c>
    </row>
    <row r="437" spans="1:2" ht="15" customHeight="1">
      <c r="B437" s="2" t="s">
        <v>2733</v>
      </c>
    </row>
    <row r="438" spans="1:2" ht="15" customHeight="1">
      <c r="B438" s="2"/>
    </row>
    <row r="439" spans="1:2" ht="15" customHeight="1">
      <c r="A439" t="s">
        <v>1151</v>
      </c>
      <c r="B439" s="2"/>
    </row>
    <row r="440" spans="1:2" ht="15" customHeight="1">
      <c r="B440" s="2" t="s">
        <v>2418</v>
      </c>
    </row>
    <row r="441" spans="1:2" ht="15" customHeight="1">
      <c r="B441" s="2" t="s">
        <v>2770</v>
      </c>
    </row>
    <row r="442" spans="1:2" ht="15" customHeight="1">
      <c r="B442" s="2" t="s">
        <v>2771</v>
      </c>
    </row>
    <row r="443" spans="1:2" ht="15" customHeight="1">
      <c r="B443" s="2" t="s">
        <v>1007</v>
      </c>
    </row>
    <row r="444" spans="1:2" ht="15" customHeight="1">
      <c r="B444" s="2" t="s">
        <v>2419</v>
      </c>
    </row>
    <row r="445" spans="1:2" ht="15" customHeight="1">
      <c r="B445" s="2" t="s">
        <v>2420</v>
      </c>
    </row>
    <row r="446" spans="1:2" ht="15" customHeight="1">
      <c r="B446" s="2"/>
    </row>
    <row r="447" spans="1:2" ht="15" customHeight="1">
      <c r="A447" t="s">
        <v>924</v>
      </c>
      <c r="B447" s="2"/>
    </row>
    <row r="448" spans="1:2" ht="15" customHeight="1">
      <c r="B448" s="2" t="s">
        <v>2421</v>
      </c>
    </row>
    <row r="449" spans="1:2" ht="15" customHeight="1">
      <c r="B449" s="2"/>
    </row>
    <row r="450" spans="1:2" ht="15" customHeight="1">
      <c r="A450" t="s">
        <v>379</v>
      </c>
      <c r="B450" s="2"/>
    </row>
    <row r="451" spans="1:2" ht="15" customHeight="1">
      <c r="B451" s="2" t="s">
        <v>2425</v>
      </c>
    </row>
    <row r="452" spans="1:2" ht="15" customHeight="1">
      <c r="B452" s="2" t="s">
        <v>2429</v>
      </c>
    </row>
    <row r="453" spans="1:2" ht="15" customHeight="1">
      <c r="B453" s="2" t="s">
        <v>2430</v>
      </c>
    </row>
    <row r="454" spans="1:2" ht="15" customHeight="1">
      <c r="B454" s="2"/>
    </row>
    <row r="455" spans="1:2" ht="15" customHeight="1">
      <c r="A455" t="s">
        <v>114</v>
      </c>
      <c r="B455" s="2"/>
    </row>
    <row r="456" spans="1:2" ht="15" customHeight="1">
      <c r="B456" s="2" t="s">
        <v>3694</v>
      </c>
    </row>
    <row r="457" spans="1:2" ht="15" customHeight="1">
      <c r="B457" s="2" t="s">
        <v>3693</v>
      </c>
    </row>
    <row r="458" spans="1:2" ht="15" customHeight="1">
      <c r="B458" s="2"/>
    </row>
    <row r="459" spans="1:2" ht="15" customHeight="1">
      <c r="A459" t="s">
        <v>2422</v>
      </c>
      <c r="B459" s="2"/>
    </row>
    <row r="460" spans="1:2" ht="15" customHeight="1">
      <c r="B460" s="2" t="s">
        <v>2423</v>
      </c>
    </row>
    <row r="461" spans="1:2" ht="15" customHeight="1">
      <c r="B461" s="2" t="s">
        <v>2737</v>
      </c>
    </row>
    <row r="462" spans="1:2" ht="15" customHeight="1">
      <c r="B462" s="2" t="s">
        <v>2739</v>
      </c>
    </row>
    <row r="463" spans="1:2" ht="15" customHeight="1">
      <c r="B463" s="2" t="s">
        <v>2738</v>
      </c>
    </row>
    <row r="464" spans="1:2" ht="15" customHeight="1">
      <c r="B464" s="2" t="s">
        <v>2424</v>
      </c>
    </row>
    <row r="465" spans="1:2" ht="15" customHeight="1">
      <c r="B465" s="2"/>
    </row>
    <row r="466" spans="1:2" ht="15" customHeight="1">
      <c r="A466" t="s">
        <v>4103</v>
      </c>
      <c r="B466" s="185"/>
    </row>
    <row r="467" spans="1:2" ht="15" customHeight="1">
      <c r="B467" s="185" t="s">
        <v>4104</v>
      </c>
    </row>
    <row r="468" spans="1:2" ht="15" customHeight="1">
      <c r="B468" s="185" t="s">
        <v>4112</v>
      </c>
    </row>
    <row r="469" spans="1:2" ht="15" customHeight="1">
      <c r="B469" s="185" t="s">
        <v>4109</v>
      </c>
    </row>
    <row r="470" spans="1:2" ht="15" customHeight="1">
      <c r="B470" s="185"/>
    </row>
    <row r="471" spans="1:2" ht="15" customHeight="1">
      <c r="A471" t="s">
        <v>2431</v>
      </c>
      <c r="B471" s="2"/>
    </row>
    <row r="472" spans="1:2" ht="15" customHeight="1">
      <c r="B472" s="185" t="s">
        <v>2432</v>
      </c>
    </row>
    <row r="473" spans="1:2" ht="15" customHeight="1">
      <c r="B473" s="185" t="s">
        <v>2433</v>
      </c>
    </row>
    <row r="474" spans="1:2" ht="15" customHeight="1">
      <c r="B474" s="185"/>
    </row>
    <row r="475" spans="1:2" ht="15" customHeight="1">
      <c r="A475" t="s">
        <v>4030</v>
      </c>
      <c r="B475" s="185"/>
    </row>
    <row r="476" spans="1:2" ht="15" customHeight="1">
      <c r="B476" s="185" t="s">
        <v>4037</v>
      </c>
    </row>
    <row r="477" spans="1:2" ht="15" customHeight="1">
      <c r="B477" s="2"/>
    </row>
    <row r="478" spans="1:2" ht="15" customHeight="1">
      <c r="A478" s="1" t="s">
        <v>2847</v>
      </c>
      <c r="B478" s="2"/>
    </row>
    <row r="479" spans="1:2" ht="15" customHeight="1">
      <c r="B479" s="2"/>
    </row>
    <row r="480" spans="1:2" ht="15" customHeight="1">
      <c r="A480" t="s">
        <v>2305</v>
      </c>
      <c r="B480" s="2"/>
    </row>
    <row r="481" spans="1:2" ht="15" customHeight="1">
      <c r="B481" s="2" t="s">
        <v>2434</v>
      </c>
    </row>
    <row r="482" spans="1:2" ht="15" customHeight="1">
      <c r="B482" s="2" t="s">
        <v>4029</v>
      </c>
    </row>
    <row r="483" spans="1:2" ht="15" customHeight="1">
      <c r="B483" s="2" t="s">
        <v>2874</v>
      </c>
    </row>
    <row r="484" spans="1:2" ht="15" customHeight="1">
      <c r="B484" s="2"/>
    </row>
    <row r="485" spans="1:2" ht="15" customHeight="1">
      <c r="A485" t="s">
        <v>2306</v>
      </c>
      <c r="B485" s="2"/>
    </row>
    <row r="486" spans="1:2" ht="15" customHeight="1">
      <c r="B486" s="2" t="s">
        <v>2435</v>
      </c>
    </row>
    <row r="487" spans="1:2" ht="15" customHeight="1">
      <c r="B487" s="2" t="s">
        <v>2442</v>
      </c>
    </row>
    <row r="488" spans="1:2" ht="15" customHeight="1">
      <c r="B488" s="2" t="s">
        <v>2836</v>
      </c>
    </row>
    <row r="489" spans="1:2" ht="15" customHeight="1">
      <c r="B489" s="2"/>
    </row>
    <row r="490" spans="1:2" ht="15" customHeight="1">
      <c r="A490" t="s">
        <v>2848</v>
      </c>
      <c r="B490" s="2"/>
    </row>
    <row r="491" spans="1:2" ht="15" customHeight="1">
      <c r="B491" s="2" t="s">
        <v>4028</v>
      </c>
    </row>
    <row r="492" spans="1:2" ht="15" customHeight="1">
      <c r="B492" s="2" t="s">
        <v>4027</v>
      </c>
    </row>
    <row r="493" spans="1:2" ht="15" customHeight="1">
      <c r="B493" s="2" t="s">
        <v>2837</v>
      </c>
    </row>
    <row r="494" spans="1:2" ht="15" customHeight="1">
      <c r="B494" s="2"/>
    </row>
    <row r="495" spans="1:2" ht="15" customHeight="1">
      <c r="A495" t="s">
        <v>2437</v>
      </c>
      <c r="B495" s="2"/>
    </row>
    <row r="496" spans="1:2" ht="15" customHeight="1">
      <c r="B496" s="2" t="s">
        <v>2435</v>
      </c>
    </row>
    <row r="497" spans="1:2" ht="15" customHeight="1">
      <c r="B497" s="2" t="s">
        <v>2438</v>
      </c>
    </row>
    <row r="498" spans="1:2" ht="15" customHeight="1">
      <c r="B498" s="2" t="s">
        <v>2439</v>
      </c>
    </row>
    <row r="499" spans="1:2" ht="15" customHeight="1">
      <c r="B499" s="2" t="s">
        <v>2441</v>
      </c>
    </row>
    <row r="500" spans="1:2" ht="15" customHeight="1">
      <c r="B500" s="2" t="s">
        <v>2440</v>
      </c>
    </row>
    <row r="501" spans="1:2" ht="15" customHeight="1">
      <c r="B501" s="2"/>
    </row>
    <row r="502" spans="1:2" ht="15" customHeight="1">
      <c r="A502" t="s">
        <v>2838</v>
      </c>
      <c r="B502" s="2"/>
    </row>
    <row r="503" spans="1:2" ht="15" customHeight="1">
      <c r="B503" s="2" t="s">
        <v>2436</v>
      </c>
    </row>
    <row r="504" spans="1:2" ht="15" customHeight="1">
      <c r="B504" s="2"/>
    </row>
    <row r="505" spans="1:2" ht="15" customHeight="1">
      <c r="A505" t="s">
        <v>2849</v>
      </c>
      <c r="B505" s="2"/>
    </row>
    <row r="506" spans="1:2" ht="15" customHeight="1">
      <c r="B506" s="2" t="s">
        <v>2850</v>
      </c>
    </row>
    <row r="507" spans="1:2" ht="15" customHeight="1">
      <c r="B507" s="2" t="s">
        <v>2859</v>
      </c>
    </row>
    <row r="508" spans="1:2" ht="15" customHeight="1">
      <c r="B508" s="2" t="s">
        <v>2858</v>
      </c>
    </row>
    <row r="509" spans="1:2" ht="15" customHeight="1">
      <c r="B509" s="2"/>
    </row>
    <row r="510" spans="1:2" ht="15" customHeight="1">
      <c r="A510" s="1" t="s">
        <v>553</v>
      </c>
      <c r="B510" s="2"/>
    </row>
    <row r="511" spans="1:2" ht="15" customHeight="1">
      <c r="A511" s="1"/>
      <c r="B511" s="2"/>
    </row>
    <row r="512" spans="1:2" ht="15" customHeight="1">
      <c r="A512" s="25" t="s">
        <v>2285</v>
      </c>
      <c r="B512" s="2"/>
    </row>
    <row r="513" spans="1:2" ht="15" customHeight="1">
      <c r="A513" s="25"/>
      <c r="B513" s="2" t="s">
        <v>3250</v>
      </c>
    </row>
    <row r="514" spans="1:2" ht="15" customHeight="1">
      <c r="B514" s="2"/>
    </row>
    <row r="515" spans="1:2" ht="15" customHeight="1">
      <c r="A515" t="s">
        <v>2444</v>
      </c>
      <c r="B515" s="2"/>
    </row>
    <row r="516" spans="1:2" ht="15" customHeight="1">
      <c r="B516" s="2" t="s">
        <v>2445</v>
      </c>
    </row>
    <row r="517" spans="1:2" ht="15" customHeight="1">
      <c r="B517" s="2" t="s">
        <v>4008</v>
      </c>
    </row>
    <row r="518" spans="1:2" ht="15" customHeight="1">
      <c r="B518" s="2"/>
    </row>
    <row r="519" spans="1:2" ht="15" customHeight="1">
      <c r="A519" t="s">
        <v>2446</v>
      </c>
      <c r="B519" s="2"/>
    </row>
    <row r="520" spans="1:2" ht="15" customHeight="1">
      <c r="B520" s="2" t="s">
        <v>2463</v>
      </c>
    </row>
    <row r="521" spans="1:2" ht="15" customHeight="1">
      <c r="B521" s="2" t="s">
        <v>2464</v>
      </c>
    </row>
    <row r="522" spans="1:2" ht="15" customHeight="1">
      <c r="B522" s="2" t="s">
        <v>2465</v>
      </c>
    </row>
    <row r="523" spans="1:2" ht="15" customHeight="1">
      <c r="B523" s="2" t="s">
        <v>2466</v>
      </c>
    </row>
    <row r="524" spans="1:2" ht="15" customHeight="1">
      <c r="B524" s="2" t="s">
        <v>4009</v>
      </c>
    </row>
    <row r="525" spans="1:2" ht="15" customHeight="1">
      <c r="B525" s="2" t="s">
        <v>2467</v>
      </c>
    </row>
    <row r="526" spans="1:2" ht="15" customHeight="1">
      <c r="B526" s="2" t="s">
        <v>2468</v>
      </c>
    </row>
    <row r="527" spans="1:2" ht="15" customHeight="1">
      <c r="B527" s="2"/>
    </row>
    <row r="528" spans="1:2" ht="15" customHeight="1">
      <c r="A528" t="s">
        <v>2447</v>
      </c>
      <c r="B528" s="2"/>
    </row>
    <row r="529" spans="1:2" ht="15" customHeight="1">
      <c r="B529" s="2" t="s">
        <v>2542</v>
      </c>
    </row>
    <row r="530" spans="1:2" ht="15" customHeight="1">
      <c r="B530" s="185" t="s">
        <v>2543</v>
      </c>
    </row>
    <row r="531" spans="1:2" ht="15" customHeight="1">
      <c r="B531" s="185"/>
    </row>
    <row r="532" spans="1:2" ht="15" customHeight="1">
      <c r="A532" t="s">
        <v>2448</v>
      </c>
    </row>
    <row r="533" spans="1:2" ht="15" customHeight="1">
      <c r="B533" s="2" t="s">
        <v>2451</v>
      </c>
    </row>
    <row r="534" spans="1:2" ht="15" customHeight="1">
      <c r="B534" s="2" t="s">
        <v>2452</v>
      </c>
    </row>
    <row r="535" spans="1:2" ht="15" customHeight="1">
      <c r="B535" s="2" t="s">
        <v>2453</v>
      </c>
    </row>
    <row r="536" spans="1:2" ht="15" customHeight="1">
      <c r="B536" s="2" t="s">
        <v>2469</v>
      </c>
    </row>
    <row r="537" spans="1:2" ht="15" customHeight="1">
      <c r="B537" s="2"/>
    </row>
    <row r="538" spans="1:2" ht="15" customHeight="1">
      <c r="A538" t="s">
        <v>3274</v>
      </c>
      <c r="B538" s="2"/>
    </row>
    <row r="539" spans="1:2" ht="15" customHeight="1">
      <c r="B539" s="2" t="s">
        <v>2478</v>
      </c>
    </row>
    <row r="540" spans="1:2" ht="15" customHeight="1">
      <c r="B540" s="2" t="s">
        <v>2479</v>
      </c>
    </row>
    <row r="541" spans="1:2" ht="15" customHeight="1">
      <c r="B541" s="2" t="s">
        <v>2480</v>
      </c>
    </row>
    <row r="542" spans="1:2" ht="15" customHeight="1">
      <c r="B542" s="2"/>
    </row>
    <row r="543" spans="1:2" ht="15" customHeight="1">
      <c r="A543" t="s">
        <v>3273</v>
      </c>
      <c r="B543" s="2"/>
    </row>
    <row r="544" spans="1:2" ht="15" customHeight="1">
      <c r="B544" s="2" t="s">
        <v>2481</v>
      </c>
    </row>
    <row r="545" spans="1:2" ht="15" customHeight="1">
      <c r="B545" s="2" t="s">
        <v>4043</v>
      </c>
    </row>
    <row r="546" spans="1:2" ht="15" customHeight="1">
      <c r="B546" s="2" t="s">
        <v>4060</v>
      </c>
    </row>
    <row r="547" spans="1:2" ht="15" customHeight="1">
      <c r="B547" s="2" t="s">
        <v>3271</v>
      </c>
    </row>
    <row r="548" spans="1:2" ht="15" customHeight="1">
      <c r="B548" s="2" t="s">
        <v>3272</v>
      </c>
    </row>
    <row r="549" spans="1:2" ht="15" customHeight="1">
      <c r="B549" s="2"/>
    </row>
    <row r="550" spans="1:2" ht="15" customHeight="1">
      <c r="A550" t="s">
        <v>2449</v>
      </c>
      <c r="B550" s="2"/>
    </row>
    <row r="551" spans="1:2" ht="15" customHeight="1">
      <c r="B551" s="2" t="s">
        <v>2454</v>
      </c>
    </row>
    <row r="552" spans="1:2" ht="15" customHeight="1">
      <c r="B552" s="2" t="s">
        <v>1963</v>
      </c>
    </row>
    <row r="553" spans="1:2" ht="15" customHeight="1">
      <c r="B553" s="2"/>
    </row>
    <row r="554" spans="1:2" ht="15" customHeight="1">
      <c r="A554" t="s">
        <v>2450</v>
      </c>
      <c r="B554" s="2"/>
    </row>
    <row r="555" spans="1:2" ht="15" customHeight="1">
      <c r="B555" s="2" t="s">
        <v>2455</v>
      </c>
    </row>
    <row r="556" spans="1:2" ht="15" customHeight="1">
      <c r="B556" s="2" t="s">
        <v>2456</v>
      </c>
    </row>
    <row r="557" spans="1:2" ht="15" customHeight="1">
      <c r="B557" s="2" t="s">
        <v>2470</v>
      </c>
    </row>
    <row r="558" spans="1:2" ht="15" customHeight="1">
      <c r="B558" s="2"/>
    </row>
    <row r="559" spans="1:2" ht="15" customHeight="1">
      <c r="A559" t="s">
        <v>2734</v>
      </c>
      <c r="B559" s="2"/>
    </row>
    <row r="560" spans="1:2" ht="15" customHeight="1">
      <c r="B560" s="2" t="s">
        <v>4088</v>
      </c>
    </row>
    <row r="561" spans="1:2" ht="15" customHeight="1">
      <c r="B561" s="2" t="s">
        <v>4090</v>
      </c>
    </row>
    <row r="562" spans="1:2" ht="15" customHeight="1">
      <c r="B562" s="2" t="s">
        <v>4089</v>
      </c>
    </row>
    <row r="563" spans="1:2" ht="15" customHeight="1">
      <c r="B563" s="2"/>
    </row>
    <row r="564" spans="1:2" ht="15" customHeight="1">
      <c r="A564" s="1" t="s">
        <v>2746</v>
      </c>
      <c r="B564" s="2"/>
    </row>
    <row r="565" spans="1:2" ht="15" customHeight="1">
      <c r="B565" s="2"/>
    </row>
    <row r="566" spans="1:2" ht="15" customHeight="1">
      <c r="A566" t="s">
        <v>2304</v>
      </c>
    </row>
    <row r="567" spans="1:2" ht="15" customHeight="1">
      <c r="B567" s="2" t="s">
        <v>2327</v>
      </c>
    </row>
    <row r="568" spans="1:2" ht="15" customHeight="1">
      <c r="B568" s="2"/>
    </row>
    <row r="569" spans="1:2" ht="15" customHeight="1">
      <c r="A569" t="s">
        <v>2328</v>
      </c>
      <c r="B569" s="2"/>
    </row>
    <row r="570" spans="1:2" ht="15" customHeight="1">
      <c r="B570" s="2" t="s">
        <v>2329</v>
      </c>
    </row>
    <row r="571" spans="1:2" ht="15" customHeight="1">
      <c r="B571" s="2" t="s">
        <v>1942</v>
      </c>
    </row>
    <row r="572" spans="1:2" ht="15" customHeight="1">
      <c r="B572" s="2"/>
    </row>
    <row r="573" spans="1:2" ht="15" customHeight="1">
      <c r="A573" t="s">
        <v>2332</v>
      </c>
    </row>
    <row r="574" spans="1:2" ht="15" customHeight="1">
      <c r="B574" s="2" t="s">
        <v>2330</v>
      </c>
    </row>
    <row r="575" spans="1:2" ht="15" customHeight="1">
      <c r="B575" s="2"/>
    </row>
    <row r="576" spans="1:2" ht="15" customHeight="1">
      <c r="A576" t="s">
        <v>2333</v>
      </c>
      <c r="B576" s="2"/>
    </row>
    <row r="577" spans="1:2" ht="15" customHeight="1">
      <c r="B577" s="2" t="s">
        <v>2331</v>
      </c>
    </row>
    <row r="578" spans="1:2" ht="15" customHeight="1">
      <c r="B578" s="2" t="s">
        <v>2336</v>
      </c>
    </row>
    <row r="579" spans="1:2" ht="15" customHeight="1">
      <c r="B579" s="2" t="s">
        <v>2337</v>
      </c>
    </row>
    <row r="580" spans="1:2" ht="15" customHeight="1">
      <c r="B580" s="2" t="s">
        <v>2541</v>
      </c>
    </row>
    <row r="581" spans="1:2" ht="15" customHeight="1">
      <c r="B581" s="2"/>
    </row>
    <row r="582" spans="1:2" ht="15" customHeight="1">
      <c r="A582" t="s">
        <v>2334</v>
      </c>
    </row>
    <row r="583" spans="1:2" ht="15" customHeight="1">
      <c r="B583" s="2" t="s">
        <v>2338</v>
      </c>
    </row>
    <row r="584" spans="1:2" ht="15" customHeight="1">
      <c r="B584" s="2" t="s">
        <v>2339</v>
      </c>
    </row>
    <row r="585" spans="1:2" ht="15" customHeight="1">
      <c r="B585" s="2"/>
    </row>
    <row r="586" spans="1:2" ht="15" customHeight="1">
      <c r="A586" t="s">
        <v>2335</v>
      </c>
    </row>
    <row r="587" spans="1:2" ht="15" customHeight="1">
      <c r="B587" s="2" t="s">
        <v>2340</v>
      </c>
    </row>
    <row r="588" spans="1:2" ht="15" customHeight="1">
      <c r="B588" s="2" t="s">
        <v>2341</v>
      </c>
    </row>
    <row r="589" spans="1:2" ht="15" customHeight="1">
      <c r="B589" s="2"/>
    </row>
    <row r="590" spans="1:2" ht="15" customHeight="1">
      <c r="A590" t="s">
        <v>2747</v>
      </c>
      <c r="B590" s="2"/>
    </row>
    <row r="591" spans="1:2" ht="15" customHeight="1">
      <c r="B591" s="2" t="s">
        <v>2748</v>
      </c>
    </row>
    <row r="593" spans="1:2" ht="15" customHeight="1">
      <c r="A593" t="s">
        <v>2540</v>
      </c>
    </row>
    <row r="594" spans="1:2" ht="15" customHeight="1">
      <c r="B594" s="2" t="s">
        <v>2342</v>
      </c>
    </row>
    <row r="595" spans="1:2" ht="15" customHeight="1">
      <c r="B595" s="2" t="s">
        <v>2343</v>
      </c>
    </row>
    <row r="596" spans="1:2" ht="15" customHeight="1">
      <c r="B596" s="2" t="s">
        <v>2344</v>
      </c>
    </row>
    <row r="597" spans="1:2" ht="15" customHeight="1">
      <c r="B597" s="2" t="s">
        <v>2345</v>
      </c>
    </row>
    <row r="598" spans="1:2" ht="15" customHeight="1">
      <c r="B598" s="2"/>
    </row>
    <row r="599" spans="1:2" ht="15" customHeight="1">
      <c r="A599" s="1" t="s">
        <v>799</v>
      </c>
      <c r="B599" s="2"/>
    </row>
    <row r="601" spans="1:2" ht="15" customHeight="1">
      <c r="A601" t="s">
        <v>2304</v>
      </c>
    </row>
    <row r="602" spans="1:2" ht="15" customHeight="1">
      <c r="B602" s="2" t="s">
        <v>2346</v>
      </c>
    </row>
    <row r="603" spans="1:2" ht="15" customHeight="1">
      <c r="B603" s="2" t="s">
        <v>2347</v>
      </c>
    </row>
    <row r="604" spans="1:2" ht="15" customHeight="1">
      <c r="B604" s="2" t="s">
        <v>2348</v>
      </c>
    </row>
    <row r="605" spans="1:2" ht="15" customHeight="1">
      <c r="B605" s="2" t="s">
        <v>2349</v>
      </c>
    </row>
    <row r="606" spans="1:2" ht="15" customHeight="1">
      <c r="B606" s="2"/>
    </row>
    <row r="607" spans="1:2" ht="15" customHeight="1">
      <c r="A607" t="s">
        <v>2350</v>
      </c>
    </row>
    <row r="608" spans="1:2" ht="15" customHeight="1">
      <c r="B608" s="2" t="s">
        <v>2482</v>
      </c>
    </row>
    <row r="609" spans="1:2" ht="15" customHeight="1">
      <c r="B609" s="2" t="s">
        <v>2351</v>
      </c>
    </row>
    <row r="610" spans="1:2" ht="15" customHeight="1">
      <c r="B610" s="2" t="s">
        <v>2353</v>
      </c>
    </row>
    <row r="611" spans="1:2" ht="15" customHeight="1">
      <c r="B611" s="2" t="s">
        <v>2352</v>
      </c>
    </row>
    <row r="612" spans="1:2" ht="15" customHeight="1">
      <c r="B612" s="2" t="s">
        <v>2749</v>
      </c>
    </row>
    <row r="613" spans="1:2" ht="15" customHeight="1">
      <c r="B613" s="2" t="s">
        <v>2483</v>
      </c>
    </row>
    <row r="614" spans="1:2" ht="15" customHeight="1">
      <c r="B614" s="2" t="s">
        <v>2484</v>
      </c>
    </row>
    <row r="615" spans="1:2" ht="15" customHeight="1">
      <c r="B615" s="2" t="s">
        <v>2545</v>
      </c>
    </row>
    <row r="616" spans="1:2" ht="15" customHeight="1">
      <c r="B616" s="2"/>
    </row>
    <row r="617" spans="1:2" ht="15" customHeight="1">
      <c r="A617" t="s">
        <v>4207</v>
      </c>
      <c r="B617" s="2"/>
    </row>
    <row r="618" spans="1:2" ht="15" customHeight="1">
      <c r="B618" s="2" t="s">
        <v>4208</v>
      </c>
    </row>
    <row r="620" spans="1:2" ht="15" customHeight="1">
      <c r="A620" t="s">
        <v>2485</v>
      </c>
    </row>
    <row r="621" spans="1:2" ht="15" customHeight="1">
      <c r="B621" s="2" t="s">
        <v>2486</v>
      </c>
    </row>
    <row r="622" spans="1:2" ht="15" customHeight="1">
      <c r="B622" s="2" t="s">
        <v>2487</v>
      </c>
    </row>
    <row r="623" spans="1:2" ht="15" customHeight="1">
      <c r="B623" s="2" t="s">
        <v>2488</v>
      </c>
    </row>
    <row r="624" spans="1:2" ht="15" customHeight="1">
      <c r="B624" s="2"/>
    </row>
    <row r="625" spans="1:2" ht="15" customHeight="1">
      <c r="A625" t="s">
        <v>2757</v>
      </c>
      <c r="B625" s="2"/>
    </row>
    <row r="626" spans="1:2" ht="15" customHeight="1">
      <c r="B626" s="2" t="s">
        <v>2760</v>
      </c>
    </row>
    <row r="627" spans="1:2" ht="15" customHeight="1">
      <c r="B627" s="2" t="s">
        <v>2759</v>
      </c>
    </row>
    <row r="628" spans="1:2" ht="15" customHeight="1">
      <c r="B628" s="2"/>
    </row>
    <row r="629" spans="1:2" ht="15" customHeight="1">
      <c r="A629" t="s">
        <v>838</v>
      </c>
    </row>
    <row r="630" spans="1:2" ht="15" customHeight="1">
      <c r="B630" s="2" t="s">
        <v>2489</v>
      </c>
    </row>
    <row r="631" spans="1:2" ht="15" customHeight="1">
      <c r="B631" s="2"/>
    </row>
    <row r="632" spans="1:2" ht="15" customHeight="1">
      <c r="A632" t="s">
        <v>2495</v>
      </c>
      <c r="B632" s="2"/>
    </row>
    <row r="633" spans="1:2" ht="15" customHeight="1">
      <c r="B633" s="2" t="s">
        <v>2490</v>
      </c>
    </row>
    <row r="634" spans="1:2" ht="15" customHeight="1">
      <c r="B634" s="2" t="s">
        <v>2491</v>
      </c>
    </row>
    <row r="635" spans="1:2" ht="15" customHeight="1">
      <c r="B635" s="2" t="s">
        <v>2512</v>
      </c>
    </row>
    <row r="636" spans="1:2" ht="15" customHeight="1">
      <c r="B636" s="2" t="s">
        <v>2492</v>
      </c>
    </row>
    <row r="637" spans="1:2" ht="15" customHeight="1">
      <c r="B637" s="2"/>
    </row>
    <row r="638" spans="1:2" ht="15" customHeight="1">
      <c r="A638" t="s">
        <v>2494</v>
      </c>
      <c r="B638" s="2"/>
    </row>
    <row r="639" spans="1:2" ht="15" customHeight="1">
      <c r="B639" s="2" t="s">
        <v>2493</v>
      </c>
    </row>
    <row r="640" spans="1:2" ht="15" customHeight="1">
      <c r="B640" s="2" t="s">
        <v>2825</v>
      </c>
    </row>
    <row r="641" spans="1:2" ht="15" customHeight="1">
      <c r="B641" s="2"/>
    </row>
    <row r="642" spans="1:2" ht="15" customHeight="1">
      <c r="A642" t="s">
        <v>2868</v>
      </c>
      <c r="B642" s="2"/>
    </row>
    <row r="643" spans="1:2" ht="15" customHeight="1">
      <c r="B643" s="2" t="s">
        <v>2870</v>
      </c>
    </row>
    <row r="644" spans="1:2" ht="15" customHeight="1">
      <c r="B644" s="2" t="s">
        <v>2869</v>
      </c>
    </row>
    <row r="645" spans="1:2" ht="15" customHeight="1">
      <c r="B645" s="2"/>
    </row>
    <row r="646" spans="1:2" ht="15" customHeight="1">
      <c r="A646" t="s">
        <v>2508</v>
      </c>
      <c r="B646" s="2"/>
    </row>
    <row r="647" spans="1:2" ht="15" customHeight="1">
      <c r="B647" s="2" t="s">
        <v>2509</v>
      </c>
    </row>
    <row r="648" spans="1:2" ht="15" customHeight="1">
      <c r="B648" s="2" t="s">
        <v>2510</v>
      </c>
    </row>
    <row r="649" spans="1:2" ht="15" customHeight="1">
      <c r="B649" s="2"/>
    </row>
    <row r="650" spans="1:2" ht="15" customHeight="1">
      <c r="A650" t="s">
        <v>704</v>
      </c>
      <c r="B650" s="2"/>
    </row>
    <row r="651" spans="1:2" ht="15" customHeight="1">
      <c r="B651" s="2" t="s">
        <v>2504</v>
      </c>
    </row>
    <row r="652" spans="1:2" ht="15" customHeight="1">
      <c r="B652" s="2" t="s">
        <v>2507</v>
      </c>
    </row>
    <row r="653" spans="1:2" ht="15" customHeight="1">
      <c r="B653" s="2"/>
    </row>
    <row r="654" spans="1:2" ht="15" customHeight="1">
      <c r="A654" t="s">
        <v>2496</v>
      </c>
      <c r="B654" s="2"/>
    </row>
    <row r="655" spans="1:2" ht="15" customHeight="1">
      <c r="B655" s="2" t="s">
        <v>2502</v>
      </c>
    </row>
    <row r="656" spans="1:2" ht="15" customHeight="1">
      <c r="B656" s="2" t="s">
        <v>2503</v>
      </c>
    </row>
    <row r="657" spans="1:2" ht="15" customHeight="1">
      <c r="B657" s="2"/>
    </row>
    <row r="658" spans="1:2" ht="15" customHeight="1">
      <c r="A658" t="s">
        <v>3044</v>
      </c>
      <c r="B658" s="2"/>
    </row>
    <row r="659" spans="1:2" ht="15" customHeight="1">
      <c r="B659" s="2" t="s">
        <v>3045</v>
      </c>
    </row>
    <row r="660" spans="1:2" ht="15" customHeight="1">
      <c r="B660" s="2"/>
    </row>
    <row r="661" spans="1:2" ht="15" customHeight="1">
      <c r="A661" t="s">
        <v>2497</v>
      </c>
    </row>
    <row r="662" spans="1:2" ht="15" customHeight="1">
      <c r="B662" s="2" t="s">
        <v>2505</v>
      </c>
    </row>
    <row r="663" spans="1:2" ht="15" customHeight="1">
      <c r="B663" s="2" t="s">
        <v>2499</v>
      </c>
    </row>
    <row r="664" spans="1:2" ht="15" customHeight="1">
      <c r="B664" s="2"/>
    </row>
    <row r="665" spans="1:2" ht="15" customHeight="1">
      <c r="A665" t="s">
        <v>2498</v>
      </c>
      <c r="B665" s="2"/>
    </row>
    <row r="666" spans="1:2" ht="15" customHeight="1">
      <c r="B666" s="2" t="s">
        <v>2500</v>
      </c>
    </row>
    <row r="667" spans="1:2" ht="15" customHeight="1">
      <c r="B667" s="2" t="s">
        <v>2506</v>
      </c>
    </row>
    <row r="668" spans="1:2" ht="15" customHeight="1">
      <c r="B668" s="2" t="s">
        <v>2501</v>
      </c>
    </row>
    <row r="669" spans="1:2" ht="15" customHeight="1">
      <c r="B669" s="2"/>
    </row>
    <row r="670" spans="1:2" ht="15" customHeight="1">
      <c r="A670" t="s">
        <v>3233</v>
      </c>
      <c r="B670" s="2"/>
    </row>
    <row r="671" spans="1:2" ht="15" customHeight="1">
      <c r="B671" s="2" t="s">
        <v>3246</v>
      </c>
    </row>
    <row r="672" spans="1:2" ht="15" customHeight="1">
      <c r="B672" s="2" t="s">
        <v>3247</v>
      </c>
    </row>
    <row r="673" spans="1:2" ht="15" customHeight="1">
      <c r="B673" s="2" t="s">
        <v>3248</v>
      </c>
    </row>
    <row r="674" spans="1:2" ht="15" customHeight="1">
      <c r="B674" s="2"/>
    </row>
    <row r="675" spans="1:2" s="1" customFormat="1" ht="15" customHeight="1">
      <c r="A675" s="1" t="s">
        <v>1971</v>
      </c>
      <c r="B675" s="951"/>
    </row>
    <row r="676" spans="1:2" ht="15" customHeight="1">
      <c r="B676" s="2"/>
    </row>
    <row r="677" spans="1:2" ht="15" customHeight="1">
      <c r="A677" t="s">
        <v>2285</v>
      </c>
      <c r="B677" s="2"/>
    </row>
    <row r="678" spans="1:2" ht="15" customHeight="1">
      <c r="B678" s="2" t="s">
        <v>2310</v>
      </c>
    </row>
    <row r="679" spans="1:2" ht="15" customHeight="1">
      <c r="B679" s="2" t="s">
        <v>2309</v>
      </c>
    </row>
    <row r="680" spans="1:2" ht="15" customHeight="1">
      <c r="B680" s="2"/>
    </row>
    <row r="681" spans="1:2" ht="15" customHeight="1">
      <c r="A681" t="s">
        <v>2307</v>
      </c>
      <c r="B681" s="2"/>
    </row>
    <row r="682" spans="1:2" ht="15" customHeight="1">
      <c r="B682" s="2" t="s">
        <v>2311</v>
      </c>
    </row>
    <row r="683" spans="1:2" ht="15" customHeight="1">
      <c r="B683" s="2" t="s">
        <v>2810</v>
      </c>
    </row>
    <row r="684" spans="1:2" ht="15" customHeight="1">
      <c r="B684" s="2"/>
    </row>
    <row r="685" spans="1:2" ht="15" customHeight="1">
      <c r="A685" t="s">
        <v>2640</v>
      </c>
      <c r="B685" s="2"/>
    </row>
    <row r="686" spans="1:2" ht="15" customHeight="1">
      <c r="B686" s="2" t="s">
        <v>2639</v>
      </c>
    </row>
    <row r="687" spans="1:2" ht="15" customHeight="1">
      <c r="B687" s="2"/>
    </row>
    <row r="688" spans="1:2" ht="15" customHeight="1">
      <c r="A688" t="s">
        <v>2641</v>
      </c>
      <c r="B688" s="2"/>
    </row>
    <row r="689" spans="1:2" ht="15" customHeight="1">
      <c r="B689" s="2" t="s">
        <v>2645</v>
      </c>
    </row>
    <row r="690" spans="1:2" ht="15" customHeight="1">
      <c r="B690" s="2"/>
    </row>
    <row r="691" spans="1:2" ht="15" customHeight="1">
      <c r="A691" t="s">
        <v>2308</v>
      </c>
      <c r="B691" s="2"/>
    </row>
    <row r="692" spans="1:2" ht="15" customHeight="1">
      <c r="B692" s="2" t="s">
        <v>2312</v>
      </c>
    </row>
    <row r="693" spans="1:2" ht="15" customHeight="1">
      <c r="B693" s="2" t="s">
        <v>2642</v>
      </c>
    </row>
    <row r="694" spans="1:2" ht="15" customHeight="1">
      <c r="B694" s="2" t="s">
        <v>2644</v>
      </c>
    </row>
    <row r="695" spans="1:2" ht="15" customHeight="1">
      <c r="B695" s="2" t="s">
        <v>3446</v>
      </c>
    </row>
    <row r="696" spans="1:2" ht="15" customHeight="1">
      <c r="B696" s="2"/>
    </row>
    <row r="697" spans="1:2" ht="15" customHeight="1">
      <c r="A697" t="s">
        <v>2643</v>
      </c>
      <c r="B697" s="2"/>
    </row>
    <row r="698" spans="1:2" ht="15" customHeight="1">
      <c r="B698" s="2" t="s">
        <v>2646</v>
      </c>
    </row>
    <row r="699" spans="1:2" ht="15" customHeight="1">
      <c r="B699" s="2" t="s">
        <v>2647</v>
      </c>
    </row>
    <row r="700" spans="1:2" ht="15" customHeight="1">
      <c r="B700" s="2" t="s">
        <v>2648</v>
      </c>
    </row>
    <row r="701" spans="1:2" ht="15" customHeight="1">
      <c r="B701" s="2"/>
    </row>
    <row r="702" spans="1:2" ht="15" customHeight="1">
      <c r="A702" t="s">
        <v>2792</v>
      </c>
      <c r="B702" s="2"/>
    </row>
    <row r="703" spans="1:2" ht="15" customHeight="1">
      <c r="B703" s="2" t="s">
        <v>2793</v>
      </c>
    </row>
    <row r="704" spans="1:2" ht="15" customHeight="1">
      <c r="B704" s="2" t="s">
        <v>3077</v>
      </c>
    </row>
    <row r="705" spans="1:2" ht="15" customHeight="1">
      <c r="B705" s="2"/>
    </row>
    <row r="706" spans="1:2" ht="15" customHeight="1">
      <c r="A706" t="s">
        <v>2891</v>
      </c>
      <c r="B706" s="2"/>
    </row>
    <row r="707" spans="1:2" ht="15" customHeight="1">
      <c r="B707" s="2" t="s">
        <v>2892</v>
      </c>
    </row>
    <row r="708" spans="1:2" ht="15" customHeight="1">
      <c r="B708" s="2" t="s">
        <v>2893</v>
      </c>
    </row>
    <row r="709" spans="1:2" ht="15" customHeight="1">
      <c r="B709" s="2"/>
    </row>
    <row r="710" spans="1:2" ht="15" customHeight="1">
      <c r="A710" t="s">
        <v>3040</v>
      </c>
      <c r="B710" s="2"/>
    </row>
    <row r="711" spans="1:2" ht="15" customHeight="1">
      <c r="B711" s="2" t="s">
        <v>3088</v>
      </c>
    </row>
    <row r="712" spans="1:2" ht="15" customHeight="1">
      <c r="B712" s="2" t="s">
        <v>3089</v>
      </c>
    </row>
    <row r="713" spans="1:2" ht="15" customHeight="1">
      <c r="B713" s="2"/>
    </row>
    <row r="714" spans="1:2" ht="15" customHeight="1">
      <c r="A714" s="1" t="s">
        <v>3046</v>
      </c>
      <c r="B714" s="2"/>
    </row>
    <row r="715" spans="1:2" ht="15" customHeight="1">
      <c r="B715" s="2"/>
    </row>
    <row r="716" spans="1:2" ht="15" customHeight="1">
      <c r="A716" t="s">
        <v>3038</v>
      </c>
      <c r="B716" s="2"/>
    </row>
    <row r="717" spans="1:2" ht="15" customHeight="1">
      <c r="B717" s="2" t="s">
        <v>2988</v>
      </c>
    </row>
    <row r="718" spans="1:2" ht="15" customHeight="1">
      <c r="B718" s="2"/>
    </row>
    <row r="719" spans="1:2" ht="15" customHeight="1">
      <c r="A719" t="s">
        <v>3039</v>
      </c>
      <c r="B719" s="2"/>
    </row>
    <row r="720" spans="1:2" ht="15" customHeight="1">
      <c r="B720" s="2" t="s">
        <v>2989</v>
      </c>
    </row>
    <row r="721" spans="1:2" ht="15" customHeight="1">
      <c r="B721" s="2"/>
    </row>
    <row r="722" spans="1:2" ht="15" customHeight="1">
      <c r="A722" t="s">
        <v>2308</v>
      </c>
      <c r="B722" s="2"/>
    </row>
    <row r="723" spans="1:2" ht="15" customHeight="1">
      <c r="B723" s="2" t="s">
        <v>2995</v>
      </c>
    </row>
    <row r="724" spans="1:2" ht="15" customHeight="1">
      <c r="B724" s="2" t="s">
        <v>2990</v>
      </c>
    </row>
    <row r="725" spans="1:2" ht="15" customHeight="1">
      <c r="B725" s="2"/>
    </row>
    <row r="726" spans="1:2" ht="15" customHeight="1">
      <c r="A726" t="s">
        <v>3040</v>
      </c>
      <c r="B726" s="2"/>
    </row>
    <row r="727" spans="1:2" ht="15" customHeight="1">
      <c r="B727" s="2" t="s">
        <v>3084</v>
      </c>
    </row>
    <row r="728" spans="1:2" ht="15" customHeight="1">
      <c r="B728" s="2" t="s">
        <v>3085</v>
      </c>
    </row>
    <row r="729" spans="1:2" ht="15" customHeight="1">
      <c r="B729" s="2"/>
    </row>
    <row r="730" spans="1:2" ht="15" customHeight="1">
      <c r="A730" t="s">
        <v>3074</v>
      </c>
      <c r="B730" s="2"/>
    </row>
    <row r="731" spans="1:2" ht="15" customHeight="1">
      <c r="B731" s="2" t="s">
        <v>2988</v>
      </c>
    </row>
    <row r="732" spans="1:2" ht="15" customHeight="1">
      <c r="B732" s="2" t="s">
        <v>2989</v>
      </c>
    </row>
    <row r="733" spans="1:2" ht="15" customHeight="1">
      <c r="B733" s="2" t="s">
        <v>3086</v>
      </c>
    </row>
    <row r="734" spans="1:2" ht="15" customHeight="1">
      <c r="B734" s="2" t="s">
        <v>3087</v>
      </c>
    </row>
    <row r="735" spans="1:2" ht="15" customHeight="1">
      <c r="B735" s="2"/>
    </row>
    <row r="736" spans="1:2" s="1" customFormat="1" ht="15" customHeight="1">
      <c r="A736" s="1" t="s">
        <v>2266</v>
      </c>
      <c r="B736" s="951"/>
    </row>
    <row r="737" spans="1:2" ht="15" customHeight="1">
      <c r="B737" s="25"/>
    </row>
    <row r="738" spans="1:2" ht="15" customHeight="1">
      <c r="A738" t="s">
        <v>2313</v>
      </c>
      <c r="B738" s="2"/>
    </row>
    <row r="739" spans="1:2" ht="15" customHeight="1">
      <c r="B739" s="2" t="s">
        <v>2315</v>
      </c>
    </row>
    <row r="740" spans="1:2" ht="15" customHeight="1">
      <c r="B740" s="2"/>
    </row>
    <row r="741" spans="1:2" ht="15" customHeight="1">
      <c r="A741" t="s">
        <v>2322</v>
      </c>
      <c r="B741" s="2"/>
    </row>
    <row r="742" spans="1:2" ht="15" customHeight="1">
      <c r="B742" s="2" t="s">
        <v>2317</v>
      </c>
    </row>
    <row r="743" spans="1:2" ht="15" customHeight="1">
      <c r="B743" s="2" t="s">
        <v>1373</v>
      </c>
    </row>
    <row r="744" spans="1:2" ht="15" customHeight="1">
      <c r="B744" s="2"/>
    </row>
    <row r="745" spans="1:2" ht="15" customHeight="1">
      <c r="A745" t="s">
        <v>2323</v>
      </c>
      <c r="B745" s="2"/>
    </row>
    <row r="746" spans="1:2" ht="15" customHeight="1">
      <c r="B746" s="2" t="s">
        <v>2316</v>
      </c>
    </row>
    <row r="747" spans="1:2" ht="15" customHeight="1">
      <c r="B747" s="2" t="s">
        <v>2539</v>
      </c>
    </row>
    <row r="748" spans="1:2" ht="15" customHeight="1">
      <c r="B748" s="2" t="s">
        <v>2321</v>
      </c>
    </row>
    <row r="749" spans="1:2" ht="15" customHeight="1">
      <c r="B749" s="2"/>
    </row>
    <row r="750" spans="1:2" ht="15" customHeight="1">
      <c r="A750" t="s">
        <v>2324</v>
      </c>
      <c r="B750" s="2"/>
    </row>
    <row r="751" spans="1:2" ht="15" customHeight="1">
      <c r="B751" s="2" t="s">
        <v>2320</v>
      </c>
    </row>
    <row r="752" spans="1:2" ht="15" customHeight="1">
      <c r="B752" s="2"/>
    </row>
    <row r="753" spans="1:2" ht="15" customHeight="1">
      <c r="A753" t="s">
        <v>2325</v>
      </c>
      <c r="B753" s="2"/>
    </row>
    <row r="754" spans="1:2" ht="15" customHeight="1">
      <c r="B754" s="2" t="s">
        <v>2319</v>
      </c>
    </row>
    <row r="755" spans="1:2" ht="15" customHeight="1">
      <c r="B755" s="2"/>
    </row>
    <row r="756" spans="1:2" ht="15" customHeight="1">
      <c r="A756" t="s">
        <v>2314</v>
      </c>
      <c r="B756" s="2"/>
    </row>
    <row r="757" spans="1:2" ht="15" customHeight="1">
      <c r="B757" s="2" t="s">
        <v>2326</v>
      </c>
    </row>
    <row r="758" spans="1:2" ht="15" customHeight="1">
      <c r="B758" s="2"/>
    </row>
    <row r="759" spans="1:2" ht="15" customHeight="1">
      <c r="A759" t="s">
        <v>2553</v>
      </c>
      <c r="B759" s="2"/>
    </row>
    <row r="760" spans="1:2" ht="15" customHeight="1">
      <c r="B760" s="2" t="s">
        <v>2551</v>
      </c>
    </row>
    <row r="761" spans="1:2" ht="15" customHeight="1">
      <c r="B761" s="2" t="s">
        <v>2552</v>
      </c>
    </row>
    <row r="762" spans="1:2" ht="15" customHeight="1">
      <c r="B762" s="2"/>
    </row>
    <row r="763" spans="1:2" ht="15" customHeight="1">
      <c r="A763" t="s">
        <v>2550</v>
      </c>
      <c r="B763" s="2"/>
    </row>
    <row r="764" spans="1:2" ht="15" customHeight="1">
      <c r="B764" s="2" t="s">
        <v>2549</v>
      </c>
    </row>
    <row r="765" spans="1:2" ht="15" customHeight="1">
      <c r="B765" s="2"/>
    </row>
    <row r="766" spans="1:2" ht="15" customHeight="1">
      <c r="A766" t="s">
        <v>2318</v>
      </c>
      <c r="B766" s="2"/>
    </row>
    <row r="767" spans="1:2" ht="15" customHeight="1">
      <c r="B767" s="2" t="s">
        <v>2546</v>
      </c>
    </row>
    <row r="768" spans="1:2" ht="15" customHeight="1">
      <c r="B768" s="2" t="s">
        <v>2547</v>
      </c>
    </row>
    <row r="769" spans="1:2" ht="15" customHeight="1">
      <c r="B769" s="2" t="s">
        <v>2548</v>
      </c>
    </row>
    <row r="770" spans="1:2" ht="15" customHeight="1">
      <c r="B770" s="2"/>
    </row>
    <row r="771" spans="1:2" ht="15" customHeight="1">
      <c r="A771" s="1" t="s">
        <v>4189</v>
      </c>
      <c r="B771" s="2"/>
    </row>
    <row r="772" spans="1:2" ht="15" customHeight="1">
      <c r="B772" s="2"/>
    </row>
    <row r="773" spans="1:2" ht="15" customHeight="1">
      <c r="A773" t="s">
        <v>4179</v>
      </c>
      <c r="B773" s="2"/>
    </row>
    <row r="774" spans="1:2" ht="15" customHeight="1">
      <c r="B774" s="2" t="s">
        <v>4134</v>
      </c>
    </row>
    <row r="775" spans="1:2" ht="15" customHeight="1">
      <c r="B775" s="2"/>
    </row>
    <row r="776" spans="1:2" ht="15" customHeight="1">
      <c r="A776" t="s">
        <v>4178</v>
      </c>
      <c r="B776" s="2"/>
    </row>
    <row r="777" spans="1:2" ht="15" customHeight="1">
      <c r="B777" s="2" t="s">
        <v>4180</v>
      </c>
    </row>
    <row r="778" spans="1:2" ht="15" customHeight="1">
      <c r="B778" s="2" t="s">
        <v>4194</v>
      </c>
    </row>
    <row r="779" spans="1:2" ht="15" customHeight="1">
      <c r="B779" s="2"/>
    </row>
    <row r="780" spans="1:2" ht="15" customHeight="1">
      <c r="A780" t="s">
        <v>4135</v>
      </c>
      <c r="B780" s="2"/>
    </row>
    <row r="781" spans="1:2" ht="15" customHeight="1">
      <c r="B781" s="2" t="s">
        <v>4136</v>
      </c>
    </row>
    <row r="782" spans="1:2" ht="15" customHeight="1">
      <c r="B782" s="2" t="s">
        <v>4182</v>
      </c>
    </row>
    <row r="783" spans="1:2" ht="15" customHeight="1">
      <c r="B783" s="2" t="s">
        <v>4183</v>
      </c>
    </row>
    <row r="784" spans="1:2" ht="15" customHeight="1">
      <c r="B784" s="2"/>
    </row>
    <row r="785" spans="1:2" s="1" customFormat="1" ht="15" customHeight="1">
      <c r="A785" s="1" t="s">
        <v>2267</v>
      </c>
      <c r="B785" s="951"/>
    </row>
    <row r="786" spans="1:2" ht="15" customHeight="1">
      <c r="B786" s="2"/>
    </row>
    <row r="787" spans="1:2" ht="15" customHeight="1">
      <c r="A787" t="s">
        <v>2354</v>
      </c>
      <c r="B787" s="2"/>
    </row>
    <row r="788" spans="1:2" ht="15" customHeight="1">
      <c r="B788" s="2" t="s">
        <v>2355</v>
      </c>
    </row>
    <row r="789" spans="1:2" ht="15" customHeight="1">
      <c r="B789" s="2" t="s">
        <v>2356</v>
      </c>
    </row>
    <row r="790" spans="1:2" ht="15" customHeight="1">
      <c r="B790" s="2"/>
    </row>
    <row r="791" spans="1:2" ht="15" customHeight="1">
      <c r="A791" t="s">
        <v>1527</v>
      </c>
      <c r="B791" s="2"/>
    </row>
    <row r="792" spans="1:2" ht="15" customHeight="1">
      <c r="B792" s="2" t="s">
        <v>2357</v>
      </c>
    </row>
    <row r="793" spans="1:2" ht="15" customHeight="1">
      <c r="B793" s="2" t="s">
        <v>2514</v>
      </c>
    </row>
    <row r="794" spans="1:2" ht="15" customHeight="1">
      <c r="B794" s="2" t="s">
        <v>2358</v>
      </c>
    </row>
    <row r="795" spans="1:2" ht="15" customHeight="1">
      <c r="B795" s="2" t="s">
        <v>1541</v>
      </c>
    </row>
    <row r="796" spans="1:2" ht="15" customHeight="1">
      <c r="B796" s="2"/>
    </row>
    <row r="797" spans="1:2" ht="15" customHeight="1">
      <c r="A797" t="s">
        <v>2513</v>
      </c>
      <c r="B797" s="2"/>
    </row>
    <row r="798" spans="1:2" ht="15" customHeight="1">
      <c r="B798" s="2" t="s">
        <v>2515</v>
      </c>
    </row>
    <row r="799" spans="1:2" ht="15" customHeight="1">
      <c r="B799" s="2" t="s">
        <v>2516</v>
      </c>
    </row>
    <row r="800" spans="1:2" ht="15" customHeight="1">
      <c r="B800" s="2" t="s">
        <v>2517</v>
      </c>
    </row>
    <row r="801" spans="1:2" ht="15" customHeight="1">
      <c r="B801" s="2" t="s">
        <v>2818</v>
      </c>
    </row>
    <row r="802" spans="1:2" ht="15" customHeight="1">
      <c r="B802" s="2"/>
    </row>
    <row r="803" spans="1:2" ht="15" customHeight="1">
      <c r="A803" t="s">
        <v>4188</v>
      </c>
      <c r="B803" s="2"/>
    </row>
    <row r="804" spans="1:2" ht="15" customHeight="1">
      <c r="B804" s="2" t="s">
        <v>2360</v>
      </c>
    </row>
    <row r="805" spans="1:2" ht="15" customHeight="1">
      <c r="B805" s="2" t="s">
        <v>2518</v>
      </c>
    </row>
    <row r="806" spans="1:2" ht="15" customHeight="1">
      <c r="B806" s="2" t="s">
        <v>2361</v>
      </c>
    </row>
    <row r="807" spans="1:2" ht="15" customHeight="1">
      <c r="B807" s="2" t="s">
        <v>2362</v>
      </c>
    </row>
    <row r="808" spans="1:2" ht="15" customHeight="1">
      <c r="B808" s="2"/>
    </row>
    <row r="809" spans="1:2" ht="15" customHeight="1">
      <c r="A809" t="s">
        <v>2359</v>
      </c>
      <c r="B809" s="2"/>
    </row>
    <row r="810" spans="1:2" ht="15" customHeight="1">
      <c r="B810" s="2" t="s">
        <v>2519</v>
      </c>
    </row>
    <row r="811" spans="1:2" ht="15" customHeight="1">
      <c r="B811" s="2" t="s">
        <v>2072</v>
      </c>
    </row>
    <row r="812" spans="1:2" ht="15" customHeight="1">
      <c r="B812" s="2" t="s">
        <v>2520</v>
      </c>
    </row>
    <row r="813" spans="1:2" ht="15" customHeight="1">
      <c r="B813" s="2" t="s">
        <v>2521</v>
      </c>
    </row>
    <row r="814" spans="1:2" ht="15" customHeight="1">
      <c r="B814" s="2" t="s">
        <v>2522</v>
      </c>
    </row>
    <row r="815" spans="1:2" ht="15" customHeight="1">
      <c r="B815" s="2" t="s">
        <v>2523</v>
      </c>
    </row>
    <row r="816" spans="1:2" ht="15" customHeight="1">
      <c r="B816" s="2" t="s">
        <v>2524</v>
      </c>
    </row>
    <row r="817" spans="1:2" ht="15" customHeight="1">
      <c r="B817" s="2" t="s">
        <v>2525</v>
      </c>
    </row>
    <row r="818" spans="1:2" ht="15" customHeight="1">
      <c r="B818" s="2" t="s">
        <v>2526</v>
      </c>
    </row>
    <row r="819" spans="1:2" ht="15" customHeight="1">
      <c r="B819" s="2" t="s">
        <v>2527</v>
      </c>
    </row>
    <row r="820" spans="1:2" ht="15" customHeight="1">
      <c r="B820" s="2" t="s">
        <v>2528</v>
      </c>
    </row>
    <row r="821" spans="1:2" ht="15" customHeight="1">
      <c r="B821" s="2" t="s">
        <v>2529</v>
      </c>
    </row>
    <row r="822" spans="1:2" ht="15" customHeight="1">
      <c r="B822" s="2" t="s">
        <v>2530</v>
      </c>
    </row>
    <row r="823" spans="1:2" ht="15" customHeight="1">
      <c r="B823" s="2" t="s">
        <v>2531</v>
      </c>
    </row>
    <row r="824" spans="1:2" ht="15" customHeight="1">
      <c r="B824" s="2" t="s">
        <v>2532</v>
      </c>
    </row>
    <row r="825" spans="1:2" ht="15" customHeight="1">
      <c r="B825" s="2" t="s">
        <v>2544</v>
      </c>
    </row>
    <row r="826" spans="1:2" ht="15" customHeight="1">
      <c r="B826" s="2"/>
    </row>
    <row r="827" spans="1:2" ht="15" customHeight="1">
      <c r="A827" t="s">
        <v>2364</v>
      </c>
      <c r="B827" s="2"/>
    </row>
    <row r="828" spans="1:2" ht="15" customHeight="1">
      <c r="B828" s="2" t="s">
        <v>2363</v>
      </c>
    </row>
    <row r="829" spans="1:2" ht="15" customHeight="1">
      <c r="B829" s="2"/>
    </row>
    <row r="830" spans="1:2" s="1" customFormat="1" ht="15" customHeight="1">
      <c r="A830" s="1" t="s">
        <v>2269</v>
      </c>
      <c r="B830" s="951"/>
    </row>
    <row r="831" spans="1:2" ht="15" customHeight="1">
      <c r="B831" s="2"/>
    </row>
    <row r="832" spans="1:2" ht="15" customHeight="1">
      <c r="A832" t="s">
        <v>2285</v>
      </c>
      <c r="B832" s="2"/>
    </row>
    <row r="833" spans="1:2" ht="15" customHeight="1">
      <c r="B833" s="2" t="s">
        <v>2391</v>
      </c>
    </row>
    <row r="834" spans="1:2" ht="15" customHeight="1">
      <c r="B834" s="2"/>
    </row>
    <row r="835" spans="1:2" ht="15" customHeight="1">
      <c r="A835" t="s">
        <v>2390</v>
      </c>
      <c r="B835" s="2"/>
    </row>
    <row r="836" spans="1:2" ht="15" customHeight="1">
      <c r="B836" s="2" t="s">
        <v>2536</v>
      </c>
    </row>
    <row r="837" spans="1:2" ht="15" customHeight="1">
      <c r="B837" s="2" t="s">
        <v>2392</v>
      </c>
    </row>
    <row r="838" spans="1:2" ht="15" customHeight="1">
      <c r="B838" s="2" t="s">
        <v>2393</v>
      </c>
    </row>
    <row r="839" spans="1:2" ht="15" customHeight="1">
      <c r="B839" s="2" t="s">
        <v>2395</v>
      </c>
    </row>
    <row r="840" spans="1:2" ht="15" customHeight="1">
      <c r="B840" s="2" t="s">
        <v>2394</v>
      </c>
    </row>
    <row r="841" spans="1:2" ht="15" customHeight="1">
      <c r="B841" s="2"/>
    </row>
    <row r="842" spans="1:2" ht="15" customHeight="1">
      <c r="A842" t="s">
        <v>2396</v>
      </c>
      <c r="B842" s="2"/>
    </row>
    <row r="843" spans="1:2" ht="15" customHeight="1">
      <c r="B843" s="2" t="s">
        <v>2533</v>
      </c>
    </row>
    <row r="844" spans="1:2" ht="15" customHeight="1">
      <c r="B844" s="2" t="s">
        <v>2535</v>
      </c>
    </row>
    <row r="845" spans="1:2" ht="15" customHeight="1">
      <c r="B845" s="2" t="s">
        <v>2534</v>
      </c>
    </row>
    <row r="846" spans="1:2" ht="15" customHeight="1">
      <c r="B846" s="2"/>
    </row>
    <row r="847" spans="1:2" ht="15" customHeight="1">
      <c r="A847" t="s">
        <v>2397</v>
      </c>
      <c r="B847" s="2"/>
    </row>
    <row r="848" spans="1:2" ht="15" customHeight="1">
      <c r="B848" s="2" t="s">
        <v>2537</v>
      </c>
    </row>
    <row r="849" spans="1:2" ht="15" customHeight="1">
      <c r="B849" s="2" t="s">
        <v>4184</v>
      </c>
    </row>
    <row r="850" spans="1:2" ht="15" customHeight="1">
      <c r="B850" s="2"/>
    </row>
    <row r="851" spans="1:2" ht="15" customHeight="1">
      <c r="A851" t="s">
        <v>2398</v>
      </c>
      <c r="B851" s="2"/>
    </row>
    <row r="852" spans="1:2" ht="15" customHeight="1">
      <c r="B852" s="2" t="s">
        <v>2538</v>
      </c>
    </row>
    <row r="853" spans="1:2" ht="15" customHeight="1">
      <c r="B853" s="2"/>
    </row>
    <row r="854" spans="1:2" ht="15" customHeight="1">
      <c r="A854" t="s">
        <v>379</v>
      </c>
      <c r="B854" s="2"/>
    </row>
    <row r="855" spans="1:2" ht="15" customHeight="1">
      <c r="B855" s="2" t="s">
        <v>1693</v>
      </c>
    </row>
    <row r="856" spans="1:2" ht="15" customHeight="1">
      <c r="B856" s="2" t="s">
        <v>1694</v>
      </c>
    </row>
    <row r="857" spans="1:2" ht="15" customHeight="1">
      <c r="B857" s="2"/>
    </row>
    <row r="858" spans="1:2" s="1" customFormat="1" ht="15" customHeight="1">
      <c r="A858" s="1" t="s">
        <v>2268</v>
      </c>
      <c r="B858" s="951"/>
    </row>
    <row r="859" spans="1:2" ht="15" customHeight="1">
      <c r="B859" s="2"/>
    </row>
    <row r="860" spans="1:2" ht="15" customHeight="1">
      <c r="A860" t="s">
        <v>2374</v>
      </c>
    </row>
    <row r="861" spans="1:2" ht="15" customHeight="1">
      <c r="B861" s="2" t="s">
        <v>2379</v>
      </c>
    </row>
    <row r="862" spans="1:2" ht="15" customHeight="1">
      <c r="B862" s="2" t="s">
        <v>4044</v>
      </c>
    </row>
    <row r="864" spans="1:2" ht="15" customHeight="1">
      <c r="A864" t="s">
        <v>2375</v>
      </c>
    </row>
    <row r="865" spans="1:2" ht="15" customHeight="1">
      <c r="B865" s="2" t="s">
        <v>2380</v>
      </c>
    </row>
    <row r="867" spans="1:2" ht="15" customHeight="1">
      <c r="A867" t="s">
        <v>2376</v>
      </c>
    </row>
    <row r="868" spans="1:2" ht="15" customHeight="1">
      <c r="B868" s="2" t="s">
        <v>2381</v>
      </c>
    </row>
    <row r="869" spans="1:2" ht="15" customHeight="1">
      <c r="B869" s="2" t="s">
        <v>2382</v>
      </c>
    </row>
    <row r="870" spans="1:2" ht="15" customHeight="1">
      <c r="B870" s="2" t="s">
        <v>2383</v>
      </c>
    </row>
    <row r="871" spans="1:2" ht="15" customHeight="1">
      <c r="B871" s="2" t="s">
        <v>2660</v>
      </c>
    </row>
    <row r="872" spans="1:2" ht="15" customHeight="1">
      <c r="B872" s="2" t="s">
        <v>4095</v>
      </c>
    </row>
    <row r="873" spans="1:2" ht="15" customHeight="1">
      <c r="B873" s="2"/>
    </row>
    <row r="874" spans="1:2" ht="15" customHeight="1">
      <c r="A874" t="s">
        <v>2377</v>
      </c>
    </row>
    <row r="875" spans="1:2" ht="15" customHeight="1">
      <c r="B875" s="2" t="s">
        <v>2384</v>
      </c>
    </row>
    <row r="876" spans="1:2" ht="15" customHeight="1">
      <c r="B876" s="2"/>
    </row>
    <row r="877" spans="1:2" ht="15" customHeight="1">
      <c r="A877" t="s">
        <v>2843</v>
      </c>
      <c r="B877" s="2"/>
    </row>
    <row r="878" spans="1:2" ht="15" customHeight="1">
      <c r="B878" s="2" t="s">
        <v>2844</v>
      </c>
    </row>
    <row r="879" spans="1:2" ht="15" customHeight="1">
      <c r="B879" s="2" t="s">
        <v>2846</v>
      </c>
    </row>
    <row r="880" spans="1:2" ht="15" customHeight="1">
      <c r="B880" s="2"/>
    </row>
    <row r="881" spans="1:2" ht="15" customHeight="1">
      <c r="A881" t="s">
        <v>2794</v>
      </c>
      <c r="B881" s="2"/>
    </row>
    <row r="882" spans="1:2" ht="15" customHeight="1">
      <c r="B882" s="2" t="s">
        <v>2795</v>
      </c>
    </row>
    <row r="883" spans="1:2" ht="15" customHeight="1">
      <c r="B883" s="2" t="s">
        <v>2796</v>
      </c>
    </row>
    <row r="884" spans="1:2" ht="15" customHeight="1">
      <c r="B884" s="2" t="s">
        <v>2797</v>
      </c>
    </row>
    <row r="885" spans="1:2" ht="15" customHeight="1">
      <c r="B885" s="2"/>
    </row>
    <row r="886" spans="1:2" ht="15" customHeight="1">
      <c r="A886" t="s">
        <v>2378</v>
      </c>
    </row>
    <row r="887" spans="1:2" ht="15" customHeight="1">
      <c r="B887" s="2" t="s">
        <v>3162</v>
      </c>
    </row>
    <row r="888" spans="1:2" ht="15" customHeight="1">
      <c r="B888" s="2" t="s">
        <v>3161</v>
      </c>
    </row>
    <row r="889" spans="1:2" ht="15" customHeight="1">
      <c r="B889" s="2" t="s">
        <v>3163</v>
      </c>
    </row>
    <row r="890" spans="1:2" ht="15" customHeight="1">
      <c r="B890" s="2" t="s">
        <v>2734</v>
      </c>
    </row>
    <row r="891" spans="1:2" ht="15" customHeight="1">
      <c r="B891" s="2"/>
    </row>
    <row r="892" spans="1:2" ht="15" customHeight="1">
      <c r="A892" t="s">
        <v>3283</v>
      </c>
      <c r="B892" s="2"/>
    </row>
    <row r="893" spans="1:2" ht="15" customHeight="1">
      <c r="B893" s="2" t="s">
        <v>4163</v>
      </c>
    </row>
    <row r="894" spans="1:2" ht="15" customHeight="1">
      <c r="B894" s="2" t="s">
        <v>3284</v>
      </c>
    </row>
    <row r="895" spans="1:2" ht="15" customHeight="1">
      <c r="B895" s="2" t="s">
        <v>3300</v>
      </c>
    </row>
    <row r="896" spans="1:2" ht="15" customHeight="1">
      <c r="B896" s="2"/>
    </row>
    <row r="897" spans="1:2" ht="15" customHeight="1">
      <c r="A897" t="s">
        <v>2811</v>
      </c>
      <c r="B897" s="2"/>
    </row>
    <row r="898" spans="1:2" ht="15" customHeight="1">
      <c r="B898" s="2" t="s">
        <v>4094</v>
      </c>
    </row>
    <row r="899" spans="1:2" ht="15" customHeight="1">
      <c r="B899" s="2" t="s">
        <v>2815</v>
      </c>
    </row>
    <row r="900" spans="1:2" ht="15" customHeight="1">
      <c r="B900" s="2" t="s">
        <v>4092</v>
      </c>
    </row>
    <row r="901" spans="1:2" ht="15" customHeight="1">
      <c r="B901" s="2" t="s">
        <v>4091</v>
      </c>
    </row>
    <row r="902" spans="1:2" ht="15" customHeight="1">
      <c r="B902" s="2" t="s">
        <v>4093</v>
      </c>
    </row>
    <row r="903" spans="1:2" ht="15" customHeight="1">
      <c r="B903" s="2"/>
    </row>
    <row r="904" spans="1:2" ht="15" customHeight="1">
      <c r="A904" s="1" t="s">
        <v>3351</v>
      </c>
      <c r="B904" s="2"/>
    </row>
    <row r="905" spans="1:2" ht="15" customHeight="1">
      <c r="A905" s="1"/>
      <c r="B905" s="2"/>
    </row>
    <row r="906" spans="1:2" ht="15" customHeight="1">
      <c r="A906" s="25" t="s">
        <v>3419</v>
      </c>
      <c r="B906" s="2"/>
    </row>
    <row r="907" spans="1:2" ht="15" customHeight="1">
      <c r="B907" s="2" t="s">
        <v>3420</v>
      </c>
    </row>
    <row r="908" spans="1:2" ht="15" customHeight="1">
      <c r="B908" s="2" t="s">
        <v>3421</v>
      </c>
    </row>
    <row r="909" spans="1:2" ht="15" customHeight="1">
      <c r="B909" s="2" t="s">
        <v>3422</v>
      </c>
    </row>
    <row r="910" spans="1:2" ht="15" customHeight="1">
      <c r="B910" s="2" t="s">
        <v>3423</v>
      </c>
    </row>
    <row r="911" spans="1:2" ht="15" customHeight="1">
      <c r="B911" s="2"/>
    </row>
    <row r="912" spans="1:2" ht="15" customHeight="1">
      <c r="A912" t="s">
        <v>3348</v>
      </c>
      <c r="B912" s="2"/>
    </row>
    <row r="913" spans="1:2" ht="15" customHeight="1">
      <c r="B913" s="2" t="s">
        <v>3424</v>
      </c>
    </row>
    <row r="914" spans="1:2" ht="15" customHeight="1">
      <c r="B914" s="2" t="s">
        <v>3426</v>
      </c>
    </row>
    <row r="915" spans="1:2" ht="15" customHeight="1">
      <c r="B915" s="2" t="s">
        <v>3428</v>
      </c>
    </row>
    <row r="916" spans="1:2" ht="15" customHeight="1">
      <c r="B916" s="2" t="s">
        <v>3435</v>
      </c>
    </row>
    <row r="917" spans="1:2" ht="15" customHeight="1">
      <c r="B917" s="2" t="s">
        <v>3425</v>
      </c>
    </row>
    <row r="918" spans="1:2" ht="15" customHeight="1">
      <c r="B918" s="2" t="s">
        <v>3427</v>
      </c>
    </row>
    <row r="919" spans="1:2" ht="15" customHeight="1">
      <c r="B919" s="2" t="s">
        <v>3430</v>
      </c>
    </row>
    <row r="920" spans="1:2" ht="15" customHeight="1">
      <c r="B920" s="2" t="s">
        <v>3429</v>
      </c>
    </row>
    <row r="921" spans="1:2" ht="15" customHeight="1">
      <c r="B921" s="2" t="s">
        <v>3431</v>
      </c>
    </row>
    <row r="922" spans="1:2" ht="15" customHeight="1">
      <c r="B922" s="2" t="s">
        <v>3432</v>
      </c>
    </row>
    <row r="923" spans="1:2" ht="15" customHeight="1">
      <c r="B923" s="2" t="s">
        <v>3433</v>
      </c>
    </row>
    <row r="924" spans="1:2" ht="15" customHeight="1">
      <c r="B924" s="2" t="s">
        <v>3434</v>
      </c>
    </row>
    <row r="925" spans="1:2" ht="15" customHeight="1">
      <c r="B925" s="2"/>
    </row>
    <row r="926" spans="1:2" ht="15" customHeight="1">
      <c r="A926" t="s">
        <v>3436</v>
      </c>
      <c r="B926" s="2"/>
    </row>
    <row r="927" spans="1:2" ht="15" customHeight="1">
      <c r="B927" s="2" t="s">
        <v>3437</v>
      </c>
    </row>
    <row r="928" spans="1:2" ht="15" customHeight="1">
      <c r="B928" s="2" t="s">
        <v>3438</v>
      </c>
    </row>
    <row r="929" spans="1:2" ht="15" customHeight="1">
      <c r="B929" s="2" t="s">
        <v>3439</v>
      </c>
    </row>
    <row r="930" spans="1:2" ht="15" customHeight="1">
      <c r="B930" s="2" t="s">
        <v>3440</v>
      </c>
    </row>
    <row r="931" spans="1:2" ht="15" customHeight="1">
      <c r="B931" s="2" t="s">
        <v>3441</v>
      </c>
    </row>
    <row r="932" spans="1:2" ht="15" customHeight="1">
      <c r="B932" s="2" t="s">
        <v>3442</v>
      </c>
    </row>
    <row r="933" spans="1:2" ht="15" customHeight="1">
      <c r="B933" s="2" t="s">
        <v>3443</v>
      </c>
    </row>
    <row r="934" spans="1:2" ht="15" customHeight="1">
      <c r="B934" s="2" t="s">
        <v>3444</v>
      </c>
    </row>
    <row r="935" spans="1:2" ht="15" customHeight="1">
      <c r="B935" s="2"/>
    </row>
    <row r="936" spans="1:2" s="1" customFormat="1" ht="15" customHeight="1">
      <c r="A936" s="1" t="s">
        <v>2272</v>
      </c>
      <c r="B936" s="951"/>
    </row>
    <row r="937" spans="1:2" ht="15" customHeight="1">
      <c r="B937" s="2"/>
    </row>
    <row r="938" spans="1:2" ht="15" customHeight="1">
      <c r="A938" t="s">
        <v>2365</v>
      </c>
      <c r="B938" s="2"/>
    </row>
    <row r="939" spans="1:2" ht="15" customHeight="1">
      <c r="B939" s="2" t="s">
        <v>2385</v>
      </c>
    </row>
    <row r="940" spans="1:2" ht="15" customHeight="1">
      <c r="B940" s="2"/>
    </row>
    <row r="941" spans="1:2" s="1" customFormat="1" ht="15" customHeight="1">
      <c r="A941" s="1" t="s">
        <v>2270</v>
      </c>
      <c r="B941" s="951"/>
    </row>
    <row r="942" spans="1:2" s="1" customFormat="1" ht="15" customHeight="1">
      <c r="B942" s="951"/>
    </row>
    <row r="943" spans="1:2" s="1" customFormat="1" ht="15" customHeight="1">
      <c r="A943" s="25" t="s">
        <v>2638</v>
      </c>
      <c r="B943" s="951"/>
    </row>
    <row r="944" spans="1:2" s="1" customFormat="1" ht="15" customHeight="1">
      <c r="B944" s="2" t="s">
        <v>2597</v>
      </c>
    </row>
    <row r="945" spans="1:2" ht="15" customHeight="1">
      <c r="B945" s="2"/>
    </row>
    <row r="946" spans="1:2" ht="15" customHeight="1">
      <c r="A946" t="s">
        <v>2920</v>
      </c>
    </row>
    <row r="947" spans="1:2" ht="15" customHeight="1">
      <c r="B947" s="2" t="s">
        <v>2921</v>
      </c>
    </row>
    <row r="949" spans="1:2" ht="15" customHeight="1">
      <c r="A949" t="s">
        <v>2922</v>
      </c>
    </row>
    <row r="950" spans="1:2" ht="15" customHeight="1">
      <c r="B950" s="2" t="s">
        <v>2636</v>
      </c>
    </row>
    <row r="951" spans="1:2" ht="15" customHeight="1">
      <c r="B951" s="2" t="s">
        <v>2637</v>
      </c>
    </row>
    <row r="952" spans="1:2" ht="15" customHeight="1">
      <c r="B952" s="2"/>
    </row>
    <row r="953" spans="1:2" ht="15" customHeight="1">
      <c r="A953" t="s">
        <v>2929</v>
      </c>
      <c r="B953" s="2"/>
    </row>
    <row r="954" spans="1:2" ht="15" customHeight="1">
      <c r="B954" s="2" t="s">
        <v>128</v>
      </c>
    </row>
    <row r="955" spans="1:2" ht="15" customHeight="1">
      <c r="B955" s="2" t="s">
        <v>2957</v>
      </c>
    </row>
    <row r="956" spans="1:2" ht="15" customHeight="1">
      <c r="B956" s="2" t="s">
        <v>2958</v>
      </c>
    </row>
    <row r="957" spans="1:2" ht="15" customHeight="1">
      <c r="B957" s="2" t="s">
        <v>136</v>
      </c>
    </row>
    <row r="958" spans="1:2" ht="15" customHeight="1">
      <c r="B958" s="2"/>
    </row>
    <row r="959" spans="1:2" ht="15" customHeight="1">
      <c r="A959" t="s">
        <v>3311</v>
      </c>
      <c r="B959" s="2"/>
    </row>
    <row r="960" spans="1:2" ht="15" customHeight="1">
      <c r="B960" s="2" t="s">
        <v>3312</v>
      </c>
    </row>
    <row r="961" spans="1:2" ht="15" customHeight="1">
      <c r="B961" s="2"/>
    </row>
    <row r="962" spans="1:2" ht="15" customHeight="1">
      <c r="A962" t="s">
        <v>2366</v>
      </c>
      <c r="B962" s="2"/>
    </row>
    <row r="963" spans="1:2" ht="15" customHeight="1">
      <c r="B963" s="2" t="s">
        <v>2367</v>
      </c>
    </row>
    <row r="964" spans="1:2" ht="15" customHeight="1">
      <c r="B964" s="2" t="s">
        <v>2368</v>
      </c>
    </row>
    <row r="965" spans="1:2" ht="15" customHeight="1">
      <c r="B965" s="2" t="s">
        <v>2369</v>
      </c>
    </row>
    <row r="966" spans="1:2" ht="15" customHeight="1">
      <c r="B966" s="2" t="s">
        <v>2370</v>
      </c>
    </row>
    <row r="967" spans="1:2" ht="15" customHeight="1">
      <c r="B967" s="2"/>
    </row>
    <row r="968" spans="1:2" ht="15" customHeight="1">
      <c r="A968" t="s">
        <v>2371</v>
      </c>
    </row>
    <row r="969" spans="1:2" ht="15" customHeight="1">
      <c r="B969" s="2" t="s">
        <v>2154</v>
      </c>
    </row>
    <row r="970" spans="1:2" ht="15" customHeight="1">
      <c r="B970" s="2" t="s">
        <v>2372</v>
      </c>
    </row>
    <row r="971" spans="1:2" ht="15" customHeight="1">
      <c r="B971" s="2" t="s">
        <v>2373</v>
      </c>
    </row>
    <row r="972" spans="1:2" ht="15" customHeight="1">
      <c r="B972" s="2"/>
    </row>
    <row r="973" spans="1:2" ht="15" customHeight="1">
      <c r="A973" s="1" t="s">
        <v>2273</v>
      </c>
      <c r="B973" s="2"/>
    </row>
    <row r="974" spans="1:2" ht="15" customHeight="1">
      <c r="B974" s="2"/>
    </row>
    <row r="975" spans="1:2" ht="15" customHeight="1">
      <c r="A975" t="s">
        <v>2285</v>
      </c>
      <c r="B975" s="2"/>
    </row>
    <row r="976" spans="1:2" ht="15" customHeight="1">
      <c r="B976" s="2" t="s">
        <v>2298</v>
      </c>
    </row>
    <row r="977" spans="1:2" ht="15" customHeight="1">
      <c r="B977" s="2" t="s">
        <v>2707</v>
      </c>
    </row>
    <row r="978" spans="1:2" ht="15" customHeight="1">
      <c r="B978" s="2"/>
    </row>
    <row r="979" spans="1:2" ht="15" customHeight="1">
      <c r="A979" t="s">
        <v>2283</v>
      </c>
      <c r="B979" s="2"/>
    </row>
    <row r="980" spans="1:2" ht="15" customHeight="1">
      <c r="B980" s="2" t="s">
        <v>2286</v>
      </c>
    </row>
    <row r="981" spans="1:2" ht="15" customHeight="1">
      <c r="B981" s="2" t="s">
        <v>2708</v>
      </c>
    </row>
    <row r="982" spans="1:2" ht="15" customHeight="1">
      <c r="B982" s="2"/>
    </row>
    <row r="983" spans="1:2" ht="15" customHeight="1">
      <c r="A983" t="s">
        <v>2284</v>
      </c>
      <c r="B983" s="2"/>
    </row>
    <row r="984" spans="1:2" ht="15" customHeight="1">
      <c r="B984" s="2" t="s">
        <v>2299</v>
      </c>
    </row>
    <row r="985" spans="1:2" ht="15" customHeight="1">
      <c r="B985" s="2" t="s">
        <v>2293</v>
      </c>
    </row>
    <row r="986" spans="1:2" ht="15" customHeight="1">
      <c r="B986" s="2" t="s">
        <v>2294</v>
      </c>
    </row>
    <row r="987" spans="1:2" ht="15" customHeight="1">
      <c r="B987" s="2" t="s">
        <v>2295</v>
      </c>
    </row>
    <row r="988" spans="1:2" ht="15" customHeight="1">
      <c r="B988" s="2" t="s">
        <v>2296</v>
      </c>
    </row>
    <row r="989" spans="1:2" ht="15" customHeight="1">
      <c r="B989" s="2" t="s">
        <v>2297</v>
      </c>
    </row>
    <row r="990" spans="1:2" ht="15" customHeight="1">
      <c r="B990" s="2" t="s">
        <v>2573</v>
      </c>
    </row>
    <row r="991" spans="1:2" ht="15" customHeight="1">
      <c r="B991" s="2" t="s">
        <v>2572</v>
      </c>
    </row>
    <row r="992" spans="1:2" ht="15" customHeight="1">
      <c r="B992" s="2"/>
    </row>
    <row r="993" spans="1:2" ht="15" customHeight="1">
      <c r="A993" t="s">
        <v>1978</v>
      </c>
      <c r="B993" s="2"/>
    </row>
    <row r="994" spans="1:2" ht="15" customHeight="1">
      <c r="B994" s="2" t="s">
        <v>2386</v>
      </c>
    </row>
    <row r="995" spans="1:2" ht="15" customHeight="1">
      <c r="B995" s="2" t="s">
        <v>2387</v>
      </c>
    </row>
    <row r="996" spans="1:2" ht="15" customHeight="1">
      <c r="B996" s="2" t="s">
        <v>2388</v>
      </c>
    </row>
    <row r="997" spans="1:2" ht="15" customHeight="1">
      <c r="B997" s="2"/>
    </row>
    <row r="998" spans="1:2" ht="15" customHeight="1">
      <c r="A998" t="s">
        <v>2287</v>
      </c>
      <c r="B998" s="2"/>
    </row>
    <row r="999" spans="1:2" ht="15" customHeight="1">
      <c r="B999" s="2" t="s">
        <v>2291</v>
      </c>
    </row>
    <row r="1000" spans="1:2" ht="15" customHeight="1">
      <c r="B1000" s="2" t="s">
        <v>2290</v>
      </c>
    </row>
    <row r="1001" spans="1:2" ht="15" customHeight="1">
      <c r="B1001" s="2"/>
    </row>
    <row r="1002" spans="1:2" ht="15" customHeight="1">
      <c r="A1002" t="s">
        <v>2288</v>
      </c>
      <c r="B1002" s="2"/>
    </row>
    <row r="1003" spans="1:2" ht="15" customHeight="1">
      <c r="B1003" s="2" t="s">
        <v>2292</v>
      </c>
    </row>
    <row r="1004" spans="1:2" ht="15" customHeight="1">
      <c r="B1004" s="2" t="s">
        <v>2389</v>
      </c>
    </row>
    <row r="1005" spans="1:2" ht="15" customHeight="1">
      <c r="B1005" s="2" t="s">
        <v>2289</v>
      </c>
    </row>
    <row r="1006" spans="1:2" ht="15" customHeight="1">
      <c r="B1006" s="2"/>
    </row>
    <row r="1007" spans="1:2" ht="15" customHeight="1">
      <c r="A1007" s="1" t="s">
        <v>2274</v>
      </c>
    </row>
    <row r="1008" spans="1:2" ht="15" customHeight="1">
      <c r="B1008" s="2" t="s">
        <v>2275</v>
      </c>
    </row>
    <row r="1009" spans="2:2" ht="15" customHeight="1">
      <c r="B1009" s="2" t="s">
        <v>275</v>
      </c>
    </row>
    <row r="1010" spans="2:2" ht="15" customHeight="1">
      <c r="B1010" s="2" t="s">
        <v>2276</v>
      </c>
    </row>
    <row r="1011" spans="2:2" ht="15" customHeight="1">
      <c r="B1011" s="2" t="s">
        <v>290</v>
      </c>
    </row>
    <row r="1012" spans="2:2" ht="15" customHeight="1">
      <c r="B1012" s="2" t="s">
        <v>2277</v>
      </c>
    </row>
    <row r="1013" spans="2:2" ht="15" customHeight="1">
      <c r="B1013" s="2" t="s">
        <v>2278</v>
      </c>
    </row>
    <row r="1014" spans="2:2" ht="15" customHeight="1">
      <c r="B1014" s="2" t="s">
        <v>2279</v>
      </c>
    </row>
    <row r="1015" spans="2:2" ht="15" customHeight="1">
      <c r="B1015" s="2" t="s">
        <v>2280</v>
      </c>
    </row>
    <row r="1016" spans="2:2" ht="15" customHeight="1">
      <c r="B1016" s="2" t="s">
        <v>2281</v>
      </c>
    </row>
    <row r="1017" spans="2:2" ht="15" customHeight="1">
      <c r="B1017" s="2" t="s">
        <v>2282</v>
      </c>
    </row>
    <row r="1018" spans="2:2" ht="15" customHeight="1">
      <c r="B1018" s="2" t="s">
        <v>4249</v>
      </c>
    </row>
    <row r="1019" spans="2:2" ht="15" customHeight="1">
      <c r="B1019" s="2" t="s">
        <v>4250</v>
      </c>
    </row>
  </sheetData>
  <hyperlinks>
    <hyperlink ref="B230" location="'T Dist'!A1" display="Chart of t distribution (Figure 11.2)"/>
    <hyperlink ref="B234" location="'1 Sample T 1'!A1" display="One sample t test (Example 11.1)"/>
    <hyperlink ref="B236" location="'1 Sample T 2'!A1" display="One sample t test (Example 11.2)"/>
    <hyperlink ref="B250" location="'2 Sample T 1'!A1" display="Two independent sample t test, equal variance (Example 11.3)"/>
    <hyperlink ref="B11" location="'Bar Chart'!A1" display="Sample Excel worksheet (Figure 2.1)"/>
    <hyperlink ref="B14" location="'Bar Chart'!A1" display="Bar Chart (Example 2.1)"/>
    <hyperlink ref="B15" location="'Line Chart'!A1" display="Line Chart (Example 2.2)"/>
    <hyperlink ref="B19" location="'Array Formula'!A1" display="Array formula (Example 2.3)"/>
    <hyperlink ref="B20" location="'Array Function'!A1" display="Array function (Example 2.4)"/>
    <hyperlink ref="B50" location="'Prob 1'!A1" display="Frequency function (Example 3.6)"/>
    <hyperlink ref="B51" location="'Prob 2'!A1" display="Frequency function (Example 3.7)"/>
    <hyperlink ref="B65" location="Combined!A1" display="Combined sample (Example 4.2)"/>
    <hyperlink ref="B69" location="'Chi-Sq'!A1" display="Chi-square distribution (Figure 4.5)"/>
    <hyperlink ref="B70" location="'Chi-Sq'!H33" display="Kurtosis and skewness (Figure 4.6)"/>
    <hyperlink ref="B74" location="'Rank 1'!A1" display="Rank and Percentile data analysis tool (Example 5)"/>
    <hyperlink ref="B79" location="'Desc 1'!A1" display="Descriptive Statistics data analysis tool (Example 4.2)"/>
    <hyperlink ref="B80" location="'Desc 2'!A1" display="Descriptive Statistics data analysis tool (Example 4.3)"/>
    <hyperlink ref="B81" location="'Desc 2'!I3" display="Real Statistics Descriptive Statistics data analysis tool (Example 3)"/>
    <hyperlink ref="B84" location="Freq!A1" display="Mean and variance based on frequency tables (Example 1)"/>
    <hyperlink ref="B85" location="Freq!C17" display="Frequency function (Example 1)"/>
    <hyperlink ref="B86" location="Freq!N3" display="Calculations from a frequency table with intervals (Example 4.5)"/>
    <hyperlink ref="B87" location="Histogram!A1" display="Excel FREQUENCY function (Example 4.6)"/>
    <hyperlink ref="B93" location="Histogram!A16" display="Histogram data analysis tool (Figure 4.18)"/>
    <hyperlink ref="B60" location="'Geo Mean'!A1" display="Geometric Mean (Figure 4.1)"/>
    <hyperlink ref="B97" location="'Box Plot 1'!A1" display="Box Plot (Example 4.7)"/>
    <hyperlink ref="B109" location="Power!A1" display="Power table (Figure 5.4)"/>
    <hyperlink ref="B114" location="'Normal 1'!A1" display="Normal distribution (Example 7.1)"/>
    <hyperlink ref="B119" location="'Normal 1'!A106" display="Standard normal distribution (Figure 7.4)"/>
    <hyperlink ref="B170" location="'Binomial 3'!A1" display="Binomial vs. normal distribution (Example 9.4)"/>
    <hyperlink ref="B161" location="'Binomial 1'!A1" display="Chart of binomial distribution (Figure 9.1)"/>
    <hyperlink ref="B969" location="'Box Plot 1'!A1" display="Box Plot (Figure B6.1, B6.2, B6.3)"/>
    <hyperlink ref="B970" location="'Box Plot 2'!A1" display="Box Plot - Alternative Approach (Figures B6.4, B6.5)"/>
    <hyperlink ref="B1008" location="'Wilcoxon Table'!A1" display="'Wilcoxon Table'!A1"/>
    <hyperlink ref="B1009" location="'Mann Table'!A1" display="'Mann Table'!A1"/>
    <hyperlink ref="B1010" location="'W Paired Table'!A1" display="'W Paired Table'!A1"/>
    <hyperlink ref="B1011" location="'Runs Table'!A1" display="'Runs Table'!A1"/>
    <hyperlink ref="B1012" location="'KS Table'!A1" display="'KS Table'!A1"/>
    <hyperlink ref="B1013" location="'SW Table'!A1" display="Shapiro Wilk Tables"/>
    <hyperlink ref="B1014" location="'Stud. Q Table'!A1" display="'Stud. Q Table'!A1"/>
    <hyperlink ref="B1016" location="'Sp Rho Table'!A1" display="'Sp Rho Table'!A1"/>
    <hyperlink ref="B1017" location="'Ken Tau Table'!A1" display="E11 - Kendall's Tau Table"/>
    <hyperlink ref="B251" location="'2 Sample T 1'!O18" display="Two independent sample t test, data analysis tool (Figure 11.18)"/>
    <hyperlink ref="B954" location="'Conversion 1'!A1" display="Conversion from frequency table (Figure B3.1)"/>
    <hyperlink ref="B957" location="'Conversion 2'!A1" display="Conversion to frequency table (Figure B3.3)"/>
    <hyperlink ref="B963" location="'Table Lookup'!A1" display="Table Lookup (Example B4.1)"/>
    <hyperlink ref="B964" location="'Table Lookup'!H3" display="Table Lookup (Example B4.2)"/>
    <hyperlink ref="B965" location="'Table Lookup'!A18" display="Table Lookup (Example B4.3)"/>
    <hyperlink ref="B284" location="'Chi-Sq'!A1" display="Chart of chi-square distribution (Figure 12.1)"/>
    <hyperlink ref="B287" location="'1 Sample Var'!A1" display="One sample testing of variance (Example 12.2)"/>
    <hyperlink ref="B299" location="'Chi-Sq 1'!A1" display="Chi-square independence testing (Example 12.9)"/>
    <hyperlink ref="B300" location="'Chi-Sq 2'!A1" display="Chi-square independence testing (Example 12.10)"/>
    <hyperlink ref="B294" location="'Good Fit 1'!A1" display="Chi-square goodness of fit (Example 12.6)"/>
    <hyperlink ref="B295" location="'Good Fit 2'!A1" display="Chi-square goodness of fit (Example 12.7)"/>
    <hyperlink ref="B296" location="'Good Fit 3'!A1" display="Chi-square goodness of fit (Example 12.8)"/>
    <hyperlink ref="B288" location="'1 Sample Var'!A16" display="One sample testing of variance (Example 12.3)"/>
    <hyperlink ref="B516" location="'Corr Scatter'!A1" display="Scatter diagrams (Figure 17.1)"/>
    <hyperlink ref="B520" location="'Corr 0'!D1" display="One sample testing of correlation coefficient (Example 1)"/>
    <hyperlink ref="B522" location="'Corr 3'!A1" display="Hypothesis testing using Fisher transformation (Example 3)"/>
    <hyperlink ref="B524" location="'Corr 1a'!I1" display="Hypothesis testing (extra example)"/>
    <hyperlink ref="B529" location="'2 Corr'!A1" display="Two sample testing of correlation coefficients (Example 17.5)"/>
    <hyperlink ref="B533" location="'Corr 2'!L1" display="Correlation data analysis tool (Example 17.6)"/>
    <hyperlink ref="B535" location="'Corr 2'!L28" display="Partial and semi-partial correlation (Example 17.7)"/>
    <hyperlink ref="B534" location="'Corr 2'!L15" display="Multiple correlation coefficient (Example 17.6)"/>
    <hyperlink ref="B551" location="'Corr and T'!A1" display="Dummy variables and two sample t test (Example 17.9)"/>
    <hyperlink ref="B521" location="'Corr 1'!A1" display="One sample testing of correlation coefficient (Example 17.1)"/>
    <hyperlink ref="B330" location="'Norm Histogram'!A1" display="Testing for normality via histogram (Example 13.1)"/>
    <hyperlink ref="B331" location="'Norm QQ Plot 1'!A1" display="Testing for normality via QQ plot (Example 13.2)"/>
    <hyperlink ref="B332" location="'Norm QQ Plot 2'!A1" display="Testing for normality via QQ plot (Example 13.3)"/>
    <hyperlink ref="B336" location="'Norm Box Plot'!C11" display="Testing for normality using skewness and kurtosis (Example 13.5)"/>
    <hyperlink ref="B539" location="'Spearman Rho 1'!A1" display="Spearman's rho (Example E4.2)"/>
    <hyperlink ref="B540" location="'Spearman Rho 1'!A18" display="Alternative way of calculating Spearman's rho (Example E4.3)"/>
    <hyperlink ref="B541" location="'Spearman Rho 2'!A1" display="Hypothesis testing using Spearman's rho (Example E4.4)"/>
    <hyperlink ref="B544" location="'Kendall Tau 1'!A1" display="Kendall's tau (Example 1)"/>
    <hyperlink ref="B345" location="'KS 1'!A1" display="KS Test (Example E3.3)"/>
    <hyperlink ref="B346" location="'KS 2'!A1" display="KS Test (Example E3.4)"/>
    <hyperlink ref="B349" location="'SW 1'!A1" display="SW Test (Example E3.5)"/>
    <hyperlink ref="B350" location="'SW 2'!A1" display="SW Test (Example E3.6)"/>
    <hyperlink ref="B341" location="'Norm Chi-sq 1'!A1" display="Chi-square Test (Example 1)"/>
    <hyperlink ref="B342" location="'Norm Chi-sq 2'!A1" display="Chi-square Test (Example 2)"/>
    <hyperlink ref="B567" location="'Reg 1'!A1" display="Linear Regression Line (Example 18.1)"/>
    <hyperlink ref="B570" location="'Reg 1'!I1" display="Using regression ine for prediction (Example 18.2)"/>
    <hyperlink ref="B574" location="'Reg 2'!A1" display="Testing fit of regression line (Example 18.3)"/>
    <hyperlink ref="B577" location="'Reg 3'!A1" display="Testing slope of regression line (Example 18.4)"/>
    <hyperlink ref="B578" location="'Reg 2'!AM1" display="LINEST Function"/>
    <hyperlink ref="B579" location="'Reg 4'!A1" display="Regression data analysis tool (Figures 18.6 and 18.7)"/>
    <hyperlink ref="B602" location="'Mult Reg 1'!A1" display="Method of least squares (Example 19.1)"/>
    <hyperlink ref="B603" location="'Mult Reg 1'!A1" display="Method of least squares using covariance matrix (Example 19.2)"/>
    <hyperlink ref="B604" location="'Mult Reg 2'!A1" display="Method of least squares using hat matrix (Example 19.3)"/>
    <hyperlink ref="B608" location="'Mult Reg 3'!A1" display="Sample size requirements for multiple regression (Figure 19.4)"/>
    <hyperlink ref="B609" location="'Mult Reg 4'!A1" display="TREND and LINEST function (Example 19.4)"/>
    <hyperlink ref="B611" location="'Mult Reg 5'!A1" display="Regression data analysis tool (Example 19.5)"/>
    <hyperlink ref="B613" location="'Mult Reg 6'!A1" display="Formulas for regression analysis (Figure 19.8 and 19.9)"/>
    <hyperlink ref="B583" location="'Reg 6'!A1" display="Confidence/prediction Intervals (Example 18.5)"/>
    <hyperlink ref="B587" location="'Exp Reg'!A1" display="Exponential Regression (Example 18.7)"/>
    <hyperlink ref="B588" location="'Exp Reg'!O3" display="LOGEST and GROWTH functions (Figure)"/>
    <hyperlink ref="B594" location="'Reg T 1'!A1" display="Regression to Compare Means (Example 18.9)"/>
    <hyperlink ref="B596" location="'Reg T 2'!A1" display="Regression to Compare Means (Example 18.10)"/>
    <hyperlink ref="B621" location="'Poly Reg'!A1" display="Quadratic regression (Example 19.6)"/>
    <hyperlink ref="B630" location="'Interaction Reg'!A1" display="Regression with interaction (Example 19.7)"/>
    <hyperlink ref="B662" location="Collinearity!A1" display="Collinearity (Figure 19.15)"/>
    <hyperlink ref="B413" location="'ANOVA 1'!A1" display="One factor ANOVA (Example 15.1)"/>
    <hyperlink ref="B414" location="'ANOVA 2'!A1" display="One factor ANOVA (Example 15.2)"/>
    <hyperlink ref="B415" location="'ANOVA 3'!A1" display="Error terms for Example 15.2 (Figure 15.4)"/>
    <hyperlink ref="B416" location="'ANOVA 4'!A1" display="One factor ANOVA with unequal sample sizes (Example 15.3)"/>
    <hyperlink ref="B420" location="'ANOVA 5'!A1" display="Confidence interval (Example 15.4)"/>
    <hyperlink ref="B425" location="'Contrast 1'!M5" display="Simple approach to contrasts (Example 15.5)"/>
    <hyperlink ref="B426" location="'Contrast 2'!N3" display="Contrasts (Example 15.5)"/>
    <hyperlink ref="B427" location="'Contrast 2'!N17" display="Contrasts (Example 15.6)"/>
    <hyperlink ref="B359" location="'Log Trans'!A1" display="Log transformation (Example 14.5)"/>
    <hyperlink ref="B428" location="'Contrast 3'!A1" display="Contrasts using Bonferroni or Dunn/Sidák corrections (Example 15.7)"/>
    <hyperlink ref="B432" location="'Tukey 1'!A1" display="Tukey HSD test (Example 15.8)"/>
    <hyperlink ref="B436" location="REGWQ!A1" display="REGWQ test (Example 15.9)"/>
    <hyperlink ref="B437" location="Scheffe!A1" display="Scheffe test (Example 15.10)"/>
    <hyperlink ref="B440" location="'Levene 1'!A1" display="Levene's test on means (Example 1)"/>
    <hyperlink ref="B442" location="'Levene 1'!A30" display="Levene's test on medians (Example 1, extra)"/>
    <hyperlink ref="B443" location="'Levene 2'!A1" display="Levene's test on means (extra example)"/>
    <hyperlink ref="B444" location="Bartlett!A1" display="Bartlett's test (Example 2)"/>
    <hyperlink ref="B445" location="'Log Transform'!A1" display="Log transform (Example 15.13)"/>
    <hyperlink ref="B448" location="Outliers!A1" display="Identifiying outliers (Example 15.14)"/>
    <hyperlink ref="B451" location="'ANOVA 2'!N13" display="Effect size (Example 15.17)"/>
    <hyperlink ref="B1015" location="'Stud. Q Table 2'!A1" display="F9 - Studentized Q Table (table 2)"/>
    <hyperlink ref="B481" location="'ANOVA 2.1'!A1" display="Two factor ANOVA without replication (Example 16.1)"/>
    <hyperlink ref="B491" location="'ANOVA 2.2'!P26" display="Two factor ANOVA with replication using supplemental functions"/>
    <hyperlink ref="B493" location="'ANOVA 2.4'!A1" display="Two factor ANOVA with replication - standard data format (Example 4)"/>
    <hyperlink ref="B503" location="'ANOVA 3.1'!A1" display="Three factor ANOVA (Example 16.6)"/>
    <hyperlink ref="B633" location="'Reg Anova 1'!A1" display="Categorical variable models (Example 19.8)"/>
    <hyperlink ref="B634" location="'Reg Anova 2'!A1" display="Categorical variable models (Example 19.8 alternative approach)"/>
    <hyperlink ref="B739" location="'Log Lin 1.1'!A1" display="Two-way log-linear saturated model (Example 21.1)"/>
    <hyperlink ref="B746" location="'Log Lin 1.1'!A17" display="Two-way log-linear independence model (Example 21.2)"/>
    <hyperlink ref="B747" location="'Log Lin 1.1'!F26" display="Residuals and chi-square for two-way model (Figure 21.3)"/>
    <hyperlink ref="B748" location="'Log Lin 1.3'!A1" display="Coefficients via Excel regression data analysis tool (Figure 21.4)"/>
    <hyperlink ref="B742" location="'Log Lin 1.1'!R3" display="Marginal averages for two-way models (Figure 21.2)"/>
    <hyperlink ref="B751" location="'Log Lin 1.4'!A1" display="Other two-way log-linear models (Figure 21.6)"/>
    <hyperlink ref="B754" location="'Log Lin 1.4'!A89" display="Summary of all two-way log-linear models (Figure 21.7)"/>
    <hyperlink ref="B743" location="'Log Lin 1.2'!A1" display="Alternative coding for coefficients of two-way models"/>
    <hyperlink ref="B757" location="'Log Lin 2.1'!A1" display="Three-way contingency tables (Example 21.3)"/>
    <hyperlink ref="B760" location="'Log Lin 2.3'!A1" display="Expectation for 3-way models (Figures 21.11, 21.13, 21.16)"/>
    <hyperlink ref="B761" location="'Log Lin 2.2'!A1" display="Residuals and chi-square for three-way model (Figure 21.12)"/>
    <hyperlink ref="B764" location="'Log Lin 2.4'!A1" display="Iterative Proportional Fitting for Homogeneous case (Figure 21.15)"/>
    <hyperlink ref="B767" location="'Log Lin 2.4'!A87" display="Summary of all three-way log-linear models (Figure 21.17)"/>
    <hyperlink ref="B768" location="'Log Lin 2.1'!A18" display="Odds ratio for three-way log-linear models (Figure 21.18)"/>
    <hyperlink ref="B769" location="'Log Lin 2.5'!A1" display="Coefficients for three-way log-linear model (Figure 21.19)"/>
    <hyperlink ref="B788" location="'ANOVA Match 1.1'!A1" display="ANOVA with repeated measures, 1 treatment variable (Example 22.1)"/>
    <hyperlink ref="B789" location="'ANOVA Match 1.2'!A1" display="Contrasts for ANOVA with repeated measures (Example 22.2)"/>
    <hyperlink ref="B792" location="'ANOVA Match 1.3'!W3" display="Tests for sphericity (Figure 22.5 and 22.6)"/>
    <hyperlink ref="B794" location="'ANOVA Match 1.3'!N1" display="ANOVA with repeated measures corrected for sphericity (Example 22.3)"/>
    <hyperlink ref="B868" location="Cronbach!A1" display="Cronbach's Alpha (Example 24.3)"/>
    <hyperlink ref="B869" location="Cronbach!A24" display="Cronbach's alpha with one question removed (Example 24.4)"/>
    <hyperlink ref="B870" location="Cronbach!O32" display="Cronbach's alpha using ANOVA (Example 24.5)"/>
    <hyperlink ref="B875" location="Kappa!A1" display="Cohen's kappa (Example 24.6)"/>
    <hyperlink ref="B887" location="'ICC1'!A1" display="Intraclass Correlation - case 1"/>
    <hyperlink ref="B804" location="'ANOVA Match 2.1'!A1" display="ANOVA with repeated measures, 2 treatment variables (Example 22.5)"/>
    <hyperlink ref="B793" location="'ANOVA Match 1.3'!AK1" display="Calculation of GG and HF epsilon and lower bound correction (Figure 22.7)"/>
    <hyperlink ref="B795" location="'ANOVA Match 1.3'!N21" display="Effect size for ANOVA"/>
    <hyperlink ref="B162" location="'Binomial 2'!A1" display="Binomial distribution (Example 9.1)"/>
    <hyperlink ref="B833" location="'ANCOVA 1'!A1" display="ANCOVA (Example 23.1)"/>
    <hyperlink ref="B836" location="'ANCOVA 2'!A1" display="ANCOVA Regression Approach (Figure 23.2)"/>
    <hyperlink ref="B837" location="'ANCOVA 2'!J3" display="ANCOVA regression models (Figure 23.3)"/>
    <hyperlink ref="B838" location="'ANCOVA 2'!J30" display="ANCOVA results (Figure 23.4 and 23.5)"/>
    <hyperlink ref="B839" location="'ANCOVA 2'!R3" display="ANCOVA full model (Figure 23.6)"/>
    <hyperlink ref="B840" location="'ANCOVA 2'!A45" display="ANCOVA adjusted means (Figure 23.7 and 23.8)"/>
    <hyperlink ref="B843" location="'ANCOVA 1'!M3" display="ANCOVA assumptions (Example 23.2, Figure 23.9 and 23.10)"/>
    <hyperlink ref="B845" location="'ANCOVA 2'!Y3" display="ANCOVA assumptions - homogeneous regression slopes (Figure 23.12)"/>
    <hyperlink ref="B848" location="'ANCOVA 3'!A1" display="ANCOVA - ANOVA approach (Example 23.3, Figure 23.13)"/>
    <hyperlink ref="B852" location="'ANCOVA Contrasts'!A1" display="ANCOVA Contrasts (Example 23.4, Figure 23.18)"/>
    <hyperlink ref="B856" location="'ANCOVA Contrasts'!D17" display="ANCOVA effect sizes - contrasts"/>
    <hyperlink ref="B855" location="'ANCOVA 2'!J52" display="ANCOVA effect sizes - omnibus test"/>
    <hyperlink ref="B115" location="'Normal 1'!A135" display="Extra picture (two normal distributions)"/>
    <hyperlink ref="B194" location="Multinom!A1" display="Multinomial distribution (Example 9.10)"/>
    <hyperlink ref="B198" location="'Poisson 1'!A1" display="Poisson distribution (Example 9.11)"/>
    <hyperlink ref="B199" location="'Poisson 2'!A1" display="Poisson distribution (Example 9.12)"/>
    <hyperlink ref="B124" location="'1 Sample Z 1'!A1" display="One sample hypothesis testing with known variance (Example 8.2)"/>
    <hyperlink ref="B977" location="Diag!A1" display="Diagonal of a square mtrix (Example C2.1)"/>
    <hyperlink ref="B976" location="Length!A1" display="Length of a vector (Example C3.2)"/>
    <hyperlink ref="B980" location="Inverse!A1" display="Inverse of a matrix (Example C2.1)"/>
    <hyperlink ref="B984" location="'Det 1'!A1" display="Determinant (Example C3.1)"/>
    <hyperlink ref="B985" location="'Det 2'!A1" display="Determinant using Gaussian elimination (Example C3.2)"/>
    <hyperlink ref="B986" location="'Cramer Rule'!A1" display="Solution to linear equations via Cramer's rule (Example C3.3)"/>
    <hyperlink ref="B987" location="'Gauss Elim 1'!A1" display="Solution to linear equations via Gaussian elimination (Example C3.4)"/>
    <hyperlink ref="B988" location="'Gauss Elim 1'!A14" display="Solution to homogeneous linear equations (Example C3.5)"/>
    <hyperlink ref="B989" location="'Gauss Elim 1'!A25" display="Solution to homogeneous linear equations (Example C3.6)"/>
    <hyperlink ref="B990" location="'Gauss Elim 1'!A36" display="Inverting a matrix via Gaussian elimination (Example C3.7)"/>
    <hyperlink ref="B125" location="'1 Sample Z 1'!H1" display="One sample hypothesis testing with known variance (Example 8.3)"/>
    <hyperlink ref="B129" location="'1 Sample Z 1'!A21" display="Confidence interval (Example 8.4)"/>
    <hyperlink ref="B130" location="'1 Sample Z 1'!H21" display="Confidence interval (Example 8.5)"/>
    <hyperlink ref="B133" location="'1 Sample Z 2'!A1" display="One sample hypothesis test via Central Limit Theorem (Example 8.7)"/>
    <hyperlink ref="B136" location="'2 Sample Z'!A1" display="Two sample hypothesis testing with known variance (Example 8.8)"/>
    <hyperlink ref="B139" location="'Simulation 1'!A1" display="Simulation of Central Limit Theorem (Example 8.9)"/>
    <hyperlink ref="B140" location="'Uniform Sample'!A1" display="Sample data for Example 8.9"/>
    <hyperlink ref="B141" location="'Simulation 1'!A20" display="Simulation of Central Limit Theorem (extra example)"/>
    <hyperlink ref="B142" location="'Poisson Sample'!A1" display="Sample data for extra example"/>
    <hyperlink ref="B143" location="'Simulation 2'!A1" display="Normal distribution sample (Figure 8.5)"/>
    <hyperlink ref="B146" location="'Sampling 1'!A1" display="Sampling (Example 8.10)"/>
    <hyperlink ref="B147" location="'Sampling 2'!A1" display="Sampling without replacement (Example 8.11)"/>
    <hyperlink ref="B148" location="'Sampling 2'!H1" display="Observation about sampling with replacement "/>
    <hyperlink ref="B152" location="'Norm Power 1'!A15" display="Power curve for Example 8.12 (Figure 8.9)"/>
    <hyperlink ref="B151" location="'Norm Power 1'!A1" display="Power for normal distribution (Example 8.12)"/>
    <hyperlink ref="B154" location="'Norm Power 1'!N17" display="What if analysis regarding power for normal distribution (Example 8.13)"/>
    <hyperlink ref="B153" location="'Norm Power 2'!A1" display="What if analysis regarding power for normal distribution (Example 8.13)"/>
    <hyperlink ref="B614" location="'Mult Reg 6A'!A1" display="Supplementary functions (Figure 19.8)"/>
    <hyperlink ref="B364" location="'Sign Test'!A1" display="Sign test (Example 14.1)"/>
    <hyperlink ref="B368" location="'Wilcoxon 2'!A1" display="Wilcoxon Rank Sum Test for Independent Samples (Example 14.2)"/>
    <hyperlink ref="B369" location="'Wilcoxon 1'!A1" display="Wilcoxon Rank Sum Test and assumptions (Figure 14.3)"/>
    <hyperlink ref="B370" location="'Wilcoxon 3'!A1" display="Wilcoxon Rank Sum Test unequal sample sizes (Example 14.3)"/>
    <hyperlink ref="B371" location="'Wilcoxon 4'!A1" display="Wilcoxon Rank Sum Test normal approximation (Example 14.4)"/>
    <hyperlink ref="B377" location="'Mann 1'!A1" display="Mann-Whitney U Test (Example 14.5)"/>
    <hyperlink ref="B378" location="'Mann 2'!A1" display="Mann-Whitney U Test normal approximation (Example 14.6)"/>
    <hyperlink ref="B383" location="'Wilcox Pair 1'!A1" display="Wilcoxon Signed-Rank Test for Paired Samples (Example 14.7)"/>
    <hyperlink ref="B384" location="'Wilcox Pair 2'!A1" display="Wilcoxon paired samples test normal approximation (Example 14.8)"/>
    <hyperlink ref="B386" location="'Signed Rank'!A1" display="Signed Rank test for one sample (Example 3)"/>
    <hyperlink ref="B391" location="McNemar!A1" display="McNemar’s Test (Example 14.10)"/>
    <hyperlink ref="B392" location="McNemar!E3" display="McNemar’s Test (Example 14.11)"/>
    <hyperlink ref="B395" location="'Runs Test 1'!A1" display="One Sample Runs Test (Example 1)"/>
    <hyperlink ref="B396" location="'Runs Test 1'!F1" display="One Sample Runs Test (Example 2)"/>
    <hyperlink ref="B406" location="'Resamp 1'!A1" display="Resampling: One sample case (Example 14.14)"/>
    <hyperlink ref="B407" location="'Resamp 2'!A1" display="Resampling: two independent samples case (Example 14.15)"/>
    <hyperlink ref="B408" location="'Resamp 3'!A1" display="Resampling: two paired samples case (Example 14.16)"/>
    <hyperlink ref="B116" location="'Normal 2'!A1" display="Probability using normal distribution (Example 7.2)"/>
    <hyperlink ref="B939" location="Graph!A1" display="Graph of a function (Example A4.1)"/>
    <hyperlink ref="B126" location="'1 Sample Z 1'!A32" display="Cohen's d effect size (Example 8.4)"/>
    <hyperlink ref="B165" location="'Binomial 2'!D3" display="Hypothesis testing binomial distribution (Example 9.2)"/>
    <hyperlink ref="B166" location="'Binomial 2'!G3" display="Hypothesis testing binomial distribution (Example 9.3)"/>
    <hyperlink ref="B225" location="Weibull!A1" display="Weibull distribution (Example 10.1)"/>
    <hyperlink ref="B239" location="'1 Sample T 2'!P59" display="Confidence interval for t distribution (Example 11.3)"/>
    <hyperlink ref="B235" location="'1 Sample T 1'!H33" display="Test for symmetry with box plot (Figure 11.4)"/>
    <hyperlink ref="B237" location="'1 Sample T 2'!F3" display="Test for symmetry with histogram and descriptive stats (Figure 11.6)"/>
    <hyperlink ref="B238" location="'1 Sample T 2'!P47" display="Supplemental one sample t test data analysis tool (Figure 11.7)"/>
    <hyperlink ref="B240" location="'1 Sample T 2'!V51" display="Cohen's effect size (Figure 11.7)"/>
    <hyperlink ref="B173" location="Prop!A1" display="Proportional distribution (Example 9.5)"/>
    <hyperlink ref="B174" location="Prop!D3" display="Proportional distribution - confidence interval (Example 9.6)"/>
    <hyperlink ref="B175" location="Prop!G3" display="Proportional distribution - sample size (Example 9.7)"/>
    <hyperlink ref="B191" location="Beta!A1" display="Beta distribution (Example 9.10)"/>
    <hyperlink ref="B971" location="'Chart s.e.'!A1" display="Plot of sample means with std error intervals (Example B5.3)"/>
    <hyperlink ref="B241" location="'T Power 1'!A1" display="Power for given mean, one-tailed test (Example 5)"/>
    <hyperlink ref="B242" location="'T Power 1'!K1" display="Power curve (Figure 8)"/>
    <hyperlink ref="B243" location="'T Power Mean 1'!A1" display="Power (Example 11.6)"/>
    <hyperlink ref="B244" location="'T Power Effect'!A1" display="Power, given effect (Figure 11.11)"/>
    <hyperlink ref="B252" location="'2 Sample T 2'!A1" display="Two independent sample t test, equal variance (Example 11.4)"/>
    <hyperlink ref="B253" location="'2 Sample T 2'!R42" display="Effect size (example 11.9)"/>
    <hyperlink ref="B256" location="'2 Sample T 2'!S3" display="Two independent sample t test, unequal variance (Example 11.10)"/>
    <hyperlink ref="B257" location="'2 Sample T 3'!A1" display="Two independent samples, unequal variance (Example 11.11)"/>
    <hyperlink ref="B259" location="'2 Sample T 3'!O19" display="Two sample data analysis tool with unequal variance (Figure 11.22)"/>
    <hyperlink ref="B258" location="'2 Sample T 3'!E40" display="Two independent sample t test, unequal variance (Example 11.11)"/>
    <hyperlink ref="B260" location="'2 Sample T 3'!E19" display="Two sample supplemental data analysis tool (Example 11.12)"/>
    <hyperlink ref="B263" location="'2P Sample T 1'!A1" display="Two paired samples t test (Example 11.13)"/>
    <hyperlink ref="B264" location="'2P Sample T 1'!L34" display="Two paired samples supplementary t test (Example 11.27)"/>
    <hyperlink ref="B265" location="'2P Sample T 1'!F3" display="Two paired samples data analysis tool (Figure 11.28)"/>
    <hyperlink ref="B266" location="'2P Sample T 1'!F34" display="Comparing paired and independent approaches (Figure 11.29 and 11.30)"/>
    <hyperlink ref="B267" location="'2P Sample T 2'!A1" display="One sample data analysis (Example 11.14)"/>
    <hyperlink ref="B176" location="Prop!A1" display="Two sample hypothesis testing (Example 9.8)"/>
    <hyperlink ref="B333" location="'Norm Box Plot'!A1" display="Testing for normality/symmetry via Box plot (Example 13.4)"/>
    <hyperlink ref="B293" location="'Good Fit 0'!A1" display="Chi-square goodness of fit (Example 12.4)"/>
    <hyperlink ref="B301" location="'Chi-Sq 1'!M1" display="Chi-square supplemental data analysis tool (Figure 12.8)"/>
    <hyperlink ref="B308" location="'Chi-Sq 1'!X11" display="Cramer's V effect size (Figure 12.8)"/>
    <hyperlink ref="B309" location="'Chi-Sq 3'!A1" display="Odds ratio effect size (Example 12.11)"/>
    <hyperlink ref="B319" location="'F Test'!A1" display="F-Test two-sample for variances (Example 12.12)"/>
    <hyperlink ref="B320" location="'F Test'!D20" display="F-Test Two-Sample for Variances data analysis tool (Figure 12.14)"/>
    <hyperlink ref="B47" location="'Prob 0'!A1" display="Probability calculation (Example 3.6)"/>
    <hyperlink ref="B417" location="'ANOVA 4'!F21" display="Supplemental functions MSW and ANOVA1 "/>
    <hyperlink ref="B441" location="'Levene 1'!O1" display="Supplemental function LEVENE and data analysis tool"/>
    <hyperlink ref="B452" location="'ANOVA 5'!M13" display="Effect size (Example 15.17)"/>
    <hyperlink ref="B453" location="'Contrast 2'!N28" display="Effect size for contrasts via Contrast data analysis tool (Example 15.18)"/>
    <hyperlink ref="B155" location="'Norm Power 2'!A14" display="Alternative approach for calculating power (Figure 8.15)"/>
    <hyperlink ref="B156" location="'Norm Power 2'!A26" display="Alternative approach for determining sample size (Figure 8.16)"/>
    <hyperlink ref="B536" location="'Corr 2'!V29" display="Partial and semi-partial correlation (Example 17.8)"/>
    <hyperlink ref="B552" location="'Corr and T'!AA14" display="Dummy variables and two sample t test (Example 17.9)"/>
    <hyperlink ref="B555" location="'Corr and Chi-sq'!A1" display="Point-biserial correlation coefficient (Example 17.10)"/>
    <hyperlink ref="B556" location="'Corr and Chi-sq'!Q3" display="Alternative approach for performing chi-square test (Example 17.11)"/>
    <hyperlink ref="B557" location="'Corr and Chi-sq'!J3" display="Calculation of point-biserial correlation coefficient (Example 17.10)"/>
    <hyperlink ref="B635" location="'Reg Anova 2'!Q2" display=" Group means and group effect sizes (Figure 19.25)"/>
    <hyperlink ref="B636" location="'Reg Anova 3'!A1" display="Two factor ANOVA via Regression model (Example 19.9)"/>
    <hyperlink ref="B639" location="'Reg Anova 4'!A1" display="Unbalanced ANOVA via Regression model (Example 19.10)"/>
    <hyperlink ref="B647" location="'ANOVA 5'!N14" display="Omega square effect size for ANOVA (Example 15.1)"/>
    <hyperlink ref="B648" location="'Reg Anova 3'!O42" display="Omega square effect size for 2 factor ANOVA (Example 19.9)"/>
    <hyperlink ref="B651" location="'Mult Reg 2'!Q3" display="Studentized residuals and hat matrix (Example 19.10)"/>
    <hyperlink ref="B652" location="'Mult Reg 2'!F45" display="Studentized residuals and hat matrix (Example 19.10)"/>
    <hyperlink ref="B655" location="'Cooks 1'!A1" display="Outliers and influencers: Cook's distance (Example 19.12)"/>
    <hyperlink ref="B656" location="'Cooks 2'!A1" display="Outliers and influencers: Cook's distance (Example 19.13)"/>
    <hyperlink ref="B610" location="'Mult 4A'!A1" display="Data for Example 19.4 is normal via QQ plot (extra worksheet)"/>
    <hyperlink ref="B666" location="'Mult Reg 4'!AC1" display="Testing significance of extra varaiables (Example 19.14)"/>
    <hyperlink ref="B667" location="'Mult Reg 4'!AC13" display="Testing significance of extra varaiables using R Square (Figure 19.48)"/>
    <hyperlink ref="B668" location="'Mult Reg 4'!AJ1" display="Akaike’s Information Criterion (Example 19.15) "/>
    <hyperlink ref="B678" location="'Logit 1'!A1" display="Sigmoid curve (Figure 20.1)"/>
    <hyperlink ref="B460" location="Kruskal!A1" display="Kruskal-Wallis test"/>
    <hyperlink ref="B464" location="Kruskal!A26" display="Pairwise comparison tests"/>
    <hyperlink ref="B828" location="Friedman!A1" display="Friedman's test (Example 22.9)"/>
    <hyperlink ref="B810" location="'ANOVA Match 2.3'!A1" display="ANOVA with repeated measures, 1 within and 1 between subjects (Example 22.8)"/>
    <hyperlink ref="B806" location="'ANOVA Match 2.2'!A1" display="Comparisons of means for intersection (Figure 22.16)"/>
    <hyperlink ref="B807" location="'ANOVA Match 2.2'!Y3" display="Comparisons of means for intersection (Example 22.7)"/>
    <hyperlink ref="B813" location="'ANOVA Match 2.3'!BU90" display="Assumptions between subjects: Levene's test (Figure 22.24)"/>
    <hyperlink ref="B812" location="'ANOVA Match 2.3'!BD3" display="Assumptions between subjects: Boxplot (Figure 22.23)"/>
    <hyperlink ref="B814" location="'ANOVA Match 2.3'!BD14" display="Assumptions within subjects: Boxplot (Figure 22.25)"/>
    <hyperlink ref="B816" location="'ANOVA Match 2.3'!AQ3" display="Assumptions within subjects: Covariance matrices(Figure 22.27)"/>
    <hyperlink ref="B815" location="'ANOVA Match 2.3'!BU3" display="Assumptions between subjects: Levene's test (Figure 22.24)"/>
    <hyperlink ref="B817:B818" location="'ANOVA Match 2.3'!AQ3" display="Assumptions within subjects: Covariance matrices(Figure 22.27)"/>
    <hyperlink ref="B817" location="'ANOVA Match 2.3'!AQ41" display="Assumptions within subjects: Covariance matrices(Figure 22.27)"/>
    <hyperlink ref="B818" location="'ANOVA Match 2.3'!W17" display="Within subjects ANOVA corrected for sphercity (Figure 22.29)"/>
    <hyperlink ref="B819" location="'ANOVA Match 2.3'!AI3" display="Within subjects ANOVA simple effects (Figure 22.30)"/>
    <hyperlink ref="B820" location="'ANOVA Match 2.3'!AQ14" display="Within subjects GG and HF epsilon factors (Figure 22.28)"/>
    <hyperlink ref="B821" location="'ANOVA Match 2.3'!AX51" display="Summary of within subjects GG and HF epsilon factors (Figure 22.32)"/>
    <hyperlink ref="B822" location="'ANOVA Match 2.3'!AI33" display="Corrected within subjects simple effects ANOVA (Figure 22.33)"/>
    <hyperlink ref="B823" location="'ANOVA Match 2.3'!Q33" display="Between subjects simple effects ANOVA (Figure 22.34)"/>
    <hyperlink ref="B824" location="'ANOVA Match 2.3'!Q52" display="Corrected between subjects simple effects ANOVA (Figure 22.36)"/>
    <hyperlink ref="B595" location="'Reg T 1A'!A1" display="Full results from data analysis tool for Example 18.9"/>
    <hyperlink ref="B597" location="'Reg T 2A'!A1" display="Full results from data analysis tool for Example 18.10"/>
    <hyperlink ref="B622:B623" location="'Poly Reg'!A1" display="Quadratic regression (Example 19.6)"/>
    <hyperlink ref="B622" location="'Poly Reg 1'!A1" display="Full data analysis for quadratic model (Example 19.6)"/>
    <hyperlink ref="B623" location="'Poly Reg 2'!A1" display="Full data analysis for linear model (Example 19.6)"/>
    <hyperlink ref="B991" location="'Gauss Elim 2'!A1" display="Gaussian elimination via supplementary functions (Examples C3.4 - C3.7)"/>
    <hyperlink ref="B994" location="Newton!A18" display="Newton's Method for one equation (Example C4.1)"/>
    <hyperlink ref="B995" location="Newton!E3" display="Newton's Method for multiple equations (Example C4.2)"/>
    <hyperlink ref="B996" location="Newton!A1" display="Newton's Method for one equation (Example C4.2)"/>
    <hyperlink ref="B999" location="'Goal Seek'!A1" display="Goal Seek to find eigenvalues (Example C5.1)"/>
    <hyperlink ref="B1003" location="'IPFP 2.1'!A1" display="Iterative Proportional Fitting Procedure (Example C6.1)"/>
    <hyperlink ref="B1004" location="'IPFP 3.1'!A1" display="Representation of a 3-way contingency table (Figure C6.5)"/>
    <hyperlink ref="B497" location="'Contrasts 2.1'!A59" display="Main effect for data in Example 16.4"/>
    <hyperlink ref="B498" location="'Contrasts 2.1'!A42" display="Simple effect for data in Example 16.4"/>
    <hyperlink ref="B500" location="'Contrasts 2.1'!N10" display="Contrasts for data in Example 16.4 (Example 16.5)"/>
    <hyperlink ref="B487" location="'ANOVA 2.2'!O1" display="Two factor ANOVA with replication - Interaction plots for Example 16.2 (Figure 16.7)"/>
    <hyperlink ref="B496" location="'Contrasts 2.1'!A1" display="Two factor ANOVA with replication (Example 16.4)"/>
    <hyperlink ref="B499" location="'Contrasts 2.1'!N1" display="Interaction Table for data in Example 16.4 (Figure 16.14)"/>
    <hyperlink ref="B811" location="'ANOVA Match 2.3A'!A1" display="ANOVA with repeated measures, use of data analysis tools"/>
    <hyperlink ref="B663" location="VIF!A1" display="Tolerance and VIF (Example 19.14)"/>
    <hyperlink ref="B679" location="'Logit 2'!A1" display="Logit (Example 20.1)"/>
    <hyperlink ref="B1000" location="'Mult Reg 2B'!A1" display="Solver to find regression coefficients (Example C5.2)"/>
    <hyperlink ref="B682" location="'Logit 3'!A1" display="Solution using Excel's Solver"/>
    <hyperlink ref="B692" location="'Logit 4'!A1" display="Solution using Newton's Method "/>
    <hyperlink ref="B698" location="'Logit 6'!A1" display="Basic model (Example 3)"/>
    <hyperlink ref="B486" location="'ANOVA 2.2'!A1" display="Two factor ANOVA with replication (Example 16.2)"/>
    <hyperlink ref="B683" location="'Logit 3a'!A1" display="Logistic Regression data analysis tool (Example 2)"/>
    <hyperlink ref="B433" location="'Tukey 2'!A1" display="Tukey HSD supplementary data analysis tool(Example 15.8)"/>
    <hyperlink ref="B429" location="'ANOVA 5'!M13" display="Effect size (Example 15.17)"/>
    <hyperlink ref="B472" location="'Brown F 1'!A1" display="Brown-Forsythe F* Test (Example E4.1)"/>
    <hyperlink ref="B473" location="'Brown F 2'!A1" display="Brown-Forsythe F* Test (extra example)"/>
    <hyperlink ref="B798" location="'ANOVA Match 1.4'!A1" display="GG epsilon calculation (Example E4.2)"/>
    <hyperlink ref="B799" location="'ANOVA Match 1.4'!A20" display="GG epsilon calculation using eigenvalues (Example E4.3)"/>
    <hyperlink ref="B800" location="'ANOVA Match 1.5'!A1" display="Mauchly's test for sphericity (Example E4.4)"/>
    <hyperlink ref="B801" location="'ANOVA Match 1.5'!A15" display="More powerful test for sphericity (Example E4.5)"/>
    <hyperlink ref="B844" location="'ANCOVA 2'!R3" display="ANCOVA complete model (Figure3)"/>
    <hyperlink ref="B530" location="'Spearman Rho 1'!A1" display="Two Dependent Sample Hypothesis Testing (Example E4.1)"/>
    <hyperlink ref="B825" location="'ANOVA Match 2.4'!A1" display="Box's test for equivalence of covariance matrices (Example E5.8)"/>
    <hyperlink ref="B385" location="'Wilcox Pair 3'!A1" display="Example 2 using supplemental function with two arguments"/>
    <hyperlink ref="B950" location="Reformat!A1" display="Reformatting (Example 1)"/>
    <hyperlink ref="B944" location="Count!A1" display="Unique Counting"/>
    <hyperlink ref="B686" location="'Logit 3a'!E45" display="Logistic Regression data analysis tool - coefficient table (Example 1)"/>
    <hyperlink ref="B689" location="'Logit 3a'!T41" display="Log-linear ratio (Example 2)"/>
    <hyperlink ref="B693" location="'Logit 4a'!A1" display="Logistic Regression data analysis tool using Newton's method (Example 1)"/>
    <hyperlink ref="B694" location="'Logit 5'!A1" display="Logistic Regression data analysis tool using raw data (Example 2)"/>
    <hyperlink ref="B699" location="'Logit 6'!B26" display="Reduced models (Example 4)"/>
    <hyperlink ref="B700" location="'Logit 6'!B68" display="Interaction model (Example 4)"/>
    <hyperlink ref="B981" location="Matrix!A1" display="Matrix supplemental data analysis tool (Example 3)"/>
    <hyperlink ref="B871" location="'Cronbach 1'!A1" display="Cronbach's alpha using ANOVA (Example 4)"/>
    <hyperlink ref="B353" location="'SW 1'!R1" display="SW Test (Example 1)"/>
    <hyperlink ref="B354" location="'SW 1'!L1" display="SW Test using supplemental formulas (Example 1)"/>
    <hyperlink ref="B355" location="'SW 3'!A1" display="SW Test using supplemental formulas (Example 2)"/>
    <hyperlink ref="B356" location="'SW 4'!A1" display="SW Test using supplemental data analysis tool (Example 3)"/>
    <hyperlink ref="B434" location="'Tuk-Kra'!A1" display="Tukey-Kramer data analysis tool (Example 2)"/>
    <hyperlink ref="B435" location="'Gam-How'!A1" display="Games-Howell data analysis tool (Example 3)"/>
    <hyperlink ref="B461" location="Kruskal!L1" display="Kruskal-Wallis test using Anova on ranks"/>
    <hyperlink ref="B463" location="Kruskal!T1" display="Kruskal-Wallis data analysis tool"/>
    <hyperlink ref="B462" location="Kruskal!L23" display="Kruskal-Wallis test using supplemental functions"/>
    <hyperlink ref="B305" location="Fisher!A1" display="Fisher exact test (Example 1)"/>
    <hyperlink ref="B612" location="'Mult Reg 6B'!A1" display="Real Statistics regression data analysis tool (Example 2)"/>
    <hyperlink ref="B626" location="'Log Reg'!A1" display="Log-level transformation (Example 1)"/>
    <hyperlink ref="B627" location="'Log Reg'!A33" display="Log-log transformation (Example 2)"/>
    <hyperlink ref="B703" location="Hosmer!A1" display="Example 1"/>
    <hyperlink ref="B882" location="'Kappa 1'!A1" display="Fleiss' kappa (Example 1)"/>
    <hyperlink ref="B883" location="'Kappa 1'!K1" display="Extra example (Fleiss' kappa for Example 1 of Cohen's kappa)"/>
    <hyperlink ref="B898" location="Item!A1" display="Item analysis (Example 1)"/>
    <hyperlink ref="B899" location="Item!F1" display="Item analysis for multiple choice tests (Example 2)"/>
    <hyperlink ref="B640" location="'Reg Anova 5'!A1" display="Unbalanced ANOVA via Regression model using supplemental analysis tool (Example 1)"/>
    <hyperlink ref="B488" location="'ANOVA 2.3'!A1" display="Two factor ANOVA with replication, alternative format of data (Example 16.4)"/>
    <hyperlink ref="B492" location="'ANOVA 2.2A'!A1" display="Two factor ANOVA supplemental data analysis tool (Example 2)"/>
    <hyperlink ref="B421" location="'ANOVA 6'!A1" display="Supplemental data analysis tool with data in standard format (Example 2)"/>
    <hyperlink ref="B422" location="'ANOVA 6'!S1" display="Converting from Anova Excel format to standard format (Example 3)"/>
    <hyperlink ref="B878" location="'Kappa 0'!A1" display="Weighted kappa (Example 1)"/>
    <hyperlink ref="B879" location="'Kappa 0'!L1" display="Unweighted kappa using a weighted approach (Figure "/>
    <hyperlink ref="B506" location="'ANOVA 3.2'!A1" display="Standard format by rows"/>
    <hyperlink ref="B507" location="'ANOVA 3.2a'!A1" display="Standard format by columns (equivalent to the above input)"/>
    <hyperlink ref="B508" location="'ANOVA 3.3'!A1" display="Standard format by columns, including conversion (Example 1)"/>
    <hyperlink ref="B482:B483" location="'ANOVA 2.1'!A1" display="Two factor ANOVA without replication (Example 16.1)"/>
    <hyperlink ref="B482" location="'ANOVA 2.1'!O14" display="Using supplemental functions (Example 1)"/>
    <hyperlink ref="B483" location="'ANOVA 2.1'!V1" display="Using Real Statistics data analysis tool (Example 1)"/>
    <hyperlink ref="B707" location="'Logit 6'!AD1" display="Classification Table (Example 1)"/>
    <hyperlink ref="B708" location="'Logit 6'!AI1" display="ROC Table and ROC Curve (Example 1)"/>
    <hyperlink ref="B35" location="'Sort Rows'!A1" display="Sort rows removing duplicates (Example 5)"/>
    <hyperlink ref="B34" location="'Sort Rows'!T1" display="Sort by rows (Example 4)"/>
    <hyperlink ref="B39" location="'Select Col'!A1" display="Select columns from data range (Example 6)"/>
    <hyperlink ref="B38" location="Extract!A1" display="Extract columns from data range (Example 3)"/>
    <hyperlink ref="B955" location="'Conversion 1'!J1" display="Descriptive statistics for frequency table (Example 1)"/>
    <hyperlink ref="B956" location="'Conversion 1'!R1" display="Conversion to raw data using Real Statistics data analysis tool (Example 2)"/>
    <hyperlink ref="B88" location="Histogram!M1" display="Real Statistics FREQTABLE supplemental function (Example 4)"/>
    <hyperlink ref="B94" location="Histogram!Q1" display="Real Statistics Frequency Table data analysis tool (Example 2)"/>
    <hyperlink ref="B52" location="'Prob 2'!M1" display="Frequency function using Real Statistics supplemental function (Example 3)"/>
    <hyperlink ref="B53" location="'Prob 2'!Q1" display="Frequency function using Real Statistics data analysis tool"/>
    <hyperlink ref="B711" location="'Logit 4a'!A24" display="Logistic Regression supplemental functions (summary data)"/>
    <hyperlink ref="B712" location="'Logit 5'!E32" display="Logistic Regression supplemental functions (rawdata)"/>
    <hyperlink ref="B717" location="'MLogit 1'!A1" display="Using binary logistic regression"/>
    <hyperlink ref="B720" location="'MLogit 2'!A1" display="Using Solver"/>
    <hyperlink ref="B723" location="'MLogit 3'!A1" display="Using Newton's method"/>
    <hyperlink ref="B727" location="'MLogit 4'!A1" display="Using supplemental formulas"/>
    <hyperlink ref="B728" location="'MLogit 5'!A1" display="Using raw data"/>
    <hyperlink ref="B724" location="'MLogit 3a'!A1" display="Using Newton's method"/>
    <hyperlink ref="B659" location="Durbin!A1" display="Durbin-Watson test (Example 1)"/>
    <hyperlink ref="B731" location="'OLogit 1'!A1" display="Using binary logistic regression"/>
    <hyperlink ref="B732" location="'OLogit 2'!A1" display="Using Solver"/>
    <hyperlink ref="B733" location="'OLogit 3'!A1" display="Proportional odss model"/>
    <hyperlink ref="B704" location="Hosmer!A38" display="Real Statistics Functions (Example 1)"/>
    <hyperlink ref="B643" location="'Reg An3.1'!A1" display="Balanced model, including data format conversion (Example 1)"/>
    <hyperlink ref="B644" location="'Reg An3.2'!A1" display="Unbalanced model (Example 2)"/>
    <hyperlink ref="B888:B889" location="ICC!A1" display="Intraclass Correlation Coefficient (Example 24.8)"/>
    <hyperlink ref="B888" location="'ICC2'!A1" display="Intraclass Correlation - case 2"/>
    <hyperlink ref="B889" location="'ICC3'!A1" display="Intraclass Correlation - case 3"/>
    <hyperlink ref="B202" location="Runs!A1" display="Probability of a run of at least 6 heads (Example 1)"/>
    <hyperlink ref="B203" location="Runs!K1" display="Probability of a run of exactly 6 heads (Example 2)"/>
    <hyperlink ref="B204" location="Runs!U1" display="Probability of a run of at least 6 heads or tails (Example 3)"/>
    <hyperlink ref="B16" location="'Line Chart 2'!A1" display="Line Chart (Example 3)"/>
    <hyperlink ref="B58" location="Central!A1" display="Mean, median, etc. (Examples 1-5"/>
    <hyperlink ref="B63" location="Var!A1" display="Variance, standard deviation, etc. (Examples 1,2, 4-8)"/>
    <hyperlink ref="B68" location="SKEW!A1" display="Skewness and kurtosis (Examples 1, 2)"/>
    <hyperlink ref="B73" location="'Rank 0'!A1" display="Various ranking and percentile functions (Examples 1-4)"/>
    <hyperlink ref="B75" location="'Rank 1'!T1" display="PERCENTILE vs. PERCENTILE.EXC (Example)"/>
    <hyperlink ref="B76" location="'Rank 1'!Y1" display="PERCENTILE vs. PERCENTILE.EXC (Example 9)"/>
    <hyperlink ref="B671" location="'Corr 5'!A1" display="Partial correlation coefficient (Example 1)"/>
    <hyperlink ref="B672" location="'Corr 5'!G1" display="Partial correlation matrix (Example 2)"/>
    <hyperlink ref="B673" location="'Corr 5'!Q1" display="Coefficient of determination (Example 2)"/>
    <hyperlink ref="B23" location="'Sort Filter'!A1" display="Sorting, Filtering, Removing Duplicates (Example 1)"/>
    <hyperlink ref="B547:B548" location="'Kendall Tau'!A1" display="Kendall's tau (Example E4.5)"/>
    <hyperlink ref="B547" location="'Kendall Tau 2'!A1" display="Kendall's tau with ties (Example 2)"/>
    <hyperlink ref="B548" location="'Kendall Tau 3'!A1" display="Kendall's tau with ties (Example 3)"/>
    <hyperlink ref="B893" location="'Kendall W'!A1" display="Kendall's W (Example 1)"/>
    <hyperlink ref="B103" location="Missing!A1" display="Remove missing data (Example 1)"/>
    <hyperlink ref="B104" location="Missing!Q1" display="Remove missing data (Example 2)"/>
    <hyperlink ref="B895" location="'Kendall W 1'!A1" display="Kendall's W with ties (Example 2)"/>
    <hyperlink ref="B24" location="'Sort Filter'!P1" display="Remove Duplicates (Example 2)"/>
    <hyperlink ref="B25" location="'Sort Filter'!A14" display="Filter (Example 3)"/>
    <hyperlink ref="B302" location="'Chi-Sq 4'!A1" display="Chi-square independence testing using standard format (Example 4)"/>
    <hyperlink ref="B591" location="'Pow Reg'!A1" display="Log-log Regression (Example 1)"/>
    <hyperlink ref="B584" location="'Reg 6'!L9" display="Testing intercept of regression line (Example 18.6)"/>
    <hyperlink ref="B571" location="'Corr 4'!A1" display="Significance vs effect size (re correlation coefficient)"/>
    <hyperlink ref="B580" location="'Reg 5'!A1" display="Comparing the slopes of two independent samples (Example 1 of Detail)"/>
    <hyperlink ref="B605" location="'Mult Reg 2A'!A1" display="Method of least squares using supplementary functions (Example 19.3)"/>
    <hyperlink ref="B615" location="'Mult Reg 7'!A1" display="Alternative approach to regression (Example E4.6)"/>
    <hyperlink ref="B861" location="'Split-half'!A1" display="Split-half methodology for reliability (Example 24.1)"/>
    <hyperlink ref="B865" location="'KRF20'!A1" display="Kuder and Richardson Formula 20 (Example 24.2)"/>
    <hyperlink ref="B884" location="'Kappa 1'!S1" display="Extra example (Fleiss' kappa for Example 1 of Intraclass correlation)"/>
    <hyperlink ref="B947" location="Sort!A1" display="Sort and remove duplicates in standard Excel (Examples 1, 2, 3, 4)"/>
    <hyperlink ref="B951" location="Missing!A1" display="Remove missing data (Example 2)"/>
    <hyperlink ref="B960" location="'Cat Code'!A1" display="Coding of categorical variables (Example 1)"/>
    <hyperlink ref="B966" location="'Table Lookup'!H18" display="Table Lookup (Example B4.4)"/>
    <hyperlink ref="B1005" location="'IPFP 3.2'!A1" display="Iterative Proportional Fitting Procedure, 3-way (Example C6.3)"/>
    <hyperlink ref="B907" location="'Miss 1'!A1" display="Listwise Deletion"/>
    <hyperlink ref="B908" location="'Miss 2'!A1" display="Mean Imputation"/>
    <hyperlink ref="B909" location="'Miss 3'!A1" display="Regression Imputation"/>
    <hyperlink ref="B910" location="'Miss 4'!A1" display="Stochastic Regression Imputation"/>
    <hyperlink ref="B913" location="'MI 1'!A1" display="Frequency and patterns of missing data"/>
    <hyperlink ref="B914" location="'MI 2'!A1" display="Simple imputation (with and w/o constraints)"/>
    <hyperlink ref="B915" location="'MI 3'!A1" display="One step of the FCS algorithm"/>
    <hyperlink ref="B917" location="'MI 4'!A1" display="Fully conditional specification (FCS)"/>
    <hyperlink ref="B916" location="'MI 3a'!A1" display="One step of the FCS algorithm details"/>
    <hyperlink ref="B921" location="'MI 8'!A1" display="MI data analysis tool"/>
    <hyperlink ref="B922" location="'MI 8a'!A1" display="Multiple imputations from MI data analysis tool"/>
    <hyperlink ref="B923" location="'MI 9'!A1" display="MI data analysis tool with constraints"/>
    <hyperlink ref="B924" location="'MI 9a'!A1" display="Multiple imputations from MI data analysis tool with constraints"/>
    <hyperlink ref="B920" location="'MI 7'!A1" display="Combining multiple imputations"/>
    <hyperlink ref="B919" location="'MI 6'!A1" display="Multiple FCS imputations"/>
    <hyperlink ref="B918" location="'MI 5'!A1" display="Summary of FCS results"/>
    <hyperlink ref="B927" location="'FIML 1'!A1" display="FIML statistics"/>
    <hyperlink ref="B928" location="'FIML 2'!A1" display="FIML initial conditions"/>
    <hyperlink ref="B929" location="'FIML 2a'!A1" display="FIML after using Solver"/>
    <hyperlink ref="B930" location="'FIML 2b'!A1" display="FIML with modified degrees of freedom"/>
    <hyperlink ref="B931" location="'FIML 2c'!A1" display="FIML data analysis tool"/>
    <hyperlink ref="B932" location="'FIML 3'!A1" display="FIML complete data: initial conditions"/>
    <hyperlink ref="B933" location="'FIML 3a'!A1" display="FIML complete data: after using Solver"/>
    <hyperlink ref="B934" location="'FIML 3b'!A1" display="FIML complete data: data analysis tool"/>
    <hyperlink ref="B695" location="'Logit 5a'!A1" display="Logistic Regression with raw data, alternative approach"/>
    <hyperlink ref="B513" location="Corr!L1" display="Correlation coefficient (Example 1)"/>
    <hyperlink ref="B245:B246" location="'T Power Effect'!A1" display="Power, given effect (Figure 11.11)"/>
    <hyperlink ref="B403" location="'KS 3'!A1" display="KS test (Example 1)"/>
    <hyperlink ref="B400" location="'KS 4'!A1" display="KS Test for exponential distribution (Example 1)"/>
    <hyperlink ref="B270" location="'NT 1'!A1" display="Chart of the distribution (Figure 1)"/>
    <hyperlink ref="B272" location="'NT 1'!AH1" display="One sample test (Example 1)"/>
    <hyperlink ref="B274" location="'NT 1'!AR1" display="Two independent samples (Example 3)"/>
    <hyperlink ref="B271" location="'NT 1'!Q1" display="Chart of the distribution (Figure 2)"/>
    <hyperlink ref="B273" location="'NT 1'!AM1" display="Paired samples (Example 2)"/>
    <hyperlink ref="B275" location="'NT 1'!AW1" display="Calculating sample size (Example 4)"/>
    <hyperlink ref="B289" location="'NCHI 3'!A1" display="Power (Example 3)"/>
    <hyperlink ref="B290" location="'NF 3'!J24" display="Sample size required (Example 4)"/>
    <hyperlink ref="B312" location="'NCHI 1'!A1" display="Chart of the noncentral chi-square distribution (Figure 1)"/>
    <hyperlink ref="B313" location="'NCHI 2'!A1" display="Power for goodness of fit (Example 1)"/>
    <hyperlink ref="B314" location="'NCHI 2'!F1" display="Sample size for independence testing (Example 2)"/>
    <hyperlink ref="B456" location="'NF 2'!A1" display="Power of ANOVA (Example 1)"/>
    <hyperlink ref="B457" location="'NF 2'!U1" display="Sample size required (Example 2)"/>
    <hyperlink ref="B323" location="'NF 1'!A1" display="Chart of the noncentral F distribution (Figure 1)"/>
    <hyperlink ref="B324" location="'NF 3'!A1" display="Power for two sample variance test (Example 1)"/>
    <hyperlink ref="B325" location="'NF 3'!I24" display="Sample size for two-sample variance test (Example 2)"/>
    <hyperlink ref="B100" location="Winsor!A1" display="Trimmed and Winsorized data (Example 1)"/>
    <hyperlink ref="B89" location="'Freq 2'!I1" display="Descriptive statistics for data in a frequency table (Example 5)"/>
    <hyperlink ref="B90" location="'Freq 2'!Q1" display="Real Statistics data analysis tool for obatining desc stats for frequency table (Example 8)"/>
    <hyperlink ref="B30" location="'Reformat 1'!A1" display="Sorting, removing duplicates, etc. (Example 1)"/>
    <hyperlink ref="B31" location="'Reformat 1'!P1" display="Sort and extract unique (Example 2)"/>
    <hyperlink ref="B215" location="Gamma!A1" display="Time to k events (Example 1)"/>
    <hyperlink ref="B218" location="Expon!A1" display="Time to first event (Example 1)"/>
    <hyperlink ref="B219" location="Expon!A8" display="Time to first event + MTTF (Example 2)"/>
    <hyperlink ref="B179" location="NegBinom!A1" display="Geometric distribution (Example 1)"/>
    <hyperlink ref="B180" location="NegBinom!A11" display="Negative binomial distribution (Example 2)"/>
    <hyperlink ref="B181" location="NegBinom!A20" display="Inverse negative binomial distribution (Example 3)"/>
    <hyperlink ref="B184" location="Hypgeom!A1" display="Hypergeometric distribution (Example 1)"/>
    <hyperlink ref="B185" location="Hypgeom!F1" display="Hypergeometric distribution (Example 2)"/>
    <hyperlink ref="B186" location="Hypgeom!I1" display="Hypergeometric distribution, what-if (Example 3)"/>
    <hyperlink ref="B167" location="'Bin Power 1'!G3" display="Hypothesis testing binomial distribution (Example 3)"/>
    <hyperlink ref="B207" location="'Bin Power 1'!A1" display="Power of one-tailed test (Example 1)"/>
    <hyperlink ref="B208" location="'Bin Power 1'!M1" display="Power curve for Example 1"/>
    <hyperlink ref="B231" location="'T Dist 2'!A1" display="Example of the various functions (Figure 5)"/>
    <hyperlink ref="B187" location="Hypgeom!N1" display="Hypergeometric distribution (Example 4)"/>
    <hyperlink ref="B209" location="'Bin Power 2'!A1" display="Power of two-tailed test (Example 2)"/>
    <hyperlink ref="B210" location="'Bin Power 3'!A1" display="Sample size requirement (Example 3)"/>
    <hyperlink ref="B222" location="Uniform!A1" display="Uniform distribution (Example 2)"/>
    <hyperlink ref="B190" location="Beta!H1" display="Beta distribution chart (Figure 1)"/>
    <hyperlink ref="B197" location="'Poisson 1'!F1" display="Poisson distribution chart (Figure 1)"/>
    <hyperlink ref="B517" location="'Corr 0'!U1" display="Scatter diagrams (Example 1)"/>
    <hyperlink ref="B523" location="'Corr 1'!X1" display="Hypothesis testing using Fisher transformation (Example 4)"/>
    <hyperlink ref="B545" location="'Kendall Tau 1'!R1" display="Real Statistics Kendall's tau function (Example 1)"/>
    <hyperlink ref="B862" location="'Spli-half 1'!A1" display="Split-half methodology for reliability (Example 2)"/>
    <hyperlink ref="B872" location="'Cronbach 2'!A1" display="Real Statistics function (Example 4)"/>
    <hyperlink ref="B476" location="'Moods 2'!A1" display="Mood's Median Test (Example 1)"/>
    <hyperlink ref="B365" location="Moods!A1" display="Mood's median test (Example 2)"/>
    <hyperlink ref="B546" location="'Kendall Tau 1'!U1" display="Real Statistics data analysis tool (Example 1)"/>
    <hyperlink ref="B560" location="'Corr 0a'!A1" display="Real Statistics data analysis tool (Example 1)"/>
    <hyperlink ref="B59" location="Central!L1" display="Column means (Example 2)"/>
    <hyperlink ref="B64" location="Var!J1" display="Column variance and standard deviation (Examples 3)"/>
    <hyperlink ref="B561" location="'Spearman Rho 2'!M1" display="Spearman's (rho) correlation (Example 2)"/>
    <hyperlink ref="B562" location="'Kendall Tau 1'!S1" display="Kendall's (tau) correlation (Example 3)"/>
    <hyperlink ref="B901" location="Item!Y1" display="Partial credit (Example 4)"/>
    <hyperlink ref="B902" location="Item!AF1" display="Real Statistics data analysis tool (Example 5)"/>
    <hyperlink ref="B900" location="Item!T1" display="Real Statistics function (Example 3)"/>
    <hyperlink ref="B890" location="'ICC2'!AF1" display="Real Statistics data analysis tool"/>
    <hyperlink ref="B894" location="'Kendall W'!M14" display="Kendall's W (Example 1)"/>
    <hyperlink ref="B469" location="'Welch 2'!A1" display="Extra examples of Welch's test"/>
    <hyperlink ref="B467" location="'Welch 1'!A1" display="Welch's Test (Example 1)"/>
    <hyperlink ref="B468" location="'Welch 1a'!A1" display="Welch's Test standard format (Example 1)"/>
    <hyperlink ref="B774" location="'Rand Anova'!A1" display="One-way ANOVA with random factor (Example 1)"/>
    <hyperlink ref="B781" location="Nested!A1" display="Nested model (Example 1)"/>
    <hyperlink ref="B782" location="'Nested 1'!A1" display="Nested Anova data analysis tool (Example 1)"/>
    <hyperlink ref="B783" location="'Nested 2'!A1" display="Nested Anova using data in standard form (Example 2)"/>
    <hyperlink ref="B777" location="Mixed!A1" display="Two factor mixed model (Example 1)"/>
    <hyperlink ref="B849" location="'ANCOVA 4'!A1" display="ANCOVA data analysis tool (Example 1)"/>
    <hyperlink ref="B397" location="'Runs Test 0'!A1" display="One Sample Runs Test - exact test (Example 3)"/>
    <hyperlink ref="B387" location="'Signed Rank'!AI1" display="Permutation distribution"/>
    <hyperlink ref="B388" location="'Signed Rank 1'!A1" display="Exact test"/>
    <hyperlink ref="B778" location="'Mixed 2'!A1" display="Two factor mixed Anova data analysis tool (Example 1)"/>
    <hyperlink ref="B372" location="'Wil Exact 1'!A1" display="Permutation distrubution"/>
    <hyperlink ref="B374" location="'Wil Exact'!A1" display="Exact test (Example 4)"/>
    <hyperlink ref="B618" location="'Mult Reg 8'!A1" display="Confidence and prediction intervals (Example 1)"/>
    <hyperlink ref="B278" location="Grubbs!A1" display="Grubbs' Test (Example 1)"/>
    <hyperlink ref="B279" location="ESD!A1" display="Extension to Grubbs' Test (Example 2)"/>
    <hyperlink ref="B373" location="'Wil Exact 2'!A1" display="Permutation distribution via Real Statistics functions"/>
    <hyperlink ref="B379" location="'Mann Exact'!A1" display="Exact test (modifying Permutation distribution)"/>
    <hyperlink ref="B380" location="'Mann Exact 1'!A1" display="Exact test"/>
    <hyperlink ref="B1018" location="'DW Table 1'!A1" display="Durbin-Watson Table (alpha .01)"/>
    <hyperlink ref="B1019" location="'DW Table 2'!A1" display="Durbin-Watson Table (alpha .05)"/>
  </hyperlink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"/>
  <dimension ref="A1:D11"/>
  <sheetViews>
    <sheetView topLeftCell="C4" workbookViewId="0"/>
  </sheetViews>
  <sheetFormatPr defaultRowHeight="14.4"/>
  <sheetData>
    <row r="1" spans="1:4">
      <c r="A1" s="1" t="s">
        <v>1</v>
      </c>
    </row>
    <row r="2" spans="1:4">
      <c r="A2" t="s">
        <v>2</v>
      </c>
    </row>
    <row r="4" spans="1:4">
      <c r="B4" s="3" t="s">
        <v>3</v>
      </c>
      <c r="C4" s="3" t="s">
        <v>4</v>
      </c>
      <c r="D4" s="3" t="s">
        <v>5</v>
      </c>
    </row>
    <row r="5" spans="1:4">
      <c r="A5" s="1" t="s">
        <v>6</v>
      </c>
      <c r="B5" s="4">
        <v>23.5</v>
      </c>
      <c r="C5" s="5">
        <v>12.3</v>
      </c>
      <c r="D5" s="6">
        <v>15</v>
      </c>
    </row>
    <row r="6" spans="1:4">
      <c r="A6" s="1" t="s">
        <v>7</v>
      </c>
      <c r="B6" s="7">
        <v>13.8</v>
      </c>
      <c r="C6" s="8">
        <v>8.1</v>
      </c>
      <c r="D6" s="9">
        <v>5.5</v>
      </c>
    </row>
    <row r="7" spans="1:4">
      <c r="A7" s="1" t="s">
        <v>8</v>
      </c>
      <c r="B7" s="7">
        <v>17.3</v>
      </c>
      <c r="C7" s="8">
        <v>4.5</v>
      </c>
      <c r="D7" s="9">
        <v>6.9</v>
      </c>
    </row>
    <row r="8" spans="1:4">
      <c r="A8" s="1" t="s">
        <v>9</v>
      </c>
      <c r="B8" s="7">
        <v>14.8</v>
      </c>
      <c r="C8" s="8">
        <v>6.8</v>
      </c>
      <c r="D8" s="9">
        <v>2.7</v>
      </c>
    </row>
    <row r="9" spans="1:4">
      <c r="A9" s="1" t="s">
        <v>10</v>
      </c>
      <c r="B9" s="7">
        <v>7.2</v>
      </c>
      <c r="C9" s="8">
        <v>4.2</v>
      </c>
      <c r="D9" s="9">
        <v>1.6</v>
      </c>
    </row>
    <row r="10" spans="1:4">
      <c r="A10" s="1" t="s">
        <v>11</v>
      </c>
      <c r="B10" s="10">
        <v>29.5</v>
      </c>
      <c r="C10" s="11">
        <v>21.4</v>
      </c>
      <c r="D10" s="12">
        <v>11.6</v>
      </c>
    </row>
    <row r="11" spans="1:4">
      <c r="A11" t="s">
        <v>12</v>
      </c>
      <c r="B11">
        <f>SUM(B5:B10)</f>
        <v>106.1</v>
      </c>
      <c r="C11">
        <f>SUM(C5:C10)</f>
        <v>57.3</v>
      </c>
      <c r="D11">
        <f>SUM(D5:D10)</f>
        <v>43.3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3"/>
  <dimension ref="A1:B13"/>
  <sheetViews>
    <sheetView workbookViewId="0"/>
  </sheetViews>
  <sheetFormatPr defaultRowHeight="14.4"/>
  <sheetData>
    <row r="1" spans="1:2">
      <c r="A1" s="1" t="s">
        <v>13</v>
      </c>
    </row>
    <row r="3" spans="1:2">
      <c r="A3" s="19" t="s">
        <v>22</v>
      </c>
      <c r="B3" s="19" t="s">
        <v>23</v>
      </c>
    </row>
    <row r="4" spans="1:2">
      <c r="A4">
        <v>31</v>
      </c>
      <c r="B4">
        <v>23500</v>
      </c>
    </row>
    <row r="5" spans="1:2">
      <c r="A5">
        <f t="shared" ref="A5:A13" si="0">A4+1</f>
        <v>32</v>
      </c>
      <c r="B5">
        <v>24000</v>
      </c>
    </row>
    <row r="6" spans="1:2">
      <c r="A6">
        <f t="shared" si="0"/>
        <v>33</v>
      </c>
      <c r="B6">
        <v>25000</v>
      </c>
    </row>
    <row r="7" spans="1:2">
      <c r="A7">
        <f t="shared" si="0"/>
        <v>34</v>
      </c>
      <c r="B7">
        <v>26700</v>
      </c>
    </row>
    <row r="8" spans="1:2">
      <c r="A8">
        <f t="shared" si="0"/>
        <v>35</v>
      </c>
      <c r="B8">
        <v>27500</v>
      </c>
    </row>
    <row r="9" spans="1:2">
      <c r="A9">
        <f t="shared" si="0"/>
        <v>36</v>
      </c>
      <c r="B9">
        <v>29200</v>
      </c>
    </row>
    <row r="10" spans="1:2">
      <c r="A10">
        <f t="shared" si="0"/>
        <v>37</v>
      </c>
      <c r="B10">
        <v>33000</v>
      </c>
    </row>
    <row r="11" spans="1:2">
      <c r="A11">
        <f t="shared" si="0"/>
        <v>38</v>
      </c>
      <c r="B11">
        <v>35100</v>
      </c>
    </row>
    <row r="12" spans="1:2">
      <c r="A12">
        <f t="shared" si="0"/>
        <v>39</v>
      </c>
      <c r="B12">
        <v>37400</v>
      </c>
    </row>
    <row r="13" spans="1:2">
      <c r="A13">
        <f t="shared" si="0"/>
        <v>40</v>
      </c>
      <c r="B13">
        <v>39500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85"/>
  <dimension ref="A1:C31"/>
  <sheetViews>
    <sheetView workbookViewId="0"/>
  </sheetViews>
  <sheetFormatPr defaultRowHeight="14.4"/>
  <sheetData>
    <row r="1" spans="1:3">
      <c r="A1" s="1" t="s">
        <v>3197</v>
      </c>
    </row>
    <row r="3" spans="1:3">
      <c r="A3" s="19" t="s">
        <v>22</v>
      </c>
      <c r="B3" s="19" t="s">
        <v>23</v>
      </c>
      <c r="C3" s="19" t="s">
        <v>3196</v>
      </c>
    </row>
    <row r="4" spans="1:3">
      <c r="A4">
        <v>31</v>
      </c>
      <c r="B4">
        <v>23500</v>
      </c>
      <c r="C4">
        <v>6000</v>
      </c>
    </row>
    <row r="5" spans="1:3">
      <c r="A5">
        <f t="shared" ref="A5:A13" si="0">A4+1</f>
        <v>32</v>
      </c>
      <c r="B5">
        <v>24000</v>
      </c>
      <c r="C5">
        <v>6500</v>
      </c>
    </row>
    <row r="6" spans="1:3">
      <c r="A6">
        <f t="shared" si="0"/>
        <v>33</v>
      </c>
      <c r="B6">
        <v>25000</v>
      </c>
      <c r="C6">
        <v>7000</v>
      </c>
    </row>
    <row r="7" spans="1:3">
      <c r="A7">
        <f t="shared" si="0"/>
        <v>34</v>
      </c>
      <c r="B7">
        <v>26700</v>
      </c>
      <c r="C7">
        <v>4500</v>
      </c>
    </row>
    <row r="8" spans="1:3">
      <c r="A8">
        <f t="shared" si="0"/>
        <v>35</v>
      </c>
      <c r="B8">
        <v>27500</v>
      </c>
      <c r="C8">
        <v>6000</v>
      </c>
    </row>
    <row r="9" spans="1:3">
      <c r="A9">
        <f t="shared" si="0"/>
        <v>36</v>
      </c>
      <c r="B9">
        <v>29200</v>
      </c>
      <c r="C9">
        <v>7500</v>
      </c>
    </row>
    <row r="10" spans="1:3">
      <c r="A10">
        <f t="shared" si="0"/>
        <v>37</v>
      </c>
      <c r="B10">
        <v>33000</v>
      </c>
      <c r="C10">
        <v>8000</v>
      </c>
    </row>
    <row r="11" spans="1:3">
      <c r="A11">
        <f t="shared" si="0"/>
        <v>38</v>
      </c>
      <c r="B11">
        <v>35100</v>
      </c>
      <c r="C11">
        <v>9000</v>
      </c>
    </row>
    <row r="12" spans="1:3">
      <c r="A12">
        <f t="shared" si="0"/>
        <v>39</v>
      </c>
      <c r="B12">
        <v>37400</v>
      </c>
      <c r="C12">
        <v>7000</v>
      </c>
    </row>
    <row r="13" spans="1:3">
      <c r="A13">
        <f t="shared" si="0"/>
        <v>40</v>
      </c>
      <c r="B13">
        <v>39500</v>
      </c>
      <c r="C13">
        <v>12000</v>
      </c>
    </row>
    <row r="21" spans="1:3">
      <c r="A21" s="19" t="s">
        <v>22</v>
      </c>
      <c r="B21" s="19" t="s">
        <v>23</v>
      </c>
      <c r="C21" s="19" t="s">
        <v>3196</v>
      </c>
    </row>
    <row r="22" spans="1:3">
      <c r="A22">
        <v>31</v>
      </c>
      <c r="B22">
        <v>23500</v>
      </c>
      <c r="C22">
        <v>6000</v>
      </c>
    </row>
    <row r="23" spans="1:3">
      <c r="A23">
        <f t="shared" ref="A23:A31" si="1">A22+1</f>
        <v>32</v>
      </c>
      <c r="B23">
        <v>24000</v>
      </c>
      <c r="C23">
        <v>6500</v>
      </c>
    </row>
    <row r="24" spans="1:3">
      <c r="A24">
        <f t="shared" si="1"/>
        <v>33</v>
      </c>
      <c r="B24">
        <v>25000</v>
      </c>
      <c r="C24">
        <v>7000</v>
      </c>
    </row>
    <row r="25" spans="1:3">
      <c r="A25">
        <f t="shared" si="1"/>
        <v>34</v>
      </c>
      <c r="B25">
        <v>26700</v>
      </c>
      <c r="C25">
        <v>4500</v>
      </c>
    </row>
    <row r="26" spans="1:3">
      <c r="A26">
        <f t="shared" si="1"/>
        <v>35</v>
      </c>
      <c r="B26">
        <v>27500</v>
      </c>
      <c r="C26">
        <v>6000</v>
      </c>
    </row>
    <row r="27" spans="1:3">
      <c r="A27">
        <f t="shared" si="1"/>
        <v>36</v>
      </c>
      <c r="B27">
        <v>29200</v>
      </c>
      <c r="C27">
        <v>7500</v>
      </c>
    </row>
    <row r="28" spans="1:3">
      <c r="A28">
        <f t="shared" si="1"/>
        <v>37</v>
      </c>
      <c r="B28">
        <v>33000</v>
      </c>
      <c r="C28">
        <v>8000</v>
      </c>
    </row>
    <row r="29" spans="1:3">
      <c r="A29">
        <f t="shared" si="1"/>
        <v>38</v>
      </c>
      <c r="B29">
        <v>35100</v>
      </c>
      <c r="C29">
        <v>9000</v>
      </c>
    </row>
    <row r="30" spans="1:3">
      <c r="A30">
        <f t="shared" si="1"/>
        <v>39</v>
      </c>
      <c r="B30">
        <v>37400</v>
      </c>
      <c r="C30">
        <v>7000</v>
      </c>
    </row>
    <row r="31" spans="1:3">
      <c r="A31">
        <f t="shared" si="1"/>
        <v>40</v>
      </c>
      <c r="B31">
        <v>39500</v>
      </c>
      <c r="C31">
        <v>12000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4"/>
  <dimension ref="A1:G9"/>
  <sheetViews>
    <sheetView workbookViewId="0">
      <selection activeCell="B4" sqref="B4"/>
    </sheetView>
  </sheetViews>
  <sheetFormatPr defaultRowHeight="14.4"/>
  <cols>
    <col min="1" max="4" width="9.5546875" customWidth="1"/>
  </cols>
  <sheetData>
    <row r="1" spans="1:7">
      <c r="A1" s="1" t="s">
        <v>14</v>
      </c>
    </row>
    <row r="3" spans="1:7">
      <c r="A3" s="13"/>
      <c r="B3" s="14" t="s">
        <v>15</v>
      </c>
      <c r="C3" s="14" t="s">
        <v>16</v>
      </c>
      <c r="D3" s="14" t="s">
        <v>17</v>
      </c>
    </row>
    <row r="4" spans="1:7">
      <c r="A4" s="15" t="s">
        <v>18</v>
      </c>
      <c r="B4" s="16">
        <v>500</v>
      </c>
      <c r="C4" s="17">
        <v>40</v>
      </c>
      <c r="D4" s="16">
        <f t="array" ref="D4:D7">B4:B7*C4:C7</f>
        <v>20000</v>
      </c>
      <c r="G4" s="18"/>
    </row>
    <row r="5" spans="1:7">
      <c r="A5" s="15" t="s">
        <v>19</v>
      </c>
      <c r="B5" s="16">
        <v>80</v>
      </c>
      <c r="C5" s="17">
        <v>30</v>
      </c>
      <c r="D5" s="16">
        <v>2400</v>
      </c>
    </row>
    <row r="6" spans="1:7">
      <c r="A6" s="15" t="s">
        <v>20</v>
      </c>
      <c r="B6" s="16">
        <v>150</v>
      </c>
      <c r="C6" s="17">
        <v>130</v>
      </c>
      <c r="D6" s="16">
        <v>19500</v>
      </c>
    </row>
    <row r="7" spans="1:7">
      <c r="A7" s="15" t="s">
        <v>21</v>
      </c>
      <c r="B7" s="16">
        <v>60</v>
      </c>
      <c r="C7" s="17">
        <v>70</v>
      </c>
      <c r="D7" s="16">
        <v>4200</v>
      </c>
    </row>
    <row r="8" spans="1:7">
      <c r="A8" s="13"/>
      <c r="B8" s="17"/>
      <c r="C8" s="17"/>
      <c r="D8" s="16"/>
    </row>
    <row r="9" spans="1:7">
      <c r="A9" s="13"/>
      <c r="B9" s="13"/>
      <c r="C9" s="13"/>
      <c r="D9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I8"/>
  <sheetViews>
    <sheetView workbookViewId="0"/>
  </sheetViews>
  <sheetFormatPr defaultRowHeight="14.4"/>
  <cols>
    <col min="1" max="1" width="12" customWidth="1"/>
    <col min="2" max="2" width="11" customWidth="1"/>
    <col min="4" max="4" width="11.109375" customWidth="1"/>
  </cols>
  <sheetData>
    <row r="1" spans="1:9">
      <c r="A1" s="1" t="s">
        <v>24</v>
      </c>
    </row>
    <row r="3" spans="1:9">
      <c r="A3" s="19" t="s">
        <v>25</v>
      </c>
      <c r="B3" s="19" t="s">
        <v>26</v>
      </c>
      <c r="D3" t="str">
        <f t="array" ref="D3:I4">TRANSPOSE(A3:B8)</f>
        <v>Area Code</v>
      </c>
      <c r="E3">
        <v>345</v>
      </c>
      <c r="F3">
        <v>378</v>
      </c>
      <c r="G3">
        <v>678</v>
      </c>
      <c r="H3">
        <v>712</v>
      </c>
      <c r="I3">
        <v>815</v>
      </c>
    </row>
    <row r="4" spans="1:9">
      <c r="A4">
        <v>345</v>
      </c>
      <c r="B4">
        <v>230000</v>
      </c>
      <c r="D4" t="str">
        <v>Population</v>
      </c>
      <c r="E4">
        <v>230000</v>
      </c>
      <c r="F4">
        <v>340000</v>
      </c>
      <c r="G4">
        <v>145000</v>
      </c>
      <c r="H4">
        <v>235900</v>
      </c>
      <c r="I4">
        <v>195000</v>
      </c>
    </row>
    <row r="5" spans="1:9">
      <c r="A5">
        <v>378</v>
      </c>
      <c r="B5">
        <v>340000</v>
      </c>
    </row>
    <row r="6" spans="1:9">
      <c r="A6">
        <v>678</v>
      </c>
      <c r="B6">
        <v>145000</v>
      </c>
    </row>
    <row r="7" spans="1:9">
      <c r="A7">
        <v>712</v>
      </c>
      <c r="B7">
        <v>235900</v>
      </c>
    </row>
    <row r="8" spans="1:9">
      <c r="A8">
        <v>815</v>
      </c>
      <c r="B8">
        <v>195000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292" filterMode="1"/>
  <dimension ref="A1:P25"/>
  <sheetViews>
    <sheetView workbookViewId="0">
      <selection activeCell="A14" sqref="A14"/>
    </sheetView>
  </sheetViews>
  <sheetFormatPr defaultRowHeight="14.4"/>
  <cols>
    <col min="2" max="3" width="9.109375" style="1225"/>
    <col min="7" max="8" width="9.109375" style="1225"/>
  </cols>
  <sheetData>
    <row r="1" spans="1:16">
      <c r="A1" s="1" t="s">
        <v>3255</v>
      </c>
      <c r="F1" t="s">
        <v>3258</v>
      </c>
      <c r="K1" t="s">
        <v>3303</v>
      </c>
      <c r="L1" s="1225"/>
      <c r="M1" s="1225"/>
      <c r="P1" t="s">
        <v>3259</v>
      </c>
    </row>
    <row r="2" spans="1:16">
      <c r="L2" s="1225"/>
      <c r="M2" s="1225"/>
    </row>
    <row r="3" spans="1:16" s="1193" customFormat="1">
      <c r="A3" s="1192" t="s">
        <v>243</v>
      </c>
      <c r="B3" s="1224" t="s">
        <v>1041</v>
      </c>
      <c r="C3" s="1224" t="s">
        <v>22</v>
      </c>
      <c r="D3" s="1192" t="s">
        <v>23</v>
      </c>
      <c r="F3" s="1224" t="s">
        <v>243</v>
      </c>
      <c r="G3" s="1224" t="s">
        <v>1041</v>
      </c>
      <c r="H3" s="1224" t="s">
        <v>22</v>
      </c>
      <c r="I3" s="1224" t="s">
        <v>23</v>
      </c>
      <c r="J3" s="1226"/>
      <c r="K3" s="1224" t="s">
        <v>243</v>
      </c>
      <c r="L3" s="1224" t="s">
        <v>1041</v>
      </c>
      <c r="M3" s="1224" t="s">
        <v>22</v>
      </c>
      <c r="N3" s="1224" t="s">
        <v>23</v>
      </c>
      <c r="P3" s="1224" t="s">
        <v>23</v>
      </c>
    </row>
    <row r="4" spans="1:16">
      <c r="A4" t="s">
        <v>1896</v>
      </c>
      <c r="B4" s="1225" t="s">
        <v>388</v>
      </c>
      <c r="C4" s="1225">
        <v>35</v>
      </c>
      <c r="D4">
        <v>45000</v>
      </c>
      <c r="F4" s="8" t="s">
        <v>1900</v>
      </c>
      <c r="G4" s="1226" t="s">
        <v>388</v>
      </c>
      <c r="H4" s="1226">
        <v>45</v>
      </c>
      <c r="I4" s="8">
        <v>30000</v>
      </c>
      <c r="K4" s="8" t="s">
        <v>1900</v>
      </c>
      <c r="L4" s="1226" t="s">
        <v>388</v>
      </c>
      <c r="M4" s="1226">
        <v>45</v>
      </c>
      <c r="N4" s="8">
        <v>30000</v>
      </c>
      <c r="P4">
        <v>45000</v>
      </c>
    </row>
    <row r="5" spans="1:16">
      <c r="A5" t="s">
        <v>1899</v>
      </c>
      <c r="B5" s="1225" t="s">
        <v>1605</v>
      </c>
      <c r="C5" s="1225">
        <v>40</v>
      </c>
      <c r="D5">
        <v>40000</v>
      </c>
      <c r="F5" t="s">
        <v>1894</v>
      </c>
      <c r="G5" s="1225" t="s">
        <v>1605</v>
      </c>
      <c r="H5" s="1225">
        <v>55</v>
      </c>
      <c r="I5">
        <v>35000</v>
      </c>
      <c r="K5" t="s">
        <v>3301</v>
      </c>
      <c r="L5" s="1225" t="s">
        <v>1605</v>
      </c>
      <c r="M5" s="1225">
        <v>40</v>
      </c>
      <c r="N5">
        <v>35000</v>
      </c>
      <c r="P5">
        <v>40000</v>
      </c>
    </row>
    <row r="6" spans="1:16">
      <c r="A6" t="s">
        <v>1894</v>
      </c>
      <c r="B6" s="1225" t="s">
        <v>1605</v>
      </c>
      <c r="C6" s="1225">
        <v>55</v>
      </c>
      <c r="D6">
        <v>35000</v>
      </c>
      <c r="F6" t="s">
        <v>3301</v>
      </c>
      <c r="G6" s="1225" t="s">
        <v>1605</v>
      </c>
      <c r="H6" s="1225">
        <v>40</v>
      </c>
      <c r="I6">
        <v>35000</v>
      </c>
      <c r="K6" t="s">
        <v>1894</v>
      </c>
      <c r="L6" s="1225" t="s">
        <v>1605</v>
      </c>
      <c r="M6" s="1225">
        <v>55</v>
      </c>
      <c r="N6">
        <v>35000</v>
      </c>
      <c r="P6">
        <v>35000</v>
      </c>
    </row>
    <row r="7" spans="1:16">
      <c r="A7" s="8" t="s">
        <v>3256</v>
      </c>
      <c r="B7" s="1226" t="s">
        <v>388</v>
      </c>
      <c r="C7" s="1226">
        <v>25</v>
      </c>
      <c r="D7" s="8">
        <v>80000</v>
      </c>
      <c r="F7" s="8" t="s">
        <v>3257</v>
      </c>
      <c r="G7" s="1226" t="s">
        <v>1605</v>
      </c>
      <c r="H7" s="1226">
        <v>30</v>
      </c>
      <c r="I7" s="8">
        <v>35000</v>
      </c>
      <c r="J7" s="8"/>
      <c r="K7" s="8" t="s">
        <v>3257</v>
      </c>
      <c r="L7" s="1226" t="s">
        <v>1605</v>
      </c>
      <c r="M7" s="1226">
        <v>30</v>
      </c>
      <c r="N7" s="8">
        <v>35000</v>
      </c>
      <c r="P7" s="8">
        <v>80000</v>
      </c>
    </row>
    <row r="8" spans="1:16">
      <c r="A8" t="s">
        <v>3301</v>
      </c>
      <c r="B8" s="1225" t="s">
        <v>1605</v>
      </c>
      <c r="C8" s="1225">
        <v>40</v>
      </c>
      <c r="D8">
        <v>35000</v>
      </c>
      <c r="F8" t="s">
        <v>1899</v>
      </c>
      <c r="G8" s="1225" t="s">
        <v>1605</v>
      </c>
      <c r="H8" s="1225">
        <v>40</v>
      </c>
      <c r="I8">
        <v>40000</v>
      </c>
      <c r="K8" t="s">
        <v>1899</v>
      </c>
      <c r="L8" s="1225" t="s">
        <v>1605</v>
      </c>
      <c r="M8" s="1225">
        <v>40</v>
      </c>
      <c r="N8">
        <v>40000</v>
      </c>
      <c r="P8">
        <v>60000</v>
      </c>
    </row>
    <row r="9" spans="1:16">
      <c r="A9" t="s">
        <v>3302</v>
      </c>
      <c r="B9" s="1225" t="s">
        <v>388</v>
      </c>
      <c r="C9" s="1225">
        <v>40</v>
      </c>
      <c r="D9">
        <v>45000</v>
      </c>
      <c r="F9" t="s">
        <v>1896</v>
      </c>
      <c r="G9" s="1225" t="s">
        <v>388</v>
      </c>
      <c r="H9" s="1225">
        <v>35</v>
      </c>
      <c r="I9">
        <v>45000</v>
      </c>
      <c r="K9" t="s">
        <v>3302</v>
      </c>
      <c r="L9" s="1225" t="s">
        <v>388</v>
      </c>
      <c r="M9" s="1225">
        <v>40</v>
      </c>
      <c r="N9">
        <v>45000</v>
      </c>
      <c r="P9" s="8">
        <v>30000</v>
      </c>
    </row>
    <row r="10" spans="1:16">
      <c r="A10" t="s">
        <v>1898</v>
      </c>
      <c r="B10" s="1225" t="s">
        <v>1605</v>
      </c>
      <c r="C10" s="1225">
        <v>60</v>
      </c>
      <c r="D10">
        <v>60000</v>
      </c>
      <c r="F10" t="s">
        <v>3302</v>
      </c>
      <c r="G10" s="1225" t="s">
        <v>388</v>
      </c>
      <c r="H10" s="1225">
        <v>40</v>
      </c>
      <c r="I10">
        <v>45000</v>
      </c>
      <c r="K10" t="s">
        <v>1896</v>
      </c>
      <c r="L10" s="1225" t="s">
        <v>388</v>
      </c>
      <c r="M10" s="1225">
        <v>35</v>
      </c>
      <c r="N10">
        <v>45000</v>
      </c>
    </row>
    <row r="11" spans="1:16">
      <c r="A11" s="8" t="s">
        <v>3257</v>
      </c>
      <c r="B11" s="1226" t="s">
        <v>1605</v>
      </c>
      <c r="C11" s="1226">
        <v>30</v>
      </c>
      <c r="D11" s="8">
        <v>35000</v>
      </c>
      <c r="F11" t="s">
        <v>1898</v>
      </c>
      <c r="G11" s="1225" t="s">
        <v>1605</v>
      </c>
      <c r="H11" s="1225">
        <v>60</v>
      </c>
      <c r="I11">
        <v>60000</v>
      </c>
      <c r="J11" s="8"/>
      <c r="K11" t="s">
        <v>1898</v>
      </c>
      <c r="L11" s="1225" t="s">
        <v>1605</v>
      </c>
      <c r="M11" s="1225">
        <v>60</v>
      </c>
      <c r="N11">
        <v>60000</v>
      </c>
    </row>
    <row r="12" spans="1:16">
      <c r="A12" s="1078" t="s">
        <v>1900</v>
      </c>
      <c r="B12" s="1219" t="s">
        <v>388</v>
      </c>
      <c r="C12" s="1219">
        <v>45</v>
      </c>
      <c r="D12" s="1078">
        <v>30000</v>
      </c>
      <c r="F12" s="1078" t="s">
        <v>3256</v>
      </c>
      <c r="G12" s="1219" t="s">
        <v>388</v>
      </c>
      <c r="H12" s="1219">
        <v>25</v>
      </c>
      <c r="I12" s="1078">
        <v>80000</v>
      </c>
      <c r="J12" s="8"/>
      <c r="K12" s="1078" t="s">
        <v>3256</v>
      </c>
      <c r="L12" s="1219" t="s">
        <v>388</v>
      </c>
      <c r="M12" s="1219">
        <v>25</v>
      </c>
      <c r="N12" s="1078">
        <v>80000</v>
      </c>
    </row>
    <row r="14" spans="1:16">
      <c r="A14" t="s">
        <v>3260</v>
      </c>
    </row>
    <row r="16" spans="1:16">
      <c r="A16" s="1224" t="s">
        <v>243</v>
      </c>
      <c r="B16" s="1224" t="s">
        <v>1041</v>
      </c>
      <c r="C16" s="1224" t="s">
        <v>22</v>
      </c>
      <c r="D16" s="1224" t="s">
        <v>23</v>
      </c>
      <c r="F16" s="821" t="str">
        <f t="shared" ref="F16:I19" si="0">A16</f>
        <v>Person</v>
      </c>
      <c r="G16" s="821" t="str">
        <f t="shared" si="0"/>
        <v>Gender</v>
      </c>
      <c r="H16" s="821" t="str">
        <f t="shared" si="0"/>
        <v>Age</v>
      </c>
      <c r="I16" s="821" t="str">
        <f t="shared" si="0"/>
        <v>Income</v>
      </c>
    </row>
    <row r="17" spans="1:9">
      <c r="A17" t="s">
        <v>1896</v>
      </c>
      <c r="B17" s="1225" t="s">
        <v>388</v>
      </c>
      <c r="C17" s="1225">
        <v>35</v>
      </c>
      <c r="D17">
        <v>45000</v>
      </c>
      <c r="F17" t="str">
        <f t="shared" si="0"/>
        <v>Mary</v>
      </c>
      <c r="G17" t="str">
        <f t="shared" si="0"/>
        <v>F</v>
      </c>
      <c r="H17">
        <f t="shared" si="0"/>
        <v>35</v>
      </c>
      <c r="I17">
        <f t="shared" si="0"/>
        <v>45000</v>
      </c>
    </row>
    <row r="18" spans="1:9">
      <c r="A18" t="s">
        <v>1899</v>
      </c>
      <c r="B18" s="1225" t="s">
        <v>1605</v>
      </c>
      <c r="C18" s="1225">
        <v>40</v>
      </c>
      <c r="D18">
        <v>40000</v>
      </c>
      <c r="F18" t="str">
        <f t="shared" si="0"/>
        <v>Bob</v>
      </c>
      <c r="G18" t="str">
        <f t="shared" si="0"/>
        <v>M</v>
      </c>
      <c r="H18">
        <f t="shared" si="0"/>
        <v>40</v>
      </c>
      <c r="I18">
        <f t="shared" si="0"/>
        <v>40000</v>
      </c>
    </row>
    <row r="19" spans="1:9">
      <c r="A19" t="s">
        <v>1894</v>
      </c>
      <c r="B19" s="1225" t="s">
        <v>1605</v>
      </c>
      <c r="C19" s="1225">
        <v>55</v>
      </c>
      <c r="D19">
        <v>35000</v>
      </c>
      <c r="F19" t="str">
        <f t="shared" si="0"/>
        <v>Jim</v>
      </c>
      <c r="G19" t="str">
        <f t="shared" si="0"/>
        <v>M</v>
      </c>
      <c r="H19">
        <f t="shared" si="0"/>
        <v>55</v>
      </c>
      <c r="I19">
        <f t="shared" si="0"/>
        <v>35000</v>
      </c>
    </row>
    <row r="20" spans="1:9" hidden="1">
      <c r="A20" s="8" t="s">
        <v>3256</v>
      </c>
      <c r="B20" s="1226" t="s">
        <v>388</v>
      </c>
      <c r="C20" s="1226">
        <v>25</v>
      </c>
      <c r="D20" s="8">
        <v>80000</v>
      </c>
    </row>
    <row r="21" spans="1:9">
      <c r="A21" t="s">
        <v>3301</v>
      </c>
      <c r="B21" s="1225" t="s">
        <v>1605</v>
      </c>
      <c r="C21" s="1225">
        <v>40</v>
      </c>
      <c r="D21">
        <v>35000</v>
      </c>
      <c r="F21" t="str">
        <f t="shared" ref="F21:I22" si="1">A21</f>
        <v>Alan</v>
      </c>
      <c r="G21" t="str">
        <f t="shared" si="1"/>
        <v>M</v>
      </c>
      <c r="H21">
        <f t="shared" si="1"/>
        <v>40</v>
      </c>
      <c r="I21">
        <f t="shared" si="1"/>
        <v>35000</v>
      </c>
    </row>
    <row r="22" spans="1:9">
      <c r="A22" t="s">
        <v>3302</v>
      </c>
      <c r="B22" s="1225" t="s">
        <v>388</v>
      </c>
      <c r="C22" s="1225">
        <v>40</v>
      </c>
      <c r="D22">
        <v>45000</v>
      </c>
      <c r="F22" t="str">
        <f t="shared" si="1"/>
        <v>Debra</v>
      </c>
      <c r="G22" t="str">
        <f t="shared" si="1"/>
        <v>F</v>
      </c>
      <c r="H22">
        <f t="shared" si="1"/>
        <v>40</v>
      </c>
      <c r="I22">
        <f t="shared" si="1"/>
        <v>45000</v>
      </c>
    </row>
    <row r="23" spans="1:9" hidden="1">
      <c r="A23" t="s">
        <v>1898</v>
      </c>
      <c r="B23" s="1225" t="s">
        <v>1605</v>
      </c>
      <c r="C23" s="1225">
        <v>60</v>
      </c>
      <c r="D23">
        <v>60000</v>
      </c>
    </row>
    <row r="24" spans="1:9">
      <c r="A24" s="8" t="s">
        <v>3257</v>
      </c>
      <c r="B24" s="1226" t="s">
        <v>1605</v>
      </c>
      <c r="C24" s="1226">
        <v>30</v>
      </c>
      <c r="D24" s="8">
        <v>35000</v>
      </c>
      <c r="F24" s="1078" t="str">
        <f>A24</f>
        <v>Steve</v>
      </c>
      <c r="G24" s="1078" t="str">
        <f>B24</f>
        <v>M</v>
      </c>
      <c r="H24" s="1078">
        <f>C24</f>
        <v>30</v>
      </c>
      <c r="I24" s="1078">
        <f>D24</f>
        <v>35000</v>
      </c>
    </row>
    <row r="25" spans="1:9" hidden="1">
      <c r="A25" s="1078" t="s">
        <v>1900</v>
      </c>
      <c r="B25" s="1219" t="s">
        <v>388</v>
      </c>
      <c r="C25" s="1219">
        <v>45</v>
      </c>
      <c r="D25" s="1078">
        <v>30000</v>
      </c>
    </row>
  </sheetData>
  <autoFilter ref="A16:D25">
    <filterColumn colId="3">
      <customFilters and="1">
        <customFilter operator="greaterThanOrEqual" val="35000"/>
        <customFilter operator="lessThanOrEqual" val="45000"/>
      </customFilters>
    </filterColumn>
  </autoFilter>
  <sortState ref="F4:I12">
    <sortCondition ref="I4:I12"/>
  </sortState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338"/>
  <dimension ref="A1:E4"/>
  <sheetViews>
    <sheetView workbookViewId="0"/>
  </sheetViews>
  <sheetFormatPr defaultRowHeight="14.4"/>
  <cols>
    <col min="1" max="1" width="6.5546875" customWidth="1"/>
  </cols>
  <sheetData>
    <row r="1" spans="1:5">
      <c r="A1" s="1" t="s">
        <v>3787</v>
      </c>
    </row>
    <row r="3" spans="1:5">
      <c r="A3" t="s">
        <v>3789</v>
      </c>
      <c r="B3" s="1377">
        <f>B4^2</f>
        <v>10.999991953216556</v>
      </c>
      <c r="D3" t="s">
        <v>3789</v>
      </c>
      <c r="E3" s="1377">
        <f>E4^2</f>
        <v>11.000015248414535</v>
      </c>
    </row>
    <row r="4" spans="1:5">
      <c r="A4" t="s">
        <v>28</v>
      </c>
      <c r="B4" s="1379">
        <v>3.3166235772569301</v>
      </c>
      <c r="D4" t="s">
        <v>28</v>
      </c>
      <c r="E4" s="1379">
        <v>-3.3166270891395877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39"/>
  <dimension ref="A1:B7"/>
  <sheetViews>
    <sheetView workbookViewId="0"/>
  </sheetViews>
  <sheetFormatPr defaultRowHeight="14.4"/>
  <sheetData>
    <row r="1" spans="1:2">
      <c r="A1" s="1" t="s">
        <v>1928</v>
      </c>
    </row>
    <row r="3" spans="1:2">
      <c r="A3" t="s">
        <v>106</v>
      </c>
      <c r="B3" s="743">
        <v>12</v>
      </c>
    </row>
    <row r="4" spans="1:2">
      <c r="A4" t="s">
        <v>325</v>
      </c>
      <c r="B4" s="627">
        <f>1/6</f>
        <v>0.16666666666666666</v>
      </c>
    </row>
    <row r="5" spans="1:2">
      <c r="A5" t="s">
        <v>1929</v>
      </c>
      <c r="B5" s="627">
        <f>1-B4</f>
        <v>0.83333333333333337</v>
      </c>
    </row>
    <row r="6" spans="1:2">
      <c r="A6" t="s">
        <v>1930</v>
      </c>
      <c r="B6" s="627">
        <f>B5^B3</f>
        <v>0.11215665478461519</v>
      </c>
    </row>
    <row r="7" spans="1:2">
      <c r="A7" t="s">
        <v>1931</v>
      </c>
      <c r="B7" s="544">
        <f>1-B6</f>
        <v>0.88784334521538477</v>
      </c>
    </row>
  </sheetData>
  <pageMargins left="0.7" right="0.7" top="0.75" bottom="0.75" header="0.3" footer="0.3"/>
  <ignoredErrors>
    <ignoredError sqref="B6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6"/>
  <dimension ref="A1:E16"/>
  <sheetViews>
    <sheetView workbookViewId="0"/>
  </sheetViews>
  <sheetFormatPr defaultRowHeight="14.4"/>
  <cols>
    <col min="1" max="1" width="5.44140625" customWidth="1"/>
    <col min="2" max="3" width="8.88671875" customWidth="1"/>
    <col min="4" max="4" width="4" customWidth="1"/>
    <col min="5" max="5" width="24.88671875" customWidth="1"/>
  </cols>
  <sheetData>
    <row r="1" spans="1:5">
      <c r="A1" s="1" t="s">
        <v>27</v>
      </c>
    </row>
    <row r="3" spans="1:5">
      <c r="A3" s="1365" t="s">
        <v>28</v>
      </c>
      <c r="B3" s="1366" t="s">
        <v>29</v>
      </c>
      <c r="C3" s="1361" t="s">
        <v>30</v>
      </c>
      <c r="D3" s="42"/>
    </row>
    <row r="4" spans="1:5">
      <c r="A4" s="1367">
        <v>1</v>
      </c>
      <c r="B4" s="1368">
        <v>0.12</v>
      </c>
      <c r="C4" s="1362">
        <f>B4</f>
        <v>0.12</v>
      </c>
      <c r="D4" s="101"/>
      <c r="E4" t="s">
        <v>3754</v>
      </c>
    </row>
    <row r="5" spans="1:5">
      <c r="A5" s="1369">
        <f>A4+1</f>
        <v>2</v>
      </c>
      <c r="B5" s="1370">
        <v>0.25</v>
      </c>
      <c r="C5" s="1363">
        <f>B5+C4</f>
        <v>0.37</v>
      </c>
      <c r="D5" s="101"/>
      <c r="E5" t="s">
        <v>3755</v>
      </c>
    </row>
    <row r="6" spans="1:5">
      <c r="A6" s="1369">
        <f t="shared" ref="A6:A11" si="0">A5+1</f>
        <v>3</v>
      </c>
      <c r="B6" s="1370">
        <v>0.08</v>
      </c>
      <c r="C6" s="1363">
        <f t="shared" ref="C6:C11" si="1">B6+C5</f>
        <v>0.45</v>
      </c>
      <c r="D6" s="101"/>
      <c r="E6" t="s">
        <v>3756</v>
      </c>
    </row>
    <row r="7" spans="1:5">
      <c r="A7" s="1369">
        <f t="shared" si="0"/>
        <v>4</v>
      </c>
      <c r="B7" s="1370">
        <v>0.14000000000000001</v>
      </c>
      <c r="C7" s="1363">
        <f t="shared" si="1"/>
        <v>0.59000000000000008</v>
      </c>
      <c r="D7" s="101"/>
      <c r="E7" t="s">
        <v>3757</v>
      </c>
    </row>
    <row r="8" spans="1:5">
      <c r="A8" s="1369">
        <f t="shared" si="0"/>
        <v>5</v>
      </c>
      <c r="B8" s="1370">
        <v>0.09</v>
      </c>
      <c r="C8" s="1363">
        <f t="shared" si="1"/>
        <v>0.68</v>
      </c>
      <c r="D8" s="101"/>
      <c r="E8" t="s">
        <v>3758</v>
      </c>
    </row>
    <row r="9" spans="1:5">
      <c r="A9" s="1369">
        <f t="shared" si="0"/>
        <v>6</v>
      </c>
      <c r="B9" s="1370">
        <v>0.18</v>
      </c>
      <c r="C9" s="1363">
        <f t="shared" si="1"/>
        <v>0.8600000000000001</v>
      </c>
      <c r="D9" s="101"/>
      <c r="E9" t="s">
        <v>3759</v>
      </c>
    </row>
    <row r="10" spans="1:5">
      <c r="A10" s="1369">
        <f t="shared" si="0"/>
        <v>7</v>
      </c>
      <c r="B10" s="1370">
        <v>0.09</v>
      </c>
      <c r="C10" s="1363">
        <f t="shared" si="1"/>
        <v>0.95000000000000007</v>
      </c>
      <c r="D10" s="101"/>
      <c r="E10" t="s">
        <v>3760</v>
      </c>
    </row>
    <row r="11" spans="1:5">
      <c r="A11" s="1371">
        <f t="shared" si="0"/>
        <v>8</v>
      </c>
      <c r="B11" s="1372">
        <v>0.05</v>
      </c>
      <c r="C11" s="1364">
        <f t="shared" si="1"/>
        <v>1</v>
      </c>
      <c r="D11" s="101"/>
      <c r="E11" t="s">
        <v>3761</v>
      </c>
    </row>
    <row r="14" spans="1:5">
      <c r="A14" s="1373" t="s">
        <v>3762</v>
      </c>
      <c r="B14" s="1373"/>
      <c r="C14" s="1374">
        <f>PROB(A4:A11,B4:B11,3)</f>
        <v>0.08</v>
      </c>
      <c r="E14" s="23" t="s">
        <v>3766</v>
      </c>
    </row>
    <row r="15" spans="1:5">
      <c r="A15" s="1373" t="s">
        <v>3763</v>
      </c>
      <c r="B15" s="1373"/>
      <c r="C15" s="1375">
        <f>PROB(A4:A11,B4:B11,,5)</f>
        <v>0.68</v>
      </c>
      <c r="E15" s="23" t="s">
        <v>3767</v>
      </c>
    </row>
    <row r="16" spans="1:5">
      <c r="A16" s="1373" t="s">
        <v>3764</v>
      </c>
      <c r="B16" s="1373"/>
      <c r="C16" s="1376">
        <f>PROB(A4:A11,B4:B11,3,5)</f>
        <v>0.31000000000000005</v>
      </c>
      <c r="E16" s="23" t="s">
        <v>3765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7"/>
  <dimension ref="A1:S14"/>
  <sheetViews>
    <sheetView workbookViewId="0"/>
  </sheetViews>
  <sheetFormatPr defaultRowHeight="14.4"/>
  <cols>
    <col min="1" max="1" width="4.6640625" customWidth="1"/>
    <col min="2" max="2" width="6.109375" customWidth="1"/>
    <col min="3" max="3" width="6" customWidth="1"/>
    <col min="4" max="4" width="6.109375" customWidth="1"/>
    <col min="5" max="5" width="6.33203125" customWidth="1"/>
    <col min="9" max="11" width="6.33203125" customWidth="1"/>
    <col min="13" max="14" width="7.88671875" customWidth="1"/>
    <col min="17" max="18" width="6.44140625" customWidth="1"/>
  </cols>
  <sheetData>
    <row r="1" spans="1:19">
      <c r="A1" s="1" t="s">
        <v>31</v>
      </c>
      <c r="M1" t="s">
        <v>1860</v>
      </c>
      <c r="Q1" t="s">
        <v>1861</v>
      </c>
    </row>
    <row r="2" spans="1:19">
      <c r="G2" s="19" t="s">
        <v>1859</v>
      </c>
    </row>
    <row r="3" spans="1:19">
      <c r="A3" s="1377">
        <v>14</v>
      </c>
      <c r="C3" s="687" t="s">
        <v>28</v>
      </c>
      <c r="D3" s="687" t="s">
        <v>100</v>
      </c>
      <c r="E3" s="687" t="s">
        <v>29</v>
      </c>
      <c r="G3" s="542" t="e">
        <f t="array" aca="1" ref="G3:G14" ca="1">[1]!NODUPES(A3:A14,"")</f>
        <v>#NAME?</v>
      </c>
      <c r="I3" s="687" t="s">
        <v>28</v>
      </c>
      <c r="J3" s="687" t="s">
        <v>100</v>
      </c>
      <c r="K3" s="687" t="s">
        <v>29</v>
      </c>
      <c r="M3" s="43" t="s">
        <v>2951</v>
      </c>
      <c r="N3" s="43" t="s">
        <v>100</v>
      </c>
      <c r="O3" s="43" t="s">
        <v>1707</v>
      </c>
      <c r="Q3" t="s">
        <v>129</v>
      </c>
    </row>
    <row r="4" spans="1:19">
      <c r="A4" s="1378">
        <v>18</v>
      </c>
      <c r="C4" s="8">
        <v>12</v>
      </c>
      <c r="D4" s="8">
        <f>COUNTIF($A$3:$A$15,C4)</f>
        <v>2</v>
      </c>
      <c r="E4" s="1380">
        <f>D4/D$9</f>
        <v>0.16666666666666666</v>
      </c>
      <c r="G4" s="627" t="e">
        <f ca="1"/>
        <v>#NAME?</v>
      </c>
      <c r="I4" s="8">
        <v>12</v>
      </c>
      <c r="J4" s="8">
        <f>COUNTIF($A$3:$A$15,I4)</f>
        <v>2</v>
      </c>
      <c r="K4" s="8">
        <f>J4/J$9</f>
        <v>0.16666666666666666</v>
      </c>
      <c r="M4" s="553" t="e">
        <f t="array" aca="1" ref="M4:O8" ca="1">[1]!FREQTABLE(A3:A14)</f>
        <v>#NAME?</v>
      </c>
      <c r="N4" s="666" t="e">
        <f ca="1"/>
        <v>#NAME?</v>
      </c>
      <c r="O4" s="667" t="e">
        <f ca="1"/>
        <v>#NAME?</v>
      </c>
    </row>
    <row r="5" spans="1:19">
      <c r="A5" s="1378">
        <v>13</v>
      </c>
      <c r="C5" s="8">
        <v>13</v>
      </c>
      <c r="D5" s="8">
        <f>COUNTIF($A$3:$A$17,C5)</f>
        <v>3</v>
      </c>
      <c r="E5" s="1380">
        <f>D5/D$9</f>
        <v>0.25</v>
      </c>
      <c r="G5" s="627" t="e">
        <f ca="1"/>
        <v>#NAME?</v>
      </c>
      <c r="I5" s="8">
        <v>13</v>
      </c>
      <c r="J5" s="8">
        <f>COUNTIF($A$3:$A$17,I5)</f>
        <v>3</v>
      </c>
      <c r="K5" s="8">
        <f>J5/J$9</f>
        <v>0.25</v>
      </c>
      <c r="M5" s="656" t="e">
        <f ca="1"/>
        <v>#NAME?</v>
      </c>
      <c r="N5" s="8" t="e">
        <f ca="1"/>
        <v>#NAME?</v>
      </c>
      <c r="O5" s="657" t="e">
        <f ca="1"/>
        <v>#NAME?</v>
      </c>
      <c r="Q5" s="1103" t="s">
        <v>2588</v>
      </c>
      <c r="R5" s="1103" t="s">
        <v>100</v>
      </c>
      <c r="S5" s="1103" t="s">
        <v>1707</v>
      </c>
    </row>
    <row r="6" spans="1:19">
      <c r="A6" s="1378">
        <v>12</v>
      </c>
      <c r="C6" s="8">
        <v>14</v>
      </c>
      <c r="D6" s="8">
        <f>COUNTIF($A$3:$A$17,C6)</f>
        <v>1</v>
      </c>
      <c r="E6" s="1380">
        <f>D6/D$9</f>
        <v>8.3333333333333329E-2</v>
      </c>
      <c r="G6" s="627" t="e">
        <f ca="1"/>
        <v>#NAME?</v>
      </c>
      <c r="I6" s="8">
        <v>14</v>
      </c>
      <c r="J6" s="8">
        <f>COUNTIF($A$3:$A$17,I6)</f>
        <v>1</v>
      </c>
      <c r="K6" s="8">
        <f>J6/J$9</f>
        <v>8.3333333333333329E-2</v>
      </c>
      <c r="M6" s="656" t="e">
        <f ca="1"/>
        <v>#NAME?</v>
      </c>
      <c r="N6" s="8" t="e">
        <f ca="1"/>
        <v>#NAME?</v>
      </c>
      <c r="O6" s="657" t="e">
        <f ca="1"/>
        <v>#NAME?</v>
      </c>
      <c r="Q6" t="e">
        <f t="array" aca="1" ref="Q6:Q10" ca="1">[1]!SortUnique(A3:A14)</f>
        <v>#NAME?</v>
      </c>
      <c r="R6">
        <f ca="1">COUNTIF($A$3:$A$14,Q6)</f>
        <v>0</v>
      </c>
      <c r="S6" t="e">
        <f ca="1">R6/$R$11</f>
        <v>#DIV/0!</v>
      </c>
    </row>
    <row r="7" spans="1:19">
      <c r="A7" s="1378">
        <v>18</v>
      </c>
      <c r="C7" s="8">
        <v>16</v>
      </c>
      <c r="D7" s="8">
        <f>COUNTIF($A$3:$A$17,C7)</f>
        <v>2</v>
      </c>
      <c r="E7" s="1380">
        <f>D7/D$9</f>
        <v>0.16666666666666666</v>
      </c>
      <c r="G7" s="627" t="e">
        <f ca="1"/>
        <v>#NAME?</v>
      </c>
      <c r="I7" s="8">
        <v>16</v>
      </c>
      <c r="J7" s="8">
        <f>COUNTIF($A$3:$A$17,I7)</f>
        <v>2</v>
      </c>
      <c r="K7" s="8">
        <f>J7/J$9</f>
        <v>0.16666666666666666</v>
      </c>
      <c r="M7" s="656" t="e">
        <f ca="1"/>
        <v>#NAME?</v>
      </c>
      <c r="N7" s="8" t="e">
        <f ca="1"/>
        <v>#NAME?</v>
      </c>
      <c r="O7" s="657" t="e">
        <f ca="1"/>
        <v>#NAME?</v>
      </c>
      <c r="Q7" t="e">
        <f ca="1"/>
        <v>#NAME?</v>
      </c>
      <c r="R7">
        <f ca="1">COUNTIF($A$3:$A$14,Q7)</f>
        <v>0</v>
      </c>
      <c r="S7" t="e">
        <f ca="1">R7/$R$11</f>
        <v>#DIV/0!</v>
      </c>
    </row>
    <row r="8" spans="1:19">
      <c r="A8" s="1378">
        <v>12</v>
      </c>
      <c r="C8" s="11">
        <v>18</v>
      </c>
      <c r="D8" s="11">
        <f>COUNTIF($A$3:$A$17,C8)</f>
        <v>4</v>
      </c>
      <c r="E8" s="1381">
        <f>D8/D$9</f>
        <v>0.33333333333333331</v>
      </c>
      <c r="G8" s="627" t="e">
        <f ca="1"/>
        <v>#NAME?</v>
      </c>
      <c r="I8" s="11">
        <v>18</v>
      </c>
      <c r="J8" s="11">
        <f>COUNTIF($A$3:$A$17,I8)</f>
        <v>4</v>
      </c>
      <c r="K8" s="11">
        <f>J8/J$9</f>
        <v>0.33333333333333331</v>
      </c>
      <c r="M8" s="533" t="e">
        <f ca="1"/>
        <v>#NAME?</v>
      </c>
      <c r="N8" s="534" t="e">
        <f ca="1"/>
        <v>#NAME?</v>
      </c>
      <c r="O8" s="541" t="e">
        <f ca="1"/>
        <v>#NAME?</v>
      </c>
      <c r="Q8" t="e">
        <f ca="1"/>
        <v>#NAME?</v>
      </c>
      <c r="R8">
        <f ca="1">COUNTIF($A$3:$A$14,Q8)</f>
        <v>0</v>
      </c>
      <c r="S8" t="e">
        <f ca="1">R8/$R$11</f>
        <v>#DIV/0!</v>
      </c>
    </row>
    <row r="9" spans="1:19">
      <c r="A9" s="1378">
        <v>13</v>
      </c>
      <c r="D9">
        <f>SUM(D4:D8)</f>
        <v>12</v>
      </c>
      <c r="G9" s="627" t="e">
        <f ca="1"/>
        <v>#NAME?</v>
      </c>
      <c r="J9">
        <f>SUM(J4:J8)</f>
        <v>12</v>
      </c>
      <c r="Q9" t="e">
        <f ca="1"/>
        <v>#NAME?</v>
      </c>
      <c r="R9">
        <f ca="1">COUNTIF($A$3:$A$14,Q9)</f>
        <v>0</v>
      </c>
      <c r="S9" t="e">
        <f ca="1">R9/$R$11</f>
        <v>#DIV/0!</v>
      </c>
    </row>
    <row r="10" spans="1:19">
      <c r="A10" s="1378">
        <v>13</v>
      </c>
      <c r="G10" s="627" t="e">
        <f ca="1"/>
        <v>#NAME?</v>
      </c>
      <c r="Q10" s="1078" t="e">
        <f ca="1"/>
        <v>#NAME?</v>
      </c>
      <c r="R10" s="1078">
        <f ca="1">COUNTIF($A$3:$A$14,Q10)</f>
        <v>0</v>
      </c>
      <c r="S10" s="1078" t="e">
        <f ca="1">R10/$R$11</f>
        <v>#DIV/0!</v>
      </c>
    </row>
    <row r="11" spans="1:19">
      <c r="A11" s="1378">
        <v>16</v>
      </c>
      <c r="G11" s="627" t="e">
        <f ca="1"/>
        <v>#NAME?</v>
      </c>
      <c r="R11">
        <f ca="1">SUM(R6:R10)</f>
        <v>0</v>
      </c>
      <c r="S11" t="e">
        <f ca="1">SUM(S6:S10)</f>
        <v>#DIV/0!</v>
      </c>
    </row>
    <row r="12" spans="1:19">
      <c r="A12" s="1378">
        <v>18</v>
      </c>
      <c r="G12" s="627" t="e">
        <f ca="1"/>
        <v>#NAME?</v>
      </c>
    </row>
    <row r="13" spans="1:19">
      <c r="A13" s="1378">
        <v>18</v>
      </c>
      <c r="G13" s="627" t="e">
        <f ca="1"/>
        <v>#NAME?</v>
      </c>
    </row>
    <row r="14" spans="1:19">
      <c r="A14" s="1379">
        <v>16</v>
      </c>
      <c r="G14" s="544" t="e">
        <f ca="1"/>
        <v>#NAME?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286"/>
  <dimension ref="A1:N22"/>
  <sheetViews>
    <sheetView workbookViewId="0"/>
  </sheetViews>
  <sheetFormatPr defaultRowHeight="14.4"/>
  <cols>
    <col min="1" max="1" width="12.5546875" customWidth="1"/>
    <col min="6" max="6" width="11" customWidth="1"/>
  </cols>
  <sheetData>
    <row r="1" spans="1:14">
      <c r="A1" s="1" t="s">
        <v>3199</v>
      </c>
    </row>
    <row r="2" spans="1:14">
      <c r="A2" s="1"/>
    </row>
    <row r="3" spans="1:14">
      <c r="A3" s="1"/>
      <c r="B3" s="19" t="s">
        <v>3768</v>
      </c>
      <c r="C3" s="19" t="s">
        <v>3769</v>
      </c>
      <c r="D3" s="19" t="s">
        <v>3770</v>
      </c>
      <c r="L3" s="19" t="s">
        <v>3768</v>
      </c>
      <c r="M3" s="19" t="s">
        <v>3769</v>
      </c>
      <c r="N3" s="19" t="s">
        <v>3770</v>
      </c>
    </row>
    <row r="4" spans="1:14">
      <c r="A4" s="1"/>
      <c r="B4" s="1178">
        <v>5</v>
      </c>
      <c r="C4" s="1178">
        <v>5</v>
      </c>
      <c r="D4" s="1178">
        <v>5</v>
      </c>
      <c r="L4" s="1236">
        <v>5</v>
      </c>
      <c r="M4" s="1234">
        <v>5</v>
      </c>
      <c r="N4" s="1237">
        <v>5</v>
      </c>
    </row>
    <row r="5" spans="1:14">
      <c r="A5" s="1"/>
      <c r="B5" s="627">
        <v>2</v>
      </c>
      <c r="C5" s="627">
        <v>2</v>
      </c>
      <c r="D5" s="627">
        <v>2</v>
      </c>
      <c r="L5" s="656">
        <v>2</v>
      </c>
      <c r="M5" s="8">
        <v>2</v>
      </c>
      <c r="N5" s="657">
        <v>2</v>
      </c>
    </row>
    <row r="6" spans="1:14">
      <c r="A6" s="1"/>
      <c r="B6" s="627">
        <v>-1</v>
      </c>
      <c r="C6" s="627">
        <v>-1</v>
      </c>
      <c r="D6" s="627">
        <v>-1</v>
      </c>
      <c r="L6" s="656">
        <v>-1</v>
      </c>
      <c r="M6" s="8">
        <v>-1</v>
      </c>
      <c r="N6" s="657">
        <v>-1</v>
      </c>
    </row>
    <row r="7" spans="1:14">
      <c r="A7" s="1"/>
      <c r="B7" s="627">
        <v>3</v>
      </c>
      <c r="C7" s="627">
        <v>3</v>
      </c>
      <c r="D7" s="627">
        <v>3</v>
      </c>
      <c r="G7" s="19" t="s">
        <v>3771</v>
      </c>
      <c r="H7" s="19" t="s">
        <v>3772</v>
      </c>
      <c r="I7" s="19" t="s">
        <v>3773</v>
      </c>
      <c r="L7" s="656">
        <v>3</v>
      </c>
      <c r="M7" s="8">
        <v>3</v>
      </c>
      <c r="N7" s="657">
        <v>3</v>
      </c>
    </row>
    <row r="8" spans="1:14">
      <c r="A8" s="1"/>
      <c r="B8" s="627">
        <v>7</v>
      </c>
      <c r="C8" s="627">
        <v>7</v>
      </c>
      <c r="D8" s="627">
        <v>7</v>
      </c>
      <c r="G8" s="1178">
        <v>50</v>
      </c>
      <c r="H8" s="1178">
        <v>1.05</v>
      </c>
      <c r="I8" s="1178">
        <v>5</v>
      </c>
      <c r="L8" s="656">
        <v>7</v>
      </c>
      <c r="M8" s="8">
        <v>7</v>
      </c>
      <c r="N8" s="657">
        <v>7</v>
      </c>
    </row>
    <row r="9" spans="1:14">
      <c r="A9" s="1"/>
      <c r="B9" s="627">
        <v>5</v>
      </c>
      <c r="C9" s="627">
        <v>5</v>
      </c>
      <c r="D9" s="627">
        <v>8</v>
      </c>
      <c r="G9" s="544">
        <v>80</v>
      </c>
      <c r="H9" s="627">
        <v>1.05</v>
      </c>
      <c r="I9" s="627">
        <v>2</v>
      </c>
      <c r="L9" s="656">
        <v>5</v>
      </c>
      <c r="M9" s="8">
        <v>5</v>
      </c>
      <c r="N9" s="657">
        <v>8</v>
      </c>
    </row>
    <row r="10" spans="1:14">
      <c r="A10" s="1"/>
      <c r="B10" s="627">
        <v>0</v>
      </c>
      <c r="C10" s="627">
        <v>0</v>
      </c>
      <c r="D10" s="627">
        <v>0</v>
      </c>
      <c r="H10" s="627">
        <v>1.1000000000000001</v>
      </c>
      <c r="I10" s="627">
        <v>-1</v>
      </c>
      <c r="L10" s="656">
        <v>0</v>
      </c>
      <c r="M10" s="8">
        <v>0</v>
      </c>
      <c r="N10" s="657">
        <v>0</v>
      </c>
    </row>
    <row r="11" spans="1:14">
      <c r="A11" s="1"/>
      <c r="B11" s="544"/>
      <c r="C11" s="544">
        <v>2</v>
      </c>
      <c r="D11" s="544">
        <v>6</v>
      </c>
      <c r="H11" s="544">
        <v>1.1000000000000001</v>
      </c>
      <c r="I11" s="544">
        <v>0</v>
      </c>
      <c r="L11" s="533"/>
      <c r="M11" s="1078">
        <v>2</v>
      </c>
      <c r="N11" s="541">
        <v>6</v>
      </c>
    </row>
    <row r="12" spans="1:14">
      <c r="A12" s="1"/>
    </row>
    <row r="13" spans="1:14">
      <c r="A13" s="25" t="s">
        <v>3201</v>
      </c>
      <c r="B13" s="848">
        <f>AVERAGE(B4:B11)</f>
        <v>3</v>
      </c>
      <c r="C13" s="821">
        <f>AVERAGE(C4:C11)</f>
        <v>2.875</v>
      </c>
      <c r="D13" s="849">
        <f>AVERAGE(D4:D11)</f>
        <v>3.75</v>
      </c>
      <c r="F13" t="s">
        <v>3205</v>
      </c>
      <c r="G13" s="848">
        <f>HARMEAN(G8:G11)</f>
        <v>61.538461538461533</v>
      </c>
      <c r="H13" s="821">
        <f>HARMEAN(H8:H11)</f>
        <v>1.0744186046511628</v>
      </c>
      <c r="I13" s="849" t="e">
        <f>HARMEAN(I8:I11)</f>
        <v>#NUM!</v>
      </c>
      <c r="K13" t="s">
        <v>554</v>
      </c>
      <c r="L13" s="1236" t="e">
        <f t="array" aca="1" ref="L13:N13" ca="1">[1]!COUNTCOL(L4:N11)</f>
        <v>#NAME?</v>
      </c>
      <c r="M13" s="1234" t="e">
        <f ca="1"/>
        <v>#NAME?</v>
      </c>
      <c r="N13" s="1237" t="e">
        <f ca="1"/>
        <v>#NAME?</v>
      </c>
    </row>
    <row r="14" spans="1:14">
      <c r="A14" s="1"/>
      <c r="K14" t="s">
        <v>63</v>
      </c>
      <c r="L14" s="533" t="e">
        <f t="array" aca="1" ref="L14:N14" ca="1">[1]!MEANCOL(L4:N11)</f>
        <v>#NAME?</v>
      </c>
      <c r="M14" s="1078" t="e">
        <f ca="1"/>
        <v>#NAME?</v>
      </c>
      <c r="N14" s="541" t="e">
        <f ca="1"/>
        <v>#NAME?</v>
      </c>
    </row>
    <row r="15" spans="1:14">
      <c r="A15" s="25" t="s">
        <v>3202</v>
      </c>
      <c r="B15" s="848">
        <f>MEDIAN(B4:B11)</f>
        <v>3</v>
      </c>
      <c r="C15" s="821">
        <f>MEDIAN(C4:C11)</f>
        <v>2.5</v>
      </c>
      <c r="D15" s="849">
        <f>MEDIAN(D4:D11)</f>
        <v>4</v>
      </c>
      <c r="F15" t="s">
        <v>3206</v>
      </c>
      <c r="G15" s="848">
        <f>GEOMEAN(G8:G11)</f>
        <v>63.245553203367585</v>
      </c>
      <c r="H15" s="821">
        <f>GEOMEAN(H8:H11)</f>
        <v>1.074709263010234</v>
      </c>
      <c r="I15" s="849" t="e">
        <f>GEOMEAN(I8:I11)</f>
        <v>#NUM!</v>
      </c>
    </row>
    <row r="17" spans="1:4">
      <c r="A17" t="s">
        <v>3200</v>
      </c>
      <c r="B17" s="848">
        <f>MODE(B4:B11)</f>
        <v>5</v>
      </c>
      <c r="C17" s="821">
        <f>MODE(C4:C11)</f>
        <v>5</v>
      </c>
      <c r="D17" s="849" t="e">
        <f>MODE(D4:D11)</f>
        <v>#N/A</v>
      </c>
    </row>
    <row r="19" spans="1:4">
      <c r="A19" t="s">
        <v>3203</v>
      </c>
      <c r="B19" s="848">
        <f>_xlfn.MODE.SNGL(B4:B11)</f>
        <v>5</v>
      </c>
      <c r="C19" s="821">
        <f>_xlfn.MODE.SNGL(C4:C11)</f>
        <v>5</v>
      </c>
      <c r="D19" s="849" t="e">
        <f>_xlfn.MODE.SNGL(D4:D11)</f>
        <v>#N/A</v>
      </c>
    </row>
    <row r="21" spans="1:4">
      <c r="A21" t="s">
        <v>3204</v>
      </c>
      <c r="B21" s="1236">
        <f t="array" ref="B21:B22">_xlfn.MODE.MULT(B4:B11)</f>
        <v>5</v>
      </c>
      <c r="C21" s="1152">
        <f t="array" ref="C21:C22">_xlfn.MODE.MULT(C4:C11)</f>
        <v>5</v>
      </c>
      <c r="D21" s="1237" t="e">
        <f t="array" ref="D21:D22">_xlfn.MODE.MULT(D4:D11)</f>
        <v>#N/A</v>
      </c>
    </row>
    <row r="22" spans="1:4">
      <c r="B22" s="533">
        <v>5</v>
      </c>
      <c r="C22" s="1078">
        <v>2</v>
      </c>
      <c r="D22" s="541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8"/>
  <dimension ref="A1:D24"/>
  <sheetViews>
    <sheetView workbookViewId="0"/>
  </sheetViews>
  <sheetFormatPr defaultRowHeight="14.4"/>
  <cols>
    <col min="1" max="1" width="21.109375" customWidth="1"/>
    <col min="2" max="2" width="11.109375" customWidth="1"/>
    <col min="3" max="3" width="5" customWidth="1"/>
    <col min="4" max="4" width="72.5546875" customWidth="1"/>
  </cols>
  <sheetData>
    <row r="1" spans="1:4">
      <c r="A1" s="1" t="s">
        <v>33</v>
      </c>
    </row>
    <row r="3" spans="1:4">
      <c r="A3" t="s">
        <v>34</v>
      </c>
    </row>
    <row r="5" spans="1:4">
      <c r="A5" t="s">
        <v>35</v>
      </c>
      <c r="B5" s="22">
        <v>0.05</v>
      </c>
      <c r="D5" t="s">
        <v>36</v>
      </c>
    </row>
    <row r="6" spans="1:4">
      <c r="A6" t="s">
        <v>37</v>
      </c>
      <c r="B6" s="22">
        <v>0.08</v>
      </c>
      <c r="D6" t="s">
        <v>38</v>
      </c>
    </row>
    <row r="7" spans="1:4">
      <c r="A7" t="s">
        <v>39</v>
      </c>
      <c r="B7" s="22">
        <v>0.1</v>
      </c>
      <c r="D7" t="s">
        <v>40</v>
      </c>
    </row>
    <row r="8" spans="1:4">
      <c r="B8" s="22"/>
    </row>
    <row r="9" spans="1:4">
      <c r="A9" t="s">
        <v>41</v>
      </c>
      <c r="B9" s="22">
        <f>1+B5</f>
        <v>1.05</v>
      </c>
      <c r="D9" s="23" t="s">
        <v>42</v>
      </c>
    </row>
    <row r="10" spans="1:4">
      <c r="A10" t="s">
        <v>43</v>
      </c>
      <c r="B10" s="22">
        <f>1+B6</f>
        <v>1.08</v>
      </c>
      <c r="D10" s="23" t="s">
        <v>44</v>
      </c>
    </row>
    <row r="11" spans="1:4">
      <c r="A11" t="s">
        <v>45</v>
      </c>
      <c r="B11" s="22">
        <f>1+B7</f>
        <v>1.1000000000000001</v>
      </c>
      <c r="D11" s="23" t="s">
        <v>46</v>
      </c>
    </row>
    <row r="13" spans="1:4">
      <c r="A13" t="s">
        <v>47</v>
      </c>
      <c r="B13" s="24">
        <f>B5+1</f>
        <v>1.05</v>
      </c>
      <c r="D13" s="23" t="s">
        <v>48</v>
      </c>
    </row>
    <row r="14" spans="1:4">
      <c r="A14" t="s">
        <v>49</v>
      </c>
      <c r="B14" s="24">
        <f>(B6+1)*B13</f>
        <v>1.1340000000000001</v>
      </c>
      <c r="D14" s="23" t="s">
        <v>50</v>
      </c>
    </row>
    <row r="15" spans="1:4">
      <c r="A15" t="s">
        <v>51</v>
      </c>
      <c r="B15" s="24">
        <f>(B7+1)*B14</f>
        <v>1.2474000000000003</v>
      </c>
      <c r="D15" s="23" t="s">
        <v>52</v>
      </c>
    </row>
    <row r="16" spans="1:4">
      <c r="B16" s="24"/>
    </row>
    <row r="17" spans="1:4">
      <c r="A17" t="s">
        <v>53</v>
      </c>
      <c r="B17" s="24">
        <f>GEOMEAN(B9:B11)</f>
        <v>1.076469955893838</v>
      </c>
      <c r="D17" s="23" t="s">
        <v>54</v>
      </c>
    </row>
    <row r="18" spans="1:4">
      <c r="A18" t="s">
        <v>55</v>
      </c>
      <c r="B18" s="24">
        <f>B17-1</f>
        <v>7.6469955893837982E-2</v>
      </c>
      <c r="D18" s="23" t="s">
        <v>56</v>
      </c>
    </row>
    <row r="19" spans="1:4" s="25" customFormat="1">
      <c r="A19" s="25" t="s">
        <v>57</v>
      </c>
      <c r="B19" s="26">
        <f>B17^3</f>
        <v>1.2474000000000003</v>
      </c>
      <c r="D19" s="23" t="s">
        <v>58</v>
      </c>
    </row>
    <row r="20" spans="1:4">
      <c r="B20" s="24">
        <f>GEOMEAN(1.05,1.08,1.1)-1</f>
        <v>7.6469955893837982E-2</v>
      </c>
      <c r="D20" s="23" t="s">
        <v>2555</v>
      </c>
    </row>
    <row r="22" spans="1:4">
      <c r="B22">
        <f>1.05^2*1.1^2</f>
        <v>1.3340250000000002</v>
      </c>
      <c r="D22" s="23" t="s">
        <v>1171</v>
      </c>
    </row>
    <row r="23" spans="1:4">
      <c r="B23">
        <f>B22^(1/4)-1</f>
        <v>7.4709263010233951E-2</v>
      </c>
      <c r="D23" s="23" t="s">
        <v>1172</v>
      </c>
    </row>
    <row r="24" spans="1:4">
      <c r="B24">
        <f>GEOMEAN(1.05,1.05,1.1,1.1)-1</f>
        <v>7.4709263010233951E-2</v>
      </c>
      <c r="D24" s="23" t="s">
        <v>1173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287"/>
  <dimension ref="A1:L23"/>
  <sheetViews>
    <sheetView workbookViewId="0"/>
  </sheetViews>
  <sheetFormatPr defaultRowHeight="14.4"/>
  <cols>
    <col min="1" max="1" width="17.6640625" customWidth="1"/>
  </cols>
  <sheetData>
    <row r="1" spans="1:12">
      <c r="A1" s="1" t="s">
        <v>3207</v>
      </c>
    </row>
    <row r="3" spans="1:12">
      <c r="B3" s="1178">
        <v>5</v>
      </c>
      <c r="E3" s="1178">
        <v>5</v>
      </c>
      <c r="J3" s="19" t="s">
        <v>3768</v>
      </c>
      <c r="K3" s="19" t="s">
        <v>3769</v>
      </c>
      <c r="L3" s="19" t="s">
        <v>3770</v>
      </c>
    </row>
    <row r="4" spans="1:12">
      <c r="B4" s="627">
        <v>2</v>
      </c>
      <c r="E4" s="627">
        <v>2</v>
      </c>
      <c r="J4" s="1236">
        <v>5</v>
      </c>
      <c r="K4" s="1234">
        <v>5</v>
      </c>
      <c r="L4" s="1237">
        <v>5</v>
      </c>
    </row>
    <row r="5" spans="1:12">
      <c r="B5" s="627">
        <v>-1</v>
      </c>
      <c r="E5" s="627">
        <v>-1</v>
      </c>
      <c r="J5" s="656">
        <v>2</v>
      </c>
      <c r="K5" s="8">
        <v>2</v>
      </c>
      <c r="L5" s="657">
        <v>2</v>
      </c>
    </row>
    <row r="6" spans="1:12">
      <c r="B6" s="627">
        <v>3</v>
      </c>
      <c r="E6" s="627">
        <v>3</v>
      </c>
      <c r="J6" s="656">
        <v>-1</v>
      </c>
      <c r="K6" s="8">
        <v>-1</v>
      </c>
      <c r="L6" s="657">
        <v>-1</v>
      </c>
    </row>
    <row r="7" spans="1:12">
      <c r="B7" s="627">
        <v>4</v>
      </c>
      <c r="E7" s="627">
        <v>4</v>
      </c>
      <c r="J7" s="656">
        <v>3</v>
      </c>
      <c r="K7" s="8">
        <v>3</v>
      </c>
      <c r="L7" s="657">
        <v>3</v>
      </c>
    </row>
    <row r="8" spans="1:12">
      <c r="B8" s="627">
        <v>5</v>
      </c>
      <c r="E8" s="627">
        <v>5</v>
      </c>
      <c r="J8" s="656">
        <v>7</v>
      </c>
      <c r="K8" s="8">
        <v>7</v>
      </c>
      <c r="L8" s="657">
        <v>7</v>
      </c>
    </row>
    <row r="9" spans="1:12">
      <c r="B9" s="627">
        <v>0</v>
      </c>
      <c r="E9" s="627">
        <v>0</v>
      </c>
      <c r="J9" s="656">
        <v>5</v>
      </c>
      <c r="K9" s="8">
        <v>5</v>
      </c>
      <c r="L9" s="657">
        <v>8</v>
      </c>
    </row>
    <row r="10" spans="1:12">
      <c r="B10" s="544">
        <v>2</v>
      </c>
      <c r="E10" s="544">
        <v>2</v>
      </c>
      <c r="J10" s="656">
        <v>0</v>
      </c>
      <c r="K10" s="8">
        <v>0</v>
      </c>
      <c r="L10" s="657">
        <v>0</v>
      </c>
    </row>
    <row r="11" spans="1:12">
      <c r="J11" s="533"/>
      <c r="K11" s="1078">
        <v>2</v>
      </c>
      <c r="L11" s="541">
        <v>6</v>
      </c>
    </row>
    <row r="12" spans="1:12">
      <c r="A12" t="s">
        <v>3201</v>
      </c>
      <c r="B12" s="756">
        <f>AVERAGE(B3:B10)</f>
        <v>2.5</v>
      </c>
      <c r="D12" t="s">
        <v>3202</v>
      </c>
      <c r="E12" s="756">
        <f>MEDIAN(E3:E10)</f>
        <v>2.5</v>
      </c>
    </row>
    <row r="13" spans="1:12">
      <c r="I13" t="s">
        <v>554</v>
      </c>
      <c r="J13" s="1236" t="e">
        <f t="array" aca="1" ref="J13:L13" ca="1">[1]!COUNTCOL(J4:L11)</f>
        <v>#NAME?</v>
      </c>
      <c r="K13" s="1234" t="e">
        <f ca="1"/>
        <v>#NAME?</v>
      </c>
      <c r="L13" s="1237" t="e">
        <f ca="1"/>
        <v>#NAME?</v>
      </c>
    </row>
    <row r="14" spans="1:12">
      <c r="A14" t="s">
        <v>3774</v>
      </c>
      <c r="B14" s="1235">
        <f>VAR(B3:B10)</f>
        <v>4.8571428571428568</v>
      </c>
      <c r="D14" t="s">
        <v>93</v>
      </c>
      <c r="E14" s="756" t="e">
        <f ca="1">[1]!MAD(E3:E10)</f>
        <v>#NAME?</v>
      </c>
      <c r="I14" t="s">
        <v>63</v>
      </c>
      <c r="J14" s="656" t="e">
        <f t="array" aca="1" ref="J14:L14" ca="1">[1]!MEANCOL(J4:L11)</f>
        <v>#NAME?</v>
      </c>
      <c r="K14" s="8" t="e">
        <f ca="1"/>
        <v>#NAME?</v>
      </c>
      <c r="L14" s="657" t="e">
        <f ca="1"/>
        <v>#NAME?</v>
      </c>
    </row>
    <row r="15" spans="1:12">
      <c r="A15" t="s">
        <v>3775</v>
      </c>
      <c r="B15" s="544">
        <f>VARP(B3:B10)</f>
        <v>4.25</v>
      </c>
      <c r="I15" t="s">
        <v>1533</v>
      </c>
      <c r="J15" s="656" t="e">
        <f t="array" aca="1" ref="J15:L15" ca="1">[1]!VARCOL(J4:L11)</f>
        <v>#NAME?</v>
      </c>
      <c r="K15" s="8" t="e">
        <f ca="1"/>
        <v>#NAME?</v>
      </c>
      <c r="L15" s="657" t="e">
        <f ca="1"/>
        <v>#NAME?</v>
      </c>
    </row>
    <row r="16" spans="1:12">
      <c r="D16" t="s">
        <v>3210</v>
      </c>
      <c r="E16" s="1235">
        <f>MIN(E3:E10)</f>
        <v>-1</v>
      </c>
      <c r="I16" t="s">
        <v>67</v>
      </c>
      <c r="J16" s="533" t="e">
        <f t="array" aca="1" ref="J16:L16" ca="1">[1]!STDEVCOL(J4:L11)</f>
        <v>#NAME?</v>
      </c>
      <c r="K16" s="1078" t="e">
        <f ca="1"/>
        <v>#NAME?</v>
      </c>
      <c r="L16" s="541" t="e">
        <f ca="1"/>
        <v>#NAME?</v>
      </c>
    </row>
    <row r="17" spans="1:6">
      <c r="A17" t="s">
        <v>3776</v>
      </c>
      <c r="B17" s="1235">
        <f>STDEV(B3:B10)</f>
        <v>2.2038926600773587</v>
      </c>
      <c r="D17" t="s">
        <v>3211</v>
      </c>
      <c r="E17" s="627">
        <f>MAX(E3:E10)</f>
        <v>5</v>
      </c>
    </row>
    <row r="18" spans="1:6">
      <c r="A18" t="s">
        <v>3777</v>
      </c>
      <c r="B18" s="544">
        <f>STDEVP(B3:B10)</f>
        <v>2.0615528128088303</v>
      </c>
      <c r="D18" t="s">
        <v>3212</v>
      </c>
      <c r="E18" s="544" t="e">
        <f ca="1">[1]!RNG(E3:E10)</f>
        <v>#NAME?</v>
      </c>
    </row>
    <row r="20" spans="1:6">
      <c r="A20" t="s">
        <v>3208</v>
      </c>
      <c r="B20" s="756">
        <f>DEVSQ(B3:B10)</f>
        <v>34</v>
      </c>
      <c r="E20" s="19" t="s">
        <v>3457</v>
      </c>
      <c r="F20" s="19" t="s">
        <v>3458</v>
      </c>
    </row>
    <row r="21" spans="1:6">
      <c r="D21" t="s">
        <v>166</v>
      </c>
      <c r="E21" s="1236">
        <f>QUARTILE(E3:E10,1)</f>
        <v>1.5</v>
      </c>
      <c r="F21" s="1237">
        <f>_xlfn.QUARTILE.EXC(E3:E10,1)</f>
        <v>0.5</v>
      </c>
    </row>
    <row r="22" spans="1:6">
      <c r="A22" t="s">
        <v>3209</v>
      </c>
      <c r="B22" s="756">
        <f>AVEDEV(B3:B10)</f>
        <v>1.75</v>
      </c>
      <c r="D22" t="s">
        <v>1398</v>
      </c>
      <c r="E22" s="656">
        <f>QUARTILE(E3:E10,3)</f>
        <v>4.25</v>
      </c>
      <c r="F22" s="657">
        <f>_xlfn.QUARTILE.EXC(E3:E10,3)</f>
        <v>4.75</v>
      </c>
    </row>
    <row r="23" spans="1:6">
      <c r="D23" t="s">
        <v>94</v>
      </c>
      <c r="E23" s="533" t="e">
        <f ca="1">[1]!Iqr(E3:E10)</f>
        <v>#NAME?</v>
      </c>
      <c r="F23" s="541" t="e">
        <f ca="1">[1]!Iqr(E3:E10,TRUE)</f>
        <v>#NAME?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9"/>
  <dimension ref="A1:F15"/>
  <sheetViews>
    <sheetView workbookViewId="0"/>
  </sheetViews>
  <sheetFormatPr defaultRowHeight="14.4"/>
  <cols>
    <col min="1" max="1" width="7.5546875" customWidth="1"/>
    <col min="2" max="4" width="9.5546875" customWidth="1"/>
    <col min="5" max="5" width="3.44140625" customWidth="1"/>
    <col min="6" max="6" width="9.44140625" customWidth="1"/>
  </cols>
  <sheetData>
    <row r="1" spans="1:6">
      <c r="A1" s="1" t="s">
        <v>59</v>
      </c>
    </row>
    <row r="3" spans="1:6">
      <c r="B3" s="440" t="s">
        <v>60</v>
      </c>
      <c r="C3" s="440" t="s">
        <v>61</v>
      </c>
      <c r="F3" s="440" t="s">
        <v>62</v>
      </c>
    </row>
    <row r="4" spans="1:6">
      <c r="B4" s="461">
        <v>3</v>
      </c>
      <c r="C4" s="462">
        <v>6</v>
      </c>
      <c r="F4" s="463">
        <v>3</v>
      </c>
    </row>
    <row r="5" spans="1:6">
      <c r="B5" s="360">
        <v>4</v>
      </c>
      <c r="C5" s="88">
        <v>1</v>
      </c>
      <c r="F5" s="430">
        <v>4</v>
      </c>
    </row>
    <row r="6" spans="1:6">
      <c r="B6" s="360">
        <v>6</v>
      </c>
      <c r="C6" s="88">
        <v>5</v>
      </c>
      <c r="F6" s="430">
        <v>6</v>
      </c>
    </row>
    <row r="7" spans="1:6">
      <c r="B7" s="89">
        <v>7</v>
      </c>
      <c r="C7" s="90"/>
      <c r="F7" s="430">
        <v>7</v>
      </c>
    </row>
    <row r="8" spans="1:6">
      <c r="F8" s="430">
        <v>6</v>
      </c>
    </row>
    <row r="9" spans="1:6">
      <c r="F9" s="430">
        <v>1</v>
      </c>
    </row>
    <row r="10" spans="1:6">
      <c r="F10" s="299">
        <v>5</v>
      </c>
    </row>
    <row r="11" spans="1:6">
      <c r="B11" s="440" t="s">
        <v>60</v>
      </c>
      <c r="C11" s="440" t="s">
        <v>61</v>
      </c>
      <c r="D11" s="440" t="s">
        <v>62</v>
      </c>
    </row>
    <row r="12" spans="1:6">
      <c r="A12" t="s">
        <v>65</v>
      </c>
      <c r="B12" s="464">
        <f>COUNT(B4:B10)</f>
        <v>4</v>
      </c>
      <c r="C12" s="465">
        <f>COUNT(C4:C10)</f>
        <v>3</v>
      </c>
      <c r="D12" s="466">
        <f>F12</f>
        <v>7</v>
      </c>
      <c r="F12" s="467">
        <f>COUNT(F4:F10)</f>
        <v>7</v>
      </c>
    </row>
    <row r="13" spans="1:6">
      <c r="A13" t="s">
        <v>63</v>
      </c>
      <c r="B13" s="377">
        <f>AVERAGE(B4:B10)</f>
        <v>5</v>
      </c>
      <c r="C13" s="8">
        <f>AVERAGE(C4:C10)</f>
        <v>4</v>
      </c>
      <c r="D13" s="9">
        <f>(B13*B12+C13*C12)/(B12+C12)</f>
        <v>4.5714285714285712</v>
      </c>
      <c r="F13" s="376">
        <f>AVERAGE(F4:F10)</f>
        <v>4.5714285714285712</v>
      </c>
    </row>
    <row r="14" spans="1:6">
      <c r="A14" t="s">
        <v>66</v>
      </c>
      <c r="B14" s="377">
        <f>VAR(B4:B10)</f>
        <v>3.3333333333333335</v>
      </c>
      <c r="C14" s="8">
        <f>VAR(C4:C10)</f>
        <v>7</v>
      </c>
      <c r="D14" s="9">
        <f>((B12-1)*B14+(C12-1)*C14)/(B12+C12-1)+B12*C12*(B13-C13)^2/((B12+C12)*(B12+C12-1))</f>
        <v>4.2857142857142856</v>
      </c>
      <c r="F14" s="376">
        <f>VAR(F4:F10)</f>
        <v>4.2857142857142874</v>
      </c>
    </row>
    <row r="15" spans="1:6">
      <c r="A15" t="s">
        <v>67</v>
      </c>
      <c r="B15" s="10">
        <f>STDEV(B4:B10)</f>
        <v>1.8257418583505538</v>
      </c>
      <c r="C15" s="11">
        <f>STDEV(C4:C10)</f>
        <v>2.6457513110645907</v>
      </c>
      <c r="D15" s="12">
        <f>SQRT(D14)</f>
        <v>2.0701966780270626</v>
      </c>
      <c r="F15" s="268">
        <f>STDEV(F4:F10)</f>
        <v>2.0701966780270631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88"/>
  <dimension ref="A1:B14"/>
  <sheetViews>
    <sheetView workbookViewId="0"/>
  </sheetViews>
  <sheetFormatPr defaultRowHeight="14.4"/>
  <sheetData>
    <row r="1" spans="1:2">
      <c r="A1" s="1" t="s">
        <v>561</v>
      </c>
    </row>
    <row r="3" spans="1:2">
      <c r="B3" s="1178">
        <v>2</v>
      </c>
    </row>
    <row r="4" spans="1:2">
      <c r="B4" s="627">
        <v>5</v>
      </c>
    </row>
    <row r="5" spans="1:2">
      <c r="B5" s="627">
        <v>-1</v>
      </c>
    </row>
    <row r="6" spans="1:2">
      <c r="B6" s="627">
        <v>3</v>
      </c>
    </row>
    <row r="7" spans="1:2">
      <c r="B7" s="627">
        <v>4</v>
      </c>
    </row>
    <row r="8" spans="1:2">
      <c r="B8" s="627">
        <v>5</v>
      </c>
    </row>
    <row r="9" spans="1:2">
      <c r="B9" s="627">
        <v>0</v>
      </c>
    </row>
    <row r="10" spans="1:2">
      <c r="B10" s="544">
        <v>2</v>
      </c>
    </row>
    <row r="12" spans="1:2">
      <c r="A12" t="s">
        <v>3213</v>
      </c>
      <c r="B12">
        <f>SKEW(B3:B10)</f>
        <v>-0.42705186492848496</v>
      </c>
    </row>
    <row r="14" spans="1:2">
      <c r="A14" t="s">
        <v>3214</v>
      </c>
      <c r="B14">
        <f>KURT(B3:B10)</f>
        <v>-0.93979238754325056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289"/>
  <dimension ref="A1:O23"/>
  <sheetViews>
    <sheetView workbookViewId="0"/>
  </sheetViews>
  <sheetFormatPr defaultRowHeight="14.4"/>
  <cols>
    <col min="5" max="5" width="7.6640625" customWidth="1"/>
  </cols>
  <sheetData>
    <row r="1" spans="1:15">
      <c r="A1" s="1" t="s">
        <v>2004</v>
      </c>
      <c r="B1" s="1"/>
      <c r="J1" t="s">
        <v>707</v>
      </c>
      <c r="N1" t="s">
        <v>3232</v>
      </c>
    </row>
    <row r="2" spans="1:15">
      <c r="E2" s="19" t="s">
        <v>211</v>
      </c>
      <c r="F2" s="19" t="s">
        <v>71</v>
      </c>
      <c r="G2" s="19" t="s">
        <v>2630</v>
      </c>
      <c r="H2" s="1183"/>
    </row>
    <row r="3" spans="1:15">
      <c r="C3" s="1178">
        <v>4</v>
      </c>
      <c r="E3" s="1178">
        <v>4</v>
      </c>
      <c r="F3" s="1236">
        <f>RANK(E3,$E$3:$E$7)</f>
        <v>3</v>
      </c>
      <c r="G3" s="1237">
        <f>RANK(E3,$E$3:$E$7,1)</f>
        <v>3</v>
      </c>
      <c r="J3" s="1183" t="s">
        <v>3220</v>
      </c>
      <c r="K3" s="1183" t="s">
        <v>3219</v>
      </c>
      <c r="N3" s="1185" t="s">
        <v>3230</v>
      </c>
      <c r="O3" s="1185" t="s">
        <v>3231</v>
      </c>
    </row>
    <row r="4" spans="1:15">
      <c r="C4" s="627">
        <v>0</v>
      </c>
      <c r="E4" s="627">
        <v>0</v>
      </c>
      <c r="F4" s="656">
        <f>RANK(E4,$E$3:$E$7)</f>
        <v>4</v>
      </c>
      <c r="G4" s="657">
        <f>RANK(E4,$E$3:$E$7,1)</f>
        <v>2</v>
      </c>
      <c r="I4" s="22">
        <v>0</v>
      </c>
      <c r="J4" s="1236">
        <f>PERCENTILE($E$3:$E$7,I4)</f>
        <v>-1</v>
      </c>
      <c r="K4" s="1237" t="e">
        <f>_xlfn.PERCENTILE.EXC($E$3:$E$7,I4)</f>
        <v>#NUM!</v>
      </c>
      <c r="M4">
        <v>0</v>
      </c>
      <c r="N4" s="1067">
        <f>QUARTILE($E$3:$E$7,M4)</f>
        <v>-1</v>
      </c>
      <c r="O4" s="1071" t="e">
        <f>_xlfn.QUARTILE.EXC($E$3:$E$7,M4)</f>
        <v>#NUM!</v>
      </c>
    </row>
    <row r="5" spans="1:15">
      <c r="C5" s="627">
        <v>-1</v>
      </c>
      <c r="E5" s="627">
        <v>-1</v>
      </c>
      <c r="F5" s="656">
        <f>RANK(E5,$E$3:$E$7)</f>
        <v>5</v>
      </c>
      <c r="G5" s="657">
        <f>RANK(E5,$E$3:$E$7,1)</f>
        <v>1</v>
      </c>
      <c r="I5" s="1384">
        <f>I4+0.25</f>
        <v>0.25</v>
      </c>
      <c r="J5" s="656">
        <f>PERCENTILE($E$3:$E$7,I5)</f>
        <v>0</v>
      </c>
      <c r="K5" s="657">
        <f>_xlfn.PERCENTILE.EXC($E$3:$E$7,I5)</f>
        <v>-0.5</v>
      </c>
      <c r="M5">
        <v>1</v>
      </c>
      <c r="N5" s="656">
        <f>QUARTILE($E$3:$E$7,M5)</f>
        <v>0</v>
      </c>
      <c r="O5" s="657">
        <f>_xlfn.QUARTILE.EXC($E$3:$E$7,M5)</f>
        <v>-0.5</v>
      </c>
    </row>
    <row r="6" spans="1:15">
      <c r="C6" s="627">
        <v>7</v>
      </c>
      <c r="E6" s="627">
        <v>7</v>
      </c>
      <c r="F6" s="656">
        <f>RANK(E6,$E$3:$E$7)</f>
        <v>1</v>
      </c>
      <c r="G6" s="657">
        <f>RANK(E6,$E$3:$E$7,1)</f>
        <v>5</v>
      </c>
      <c r="I6" s="1384">
        <f>I5+0.25</f>
        <v>0.5</v>
      </c>
      <c r="J6" s="656">
        <f>PERCENTILE($E$3:$E$7,I6)</f>
        <v>4</v>
      </c>
      <c r="K6" s="657">
        <f>_xlfn.PERCENTILE.EXC($E$3:$E$7,I6)</f>
        <v>4</v>
      </c>
      <c r="M6">
        <v>2</v>
      </c>
      <c r="N6" s="656">
        <f>QUARTILE($E$3:$E$7,M6)</f>
        <v>4</v>
      </c>
      <c r="O6" s="657">
        <f>_xlfn.QUARTILE.EXC($E$3:$E$7,M6)</f>
        <v>4</v>
      </c>
    </row>
    <row r="7" spans="1:15">
      <c r="C7" s="544">
        <v>5</v>
      </c>
      <c r="E7" s="544">
        <v>5</v>
      </c>
      <c r="F7" s="533">
        <f>RANK(E7,$E$3:$E$7)</f>
        <v>2</v>
      </c>
      <c r="G7" s="541">
        <f>RANK(E7,$E$3:$E$7,1)</f>
        <v>4</v>
      </c>
      <c r="I7" s="1384">
        <f>I6+0.25</f>
        <v>0.75</v>
      </c>
      <c r="J7" s="656">
        <f>PERCENTILE($E$3:$E$7,I7)</f>
        <v>5</v>
      </c>
      <c r="K7" s="657">
        <f>_xlfn.PERCENTILE.EXC($E$3:$E$7,I7)</f>
        <v>6</v>
      </c>
      <c r="M7">
        <v>3</v>
      </c>
      <c r="N7" s="656">
        <f>QUARTILE($E$3:$E$7,M7)</f>
        <v>5</v>
      </c>
      <c r="O7" s="657">
        <f>_xlfn.QUARTILE.EXC($E$3:$E$7,M7)</f>
        <v>6</v>
      </c>
    </row>
    <row r="8" spans="1:15">
      <c r="I8" s="1384">
        <f>I7+0.25</f>
        <v>1</v>
      </c>
      <c r="J8" s="533">
        <f>PERCENTILE($E$3:$E$7,I8)</f>
        <v>7</v>
      </c>
      <c r="K8" s="541" t="e">
        <f>_xlfn.PERCENTILE.EXC($E$3:$E$7,I8)</f>
        <v>#NUM!</v>
      </c>
      <c r="M8">
        <v>4</v>
      </c>
      <c r="N8" s="533">
        <f>QUARTILE($E$3:$E$7,M8)</f>
        <v>7</v>
      </c>
      <c r="O8" s="541" t="e">
        <f>_xlfn.QUARTILE.EXC($E$3:$E$7,M8)</f>
        <v>#NUM!</v>
      </c>
    </row>
    <row r="9" spans="1:15">
      <c r="A9" t="s">
        <v>3210</v>
      </c>
      <c r="C9">
        <f>MIN(C3:C7)</f>
        <v>-1</v>
      </c>
      <c r="E9" s="19" t="s">
        <v>211</v>
      </c>
      <c r="F9" s="19" t="s">
        <v>71</v>
      </c>
      <c r="G9" s="19" t="s">
        <v>2630</v>
      </c>
      <c r="H9" s="1183"/>
      <c r="I9" s="1384"/>
    </row>
    <row r="10" spans="1:15">
      <c r="A10" t="s">
        <v>3211</v>
      </c>
      <c r="C10">
        <f>MAX(C3:C7)</f>
        <v>7</v>
      </c>
      <c r="E10" s="1178">
        <v>1</v>
      </c>
      <c r="F10" s="1236" t="e">
        <f ca="1">[1]!RANK_AVG(E10,$E$10:$E$14)</f>
        <v>#NAME?</v>
      </c>
      <c r="G10" s="1237" t="e">
        <f ca="1">[1]!RANK_AVG(E10,$E$10:$E$14,1)</f>
        <v>#NAME?</v>
      </c>
      <c r="I10" s="1384">
        <v>0.45</v>
      </c>
      <c r="J10" s="1236">
        <f>PERCENTILE($E$3:$E$7,I10)</f>
        <v>3.1999999999999993</v>
      </c>
      <c r="K10" s="1237">
        <f>_xlfn.PERCENTILE.EXC($E$3:$E$7,I10)</f>
        <v>2.8000000000000007</v>
      </c>
    </row>
    <row r="11" spans="1:15">
      <c r="B11" s="19" t="s">
        <v>169</v>
      </c>
      <c r="E11" s="627">
        <v>5</v>
      </c>
      <c r="F11" s="656" t="e">
        <f ca="1">[1]!RANK_AVG(E11,$E$10:$E$14)</f>
        <v>#NAME?</v>
      </c>
      <c r="G11" s="657" t="e">
        <f ca="1">[1]!RANK_AVG(E11,$E$10:$E$14,1)</f>
        <v>#NAME?</v>
      </c>
      <c r="I11" s="1384">
        <v>0.8</v>
      </c>
      <c r="J11" s="533">
        <f>PERCENTILE($E$3:$E$7,I11)</f>
        <v>5.4</v>
      </c>
      <c r="K11" s="541">
        <f>_xlfn.PERCENTILE.EXC($E$3:$E$7,I11)</f>
        <v>6.6000000000000014</v>
      </c>
    </row>
    <row r="12" spans="1:15">
      <c r="A12" t="s">
        <v>3215</v>
      </c>
      <c r="B12">
        <v>1</v>
      </c>
      <c r="C12">
        <f>SMALL($C$3:$C$7,B12)</f>
        <v>-1</v>
      </c>
      <c r="E12" s="627">
        <v>5</v>
      </c>
      <c r="F12" s="656" t="e">
        <f ca="1">[1]!RANK_AVG(E12,$E$10:$E$14)</f>
        <v>#NAME?</v>
      </c>
      <c r="G12" s="657" t="e">
        <f ca="1">[1]!RANK_AVG(E12,$E$10:$E$14,1)</f>
        <v>#NAME?</v>
      </c>
    </row>
    <row r="13" spans="1:15">
      <c r="B13">
        <f>B12+1</f>
        <v>2</v>
      </c>
      <c r="C13">
        <f>SMALL($C$3:$C$7,B13)</f>
        <v>0</v>
      </c>
      <c r="E13" s="627">
        <v>0</v>
      </c>
      <c r="F13" s="656" t="e">
        <f ca="1">[1]!RANK_AVG(E13,$E$10:$E$14)</f>
        <v>#NAME?</v>
      </c>
      <c r="G13" s="657" t="e">
        <f ca="1">[1]!RANK_AVG(E13,$E$10:$E$14,1)</f>
        <v>#NAME?</v>
      </c>
    </row>
    <row r="14" spans="1:15">
      <c r="B14">
        <f>B13+1</f>
        <v>3</v>
      </c>
      <c r="C14">
        <f>SMALL($C$3:$C$7,B14)</f>
        <v>4</v>
      </c>
      <c r="E14" s="544">
        <v>8</v>
      </c>
      <c r="F14" s="533" t="e">
        <f ca="1">[1]!RANK_AVG(E14,$E$10:$E$14)</f>
        <v>#NAME?</v>
      </c>
      <c r="G14" s="541" t="e">
        <f ca="1">[1]!RANK_AVG(E14,$E$10:$E$14,1)</f>
        <v>#NAME?</v>
      </c>
    </row>
    <row r="15" spans="1:15">
      <c r="B15">
        <f>B14+1</f>
        <v>4</v>
      </c>
      <c r="C15">
        <f>SMALL($C$3:$C$7,B15)</f>
        <v>5</v>
      </c>
    </row>
    <row r="16" spans="1:15">
      <c r="B16">
        <f>B15+1</f>
        <v>5</v>
      </c>
      <c r="C16">
        <f>SMALL($C$3:$C$7,B16)</f>
        <v>7</v>
      </c>
      <c r="E16" s="19" t="s">
        <v>211</v>
      </c>
      <c r="F16" s="19" t="s">
        <v>71</v>
      </c>
      <c r="G16" s="19" t="s">
        <v>2630</v>
      </c>
      <c r="H16" s="1183"/>
    </row>
    <row r="17" spans="1:7">
      <c r="E17" s="1178">
        <v>1</v>
      </c>
      <c r="F17" s="1382" t="e">
        <f ca="1">[1]!RANK_AVG(E17,$E$17:$E$23)</f>
        <v>#NAME?</v>
      </c>
      <c r="G17" s="1383" t="e">
        <f ca="1">[1]!RANK_AVG(E17,$E$17:$E$23,1)</f>
        <v>#NAME?</v>
      </c>
    </row>
    <row r="18" spans="1:7">
      <c r="A18" t="s">
        <v>3216</v>
      </c>
      <c r="B18" s="19" t="s">
        <v>169</v>
      </c>
      <c r="E18" s="627">
        <v>5</v>
      </c>
      <c r="F18" s="680" t="e">
        <f ca="1">[1]!RANK_AVG(E18,$E$17:$E$23)</f>
        <v>#NAME?</v>
      </c>
      <c r="G18" s="681" t="e">
        <f ca="1">[1]!RANK_AVG(E18,$E$17:$E$23,1)</f>
        <v>#NAME?</v>
      </c>
    </row>
    <row r="19" spans="1:7">
      <c r="B19">
        <v>1</v>
      </c>
      <c r="C19">
        <f>LARGE($C$3:$C$7,B19)</f>
        <v>7</v>
      </c>
      <c r="E19" s="627">
        <v>5</v>
      </c>
      <c r="F19" s="680" t="e">
        <f ca="1">[1]!RANK_AVG(E19,$E$17:$E$23)</f>
        <v>#NAME?</v>
      </c>
      <c r="G19" s="681" t="e">
        <f ca="1">[1]!RANK_AVG(E19,$E$17:$E$23,1)</f>
        <v>#NAME?</v>
      </c>
    </row>
    <row r="20" spans="1:7">
      <c r="B20">
        <f>B19+1</f>
        <v>2</v>
      </c>
      <c r="C20">
        <f>LARGE($C$3:$C$7,B20)</f>
        <v>5</v>
      </c>
      <c r="E20" s="627">
        <v>0</v>
      </c>
      <c r="F20" s="680" t="e">
        <f ca="1">[1]!RANK_AVG(E20,$E$17:$E$23)</f>
        <v>#NAME?</v>
      </c>
      <c r="G20" s="681" t="e">
        <f ca="1">[1]!RANK_AVG(E20,$E$17:$E$23,1)</f>
        <v>#NAME?</v>
      </c>
    </row>
    <row r="21" spans="1:7">
      <c r="B21">
        <f>B20+1</f>
        <v>3</v>
      </c>
      <c r="C21">
        <f>LARGE($C$3:$C$7,B21)</f>
        <v>4</v>
      </c>
      <c r="E21" s="627">
        <v>8</v>
      </c>
      <c r="F21" s="680" t="e">
        <f ca="1">[1]!RANK_AVG(E21,$E$17:$E$23)</f>
        <v>#NAME?</v>
      </c>
      <c r="G21" s="681" t="e">
        <f ca="1">[1]!RANK_AVG(E21,$E$17:$E$23,1)</f>
        <v>#NAME?</v>
      </c>
    </row>
    <row r="22" spans="1:7">
      <c r="B22">
        <f>B21+1</f>
        <v>4</v>
      </c>
      <c r="C22">
        <f>LARGE($C$3:$C$7,B22)</f>
        <v>0</v>
      </c>
      <c r="E22" s="1187">
        <v>8</v>
      </c>
      <c r="F22" s="680" t="e">
        <f ca="1">[1]!RANK_AVG(E22,$E$17:$E$23)</f>
        <v>#NAME?</v>
      </c>
      <c r="G22" s="681" t="e">
        <f ca="1">[1]!RANK_AVG(E22,$E$17:$E$23,1)</f>
        <v>#NAME?</v>
      </c>
    </row>
    <row r="23" spans="1:7">
      <c r="B23">
        <f>B22+1</f>
        <v>5</v>
      </c>
      <c r="C23">
        <f>LARGE($C$3:$C$7,B23)</f>
        <v>-1</v>
      </c>
      <c r="E23" s="1188">
        <v>5</v>
      </c>
      <c r="F23" s="682" t="e">
        <f ca="1">[1]!RANK_AVG(E23,$E$17:$E$23)</f>
        <v>#NAME?</v>
      </c>
      <c r="G23" s="684" t="e">
        <f ca="1">[1]!RANK_AVG(E23,$E$17:$E$23,1)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0"/>
  <dimension ref="A1:AC15"/>
  <sheetViews>
    <sheetView workbookViewId="0"/>
  </sheetViews>
  <sheetFormatPr defaultRowHeight="14.4"/>
  <cols>
    <col min="2" max="13" width="5" customWidth="1"/>
    <col min="27" max="27" width="5.88671875" customWidth="1"/>
  </cols>
  <sheetData>
    <row r="1" spans="1:29">
      <c r="A1" s="1" t="s">
        <v>68</v>
      </c>
      <c r="O1" t="s">
        <v>3217</v>
      </c>
      <c r="T1" t="s">
        <v>3218</v>
      </c>
      <c r="Y1" t="s">
        <v>3221</v>
      </c>
      <c r="AB1" t="s">
        <v>3222</v>
      </c>
    </row>
    <row r="2" spans="1:29" ht="15" thickBot="1"/>
    <row r="3" spans="1:29">
      <c r="A3" t="s">
        <v>70</v>
      </c>
      <c r="B3">
        <v>54</v>
      </c>
      <c r="C3">
        <v>67</v>
      </c>
      <c r="D3">
        <v>34</v>
      </c>
      <c r="E3">
        <v>54</v>
      </c>
      <c r="F3">
        <v>94</v>
      </c>
      <c r="G3">
        <v>55</v>
      </c>
      <c r="H3">
        <v>32</v>
      </c>
      <c r="I3">
        <v>45</v>
      </c>
      <c r="J3">
        <v>87</v>
      </c>
      <c r="K3">
        <v>64</v>
      </c>
      <c r="L3">
        <v>39</v>
      </c>
      <c r="M3">
        <v>60</v>
      </c>
      <c r="O3" s="27" t="s">
        <v>69</v>
      </c>
      <c r="P3" s="27" t="s">
        <v>70</v>
      </c>
      <c r="Q3" s="27" t="s">
        <v>71</v>
      </c>
      <c r="R3" s="27" t="s">
        <v>72</v>
      </c>
      <c r="T3" s="1184" t="s">
        <v>70</v>
      </c>
      <c r="U3" s="1184" t="s">
        <v>71</v>
      </c>
      <c r="V3" s="1184" t="s">
        <v>3220</v>
      </c>
      <c r="W3" s="1184" t="s">
        <v>3219</v>
      </c>
      <c r="Y3" s="1184" t="s">
        <v>707</v>
      </c>
      <c r="Z3" s="1184" t="s">
        <v>131</v>
      </c>
      <c r="AB3" s="1184" t="s">
        <v>707</v>
      </c>
      <c r="AC3" s="1184" t="s">
        <v>131</v>
      </c>
    </row>
    <row r="4" spans="1:29">
      <c r="O4" s="28">
        <v>5</v>
      </c>
      <c r="P4" s="29">
        <v>94</v>
      </c>
      <c r="Q4" s="28">
        <v>1</v>
      </c>
      <c r="R4" s="30">
        <v>1</v>
      </c>
      <c r="T4" s="29">
        <v>94</v>
      </c>
      <c r="U4" s="28">
        <f t="shared" ref="U4:U15" si="0">RANK(T4,$T$4:$T$15)</f>
        <v>1</v>
      </c>
      <c r="V4" s="30">
        <f t="shared" ref="V4:V15" si="1">PERCENTRANK($T$4:$T$15,T4)</f>
        <v>1</v>
      </c>
      <c r="W4" s="30">
        <f t="shared" ref="W4:W15" si="2">_xlfn.PERCENTRANK.EXC($T$4:$T$15,T4)</f>
        <v>0.92300000000000004</v>
      </c>
      <c r="Y4" s="1189">
        <v>0</v>
      </c>
      <c r="Z4" s="29">
        <f>PERCENTILE($B$3:$M$3,Y4)</f>
        <v>32</v>
      </c>
      <c r="AB4" s="1189">
        <v>0</v>
      </c>
      <c r="AC4" s="29" t="e">
        <f>_xlfn.PERCENTILE.EXC($B$3:$M$3,AB4)</f>
        <v>#NUM!</v>
      </c>
    </row>
    <row r="5" spans="1:29">
      <c r="O5" s="28">
        <v>9</v>
      </c>
      <c r="P5" s="29">
        <v>87</v>
      </c>
      <c r="Q5" s="28">
        <v>2</v>
      </c>
      <c r="R5" s="30">
        <v>0.90900000000000003</v>
      </c>
      <c r="T5" s="29">
        <v>87</v>
      </c>
      <c r="U5" s="28">
        <f t="shared" si="0"/>
        <v>2</v>
      </c>
      <c r="V5" s="30">
        <f t="shared" si="1"/>
        <v>0.90900000000000003</v>
      </c>
      <c r="W5" s="30">
        <f t="shared" si="2"/>
        <v>0.84599999999999997</v>
      </c>
      <c r="Y5" s="1189">
        <f>Y4+0.1</f>
        <v>0.1</v>
      </c>
      <c r="Z5" s="29">
        <f t="shared" ref="Z5:Z14" si="3">PERCENTILE($B$3:$M$3,Y5)</f>
        <v>34.5</v>
      </c>
      <c r="AB5" s="1189">
        <f>AB4+0.1</f>
        <v>0.1</v>
      </c>
      <c r="AC5" s="29">
        <f t="shared" ref="AC5:AC14" si="4">_xlfn.PERCENTILE.EXC($B$3:$M$3,AB5)</f>
        <v>32.6</v>
      </c>
    </row>
    <row r="6" spans="1:29">
      <c r="O6" s="28">
        <v>2</v>
      </c>
      <c r="P6" s="29">
        <v>67</v>
      </c>
      <c r="Q6" s="28">
        <v>3</v>
      </c>
      <c r="R6" s="30">
        <v>0.81799999999999995</v>
      </c>
      <c r="T6" s="29">
        <v>67</v>
      </c>
      <c r="U6" s="28">
        <f t="shared" si="0"/>
        <v>3</v>
      </c>
      <c r="V6" s="30">
        <f t="shared" si="1"/>
        <v>0.81799999999999995</v>
      </c>
      <c r="W6" s="30">
        <f t="shared" si="2"/>
        <v>0.76900000000000002</v>
      </c>
      <c r="Y6" s="1189">
        <f t="shared" ref="Y6:Y14" si="5">Y5+0.1</f>
        <v>0.2</v>
      </c>
      <c r="Z6" s="29">
        <f t="shared" si="3"/>
        <v>40.200000000000003</v>
      </c>
      <c r="AB6" s="1189">
        <f t="shared" ref="AB6:AB14" si="6">AB5+0.1</f>
        <v>0.2</v>
      </c>
      <c r="AC6" s="29">
        <f t="shared" si="4"/>
        <v>37</v>
      </c>
    </row>
    <row r="7" spans="1:29">
      <c r="O7" s="28">
        <v>10</v>
      </c>
      <c r="P7" s="29">
        <v>64</v>
      </c>
      <c r="Q7" s="28">
        <v>4</v>
      </c>
      <c r="R7" s="30">
        <v>0.72699999999999998</v>
      </c>
      <c r="T7" s="29">
        <v>64</v>
      </c>
      <c r="U7" s="28">
        <f t="shared" si="0"/>
        <v>4</v>
      </c>
      <c r="V7" s="30">
        <f t="shared" si="1"/>
        <v>0.72699999999999998</v>
      </c>
      <c r="W7" s="30">
        <f t="shared" si="2"/>
        <v>0.69199999999999995</v>
      </c>
      <c r="Y7" s="1189">
        <f t="shared" si="5"/>
        <v>0.30000000000000004</v>
      </c>
      <c r="Z7" s="29">
        <f t="shared" si="3"/>
        <v>47.7</v>
      </c>
      <c r="AB7" s="1189">
        <f t="shared" si="6"/>
        <v>0.30000000000000004</v>
      </c>
      <c r="AC7" s="29">
        <f t="shared" si="4"/>
        <v>44.400000000000006</v>
      </c>
    </row>
    <row r="8" spans="1:29">
      <c r="O8" s="28">
        <v>12</v>
      </c>
      <c r="P8" s="29">
        <v>60</v>
      </c>
      <c r="Q8" s="28">
        <v>5</v>
      </c>
      <c r="R8" s="30">
        <v>0.63600000000000001</v>
      </c>
      <c r="T8" s="29">
        <v>60</v>
      </c>
      <c r="U8" s="28">
        <f t="shared" si="0"/>
        <v>5</v>
      </c>
      <c r="V8" s="30">
        <f t="shared" si="1"/>
        <v>0.63600000000000001</v>
      </c>
      <c r="W8" s="30">
        <f t="shared" si="2"/>
        <v>0.61499999999999999</v>
      </c>
      <c r="Y8" s="1189">
        <f t="shared" si="5"/>
        <v>0.4</v>
      </c>
      <c r="Z8" s="29">
        <f t="shared" si="3"/>
        <v>54</v>
      </c>
      <c r="AB8" s="1189">
        <f t="shared" si="6"/>
        <v>0.4</v>
      </c>
      <c r="AC8" s="29">
        <f t="shared" si="4"/>
        <v>54</v>
      </c>
    </row>
    <row r="9" spans="1:29">
      <c r="O9" s="28">
        <v>6</v>
      </c>
      <c r="P9" s="29">
        <v>55</v>
      </c>
      <c r="Q9" s="28">
        <v>6</v>
      </c>
      <c r="R9" s="30">
        <v>0.54500000000000004</v>
      </c>
      <c r="T9" s="29">
        <v>55</v>
      </c>
      <c r="U9" s="28">
        <f t="shared" si="0"/>
        <v>6</v>
      </c>
      <c r="V9" s="30">
        <f t="shared" si="1"/>
        <v>0.54500000000000004</v>
      </c>
      <c r="W9" s="30">
        <f t="shared" si="2"/>
        <v>0.53800000000000003</v>
      </c>
      <c r="Y9" s="1189">
        <f t="shared" si="5"/>
        <v>0.5</v>
      </c>
      <c r="Z9" s="29">
        <f t="shared" si="3"/>
        <v>54.5</v>
      </c>
      <c r="AB9" s="1189">
        <f t="shared" si="6"/>
        <v>0.5</v>
      </c>
      <c r="AC9" s="29">
        <f t="shared" si="4"/>
        <v>54.5</v>
      </c>
    </row>
    <row r="10" spans="1:29">
      <c r="O10" s="28">
        <v>1</v>
      </c>
      <c r="P10" s="29">
        <v>54</v>
      </c>
      <c r="Q10" s="28">
        <v>7</v>
      </c>
      <c r="R10" s="30">
        <v>0.36299999999999999</v>
      </c>
      <c r="T10" s="29">
        <v>54</v>
      </c>
      <c r="U10" s="28">
        <f t="shared" si="0"/>
        <v>7</v>
      </c>
      <c r="V10" s="30">
        <f t="shared" si="1"/>
        <v>0.36299999999999999</v>
      </c>
      <c r="W10" s="30">
        <f t="shared" si="2"/>
        <v>0.38400000000000001</v>
      </c>
      <c r="Y10" s="1189">
        <f t="shared" si="5"/>
        <v>0.6</v>
      </c>
      <c r="Z10" s="29">
        <f t="shared" si="3"/>
        <v>58</v>
      </c>
      <c r="AB10" s="1189">
        <f t="shared" si="6"/>
        <v>0.6</v>
      </c>
      <c r="AC10" s="29">
        <f t="shared" si="4"/>
        <v>59</v>
      </c>
    </row>
    <row r="11" spans="1:29">
      <c r="O11" s="28">
        <v>4</v>
      </c>
      <c r="P11" s="29">
        <v>54</v>
      </c>
      <c r="Q11" s="28">
        <v>7</v>
      </c>
      <c r="R11" s="30">
        <v>0.36299999999999999</v>
      </c>
      <c r="T11" s="29">
        <v>54</v>
      </c>
      <c r="U11" s="28">
        <f t="shared" si="0"/>
        <v>7</v>
      </c>
      <c r="V11" s="30">
        <f t="shared" si="1"/>
        <v>0.36299999999999999</v>
      </c>
      <c r="W11" s="30">
        <f t="shared" si="2"/>
        <v>0.38400000000000001</v>
      </c>
      <c r="Y11" s="1189">
        <f t="shared" si="5"/>
        <v>0.7</v>
      </c>
      <c r="Z11" s="29">
        <f t="shared" si="3"/>
        <v>62.8</v>
      </c>
      <c r="AB11" s="1189">
        <f t="shared" si="6"/>
        <v>0.7</v>
      </c>
      <c r="AC11" s="29">
        <f t="shared" si="4"/>
        <v>64.3</v>
      </c>
    </row>
    <row r="12" spans="1:29">
      <c r="O12" s="28">
        <v>8</v>
      </c>
      <c r="P12" s="29">
        <v>45</v>
      </c>
      <c r="Q12" s="28">
        <v>9</v>
      </c>
      <c r="R12" s="30">
        <v>0.27200000000000002</v>
      </c>
      <c r="T12" s="29">
        <v>45</v>
      </c>
      <c r="U12" s="28">
        <f t="shared" si="0"/>
        <v>9</v>
      </c>
      <c r="V12" s="30">
        <f t="shared" si="1"/>
        <v>0.27200000000000002</v>
      </c>
      <c r="W12" s="30">
        <f t="shared" si="2"/>
        <v>0.307</v>
      </c>
      <c r="Y12" s="1189">
        <f t="shared" si="5"/>
        <v>0.79999999999999993</v>
      </c>
      <c r="Z12" s="29">
        <f t="shared" si="3"/>
        <v>66.399999999999991</v>
      </c>
      <c r="AB12" s="1189">
        <f t="shared" si="6"/>
        <v>0.79999999999999993</v>
      </c>
      <c r="AC12" s="29">
        <f t="shared" si="4"/>
        <v>74.999999999999972</v>
      </c>
    </row>
    <row r="13" spans="1:29">
      <c r="O13" s="28">
        <v>11</v>
      </c>
      <c r="P13" s="29">
        <v>39</v>
      </c>
      <c r="Q13" s="28">
        <v>10</v>
      </c>
      <c r="R13" s="30">
        <v>0.18099999999999999</v>
      </c>
      <c r="T13" s="29">
        <v>39</v>
      </c>
      <c r="U13" s="28">
        <f t="shared" si="0"/>
        <v>10</v>
      </c>
      <c r="V13" s="30">
        <f t="shared" si="1"/>
        <v>0.18099999999999999</v>
      </c>
      <c r="W13" s="30">
        <f t="shared" si="2"/>
        <v>0.23</v>
      </c>
      <c r="Y13" s="1189">
        <f t="shared" si="5"/>
        <v>0.89999999999999991</v>
      </c>
      <c r="Z13" s="29">
        <f t="shared" si="3"/>
        <v>84.999999999999972</v>
      </c>
      <c r="AB13" s="1189">
        <f t="shared" si="6"/>
        <v>0.89999999999999991</v>
      </c>
      <c r="AC13" s="29">
        <f t="shared" si="4"/>
        <v>91.899999999999991</v>
      </c>
    </row>
    <row r="14" spans="1:29" ht="15" thickBot="1">
      <c r="O14" s="28">
        <v>3</v>
      </c>
      <c r="P14" s="29">
        <v>34</v>
      </c>
      <c r="Q14" s="28">
        <v>11</v>
      </c>
      <c r="R14" s="30">
        <v>0.09</v>
      </c>
      <c r="T14" s="29">
        <v>34</v>
      </c>
      <c r="U14" s="28">
        <f t="shared" si="0"/>
        <v>11</v>
      </c>
      <c r="V14" s="30">
        <f t="shared" si="1"/>
        <v>0.09</v>
      </c>
      <c r="W14" s="30">
        <f t="shared" si="2"/>
        <v>0.153</v>
      </c>
      <c r="Y14" s="1190">
        <f t="shared" si="5"/>
        <v>0.99999999999999989</v>
      </c>
      <c r="Z14" s="32">
        <f t="shared" si="3"/>
        <v>93.999999999999986</v>
      </c>
      <c r="AB14" s="1190">
        <f t="shared" si="6"/>
        <v>0.99999999999999989</v>
      </c>
      <c r="AC14" s="32" t="e">
        <f t="shared" si="4"/>
        <v>#NUM!</v>
      </c>
    </row>
    <row r="15" spans="1:29" ht="15" thickBot="1">
      <c r="O15" s="31">
        <v>7</v>
      </c>
      <c r="P15" s="32">
        <v>32</v>
      </c>
      <c r="Q15" s="31">
        <v>12</v>
      </c>
      <c r="R15" s="33">
        <v>0</v>
      </c>
      <c r="T15" s="32">
        <v>32</v>
      </c>
      <c r="U15" s="32">
        <f t="shared" si="0"/>
        <v>12</v>
      </c>
      <c r="V15" s="33">
        <f t="shared" si="1"/>
        <v>0</v>
      </c>
      <c r="W15" s="33">
        <f t="shared" si="2"/>
        <v>7.5999999999999998E-2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1"/>
  <dimension ref="A1:P22"/>
  <sheetViews>
    <sheetView workbookViewId="0"/>
  </sheetViews>
  <sheetFormatPr defaultRowHeight="14.4"/>
  <cols>
    <col min="2" max="2" width="6.33203125" customWidth="1"/>
    <col min="3" max="3" width="20.5546875" customWidth="1"/>
    <col min="4" max="4" width="8.109375" customWidth="1"/>
    <col min="6" max="6" width="18.109375" customWidth="1"/>
    <col min="9" max="9" width="18.109375" customWidth="1"/>
    <col min="11" max="11" width="17.5546875" customWidth="1"/>
  </cols>
  <sheetData>
    <row r="1" spans="1:12">
      <c r="A1" s="1" t="s">
        <v>73</v>
      </c>
    </row>
    <row r="2" spans="1:12" ht="15" thickBot="1">
      <c r="K2" s="1" t="s">
        <v>2114</v>
      </c>
    </row>
    <row r="3" spans="1:12">
      <c r="A3" s="34" t="s">
        <v>70</v>
      </c>
      <c r="C3" s="35" t="s">
        <v>70</v>
      </c>
      <c r="D3" s="35"/>
      <c r="F3" s="1" t="s">
        <v>74</v>
      </c>
      <c r="I3" s="1" t="s">
        <v>75</v>
      </c>
    </row>
    <row r="4" spans="1:12">
      <c r="A4" s="34">
        <v>23</v>
      </c>
      <c r="C4" s="28"/>
      <c r="D4" s="28"/>
      <c r="K4" s="36"/>
      <c r="L4" s="36" t="s">
        <v>70</v>
      </c>
    </row>
    <row r="5" spans="1:12" ht="15.6">
      <c r="A5" s="34">
        <v>38</v>
      </c>
      <c r="C5" s="28" t="s">
        <v>76</v>
      </c>
      <c r="D5" s="28">
        <v>30.818181818181817</v>
      </c>
      <c r="F5" s="28" t="s">
        <v>76</v>
      </c>
      <c r="G5">
        <f>AVERAGE(A4:A14)</f>
        <v>30.818181818181817</v>
      </c>
      <c r="I5" s="34" t="s">
        <v>2119</v>
      </c>
      <c r="K5" t="s">
        <v>76</v>
      </c>
      <c r="L5">
        <f>AVERAGE(A4:A14)</f>
        <v>30.818181818181817</v>
      </c>
    </row>
    <row r="6" spans="1:12">
      <c r="A6" s="34">
        <v>45</v>
      </c>
      <c r="C6" s="28" t="s">
        <v>77</v>
      </c>
      <c r="D6" s="28">
        <v>4.931933387845862</v>
      </c>
      <c r="F6" s="28" t="s">
        <v>77</v>
      </c>
      <c r="G6">
        <f>G9/SQRT(G17)</f>
        <v>4.931933387845862</v>
      </c>
      <c r="I6" s="34">
        <f>ABS(A4-$G$7)</f>
        <v>0</v>
      </c>
      <c r="K6" t="s">
        <v>77</v>
      </c>
      <c r="L6">
        <f>STDEV(A4:A14)/SQRT(COUNT(A4:A14))</f>
        <v>4.931933387845862</v>
      </c>
    </row>
    <row r="7" spans="1:12">
      <c r="A7" s="34">
        <v>21</v>
      </c>
      <c r="C7" s="28" t="s">
        <v>78</v>
      </c>
      <c r="D7" s="28">
        <v>23</v>
      </c>
      <c r="F7" s="28" t="s">
        <v>78</v>
      </c>
      <c r="G7">
        <f>MEDIAN(A4:A14)</f>
        <v>23</v>
      </c>
      <c r="I7" s="950">
        <f t="shared" ref="I7:I16" si="0">ABS(A5-$G$7)</f>
        <v>15</v>
      </c>
      <c r="K7" t="s">
        <v>78</v>
      </c>
      <c r="L7">
        <f>MEDIAN(A4:A14)</f>
        <v>23</v>
      </c>
    </row>
    <row r="8" spans="1:12">
      <c r="A8" s="34">
        <v>17</v>
      </c>
      <c r="C8" s="28" t="s">
        <v>79</v>
      </c>
      <c r="D8" s="28">
        <v>21</v>
      </c>
      <c r="F8" s="28" t="s">
        <v>79</v>
      </c>
      <c r="G8">
        <f>MODE(A4:A14)</f>
        <v>21</v>
      </c>
      <c r="I8" s="950">
        <f t="shared" si="0"/>
        <v>22</v>
      </c>
      <c r="K8" t="s">
        <v>79</v>
      </c>
      <c r="L8">
        <f>MODE(A4:A14)</f>
        <v>21</v>
      </c>
    </row>
    <row r="9" spans="1:12">
      <c r="A9" s="34">
        <v>21</v>
      </c>
      <c r="C9" s="28" t="s">
        <v>80</v>
      </c>
      <c r="D9" s="28">
        <v>16.357372538511079</v>
      </c>
      <c r="F9" s="28" t="s">
        <v>80</v>
      </c>
      <c r="G9">
        <f>STDEV(A4:A14)</f>
        <v>16.357372538511079</v>
      </c>
      <c r="I9" s="950">
        <f t="shared" si="0"/>
        <v>2</v>
      </c>
      <c r="K9" t="s">
        <v>80</v>
      </c>
      <c r="L9">
        <f>STDEV(A4:A14)</f>
        <v>16.357372538511079</v>
      </c>
    </row>
    <row r="10" spans="1:12">
      <c r="A10" s="34">
        <v>8</v>
      </c>
      <c r="C10" s="28" t="s">
        <v>81</v>
      </c>
      <c r="D10" s="28">
        <v>267.56363636363642</v>
      </c>
      <c r="F10" s="28" t="s">
        <v>81</v>
      </c>
      <c r="G10">
        <f>VAR(A4:A14)</f>
        <v>267.56363636363642</v>
      </c>
      <c r="I10" s="950">
        <f t="shared" si="0"/>
        <v>6</v>
      </c>
      <c r="K10" t="s">
        <v>81</v>
      </c>
      <c r="L10">
        <f>VAR(A4:A14)</f>
        <v>267.56363636363642</v>
      </c>
    </row>
    <row r="11" spans="1:12">
      <c r="A11" s="34">
        <v>61</v>
      </c>
      <c r="C11" s="28" t="s">
        <v>82</v>
      </c>
      <c r="D11" s="28">
        <v>-0.54713109260868453</v>
      </c>
      <c r="F11" s="28" t="s">
        <v>82</v>
      </c>
      <c r="G11">
        <f>KURT(A4:A14)</f>
        <v>-0.54713109260868453</v>
      </c>
      <c r="I11" s="950">
        <f t="shared" si="0"/>
        <v>2</v>
      </c>
      <c r="K11" t="s">
        <v>82</v>
      </c>
      <c r="L11">
        <f>KURT(A4:A14)</f>
        <v>-0.54713109260868453</v>
      </c>
    </row>
    <row r="12" spans="1:12">
      <c r="A12" s="34">
        <v>21</v>
      </c>
      <c r="C12" s="28" t="s">
        <v>83</v>
      </c>
      <c r="D12" s="28">
        <v>0.62513875079366366</v>
      </c>
      <c r="F12" s="28" t="s">
        <v>83</v>
      </c>
      <c r="G12">
        <f>SKEW(A4:A14)</f>
        <v>0.62513875079366366</v>
      </c>
      <c r="I12" s="950">
        <f t="shared" si="0"/>
        <v>15</v>
      </c>
      <c r="K12" t="s">
        <v>83</v>
      </c>
      <c r="L12">
        <f>SKEW(A4:A14)</f>
        <v>0.62513875079366366</v>
      </c>
    </row>
    <row r="13" spans="1:12">
      <c r="A13" s="34">
        <v>52</v>
      </c>
      <c r="C13" s="28" t="s">
        <v>84</v>
      </c>
      <c r="D13" s="28">
        <v>53</v>
      </c>
      <c r="F13" s="28" t="s">
        <v>84</v>
      </c>
      <c r="G13">
        <f>G15-G14</f>
        <v>53</v>
      </c>
      <c r="I13" s="950">
        <f t="shared" si="0"/>
        <v>38</v>
      </c>
      <c r="K13" t="s">
        <v>84</v>
      </c>
      <c r="L13">
        <f>L15-L14</f>
        <v>53</v>
      </c>
    </row>
    <row r="14" spans="1:12">
      <c r="A14" s="34">
        <v>32</v>
      </c>
      <c r="C14" s="28" t="s">
        <v>85</v>
      </c>
      <c r="D14" s="28">
        <v>8</v>
      </c>
      <c r="F14" s="28" t="s">
        <v>85</v>
      </c>
      <c r="G14">
        <f>MIN(A4:A14)</f>
        <v>8</v>
      </c>
      <c r="I14" s="950">
        <f t="shared" si="0"/>
        <v>2</v>
      </c>
      <c r="K14" t="s">
        <v>85</v>
      </c>
      <c r="L14">
        <f>MIN(A4:A14)</f>
        <v>8</v>
      </c>
    </row>
    <row r="15" spans="1:12">
      <c r="C15" s="28" t="s">
        <v>86</v>
      </c>
      <c r="D15" s="28">
        <v>61</v>
      </c>
      <c r="F15" s="28" t="s">
        <v>86</v>
      </c>
      <c r="G15">
        <f>MAX(A4:A14)</f>
        <v>61</v>
      </c>
      <c r="I15" s="950">
        <f t="shared" si="0"/>
        <v>29</v>
      </c>
      <c r="K15" t="s">
        <v>86</v>
      </c>
      <c r="L15">
        <f>MAX(A4:A14)</f>
        <v>61</v>
      </c>
    </row>
    <row r="16" spans="1:12">
      <c r="C16" s="28" t="s">
        <v>87</v>
      </c>
      <c r="D16" s="28">
        <v>339</v>
      </c>
      <c r="F16" s="28" t="s">
        <v>87</v>
      </c>
      <c r="G16">
        <f>SUM(A4:A14)</f>
        <v>339</v>
      </c>
      <c r="I16" s="950">
        <f t="shared" si="0"/>
        <v>9</v>
      </c>
      <c r="K16" t="s">
        <v>87</v>
      </c>
      <c r="L16">
        <f>SUM(A4:A14)</f>
        <v>339</v>
      </c>
    </row>
    <row r="17" spans="3:16" ht="15" thickBot="1">
      <c r="C17" s="31" t="s">
        <v>88</v>
      </c>
      <c r="D17" s="31">
        <v>11</v>
      </c>
      <c r="F17" s="31" t="s">
        <v>88</v>
      </c>
      <c r="G17" s="37">
        <f>COUNT(A4:A14)</f>
        <v>11</v>
      </c>
      <c r="K17" t="s">
        <v>88</v>
      </c>
      <c r="L17">
        <f>COUNT(A4:A14)</f>
        <v>11</v>
      </c>
    </row>
    <row r="18" spans="3:16">
      <c r="F18" t="s">
        <v>89</v>
      </c>
      <c r="G18">
        <f>GEOMEAN(A4:A14)</f>
        <v>26.754716545631396</v>
      </c>
      <c r="K18" t="s">
        <v>33</v>
      </c>
      <c r="L18">
        <f>GEOMEAN(A4:A14)</f>
        <v>26.754716545631396</v>
      </c>
    </row>
    <row r="19" spans="3:16">
      <c r="F19" t="s">
        <v>90</v>
      </c>
      <c r="G19">
        <f>HARMEAN(A4:A14)</f>
        <v>22.653734367228317</v>
      </c>
      <c r="K19" t="s">
        <v>91</v>
      </c>
      <c r="L19">
        <f>HARMEAN(A4:A14)</f>
        <v>22.653734367228317</v>
      </c>
      <c r="O19" s="1327" t="s">
        <v>3457</v>
      </c>
      <c r="P19" s="1327" t="s">
        <v>3458</v>
      </c>
    </row>
    <row r="20" spans="3:16">
      <c r="F20" t="s">
        <v>92</v>
      </c>
      <c r="G20">
        <f>AVEDEV(A4:A14)</f>
        <v>13.438016528925619</v>
      </c>
      <c r="K20" t="s">
        <v>92</v>
      </c>
      <c r="L20">
        <f>AVEDEV(A4:A14)</f>
        <v>13.438016528925619</v>
      </c>
      <c r="N20" t="s">
        <v>166</v>
      </c>
      <c r="O20" s="1236">
        <f>_xlfn.QUARTILE.INC(A4:A14,1)</f>
        <v>21</v>
      </c>
      <c r="P20" s="1237">
        <f>_xlfn.QUARTILE.EXC(A4:A14,1)</f>
        <v>21</v>
      </c>
    </row>
    <row r="21" spans="3:16">
      <c r="F21" t="s">
        <v>93</v>
      </c>
      <c r="G21">
        <f>MEDIAN(I6:I16)</f>
        <v>9</v>
      </c>
      <c r="K21" t="s">
        <v>93</v>
      </c>
      <c r="L21" t="e">
        <f ca="1">[1]!MAD(A4:A14)</f>
        <v>#NAME?</v>
      </c>
      <c r="N21" t="s">
        <v>1398</v>
      </c>
      <c r="O21" s="656">
        <f>_xlfn.QUARTILE.INC(A4:A14,3)</f>
        <v>41.5</v>
      </c>
      <c r="P21" s="657">
        <f>_xlfn.QUARTILE.EXC(A4:A14,3)</f>
        <v>45</v>
      </c>
    </row>
    <row r="22" spans="3:16">
      <c r="F22" t="s">
        <v>94</v>
      </c>
      <c r="G22">
        <f>QUARTILE(A4:A14,3)-QUARTILE(A4:A14,1)</f>
        <v>20.5</v>
      </c>
      <c r="K22" s="11" t="s">
        <v>94</v>
      </c>
      <c r="L22" s="11" t="e">
        <f ca="1">[1]!Iqr(A4:A14)</f>
        <v>#NAME?</v>
      </c>
      <c r="N22" t="s">
        <v>94</v>
      </c>
      <c r="O22" s="533" t="e">
        <f ca="1">[1]!Iqr(A4:A14)</f>
        <v>#NAME?</v>
      </c>
      <c r="P22" s="541" t="e">
        <f ca="1">[1]!Iqr(A4:A14,TRUE)</f>
        <v>#NAME?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2"/>
  <dimension ref="A1:O23"/>
  <sheetViews>
    <sheetView workbookViewId="0">
      <selection activeCell="I3" sqref="I3"/>
    </sheetView>
  </sheetViews>
  <sheetFormatPr defaultRowHeight="14.4"/>
  <cols>
    <col min="1" max="1" width="8.6640625" customWidth="1"/>
    <col min="3" max="3" width="9.6640625" customWidth="1"/>
    <col min="4" max="4" width="20.88671875" customWidth="1"/>
    <col min="6" max="6" width="20.109375" customWidth="1"/>
    <col min="9" max="9" width="17.44140625" customWidth="1"/>
    <col min="13" max="13" width="18" customWidth="1"/>
  </cols>
  <sheetData>
    <row r="1" spans="1:15">
      <c r="A1" s="1" t="s">
        <v>95</v>
      </c>
      <c r="I1" t="s">
        <v>3459</v>
      </c>
      <c r="M1" t="s">
        <v>3460</v>
      </c>
    </row>
    <row r="3" spans="1:15" s="1" customFormat="1">
      <c r="A3" s="1" t="s">
        <v>96</v>
      </c>
      <c r="I3" s="1" t="s">
        <v>95</v>
      </c>
      <c r="M3" s="1" t="s">
        <v>95</v>
      </c>
    </row>
    <row r="4" spans="1:15" ht="15" thickBot="1"/>
    <row r="5" spans="1:15">
      <c r="A5" s="36" t="s">
        <v>97</v>
      </c>
      <c r="B5" s="36" t="s">
        <v>98</v>
      </c>
      <c r="D5" s="27" t="s">
        <v>97</v>
      </c>
      <c r="E5" s="27"/>
      <c r="F5" s="27" t="s">
        <v>98</v>
      </c>
      <c r="G5" s="27"/>
      <c r="I5" s="36"/>
      <c r="J5" s="36" t="s">
        <v>97</v>
      </c>
      <c r="K5" s="36" t="s">
        <v>98</v>
      </c>
      <c r="M5" s="1329"/>
      <c r="N5" s="1329" t="str">
        <f>A5</f>
        <v>Sample 1</v>
      </c>
      <c r="O5" s="1329" t="str">
        <f>B5</f>
        <v>Sample 2</v>
      </c>
    </row>
    <row r="6" spans="1:15">
      <c r="A6" s="34">
        <v>19</v>
      </c>
      <c r="B6" s="34">
        <v>12</v>
      </c>
      <c r="D6" s="28"/>
      <c r="E6" s="28"/>
      <c r="F6" s="28"/>
      <c r="G6" s="28"/>
      <c r="I6" t="s">
        <v>76</v>
      </c>
      <c r="J6">
        <f>AVERAGE(A6:A18)</f>
        <v>30.46153846153846</v>
      </c>
      <c r="K6">
        <f>AVERAGE(B6:B18)</f>
        <v>30.615384615384617</v>
      </c>
      <c r="M6" t="s">
        <v>76</v>
      </c>
      <c r="N6">
        <f>AVERAGE(A6:A18)</f>
        <v>30.46153846153846</v>
      </c>
      <c r="O6">
        <f>AVERAGE(B6:B18)</f>
        <v>30.615384615384617</v>
      </c>
    </row>
    <row r="7" spans="1:15">
      <c r="A7" s="34">
        <v>41</v>
      </c>
      <c r="B7" s="34">
        <v>27</v>
      </c>
      <c r="D7" s="28" t="s">
        <v>76</v>
      </c>
      <c r="E7" s="28">
        <v>30.46153846153846</v>
      </c>
      <c r="F7" s="28" t="s">
        <v>76</v>
      </c>
      <c r="G7" s="28">
        <v>30.615384615384617</v>
      </c>
      <c r="I7" t="s">
        <v>77</v>
      </c>
      <c r="J7">
        <f>STDEV(A6:A18)/SQRT(COUNT(A6:A18))</f>
        <v>4.6734594124357631</v>
      </c>
      <c r="K7">
        <f>STDEV(B6:B18)/SQRT(COUNT(B6:B18))</f>
        <v>5.4473452267800937</v>
      </c>
      <c r="M7" t="s">
        <v>77</v>
      </c>
      <c r="N7">
        <f>STDEV(A6:A18)/SQRT(COUNT(A6:A18))</f>
        <v>4.6734594124357631</v>
      </c>
      <c r="O7">
        <f>STDEV(B6:B18)/SQRT(COUNT(B6:B18))</f>
        <v>5.4473452267800937</v>
      </c>
    </row>
    <row r="8" spans="1:15">
      <c r="A8" s="34">
        <v>29</v>
      </c>
      <c r="B8" s="34">
        <v>18</v>
      </c>
      <c r="D8" s="28" t="s">
        <v>77</v>
      </c>
      <c r="E8" s="28">
        <v>4.6734594124357631</v>
      </c>
      <c r="F8" s="28" t="s">
        <v>77</v>
      </c>
      <c r="G8" s="28">
        <v>5.4473452267800937</v>
      </c>
      <c r="I8" t="s">
        <v>78</v>
      </c>
      <c r="J8">
        <f>MEDIAN(A6:A18)</f>
        <v>29</v>
      </c>
      <c r="K8">
        <f>MEDIAN(B6:B18)</f>
        <v>27</v>
      </c>
      <c r="M8" t="s">
        <v>78</v>
      </c>
      <c r="N8">
        <f>MEDIAN(A6:A18)</f>
        <v>29</v>
      </c>
      <c r="O8">
        <f>MEDIAN(B6:B18)</f>
        <v>27</v>
      </c>
    </row>
    <row r="9" spans="1:15">
      <c r="A9" s="34">
        <v>18</v>
      </c>
      <c r="B9" s="34">
        <v>23</v>
      </c>
      <c r="D9" s="28" t="s">
        <v>78</v>
      </c>
      <c r="E9" s="28">
        <v>29</v>
      </c>
      <c r="F9" s="28" t="s">
        <v>78</v>
      </c>
      <c r="G9" s="28">
        <v>27</v>
      </c>
      <c r="I9" t="s">
        <v>79</v>
      </c>
      <c r="J9">
        <f>MODE(A6:A18)</f>
        <v>29</v>
      </c>
      <c r="K9">
        <f>MODE(B6:B18)</f>
        <v>27</v>
      </c>
      <c r="M9" t="s">
        <v>79</v>
      </c>
      <c r="N9">
        <f>MODE(A6:A18)</f>
        <v>29</v>
      </c>
      <c r="O9">
        <f>MODE(B6:B18)</f>
        <v>27</v>
      </c>
    </row>
    <row r="10" spans="1:15">
      <c r="A10" s="34">
        <v>8</v>
      </c>
      <c r="B10" s="34">
        <v>72</v>
      </c>
      <c r="D10" s="28" t="s">
        <v>79</v>
      </c>
      <c r="E10" s="28">
        <v>29</v>
      </c>
      <c r="F10" s="28" t="s">
        <v>79</v>
      </c>
      <c r="G10" s="28">
        <v>27</v>
      </c>
      <c r="I10" t="s">
        <v>80</v>
      </c>
      <c r="J10">
        <f>STDEV(A6:A18)</f>
        <v>16.85039754533695</v>
      </c>
      <c r="K10">
        <f>STDEV(B6:B18)</f>
        <v>19.64068253030964</v>
      </c>
      <c r="M10" t="s">
        <v>80</v>
      </c>
      <c r="N10">
        <f>STDEV(A6:A18)</f>
        <v>16.85039754533695</v>
      </c>
      <c r="O10">
        <f>STDEV(B6:B18)</f>
        <v>19.64068253030964</v>
      </c>
    </row>
    <row r="11" spans="1:15">
      <c r="A11" s="34">
        <v>29</v>
      </c>
      <c r="B11" s="34">
        <v>27</v>
      </c>
      <c r="D11" s="28" t="s">
        <v>80</v>
      </c>
      <c r="E11" s="28">
        <v>16.85039754533695</v>
      </c>
      <c r="F11" s="28" t="s">
        <v>80</v>
      </c>
      <c r="G11" s="28">
        <v>19.64068253030964</v>
      </c>
      <c r="I11" t="s">
        <v>81</v>
      </c>
      <c r="J11">
        <f>VAR(A6:A18)</f>
        <v>283.93589743589746</v>
      </c>
      <c r="K11">
        <f>VAR(B6:B18)</f>
        <v>385.75641025641033</v>
      </c>
      <c r="M11" t="s">
        <v>81</v>
      </c>
      <c r="N11">
        <f>VAR(A6:A18)</f>
        <v>283.93589743589746</v>
      </c>
      <c r="O11">
        <f>VAR(B6:B18)</f>
        <v>385.75641025641033</v>
      </c>
    </row>
    <row r="12" spans="1:15">
      <c r="A12" s="34">
        <v>11</v>
      </c>
      <c r="B12" s="34">
        <v>27</v>
      </c>
      <c r="D12" s="28" t="s">
        <v>81</v>
      </c>
      <c r="E12" s="28">
        <v>283.93589743589746</v>
      </c>
      <c r="F12" s="28" t="s">
        <v>81</v>
      </c>
      <c r="G12" s="28">
        <v>385.75641025641033</v>
      </c>
      <c r="I12" t="s">
        <v>82</v>
      </c>
      <c r="J12">
        <f>KURT(A6:A18)</f>
        <v>-1.1507308047969098</v>
      </c>
      <c r="K12">
        <f>KURT(B6:B18)</f>
        <v>6.28405897369122E-2</v>
      </c>
      <c r="M12" t="s">
        <v>82</v>
      </c>
      <c r="N12">
        <f>KURT(A6:A18)</f>
        <v>-1.1507308047969098</v>
      </c>
      <c r="O12">
        <f>KURT(B6:B18)</f>
        <v>6.28405897369122E-2</v>
      </c>
    </row>
    <row r="13" spans="1:15">
      <c r="A13" s="34">
        <v>59</v>
      </c>
      <c r="B13" s="34">
        <v>53</v>
      </c>
      <c r="D13" s="28" t="s">
        <v>82</v>
      </c>
      <c r="E13" s="28">
        <v>-1.1507308047969098</v>
      </c>
      <c r="F13" s="28" t="s">
        <v>82</v>
      </c>
      <c r="G13" s="28">
        <v>6.28405897369122E-2</v>
      </c>
      <c r="I13" t="s">
        <v>83</v>
      </c>
      <c r="J13">
        <f>SKEW(A6:A18)</f>
        <v>0.26560133977590394</v>
      </c>
      <c r="K13">
        <f>SKEW(B6:B18)</f>
        <v>0.78697965196289232</v>
      </c>
      <c r="M13" t="s">
        <v>83</v>
      </c>
      <c r="N13">
        <f>SKEW(A6:A18)</f>
        <v>0.26560133977590394</v>
      </c>
      <c r="O13">
        <f>SKEW(B6:B18)</f>
        <v>0.78697965196289232</v>
      </c>
    </row>
    <row r="14" spans="1:15">
      <c r="A14" s="34">
        <v>41</v>
      </c>
      <c r="B14" s="34">
        <v>3</v>
      </c>
      <c r="D14" s="28" t="s">
        <v>83</v>
      </c>
      <c r="E14" s="28">
        <v>0.26560133977590394</v>
      </c>
      <c r="F14" s="28" t="s">
        <v>83</v>
      </c>
      <c r="G14" s="28">
        <v>0.78697965196289232</v>
      </c>
      <c r="I14" t="s">
        <v>84</v>
      </c>
      <c r="J14">
        <f>J16-J15</f>
        <v>51</v>
      </c>
      <c r="K14">
        <f>K16-K15</f>
        <v>69</v>
      </c>
      <c r="M14" t="s">
        <v>84</v>
      </c>
      <c r="N14">
        <f>N15-N16</f>
        <v>51</v>
      </c>
      <c r="O14">
        <f>O15-O16</f>
        <v>69</v>
      </c>
    </row>
    <row r="15" spans="1:15">
      <c r="A15" s="34">
        <v>48</v>
      </c>
      <c r="B15" s="34">
        <v>45</v>
      </c>
      <c r="D15" s="28" t="s">
        <v>84</v>
      </c>
      <c r="E15" s="28">
        <v>51</v>
      </c>
      <c r="F15" s="28" t="s">
        <v>84</v>
      </c>
      <c r="G15" s="28">
        <v>69</v>
      </c>
      <c r="I15" t="s">
        <v>85</v>
      </c>
      <c r="J15">
        <f>MIN(A6:A18)</f>
        <v>8</v>
      </c>
      <c r="K15">
        <f>MIN(B6:B18)</f>
        <v>3</v>
      </c>
      <c r="M15" t="s">
        <v>86</v>
      </c>
      <c r="N15">
        <f>MAX(A6:A18)</f>
        <v>59</v>
      </c>
      <c r="O15">
        <f>MAX(B6:B18)</f>
        <v>72</v>
      </c>
    </row>
    <row r="16" spans="1:15">
      <c r="A16" s="34">
        <v>53</v>
      </c>
      <c r="B16" s="34">
        <v>53</v>
      </c>
      <c r="D16" s="28" t="s">
        <v>85</v>
      </c>
      <c r="E16" s="28">
        <v>8</v>
      </c>
      <c r="F16" s="28" t="s">
        <v>85</v>
      </c>
      <c r="G16" s="28">
        <v>3</v>
      </c>
      <c r="I16" t="s">
        <v>86</v>
      </c>
      <c r="J16">
        <f>MAX(A6:A18)</f>
        <v>59</v>
      </c>
      <c r="K16">
        <f>MAX(B6:B18)</f>
        <v>72</v>
      </c>
      <c r="M16" t="s">
        <v>85</v>
      </c>
      <c r="N16">
        <f>MIN(A6:A18)</f>
        <v>8</v>
      </c>
      <c r="O16">
        <f>MIN(B6:B18)</f>
        <v>3</v>
      </c>
    </row>
    <row r="17" spans="1:15">
      <c r="A17" s="34">
        <v>29</v>
      </c>
      <c r="B17" s="34">
        <v>13</v>
      </c>
      <c r="D17" s="28" t="s">
        <v>86</v>
      </c>
      <c r="E17" s="28">
        <v>59</v>
      </c>
      <c r="F17" s="28" t="s">
        <v>86</v>
      </c>
      <c r="G17" s="28">
        <v>72</v>
      </c>
      <c r="I17" t="s">
        <v>87</v>
      </c>
      <c r="J17">
        <f>SUM(A6:A18)</f>
        <v>396</v>
      </c>
      <c r="K17">
        <f>SUM(B6:B18)</f>
        <v>398</v>
      </c>
      <c r="M17" t="s">
        <v>87</v>
      </c>
      <c r="N17">
        <f>SUM(A6:A18)</f>
        <v>396</v>
      </c>
      <c r="O17">
        <f>SUM(B6:B18)</f>
        <v>398</v>
      </c>
    </row>
    <row r="18" spans="1:15">
      <c r="A18" s="1186">
        <v>11</v>
      </c>
      <c r="B18" s="1186">
        <v>25</v>
      </c>
      <c r="D18" s="28" t="s">
        <v>87</v>
      </c>
      <c r="E18" s="28">
        <v>396</v>
      </c>
      <c r="F18" s="28" t="s">
        <v>87</v>
      </c>
      <c r="G18" s="28">
        <v>398</v>
      </c>
      <c r="I18" t="s">
        <v>88</v>
      </c>
      <c r="J18">
        <f>COUNT(A6:A18)</f>
        <v>13</v>
      </c>
      <c r="K18">
        <f>COUNT(B6:B18)</f>
        <v>13</v>
      </c>
      <c r="M18" t="s">
        <v>88</v>
      </c>
      <c r="N18">
        <f>COUNT(A6:A18)</f>
        <v>13</v>
      </c>
      <c r="O18">
        <f>COUNT(B6:B18)</f>
        <v>13</v>
      </c>
    </row>
    <row r="19" spans="1:15" ht="15" thickBot="1">
      <c r="D19" s="31" t="s">
        <v>88</v>
      </c>
      <c r="E19" s="31">
        <v>13</v>
      </c>
      <c r="F19" s="31" t="s">
        <v>88</v>
      </c>
      <c r="G19" s="31">
        <v>13</v>
      </c>
      <c r="I19" t="s">
        <v>33</v>
      </c>
      <c r="J19">
        <f>GEOMEAN(A6:A18)</f>
        <v>25.608674447554829</v>
      </c>
      <c r="K19">
        <f>GEOMEAN(B6:B18)</f>
        <v>23.981422579554366</v>
      </c>
      <c r="M19" t="s">
        <v>33</v>
      </c>
      <c r="N19">
        <f>GEOMEAN(A6:A18)</f>
        <v>25.608674447554829</v>
      </c>
      <c r="O19">
        <f>GEOMEAN(B6:B18)</f>
        <v>23.981422579554366</v>
      </c>
    </row>
    <row r="20" spans="1:15">
      <c r="I20" t="s">
        <v>91</v>
      </c>
      <c r="J20">
        <f>HARMEAN(A6:A18)</f>
        <v>20.837190537996147</v>
      </c>
      <c r="K20">
        <f>HARMEAN(B6:B18)</f>
        <v>15.900552926353798</v>
      </c>
      <c r="M20" t="s">
        <v>91</v>
      </c>
      <c r="N20">
        <f>HARMEAN(A6:A18)</f>
        <v>20.837190537996147</v>
      </c>
      <c r="O20">
        <f>HARMEAN(B6:B18)</f>
        <v>15.900552926353798</v>
      </c>
    </row>
    <row r="21" spans="1:15">
      <c r="I21" t="s">
        <v>92</v>
      </c>
      <c r="J21">
        <f>AVEDEV(A6:A18)</f>
        <v>13.798816568047338</v>
      </c>
      <c r="K21">
        <f>AVEDEV(B6:B18)</f>
        <v>15.467455621301777</v>
      </c>
      <c r="M21" t="s">
        <v>92</v>
      </c>
      <c r="N21">
        <f>AVEDEV(A6:A18)</f>
        <v>13.798816568047338</v>
      </c>
      <c r="O21">
        <f>AVEDEV(B6:B18)</f>
        <v>15.467455621301777</v>
      </c>
    </row>
    <row r="22" spans="1:15">
      <c r="I22" t="s">
        <v>93</v>
      </c>
      <c r="J22" t="e">
        <f ca="1">[1]!MAD(A6:A18)</f>
        <v>#NAME?</v>
      </c>
      <c r="K22" t="e">
        <f ca="1">[1]!MAD(B6:B18)</f>
        <v>#NAME?</v>
      </c>
      <c r="M22" t="s">
        <v>93</v>
      </c>
      <c r="N22" t="e">
        <f ca="1">[1]!MAD(A6:A18)</f>
        <v>#NAME?</v>
      </c>
      <c r="O22" t="e">
        <f ca="1">[1]!MAD(B6:B18)</f>
        <v>#NAME?</v>
      </c>
    </row>
    <row r="23" spans="1:15">
      <c r="I23" s="11" t="s">
        <v>94</v>
      </c>
      <c r="J23" s="11" t="e">
        <f ca="1">[1]!Iqr(A6:A18)</f>
        <v>#NAME?</v>
      </c>
      <c r="K23" s="11" t="e">
        <f ca="1">[1]!Iqr(B6:B18)</f>
        <v>#NAME?</v>
      </c>
      <c r="M23" s="1078" t="s">
        <v>94</v>
      </c>
      <c r="N23" s="1078" t="e">
        <f ca="1">[1]!Iqr(A6:A18,TRUE)</f>
        <v>#NAME?</v>
      </c>
      <c r="O23" s="1078" t="e">
        <f ca="1">[1]!Iqr(B6:B18,TRUE)</f>
        <v>#NAME?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13"/>
  <dimension ref="A1:S23"/>
  <sheetViews>
    <sheetView workbookViewId="0"/>
  </sheetViews>
  <sheetFormatPr defaultRowHeight="14.4"/>
  <cols>
    <col min="1" max="1" width="6.44140625" customWidth="1"/>
    <col min="2" max="2" width="6.88671875" customWidth="1"/>
    <col min="3" max="4" width="6.6640625" customWidth="1"/>
    <col min="6" max="7" width="6.109375" customWidth="1"/>
    <col min="8" max="9" width="6.33203125" customWidth="1"/>
    <col min="14" max="19" width="6.33203125" style="759" customWidth="1"/>
  </cols>
  <sheetData>
    <row r="1" spans="1:19">
      <c r="A1" s="1" t="s">
        <v>99</v>
      </c>
    </row>
    <row r="3" spans="1:19" ht="16.2">
      <c r="A3" s="840" t="s">
        <v>3451</v>
      </c>
      <c r="C3" s="840" t="s">
        <v>28</v>
      </c>
      <c r="D3" s="840" t="s">
        <v>100</v>
      </c>
      <c r="F3" s="757" t="s">
        <v>28</v>
      </c>
      <c r="G3" s="121" t="s">
        <v>32</v>
      </c>
      <c r="H3" s="757" t="s">
        <v>101</v>
      </c>
      <c r="I3" s="758" t="s">
        <v>102</v>
      </c>
      <c r="N3" s="757" t="s">
        <v>103</v>
      </c>
      <c r="O3" s="52" t="s">
        <v>104</v>
      </c>
      <c r="P3" s="121" t="s">
        <v>32</v>
      </c>
      <c r="Q3" s="757" t="s">
        <v>105</v>
      </c>
      <c r="R3" s="757" t="s">
        <v>101</v>
      </c>
      <c r="S3" s="758" t="s">
        <v>102</v>
      </c>
    </row>
    <row r="4" spans="1:19">
      <c r="A4" s="8">
        <v>2</v>
      </c>
      <c r="C4" s="8">
        <v>2</v>
      </c>
      <c r="D4" s="8">
        <v>4</v>
      </c>
      <c r="F4" s="87">
        <v>2</v>
      </c>
      <c r="G4" s="761">
        <v>4</v>
      </c>
      <c r="H4" s="87">
        <f>F4*G4</f>
        <v>8</v>
      </c>
      <c r="I4" s="88">
        <f>F4^2*G4</f>
        <v>16</v>
      </c>
      <c r="K4" t="s">
        <v>63</v>
      </c>
      <c r="L4" s="542">
        <f>AVERAGE(A4:A11)</f>
        <v>3</v>
      </c>
      <c r="N4" s="87">
        <v>0</v>
      </c>
      <c r="O4" s="224">
        <v>4</v>
      </c>
      <c r="P4" s="761">
        <v>3</v>
      </c>
      <c r="Q4" s="87">
        <f>(N4+O4)/2</f>
        <v>2</v>
      </c>
      <c r="R4" s="87">
        <f>Q4*P4</f>
        <v>6</v>
      </c>
      <c r="S4" s="88">
        <f>Q4^2*P4</f>
        <v>12</v>
      </c>
    </row>
    <row r="5" spans="1:19">
      <c r="A5" s="8">
        <v>2</v>
      </c>
      <c r="C5" s="8">
        <v>3</v>
      </c>
      <c r="D5" s="8">
        <v>1</v>
      </c>
      <c r="F5" s="87">
        <v>3</v>
      </c>
      <c r="G5" s="761">
        <v>1</v>
      </c>
      <c r="H5" s="87">
        <f>F5*G5</f>
        <v>3</v>
      </c>
      <c r="I5" s="88">
        <f>F5^2*G5</f>
        <v>9</v>
      </c>
      <c r="K5" t="s">
        <v>66</v>
      </c>
      <c r="L5" s="627">
        <f>VAR(A4:A11)</f>
        <v>1.4285714285714286</v>
      </c>
      <c r="N5" s="87">
        <v>4</v>
      </c>
      <c r="O5" s="224">
        <v>10</v>
      </c>
      <c r="P5" s="761">
        <v>1</v>
      </c>
      <c r="Q5" s="87">
        <f>(N5+O5)/2</f>
        <v>7</v>
      </c>
      <c r="R5" s="87">
        <f>Q5*P5</f>
        <v>7</v>
      </c>
      <c r="S5" s="88">
        <f>Q5^2*P5</f>
        <v>49</v>
      </c>
    </row>
    <row r="6" spans="1:19">
      <c r="A6" s="8">
        <v>2</v>
      </c>
      <c r="C6" s="8">
        <v>4</v>
      </c>
      <c r="D6" s="8">
        <v>2</v>
      </c>
      <c r="F6" s="87">
        <v>4</v>
      </c>
      <c r="G6" s="761">
        <v>2</v>
      </c>
      <c r="H6" s="87">
        <f>F6*G6</f>
        <v>8</v>
      </c>
      <c r="I6" s="88">
        <f>F6^2*G6</f>
        <v>32</v>
      </c>
      <c r="K6" t="s">
        <v>578</v>
      </c>
      <c r="L6" s="544">
        <f>SUMSQ(A4:A11)</f>
        <v>82</v>
      </c>
      <c r="N6" s="87">
        <v>10</v>
      </c>
      <c r="O6" s="224">
        <v>20</v>
      </c>
      <c r="P6" s="761">
        <v>2</v>
      </c>
      <c r="Q6" s="87">
        <f>(N6+O6)/2</f>
        <v>15</v>
      </c>
      <c r="R6" s="87">
        <f>Q6*P6</f>
        <v>30</v>
      </c>
      <c r="S6" s="88">
        <f>Q6^2*P6</f>
        <v>450</v>
      </c>
    </row>
    <row r="7" spans="1:19">
      <c r="A7" s="8">
        <v>2</v>
      </c>
      <c r="C7" s="1078">
        <v>5</v>
      </c>
      <c r="D7" s="1078">
        <v>1</v>
      </c>
      <c r="F7" s="89">
        <v>5</v>
      </c>
      <c r="G7" s="762">
        <v>1</v>
      </c>
      <c r="H7" s="89">
        <f>F7*G7</f>
        <v>5</v>
      </c>
      <c r="I7" s="90">
        <f>F7^2*G7</f>
        <v>25</v>
      </c>
      <c r="N7" s="89">
        <v>20</v>
      </c>
      <c r="O7" s="790">
        <v>30</v>
      </c>
      <c r="P7" s="762">
        <v>1</v>
      </c>
      <c r="Q7" s="89">
        <f>(N7+O7)/2</f>
        <v>25</v>
      </c>
      <c r="R7" s="89">
        <f>Q7*P7</f>
        <v>25</v>
      </c>
      <c r="S7" s="90">
        <f>Q7^2*P7</f>
        <v>625</v>
      </c>
    </row>
    <row r="8" spans="1:19">
      <c r="A8" s="8">
        <v>3</v>
      </c>
      <c r="F8" s="759"/>
      <c r="G8" s="759">
        <f>SUM(G4:G7)</f>
        <v>8</v>
      </c>
      <c r="H8" s="759">
        <f>SUM(H4:H7)</f>
        <v>24</v>
      </c>
      <c r="I8" s="759">
        <f>SUM(I4:I7)</f>
        <v>82</v>
      </c>
      <c r="P8" s="759">
        <f>SUM(P4:P7)</f>
        <v>7</v>
      </c>
      <c r="R8" s="759">
        <f>SUM(R4:R7)</f>
        <v>68</v>
      </c>
      <c r="S8" s="759">
        <f>SUM(S4:S7)</f>
        <v>1136</v>
      </c>
    </row>
    <row r="9" spans="1:19">
      <c r="A9" s="8">
        <v>4</v>
      </c>
      <c r="F9" s="759"/>
      <c r="G9" s="759"/>
      <c r="H9" s="759"/>
      <c r="I9" s="759"/>
    </row>
    <row r="10" spans="1:19">
      <c r="A10" s="8">
        <v>4</v>
      </c>
      <c r="F10" s="762" t="s">
        <v>1865</v>
      </c>
      <c r="G10" s="762" t="s">
        <v>106</v>
      </c>
      <c r="H10" s="762" t="s">
        <v>865</v>
      </c>
      <c r="I10" s="759"/>
      <c r="N10" s="762" t="s">
        <v>1865</v>
      </c>
      <c r="O10" s="762" t="s">
        <v>106</v>
      </c>
      <c r="P10" s="762" t="s">
        <v>865</v>
      </c>
    </row>
    <row r="11" spans="1:19">
      <c r="A11" s="1078">
        <v>5</v>
      </c>
      <c r="F11" s="759">
        <f>H8</f>
        <v>24</v>
      </c>
      <c r="G11" s="759">
        <f>G8</f>
        <v>8</v>
      </c>
      <c r="H11" s="759">
        <f>F11/G11</f>
        <v>3</v>
      </c>
      <c r="I11" s="759"/>
      <c r="N11" s="759">
        <f>R8</f>
        <v>68</v>
      </c>
      <c r="O11" s="759">
        <f>P8</f>
        <v>7</v>
      </c>
      <c r="P11" s="759">
        <f>N11/O11</f>
        <v>9.7142857142857135</v>
      </c>
    </row>
    <row r="12" spans="1:19">
      <c r="F12" s="759"/>
      <c r="G12" s="759"/>
      <c r="H12" s="759"/>
      <c r="I12" s="759"/>
    </row>
    <row r="13" spans="1:19" ht="16.2">
      <c r="F13" s="762" t="s">
        <v>1864</v>
      </c>
      <c r="G13" s="762" t="s">
        <v>106</v>
      </c>
      <c r="H13" s="762" t="s">
        <v>1863</v>
      </c>
      <c r="I13" s="789" t="s">
        <v>66</v>
      </c>
      <c r="N13" s="762" t="s">
        <v>1864</v>
      </c>
      <c r="O13" s="762" t="s">
        <v>106</v>
      </c>
      <c r="P13" s="762" t="s">
        <v>1863</v>
      </c>
      <c r="Q13" s="789" t="s">
        <v>66</v>
      </c>
    </row>
    <row r="14" spans="1:19">
      <c r="F14" s="759">
        <f>I8</f>
        <v>82</v>
      </c>
      <c r="G14" s="759">
        <f>G8</f>
        <v>8</v>
      </c>
      <c r="H14" s="759">
        <f>H11^2</f>
        <v>9</v>
      </c>
      <c r="I14" s="759">
        <f>(F14-G14*H14)/(G14-1)</f>
        <v>1.4285714285714286</v>
      </c>
      <c r="N14" s="759">
        <f>S8</f>
        <v>1136</v>
      </c>
      <c r="O14" s="759">
        <f>P8</f>
        <v>7</v>
      </c>
      <c r="P14" s="759">
        <f>P11^2</f>
        <v>94.367346938775498</v>
      </c>
      <c r="Q14" s="759">
        <f>(N14-O14*P14)/(O14-1)</f>
        <v>79.238095238095255</v>
      </c>
    </row>
    <row r="17" spans="3:4">
      <c r="C17" t="s">
        <v>31</v>
      </c>
    </row>
    <row r="19" spans="3:4">
      <c r="C19" s="840" t="s">
        <v>28</v>
      </c>
      <c r="D19" s="840" t="s">
        <v>29</v>
      </c>
    </row>
    <row r="20" spans="3:4">
      <c r="C20" s="8">
        <v>2</v>
      </c>
      <c r="D20" s="8">
        <f>G4/$G$8</f>
        <v>0.5</v>
      </c>
    </row>
    <row r="21" spans="3:4">
      <c r="C21" s="8">
        <v>3</v>
      </c>
      <c r="D21" s="8">
        <f>G5/$G$8</f>
        <v>0.125</v>
      </c>
    </row>
    <row r="22" spans="3:4">
      <c r="C22" s="8">
        <v>4</v>
      </c>
      <c r="D22" s="8">
        <f>G6/$G$8</f>
        <v>0.25</v>
      </c>
    </row>
    <row r="23" spans="3:4">
      <c r="C23" s="1078">
        <v>5</v>
      </c>
      <c r="D23" s="1078">
        <f>G7/$G$8</f>
        <v>0.125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228"/>
  <dimension ref="A1:W52"/>
  <sheetViews>
    <sheetView workbookViewId="0"/>
  </sheetViews>
  <sheetFormatPr defaultRowHeight="14.4"/>
  <cols>
    <col min="9" max="10" width="6.33203125" customWidth="1"/>
    <col min="11" max="11" width="3.88671875" customWidth="1"/>
    <col min="12" max="12" width="18.33203125" customWidth="1"/>
    <col min="14" max="14" width="2.33203125" customWidth="1"/>
    <col min="15" max="15" width="104" customWidth="1"/>
    <col min="16" max="16" width="9.109375" customWidth="1"/>
    <col min="17" max="18" width="6.33203125" customWidth="1"/>
    <col min="19" max="19" width="7" customWidth="1"/>
    <col min="20" max="20" width="18.33203125" customWidth="1"/>
  </cols>
  <sheetData>
    <row r="1" spans="1:23">
      <c r="A1" s="1" t="s">
        <v>128</v>
      </c>
      <c r="I1" t="s">
        <v>2734</v>
      </c>
      <c r="Q1" t="s">
        <v>2734</v>
      </c>
    </row>
    <row r="2" spans="1:23" ht="15" customHeight="1"/>
    <row r="3" spans="1:23">
      <c r="A3" s="1552" t="s">
        <v>129</v>
      </c>
      <c r="B3" s="1552"/>
      <c r="C3" s="1552"/>
      <c r="E3" s="1552" t="s">
        <v>130</v>
      </c>
      <c r="F3" s="1552"/>
      <c r="G3" s="1552"/>
      <c r="I3" t="s">
        <v>129</v>
      </c>
      <c r="L3" t="s">
        <v>95</v>
      </c>
      <c r="Q3" t="s">
        <v>129</v>
      </c>
      <c r="T3" t="s">
        <v>95</v>
      </c>
      <c r="W3" t="s">
        <v>137</v>
      </c>
    </row>
    <row r="4" spans="1:23" ht="15" customHeight="1">
      <c r="L4" s="1078"/>
      <c r="M4" s="1078"/>
      <c r="N4" s="8"/>
      <c r="O4" s="8"/>
      <c r="T4" s="1078"/>
      <c r="U4" s="1078"/>
    </row>
    <row r="5" spans="1:23">
      <c r="A5" s="38" t="s">
        <v>131</v>
      </c>
      <c r="B5" s="39" t="s">
        <v>132</v>
      </c>
      <c r="C5" s="20" t="s">
        <v>133</v>
      </c>
      <c r="E5" s="38" t="str">
        <f>A5</f>
        <v>Score</v>
      </c>
      <c r="F5" s="39" t="s">
        <v>134</v>
      </c>
      <c r="G5" s="20" t="s">
        <v>88</v>
      </c>
      <c r="I5" s="840" t="s">
        <v>131</v>
      </c>
      <c r="J5" s="840" t="s">
        <v>132</v>
      </c>
      <c r="L5" t="s">
        <v>76</v>
      </c>
      <c r="M5">
        <f>M16/M17</f>
        <v>5.5</v>
      </c>
      <c r="O5" s="23" t="s">
        <v>2930</v>
      </c>
      <c r="Q5" s="1135" t="s">
        <v>131</v>
      </c>
      <c r="R5" s="1136" t="s">
        <v>132</v>
      </c>
      <c r="T5" t="s">
        <v>76</v>
      </c>
      <c r="U5">
        <f>U16/U17</f>
        <v>5.5</v>
      </c>
      <c r="W5" s="1138" t="e">
        <f t="array" aca="1" ref="W5:W19" ca="1">[1]!Freq2Raw(Q6:Q12,R6:R12)</f>
        <v>#NAME?</v>
      </c>
    </row>
    <row r="6" spans="1:23">
      <c r="A6" s="50">
        <v>5</v>
      </c>
      <c r="B6" s="8">
        <v>1</v>
      </c>
      <c r="C6" s="9">
        <f>B6</f>
        <v>1</v>
      </c>
      <c r="E6" s="50">
        <f>A6</f>
        <v>5</v>
      </c>
      <c r="F6" s="8">
        <v>1</v>
      </c>
      <c r="G6" s="9">
        <f>B6-1</f>
        <v>0</v>
      </c>
      <c r="I6" s="184">
        <v>5</v>
      </c>
      <c r="J6" s="8">
        <v>1</v>
      </c>
      <c r="L6" t="s">
        <v>77</v>
      </c>
      <c r="M6">
        <f>M9/SQRT(M17)</f>
        <v>7.3029674334022132E-2</v>
      </c>
      <c r="O6" s="23" t="s">
        <v>2931</v>
      </c>
      <c r="Q6" s="872">
        <v>5</v>
      </c>
      <c r="R6" s="657">
        <v>1</v>
      </c>
      <c r="T6" t="s">
        <v>77</v>
      </c>
      <c r="U6">
        <f>U9/SQRT(U17)</f>
        <v>7.3029674334022132E-2</v>
      </c>
      <c r="W6" s="946" t="e">
        <f ca="1"/>
        <v>#NAME?</v>
      </c>
    </row>
    <row r="7" spans="1:23">
      <c r="A7" s="50">
        <v>5.0999999999999996</v>
      </c>
      <c r="B7" s="8">
        <v>1</v>
      </c>
      <c r="C7" s="9">
        <f t="shared" ref="C7:C12" si="0">B7+C6</f>
        <v>2</v>
      </c>
      <c r="E7" s="50">
        <f t="shared" ref="E7:E20" si="1">IF(G6=0,INDEX($A$27:$A$33,F6+1),E6)</f>
        <v>5.0999999999999996</v>
      </c>
      <c r="F7" s="8">
        <f>IF(G6=0,F6+1,F6)</f>
        <v>2</v>
      </c>
      <c r="G7" s="9">
        <f t="shared" ref="G7:G20" si="2">IF(G6=0,INDEX($B$27:$B$33,F7)-1,G6-1)</f>
        <v>0</v>
      </c>
      <c r="I7" s="184">
        <v>5.0999999999999996</v>
      </c>
      <c r="J7" s="8">
        <v>1</v>
      </c>
      <c r="L7" t="s">
        <v>78</v>
      </c>
      <c r="M7" t="e">
        <f ca="1">MEDIAN([1]!Freq2Raw(I6:I12,J6:J12))</f>
        <v>#NAME?</v>
      </c>
      <c r="O7" s="23" t="s">
        <v>2932</v>
      </c>
      <c r="Q7" s="872">
        <v>5.0999999999999996</v>
      </c>
      <c r="R7" s="657">
        <v>1</v>
      </c>
      <c r="T7" t="s">
        <v>78</v>
      </c>
      <c r="U7" t="e">
        <f ca="1">MEDIAN([1]!Freq2Raw(Q6:Q12,R6:R12))</f>
        <v>#NAME?</v>
      </c>
      <c r="W7" s="946" t="e">
        <f ca="1"/>
        <v>#NAME?</v>
      </c>
    </row>
    <row r="8" spans="1:23">
      <c r="A8" s="50">
        <v>5.2</v>
      </c>
      <c r="B8" s="8">
        <v>3</v>
      </c>
      <c r="C8" s="9">
        <f t="shared" si="0"/>
        <v>5</v>
      </c>
      <c r="E8" s="50">
        <f t="shared" si="1"/>
        <v>5.2</v>
      </c>
      <c r="F8" s="8">
        <f t="shared" ref="F8:F20" si="3">IF(G7=0,F7+1,F7)</f>
        <v>3</v>
      </c>
      <c r="G8" s="9">
        <f t="shared" si="2"/>
        <v>2</v>
      </c>
      <c r="I8" s="184">
        <v>5.2</v>
      </c>
      <c r="J8" s="8">
        <v>3</v>
      </c>
      <c r="L8" t="s">
        <v>79</v>
      </c>
      <c r="M8">
        <f>IF(COUNTIF(J6:J12,MAX(J6:J12))&gt;1,#N/A,SUMIF(J6:J12,MAX(J6:J12),I6:I12))</f>
        <v>5.7</v>
      </c>
      <c r="O8" s="23" t="s">
        <v>2933</v>
      </c>
      <c r="Q8" s="872">
        <v>5.2</v>
      </c>
      <c r="R8" s="657">
        <v>3</v>
      </c>
      <c r="T8" t="s">
        <v>79</v>
      </c>
      <c r="U8">
        <f>IF(COUNTIF(R6:R12,MAX(R6:R12))&gt;1,#N/A,SUMIF(R6:R12,MAX(R6:R12),Q6:Q12))</f>
        <v>5.7</v>
      </c>
      <c r="W8" s="946" t="e">
        <f ca="1"/>
        <v>#NAME?</v>
      </c>
    </row>
    <row r="9" spans="1:23">
      <c r="A9" s="50">
        <v>5.5</v>
      </c>
      <c r="B9" s="8">
        <v>2</v>
      </c>
      <c r="C9" s="9">
        <f t="shared" si="0"/>
        <v>7</v>
      </c>
      <c r="E9" s="50">
        <f t="shared" si="1"/>
        <v>5.2</v>
      </c>
      <c r="F9" s="8">
        <f t="shared" si="3"/>
        <v>3</v>
      </c>
      <c r="G9" s="9">
        <f t="shared" si="2"/>
        <v>1</v>
      </c>
      <c r="I9" s="184">
        <v>5.5</v>
      </c>
      <c r="J9" s="8">
        <v>2</v>
      </c>
      <c r="L9" t="s">
        <v>80</v>
      </c>
      <c r="M9">
        <f>SQRT(M10)</f>
        <v>0.28284271247461895</v>
      </c>
      <c r="O9" s="23" t="s">
        <v>2934</v>
      </c>
      <c r="Q9" s="872">
        <v>5.5</v>
      </c>
      <c r="R9" s="657">
        <v>2</v>
      </c>
      <c r="T9" t="s">
        <v>80</v>
      </c>
      <c r="U9">
        <f>SQRT(U10)</f>
        <v>0.28284271247461895</v>
      </c>
      <c r="W9" s="946" t="e">
        <f ca="1"/>
        <v>#NAME?</v>
      </c>
    </row>
    <row r="10" spans="1:23">
      <c r="A10" s="50">
        <v>5.6</v>
      </c>
      <c r="B10" s="8">
        <v>1</v>
      </c>
      <c r="C10" s="9">
        <f t="shared" si="0"/>
        <v>8</v>
      </c>
      <c r="E10" s="50">
        <f t="shared" si="1"/>
        <v>5.2</v>
      </c>
      <c r="F10" s="8">
        <f t="shared" si="3"/>
        <v>3</v>
      </c>
      <c r="G10" s="9">
        <f t="shared" si="2"/>
        <v>0</v>
      </c>
      <c r="I10" s="184">
        <v>5.6</v>
      </c>
      <c r="J10" s="8">
        <v>1</v>
      </c>
      <c r="L10" t="s">
        <v>81</v>
      </c>
      <c r="M10">
        <f>SUMPRODUCT((I6:I12-M5)^2,J6:J12)/(M17-1)</f>
        <v>7.9999999999999974E-2</v>
      </c>
      <c r="O10" s="23" t="s">
        <v>2935</v>
      </c>
      <c r="Q10" s="872">
        <v>5.6</v>
      </c>
      <c r="R10" s="657">
        <v>1</v>
      </c>
      <c r="T10" t="s">
        <v>81</v>
      </c>
      <c r="U10">
        <f>SUMPRODUCT((Q6:Q12-U5)^2,R6:R12)/(U17-1)</f>
        <v>7.9999999999999974E-2</v>
      </c>
      <c r="W10" s="946" t="e">
        <f ca="1"/>
        <v>#NAME?</v>
      </c>
    </row>
    <row r="11" spans="1:23">
      <c r="A11" s="50">
        <v>5.7</v>
      </c>
      <c r="B11" s="8">
        <v>4</v>
      </c>
      <c r="C11" s="9">
        <f t="shared" si="0"/>
        <v>12</v>
      </c>
      <c r="E11" s="50">
        <f t="shared" si="1"/>
        <v>5.5</v>
      </c>
      <c r="F11" s="8">
        <f t="shared" si="3"/>
        <v>4</v>
      </c>
      <c r="G11" s="9">
        <f t="shared" si="2"/>
        <v>1</v>
      </c>
      <c r="I11" s="184">
        <v>5.7</v>
      </c>
      <c r="J11" s="8">
        <v>4</v>
      </c>
      <c r="L11" t="s">
        <v>82</v>
      </c>
      <c r="M11">
        <f>M17*(M17+1)*SUMPRODUCT((I6:I12-M5)^4,J6:J12)/((M17-1)*(M17-2)*(M17-3)*M10^2)-3*(M17-1)^2/((M17-2)*(M17-3))</f>
        <v>-1.3104395604395593</v>
      </c>
      <c r="O11" s="23" t="s">
        <v>2936</v>
      </c>
      <c r="Q11" s="872">
        <v>5.7</v>
      </c>
      <c r="R11" s="657">
        <v>4</v>
      </c>
      <c r="T11" t="s">
        <v>82</v>
      </c>
      <c r="U11">
        <f>U17*(U17+1)*SUMPRODUCT((Q6:Q12-U5)^4,R6:R12)/((U17-1)*(U17-2)*(U17-3)*U10^2)-3*(U17-1)^2/((U17-2)*(U17-3))</f>
        <v>-1.3104395604395593</v>
      </c>
      <c r="W11" s="946" t="e">
        <f ca="1"/>
        <v>#NAME?</v>
      </c>
    </row>
    <row r="12" spans="1:23">
      <c r="A12" s="51">
        <v>5.8</v>
      </c>
      <c r="B12" s="11">
        <v>3</v>
      </c>
      <c r="C12" s="12">
        <f t="shared" si="0"/>
        <v>15</v>
      </c>
      <c r="E12" s="50">
        <f t="shared" si="1"/>
        <v>5.5</v>
      </c>
      <c r="F12" s="8">
        <f t="shared" si="3"/>
        <v>4</v>
      </c>
      <c r="G12" s="9">
        <f t="shared" si="2"/>
        <v>0</v>
      </c>
      <c r="I12" s="1385">
        <v>5.8</v>
      </c>
      <c r="J12" s="1078">
        <v>3</v>
      </c>
      <c r="L12" t="s">
        <v>83</v>
      </c>
      <c r="M12">
        <f>M17*SUMPRODUCT((I6:I12-M5)^3,J6:J12)/((M17-1)*(M17-2)*M9^3)</f>
        <v>-0.56821080631061915</v>
      </c>
      <c r="O12" s="23" t="s">
        <v>2937</v>
      </c>
      <c r="Q12" s="1137">
        <v>5.8</v>
      </c>
      <c r="R12" s="541">
        <v>3</v>
      </c>
      <c r="T12" t="s">
        <v>83</v>
      </c>
      <c r="U12">
        <f>U17*SUMPRODUCT((Q6:Q12-U5)^3,R6:R12)/((U17-1)*(U17-2)*U9^3)</f>
        <v>-0.56821080631061915</v>
      </c>
      <c r="W12" s="946" t="e">
        <f ca="1"/>
        <v>#NAME?</v>
      </c>
    </row>
    <row r="13" spans="1:23">
      <c r="E13" s="50">
        <f t="shared" si="1"/>
        <v>5.6</v>
      </c>
      <c r="F13" s="8">
        <f t="shared" si="3"/>
        <v>5</v>
      </c>
      <c r="G13" s="9">
        <f t="shared" si="2"/>
        <v>0</v>
      </c>
      <c r="L13" t="s">
        <v>84</v>
      </c>
      <c r="M13" s="64">
        <f>M14-M15</f>
        <v>0.79999999999999982</v>
      </c>
      <c r="O13" s="23" t="s">
        <v>2938</v>
      </c>
      <c r="T13" t="s">
        <v>84</v>
      </c>
      <c r="U13" s="64">
        <f>U14-U15</f>
        <v>0.79999999999999982</v>
      </c>
      <c r="W13" s="946" t="e">
        <f ca="1"/>
        <v>#NAME?</v>
      </c>
    </row>
    <row r="14" spans="1:23">
      <c r="E14" s="50">
        <f t="shared" si="1"/>
        <v>5.7</v>
      </c>
      <c r="F14" s="8">
        <f t="shared" si="3"/>
        <v>6</v>
      </c>
      <c r="G14" s="9">
        <f t="shared" si="2"/>
        <v>3</v>
      </c>
      <c r="L14" t="s">
        <v>86</v>
      </c>
      <c r="M14" s="64">
        <f>MAX(I6:I12)</f>
        <v>5.8</v>
      </c>
      <c r="N14" s="64"/>
      <c r="O14" s="1139" t="s">
        <v>2939</v>
      </c>
      <c r="T14" t="s">
        <v>86</v>
      </c>
      <c r="U14" s="64">
        <f>MAX(Q6:Q12)</f>
        <v>5.8</v>
      </c>
      <c r="W14" s="946" t="e">
        <f ca="1"/>
        <v>#NAME?</v>
      </c>
    </row>
    <row r="15" spans="1:23">
      <c r="E15" s="50">
        <f t="shared" si="1"/>
        <v>5.7</v>
      </c>
      <c r="F15" s="8">
        <f t="shared" si="3"/>
        <v>6</v>
      </c>
      <c r="G15" s="9">
        <f t="shared" si="2"/>
        <v>2</v>
      </c>
      <c r="L15" t="s">
        <v>85</v>
      </c>
      <c r="M15" s="64">
        <f>MIN(I6:I12)</f>
        <v>5</v>
      </c>
      <c r="N15" s="64"/>
      <c r="O15" s="1139" t="s">
        <v>2940</v>
      </c>
      <c r="T15" t="s">
        <v>85</v>
      </c>
      <c r="U15" s="64">
        <f>MIN(Q6:Q12)</f>
        <v>5</v>
      </c>
      <c r="W15" s="946" t="e">
        <f ca="1"/>
        <v>#NAME?</v>
      </c>
    </row>
    <row r="16" spans="1:23">
      <c r="E16" s="50">
        <f t="shared" si="1"/>
        <v>5.7</v>
      </c>
      <c r="F16" s="8">
        <f t="shared" si="3"/>
        <v>6</v>
      </c>
      <c r="G16" s="9">
        <f t="shared" si="2"/>
        <v>1</v>
      </c>
      <c r="L16" t="s">
        <v>87</v>
      </c>
      <c r="M16">
        <f>SUMPRODUCT(I6:I12,J6:J12)</f>
        <v>82.5</v>
      </c>
      <c r="O16" s="23" t="s">
        <v>2941</v>
      </c>
      <c r="T16" t="s">
        <v>87</v>
      </c>
      <c r="U16">
        <f>SUMPRODUCT(Q6:Q12,R6:R12)</f>
        <v>82.5</v>
      </c>
      <c r="W16" s="946" t="e">
        <f ca="1"/>
        <v>#NAME?</v>
      </c>
    </row>
    <row r="17" spans="1:23">
      <c r="E17" s="50">
        <f t="shared" si="1"/>
        <v>5.7</v>
      </c>
      <c r="F17" s="8">
        <f t="shared" si="3"/>
        <v>6</v>
      </c>
      <c r="G17" s="9">
        <f t="shared" si="2"/>
        <v>0</v>
      </c>
      <c r="L17" t="s">
        <v>88</v>
      </c>
      <c r="M17">
        <f>SUM(J6:J12)</f>
        <v>15</v>
      </c>
      <c r="O17" s="23" t="s">
        <v>2942</v>
      </c>
      <c r="T17" t="s">
        <v>88</v>
      </c>
      <c r="U17">
        <f>SUM(R6:R12)</f>
        <v>15</v>
      </c>
      <c r="W17" s="946" t="e">
        <f ca="1"/>
        <v>#NAME?</v>
      </c>
    </row>
    <row r="18" spans="1:23">
      <c r="E18" s="50">
        <f t="shared" si="1"/>
        <v>5.8</v>
      </c>
      <c r="F18" s="8">
        <f t="shared" si="3"/>
        <v>7</v>
      </c>
      <c r="G18" s="9">
        <f t="shared" si="2"/>
        <v>2</v>
      </c>
      <c r="L18" t="s">
        <v>33</v>
      </c>
      <c r="M18">
        <f t="array" ref="M18">PRODUCT(I6:I12^J6:J12)^(1/M17)</f>
        <v>5.493086880815456</v>
      </c>
      <c r="O18" s="23" t="s">
        <v>2943</v>
      </c>
      <c r="T18" t="s">
        <v>33</v>
      </c>
      <c r="U18">
        <f t="array" ref="U18">PRODUCT(Q6:Q12^R6:R12)^(1/U17)</f>
        <v>5.493086880815456</v>
      </c>
      <c r="W18" s="946" t="e">
        <f ca="1"/>
        <v>#NAME?</v>
      </c>
    </row>
    <row r="19" spans="1:23">
      <c r="E19" s="50">
        <f t="shared" si="1"/>
        <v>5.8</v>
      </c>
      <c r="F19" s="8">
        <f t="shared" si="3"/>
        <v>7</v>
      </c>
      <c r="G19" s="9">
        <f t="shared" si="2"/>
        <v>1</v>
      </c>
      <c r="L19" t="s">
        <v>91</v>
      </c>
      <c r="M19">
        <f>M17/SUMPRODUCT(1/I6:I12*J6:J12)</f>
        <v>5.4860552296314848</v>
      </c>
      <c r="O19" s="23" t="s">
        <v>2944</v>
      </c>
      <c r="T19" t="s">
        <v>91</v>
      </c>
      <c r="U19">
        <f>U17/SUMPRODUCT(1/Q6:Q12*R6:R12)</f>
        <v>5.4860552296314848</v>
      </c>
      <c r="W19" s="1073" t="e">
        <f ca="1"/>
        <v>#NAME?</v>
      </c>
    </row>
    <row r="20" spans="1:23">
      <c r="E20" s="51">
        <f t="shared" si="1"/>
        <v>5.8</v>
      </c>
      <c r="F20" s="11">
        <f t="shared" si="3"/>
        <v>7</v>
      </c>
      <c r="G20" s="12">
        <f t="shared" si="2"/>
        <v>0</v>
      </c>
      <c r="L20" t="s">
        <v>92</v>
      </c>
      <c r="M20">
        <f>SUMPRODUCT(ABS(I6:I12-M5),J6:J12)/M17</f>
        <v>0.23999999999999996</v>
      </c>
      <c r="O20" s="23" t="s">
        <v>2945</v>
      </c>
      <c r="T20" t="s">
        <v>92</v>
      </c>
      <c r="U20">
        <f>SUMPRODUCT(ABS(Q6:Q12-U5),R6:R12)/U17</f>
        <v>0.23999999999999996</v>
      </c>
    </row>
    <row r="21" spans="1:23">
      <c r="L21" t="s">
        <v>93</v>
      </c>
      <c r="M21" t="e">
        <f ca="1">[1]!MAD([1]!Freq2Raw(I6:I12,J6:J12))</f>
        <v>#NAME?</v>
      </c>
      <c r="O21" s="23" t="s">
        <v>2947</v>
      </c>
      <c r="T21" t="s">
        <v>93</v>
      </c>
      <c r="U21" t="e">
        <f ca="1">[1]!MAD([1]!Freq2Raw(Q6:Q12,R6:R12))</f>
        <v>#NAME?</v>
      </c>
    </row>
    <row r="22" spans="1:23">
      <c r="A22" s="1" t="s">
        <v>135</v>
      </c>
      <c r="L22" s="1078" t="s">
        <v>94</v>
      </c>
      <c r="M22" s="1078" t="e">
        <f ca="1">[1]!Iqr([1]!Freq2Raw(I6:I12,J6:J12))</f>
        <v>#NAME?</v>
      </c>
      <c r="O22" s="23" t="s">
        <v>2946</v>
      </c>
      <c r="T22" s="1078" t="s">
        <v>94</v>
      </c>
      <c r="U22" s="1078" t="e">
        <f ca="1">[1]!Iqr([1]!Freq2Raw(Q6:Q12,R6:R12))</f>
        <v>#NAME?</v>
      </c>
    </row>
    <row r="24" spans="1:23">
      <c r="A24" s="1552" t="s">
        <v>129</v>
      </c>
      <c r="B24" s="1552"/>
      <c r="C24" s="1552"/>
    </row>
    <row r="26" spans="1:23">
      <c r="A26" s="38" t="s">
        <v>131</v>
      </c>
      <c r="B26" s="39" t="s">
        <v>132</v>
      </c>
      <c r="C26" s="20" t="s">
        <v>133</v>
      </c>
    </row>
    <row r="27" spans="1:23">
      <c r="A27" s="50">
        <v>5</v>
      </c>
      <c r="B27" s="8">
        <v>1</v>
      </c>
      <c r="C27" s="9">
        <f>B27</f>
        <v>1</v>
      </c>
    </row>
    <row r="28" spans="1:23">
      <c r="A28" s="50">
        <v>5.0999999999999996</v>
      </c>
      <c r="B28" s="8">
        <v>1</v>
      </c>
      <c r="C28" s="9">
        <f>B28+C27</f>
        <v>2</v>
      </c>
    </row>
    <row r="29" spans="1:23">
      <c r="A29" s="50">
        <v>5.2</v>
      </c>
      <c r="B29" s="8">
        <v>3</v>
      </c>
      <c r="C29" s="9">
        <f>B29+C28</f>
        <v>5</v>
      </c>
    </row>
    <row r="30" spans="1:23">
      <c r="A30" s="50">
        <v>5.5</v>
      </c>
      <c r="B30" s="8">
        <v>2</v>
      </c>
      <c r="C30" s="9">
        <f>B30+C29</f>
        <v>7</v>
      </c>
    </row>
    <row r="31" spans="1:23">
      <c r="A31" s="50">
        <v>5.6</v>
      </c>
      <c r="B31" s="8">
        <v>1</v>
      </c>
      <c r="C31" s="9">
        <f>B31+C30</f>
        <v>8</v>
      </c>
    </row>
    <row r="32" spans="1:23">
      <c r="A32" s="50">
        <v>5.7</v>
      </c>
      <c r="B32" s="8">
        <v>4</v>
      </c>
      <c r="C32" s="9">
        <f>B32+C31</f>
        <v>12</v>
      </c>
    </row>
    <row r="33" spans="1:3">
      <c r="A33" s="51">
        <v>5.8</v>
      </c>
      <c r="B33" s="11">
        <v>3</v>
      </c>
      <c r="C33" s="12">
        <f>B33+Length!J14</f>
        <v>3</v>
      </c>
    </row>
    <row r="35" spans="1:3">
      <c r="A35" s="1552" t="s">
        <v>130</v>
      </c>
      <c r="B35" s="1552"/>
      <c r="C35" s="1552"/>
    </row>
    <row r="37" spans="1:3">
      <c r="A37" s="38" t="str">
        <f>A26</f>
        <v>Score</v>
      </c>
      <c r="B37" s="39" t="s">
        <v>134</v>
      </c>
      <c r="C37" s="20" t="s">
        <v>88</v>
      </c>
    </row>
    <row r="38" spans="1:3">
      <c r="A38" s="50">
        <f>A27</f>
        <v>5</v>
      </c>
      <c r="B38" s="8">
        <f>ROW(A27)</f>
        <v>27</v>
      </c>
      <c r="C38" s="9">
        <f>B27-1</f>
        <v>0</v>
      </c>
    </row>
    <row r="39" spans="1:3">
      <c r="A39" s="50">
        <f t="shared" ref="A39:A52" ca="1" si="4">INDIRECT("R"&amp;B39&amp;"C"&amp;COLUMN(A39),FALSE)</f>
        <v>5.0999999999999996</v>
      </c>
      <c r="B39" s="8">
        <f t="shared" ref="B39:B52" si="5">IF(C38=0,B38+1,B38)</f>
        <v>28</v>
      </c>
      <c r="C39" s="9">
        <f t="shared" ref="C39:C52" ca="1" si="6">IF(C38=0,INDIRECT("R"&amp;B39&amp;"C"&amp;COLUMN(B39),FALSE)-1,C38-1)</f>
        <v>0</v>
      </c>
    </row>
    <row r="40" spans="1:3">
      <c r="A40" s="50">
        <f t="shared" ca="1" si="4"/>
        <v>5.2</v>
      </c>
      <c r="B40" s="8">
        <f t="shared" ca="1" si="5"/>
        <v>29</v>
      </c>
      <c r="C40" s="9">
        <f t="shared" ca="1" si="6"/>
        <v>2</v>
      </c>
    </row>
    <row r="41" spans="1:3">
      <c r="A41" s="50">
        <f t="shared" ca="1" si="4"/>
        <v>5.2</v>
      </c>
      <c r="B41" s="8">
        <f t="shared" ca="1" si="5"/>
        <v>29</v>
      </c>
      <c r="C41" s="9">
        <f t="shared" ca="1" si="6"/>
        <v>1</v>
      </c>
    </row>
    <row r="42" spans="1:3">
      <c r="A42" s="50">
        <f t="shared" ca="1" si="4"/>
        <v>5.2</v>
      </c>
      <c r="B42" s="8">
        <f t="shared" ca="1" si="5"/>
        <v>29</v>
      </c>
      <c r="C42" s="9">
        <f t="shared" ca="1" si="6"/>
        <v>0</v>
      </c>
    </row>
    <row r="43" spans="1:3">
      <c r="A43" s="50">
        <f t="shared" ca="1" si="4"/>
        <v>5.5</v>
      </c>
      <c r="B43" s="8">
        <f t="shared" ca="1" si="5"/>
        <v>30</v>
      </c>
      <c r="C43" s="9">
        <f t="shared" ca="1" si="6"/>
        <v>1</v>
      </c>
    </row>
    <row r="44" spans="1:3">
      <c r="A44" s="50">
        <f t="shared" ca="1" si="4"/>
        <v>5.5</v>
      </c>
      <c r="B44" s="8">
        <f t="shared" ca="1" si="5"/>
        <v>30</v>
      </c>
      <c r="C44" s="9">
        <f t="shared" ca="1" si="6"/>
        <v>0</v>
      </c>
    </row>
    <row r="45" spans="1:3">
      <c r="A45" s="50">
        <f t="shared" ca="1" si="4"/>
        <v>5.6</v>
      </c>
      <c r="B45" s="8">
        <f t="shared" ca="1" si="5"/>
        <v>31</v>
      </c>
      <c r="C45" s="9">
        <f t="shared" ca="1" si="6"/>
        <v>0</v>
      </c>
    </row>
    <row r="46" spans="1:3">
      <c r="A46" s="50">
        <f t="shared" ca="1" si="4"/>
        <v>5.7</v>
      </c>
      <c r="B46" s="8">
        <f t="shared" ca="1" si="5"/>
        <v>32</v>
      </c>
      <c r="C46" s="9">
        <f t="shared" ca="1" si="6"/>
        <v>3</v>
      </c>
    </row>
    <row r="47" spans="1:3">
      <c r="A47" s="50">
        <f t="shared" ca="1" si="4"/>
        <v>5.7</v>
      </c>
      <c r="B47" s="8">
        <f t="shared" ca="1" si="5"/>
        <v>32</v>
      </c>
      <c r="C47" s="9">
        <f t="shared" ca="1" si="6"/>
        <v>2</v>
      </c>
    </row>
    <row r="48" spans="1:3">
      <c r="A48" s="50">
        <f t="shared" ca="1" si="4"/>
        <v>5.7</v>
      </c>
      <c r="B48" s="8">
        <f t="shared" ca="1" si="5"/>
        <v>32</v>
      </c>
      <c r="C48" s="9">
        <f t="shared" ca="1" si="6"/>
        <v>1</v>
      </c>
    </row>
    <row r="49" spans="1:3">
      <c r="A49" s="50">
        <f t="shared" ca="1" si="4"/>
        <v>5.7</v>
      </c>
      <c r="B49" s="8">
        <f t="shared" ca="1" si="5"/>
        <v>32</v>
      </c>
      <c r="C49" s="9">
        <f t="shared" ca="1" si="6"/>
        <v>0</v>
      </c>
    </row>
    <row r="50" spans="1:3">
      <c r="A50" s="50">
        <f t="shared" ca="1" si="4"/>
        <v>5.8</v>
      </c>
      <c r="B50" s="8">
        <f t="shared" ca="1" si="5"/>
        <v>33</v>
      </c>
      <c r="C50" s="9">
        <f t="shared" ca="1" si="6"/>
        <v>2</v>
      </c>
    </row>
    <row r="51" spans="1:3">
      <c r="A51" s="50">
        <f t="shared" ca="1" si="4"/>
        <v>5.8</v>
      </c>
      <c r="B51" s="8">
        <f t="shared" ca="1" si="5"/>
        <v>33</v>
      </c>
      <c r="C51" s="9">
        <f t="shared" ca="1" si="6"/>
        <v>1</v>
      </c>
    </row>
    <row r="52" spans="1:3">
      <c r="A52" s="51">
        <f t="shared" ca="1" si="4"/>
        <v>5.8</v>
      </c>
      <c r="B52" s="11">
        <f t="shared" ca="1" si="5"/>
        <v>33</v>
      </c>
      <c r="C52" s="12">
        <f t="shared" ca="1" si="6"/>
        <v>0</v>
      </c>
    </row>
  </sheetData>
  <mergeCells count="4">
    <mergeCell ref="A3:C3"/>
    <mergeCell ref="E3:G3"/>
    <mergeCell ref="A24:C24"/>
    <mergeCell ref="A35:C3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4"/>
  <dimension ref="A1:S33"/>
  <sheetViews>
    <sheetView workbookViewId="0">
      <selection activeCell="N7" sqref="N7"/>
    </sheetView>
  </sheetViews>
  <sheetFormatPr defaultRowHeight="14.4"/>
  <sheetData>
    <row r="1" spans="1:19">
      <c r="A1" s="1" t="s">
        <v>108</v>
      </c>
      <c r="M1" t="s">
        <v>2952</v>
      </c>
      <c r="Q1" t="s">
        <v>2953</v>
      </c>
    </row>
    <row r="2" spans="1:19">
      <c r="A2" s="25"/>
      <c r="B2" s="25"/>
      <c r="C2" s="174"/>
      <c r="D2" s="25"/>
      <c r="E2" s="25"/>
    </row>
    <row r="3" spans="1:19">
      <c r="A3" s="1553" t="s">
        <v>70</v>
      </c>
      <c r="B3" s="1553"/>
      <c r="C3" s="8"/>
      <c r="D3" s="822" t="s">
        <v>109</v>
      </c>
      <c r="E3" s="822" t="s">
        <v>88</v>
      </c>
      <c r="M3" s="19" t="s">
        <v>2588</v>
      </c>
      <c r="N3" s="19" t="s">
        <v>100</v>
      </c>
      <c r="O3" s="19" t="s">
        <v>2948</v>
      </c>
      <c r="Q3" t="s">
        <v>129</v>
      </c>
    </row>
    <row r="4" spans="1:19">
      <c r="A4" s="5">
        <v>34</v>
      </c>
      <c r="B4" s="5">
        <v>20</v>
      </c>
      <c r="C4" s="8"/>
      <c r="D4" s="5">
        <v>20</v>
      </c>
      <c r="E4" s="5">
        <f t="array" ref="E4:E8">FREQUENCY(A4:B14,D4:D7)</f>
        <v>6</v>
      </c>
      <c r="M4" s="1067" t="e">
        <f t="array" aca="1" ref="M4:O11" ca="1">[1]!FREQTABLE(A4:B14,15)</f>
        <v>#NAME?</v>
      </c>
      <c r="N4" s="1117" t="e">
        <f ca="1"/>
        <v>#NAME?</v>
      </c>
      <c r="O4" s="1071" t="e">
        <f ca="1"/>
        <v>#NAME?</v>
      </c>
    </row>
    <row r="5" spans="1:19">
      <c r="A5" s="8">
        <v>45</v>
      </c>
      <c r="B5" s="8">
        <v>34</v>
      </c>
      <c r="C5" s="8"/>
      <c r="D5" s="8">
        <v>40</v>
      </c>
      <c r="E5" s="8">
        <v>10</v>
      </c>
      <c r="M5" s="656" t="e">
        <f ca="1"/>
        <v>#NAME?</v>
      </c>
      <c r="N5" s="8" t="e">
        <f ca="1"/>
        <v>#NAME?</v>
      </c>
      <c r="O5" s="657" t="e">
        <f ca="1"/>
        <v>#NAME?</v>
      </c>
      <c r="Q5" t="s">
        <v>2950</v>
      </c>
      <c r="R5">
        <v>15</v>
      </c>
    </row>
    <row r="6" spans="1:19">
      <c r="A6" s="8">
        <v>23</v>
      </c>
      <c r="B6" s="8">
        <v>29</v>
      </c>
      <c r="C6" s="8"/>
      <c r="D6" s="8">
        <v>60</v>
      </c>
      <c r="E6" s="8">
        <v>2</v>
      </c>
      <c r="M6" s="656" t="e">
        <f ca="1"/>
        <v>#NAME?</v>
      </c>
      <c r="N6" s="8" t="e">
        <f ca="1"/>
        <v>#NAME?</v>
      </c>
      <c r="O6" s="657" t="e">
        <f ca="1"/>
        <v>#NAME?</v>
      </c>
    </row>
    <row r="7" spans="1:19">
      <c r="A7" s="8">
        <v>22</v>
      </c>
      <c r="B7" s="8">
        <v>12</v>
      </c>
      <c r="C7" s="8"/>
      <c r="D7" s="8">
        <v>80</v>
      </c>
      <c r="E7" s="8">
        <v>3</v>
      </c>
      <c r="M7" s="656" t="e">
        <f ca="1"/>
        <v>#NAME?</v>
      </c>
      <c r="N7" s="8" t="e">
        <f ca="1"/>
        <v>#NAME?</v>
      </c>
      <c r="O7" s="657" t="e">
        <f ca="1"/>
        <v>#NAME?</v>
      </c>
      <c r="Q7" s="1103" t="s">
        <v>2588</v>
      </c>
      <c r="R7" s="1103" t="s">
        <v>100</v>
      </c>
      <c r="S7" s="1103" t="s">
        <v>2948</v>
      </c>
    </row>
    <row r="8" spans="1:19">
      <c r="A8" s="8">
        <v>7</v>
      </c>
      <c r="B8" s="8">
        <v>72</v>
      </c>
      <c r="C8" s="8"/>
      <c r="D8" s="454" t="s">
        <v>110</v>
      </c>
      <c r="E8" s="11">
        <v>1</v>
      </c>
      <c r="M8" s="656" t="e">
        <f ca="1"/>
        <v>#NAME?</v>
      </c>
      <c r="N8" s="8" t="e">
        <f ca="1"/>
        <v>#NAME?</v>
      </c>
      <c r="O8" s="657" t="e">
        <f ca="1"/>
        <v>#NAME?</v>
      </c>
      <c r="Q8">
        <f t="shared" ref="Q8:Q13" si="0">Q9-$R$5</f>
        <v>0</v>
      </c>
    </row>
    <row r="9" spans="1:19">
      <c r="A9" s="8">
        <v>34</v>
      </c>
      <c r="B9" s="8">
        <v>23</v>
      </c>
      <c r="C9" s="8"/>
      <c r="D9" s="8"/>
      <c r="E9" s="8"/>
      <c r="M9" s="656" t="e">
        <f ca="1"/>
        <v>#NAME?</v>
      </c>
      <c r="N9" s="8" t="e">
        <f ca="1"/>
        <v>#NAME?</v>
      </c>
      <c r="O9" s="657" t="e">
        <f ca="1"/>
        <v>#NAME?</v>
      </c>
      <c r="Q9">
        <f t="shared" si="0"/>
        <v>15</v>
      </c>
      <c r="R9">
        <f t="shared" ref="R9:R14" si="1">S9-S8</f>
        <v>5</v>
      </c>
      <c r="S9">
        <f t="shared" ref="S9:S14" si="2">COUNTIF($A$4:$B$14,"&lt;="&amp;Q9)</f>
        <v>5</v>
      </c>
    </row>
    <row r="10" spans="1:19">
      <c r="A10" s="8">
        <v>9</v>
      </c>
      <c r="B10" s="8">
        <v>10</v>
      </c>
      <c r="C10" s="8"/>
      <c r="D10" s="8"/>
      <c r="E10" s="8"/>
      <c r="M10" s="656" t="e">
        <f ca="1"/>
        <v>#NAME?</v>
      </c>
      <c r="N10" s="8" t="e">
        <f ca="1"/>
        <v>#NAME?</v>
      </c>
      <c r="O10" s="657" t="e">
        <f ca="1"/>
        <v>#NAME?</v>
      </c>
      <c r="Q10">
        <f t="shared" si="0"/>
        <v>30</v>
      </c>
      <c r="R10">
        <f t="shared" si="1"/>
        <v>8</v>
      </c>
      <c r="S10">
        <f t="shared" si="2"/>
        <v>13</v>
      </c>
    </row>
    <row r="11" spans="1:19">
      <c r="A11" s="8">
        <v>66</v>
      </c>
      <c r="B11" s="8">
        <v>14</v>
      </c>
      <c r="C11" s="8"/>
      <c r="D11" s="8"/>
      <c r="E11" s="8"/>
      <c r="M11" s="533" t="e">
        <f ca="1"/>
        <v>#NAME?</v>
      </c>
      <c r="N11" s="1078" t="e">
        <f ca="1"/>
        <v>#NAME?</v>
      </c>
      <c r="O11" s="541" t="e">
        <f ca="1"/>
        <v>#NAME?</v>
      </c>
      <c r="Q11">
        <f t="shared" si="0"/>
        <v>45</v>
      </c>
      <c r="R11">
        <f t="shared" si="1"/>
        <v>5</v>
      </c>
      <c r="S11">
        <f t="shared" si="2"/>
        <v>18</v>
      </c>
    </row>
    <row r="12" spans="1:19">
      <c r="A12" s="8">
        <v>29</v>
      </c>
      <c r="B12" s="8">
        <v>23</v>
      </c>
      <c r="C12" s="8"/>
      <c r="D12" s="8"/>
      <c r="E12" s="8"/>
      <c r="Q12">
        <f t="shared" si="0"/>
        <v>60</v>
      </c>
      <c r="R12">
        <f t="shared" si="1"/>
        <v>0</v>
      </c>
      <c r="S12">
        <f t="shared" si="2"/>
        <v>18</v>
      </c>
    </row>
    <row r="13" spans="1:19">
      <c r="A13" s="8">
        <v>67</v>
      </c>
      <c r="B13" s="8">
        <v>24</v>
      </c>
      <c r="C13" s="8"/>
      <c r="D13" s="8"/>
      <c r="E13" s="8"/>
      <c r="Q13">
        <f t="shared" si="0"/>
        <v>75</v>
      </c>
      <c r="R13">
        <f t="shared" si="1"/>
        <v>3</v>
      </c>
      <c r="S13">
        <f t="shared" si="2"/>
        <v>21</v>
      </c>
    </row>
    <row r="14" spans="1:19">
      <c r="A14" s="11">
        <v>44</v>
      </c>
      <c r="B14" s="11">
        <v>90</v>
      </c>
      <c r="C14" s="8"/>
      <c r="D14" s="8"/>
      <c r="E14" s="8"/>
      <c r="Q14" s="1078">
        <f>MAX(A4:B14)</f>
        <v>90</v>
      </c>
      <c r="R14" s="1078">
        <f t="shared" si="1"/>
        <v>1</v>
      </c>
      <c r="S14" s="1078">
        <f t="shared" si="2"/>
        <v>22</v>
      </c>
    </row>
    <row r="15" spans="1:19">
      <c r="A15" s="8"/>
      <c r="B15" s="8"/>
      <c r="C15" s="8"/>
      <c r="D15" s="8"/>
      <c r="E15" s="8"/>
    </row>
    <row r="16" spans="1:19">
      <c r="A16" s="1" t="s">
        <v>111</v>
      </c>
      <c r="B16" s="1"/>
      <c r="C16" s="1"/>
      <c r="D16" s="1"/>
      <c r="E16" s="1"/>
    </row>
    <row r="17" spans="1:19" ht="15" thickBot="1"/>
    <row r="18" spans="1:19">
      <c r="A18" s="27" t="s">
        <v>112</v>
      </c>
      <c r="B18" s="27" t="s">
        <v>108</v>
      </c>
    </row>
    <row r="19" spans="1:19">
      <c r="A19" s="29">
        <v>20</v>
      </c>
      <c r="B19" s="28">
        <v>6</v>
      </c>
    </row>
    <row r="20" spans="1:19">
      <c r="A20" s="29">
        <v>40</v>
      </c>
      <c r="B20" s="28">
        <v>10</v>
      </c>
    </row>
    <row r="21" spans="1:19">
      <c r="A21" s="29">
        <v>60</v>
      </c>
      <c r="B21" s="28">
        <v>2</v>
      </c>
      <c r="M21" t="s">
        <v>2952</v>
      </c>
      <c r="Q21" t="s">
        <v>129</v>
      </c>
    </row>
    <row r="22" spans="1:19">
      <c r="A22" s="29">
        <v>80</v>
      </c>
      <c r="B22" s="28">
        <v>3</v>
      </c>
      <c r="M22" t="s">
        <v>3310</v>
      </c>
    </row>
    <row r="23" spans="1:19" ht="15" thickBot="1">
      <c r="A23" s="31" t="s">
        <v>113</v>
      </c>
      <c r="B23" s="31">
        <v>1</v>
      </c>
      <c r="Q23" t="s">
        <v>2950</v>
      </c>
      <c r="R23">
        <v>15</v>
      </c>
    </row>
    <row r="24" spans="1:19">
      <c r="M24" s="19" t="s">
        <v>2588</v>
      </c>
      <c r="N24" s="19" t="s">
        <v>100</v>
      </c>
      <c r="O24" s="19" t="s">
        <v>2948</v>
      </c>
    </row>
    <row r="25" spans="1:19">
      <c r="M25" s="1067" t="e">
        <f t="array" aca="1" ref="M25:O32" ca="1">[1]!FREQTABLE(A4:B14,15,100)</f>
        <v>#NAME?</v>
      </c>
      <c r="N25" s="1117" t="e">
        <f ca="1"/>
        <v>#NAME?</v>
      </c>
      <c r="O25" s="1071" t="e">
        <f ca="1"/>
        <v>#NAME?</v>
      </c>
      <c r="Q25" s="1219" t="s">
        <v>2588</v>
      </c>
      <c r="R25" s="1219" t="s">
        <v>100</v>
      </c>
      <c r="S25" s="1219" t="s">
        <v>2948</v>
      </c>
    </row>
    <row r="26" spans="1:19">
      <c r="M26" s="656" t="e">
        <f ca="1"/>
        <v>#NAME?</v>
      </c>
      <c r="N26" s="8" t="e">
        <f ca="1"/>
        <v>#NAME?</v>
      </c>
      <c r="O26" s="657" t="e">
        <f ca="1"/>
        <v>#NAME?</v>
      </c>
      <c r="Q26">
        <f t="shared" ref="Q26:Q31" si="3">Q27-$R$23</f>
        <v>-5</v>
      </c>
    </row>
    <row r="27" spans="1:19">
      <c r="M27" s="656" t="e">
        <f ca="1"/>
        <v>#NAME?</v>
      </c>
      <c r="N27" s="8" t="e">
        <f ca="1"/>
        <v>#NAME?</v>
      </c>
      <c r="O27" s="657" t="e">
        <f ca="1"/>
        <v>#NAME?</v>
      </c>
      <c r="Q27">
        <f t="shared" si="3"/>
        <v>10</v>
      </c>
      <c r="R27">
        <f>S27-S26</f>
        <v>3</v>
      </c>
      <c r="S27">
        <f>COUNTIF($A$4:$B$14,"&lt;="&amp;Q27)</f>
        <v>3</v>
      </c>
    </row>
    <row r="28" spans="1:19">
      <c r="M28" s="656" t="e">
        <f ca="1"/>
        <v>#NAME?</v>
      </c>
      <c r="N28" s="8" t="e">
        <f ca="1"/>
        <v>#NAME?</v>
      </c>
      <c r="O28" s="657" t="e">
        <f ca="1"/>
        <v>#NAME?</v>
      </c>
      <c r="Q28">
        <f t="shared" si="3"/>
        <v>25</v>
      </c>
      <c r="R28">
        <f t="shared" ref="R28:R33" si="4">S28-S27</f>
        <v>8</v>
      </c>
      <c r="S28">
        <f t="shared" ref="S28:S33" si="5">COUNTIF($A$4:$B$14,"&lt;="&amp;Q28)</f>
        <v>11</v>
      </c>
    </row>
    <row r="29" spans="1:19">
      <c r="M29" s="656" t="e">
        <f ca="1"/>
        <v>#NAME?</v>
      </c>
      <c r="N29" s="8" t="e">
        <f ca="1"/>
        <v>#NAME?</v>
      </c>
      <c r="O29" s="657" t="e">
        <f ca="1"/>
        <v>#NAME?</v>
      </c>
      <c r="Q29">
        <f t="shared" si="3"/>
        <v>40</v>
      </c>
      <c r="R29">
        <f t="shared" si="4"/>
        <v>5</v>
      </c>
      <c r="S29">
        <f t="shared" si="5"/>
        <v>16</v>
      </c>
    </row>
    <row r="30" spans="1:19">
      <c r="M30" s="656" t="e">
        <f ca="1"/>
        <v>#NAME?</v>
      </c>
      <c r="N30" s="8" t="e">
        <f ca="1"/>
        <v>#NAME?</v>
      </c>
      <c r="O30" s="657" t="e">
        <f ca="1"/>
        <v>#NAME?</v>
      </c>
      <c r="Q30">
        <f t="shared" si="3"/>
        <v>55</v>
      </c>
      <c r="R30">
        <f t="shared" si="4"/>
        <v>2</v>
      </c>
      <c r="S30">
        <f t="shared" si="5"/>
        <v>18</v>
      </c>
    </row>
    <row r="31" spans="1:19">
      <c r="M31" s="656" t="e">
        <f ca="1"/>
        <v>#NAME?</v>
      </c>
      <c r="N31" s="8" t="e">
        <f ca="1"/>
        <v>#NAME?</v>
      </c>
      <c r="O31" s="657" t="e">
        <f ca="1"/>
        <v>#NAME?</v>
      </c>
      <c r="Q31">
        <f t="shared" si="3"/>
        <v>70</v>
      </c>
      <c r="R31">
        <f t="shared" si="4"/>
        <v>2</v>
      </c>
      <c r="S31">
        <f t="shared" si="5"/>
        <v>20</v>
      </c>
    </row>
    <row r="32" spans="1:19">
      <c r="M32" s="533" t="e">
        <f ca="1"/>
        <v>#NAME?</v>
      </c>
      <c r="N32" s="1078" t="e">
        <f ca="1"/>
        <v>#NAME?</v>
      </c>
      <c r="O32" s="541" t="e">
        <f ca="1"/>
        <v>#NAME?</v>
      </c>
      <c r="Q32">
        <f>Q33-$R$23</f>
        <v>85</v>
      </c>
      <c r="R32">
        <f t="shared" si="4"/>
        <v>1</v>
      </c>
      <c r="S32">
        <f t="shared" si="5"/>
        <v>21</v>
      </c>
    </row>
    <row r="33" spans="17:19">
      <c r="Q33" s="1078">
        <v>100</v>
      </c>
      <c r="R33" s="1078">
        <f t="shared" si="4"/>
        <v>1</v>
      </c>
      <c r="S33" s="1078">
        <f t="shared" si="5"/>
        <v>22</v>
      </c>
    </row>
  </sheetData>
  <sortState ref="M6:M9">
    <sortCondition ref="M6"/>
  </sortState>
  <mergeCells count="1">
    <mergeCell ref="A3:B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0"/>
  <dimension ref="A1:N28"/>
  <sheetViews>
    <sheetView workbookViewId="0"/>
  </sheetViews>
  <sheetFormatPr defaultRowHeight="14.4"/>
  <sheetData>
    <row r="1" spans="1:14">
      <c r="A1" s="1" t="s">
        <v>159</v>
      </c>
      <c r="B1" s="1"/>
      <c r="C1" s="1"/>
      <c r="D1" s="1"/>
      <c r="J1" t="s">
        <v>3461</v>
      </c>
    </row>
    <row r="3" spans="1:14">
      <c r="A3" s="39" t="s">
        <v>3</v>
      </c>
      <c r="B3" s="39" t="s">
        <v>4</v>
      </c>
      <c r="C3" s="39" t="s">
        <v>5</v>
      </c>
      <c r="D3" s="19"/>
      <c r="E3" s="19"/>
      <c r="F3" s="39" t="s">
        <v>3</v>
      </c>
      <c r="G3" s="39" t="s">
        <v>4</v>
      </c>
      <c r="H3" s="39" t="s">
        <v>5</v>
      </c>
      <c r="L3" s="39" t="s">
        <v>3</v>
      </c>
      <c r="M3" s="39" t="s">
        <v>4</v>
      </c>
      <c r="N3" s="39" t="s">
        <v>5</v>
      </c>
    </row>
    <row r="4" spans="1:14">
      <c r="A4">
        <v>1020</v>
      </c>
      <c r="B4">
        <v>840</v>
      </c>
      <c r="C4">
        <v>1430</v>
      </c>
      <c r="E4" t="s">
        <v>160</v>
      </c>
      <c r="F4">
        <f>MIN(A4:A13)</f>
        <v>380</v>
      </c>
      <c r="G4">
        <f>MIN(B4:B13)</f>
        <v>300</v>
      </c>
      <c r="H4">
        <f>MIN(C4:C13)</f>
        <v>430</v>
      </c>
      <c r="K4" t="s">
        <v>160</v>
      </c>
      <c r="L4">
        <f>MIN(A4:A13)</f>
        <v>380</v>
      </c>
      <c r="M4">
        <f>MIN(B4:B13)</f>
        <v>300</v>
      </c>
      <c r="N4">
        <f>MIN(C4:C13)</f>
        <v>430</v>
      </c>
    </row>
    <row r="5" spans="1:14">
      <c r="A5">
        <v>1560</v>
      </c>
      <c r="B5">
        <v>940</v>
      </c>
      <c r="C5">
        <v>1750</v>
      </c>
      <c r="E5" t="s">
        <v>161</v>
      </c>
      <c r="F5">
        <f>QUARTILE(A4:A13,1)-F4</f>
        <v>142.5</v>
      </c>
      <c r="G5">
        <f>QUARTILE(B4:B13,1)-G4</f>
        <v>185</v>
      </c>
      <c r="H5">
        <f>QUARTILE(C4:C13,1)-H4</f>
        <v>342.5</v>
      </c>
      <c r="K5" t="s">
        <v>161</v>
      </c>
      <c r="L5">
        <f>QUARTILE(A4:A13,1)-L4</f>
        <v>142.5</v>
      </c>
      <c r="M5">
        <f>QUARTILE(B4:B13,1)-M4</f>
        <v>185</v>
      </c>
      <c r="N5">
        <f>QUARTILE(C4:C13,1)-N4</f>
        <v>342.5</v>
      </c>
    </row>
    <row r="6" spans="1:14">
      <c r="A6">
        <v>560</v>
      </c>
      <c r="B6">
        <v>780</v>
      </c>
      <c r="C6">
        <v>870</v>
      </c>
      <c r="E6" t="s">
        <v>162</v>
      </c>
      <c r="F6">
        <f>MEDIAN(A4:A13)-QUARTILE(A4:A13,1)</f>
        <v>202.5</v>
      </c>
      <c r="G6">
        <f>MEDIAN(B4:B13)-QUARTILE(B4:B13,1)</f>
        <v>220</v>
      </c>
      <c r="H6">
        <f>MEDIAN(C4:C13)-QUARTILE(C4:C13,1)</f>
        <v>132.5</v>
      </c>
      <c r="K6" t="s">
        <v>162</v>
      </c>
      <c r="L6">
        <f>MEDIAN(A4:A13)-QUARTILE(A4:A13,1)</f>
        <v>202.5</v>
      </c>
      <c r="M6">
        <f>MEDIAN(B4:B13)-QUARTILE(B4:B13,1)</f>
        <v>220</v>
      </c>
      <c r="N6">
        <f>MEDIAN(C4:C13)-QUARTILE(C4:C13,1)</f>
        <v>132.5</v>
      </c>
    </row>
    <row r="7" spans="1:14">
      <c r="A7">
        <v>780</v>
      </c>
      <c r="B7">
        <v>650</v>
      </c>
      <c r="C7">
        <v>920</v>
      </c>
      <c r="E7" t="s">
        <v>163</v>
      </c>
      <c r="F7">
        <f>QUARTILE(A4:A13,3)-MEDIAN(A4:A13)</f>
        <v>237.5</v>
      </c>
      <c r="G7">
        <f>QUARTILE(B4:B13,3)-MEDIAN(B4:B13)</f>
        <v>120</v>
      </c>
      <c r="H7">
        <f>QUARTILE(C4:C13,3)-MEDIAN(C4:C13)</f>
        <v>332.5</v>
      </c>
      <c r="K7" t="s">
        <v>163</v>
      </c>
      <c r="L7">
        <f>QUARTILE(A4:A13,3)-MEDIAN(A4:A13)</f>
        <v>237.5</v>
      </c>
      <c r="M7">
        <f>QUARTILE(B4:B13,3)-MEDIAN(B4:B13)</f>
        <v>120</v>
      </c>
      <c r="N7">
        <f>QUARTILE(C4:C13,3)-MEDIAN(C4:C13)</f>
        <v>332.5</v>
      </c>
    </row>
    <row r="8" spans="1:14">
      <c r="A8">
        <v>990</v>
      </c>
      <c r="B8">
        <v>720</v>
      </c>
      <c r="C8">
        <v>1300</v>
      </c>
      <c r="E8" t="s">
        <v>164</v>
      </c>
      <c r="F8">
        <f>MAX(A4:A13)-QUARTILE(A4:A13,3)</f>
        <v>597.5</v>
      </c>
      <c r="G8">
        <f>MAX(B4:B13)-QUARTILE(B4:B13,3)</f>
        <v>1025</v>
      </c>
      <c r="H8">
        <f>MAX(C4:C13)-QUARTILE(C4:C13,3)</f>
        <v>512.5</v>
      </c>
      <c r="K8" t="s">
        <v>164</v>
      </c>
      <c r="L8">
        <f>MAX(A4:A13)-QUARTILE(A4:A13,3)</f>
        <v>597.5</v>
      </c>
      <c r="M8">
        <f>MAX(B4:B13)-QUARTILE(B4:B13,3)</f>
        <v>1025</v>
      </c>
      <c r="N8">
        <f>MAX(C4:C13)-QUARTILE(C4:C13,3)</f>
        <v>512.5</v>
      </c>
    </row>
    <row r="9" spans="1:14">
      <c r="A9">
        <v>670</v>
      </c>
      <c r="B9">
        <v>430</v>
      </c>
      <c r="C9">
        <v>890</v>
      </c>
    </row>
    <row r="10" spans="1:14">
      <c r="A10">
        <v>510</v>
      </c>
      <c r="B10">
        <v>1850</v>
      </c>
      <c r="C10">
        <v>740</v>
      </c>
    </row>
    <row r="11" spans="1:14">
      <c r="A11">
        <v>490</v>
      </c>
      <c r="B11">
        <v>300</v>
      </c>
      <c r="C11">
        <v>720</v>
      </c>
    </row>
    <row r="12" spans="1:14">
      <c r="A12">
        <v>380</v>
      </c>
      <c r="B12">
        <v>360</v>
      </c>
      <c r="C12">
        <v>430</v>
      </c>
    </row>
    <row r="13" spans="1:14">
      <c r="A13" s="11">
        <v>880</v>
      </c>
      <c r="B13" s="11">
        <v>690</v>
      </c>
      <c r="C13" s="11">
        <v>1050</v>
      </c>
    </row>
    <row r="19" spans="5:10">
      <c r="J19" t="s">
        <v>3462</v>
      </c>
    </row>
    <row r="21" spans="5:10">
      <c r="E21" t="s">
        <v>2693</v>
      </c>
    </row>
    <row r="23" spans="5:10">
      <c r="F23" s="348" t="str">
        <f>A3</f>
        <v>Brand A</v>
      </c>
      <c r="G23" s="348" t="str">
        <f>B3</f>
        <v>Brand B</v>
      </c>
      <c r="H23" s="348" t="str">
        <f>C3</f>
        <v>Brand C</v>
      </c>
    </row>
    <row r="24" spans="5:10">
      <c r="E24" t="s">
        <v>160</v>
      </c>
      <c r="F24" s="1232">
        <f>MIN(A4:A13)</f>
        <v>380</v>
      </c>
      <c r="G24" s="1114">
        <f>MIN(B4:B13)</f>
        <v>300</v>
      </c>
      <c r="H24" s="1233">
        <f>MIN(C4:C13)</f>
        <v>430</v>
      </c>
    </row>
    <row r="25" spans="5:10">
      <c r="E25" t="s">
        <v>161</v>
      </c>
      <c r="F25" s="625">
        <f>_xlfn.QUARTILE.EXC(A4:A13,1)-F24</f>
        <v>125</v>
      </c>
      <c r="G25" s="8">
        <f>_xlfn.QUARTILE.EXC(B4:B13,1)-G24</f>
        <v>112.5</v>
      </c>
      <c r="H25" s="132">
        <f>_xlfn.QUARTILE.EXC(C4:C13,1)-H24</f>
        <v>305</v>
      </c>
    </row>
    <row r="26" spans="5:10">
      <c r="E26" t="s">
        <v>162</v>
      </c>
      <c r="F26" s="625">
        <f>MEDIAN(A4:A13)-QUARTILE(A4:A13,1)</f>
        <v>202.5</v>
      </c>
      <c r="G26" s="8">
        <f>MEDIAN(B4:B13)-QUARTILE(B4:B13,1)</f>
        <v>220</v>
      </c>
      <c r="H26" s="132">
        <f>MEDIAN(C4:C13)-QUARTILE(C4:C13,1)</f>
        <v>132.5</v>
      </c>
    </row>
    <row r="27" spans="5:10">
      <c r="E27" t="s">
        <v>163</v>
      </c>
      <c r="F27" s="625">
        <f>_xlfn.QUARTILE.EXC(A4:A13,3)-MEDIAN(A4:A13)</f>
        <v>272.5</v>
      </c>
      <c r="G27" s="8">
        <f>_xlfn.QUARTILE.EXC(B4:B13,3)-MEDIAN(B4:B13)</f>
        <v>160</v>
      </c>
      <c r="H27" s="132">
        <f>_xlfn.QUARTILE.EXC(C4:C13,3)-MEDIAN(C4:C13)</f>
        <v>427.5</v>
      </c>
    </row>
    <row r="28" spans="5:10">
      <c r="E28" t="s">
        <v>164</v>
      </c>
      <c r="F28" s="1075">
        <f>MAX(A4:A13)-_xlfn.QUARTILE.EXC(A4:A13,3)</f>
        <v>562.5</v>
      </c>
      <c r="G28" s="1076">
        <f>MAX(B4:B13)-_xlfn.QUARTILE.EXC(B4:B13,3)</f>
        <v>985</v>
      </c>
      <c r="H28" s="1077">
        <f>MAX(C4:C13)-_xlfn.QUARTILE.EXC(C4:C13,3)</f>
        <v>417.5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21"/>
  <dimension ref="A1:H27"/>
  <sheetViews>
    <sheetView workbookViewId="0"/>
  </sheetViews>
  <sheetFormatPr defaultRowHeight="14.4"/>
  <sheetData>
    <row r="1" spans="1:8">
      <c r="A1" s="1" t="s">
        <v>165</v>
      </c>
      <c r="B1" s="1"/>
      <c r="C1" s="1"/>
      <c r="D1" s="1"/>
      <c r="F1" t="s">
        <v>3461</v>
      </c>
    </row>
    <row r="3" spans="1:8">
      <c r="A3" s="39" t="s">
        <v>3</v>
      </c>
      <c r="B3" s="39" t="s">
        <v>4</v>
      </c>
      <c r="C3" s="39" t="s">
        <v>5</v>
      </c>
      <c r="D3" s="19"/>
      <c r="E3" s="19"/>
      <c r="F3" s="39" t="s">
        <v>3</v>
      </c>
      <c r="G3" s="39" t="s">
        <v>4</v>
      </c>
      <c r="H3" s="39" t="s">
        <v>5</v>
      </c>
    </row>
    <row r="4" spans="1:8">
      <c r="A4">
        <v>1020</v>
      </c>
      <c r="B4">
        <v>840</v>
      </c>
      <c r="C4">
        <v>1430</v>
      </c>
      <c r="E4" t="s">
        <v>166</v>
      </c>
      <c r="F4">
        <f>QUARTILE(A4:A13,1)</f>
        <v>522.5</v>
      </c>
      <c r="G4">
        <f>QUARTILE(B4:B13,1)</f>
        <v>485</v>
      </c>
      <c r="H4">
        <f>QUARTILE(C4:C13,1)</f>
        <v>772.5</v>
      </c>
    </row>
    <row r="5" spans="1:8">
      <c r="A5">
        <v>1560</v>
      </c>
      <c r="B5">
        <v>940</v>
      </c>
      <c r="C5">
        <v>1750</v>
      </c>
      <c r="E5" t="s">
        <v>162</v>
      </c>
      <c r="F5">
        <f>MEDIAN(A4:A13)-F4</f>
        <v>202.5</v>
      </c>
      <c r="G5">
        <f>MEDIAN(B4:B13)-G4</f>
        <v>220</v>
      </c>
      <c r="H5">
        <f>MEDIAN(C4:C13)-H4</f>
        <v>132.5</v>
      </c>
    </row>
    <row r="6" spans="1:8">
      <c r="A6">
        <v>560</v>
      </c>
      <c r="B6">
        <v>780</v>
      </c>
      <c r="C6">
        <v>870</v>
      </c>
      <c r="E6" t="s">
        <v>163</v>
      </c>
      <c r="F6">
        <f>QUARTILE(A4:A13,3)-MEDIAN(A4:A13)</f>
        <v>237.5</v>
      </c>
      <c r="G6">
        <f>QUARTILE(B4:B13,3)-MEDIAN(B4:B13)</f>
        <v>120</v>
      </c>
      <c r="H6">
        <f>QUARTILE(C4:C13,3)-MEDIAN(C4:C13)</f>
        <v>332.5</v>
      </c>
    </row>
    <row r="7" spans="1:8">
      <c r="A7">
        <v>780</v>
      </c>
      <c r="B7">
        <v>650</v>
      </c>
      <c r="C7">
        <v>920</v>
      </c>
      <c r="E7" t="s">
        <v>161</v>
      </c>
      <c r="F7">
        <f>F4-MIN(A4:A13)</f>
        <v>142.5</v>
      </c>
      <c r="G7">
        <f>G4-MIN(B4:B13)</f>
        <v>785</v>
      </c>
      <c r="H7">
        <f>H4-MIN(C4:C13)</f>
        <v>342.5</v>
      </c>
    </row>
    <row r="8" spans="1:8">
      <c r="A8">
        <v>990</v>
      </c>
      <c r="B8">
        <v>720</v>
      </c>
      <c r="C8">
        <v>1300</v>
      </c>
      <c r="E8" t="s">
        <v>164</v>
      </c>
      <c r="F8">
        <f>MAX(A4:A13)-QUARTILE(A4:A13,3)</f>
        <v>597.5</v>
      </c>
      <c r="G8">
        <f>MAX(B4:B13)-QUARTILE(B4:B13,3)</f>
        <v>1025</v>
      </c>
      <c r="H8">
        <f>MAX(C4:C13)-QUARTILE(C4:C13,3)</f>
        <v>512.5</v>
      </c>
    </row>
    <row r="9" spans="1:8">
      <c r="A9">
        <v>670</v>
      </c>
      <c r="B9">
        <v>430</v>
      </c>
      <c r="C9">
        <v>890</v>
      </c>
    </row>
    <row r="10" spans="1:8">
      <c r="A10">
        <v>510</v>
      </c>
      <c r="B10">
        <v>1850</v>
      </c>
      <c r="C10">
        <v>740</v>
      </c>
    </row>
    <row r="11" spans="1:8">
      <c r="A11">
        <v>490</v>
      </c>
      <c r="B11">
        <v>-300</v>
      </c>
      <c r="C11">
        <v>720</v>
      </c>
    </row>
    <row r="12" spans="1:8">
      <c r="A12">
        <v>380</v>
      </c>
      <c r="B12">
        <v>360</v>
      </c>
      <c r="C12">
        <v>430</v>
      </c>
    </row>
    <row r="13" spans="1:8">
      <c r="A13" s="11">
        <v>880</v>
      </c>
      <c r="B13" s="11">
        <v>690</v>
      </c>
      <c r="C13" s="11">
        <v>1050</v>
      </c>
    </row>
    <row r="20" spans="5:8">
      <c r="F20" t="s">
        <v>3464</v>
      </c>
    </row>
    <row r="22" spans="5:8">
      <c r="E22" s="19"/>
      <c r="F22" s="39" t="s">
        <v>3</v>
      </c>
      <c r="G22" s="39" t="s">
        <v>4</v>
      </c>
      <c r="H22" s="39" t="s">
        <v>5</v>
      </c>
    </row>
    <row r="23" spans="5:8">
      <c r="E23" t="s">
        <v>166</v>
      </c>
      <c r="F23">
        <f>_xlfn.QUARTILE.EXC(A4:A13,1)</f>
        <v>505</v>
      </c>
      <c r="G23">
        <f>_xlfn.QUARTILE.EXC(B4:B13,1)</f>
        <v>412.5</v>
      </c>
      <c r="H23">
        <f>_xlfn.QUARTILE.EXC(C4:C13,1)</f>
        <v>735</v>
      </c>
    </row>
    <row r="24" spans="5:8">
      <c r="E24" t="s">
        <v>162</v>
      </c>
      <c r="F24">
        <f>MEDIAN(A4:A13)-F23</f>
        <v>220</v>
      </c>
      <c r="G24">
        <f>MEDIAN(B4:B13)-G23</f>
        <v>292.5</v>
      </c>
      <c r="H24">
        <f>MEDIAN(C4:C13)-H23</f>
        <v>170</v>
      </c>
    </row>
    <row r="25" spans="5:8">
      <c r="E25" t="s">
        <v>163</v>
      </c>
      <c r="F25">
        <f>_xlfn.QUARTILE.EXC(A4:A13,3)-MEDIAN(A4:A13)</f>
        <v>272.5</v>
      </c>
      <c r="G25">
        <f>_xlfn.QUARTILE.EXC(B4:B13,3)-MEDIAN(B4:B13)</f>
        <v>160</v>
      </c>
      <c r="H25">
        <f>_xlfn.QUARTILE.EXC(C4:C13,3)-MEDIAN(C4:C13)</f>
        <v>427.5</v>
      </c>
    </row>
    <row r="26" spans="5:8">
      <c r="E26" t="s">
        <v>161</v>
      </c>
      <c r="F26">
        <f>F23-MIN(A4:A13)</f>
        <v>125</v>
      </c>
      <c r="G26">
        <f>G23-MIN(B4:B13)</f>
        <v>712.5</v>
      </c>
      <c r="H26">
        <f>H23-MIN(C4:C13)</f>
        <v>305</v>
      </c>
    </row>
    <row r="27" spans="5:8">
      <c r="E27" t="s">
        <v>164</v>
      </c>
      <c r="F27">
        <f>MAX(A4:A13)-_xlfn.QUARTILE.EXC(A4:A13,3)</f>
        <v>562.5</v>
      </c>
      <c r="G27">
        <f>MAX(B4:B13)-_xlfn.QUARTILE.EXC(B4:B13,3)</f>
        <v>985</v>
      </c>
      <c r="H27">
        <f>MAX(C4:C13)-_xlfn.QUARTILE.EXC(C4:C13,3)</f>
        <v>417.5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97"/>
  <dimension ref="A1:H27"/>
  <sheetViews>
    <sheetView workbookViewId="0"/>
  </sheetViews>
  <sheetFormatPr defaultRowHeight="14.4"/>
  <sheetData>
    <row r="1" spans="1:8">
      <c r="A1" s="1" t="s">
        <v>1904</v>
      </c>
      <c r="B1" s="1"/>
      <c r="C1" s="1"/>
      <c r="D1" s="1"/>
      <c r="F1" t="s">
        <v>3461</v>
      </c>
    </row>
    <row r="3" spans="1:8">
      <c r="A3" s="39" t="s">
        <v>3</v>
      </c>
      <c r="B3" s="39" t="s">
        <v>4</v>
      </c>
      <c r="C3" s="39" t="s">
        <v>5</v>
      </c>
      <c r="D3" s="19"/>
      <c r="F3" s="39" t="s">
        <v>3</v>
      </c>
      <c r="G3" s="39" t="s">
        <v>4</v>
      </c>
      <c r="H3" s="39" t="s">
        <v>5</v>
      </c>
    </row>
    <row r="4" spans="1:8">
      <c r="A4">
        <v>1020</v>
      </c>
      <c r="B4">
        <v>840</v>
      </c>
      <c r="C4">
        <v>1430</v>
      </c>
      <c r="E4" t="s">
        <v>160</v>
      </c>
      <c r="F4">
        <f>MIN(A4:A13)</f>
        <v>380</v>
      </c>
      <c r="G4">
        <f>MIN(B4:B13)</f>
        <v>-300</v>
      </c>
      <c r="H4">
        <f>MIN(C4:C13)</f>
        <v>430</v>
      </c>
    </row>
    <row r="5" spans="1:8">
      <c r="A5">
        <v>1560</v>
      </c>
      <c r="B5">
        <v>940</v>
      </c>
      <c r="C5">
        <v>1750</v>
      </c>
      <c r="E5" t="s">
        <v>161</v>
      </c>
      <c r="F5">
        <f>QUARTILE(A4:A13,1)-F4</f>
        <v>142.5</v>
      </c>
      <c r="G5">
        <f>QUARTILE(B4:B13,1)-G4</f>
        <v>785</v>
      </c>
      <c r="H5">
        <f>QUARTILE(C4:C13,1)-H4</f>
        <v>342.5</v>
      </c>
    </row>
    <row r="6" spans="1:8">
      <c r="A6">
        <v>560</v>
      </c>
      <c r="B6">
        <v>780</v>
      </c>
      <c r="C6">
        <v>870</v>
      </c>
      <c r="E6" t="s">
        <v>162</v>
      </c>
      <c r="F6">
        <f>MEDIAN(A4:A13)-QUARTILE(A4:A13,1)</f>
        <v>202.5</v>
      </c>
      <c r="G6">
        <f>MEDIAN(B4:B13)-QUARTILE(B4:B13,1)</f>
        <v>220</v>
      </c>
      <c r="H6">
        <f>MEDIAN(C4:C13)-QUARTILE(C4:C13,1)</f>
        <v>132.5</v>
      </c>
    </row>
    <row r="7" spans="1:8">
      <c r="A7">
        <v>780</v>
      </c>
      <c r="B7">
        <v>650</v>
      </c>
      <c r="C7">
        <v>920</v>
      </c>
      <c r="E7" t="s">
        <v>163</v>
      </c>
      <c r="F7">
        <f>QUARTILE(A4:A13,3)-MEDIAN(A4:A13)</f>
        <v>237.5</v>
      </c>
      <c r="G7">
        <f>QUARTILE(B4:B13,3)-MEDIAN(B4:B13)</f>
        <v>120</v>
      </c>
      <c r="H7">
        <f>QUARTILE(C4:C13,3)-MEDIAN(C4:C13)</f>
        <v>332.5</v>
      </c>
    </row>
    <row r="8" spans="1:8">
      <c r="A8">
        <v>990</v>
      </c>
      <c r="B8">
        <v>720</v>
      </c>
      <c r="C8">
        <v>1300</v>
      </c>
      <c r="E8" t="s">
        <v>164</v>
      </c>
      <c r="F8">
        <f>MAX(A4:A13)-QUARTILE(A4:A13,3)</f>
        <v>597.5</v>
      </c>
      <c r="G8">
        <f>MAX(B4:B13)-QUARTILE(B4:B13,3)</f>
        <v>1025</v>
      </c>
      <c r="H8">
        <f>MAX(C4:C13)-QUARTILE(C4:C13,3)</f>
        <v>512.5</v>
      </c>
    </row>
    <row r="9" spans="1:8">
      <c r="A9">
        <v>670</v>
      </c>
      <c r="B9">
        <v>430</v>
      </c>
      <c r="C9">
        <v>890</v>
      </c>
    </row>
    <row r="10" spans="1:8">
      <c r="A10">
        <v>510</v>
      </c>
      <c r="B10">
        <v>1850</v>
      </c>
      <c r="C10">
        <v>740</v>
      </c>
    </row>
    <row r="11" spans="1:8">
      <c r="A11">
        <v>490</v>
      </c>
      <c r="B11">
        <v>-300</v>
      </c>
      <c r="C11">
        <v>720</v>
      </c>
    </row>
    <row r="12" spans="1:8">
      <c r="A12">
        <v>380</v>
      </c>
      <c r="B12">
        <v>360</v>
      </c>
      <c r="C12">
        <v>430</v>
      </c>
    </row>
    <row r="13" spans="1:8">
      <c r="A13" s="11">
        <v>880</v>
      </c>
      <c r="B13" s="11">
        <v>690</v>
      </c>
      <c r="C13" s="11">
        <v>1050</v>
      </c>
    </row>
    <row r="20" spans="5:8">
      <c r="F20" t="s">
        <v>3463</v>
      </c>
    </row>
    <row r="22" spans="5:8">
      <c r="F22" s="39" t="s">
        <v>3</v>
      </c>
      <c r="G22" s="39" t="s">
        <v>4</v>
      </c>
      <c r="H22" s="39" t="s">
        <v>5</v>
      </c>
    </row>
    <row r="23" spans="5:8">
      <c r="E23" t="s">
        <v>160</v>
      </c>
      <c r="F23">
        <f>MIN(A4:A13)</f>
        <v>380</v>
      </c>
      <c r="G23">
        <f>MIN(B4:B13)</f>
        <v>-300</v>
      </c>
      <c r="H23">
        <f>MIN(C4:C13)</f>
        <v>430</v>
      </c>
    </row>
    <row r="24" spans="5:8">
      <c r="E24" t="s">
        <v>161</v>
      </c>
      <c r="F24">
        <f>_xlfn.QUARTILE.EXC(A4:A13,1)-F23</f>
        <v>125</v>
      </c>
      <c r="G24">
        <f>_xlfn.QUARTILE.EXC(B4:B13,1)-G23</f>
        <v>712.5</v>
      </c>
      <c r="H24">
        <f>_xlfn.QUARTILE.EXC(C4:C13,1)-H23</f>
        <v>305</v>
      </c>
    </row>
    <row r="25" spans="5:8">
      <c r="E25" t="s">
        <v>162</v>
      </c>
      <c r="F25">
        <f>MEDIAN(A4,A13)-_xlfn.QUARTILE.EXC(A4:A13,1)</f>
        <v>445</v>
      </c>
      <c r="G25">
        <f>MEDIAN(B4,B13)-_xlfn.QUARTILE.EXC(B4:B13,1)</f>
        <v>352.5</v>
      </c>
      <c r="H25">
        <f>MEDIAN(C4,C13)-_xlfn.QUARTILE.EXC(C4:C13,1)</f>
        <v>505</v>
      </c>
    </row>
    <row r="26" spans="5:8">
      <c r="E26" t="s">
        <v>163</v>
      </c>
      <c r="F26">
        <f>_xlfn.QUARTILE.EXC(A4:A13,3)-MEDIAN(A4:A13)</f>
        <v>272.5</v>
      </c>
      <c r="G26">
        <f>_xlfn.QUARTILE.EXC(B4:B13,3)-MEDIAN(B4:B13)</f>
        <v>160</v>
      </c>
      <c r="H26">
        <f>_xlfn.QUARTILE.EXC(C4:C13,3)-MEDIAN(C4:C13)</f>
        <v>427.5</v>
      </c>
    </row>
    <row r="27" spans="5:8">
      <c r="E27" t="s">
        <v>164</v>
      </c>
      <c r="F27">
        <f>MAX(A4:A13)-_xlfn.QUARTILE.EXC(A4:A13,3)</f>
        <v>562.5</v>
      </c>
      <c r="G27">
        <f>MAX(B4:B13)-_xlfn.QUARTILE.EXC(B4:B13,3)</f>
        <v>985</v>
      </c>
      <c r="H27">
        <f>MAX(C4:C13)-_xlfn.QUARTILE.EXC(C4:C13,3)</f>
        <v>417.5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339"/>
  <dimension ref="A1:U31"/>
  <sheetViews>
    <sheetView workbookViewId="0">
      <selection activeCell="G5" sqref="G5"/>
    </sheetView>
  </sheetViews>
  <sheetFormatPr defaultRowHeight="14.4"/>
  <cols>
    <col min="6" max="6" width="5" customWidth="1"/>
    <col min="10" max="10" width="5" customWidth="1"/>
    <col min="12" max="12" width="5" customWidth="1"/>
  </cols>
  <sheetData>
    <row r="1" spans="1:21">
      <c r="A1" s="1" t="s">
        <v>3783</v>
      </c>
      <c r="P1" t="s">
        <v>2901</v>
      </c>
    </row>
    <row r="2" spans="1:21">
      <c r="A2" s="1"/>
    </row>
    <row r="3" spans="1:21">
      <c r="A3" s="25" t="s">
        <v>2628</v>
      </c>
      <c r="E3" t="s">
        <v>2629</v>
      </c>
      <c r="G3" t="s">
        <v>2630</v>
      </c>
      <c r="K3" t="s">
        <v>2633</v>
      </c>
      <c r="M3" t="s">
        <v>2634</v>
      </c>
      <c r="P3" t="s">
        <v>2902</v>
      </c>
      <c r="S3" t="s">
        <v>2907</v>
      </c>
      <c r="U3" t="s">
        <v>2908</v>
      </c>
    </row>
    <row r="5" spans="1:21">
      <c r="A5" s="1386">
        <v>3</v>
      </c>
      <c r="B5" s="1387">
        <v>5</v>
      </c>
      <c r="C5" s="1388">
        <v>8</v>
      </c>
      <c r="E5" s="929" t="e">
        <f t="array" aca="1" ref="E5:E16" ca="1">[1]!RESHAPE(A5:C8)</f>
        <v>#NAME?</v>
      </c>
      <c r="G5" s="926" t="e">
        <f t="array" aca="1" ref="G5:I8" ca="1">[1]!REVERSE(A5:C8)</f>
        <v>#NAME?</v>
      </c>
      <c r="H5" s="928" t="e">
        <f ca="1"/>
        <v>#NAME?</v>
      </c>
      <c r="I5" s="927" t="e">
        <f ca="1"/>
        <v>#NAME?</v>
      </c>
      <c r="K5" s="929" t="e">
        <f t="array" aca="1" ref="K5:K16" ca="1">[1]!QSORT(A5:C8)</f>
        <v>#NAME?</v>
      </c>
      <c r="M5" s="929" t="e">
        <f t="array" aca="1" ref="M5:M16" ca="1">[1]!NODUPES(A5:C8)</f>
        <v>#NAME?</v>
      </c>
      <c r="P5" s="1081" t="s">
        <v>2905</v>
      </c>
      <c r="Q5" s="1069" t="s">
        <v>2904</v>
      </c>
      <c r="S5" s="1072" t="e">
        <f t="array" aca="1" ref="S5:S10" ca="1">[1]!SortUnique(P5:Q8,"-")</f>
        <v>#NAME?</v>
      </c>
      <c r="U5" s="1072" t="e">
        <f t="array" aca="1" ref="U5:U10" ca="1">[1]!ExtractUnique(P5:Q8,"-")</f>
        <v>#NAME?</v>
      </c>
    </row>
    <row r="6" spans="1:21">
      <c r="A6" s="1389">
        <v>15</v>
      </c>
      <c r="B6" s="484"/>
      <c r="C6" s="1390" t="s">
        <v>526</v>
      </c>
      <c r="E6" s="627" t="e">
        <f ca="1"/>
        <v>#NAME?</v>
      </c>
      <c r="G6" s="656" t="e">
        <f ca="1"/>
        <v>#NAME?</v>
      </c>
      <c r="H6" s="8" t="e">
        <f ca="1"/>
        <v>#NAME?</v>
      </c>
      <c r="I6" s="657" t="e">
        <f ca="1"/>
        <v>#NAME?</v>
      </c>
      <c r="K6" s="627" t="e">
        <f ca="1"/>
        <v>#NAME?</v>
      </c>
      <c r="M6" s="627" t="e">
        <f ca="1"/>
        <v>#NAME?</v>
      </c>
      <c r="P6" s="1082" t="s">
        <v>2903</v>
      </c>
      <c r="Q6" s="1083" t="s">
        <v>2861</v>
      </c>
      <c r="S6" s="627" t="e">
        <f ca="1"/>
        <v>#NAME?</v>
      </c>
      <c r="U6" s="627" t="e">
        <f ca="1"/>
        <v>#NAME?</v>
      </c>
    </row>
    <row r="7" spans="1:21">
      <c r="A7" s="1389">
        <v>5</v>
      </c>
      <c r="B7" s="484" t="s">
        <v>526</v>
      </c>
      <c r="C7" s="1390">
        <v>0</v>
      </c>
      <c r="E7" s="627" t="e">
        <f ca="1"/>
        <v>#NAME?</v>
      </c>
      <c r="G7" s="656" t="e">
        <f ca="1"/>
        <v>#NAME?</v>
      </c>
      <c r="H7" s="8" t="e">
        <f ca="1"/>
        <v>#NAME?</v>
      </c>
      <c r="I7" s="657" t="e">
        <f ca="1"/>
        <v>#NAME?</v>
      </c>
      <c r="K7" s="627" t="e">
        <f ca="1"/>
        <v>#NAME?</v>
      </c>
      <c r="M7" s="627" t="e">
        <f ca="1"/>
        <v>#NAME?</v>
      </c>
      <c r="P7" s="1082" t="s">
        <v>2904</v>
      </c>
      <c r="Q7" s="1083" t="s">
        <v>2905</v>
      </c>
      <c r="S7" s="627" t="e">
        <f ca="1"/>
        <v>#NAME?</v>
      </c>
      <c r="U7" s="627" t="e">
        <f ca="1"/>
        <v>#NAME?</v>
      </c>
    </row>
    <row r="8" spans="1:21">
      <c r="A8" s="1391">
        <v>12</v>
      </c>
      <c r="B8" s="1392" t="s">
        <v>384</v>
      </c>
      <c r="C8" s="1393">
        <v>8</v>
      </c>
      <c r="E8" s="627" t="e">
        <f ca="1"/>
        <v>#NAME?</v>
      </c>
      <c r="G8" s="533" t="e">
        <f ca="1"/>
        <v>#NAME?</v>
      </c>
      <c r="H8" s="11" t="e">
        <f ca="1"/>
        <v>#NAME?</v>
      </c>
      <c r="I8" s="541" t="e">
        <f ca="1"/>
        <v>#NAME?</v>
      </c>
      <c r="K8" s="627" t="e">
        <f ca="1"/>
        <v>#NAME?</v>
      </c>
      <c r="M8" s="627" t="e">
        <f ca="1"/>
        <v>#NAME?</v>
      </c>
      <c r="P8" s="573" t="s">
        <v>2861</v>
      </c>
      <c r="Q8" s="1064" t="s">
        <v>2906</v>
      </c>
      <c r="S8" s="627" t="e">
        <f ca="1"/>
        <v>#NAME?</v>
      </c>
      <c r="U8" s="627" t="e">
        <f ca="1"/>
        <v>#NAME?</v>
      </c>
    </row>
    <row r="9" spans="1:21">
      <c r="E9" s="627" t="e">
        <f ca="1"/>
        <v>#NAME?</v>
      </c>
      <c r="K9" s="627" t="e">
        <f ca="1"/>
        <v>#NAME?</v>
      </c>
      <c r="M9" s="627" t="e">
        <f ca="1"/>
        <v>#NAME?</v>
      </c>
      <c r="S9" s="627" t="e">
        <f ca="1"/>
        <v>#NAME?</v>
      </c>
      <c r="U9" s="627" t="e">
        <f ca="1"/>
        <v>#NAME?</v>
      </c>
    </row>
    <row r="10" spans="1:21">
      <c r="E10" s="627" t="e">
        <f ca="1"/>
        <v>#NAME?</v>
      </c>
      <c r="K10" s="627" t="e">
        <f ca="1"/>
        <v>#NAME?</v>
      </c>
      <c r="M10" s="627" t="e">
        <f ca="1"/>
        <v>#NAME?</v>
      </c>
      <c r="S10" s="544" t="e">
        <f ca="1"/>
        <v>#NAME?</v>
      </c>
      <c r="U10" s="544" t="e">
        <f ca="1"/>
        <v>#NAME?</v>
      </c>
    </row>
    <row r="11" spans="1:21">
      <c r="E11" s="627" t="e">
        <f ca="1"/>
        <v>#NAME?</v>
      </c>
      <c r="K11" s="627" t="e">
        <f ca="1"/>
        <v>#NAME?</v>
      </c>
      <c r="M11" s="627" t="e">
        <f ca="1"/>
        <v>#NAME?</v>
      </c>
    </row>
    <row r="12" spans="1:21">
      <c r="E12" s="627" t="e">
        <f ca="1"/>
        <v>#NAME?</v>
      </c>
      <c r="K12" s="627" t="e">
        <f ca="1"/>
        <v>#NAME?</v>
      </c>
      <c r="M12" s="627" t="e">
        <f ca="1"/>
        <v>#NAME?</v>
      </c>
    </row>
    <row r="13" spans="1:21">
      <c r="E13" s="627" t="e">
        <f ca="1"/>
        <v>#NAME?</v>
      </c>
      <c r="K13" s="627" t="e">
        <f ca="1"/>
        <v>#NAME?</v>
      </c>
      <c r="M13" s="627" t="e">
        <f ca="1"/>
        <v>#NAME?</v>
      </c>
    </row>
    <row r="14" spans="1:21">
      <c r="E14" s="627" t="e">
        <f ca="1"/>
        <v>#NAME?</v>
      </c>
      <c r="K14" s="627" t="e">
        <f ca="1"/>
        <v>#NAME?</v>
      </c>
      <c r="M14" s="627" t="e">
        <f ca="1"/>
        <v>#NAME?</v>
      </c>
    </row>
    <row r="15" spans="1:21">
      <c r="E15" s="627" t="e">
        <f ca="1"/>
        <v>#NAME?</v>
      </c>
      <c r="K15" s="627" t="e">
        <f ca="1"/>
        <v>#NAME?</v>
      </c>
      <c r="M15" s="627" t="e">
        <f ca="1"/>
        <v>#NAME?</v>
      </c>
    </row>
    <row r="16" spans="1:21">
      <c r="E16" s="544" t="e">
        <f ca="1"/>
        <v>#NAME?</v>
      </c>
      <c r="K16" s="544" t="e">
        <f ca="1"/>
        <v>#NAME?</v>
      </c>
      <c r="M16" s="544" t="e">
        <f ca="1"/>
        <v>#NAME?</v>
      </c>
    </row>
    <row r="19" spans="7:13">
      <c r="G19" t="s">
        <v>3784</v>
      </c>
      <c r="H19" s="1235" t="e">
        <f ca="1">[1]!COUNTU(A5:C8)</f>
        <v>#NAME?</v>
      </c>
      <c r="M19" s="1235" t="e">
        <f t="array" aca="1" ref="M19:M31" ca="1">[1]!NODUPES(K5:K16,,FALSE)</f>
        <v>#NAME?</v>
      </c>
    </row>
    <row r="20" spans="7:13">
      <c r="G20" t="s">
        <v>3785</v>
      </c>
      <c r="H20" s="544" t="e">
        <f ca="1">[1]!COUNTAU(A5:C8)</f>
        <v>#NAME?</v>
      </c>
      <c r="M20" s="627" t="e">
        <f ca="1"/>
        <v>#NAME?</v>
      </c>
    </row>
    <row r="21" spans="7:13">
      <c r="M21" s="627" t="e">
        <f ca="1"/>
        <v>#NAME?</v>
      </c>
    </row>
    <row r="22" spans="7:13">
      <c r="M22" s="627" t="e">
        <f ca="1"/>
        <v>#NAME?</v>
      </c>
    </row>
    <row r="23" spans="7:13">
      <c r="M23" s="627" t="e">
        <f ca="1"/>
        <v>#NAME?</v>
      </c>
    </row>
    <row r="24" spans="7:13">
      <c r="M24" s="627" t="e">
        <f ca="1"/>
        <v>#NAME?</v>
      </c>
    </row>
    <row r="25" spans="7:13">
      <c r="M25" s="627" t="e">
        <f ca="1"/>
        <v>#NAME?</v>
      </c>
    </row>
    <row r="26" spans="7:13">
      <c r="M26" s="627" t="e">
        <f ca="1"/>
        <v>#NAME?</v>
      </c>
    </row>
    <row r="27" spans="7:13">
      <c r="M27" s="627" t="e">
        <f ca="1"/>
        <v>#NAME?</v>
      </c>
    </row>
    <row r="28" spans="7:13">
      <c r="M28" s="627" t="e">
        <f ca="1"/>
        <v>#NAME?</v>
      </c>
    </row>
    <row r="29" spans="7:13">
      <c r="M29" s="627" t="e">
        <f ca="1"/>
        <v>#NAME?</v>
      </c>
    </row>
    <row r="30" spans="7:13">
      <c r="M30" s="627" t="e">
        <f ca="1"/>
        <v>#NAME?</v>
      </c>
    </row>
    <row r="31" spans="7:13">
      <c r="M31" s="544" t="e">
        <f ca="1"/>
        <v>#NAME?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340"/>
  <dimension ref="A1:F10"/>
  <sheetViews>
    <sheetView workbookViewId="0"/>
  </sheetViews>
  <sheetFormatPr defaultRowHeight="14.4"/>
  <sheetData>
    <row r="1" spans="1:6">
      <c r="A1" s="1" t="s">
        <v>3783</v>
      </c>
    </row>
    <row r="2" spans="1:6">
      <c r="A2" s="1"/>
    </row>
    <row r="3" spans="1:6">
      <c r="A3" s="25" t="s">
        <v>2628</v>
      </c>
      <c r="E3" t="s">
        <v>2633</v>
      </c>
    </row>
    <row r="5" spans="1:6">
      <c r="A5" s="1386">
        <v>3</v>
      </c>
      <c r="B5" s="1387">
        <v>5</v>
      </c>
      <c r="C5" s="1388">
        <v>8</v>
      </c>
      <c r="E5" s="1236" t="e">
        <f t="array" aca="1" ref="E5:F10" ca="1">[1]!QSORT(A5:C8)</f>
        <v>#NAME?</v>
      </c>
      <c r="F5" s="1237" t="e">
        <f ca="1"/>
        <v>#NAME?</v>
      </c>
    </row>
    <row r="6" spans="1:6">
      <c r="A6" s="1389">
        <v>15</v>
      </c>
      <c r="B6" s="484">
        <v>-1</v>
      </c>
      <c r="C6" s="1390">
        <v>3</v>
      </c>
      <c r="E6" s="656" t="e">
        <f ca="1"/>
        <v>#NAME?</v>
      </c>
      <c r="F6" s="657" t="e">
        <f ca="1"/>
        <v>#NAME?</v>
      </c>
    </row>
    <row r="7" spans="1:6">
      <c r="A7" s="1389">
        <v>5</v>
      </c>
      <c r="B7" s="484">
        <v>2</v>
      </c>
      <c r="C7" s="1390">
        <v>0</v>
      </c>
      <c r="E7" s="656" t="e">
        <f ca="1"/>
        <v>#NAME?</v>
      </c>
      <c r="F7" s="657" t="e">
        <f ca="1"/>
        <v>#NAME?</v>
      </c>
    </row>
    <row r="8" spans="1:6">
      <c r="A8" s="1391">
        <v>12</v>
      </c>
      <c r="B8" s="1392">
        <v>-4</v>
      </c>
      <c r="C8" s="1393">
        <v>8</v>
      </c>
      <c r="E8" s="656" t="e">
        <f ca="1"/>
        <v>#NAME?</v>
      </c>
      <c r="F8" s="657" t="e">
        <f ca="1"/>
        <v>#NAME?</v>
      </c>
    </row>
    <row r="9" spans="1:6">
      <c r="E9" s="656" t="e">
        <f ca="1"/>
        <v>#NAME?</v>
      </c>
      <c r="F9" s="657" t="e">
        <f ca="1"/>
        <v>#NAME?</v>
      </c>
    </row>
    <row r="10" spans="1:6">
      <c r="E10" s="533" t="e">
        <f ca="1"/>
        <v>#NAME?</v>
      </c>
      <c r="F10" s="541" t="e">
        <f ca="1"/>
        <v>#NAME?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15"/>
  <dimension ref="A1:D15"/>
  <sheetViews>
    <sheetView workbookViewId="0"/>
  </sheetViews>
  <sheetFormatPr defaultRowHeight="14.4"/>
  <cols>
    <col min="2" max="2" width="10.109375" customWidth="1"/>
  </cols>
  <sheetData>
    <row r="1" spans="1:4">
      <c r="A1" s="1" t="s">
        <v>114</v>
      </c>
    </row>
    <row r="3" spans="1:4">
      <c r="A3" t="s">
        <v>115</v>
      </c>
    </row>
    <row r="5" spans="1:4">
      <c r="C5" s="1552" t="s">
        <v>116</v>
      </c>
      <c r="D5" s="1552"/>
    </row>
    <row r="6" spans="1:4">
      <c r="A6" s="19" t="s">
        <v>114</v>
      </c>
      <c r="B6" s="19" t="s">
        <v>117</v>
      </c>
      <c r="C6" s="47">
        <v>0.05</v>
      </c>
      <c r="D6" s="47">
        <v>0.01</v>
      </c>
    </row>
    <row r="7" spans="1:4">
      <c r="A7" s="22">
        <v>0.8</v>
      </c>
      <c r="B7">
        <v>0.2</v>
      </c>
      <c r="C7" s="48">
        <v>199</v>
      </c>
      <c r="D7" s="48">
        <v>296</v>
      </c>
    </row>
    <row r="8" spans="1:4">
      <c r="A8" s="22">
        <v>0.8</v>
      </c>
      <c r="B8">
        <v>0.5</v>
      </c>
      <c r="C8" s="40">
        <v>34</v>
      </c>
      <c r="D8" s="40">
        <v>51</v>
      </c>
    </row>
    <row r="9" spans="1:4">
      <c r="A9" s="22">
        <v>0.8</v>
      </c>
      <c r="B9">
        <v>0.8</v>
      </c>
      <c r="C9" s="40">
        <v>15</v>
      </c>
      <c r="D9" s="40">
        <v>22</v>
      </c>
    </row>
    <row r="10" spans="1:4">
      <c r="A10" s="22">
        <v>0.9</v>
      </c>
      <c r="B10">
        <v>0.2</v>
      </c>
      <c r="C10" s="40">
        <v>265</v>
      </c>
      <c r="D10" s="40">
        <v>376</v>
      </c>
    </row>
    <row r="11" spans="1:4">
      <c r="A11" s="22">
        <v>0.9</v>
      </c>
      <c r="B11">
        <v>0.5</v>
      </c>
      <c r="C11" s="40">
        <v>44</v>
      </c>
      <c r="D11" s="40">
        <v>63</v>
      </c>
    </row>
    <row r="12" spans="1:4">
      <c r="A12" s="22">
        <v>0.9</v>
      </c>
      <c r="B12">
        <v>0.8</v>
      </c>
      <c r="C12" s="40">
        <v>19</v>
      </c>
      <c r="D12" s="40">
        <v>27</v>
      </c>
    </row>
    <row r="13" spans="1:4">
      <c r="A13" s="22">
        <v>0.95</v>
      </c>
      <c r="B13">
        <v>0.2</v>
      </c>
      <c r="C13" s="40">
        <v>327</v>
      </c>
      <c r="D13" s="40">
        <v>449</v>
      </c>
    </row>
    <row r="14" spans="1:4">
      <c r="A14" s="22">
        <v>0.95</v>
      </c>
      <c r="B14">
        <v>0.5</v>
      </c>
      <c r="C14" s="40">
        <v>54</v>
      </c>
      <c r="D14" s="40">
        <v>75</v>
      </c>
    </row>
    <row r="15" spans="1:4">
      <c r="A15" s="22">
        <v>0.95</v>
      </c>
      <c r="B15">
        <v>0.8</v>
      </c>
      <c r="C15" s="41">
        <v>23</v>
      </c>
      <c r="D15" s="41">
        <v>32</v>
      </c>
    </row>
  </sheetData>
  <mergeCells count="1">
    <mergeCell ref="C5:D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16"/>
  <dimension ref="A1:G172"/>
  <sheetViews>
    <sheetView workbookViewId="0"/>
  </sheetViews>
  <sheetFormatPr defaultRowHeight="14.4"/>
  <cols>
    <col min="2" max="2" width="7.88671875" customWidth="1"/>
  </cols>
  <sheetData>
    <row r="1" spans="1:3">
      <c r="A1" s="1" t="s">
        <v>118</v>
      </c>
      <c r="B1" s="24"/>
    </row>
    <row r="2" spans="1:3">
      <c r="B2" s="24"/>
    </row>
    <row r="3" spans="1:3">
      <c r="A3" s="34" t="s">
        <v>119</v>
      </c>
      <c r="B3" s="49" t="s">
        <v>29</v>
      </c>
    </row>
    <row r="4" spans="1:3">
      <c r="A4" s="34">
        <f>100-3*16-2</f>
        <v>50</v>
      </c>
      <c r="B4" s="24">
        <f>NORMDIST(A4,100,16,FALSE)</f>
        <v>1.8889112719992226E-4</v>
      </c>
      <c r="C4" s="23" t="s">
        <v>120</v>
      </c>
    </row>
    <row r="5" spans="1:3">
      <c r="A5" s="34">
        <f>A4+1</f>
        <v>51</v>
      </c>
      <c r="B5" s="24">
        <f t="shared" ref="B5:B68" si="0">NORMDIST(A5,100,16,FALSE)</f>
        <v>2.2918514664338913E-4</v>
      </c>
    </row>
    <row r="6" spans="1:3">
      <c r="A6" s="34">
        <f t="shared" ref="A6:A69" si="1">A5+1</f>
        <v>52</v>
      </c>
      <c r="B6" s="24">
        <f t="shared" si="0"/>
        <v>2.7699052574612547E-4</v>
      </c>
    </row>
    <row r="7" spans="1:3">
      <c r="A7" s="34">
        <f t="shared" si="1"/>
        <v>53</v>
      </c>
      <c r="B7" s="24">
        <f t="shared" si="0"/>
        <v>3.3346242072414468E-4</v>
      </c>
    </row>
    <row r="8" spans="1:3">
      <c r="A8" s="34">
        <f t="shared" si="1"/>
        <v>54</v>
      </c>
      <c r="B8" s="24">
        <f t="shared" si="0"/>
        <v>3.9988251942022228E-4</v>
      </c>
    </row>
    <row r="9" spans="1:3">
      <c r="A9" s="34">
        <f t="shared" si="1"/>
        <v>55</v>
      </c>
      <c r="B9" s="24">
        <f t="shared" si="0"/>
        <v>4.776628636716501E-4</v>
      </c>
    </row>
    <row r="10" spans="1:3">
      <c r="A10" s="34">
        <f t="shared" si="1"/>
        <v>56</v>
      </c>
      <c r="B10" s="24">
        <f t="shared" si="0"/>
        <v>5.6834765634944081E-4</v>
      </c>
    </row>
    <row r="11" spans="1:3">
      <c r="A11" s="34">
        <f t="shared" si="1"/>
        <v>57</v>
      </c>
      <c r="B11" s="24">
        <f t="shared" si="0"/>
        <v>6.7361260626693149E-4</v>
      </c>
    </row>
    <row r="12" spans="1:3">
      <c r="A12" s="34">
        <f t="shared" si="1"/>
        <v>58</v>
      </c>
      <c r="B12" s="24">
        <f t="shared" si="0"/>
        <v>7.9526134980196454E-4</v>
      </c>
    </row>
    <row r="13" spans="1:3">
      <c r="A13" s="34">
        <f t="shared" si="1"/>
        <v>59</v>
      </c>
      <c r="B13" s="24">
        <f t="shared" si="0"/>
        <v>9.3521848661962169E-4</v>
      </c>
    </row>
    <row r="14" spans="1:3">
      <c r="A14" s="34">
        <f t="shared" si="1"/>
        <v>60</v>
      </c>
      <c r="B14" s="24">
        <f t="shared" si="0"/>
        <v>1.0955187808480338E-3</v>
      </c>
    </row>
    <row r="15" spans="1:3">
      <c r="A15" s="34">
        <f t="shared" si="1"/>
        <v>61</v>
      </c>
      <c r="B15" s="24">
        <f t="shared" si="0"/>
        <v>1.2782921107988374E-3</v>
      </c>
    </row>
    <row r="16" spans="1:3">
      <c r="A16" s="34">
        <f t="shared" si="1"/>
        <v>62</v>
      </c>
      <c r="B16" s="24">
        <f t="shared" si="0"/>
        <v>1.4857438018696129E-3</v>
      </c>
    </row>
    <row r="17" spans="1:7">
      <c r="A17" s="34">
        <f t="shared" si="1"/>
        <v>63</v>
      </c>
      <c r="B17" s="24">
        <f t="shared" si="0"/>
        <v>1.7201300501815293E-3</v>
      </c>
    </row>
    <row r="18" spans="1:7">
      <c r="A18" s="34">
        <f t="shared" si="1"/>
        <v>64</v>
      </c>
      <c r="B18" s="24">
        <f t="shared" si="0"/>
        <v>1.9837282397292136E-3</v>
      </c>
    </row>
    <row r="19" spans="1:7">
      <c r="A19" s="34">
        <f t="shared" si="1"/>
        <v>65</v>
      </c>
      <c r="B19" s="24">
        <f t="shared" si="0"/>
        <v>2.2788020735120089E-3</v>
      </c>
      <c r="G19" t="s">
        <v>126</v>
      </c>
    </row>
    <row r="20" spans="1:7">
      <c r="A20" s="34">
        <f t="shared" si="1"/>
        <v>66</v>
      </c>
      <c r="B20" s="24">
        <f t="shared" si="0"/>
        <v>2.6075615785211633E-3</v>
      </c>
    </row>
    <row r="21" spans="1:7">
      <c r="A21" s="34">
        <f t="shared" si="1"/>
        <v>67</v>
      </c>
      <c r="B21" s="24">
        <f t="shared" si="0"/>
        <v>2.9721182037899768E-3</v>
      </c>
    </row>
    <row r="22" spans="1:7">
      <c r="A22" s="34">
        <f t="shared" si="1"/>
        <v>68</v>
      </c>
      <c r="B22" s="24">
        <f t="shared" si="0"/>
        <v>3.3744354070742539E-3</v>
      </c>
    </row>
    <row r="23" spans="1:7">
      <c r="A23" s="34">
        <f t="shared" si="1"/>
        <v>69</v>
      </c>
      <c r="B23" s="24">
        <f t="shared" si="0"/>
        <v>3.8162753150666464E-3</v>
      </c>
    </row>
    <row r="24" spans="1:7">
      <c r="A24" s="34">
        <f t="shared" si="1"/>
        <v>70</v>
      </c>
      <c r="B24" s="24">
        <f t="shared" si="0"/>
        <v>4.299142239168244E-3</v>
      </c>
    </row>
    <row r="25" spans="1:7">
      <c r="A25" s="34">
        <f t="shared" si="1"/>
        <v>71</v>
      </c>
      <c r="B25" s="24">
        <f t="shared" si="0"/>
        <v>4.8242240274819197E-3</v>
      </c>
    </row>
    <row r="26" spans="1:7">
      <c r="A26" s="34">
        <f t="shared" si="1"/>
        <v>72</v>
      </c>
      <c r="B26" s="24">
        <f t="shared" si="0"/>
        <v>5.3923324266569707E-3</v>
      </c>
    </row>
    <row r="27" spans="1:7">
      <c r="A27" s="34">
        <f t="shared" si="1"/>
        <v>73</v>
      </c>
      <c r="B27" s="24">
        <f t="shared" si="0"/>
        <v>6.0038438065695846E-3</v>
      </c>
    </row>
    <row r="28" spans="1:7">
      <c r="A28" s="34">
        <f t="shared" si="1"/>
        <v>74</v>
      </c>
      <c r="B28" s="24">
        <f t="shared" si="0"/>
        <v>6.6586417581615672E-3</v>
      </c>
    </row>
    <row r="29" spans="1:7">
      <c r="A29" s="34">
        <f t="shared" si="1"/>
        <v>75</v>
      </c>
      <c r="B29" s="24">
        <f t="shared" si="0"/>
        <v>7.3560632015200033E-3</v>
      </c>
    </row>
    <row r="30" spans="1:7">
      <c r="A30" s="34">
        <f t="shared" si="1"/>
        <v>76</v>
      </c>
      <c r="B30" s="24">
        <f t="shared" si="0"/>
        <v>8.094849729118234E-3</v>
      </c>
    </row>
    <row r="31" spans="1:7">
      <c r="A31" s="34">
        <f t="shared" si="1"/>
        <v>77</v>
      </c>
      <c r="B31" s="24">
        <f t="shared" si="0"/>
        <v>8.8731059503259716E-3</v>
      </c>
    </row>
    <row r="32" spans="1:7">
      <c r="A32" s="34">
        <f t="shared" si="1"/>
        <v>78</v>
      </c>
      <c r="B32" s="24">
        <f t="shared" si="0"/>
        <v>9.6882665911433262E-3</v>
      </c>
    </row>
    <row r="33" spans="1:2">
      <c r="A33" s="34">
        <f t="shared" si="1"/>
        <v>79</v>
      </c>
      <c r="B33" s="24">
        <f t="shared" si="0"/>
        <v>1.0537074032382195E-2</v>
      </c>
    </row>
    <row r="34" spans="1:2">
      <c r="A34" s="34">
        <f t="shared" si="1"/>
        <v>80</v>
      </c>
      <c r="B34" s="24">
        <f t="shared" si="0"/>
        <v>1.141556783681387E-2</v>
      </c>
    </row>
    <row r="35" spans="1:2">
      <c r="A35" s="34">
        <f t="shared" si="1"/>
        <v>81</v>
      </c>
      <c r="B35" s="24">
        <f t="shared" si="0"/>
        <v>1.2319087619911706E-2</v>
      </c>
    </row>
    <row r="36" spans="1:2">
      <c r="A36" s="34">
        <f t="shared" si="1"/>
        <v>82</v>
      </c>
      <c r="B36" s="24">
        <f t="shared" si="0"/>
        <v>1.3242290360981217E-2</v>
      </c>
    </row>
    <row r="37" spans="1:2">
      <c r="A37" s="34">
        <f t="shared" si="1"/>
        <v>83</v>
      </c>
      <c r="B37" s="24">
        <f t="shared" si="0"/>
        <v>1.417918293555079E-2</v>
      </c>
    </row>
    <row r="38" spans="1:2">
      <c r="A38" s="34">
        <f t="shared" si="1"/>
        <v>84</v>
      </c>
      <c r="B38" s="24">
        <f t="shared" si="0"/>
        <v>1.512317028244646E-2</v>
      </c>
    </row>
    <row r="39" spans="1:2">
      <c r="A39" s="34">
        <f t="shared" si="1"/>
        <v>85</v>
      </c>
      <c r="B39" s="24">
        <f t="shared" si="0"/>
        <v>1.6067119209170918E-2</v>
      </c>
    </row>
    <row r="40" spans="1:2">
      <c r="A40" s="34">
        <f t="shared" si="1"/>
        <v>86</v>
      </c>
      <c r="B40" s="24">
        <f t="shared" si="0"/>
        <v>1.700343739865897E-2</v>
      </c>
    </row>
    <row r="41" spans="1:2">
      <c r="A41" s="34">
        <f t="shared" si="1"/>
        <v>87</v>
      </c>
      <c r="B41" s="24">
        <f t="shared" si="0"/>
        <v>1.7924166722900904E-2</v>
      </c>
    </row>
    <row r="42" spans="1:2">
      <c r="A42" s="34">
        <f t="shared" si="1"/>
        <v>88</v>
      </c>
      <c r="B42" s="24">
        <f t="shared" si="0"/>
        <v>1.8821089509675277E-2</v>
      </c>
    </row>
    <row r="43" spans="1:2">
      <c r="A43" s="34">
        <f t="shared" si="1"/>
        <v>89</v>
      </c>
      <c r="B43" s="24">
        <f t="shared" si="0"/>
        <v>1.9685845964162084E-2</v>
      </c>
    </row>
    <row r="44" spans="1:2">
      <c r="A44" s="34">
        <f t="shared" si="1"/>
        <v>90</v>
      </c>
      <c r="B44" s="24">
        <f t="shared" si="0"/>
        <v>2.0510060534398442E-2</v>
      </c>
    </row>
    <row r="45" spans="1:2">
      <c r="A45" s="34">
        <f t="shared" si="1"/>
        <v>91</v>
      </c>
      <c r="B45" s="24">
        <f t="shared" si="0"/>
        <v>2.1285474644989418E-2</v>
      </c>
    </row>
    <row r="46" spans="1:2">
      <c r="A46" s="34">
        <f t="shared" si="1"/>
        <v>92</v>
      </c>
      <c r="B46" s="24">
        <f t="shared" si="0"/>
        <v>2.200408292276872E-2</v>
      </c>
    </row>
    <row r="47" spans="1:2">
      <c r="A47" s="34">
        <f t="shared" si="1"/>
        <v>93</v>
      </c>
      <c r="B47" s="24">
        <f t="shared" si="0"/>
        <v>2.2658269815027828E-2</v>
      </c>
    </row>
    <row r="48" spans="1:2">
      <c r="A48" s="34">
        <f t="shared" si="1"/>
        <v>94</v>
      </c>
      <c r="B48" s="24">
        <f t="shared" si="0"/>
        <v>2.3240943366860559E-2</v>
      </c>
    </row>
    <row r="49" spans="1:2">
      <c r="A49" s="34">
        <f t="shared" si="1"/>
        <v>95</v>
      </c>
      <c r="B49" s="24">
        <f t="shared" si="0"/>
        <v>2.3745662887414237E-2</v>
      </c>
    </row>
    <row r="50" spans="1:2">
      <c r="A50" s="34">
        <f t="shared" si="1"/>
        <v>96</v>
      </c>
      <c r="B50" s="24">
        <f t="shared" si="0"/>
        <v>2.4166757300178077E-2</v>
      </c>
    </row>
    <row r="51" spans="1:2">
      <c r="A51" s="34">
        <f t="shared" si="1"/>
        <v>97</v>
      </c>
      <c r="B51" s="24">
        <f t="shared" si="0"/>
        <v>2.4499431140785746E-2</v>
      </c>
    </row>
    <row r="52" spans="1:2">
      <c r="A52" s="34">
        <f t="shared" si="1"/>
        <v>98</v>
      </c>
      <c r="B52" s="24">
        <f t="shared" si="0"/>
        <v>2.4739855434046845E-2</v>
      </c>
    </row>
    <row r="53" spans="1:2">
      <c r="A53" s="34">
        <f t="shared" si="1"/>
        <v>99</v>
      </c>
      <c r="B53" s="24">
        <f t="shared" si="0"/>
        <v>2.4885241042930415E-2</v>
      </c>
    </row>
    <row r="54" spans="1:2">
      <c r="A54" s="34">
        <f t="shared" si="1"/>
        <v>100</v>
      </c>
      <c r="B54" s="24">
        <f t="shared" si="0"/>
        <v>2.4933892525089544E-2</v>
      </c>
    </row>
    <row r="55" spans="1:2">
      <c r="A55" s="34">
        <f t="shared" si="1"/>
        <v>101</v>
      </c>
      <c r="B55" s="24">
        <f t="shared" si="0"/>
        <v>2.4885241042930415E-2</v>
      </c>
    </row>
    <row r="56" spans="1:2">
      <c r="A56" s="34">
        <f t="shared" si="1"/>
        <v>102</v>
      </c>
      <c r="B56" s="24">
        <f t="shared" si="0"/>
        <v>2.4739855434046845E-2</v>
      </c>
    </row>
    <row r="57" spans="1:2">
      <c r="A57" s="34">
        <f t="shared" si="1"/>
        <v>103</v>
      </c>
      <c r="B57" s="24">
        <f t="shared" si="0"/>
        <v>2.4499431140785746E-2</v>
      </c>
    </row>
    <row r="58" spans="1:2">
      <c r="A58" s="34">
        <f t="shared" si="1"/>
        <v>104</v>
      </c>
      <c r="B58" s="24">
        <f t="shared" si="0"/>
        <v>2.4166757300178077E-2</v>
      </c>
    </row>
    <row r="59" spans="1:2">
      <c r="A59" s="34">
        <f t="shared" si="1"/>
        <v>105</v>
      </c>
      <c r="B59" s="24">
        <f t="shared" si="0"/>
        <v>2.3745662887414237E-2</v>
      </c>
    </row>
    <row r="60" spans="1:2">
      <c r="A60" s="34">
        <f t="shared" si="1"/>
        <v>106</v>
      </c>
      <c r="B60" s="24">
        <f t="shared" si="0"/>
        <v>2.3240943366860559E-2</v>
      </c>
    </row>
    <row r="61" spans="1:2">
      <c r="A61" s="34">
        <f t="shared" si="1"/>
        <v>107</v>
      </c>
      <c r="B61" s="24">
        <f t="shared" si="0"/>
        <v>2.2658269815027828E-2</v>
      </c>
    </row>
    <row r="62" spans="1:2">
      <c r="A62" s="34">
        <f t="shared" si="1"/>
        <v>108</v>
      </c>
      <c r="B62" s="24">
        <f t="shared" si="0"/>
        <v>2.200408292276872E-2</v>
      </c>
    </row>
    <row r="63" spans="1:2">
      <c r="A63" s="34">
        <f t="shared" si="1"/>
        <v>109</v>
      </c>
      <c r="B63" s="24">
        <f t="shared" si="0"/>
        <v>2.1285474644989418E-2</v>
      </c>
    </row>
    <row r="64" spans="1:2">
      <c r="A64" s="34">
        <f t="shared" si="1"/>
        <v>110</v>
      </c>
      <c r="B64" s="24">
        <f t="shared" si="0"/>
        <v>2.0510060534398442E-2</v>
      </c>
    </row>
    <row r="65" spans="1:2">
      <c r="A65" s="34">
        <f t="shared" si="1"/>
        <v>111</v>
      </c>
      <c r="B65" s="24">
        <f t="shared" si="0"/>
        <v>1.9685845964162084E-2</v>
      </c>
    </row>
    <row r="66" spans="1:2">
      <c r="A66" s="34">
        <f t="shared" si="1"/>
        <v>112</v>
      </c>
      <c r="B66" s="24">
        <f t="shared" si="0"/>
        <v>1.8821089509675277E-2</v>
      </c>
    </row>
    <row r="67" spans="1:2">
      <c r="A67" s="34">
        <f t="shared" si="1"/>
        <v>113</v>
      </c>
      <c r="B67" s="24">
        <f t="shared" si="0"/>
        <v>1.7924166722900904E-2</v>
      </c>
    </row>
    <row r="68" spans="1:2">
      <c r="A68" s="34">
        <f t="shared" si="1"/>
        <v>114</v>
      </c>
      <c r="B68" s="24">
        <f t="shared" si="0"/>
        <v>1.700343739865897E-2</v>
      </c>
    </row>
    <row r="69" spans="1:2">
      <c r="A69" s="34">
        <f t="shared" si="1"/>
        <v>115</v>
      </c>
      <c r="B69" s="24">
        <f t="shared" ref="B69:B104" si="2">NORMDIST(A69,100,16,FALSE)</f>
        <v>1.6067119209170918E-2</v>
      </c>
    </row>
    <row r="70" spans="1:2">
      <c r="A70" s="34">
        <f t="shared" ref="A70:A99" si="3">A69+1</f>
        <v>116</v>
      </c>
      <c r="B70" s="24">
        <f t="shared" si="2"/>
        <v>1.512317028244646E-2</v>
      </c>
    </row>
    <row r="71" spans="1:2">
      <c r="A71" s="34">
        <f t="shared" si="3"/>
        <v>117</v>
      </c>
      <c r="B71" s="24">
        <f t="shared" si="2"/>
        <v>1.417918293555079E-2</v>
      </c>
    </row>
    <row r="72" spans="1:2">
      <c r="A72" s="34">
        <f t="shared" si="3"/>
        <v>118</v>
      </c>
      <c r="B72" s="24">
        <f t="shared" si="2"/>
        <v>1.3242290360981217E-2</v>
      </c>
    </row>
    <row r="73" spans="1:2">
      <c r="A73" s="34">
        <f t="shared" si="3"/>
        <v>119</v>
      </c>
      <c r="B73" s="24">
        <f t="shared" si="2"/>
        <v>1.2319087619911706E-2</v>
      </c>
    </row>
    <row r="74" spans="1:2">
      <c r="A74" s="34">
        <f t="shared" si="3"/>
        <v>120</v>
      </c>
      <c r="B74" s="24">
        <f t="shared" si="2"/>
        <v>1.141556783681387E-2</v>
      </c>
    </row>
    <row r="75" spans="1:2">
      <c r="A75" s="34">
        <f t="shared" si="3"/>
        <v>121</v>
      </c>
      <c r="B75" s="24">
        <f t="shared" si="2"/>
        <v>1.0537074032382195E-2</v>
      </c>
    </row>
    <row r="76" spans="1:2">
      <c r="A76" s="34">
        <f t="shared" si="3"/>
        <v>122</v>
      </c>
      <c r="B76" s="24">
        <f t="shared" si="2"/>
        <v>9.6882665911433262E-3</v>
      </c>
    </row>
    <row r="77" spans="1:2">
      <c r="A77" s="34">
        <f t="shared" si="3"/>
        <v>123</v>
      </c>
      <c r="B77" s="24">
        <f t="shared" si="2"/>
        <v>8.8731059503259716E-3</v>
      </c>
    </row>
    <row r="78" spans="1:2">
      <c r="A78" s="34">
        <f t="shared" si="3"/>
        <v>124</v>
      </c>
      <c r="B78" s="24">
        <f t="shared" si="2"/>
        <v>8.094849729118234E-3</v>
      </c>
    </row>
    <row r="79" spans="1:2">
      <c r="A79" s="34">
        <f t="shared" si="3"/>
        <v>125</v>
      </c>
      <c r="B79" s="24">
        <f t="shared" si="2"/>
        <v>7.3560632015200033E-3</v>
      </c>
    </row>
    <row r="80" spans="1:2">
      <c r="A80" s="34">
        <f t="shared" si="3"/>
        <v>126</v>
      </c>
      <c r="B80" s="24">
        <f t="shared" si="2"/>
        <v>6.6586417581615672E-3</v>
      </c>
    </row>
    <row r="81" spans="1:2">
      <c r="A81" s="34">
        <f t="shared" si="3"/>
        <v>127</v>
      </c>
      <c r="B81" s="24">
        <f t="shared" si="2"/>
        <v>6.0038438065695846E-3</v>
      </c>
    </row>
    <row r="82" spans="1:2">
      <c r="A82" s="34">
        <f t="shared" si="3"/>
        <v>128</v>
      </c>
      <c r="B82" s="24">
        <f t="shared" si="2"/>
        <v>5.3923324266569707E-3</v>
      </c>
    </row>
    <row r="83" spans="1:2">
      <c r="A83" s="34">
        <f t="shared" si="3"/>
        <v>129</v>
      </c>
      <c r="B83" s="24">
        <f t="shared" si="2"/>
        <v>4.8242240274819197E-3</v>
      </c>
    </row>
    <row r="84" spans="1:2">
      <c r="A84" s="34">
        <f t="shared" si="3"/>
        <v>130</v>
      </c>
      <c r="B84" s="24">
        <f t="shared" si="2"/>
        <v>4.299142239168244E-3</v>
      </c>
    </row>
    <row r="85" spans="1:2">
      <c r="A85" s="34">
        <f t="shared" si="3"/>
        <v>131</v>
      </c>
      <c r="B85" s="24">
        <f t="shared" si="2"/>
        <v>3.8162753150666464E-3</v>
      </c>
    </row>
    <row r="86" spans="1:2">
      <c r="A86" s="34">
        <f t="shared" si="3"/>
        <v>132</v>
      </c>
      <c r="B86" s="24">
        <f t="shared" si="2"/>
        <v>3.3744354070742539E-3</v>
      </c>
    </row>
    <row r="87" spans="1:2">
      <c r="A87" s="34">
        <f t="shared" si="3"/>
        <v>133</v>
      </c>
      <c r="B87" s="24">
        <f t="shared" si="2"/>
        <v>2.9721182037899768E-3</v>
      </c>
    </row>
    <row r="88" spans="1:2">
      <c r="A88" s="34">
        <f t="shared" si="3"/>
        <v>134</v>
      </c>
      <c r="B88" s="24">
        <f t="shared" si="2"/>
        <v>2.6075615785211633E-3</v>
      </c>
    </row>
    <row r="89" spans="1:2">
      <c r="A89" s="34">
        <f t="shared" si="3"/>
        <v>135</v>
      </c>
      <c r="B89" s="24">
        <f t="shared" si="2"/>
        <v>2.2788020735120089E-3</v>
      </c>
    </row>
    <row r="90" spans="1:2">
      <c r="A90" s="34">
        <f t="shared" si="3"/>
        <v>136</v>
      </c>
      <c r="B90" s="24">
        <f t="shared" si="2"/>
        <v>1.9837282397292136E-3</v>
      </c>
    </row>
    <row r="91" spans="1:2">
      <c r="A91" s="34">
        <f t="shared" si="3"/>
        <v>137</v>
      </c>
      <c r="B91" s="24">
        <f t="shared" si="2"/>
        <v>1.7201300501815293E-3</v>
      </c>
    </row>
    <row r="92" spans="1:2">
      <c r="A92" s="34">
        <f t="shared" si="3"/>
        <v>138</v>
      </c>
      <c r="B92" s="24">
        <f t="shared" si="2"/>
        <v>1.4857438018696129E-3</v>
      </c>
    </row>
    <row r="93" spans="1:2">
      <c r="A93" s="34">
        <f t="shared" si="3"/>
        <v>139</v>
      </c>
      <c r="B93" s="24">
        <f t="shared" si="2"/>
        <v>1.2782921107988374E-3</v>
      </c>
    </row>
    <row r="94" spans="1:2">
      <c r="A94" s="34">
        <f t="shared" si="3"/>
        <v>140</v>
      </c>
      <c r="B94" s="24">
        <f t="shared" si="2"/>
        <v>1.0955187808480338E-3</v>
      </c>
    </row>
    <row r="95" spans="1:2">
      <c r="A95" s="34">
        <f t="shared" si="3"/>
        <v>141</v>
      </c>
      <c r="B95" s="24">
        <f t="shared" si="2"/>
        <v>9.3521848661962169E-4</v>
      </c>
    </row>
    <row r="96" spans="1:2">
      <c r="A96" s="34">
        <f t="shared" si="3"/>
        <v>142</v>
      </c>
      <c r="B96" s="24">
        <f t="shared" si="2"/>
        <v>7.9526134980196454E-4</v>
      </c>
    </row>
    <row r="97" spans="1:2">
      <c r="A97" s="34">
        <f t="shared" si="3"/>
        <v>143</v>
      </c>
      <c r="B97" s="24">
        <f t="shared" si="2"/>
        <v>6.7361260626693149E-4</v>
      </c>
    </row>
    <row r="98" spans="1:2">
      <c r="A98" s="34">
        <f t="shared" si="3"/>
        <v>144</v>
      </c>
      <c r="B98" s="24">
        <f t="shared" si="2"/>
        <v>5.6834765634944081E-4</v>
      </c>
    </row>
    <row r="99" spans="1:2">
      <c r="A99" s="34">
        <f t="shared" si="3"/>
        <v>145</v>
      </c>
      <c r="B99" s="24">
        <f t="shared" si="2"/>
        <v>4.776628636716501E-4</v>
      </c>
    </row>
    <row r="100" spans="1:2">
      <c r="A100" s="34">
        <f>A99+1</f>
        <v>146</v>
      </c>
      <c r="B100" s="24">
        <f t="shared" si="2"/>
        <v>3.9988251942022228E-4</v>
      </c>
    </row>
    <row r="101" spans="1:2">
      <c r="A101" s="34">
        <f>A100+1</f>
        <v>147</v>
      </c>
      <c r="B101" s="24">
        <f t="shared" si="2"/>
        <v>3.3346242072414468E-4</v>
      </c>
    </row>
    <row r="102" spans="1:2">
      <c r="A102" s="34">
        <f>A101+1</f>
        <v>148</v>
      </c>
      <c r="B102" s="24">
        <f t="shared" si="2"/>
        <v>2.7699052574612547E-4</v>
      </c>
    </row>
    <row r="103" spans="1:2">
      <c r="A103" s="34">
        <f>A102+1</f>
        <v>149</v>
      </c>
      <c r="B103" s="24">
        <f t="shared" si="2"/>
        <v>2.2918514664338913E-4</v>
      </c>
    </row>
    <row r="104" spans="1:2">
      <c r="A104" s="34">
        <f>A103+1</f>
        <v>150</v>
      </c>
      <c r="B104" s="24">
        <f t="shared" si="2"/>
        <v>1.8889112719992226E-4</v>
      </c>
    </row>
    <row r="105" spans="1:2">
      <c r="A105" s="34"/>
      <c r="B105" s="24"/>
    </row>
    <row r="106" spans="1:2">
      <c r="A106" s="1" t="s">
        <v>121</v>
      </c>
      <c r="B106" s="24"/>
    </row>
    <row r="107" spans="1:2">
      <c r="B107" s="24"/>
    </row>
    <row r="108" spans="1:2">
      <c r="A108" s="22">
        <f>-3</f>
        <v>-3</v>
      </c>
      <c r="B108" s="24">
        <f t="shared" ref="B108:B133" si="4">NORMDIST(A108,0,1,FALSE)</f>
        <v>4.4318484119380075E-3</v>
      </c>
    </row>
    <row r="109" spans="1:2">
      <c r="A109" s="22">
        <f t="shared" ref="A109:A133" si="5">A108+0.25</f>
        <v>-2.75</v>
      </c>
      <c r="B109" s="24">
        <f t="shared" si="4"/>
        <v>9.0935625015910529E-3</v>
      </c>
    </row>
    <row r="110" spans="1:2">
      <c r="A110" s="22">
        <f t="shared" si="5"/>
        <v>-2.5</v>
      </c>
      <c r="B110" s="24">
        <f t="shared" si="4"/>
        <v>1.752830049356854E-2</v>
      </c>
    </row>
    <row r="111" spans="1:2">
      <c r="A111" s="22">
        <f t="shared" si="5"/>
        <v>-2.25</v>
      </c>
      <c r="B111" s="24">
        <f t="shared" si="4"/>
        <v>3.1739651835667418E-2</v>
      </c>
    </row>
    <row r="112" spans="1:2">
      <c r="A112" s="22">
        <f t="shared" si="5"/>
        <v>-2</v>
      </c>
      <c r="B112" s="24">
        <f t="shared" si="4"/>
        <v>5.3990966513188063E-2</v>
      </c>
    </row>
    <row r="113" spans="1:2">
      <c r="A113" s="22">
        <f t="shared" si="5"/>
        <v>-1.75</v>
      </c>
      <c r="B113" s="24">
        <f t="shared" si="4"/>
        <v>8.6277318826511532E-2</v>
      </c>
    </row>
    <row r="114" spans="1:2">
      <c r="A114" s="22">
        <f t="shared" si="5"/>
        <v>-1.5</v>
      </c>
      <c r="B114" s="24">
        <f t="shared" si="4"/>
        <v>0.12951759566589174</v>
      </c>
    </row>
    <row r="115" spans="1:2">
      <c r="A115" s="22">
        <f t="shared" si="5"/>
        <v>-1.25</v>
      </c>
      <c r="B115" s="24">
        <f t="shared" si="4"/>
        <v>0.18264908538902191</v>
      </c>
    </row>
    <row r="116" spans="1:2">
      <c r="A116" s="22">
        <f t="shared" si="5"/>
        <v>-1</v>
      </c>
      <c r="B116" s="24">
        <f t="shared" si="4"/>
        <v>0.24197072451914337</v>
      </c>
    </row>
    <row r="117" spans="1:2">
      <c r="A117" s="22">
        <f t="shared" si="5"/>
        <v>-0.75</v>
      </c>
      <c r="B117" s="24">
        <f t="shared" si="4"/>
        <v>0.30113743215480443</v>
      </c>
    </row>
    <row r="118" spans="1:2">
      <c r="A118" s="22">
        <f t="shared" si="5"/>
        <v>-0.5</v>
      </c>
      <c r="B118" s="24">
        <f t="shared" si="4"/>
        <v>0.35206532676429952</v>
      </c>
    </row>
    <row r="119" spans="1:2">
      <c r="A119" s="22">
        <f t="shared" si="5"/>
        <v>-0.25</v>
      </c>
      <c r="B119" s="24">
        <f t="shared" si="4"/>
        <v>0.38666811680284924</v>
      </c>
    </row>
    <row r="120" spans="1:2">
      <c r="A120" s="22">
        <f t="shared" si="5"/>
        <v>0</v>
      </c>
      <c r="B120" s="24">
        <f t="shared" si="4"/>
        <v>0.3989422804014327</v>
      </c>
    </row>
    <row r="121" spans="1:2">
      <c r="A121" s="22">
        <f t="shared" si="5"/>
        <v>0.25</v>
      </c>
      <c r="B121" s="24">
        <f t="shared" si="4"/>
        <v>0.38666811680284924</v>
      </c>
    </row>
    <row r="122" spans="1:2">
      <c r="A122" s="22">
        <f t="shared" si="5"/>
        <v>0.5</v>
      </c>
      <c r="B122" s="24">
        <f t="shared" si="4"/>
        <v>0.35206532676429952</v>
      </c>
    </row>
    <row r="123" spans="1:2">
      <c r="A123" s="22">
        <f t="shared" si="5"/>
        <v>0.75</v>
      </c>
      <c r="B123" s="24">
        <f t="shared" si="4"/>
        <v>0.30113743215480443</v>
      </c>
    </row>
    <row r="124" spans="1:2">
      <c r="A124" s="22">
        <f t="shared" si="5"/>
        <v>1</v>
      </c>
      <c r="B124" s="24">
        <f t="shared" si="4"/>
        <v>0.24197072451914337</v>
      </c>
    </row>
    <row r="125" spans="1:2">
      <c r="A125" s="22">
        <f t="shared" si="5"/>
        <v>1.25</v>
      </c>
      <c r="B125" s="24">
        <f t="shared" si="4"/>
        <v>0.18264908538902191</v>
      </c>
    </row>
    <row r="126" spans="1:2">
      <c r="A126" s="22">
        <f t="shared" si="5"/>
        <v>1.5</v>
      </c>
      <c r="B126" s="24">
        <f t="shared" si="4"/>
        <v>0.12951759566589174</v>
      </c>
    </row>
    <row r="127" spans="1:2">
      <c r="A127" s="22">
        <f t="shared" si="5"/>
        <v>1.75</v>
      </c>
      <c r="B127" s="24">
        <f t="shared" si="4"/>
        <v>8.6277318826511532E-2</v>
      </c>
    </row>
    <row r="128" spans="1:2">
      <c r="A128" s="22">
        <f t="shared" si="5"/>
        <v>2</v>
      </c>
      <c r="B128" s="24">
        <f t="shared" si="4"/>
        <v>5.3990966513188063E-2</v>
      </c>
    </row>
    <row r="129" spans="1:3">
      <c r="A129" s="22">
        <f t="shared" si="5"/>
        <v>2.25</v>
      </c>
      <c r="B129" s="24">
        <f t="shared" si="4"/>
        <v>3.1739651835667418E-2</v>
      </c>
    </row>
    <row r="130" spans="1:3">
      <c r="A130" s="22">
        <f t="shared" si="5"/>
        <v>2.5</v>
      </c>
      <c r="B130" s="24">
        <f t="shared" si="4"/>
        <v>1.752830049356854E-2</v>
      </c>
    </row>
    <row r="131" spans="1:3">
      <c r="A131" s="22">
        <f t="shared" si="5"/>
        <v>2.75</v>
      </c>
      <c r="B131" s="24">
        <f t="shared" si="4"/>
        <v>9.0935625015910529E-3</v>
      </c>
    </row>
    <row r="132" spans="1:3">
      <c r="A132" s="22">
        <f t="shared" si="5"/>
        <v>3</v>
      </c>
      <c r="B132" s="24">
        <f t="shared" si="4"/>
        <v>4.4318484119380075E-3</v>
      </c>
    </row>
    <row r="133" spans="1:3">
      <c r="A133" s="22">
        <f t="shared" si="5"/>
        <v>3.25</v>
      </c>
      <c r="B133" s="24">
        <f t="shared" si="4"/>
        <v>2.0290480572997681E-3</v>
      </c>
    </row>
    <row r="134" spans="1:3">
      <c r="A134" s="22"/>
      <c r="B134" s="24"/>
    </row>
    <row r="135" spans="1:3">
      <c r="A135" s="22" t="s">
        <v>122</v>
      </c>
      <c r="B135" s="24"/>
    </row>
    <row r="136" spans="1:3">
      <c r="A136" s="22"/>
      <c r="B136" s="24"/>
    </row>
    <row r="137" spans="1:3">
      <c r="A137" s="22" t="s">
        <v>123</v>
      </c>
      <c r="B137" s="24"/>
    </row>
    <row r="138" spans="1:3">
      <c r="A138" s="22"/>
      <c r="B138" s="24"/>
    </row>
    <row r="139" spans="1:3">
      <c r="B139" s="49" t="s">
        <v>124</v>
      </c>
      <c r="C139" s="34" t="s">
        <v>125</v>
      </c>
    </row>
    <row r="140" spans="1:3">
      <c r="A140">
        <v>52</v>
      </c>
      <c r="B140" s="24">
        <f>NORMDIST(A140,100,16,FALSE)</f>
        <v>2.7699052574612547E-4</v>
      </c>
      <c r="C140" s="24">
        <f>NORMDIST(A140,116,16,FALSE)</f>
        <v>8.3643891103053355E-6</v>
      </c>
    </row>
    <row r="141" spans="1:3">
      <c r="A141">
        <f>A140+4</f>
        <v>56</v>
      </c>
      <c r="B141" s="24">
        <f t="shared" ref="B141:B172" si="6">NORMDIST(A141,100,16,FALSE)</f>
        <v>5.6834765634944081E-4</v>
      </c>
      <c r="C141" s="24">
        <f t="shared" ref="C141:C148" si="7">NORMDIST(A141,116,16,FALSE)</f>
        <v>2.2037230147965338E-5</v>
      </c>
    </row>
    <row r="142" spans="1:3">
      <c r="A142">
        <f t="shared" ref="A142:A148" si="8">A141+4</f>
        <v>60</v>
      </c>
      <c r="B142" s="24">
        <f t="shared" si="6"/>
        <v>1.0955187808480338E-3</v>
      </c>
      <c r="C142" s="24">
        <f t="shared" si="7"/>
        <v>5.454266844036001E-5</v>
      </c>
    </row>
    <row r="143" spans="1:3">
      <c r="A143">
        <f t="shared" si="8"/>
        <v>64</v>
      </c>
      <c r="B143" s="24">
        <f t="shared" si="6"/>
        <v>1.9837282397292136E-3</v>
      </c>
      <c r="C143" s="24">
        <f t="shared" si="7"/>
        <v>1.2681550358123551E-4</v>
      </c>
    </row>
    <row r="144" spans="1:3">
      <c r="A144">
        <f t="shared" si="8"/>
        <v>68</v>
      </c>
      <c r="B144" s="24">
        <f t="shared" si="6"/>
        <v>3.3744354070742539E-3</v>
      </c>
      <c r="C144" s="24">
        <f t="shared" si="7"/>
        <v>2.7699052574612547E-4</v>
      </c>
    </row>
    <row r="145" spans="1:3">
      <c r="A145">
        <f t="shared" si="8"/>
        <v>72</v>
      </c>
      <c r="B145" s="24">
        <f t="shared" si="6"/>
        <v>5.3923324266569707E-3</v>
      </c>
      <c r="C145" s="24">
        <f t="shared" si="7"/>
        <v>5.6834765634944081E-4</v>
      </c>
    </row>
    <row r="146" spans="1:3">
      <c r="A146">
        <f t="shared" si="8"/>
        <v>76</v>
      </c>
      <c r="B146" s="24">
        <f t="shared" si="6"/>
        <v>8.094849729118234E-3</v>
      </c>
      <c r="C146" s="24">
        <f t="shared" si="7"/>
        <v>1.0955187808480338E-3</v>
      </c>
    </row>
    <row r="147" spans="1:3">
      <c r="A147">
        <f t="shared" si="8"/>
        <v>80</v>
      </c>
      <c r="B147" s="24">
        <f t="shared" si="6"/>
        <v>1.141556783681387E-2</v>
      </c>
      <c r="C147" s="24">
        <f t="shared" si="7"/>
        <v>1.9837282397292136E-3</v>
      </c>
    </row>
    <row r="148" spans="1:3">
      <c r="A148">
        <f t="shared" si="8"/>
        <v>84</v>
      </c>
      <c r="B148" s="24">
        <f t="shared" si="6"/>
        <v>1.512317028244646E-2</v>
      </c>
      <c r="C148" s="24">
        <f t="shared" si="7"/>
        <v>3.3744354070742539E-3</v>
      </c>
    </row>
    <row r="149" spans="1:3">
      <c r="A149">
        <f t="shared" ref="A149:A155" si="9">A148+4</f>
        <v>88</v>
      </c>
      <c r="B149" s="24">
        <f t="shared" si="6"/>
        <v>1.8821089509675277E-2</v>
      </c>
      <c r="C149" s="24">
        <f t="shared" ref="C149:C155" si="10">NORMDIST(A149,116,16,FALSE)</f>
        <v>5.3923324266569707E-3</v>
      </c>
    </row>
    <row r="150" spans="1:3">
      <c r="A150">
        <f t="shared" si="9"/>
        <v>92</v>
      </c>
      <c r="B150" s="24">
        <f t="shared" si="6"/>
        <v>2.200408292276872E-2</v>
      </c>
      <c r="C150" s="24">
        <f t="shared" si="10"/>
        <v>8.094849729118234E-3</v>
      </c>
    </row>
    <row r="151" spans="1:3">
      <c r="A151">
        <f t="shared" si="9"/>
        <v>96</v>
      </c>
      <c r="B151" s="24">
        <f t="shared" si="6"/>
        <v>2.4166757300178077E-2</v>
      </c>
      <c r="C151" s="24">
        <f t="shared" si="10"/>
        <v>1.141556783681387E-2</v>
      </c>
    </row>
    <row r="152" spans="1:3">
      <c r="A152">
        <f t="shared" si="9"/>
        <v>100</v>
      </c>
      <c r="B152" s="24">
        <f t="shared" si="6"/>
        <v>2.4933892525089544E-2</v>
      </c>
      <c r="C152" s="24">
        <f t="shared" si="10"/>
        <v>1.512317028244646E-2</v>
      </c>
    </row>
    <row r="153" spans="1:3">
      <c r="A153">
        <f t="shared" si="9"/>
        <v>104</v>
      </c>
      <c r="B153" s="24">
        <f t="shared" si="6"/>
        <v>2.4166757300178077E-2</v>
      </c>
      <c r="C153" s="24">
        <f t="shared" si="10"/>
        <v>1.8821089509675277E-2</v>
      </c>
    </row>
    <row r="154" spans="1:3">
      <c r="A154">
        <f t="shared" si="9"/>
        <v>108</v>
      </c>
      <c r="B154" s="24">
        <f t="shared" si="6"/>
        <v>2.200408292276872E-2</v>
      </c>
      <c r="C154" s="24">
        <f t="shared" si="10"/>
        <v>2.200408292276872E-2</v>
      </c>
    </row>
    <row r="155" spans="1:3">
      <c r="A155">
        <f t="shared" si="9"/>
        <v>112</v>
      </c>
      <c r="B155" s="24">
        <f t="shared" si="6"/>
        <v>1.8821089509675277E-2</v>
      </c>
      <c r="C155" s="24">
        <f t="shared" si="10"/>
        <v>2.4166757300178077E-2</v>
      </c>
    </row>
    <row r="156" spans="1:3">
      <c r="A156">
        <f t="shared" ref="A156:A168" si="11">A155+4</f>
        <v>116</v>
      </c>
      <c r="B156" s="24">
        <f t="shared" si="6"/>
        <v>1.512317028244646E-2</v>
      </c>
      <c r="C156" s="24">
        <f t="shared" ref="C156:C168" si="12">NORMDIST(A156,116,16,FALSE)</f>
        <v>2.4933892525089544E-2</v>
      </c>
    </row>
    <row r="157" spans="1:3">
      <c r="A157">
        <f t="shared" si="11"/>
        <v>120</v>
      </c>
      <c r="B157" s="24">
        <f t="shared" si="6"/>
        <v>1.141556783681387E-2</v>
      </c>
      <c r="C157" s="24">
        <f t="shared" si="12"/>
        <v>2.4166757300178077E-2</v>
      </c>
    </row>
    <row r="158" spans="1:3">
      <c r="A158">
        <f t="shared" si="11"/>
        <v>124</v>
      </c>
      <c r="B158" s="24">
        <f t="shared" si="6"/>
        <v>8.094849729118234E-3</v>
      </c>
      <c r="C158" s="24">
        <f t="shared" si="12"/>
        <v>2.200408292276872E-2</v>
      </c>
    </row>
    <row r="159" spans="1:3">
      <c r="A159">
        <f t="shared" si="11"/>
        <v>128</v>
      </c>
      <c r="B159" s="24">
        <f t="shared" si="6"/>
        <v>5.3923324266569707E-3</v>
      </c>
      <c r="C159" s="24">
        <f t="shared" si="12"/>
        <v>1.8821089509675277E-2</v>
      </c>
    </row>
    <row r="160" spans="1:3">
      <c r="A160">
        <f t="shared" si="11"/>
        <v>132</v>
      </c>
      <c r="B160" s="24">
        <f t="shared" si="6"/>
        <v>3.3744354070742539E-3</v>
      </c>
      <c r="C160" s="24">
        <f t="shared" si="12"/>
        <v>1.512317028244646E-2</v>
      </c>
    </row>
    <row r="161" spans="1:3">
      <c r="A161">
        <f t="shared" si="11"/>
        <v>136</v>
      </c>
      <c r="B161" s="24">
        <f t="shared" si="6"/>
        <v>1.9837282397292136E-3</v>
      </c>
      <c r="C161" s="24">
        <f t="shared" si="12"/>
        <v>1.141556783681387E-2</v>
      </c>
    </row>
    <row r="162" spans="1:3">
      <c r="A162">
        <f t="shared" si="11"/>
        <v>140</v>
      </c>
      <c r="B162" s="24">
        <f t="shared" si="6"/>
        <v>1.0955187808480338E-3</v>
      </c>
      <c r="C162" s="24">
        <f t="shared" si="12"/>
        <v>8.094849729118234E-3</v>
      </c>
    </row>
    <row r="163" spans="1:3">
      <c r="A163">
        <f t="shared" si="11"/>
        <v>144</v>
      </c>
      <c r="B163" s="24">
        <f t="shared" si="6"/>
        <v>5.6834765634944081E-4</v>
      </c>
      <c r="C163" s="24">
        <f t="shared" si="12"/>
        <v>5.3923324266569707E-3</v>
      </c>
    </row>
    <row r="164" spans="1:3">
      <c r="A164">
        <f t="shared" si="11"/>
        <v>148</v>
      </c>
      <c r="B164" s="24">
        <f t="shared" si="6"/>
        <v>2.7699052574612547E-4</v>
      </c>
      <c r="C164" s="24">
        <f t="shared" si="12"/>
        <v>3.3744354070742539E-3</v>
      </c>
    </row>
    <row r="165" spans="1:3">
      <c r="A165">
        <f t="shared" si="11"/>
        <v>152</v>
      </c>
      <c r="B165" s="24">
        <f t="shared" si="6"/>
        <v>1.2681550358123551E-4</v>
      </c>
      <c r="C165" s="24">
        <f t="shared" si="12"/>
        <v>1.9837282397292136E-3</v>
      </c>
    </row>
    <row r="166" spans="1:3">
      <c r="A166">
        <f t="shared" si="11"/>
        <v>156</v>
      </c>
      <c r="B166" s="24">
        <f t="shared" si="6"/>
        <v>5.454266844036001E-5</v>
      </c>
      <c r="C166" s="24">
        <f t="shared" si="12"/>
        <v>1.0955187808480338E-3</v>
      </c>
    </row>
    <row r="167" spans="1:3">
      <c r="A167">
        <f t="shared" si="11"/>
        <v>160</v>
      </c>
      <c r="B167" s="24">
        <f t="shared" si="6"/>
        <v>2.2037230147965338E-5</v>
      </c>
      <c r="C167" s="24">
        <f t="shared" si="12"/>
        <v>5.6834765634944081E-4</v>
      </c>
    </row>
    <row r="168" spans="1:3">
      <c r="A168">
        <f t="shared" si="11"/>
        <v>164</v>
      </c>
      <c r="B168" s="24">
        <f t="shared" si="6"/>
        <v>8.3643891103053355E-6</v>
      </c>
      <c r="C168" s="24">
        <f t="shared" si="12"/>
        <v>2.7699052574612547E-4</v>
      </c>
    </row>
    <row r="169" spans="1:3">
      <c r="A169">
        <f>A168+4</f>
        <v>168</v>
      </c>
      <c r="B169" s="24">
        <f t="shared" si="6"/>
        <v>2.9824147838253095E-6</v>
      </c>
      <c r="C169" s="24">
        <f>NORMDIST(A169,116,16,FALSE)</f>
        <v>1.2681550358123551E-4</v>
      </c>
    </row>
    <row r="170" spans="1:3">
      <c r="A170">
        <f>A169+4</f>
        <v>172</v>
      </c>
      <c r="B170" s="24">
        <f t="shared" si="6"/>
        <v>9.9898381918159216E-7</v>
      </c>
      <c r="C170" s="24">
        <f>NORMDIST(A170,116,16,FALSE)</f>
        <v>5.454266844036001E-5</v>
      </c>
    </row>
    <row r="171" spans="1:3">
      <c r="A171">
        <f>A170+4</f>
        <v>176</v>
      </c>
      <c r="B171" s="24">
        <f t="shared" si="6"/>
        <v>3.1434420553702784E-7</v>
      </c>
      <c r="C171" s="24">
        <f>NORMDIST(A171,116,16,FALSE)</f>
        <v>2.2037230147965338E-5</v>
      </c>
    </row>
    <row r="172" spans="1:3">
      <c r="A172">
        <f>A171+4</f>
        <v>180</v>
      </c>
      <c r="B172" s="24">
        <f t="shared" si="6"/>
        <v>9.2919969670893605E-8</v>
      </c>
      <c r="C172" s="24">
        <f>NORMDIST(A172,116,16,FALSE)</f>
        <v>8.3643891103053355E-6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163"/>
  <dimension ref="A1:B11"/>
  <sheetViews>
    <sheetView workbookViewId="0"/>
  </sheetViews>
  <sheetFormatPr defaultRowHeight="14.4"/>
  <cols>
    <col min="1" max="1" width="13.44140625" customWidth="1"/>
  </cols>
  <sheetData>
    <row r="1" spans="1:2">
      <c r="A1" s="1" t="s">
        <v>118</v>
      </c>
    </row>
    <row r="3" spans="1:2">
      <c r="A3" t="s">
        <v>63</v>
      </c>
      <c r="B3" s="542">
        <v>150</v>
      </c>
    </row>
    <row r="4" spans="1:2">
      <c r="A4" t="s">
        <v>218</v>
      </c>
      <c r="B4" s="544">
        <v>25</v>
      </c>
    </row>
    <row r="6" spans="1:2">
      <c r="A6" t="s">
        <v>1696</v>
      </c>
      <c r="B6" s="542">
        <v>145</v>
      </c>
    </row>
    <row r="7" spans="1:2">
      <c r="A7" t="s">
        <v>1697</v>
      </c>
      <c r="B7" s="544">
        <v>155</v>
      </c>
    </row>
    <row r="9" spans="1:2">
      <c r="A9" t="s">
        <v>1698</v>
      </c>
      <c r="B9" s="542">
        <f>NORMDIST(B6,B3,B4,TRUE)</f>
        <v>0.42074029056089696</v>
      </c>
    </row>
    <row r="10" spans="1:2">
      <c r="A10" t="s">
        <v>1699</v>
      </c>
      <c r="B10" s="627">
        <f>NORMDIST(B7,B3,B4,TRUE)</f>
        <v>0.57925970943910299</v>
      </c>
    </row>
    <row r="11" spans="1:2">
      <c r="A11" t="s">
        <v>1700</v>
      </c>
      <c r="B11" s="544">
        <f>B10-B9</f>
        <v>0.15851941887820603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190"/>
  <dimension ref="A1:H32"/>
  <sheetViews>
    <sheetView workbookViewId="0"/>
  </sheetViews>
  <sheetFormatPr defaultRowHeight="14.4"/>
  <cols>
    <col min="1" max="1" width="12.5546875" customWidth="1"/>
    <col min="4" max="4" width="9.33203125" customWidth="1"/>
  </cols>
  <sheetData>
    <row r="1" spans="1:8">
      <c r="A1" s="1" t="s">
        <v>1737</v>
      </c>
    </row>
    <row r="3" spans="1:8">
      <c r="A3" t="s">
        <v>1726</v>
      </c>
      <c r="B3" s="542">
        <v>80</v>
      </c>
      <c r="D3" s="542">
        <v>80</v>
      </c>
      <c r="F3" s="542">
        <v>80</v>
      </c>
      <c r="H3" s="542">
        <v>80</v>
      </c>
    </row>
    <row r="4" spans="1:8">
      <c r="A4" t="s">
        <v>1727</v>
      </c>
      <c r="B4" s="627">
        <v>20</v>
      </c>
      <c r="D4" s="627">
        <v>20</v>
      </c>
      <c r="F4" s="627">
        <v>20</v>
      </c>
      <c r="H4" s="627">
        <v>20</v>
      </c>
    </row>
    <row r="5" spans="1:8">
      <c r="A5" t="s">
        <v>1180</v>
      </c>
      <c r="B5" s="627">
        <v>60</v>
      </c>
      <c r="D5" s="627">
        <v>60</v>
      </c>
      <c r="F5" s="627">
        <v>60</v>
      </c>
      <c r="H5" s="627">
        <v>100</v>
      </c>
    </row>
    <row r="6" spans="1:8">
      <c r="A6" t="s">
        <v>337</v>
      </c>
      <c r="B6" s="544">
        <v>0.05</v>
      </c>
      <c r="D6" s="544">
        <v>0.05</v>
      </c>
      <c r="F6" s="544">
        <v>0.05</v>
      </c>
      <c r="H6" s="544">
        <v>0.05</v>
      </c>
    </row>
    <row r="8" spans="1:8">
      <c r="B8" t="s">
        <v>1729</v>
      </c>
      <c r="D8" t="s">
        <v>1731</v>
      </c>
      <c r="F8" t="s">
        <v>1732</v>
      </c>
      <c r="H8" t="s">
        <v>1732</v>
      </c>
    </row>
    <row r="10" spans="1:8">
      <c r="A10" t="s">
        <v>522</v>
      </c>
      <c r="B10" s="542">
        <f>B4/SQRT(B5)</f>
        <v>2.5819888974716112</v>
      </c>
      <c r="D10" s="542">
        <f>D4/SQRT(D5)</f>
        <v>2.5819888974716112</v>
      </c>
      <c r="F10" s="542">
        <f>F4/SQRT(F5)</f>
        <v>2.5819888974716112</v>
      </c>
      <c r="H10" s="542">
        <f>H4/SQRT(H5)</f>
        <v>2</v>
      </c>
    </row>
    <row r="11" spans="1:8">
      <c r="A11" t="s">
        <v>1187</v>
      </c>
      <c r="B11" s="627">
        <v>75</v>
      </c>
      <c r="D11" s="627">
        <v>75</v>
      </c>
      <c r="F11" s="627">
        <v>75</v>
      </c>
      <c r="H11" s="627">
        <v>75</v>
      </c>
    </row>
    <row r="12" spans="1:8">
      <c r="A12" t="s">
        <v>200</v>
      </c>
      <c r="B12" s="627">
        <f>NORMDIST(B11,B3,B10,TRUE)</f>
        <v>2.6403755708056795E-2</v>
      </c>
      <c r="D12" s="627">
        <f>1-NORMDIST(D11,D3,D10,TRUE)</f>
        <v>0.97359624429194325</v>
      </c>
      <c r="F12" s="627">
        <f>NORMDIST(F11,F3,F10,TRUE)</f>
        <v>2.6403755708056795E-2</v>
      </c>
      <c r="H12" s="627">
        <f>NORMDIST(H11,H3,H10,TRUE)</f>
        <v>6.2096653257761331E-3</v>
      </c>
    </row>
    <row r="13" spans="1:8">
      <c r="A13" t="s">
        <v>1728</v>
      </c>
      <c r="B13" s="627">
        <f>NORMINV(B6,B3,B10)</f>
        <v>75.753006197245384</v>
      </c>
      <c r="D13" s="627">
        <f>NORMINV(1-D6,D3,D10)</f>
        <v>84.246993802754616</v>
      </c>
      <c r="F13" s="627">
        <f>NORMINV(F6/2,F3,F10)</f>
        <v>74.939394752473362</v>
      </c>
      <c r="H13" s="627">
        <f>NORMINV(H6/2,H3,H10)</f>
        <v>76.080072030919894</v>
      </c>
    </row>
    <row r="14" spans="1:8">
      <c r="A14" t="s">
        <v>948</v>
      </c>
      <c r="B14" s="699" t="str">
        <f>IF(B12&lt;B6,"yes","no")</f>
        <v>yes</v>
      </c>
      <c r="D14" s="699" t="str">
        <f>IF(D12&lt;1-D6,"yes","no")</f>
        <v>no</v>
      </c>
      <c r="F14" s="699" t="str">
        <f>IF(F12&lt;F6/2,"yes","no")</f>
        <v>no</v>
      </c>
      <c r="H14" s="699" t="str">
        <f>IF(H12&lt;H6/2,"yes","no")</f>
        <v>yes</v>
      </c>
    </row>
    <row r="15" spans="1:8">
      <c r="B15" s="627"/>
      <c r="D15" s="627"/>
      <c r="F15" s="627"/>
      <c r="H15" s="627"/>
    </row>
    <row r="16" spans="1:8">
      <c r="A16" t="s">
        <v>1730</v>
      </c>
      <c r="B16" s="627">
        <f>(B11-B3)/B10</f>
        <v>-1.9364916731037085</v>
      </c>
      <c r="D16" s="627">
        <f>(D11-D3)/D10</f>
        <v>-1.9364916731037085</v>
      </c>
      <c r="F16" s="627">
        <f>(F11-F3)/F10</f>
        <v>-1.9364916731037085</v>
      </c>
      <c r="H16" s="627">
        <f>(H11-H3)/H10</f>
        <v>-2.5</v>
      </c>
    </row>
    <row r="17" spans="1:8">
      <c r="A17" t="s">
        <v>200</v>
      </c>
      <c r="B17" s="627">
        <f>NORMSDIST(B16)</f>
        <v>2.6403755708056795E-2</v>
      </c>
      <c r="D17" s="627">
        <f>1-NORMSDIST(D16)</f>
        <v>0.97359624429194325</v>
      </c>
      <c r="F17" s="627">
        <f>NORMSDIST(F16/2)</f>
        <v>0.16646080403278293</v>
      </c>
      <c r="H17" s="627">
        <f>NORMSDIST(H16/2)</f>
        <v>0.10564977366685525</v>
      </c>
    </row>
    <row r="18" spans="1:8">
      <c r="A18" t="s">
        <v>1728</v>
      </c>
      <c r="B18" s="627">
        <f>NORMSINV(B6)</f>
        <v>-1.6448536269514726</v>
      </c>
      <c r="D18" s="627">
        <f>NORMSINV(1-D6)</f>
        <v>1.6448536269514715</v>
      </c>
      <c r="F18" s="627">
        <f>NORMSINV(F6/2)</f>
        <v>-1.9599639845400538</v>
      </c>
      <c r="H18" s="627">
        <f>NORMSINV(H6/2)</f>
        <v>-1.9599639845400538</v>
      </c>
    </row>
    <row r="19" spans="1:8">
      <c r="A19" t="s">
        <v>948</v>
      </c>
      <c r="B19" s="538" t="str">
        <f>IF(B16&lt;B18,"yes","no")</f>
        <v>yes</v>
      </c>
      <c r="D19" s="538" t="str">
        <f>IF(D18&lt;D16,"yes","no")</f>
        <v>no</v>
      </c>
      <c r="F19" s="538" t="str">
        <f>IF(F16&lt;F18,"yes","no")</f>
        <v>no</v>
      </c>
      <c r="H19" s="538" t="str">
        <f>IF(H16&lt;H18,"yes","no")</f>
        <v>yes</v>
      </c>
    </row>
    <row r="21" spans="1:8">
      <c r="A21" s="1" t="s">
        <v>1733</v>
      </c>
    </row>
    <row r="23" spans="1:8">
      <c r="A23" t="s">
        <v>1734</v>
      </c>
      <c r="F23" s="542">
        <f>ABS(F10*F18)</f>
        <v>5.0606052475266399</v>
      </c>
      <c r="H23" s="542">
        <f>ABS(H10*H18)</f>
        <v>3.9199279690801077</v>
      </c>
    </row>
    <row r="24" spans="1:8">
      <c r="A24" t="s">
        <v>103</v>
      </c>
      <c r="F24" s="627">
        <f>F11-F23</f>
        <v>69.939394752473362</v>
      </c>
      <c r="H24" s="627">
        <f>H11-H23</f>
        <v>71.080072030919894</v>
      </c>
    </row>
    <row r="25" spans="1:8">
      <c r="A25" t="s">
        <v>104</v>
      </c>
      <c r="F25" s="544">
        <f>F11+F23</f>
        <v>80.060605247526638</v>
      </c>
      <c r="H25" s="544">
        <f>H11+H23</f>
        <v>78.919927969080106</v>
      </c>
    </row>
    <row r="28" spans="1:8">
      <c r="A28" t="s">
        <v>1735</v>
      </c>
      <c r="F28" s="655">
        <f>CONFIDENCE(F6,F4,F5)</f>
        <v>5.060605247526639</v>
      </c>
      <c r="H28" s="655">
        <f>CONFIDENCE(H6,H4,H5)</f>
        <v>3.9199279690801072</v>
      </c>
    </row>
    <row r="30" spans="1:8">
      <c r="A30" s="1" t="s">
        <v>379</v>
      </c>
    </row>
    <row r="32" spans="1:8">
      <c r="A32" t="s">
        <v>144</v>
      </c>
      <c r="B32">
        <f>ABS(B3-B11)/B4</f>
        <v>0.25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191"/>
  <dimension ref="A1:T17"/>
  <sheetViews>
    <sheetView workbookViewId="0"/>
  </sheetViews>
  <sheetFormatPr defaultRowHeight="14.4"/>
  <cols>
    <col min="1" max="6" width="5.5546875" customWidth="1"/>
    <col min="7" max="7" width="5.6640625" customWidth="1"/>
    <col min="8" max="8" width="13.6640625" customWidth="1"/>
    <col min="10" max="10" width="3.5546875" customWidth="1"/>
    <col min="11" max="11" width="28.33203125" customWidth="1"/>
    <col min="12" max="12" width="6" customWidth="1"/>
    <col min="14" max="14" width="3.44140625" customWidth="1"/>
    <col min="15" max="15" width="26.33203125" customWidth="1"/>
    <col min="16" max="16" width="6" customWidth="1"/>
    <col min="17" max="17" width="13.6640625" customWidth="1"/>
    <col min="19" max="19" width="3.5546875" customWidth="1"/>
    <col min="20" max="20" width="27" customWidth="1"/>
  </cols>
  <sheetData>
    <row r="1" spans="1:20">
      <c r="A1" s="1" t="s">
        <v>1737</v>
      </c>
      <c r="H1" t="s">
        <v>3791</v>
      </c>
      <c r="M1" t="s">
        <v>3801</v>
      </c>
      <c r="Q1" t="s">
        <v>3790</v>
      </c>
    </row>
    <row r="3" spans="1:20">
      <c r="A3" s="553">
        <v>137</v>
      </c>
      <c r="B3" s="666">
        <v>73</v>
      </c>
      <c r="C3" s="666">
        <v>99</v>
      </c>
      <c r="D3" s="666">
        <v>113</v>
      </c>
      <c r="E3" s="666">
        <v>96</v>
      </c>
      <c r="F3" s="667">
        <v>135</v>
      </c>
      <c r="H3" t="s">
        <v>1736</v>
      </c>
      <c r="I3" s="655">
        <f>_xlfn.Z.TEST(A3:F10,100)</f>
        <v>0.13513025209397578</v>
      </c>
      <c r="K3" s="23" t="s">
        <v>3792</v>
      </c>
      <c r="Q3" t="s">
        <v>1736</v>
      </c>
      <c r="R3" s="1395">
        <f>ZTEST(A3:F10,100)</f>
        <v>0.13513025209397578</v>
      </c>
      <c r="T3" s="23" t="s">
        <v>1738</v>
      </c>
    </row>
    <row r="4" spans="1:20">
      <c r="A4" s="656">
        <v>111</v>
      </c>
      <c r="B4" s="8">
        <v>83</v>
      </c>
      <c r="C4" s="8">
        <v>74</v>
      </c>
      <c r="D4" s="8">
        <v>68</v>
      </c>
      <c r="E4" s="8">
        <v>137</v>
      </c>
      <c r="F4" s="657">
        <v>107</v>
      </c>
    </row>
    <row r="5" spans="1:20">
      <c r="A5" s="656">
        <v>72</v>
      </c>
      <c r="B5" s="8">
        <v>98</v>
      </c>
      <c r="C5" s="8">
        <v>84</v>
      </c>
      <c r="D5" s="8">
        <v>70</v>
      </c>
      <c r="E5" s="8">
        <v>116</v>
      </c>
      <c r="F5" s="657">
        <v>98</v>
      </c>
      <c r="H5" t="s">
        <v>1180</v>
      </c>
      <c r="I5" s="542">
        <f>COUNT(A3:F10)</f>
        <v>48</v>
      </c>
      <c r="K5" s="23" t="s">
        <v>1739</v>
      </c>
      <c r="Q5" t="s">
        <v>1180</v>
      </c>
      <c r="R5" s="1331">
        <f>COUNT(A3:F10)</f>
        <v>48</v>
      </c>
      <c r="T5" s="23" t="s">
        <v>1739</v>
      </c>
    </row>
    <row r="6" spans="1:20">
      <c r="A6" s="656">
        <v>115</v>
      </c>
      <c r="B6" s="8">
        <v>131</v>
      </c>
      <c r="C6" s="8">
        <v>113</v>
      </c>
      <c r="D6" s="8">
        <v>63</v>
      </c>
      <c r="E6" s="8">
        <v>119</v>
      </c>
      <c r="F6" s="657">
        <v>128</v>
      </c>
      <c r="H6" t="s">
        <v>1746</v>
      </c>
      <c r="I6" s="627">
        <v>100</v>
      </c>
      <c r="Q6" t="s">
        <v>1746</v>
      </c>
      <c r="R6" s="627">
        <v>100</v>
      </c>
    </row>
    <row r="7" spans="1:20">
      <c r="A7" s="656">
        <v>138</v>
      </c>
      <c r="B7" s="8">
        <v>73</v>
      </c>
      <c r="C7" s="8">
        <v>115</v>
      </c>
      <c r="D7" s="8">
        <v>124</v>
      </c>
      <c r="E7" s="8">
        <v>101</v>
      </c>
      <c r="F7" s="657">
        <v>97</v>
      </c>
      <c r="H7" t="s">
        <v>1187</v>
      </c>
      <c r="I7" s="627">
        <f>AVERAGE(A3:F10)</f>
        <v>103.8125</v>
      </c>
      <c r="K7" s="23" t="s">
        <v>1740</v>
      </c>
      <c r="Q7" t="s">
        <v>1187</v>
      </c>
      <c r="R7" s="1332">
        <f>AVERAGE(A3:F10)</f>
        <v>103.8125</v>
      </c>
      <c r="T7" s="23" t="s">
        <v>1740</v>
      </c>
    </row>
    <row r="8" spans="1:20">
      <c r="A8" s="656">
        <v>82</v>
      </c>
      <c r="B8" s="8">
        <v>133</v>
      </c>
      <c r="C8" s="8">
        <v>111</v>
      </c>
      <c r="D8" s="8">
        <v>132</v>
      </c>
      <c r="E8" s="8">
        <v>65</v>
      </c>
      <c r="F8" s="657">
        <v>132</v>
      </c>
      <c r="H8" t="s">
        <v>218</v>
      </c>
      <c r="I8" s="627">
        <f>_xlfn.STDEV.S(A3:F10)</f>
        <v>23.958879888924585</v>
      </c>
      <c r="K8" s="23" t="s">
        <v>3793</v>
      </c>
      <c r="Q8" t="s">
        <v>218</v>
      </c>
      <c r="R8" s="1332">
        <f>STDEV(A3:F10)</f>
        <v>23.958879888924585</v>
      </c>
      <c r="T8" s="23" t="s">
        <v>1743</v>
      </c>
    </row>
    <row r="9" spans="1:20">
      <c r="A9" s="656">
        <v>76</v>
      </c>
      <c r="B9" s="8">
        <v>92</v>
      </c>
      <c r="C9" s="8">
        <v>101</v>
      </c>
      <c r="D9" s="8">
        <v>134</v>
      </c>
      <c r="E9" s="8">
        <v>113</v>
      </c>
      <c r="F9" s="657">
        <v>75</v>
      </c>
      <c r="H9" t="s">
        <v>1469</v>
      </c>
      <c r="I9" s="627">
        <f>I8/SQRT(I5)</f>
        <v>3.4581664383381301</v>
      </c>
      <c r="K9" s="23" t="s">
        <v>1741</v>
      </c>
      <c r="M9" s="756" t="e">
        <f ca="1">[1]!STDERR(A3:F10)</f>
        <v>#NAME?</v>
      </c>
      <c r="O9" s="23" t="s">
        <v>2973</v>
      </c>
      <c r="Q9" t="s">
        <v>1469</v>
      </c>
      <c r="R9" s="1332">
        <f>R8/SQRT(R5)</f>
        <v>3.4581664383381301</v>
      </c>
      <c r="T9" s="23" t="s">
        <v>3796</v>
      </c>
    </row>
    <row r="10" spans="1:20">
      <c r="A10" s="533">
        <v>100</v>
      </c>
      <c r="B10" s="534">
        <v>98</v>
      </c>
      <c r="C10" s="534">
        <v>114</v>
      </c>
      <c r="D10" s="534">
        <v>140</v>
      </c>
      <c r="E10" s="534">
        <v>64</v>
      </c>
      <c r="F10" s="541">
        <v>133</v>
      </c>
      <c r="H10" t="s">
        <v>200</v>
      </c>
      <c r="I10" s="544">
        <f>1-_xlfn.NORM.DIST(I7,I6,I9,TRUE)</f>
        <v>0.13513025209397567</v>
      </c>
      <c r="K10" s="23" t="s">
        <v>3794</v>
      </c>
      <c r="Q10" t="s">
        <v>200</v>
      </c>
      <c r="R10" s="1396">
        <f>1-NORMDIST(R7,R6,R9,TRUE)</f>
        <v>0.13513025209397567</v>
      </c>
      <c r="T10" s="23" t="s">
        <v>3797</v>
      </c>
    </row>
    <row r="12" spans="1:20">
      <c r="H12" t="s">
        <v>337</v>
      </c>
      <c r="I12" s="542">
        <v>0.05</v>
      </c>
      <c r="Q12" t="s">
        <v>337</v>
      </c>
      <c r="R12" s="1235">
        <v>0.05</v>
      </c>
    </row>
    <row r="13" spans="1:20">
      <c r="H13" t="s">
        <v>1742</v>
      </c>
      <c r="I13" s="627">
        <f>_xlfn.CONFIDENCE.NORM(I12,I8,I5)</f>
        <v>6.7778816716878874</v>
      </c>
      <c r="K13" s="23" t="s">
        <v>3795</v>
      </c>
      <c r="M13" s="1156" t="e">
        <f ca="1">[1]!NORM_CONF(A3:F10,I12)</f>
        <v>#NAME?</v>
      </c>
      <c r="O13" s="23" t="s">
        <v>2974</v>
      </c>
      <c r="Q13" t="s">
        <v>1742</v>
      </c>
      <c r="R13" s="1332">
        <f>CONFIDENCE(R12,R8,R5)</f>
        <v>6.7778816716878874</v>
      </c>
      <c r="T13" s="23" t="s">
        <v>3798</v>
      </c>
    </row>
    <row r="14" spans="1:20">
      <c r="H14" t="s">
        <v>103</v>
      </c>
      <c r="I14" s="627">
        <f>I7-I13</f>
        <v>97.034618328312106</v>
      </c>
      <c r="K14" s="23" t="s">
        <v>1745</v>
      </c>
      <c r="M14" s="627" t="e">
        <f ca="1">[1]!NORM_LOwer(A3:F10,I12)</f>
        <v>#NAME?</v>
      </c>
      <c r="O14" s="23" t="s">
        <v>2976</v>
      </c>
      <c r="Q14" t="s">
        <v>103</v>
      </c>
      <c r="R14" s="1332">
        <f>R7-R13</f>
        <v>97.034618328312106</v>
      </c>
      <c r="T14" s="23" t="s">
        <v>3799</v>
      </c>
    </row>
    <row r="15" spans="1:20">
      <c r="H15" t="s">
        <v>104</v>
      </c>
      <c r="I15" s="544">
        <f>I7+I13</f>
        <v>110.59038167168789</v>
      </c>
      <c r="K15" s="23" t="s">
        <v>1744</v>
      </c>
      <c r="M15" s="544" t="e">
        <f ca="1">[1]!NORM_UPPER(A3:F10,I12)</f>
        <v>#NAME?</v>
      </c>
      <c r="O15" s="23" t="s">
        <v>2975</v>
      </c>
      <c r="Q15" t="s">
        <v>104</v>
      </c>
      <c r="R15" s="1396">
        <f>R7+R13</f>
        <v>110.59038167168789</v>
      </c>
      <c r="T15" s="23" t="s">
        <v>3800</v>
      </c>
    </row>
    <row r="17" spans="15:15">
      <c r="O17" s="12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192"/>
  <dimension ref="A1:R35"/>
  <sheetViews>
    <sheetView workbookViewId="0">
      <selection sqref="A1:XFD1048576"/>
    </sheetView>
  </sheetViews>
  <sheetFormatPr defaultRowHeight="14.4"/>
  <cols>
    <col min="1" max="6" width="7.44140625" customWidth="1"/>
    <col min="7" max="7" width="6.44140625" customWidth="1"/>
    <col min="8" max="8" width="15.88671875" customWidth="1"/>
    <col min="11" max="11" width="21.44140625" customWidth="1"/>
    <col min="16" max="16" width="29.44140625" customWidth="1"/>
  </cols>
  <sheetData>
    <row r="1" spans="1:18">
      <c r="A1" s="1" t="s">
        <v>1753</v>
      </c>
    </row>
    <row r="2" spans="1:18">
      <c r="A2" s="1"/>
    </row>
    <row r="3" spans="1:18">
      <c r="A3" s="1554" t="s">
        <v>239</v>
      </c>
      <c r="B3" s="1554"/>
      <c r="C3" s="1554"/>
      <c r="D3" s="1554" t="s">
        <v>1754</v>
      </c>
      <c r="E3" s="1554"/>
      <c r="F3" s="1554"/>
      <c r="I3" t="s">
        <v>239</v>
      </c>
      <c r="J3" t="s">
        <v>1754</v>
      </c>
      <c r="M3" s="687" t="s">
        <v>239</v>
      </c>
      <c r="N3" s="687" t="s">
        <v>1754</v>
      </c>
      <c r="O3" s="710"/>
      <c r="P3" t="s">
        <v>1747</v>
      </c>
    </row>
    <row r="4" spans="1:18" ht="15" thickBot="1">
      <c r="A4" s="702">
        <v>82.67</v>
      </c>
      <c r="B4" s="703">
        <v>89.03</v>
      </c>
      <c r="C4" s="703">
        <v>109.13</v>
      </c>
      <c r="D4" s="702">
        <v>106.18</v>
      </c>
      <c r="E4" s="703">
        <v>95.47</v>
      </c>
      <c r="F4" s="704">
        <v>117.51</v>
      </c>
      <c r="H4" t="s">
        <v>1180</v>
      </c>
      <c r="I4" s="553">
        <f>COUNT(A4:C13)</f>
        <v>30</v>
      </c>
      <c r="J4" s="667">
        <f>COUNT(D4:F13)</f>
        <v>30</v>
      </c>
      <c r="M4" s="101">
        <v>82.67</v>
      </c>
      <c r="N4" s="101">
        <v>106.18</v>
      </c>
      <c r="O4" s="8"/>
    </row>
    <row r="5" spans="1:18">
      <c r="A5" s="705">
        <v>90.11</v>
      </c>
      <c r="B5" s="101">
        <v>94.51</v>
      </c>
      <c r="C5" s="101">
        <v>81.59</v>
      </c>
      <c r="D5" s="705">
        <v>100.86</v>
      </c>
      <c r="E5" s="101">
        <v>108.66</v>
      </c>
      <c r="F5" s="706">
        <v>115.64</v>
      </c>
      <c r="H5" t="s">
        <v>1187</v>
      </c>
      <c r="I5" s="707">
        <f>AVERAGE(A4:C13)</f>
        <v>95.737333333333339</v>
      </c>
      <c r="J5" s="709">
        <f>AVERAGE(D4:F13)</f>
        <v>106.691</v>
      </c>
      <c r="M5" s="101">
        <v>90.11</v>
      </c>
      <c r="N5" s="101">
        <v>100.86</v>
      </c>
      <c r="O5" s="8"/>
      <c r="P5" s="695"/>
      <c r="Q5" s="695" t="s">
        <v>239</v>
      </c>
      <c r="R5" s="695" t="s">
        <v>1754</v>
      </c>
    </row>
    <row r="6" spans="1:18">
      <c r="A6" s="705">
        <v>89.2</v>
      </c>
      <c r="B6" s="101">
        <v>93.32</v>
      </c>
      <c r="C6" s="101">
        <v>94.99</v>
      </c>
      <c r="D6" s="705">
        <v>129.85</v>
      </c>
      <c r="E6" s="101">
        <v>83.32</v>
      </c>
      <c r="F6" s="706">
        <v>97.22</v>
      </c>
      <c r="M6" s="101">
        <v>89.2</v>
      </c>
      <c r="N6" s="101">
        <v>129.85</v>
      </c>
      <c r="O6" s="8"/>
      <c r="P6" s="28" t="s">
        <v>76</v>
      </c>
      <c r="Q6" s="28">
        <v>95.737333333333325</v>
      </c>
      <c r="R6" s="28">
        <v>106.691</v>
      </c>
    </row>
    <row r="7" spans="1:18">
      <c r="A7" s="705">
        <v>119.15</v>
      </c>
      <c r="B7" s="101">
        <v>89.26</v>
      </c>
      <c r="C7" s="101">
        <v>101.34</v>
      </c>
      <c r="D7" s="705">
        <v>100.3</v>
      </c>
      <c r="E7" s="101">
        <v>117.64</v>
      </c>
      <c r="F7" s="706">
        <v>131.04</v>
      </c>
      <c r="H7" t="s">
        <v>1755</v>
      </c>
      <c r="I7" s="542">
        <f>16^2</f>
        <v>256</v>
      </c>
      <c r="K7" s="8"/>
      <c r="M7" s="101">
        <v>119.15</v>
      </c>
      <c r="N7" s="101">
        <v>100.3</v>
      </c>
      <c r="O7" s="8"/>
      <c r="P7" s="28" t="s">
        <v>1748</v>
      </c>
      <c r="Q7" s="28">
        <v>256</v>
      </c>
      <c r="R7" s="28">
        <v>256</v>
      </c>
    </row>
    <row r="8" spans="1:18">
      <c r="A8" s="705">
        <v>83.01</v>
      </c>
      <c r="B8" s="101">
        <v>110.36</v>
      </c>
      <c r="C8" s="101">
        <v>104.82</v>
      </c>
      <c r="D8" s="705">
        <v>87.56</v>
      </c>
      <c r="E8" s="101">
        <v>96.9</v>
      </c>
      <c r="F8" s="706">
        <v>101.58</v>
      </c>
      <c r="H8" t="s">
        <v>337</v>
      </c>
      <c r="I8" s="627">
        <v>0.05</v>
      </c>
      <c r="K8" s="101"/>
      <c r="M8" s="101">
        <v>83.01</v>
      </c>
      <c r="N8" s="101">
        <v>87.56</v>
      </c>
      <c r="O8" s="8"/>
      <c r="P8" s="28" t="s">
        <v>224</v>
      </c>
      <c r="Q8" s="28">
        <v>30</v>
      </c>
      <c r="R8" s="28">
        <v>30</v>
      </c>
    </row>
    <row r="9" spans="1:18">
      <c r="A9" s="705">
        <v>93.61</v>
      </c>
      <c r="B9" s="101">
        <v>92.52</v>
      </c>
      <c r="C9" s="101">
        <v>106.92</v>
      </c>
      <c r="D9" s="705">
        <v>96.87</v>
      </c>
      <c r="E9" s="101">
        <v>66.459999999999994</v>
      </c>
      <c r="F9" s="706">
        <v>103.8</v>
      </c>
      <c r="H9" t="s">
        <v>1756</v>
      </c>
      <c r="I9" s="627">
        <f>I7/I4+I7/J4</f>
        <v>17.066666666666666</v>
      </c>
      <c r="K9" s="23" t="s">
        <v>1758</v>
      </c>
      <c r="M9" s="101">
        <v>93.61</v>
      </c>
      <c r="N9" s="101">
        <v>96.87</v>
      </c>
      <c r="O9" s="8"/>
      <c r="P9" s="28" t="s">
        <v>227</v>
      </c>
      <c r="Q9" s="28">
        <v>0</v>
      </c>
      <c r="R9" s="28"/>
    </row>
    <row r="10" spans="1:18">
      <c r="A10" s="705">
        <v>88.42</v>
      </c>
      <c r="B10" s="101">
        <v>112.87</v>
      </c>
      <c r="C10" s="101">
        <v>80.5</v>
      </c>
      <c r="D10" s="705">
        <v>112.57</v>
      </c>
      <c r="E10" s="101">
        <v>87.8</v>
      </c>
      <c r="F10" s="706">
        <v>111.99</v>
      </c>
      <c r="H10" t="s">
        <v>1757</v>
      </c>
      <c r="I10" s="627">
        <f>SQRT(I9)</f>
        <v>4.1311822359545776</v>
      </c>
      <c r="K10" s="23" t="s">
        <v>1759</v>
      </c>
      <c r="M10" s="101">
        <v>88.42</v>
      </c>
      <c r="N10" s="101">
        <v>112.57</v>
      </c>
      <c r="O10" s="8"/>
      <c r="P10" s="28" t="s">
        <v>127</v>
      </c>
      <c r="Q10" s="28">
        <v>-2.6514605362442096</v>
      </c>
      <c r="R10" s="28"/>
    </row>
    <row r="11" spans="1:18">
      <c r="A11" s="705">
        <v>97.02</v>
      </c>
      <c r="B11" s="101">
        <v>64.05</v>
      </c>
      <c r="C11" s="101">
        <v>106.31</v>
      </c>
      <c r="D11" s="705">
        <v>148.36000000000001</v>
      </c>
      <c r="E11" s="101">
        <v>115.52</v>
      </c>
      <c r="F11" s="706">
        <v>119.34</v>
      </c>
      <c r="H11" t="s">
        <v>1730</v>
      </c>
      <c r="I11" s="627">
        <f>(I5-J5)/I10</f>
        <v>-2.6514605362442061</v>
      </c>
      <c r="K11" s="23" t="s">
        <v>1760</v>
      </c>
      <c r="M11" s="101">
        <v>97.02</v>
      </c>
      <c r="N11" s="101">
        <v>148.36000000000001</v>
      </c>
      <c r="O11" s="8"/>
      <c r="P11" s="28" t="s">
        <v>1749</v>
      </c>
      <c r="Q11" s="28">
        <v>4.0072239112937114E-3</v>
      </c>
      <c r="R11" s="28"/>
    </row>
    <row r="12" spans="1:18">
      <c r="A12" s="705">
        <v>126.11</v>
      </c>
      <c r="B12" s="101">
        <v>80.06</v>
      </c>
      <c r="C12" s="101">
        <v>85.46</v>
      </c>
      <c r="D12" s="705">
        <v>131.62</v>
      </c>
      <c r="E12" s="101">
        <v>102.34</v>
      </c>
      <c r="F12" s="706">
        <v>95.1</v>
      </c>
      <c r="H12" t="s">
        <v>200</v>
      </c>
      <c r="I12" s="627">
        <f>2*NORMSDIST(I11)</f>
        <v>8.0144478225875667E-3</v>
      </c>
      <c r="K12" s="23" t="s">
        <v>1761</v>
      </c>
      <c r="M12" s="101">
        <v>126.11</v>
      </c>
      <c r="N12" s="101">
        <v>131.62</v>
      </c>
      <c r="O12" s="8"/>
      <c r="P12" s="28" t="s">
        <v>1750</v>
      </c>
      <c r="Q12" s="28">
        <v>1.6448536269514715</v>
      </c>
      <c r="R12" s="28"/>
    </row>
    <row r="13" spans="1:18">
      <c r="A13" s="707">
        <v>127.96</v>
      </c>
      <c r="B13" s="708">
        <v>74.13</v>
      </c>
      <c r="C13" s="708">
        <v>103.69</v>
      </c>
      <c r="D13" s="707">
        <v>114.6</v>
      </c>
      <c r="E13" s="708">
        <v>97.01</v>
      </c>
      <c r="F13" s="709">
        <v>107.62</v>
      </c>
      <c r="H13" t="s">
        <v>491</v>
      </c>
      <c r="I13" s="627">
        <f>NORMSINV(I8/2)</f>
        <v>-1.9599639845400538</v>
      </c>
      <c r="K13" s="23" t="s">
        <v>1762</v>
      </c>
      <c r="M13" s="101">
        <v>127.96</v>
      </c>
      <c r="N13" s="101">
        <v>114.6</v>
      </c>
      <c r="O13" s="8"/>
      <c r="P13" s="28" t="s">
        <v>1751</v>
      </c>
      <c r="Q13" s="28">
        <v>8.0144478225874227E-3</v>
      </c>
      <c r="R13" s="28"/>
    </row>
    <row r="14" spans="1:18" ht="15" thickBot="1">
      <c r="H14" t="s">
        <v>948</v>
      </c>
      <c r="I14" s="538" t="str">
        <f>IF(I12&lt;I8,"yes","no")</f>
        <v>yes</v>
      </c>
      <c r="K14" s="23" t="s">
        <v>1763</v>
      </c>
      <c r="M14" s="101">
        <v>89.03</v>
      </c>
      <c r="N14" s="101">
        <v>95.47</v>
      </c>
      <c r="O14" s="8"/>
      <c r="P14" s="31" t="s">
        <v>1752</v>
      </c>
      <c r="Q14" s="31">
        <v>1.9599639845400536</v>
      </c>
      <c r="R14" s="31"/>
    </row>
    <row r="15" spans="1:18">
      <c r="M15" s="101">
        <v>94.51</v>
      </c>
      <c r="N15" s="101">
        <v>108.66</v>
      </c>
      <c r="O15" s="8"/>
      <c r="P15" s="8"/>
      <c r="Q15" s="8"/>
    </row>
    <row r="16" spans="1:18">
      <c r="M16" s="101">
        <v>93.32</v>
      </c>
      <c r="N16" s="101">
        <v>83.32</v>
      </c>
      <c r="O16" s="8"/>
      <c r="P16" s="8"/>
      <c r="Q16" s="8"/>
    </row>
    <row r="17" spans="13:17">
      <c r="M17" s="101">
        <v>89.26</v>
      </c>
      <c r="N17" s="101">
        <v>117.64</v>
      </c>
      <c r="O17" s="8"/>
      <c r="P17" s="8"/>
      <c r="Q17" s="8"/>
    </row>
    <row r="18" spans="13:17">
      <c r="M18" s="101">
        <v>110.36</v>
      </c>
      <c r="N18" s="101">
        <v>96.9</v>
      </c>
      <c r="O18" s="8"/>
      <c r="P18" s="8"/>
      <c r="Q18" s="8"/>
    </row>
    <row r="19" spans="13:17">
      <c r="M19" s="101">
        <v>92.52</v>
      </c>
      <c r="N19" s="101">
        <v>66.459999999999994</v>
      </c>
      <c r="O19" s="8"/>
      <c r="P19" s="8"/>
      <c r="Q19" s="8"/>
    </row>
    <row r="20" spans="13:17">
      <c r="M20" s="101">
        <v>112.87</v>
      </c>
      <c r="N20" s="101">
        <v>87.8</v>
      </c>
      <c r="O20" s="8"/>
      <c r="P20" s="8"/>
      <c r="Q20" s="8"/>
    </row>
    <row r="21" spans="13:17">
      <c r="M21" s="101">
        <v>64.05</v>
      </c>
      <c r="N21" s="101">
        <v>115.52</v>
      </c>
      <c r="O21" s="8"/>
      <c r="P21" s="8"/>
      <c r="Q21" s="8"/>
    </row>
    <row r="22" spans="13:17">
      <c r="M22" s="101">
        <v>80.06</v>
      </c>
      <c r="N22" s="101">
        <v>102.34</v>
      </c>
      <c r="O22" s="8"/>
      <c r="P22" s="8"/>
      <c r="Q22" s="8"/>
    </row>
    <row r="23" spans="13:17">
      <c r="M23" s="101">
        <v>74.13</v>
      </c>
      <c r="N23" s="101">
        <v>97.01</v>
      </c>
      <c r="O23" s="8"/>
      <c r="P23" s="8"/>
      <c r="Q23" s="8"/>
    </row>
    <row r="24" spans="13:17">
      <c r="M24" s="101">
        <v>109.13</v>
      </c>
      <c r="N24" s="101">
        <v>117.51</v>
      </c>
      <c r="O24" s="8"/>
      <c r="P24" s="8"/>
      <c r="Q24" s="8"/>
    </row>
    <row r="25" spans="13:17">
      <c r="M25" s="101">
        <v>81.59</v>
      </c>
      <c r="N25" s="101">
        <v>115.64</v>
      </c>
      <c r="O25" s="8"/>
      <c r="P25" s="8"/>
      <c r="Q25" s="8"/>
    </row>
    <row r="26" spans="13:17">
      <c r="M26" s="101">
        <v>94.99</v>
      </c>
      <c r="N26" s="101">
        <v>97.22</v>
      </c>
      <c r="O26" s="8"/>
      <c r="P26" s="8"/>
      <c r="Q26" s="8"/>
    </row>
    <row r="27" spans="13:17">
      <c r="M27" s="101">
        <v>101.34</v>
      </c>
      <c r="N27" s="101">
        <v>131.04</v>
      </c>
      <c r="O27" s="8"/>
      <c r="P27" s="8"/>
      <c r="Q27" s="8"/>
    </row>
    <row r="28" spans="13:17">
      <c r="M28" s="101">
        <v>104.82</v>
      </c>
      <c r="N28" s="101">
        <v>101.58</v>
      </c>
      <c r="O28" s="8"/>
      <c r="P28" s="8"/>
      <c r="Q28" s="8"/>
    </row>
    <row r="29" spans="13:17">
      <c r="M29" s="101">
        <v>106.92</v>
      </c>
      <c r="N29" s="101">
        <v>103.8</v>
      </c>
      <c r="O29" s="8"/>
      <c r="P29" s="8"/>
      <c r="Q29" s="8"/>
    </row>
    <row r="30" spans="13:17">
      <c r="M30" s="101">
        <v>80.5</v>
      </c>
      <c r="N30" s="101">
        <v>111.99</v>
      </c>
      <c r="O30" s="8"/>
      <c r="P30" s="8"/>
      <c r="Q30" s="8"/>
    </row>
    <row r="31" spans="13:17">
      <c r="M31" s="101">
        <v>106.31</v>
      </c>
      <c r="N31" s="101">
        <v>119.34</v>
      </c>
      <c r="O31" s="8"/>
      <c r="P31" s="8"/>
      <c r="Q31" s="8"/>
    </row>
    <row r="32" spans="13:17">
      <c r="M32" s="101">
        <v>85.46</v>
      </c>
      <c r="N32" s="101">
        <v>95.1</v>
      </c>
      <c r="O32" s="8"/>
      <c r="P32" s="8"/>
      <c r="Q32" s="8"/>
    </row>
    <row r="33" spans="13:17">
      <c r="M33" s="708">
        <v>103.69</v>
      </c>
      <c r="N33" s="708">
        <v>107.62</v>
      </c>
      <c r="O33" s="8"/>
      <c r="P33" s="8"/>
      <c r="Q33" s="8"/>
    </row>
    <row r="34" spans="13:17">
      <c r="M34" s="8"/>
      <c r="N34" s="8"/>
      <c r="O34" s="8"/>
      <c r="P34" s="8"/>
      <c r="Q34" s="8"/>
    </row>
    <row r="35" spans="13:17">
      <c r="M35" s="8"/>
      <c r="N35" s="8"/>
      <c r="O35" s="8"/>
      <c r="P35" s="8"/>
      <c r="Q35" s="8"/>
    </row>
  </sheetData>
  <mergeCells count="2">
    <mergeCell ref="A3:C3"/>
    <mergeCell ref="D3:F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195"/>
  <dimension ref="A1:CV54"/>
  <sheetViews>
    <sheetView topLeftCell="A30" workbookViewId="0">
      <selection activeCell="H13" sqref="H13"/>
    </sheetView>
  </sheetViews>
  <sheetFormatPr defaultRowHeight="14.4"/>
  <sheetData>
    <row r="1" spans="1:100">
      <c r="A1" s="1" t="s">
        <v>1771</v>
      </c>
    </row>
    <row r="3" spans="1:100">
      <c r="A3">
        <v>137.72545548875394</v>
      </c>
      <c r="B3">
        <v>64.148380993072294</v>
      </c>
      <c r="C3">
        <v>62.292855616931668</v>
      </c>
      <c r="D3">
        <v>118.77040925321208</v>
      </c>
      <c r="E3">
        <v>97.163304544206056</v>
      </c>
      <c r="F3">
        <v>66.895046845912049</v>
      </c>
      <c r="G3">
        <v>147.77825251014741</v>
      </c>
      <c r="H3">
        <v>70.398571733756526</v>
      </c>
      <c r="I3">
        <v>50.241096224860378</v>
      </c>
      <c r="J3">
        <v>87.064729758598588</v>
      </c>
      <c r="K3">
        <v>139.0926847132786</v>
      </c>
      <c r="L3">
        <v>70.877712332529683</v>
      </c>
      <c r="M3">
        <v>135.8943449201941</v>
      </c>
      <c r="N3">
        <v>137.79259620960113</v>
      </c>
      <c r="O3">
        <v>57.034516434217352</v>
      </c>
      <c r="P3">
        <v>127.18741416669211</v>
      </c>
      <c r="Q3">
        <v>75.016022217474898</v>
      </c>
      <c r="R3">
        <v>80.845057527390367</v>
      </c>
      <c r="S3">
        <v>92.905972472304455</v>
      </c>
      <c r="T3">
        <v>85.602893154698322</v>
      </c>
      <c r="U3">
        <v>118.28516495254372</v>
      </c>
      <c r="V3">
        <v>145.6938383129368</v>
      </c>
      <c r="W3">
        <v>63.830988494521932</v>
      </c>
      <c r="X3">
        <v>128.1914731284524</v>
      </c>
      <c r="Y3">
        <v>69.165623950926232</v>
      </c>
      <c r="Z3">
        <v>122.95449690237129</v>
      </c>
      <c r="AA3">
        <v>144.86373485518968</v>
      </c>
      <c r="AB3">
        <v>139.02249214148381</v>
      </c>
      <c r="AC3">
        <v>97.746208075197615</v>
      </c>
      <c r="AD3">
        <v>85.425885799737529</v>
      </c>
      <c r="AE3">
        <v>118.4499649037141</v>
      </c>
      <c r="AF3">
        <v>118.25769829401533</v>
      </c>
      <c r="AG3">
        <v>111.01565599536119</v>
      </c>
      <c r="AH3">
        <v>139.74578081606495</v>
      </c>
      <c r="AI3">
        <v>131.92388683736687</v>
      </c>
      <c r="AJ3">
        <v>72.202215643787952</v>
      </c>
      <c r="AK3">
        <v>95.194860683004237</v>
      </c>
      <c r="AL3">
        <v>61.844233527634515</v>
      </c>
      <c r="AM3">
        <v>103.60576189458907</v>
      </c>
      <c r="AN3">
        <v>57.446516312143316</v>
      </c>
      <c r="AO3">
        <v>95.799127170628992</v>
      </c>
      <c r="AP3">
        <v>119.34720908230842</v>
      </c>
      <c r="AQ3">
        <v>68.20123905148472</v>
      </c>
      <c r="AR3">
        <v>107.24967192602314</v>
      </c>
      <c r="AS3">
        <v>50.98269600512711</v>
      </c>
      <c r="AT3">
        <v>133.95947141941588</v>
      </c>
      <c r="AU3">
        <v>102.03100680562761</v>
      </c>
      <c r="AV3">
        <v>118.27600939970092</v>
      </c>
      <c r="AW3">
        <v>143.86272774437697</v>
      </c>
      <c r="AX3">
        <v>87.064729758598588</v>
      </c>
      <c r="AY3">
        <v>53.674428540910064</v>
      </c>
      <c r="AZ3">
        <v>144.11908322397534</v>
      </c>
      <c r="BA3">
        <v>95.768608661152996</v>
      </c>
      <c r="BB3">
        <v>127.67876216925565</v>
      </c>
      <c r="BC3">
        <v>53.93078402050844</v>
      </c>
      <c r="BD3">
        <v>111.51310769981993</v>
      </c>
      <c r="BE3">
        <v>72.8675191503647</v>
      </c>
      <c r="BF3">
        <v>107.17337565233314</v>
      </c>
      <c r="BG3">
        <v>137.18222602008117</v>
      </c>
      <c r="BH3">
        <v>134.28601947080904</v>
      </c>
      <c r="BI3">
        <v>73.911252174443803</v>
      </c>
      <c r="BJ3">
        <v>135.22293771172215</v>
      </c>
      <c r="BK3">
        <v>141.71422467726677</v>
      </c>
      <c r="BL3">
        <v>107.96380504776147</v>
      </c>
      <c r="BM3">
        <v>131.11209448530533</v>
      </c>
      <c r="BN3">
        <v>108.7969603564562</v>
      </c>
      <c r="BO3">
        <v>145.82201605273599</v>
      </c>
      <c r="BP3">
        <v>140.08148442030091</v>
      </c>
      <c r="BQ3">
        <v>144.57991271706288</v>
      </c>
      <c r="BR3">
        <v>109.45005645924253</v>
      </c>
      <c r="BS3">
        <v>109.19064912869656</v>
      </c>
      <c r="BT3">
        <v>88.56318857387005</v>
      </c>
      <c r="BU3">
        <v>79.642628254036083</v>
      </c>
      <c r="BV3">
        <v>73.84716330454421</v>
      </c>
      <c r="BW3">
        <v>73.816644795068214</v>
      </c>
      <c r="BX3">
        <v>121.41331217383343</v>
      </c>
      <c r="BY3">
        <v>100.32197027497178</v>
      </c>
      <c r="BZ3">
        <v>55.893124179815061</v>
      </c>
      <c r="CA3">
        <v>90.153202917569502</v>
      </c>
      <c r="CB3">
        <v>100.79500717184973</v>
      </c>
      <c r="CC3">
        <v>129.5312356944487</v>
      </c>
      <c r="CD3">
        <v>108.57417523728141</v>
      </c>
      <c r="CE3">
        <v>84.061708426160465</v>
      </c>
      <c r="CF3">
        <v>144.68977935117647</v>
      </c>
      <c r="CG3">
        <v>76.679280983916755</v>
      </c>
      <c r="CH3">
        <v>63.650929288613547</v>
      </c>
      <c r="CI3">
        <v>130.21179845576341</v>
      </c>
      <c r="CJ3">
        <v>69.156468398083433</v>
      </c>
      <c r="CK3">
        <v>123.29935605945006</v>
      </c>
      <c r="CL3">
        <v>137.35312967314678</v>
      </c>
      <c r="CM3">
        <v>147.56157109286784</v>
      </c>
      <c r="CN3">
        <v>64.46272164067507</v>
      </c>
      <c r="CO3">
        <v>107.24967192602314</v>
      </c>
      <c r="CP3">
        <v>140.1364177373577</v>
      </c>
      <c r="CQ3">
        <v>82.505264442884609</v>
      </c>
      <c r="CR3">
        <v>108.04925687429426</v>
      </c>
      <c r="CS3">
        <v>96.256904812768937</v>
      </c>
      <c r="CT3">
        <v>118.70326853236489</v>
      </c>
      <c r="CU3">
        <v>95.387127292703013</v>
      </c>
      <c r="CV3">
        <v>67.58476516006958</v>
      </c>
    </row>
    <row r="4" spans="1:100">
      <c r="A4">
        <v>118.81008331553087</v>
      </c>
      <c r="B4">
        <v>125.78966643269143</v>
      </c>
      <c r="C4">
        <v>89.365825373088782</v>
      </c>
      <c r="D4">
        <v>121.58421582689901</v>
      </c>
      <c r="E4">
        <v>76.538895840327157</v>
      </c>
      <c r="F4">
        <v>145.48326059755243</v>
      </c>
      <c r="G4">
        <v>121.35227515488144</v>
      </c>
      <c r="H4">
        <v>143.26151310769984</v>
      </c>
      <c r="I4">
        <v>86.167485580004268</v>
      </c>
      <c r="J4">
        <v>109.99633777886288</v>
      </c>
      <c r="K4">
        <v>95.45121616260262</v>
      </c>
      <c r="L4">
        <v>74.478896450697349</v>
      </c>
      <c r="M4">
        <v>62.622455519272435</v>
      </c>
      <c r="N4">
        <v>78.312021240882601</v>
      </c>
      <c r="O4">
        <v>73.441267128513445</v>
      </c>
      <c r="P4">
        <v>63.748588518936735</v>
      </c>
      <c r="Q4">
        <v>108.85494552446059</v>
      </c>
      <c r="R4">
        <v>146.11804559465315</v>
      </c>
      <c r="S4">
        <v>104.64644306772058</v>
      </c>
      <c r="T4">
        <v>103.98724326303903</v>
      </c>
      <c r="U4">
        <v>73.514511551255836</v>
      </c>
      <c r="V4">
        <v>135.26566362498855</v>
      </c>
      <c r="W4">
        <v>70.026245918149357</v>
      </c>
      <c r="X4">
        <v>62.692648091067234</v>
      </c>
      <c r="Y4">
        <v>72.904141361735896</v>
      </c>
      <c r="Z4">
        <v>90.473647267067477</v>
      </c>
      <c r="AA4">
        <v>104.62202826013979</v>
      </c>
      <c r="AB4">
        <v>77.179784539323094</v>
      </c>
      <c r="AC4">
        <v>117.77550584429457</v>
      </c>
      <c r="AD4">
        <v>61.365092928861358</v>
      </c>
      <c r="AE4">
        <v>63.913388470107122</v>
      </c>
      <c r="AF4">
        <v>117.97692800683615</v>
      </c>
      <c r="AG4">
        <v>135.66850795007173</v>
      </c>
      <c r="AH4">
        <v>97.987304300057986</v>
      </c>
      <c r="AI4">
        <v>149.76195562608723</v>
      </c>
      <c r="AJ4">
        <v>73.490096743675039</v>
      </c>
      <c r="AK4">
        <v>129.36338389233072</v>
      </c>
      <c r="AL4">
        <v>137.93298135319071</v>
      </c>
      <c r="AM4">
        <v>61.542100283822137</v>
      </c>
      <c r="AN4">
        <v>59.115878780480358</v>
      </c>
      <c r="AO4">
        <v>62.112796411023282</v>
      </c>
      <c r="AP4">
        <v>113.18857387005218</v>
      </c>
      <c r="AQ4">
        <v>88.108462782677691</v>
      </c>
      <c r="AR4">
        <v>103.85906552323985</v>
      </c>
      <c r="AS4">
        <v>110.22522659993285</v>
      </c>
      <c r="AT4">
        <v>54.837183751945553</v>
      </c>
      <c r="AU4">
        <v>106.18152409436323</v>
      </c>
      <c r="AV4">
        <v>117.64122440260017</v>
      </c>
      <c r="AW4">
        <v>73.676259651478617</v>
      </c>
      <c r="AX4">
        <v>123.73882259590442</v>
      </c>
      <c r="AY4">
        <v>91.264076662495796</v>
      </c>
      <c r="AZ4">
        <v>108.35444196905422</v>
      </c>
      <c r="BA4">
        <v>115.91082491531114</v>
      </c>
      <c r="BB4">
        <v>97.169408246101256</v>
      </c>
      <c r="BC4">
        <v>50.329599902340767</v>
      </c>
      <c r="BD4">
        <v>123.80901516769921</v>
      </c>
      <c r="BE4">
        <v>83.149204992828146</v>
      </c>
      <c r="BF4">
        <v>79.825739310892061</v>
      </c>
      <c r="BG4">
        <v>73.667104098635818</v>
      </c>
      <c r="BH4">
        <v>66.660054322946877</v>
      </c>
      <c r="BI4">
        <v>135.74785607470932</v>
      </c>
      <c r="BJ4">
        <v>119.40214239936522</v>
      </c>
      <c r="BK4">
        <v>140.39277321695607</v>
      </c>
      <c r="BL4">
        <v>77.521591845454267</v>
      </c>
      <c r="BM4">
        <v>67.923520615253153</v>
      </c>
      <c r="BN4">
        <v>135.02456740012818</v>
      </c>
      <c r="BO4">
        <v>137.70714438306834</v>
      </c>
      <c r="BP4">
        <v>111.04007080294198</v>
      </c>
      <c r="BQ4">
        <v>116.96371349223304</v>
      </c>
      <c r="BR4">
        <v>61.200292977690971</v>
      </c>
      <c r="BS4">
        <v>73.068941312906276</v>
      </c>
      <c r="BT4">
        <v>61.88695944090091</v>
      </c>
      <c r="BU4">
        <v>97.721793267616818</v>
      </c>
      <c r="BV4">
        <v>106.73085726493119</v>
      </c>
      <c r="BW4">
        <v>109.99023407696768</v>
      </c>
      <c r="BX4">
        <v>119.85076448866238</v>
      </c>
      <c r="BY4">
        <v>149.86877040925322</v>
      </c>
      <c r="BZ4">
        <v>75.501266518143254</v>
      </c>
      <c r="CA4">
        <v>118.09900204474013</v>
      </c>
      <c r="CB4">
        <v>82.151249732963038</v>
      </c>
      <c r="CC4">
        <v>113.43272194586015</v>
      </c>
      <c r="CD4">
        <v>102.35145115512557</v>
      </c>
      <c r="CE4">
        <v>78.083132419812614</v>
      </c>
      <c r="CF4">
        <v>101.10934781945249</v>
      </c>
      <c r="CG4">
        <v>98.304696798608347</v>
      </c>
      <c r="CH4">
        <v>107.08182012390515</v>
      </c>
      <c r="CI4">
        <v>132.14667195654164</v>
      </c>
      <c r="CJ4">
        <v>95.286416211432226</v>
      </c>
      <c r="CK4">
        <v>63.284707174901577</v>
      </c>
      <c r="CL4">
        <v>119.77141636402479</v>
      </c>
      <c r="CM4">
        <v>120.5801568651387</v>
      </c>
      <c r="CN4">
        <v>102.24463637195959</v>
      </c>
      <c r="CO4">
        <v>70.36805322428053</v>
      </c>
      <c r="CP4">
        <v>80.478835413678397</v>
      </c>
      <c r="CQ4">
        <v>95.118564409314246</v>
      </c>
      <c r="CR4">
        <v>101.00253303628651</v>
      </c>
      <c r="CS4">
        <v>129.80285042878506</v>
      </c>
      <c r="CT4">
        <v>66.51661732840968</v>
      </c>
      <c r="CU4">
        <v>149.67040009765924</v>
      </c>
      <c r="CV4">
        <v>82.370983001190226</v>
      </c>
    </row>
    <row r="5" spans="1:100">
      <c r="A5">
        <v>100.82857753227333</v>
      </c>
      <c r="B5">
        <v>92.374950407422105</v>
      </c>
      <c r="C5">
        <v>85.358745078890337</v>
      </c>
      <c r="D5">
        <v>145.28489028595845</v>
      </c>
      <c r="E5">
        <v>73.627430036317023</v>
      </c>
      <c r="F5">
        <v>139.98077333903012</v>
      </c>
      <c r="G5">
        <v>109.57518234809413</v>
      </c>
      <c r="H5">
        <v>76.43513290810877</v>
      </c>
      <c r="I5">
        <v>54.153569139683221</v>
      </c>
      <c r="J5">
        <v>120.41230506302072</v>
      </c>
      <c r="K5">
        <v>70.407727286599325</v>
      </c>
      <c r="L5">
        <v>83.051545762504958</v>
      </c>
      <c r="M5">
        <v>80.414746543778804</v>
      </c>
      <c r="N5">
        <v>62.86355174413282</v>
      </c>
      <c r="O5">
        <v>100.63325907162695</v>
      </c>
      <c r="P5">
        <v>55.740531632435072</v>
      </c>
      <c r="Q5">
        <v>63.843195898312331</v>
      </c>
      <c r="R5">
        <v>133.27585680715353</v>
      </c>
      <c r="S5">
        <v>51.721243934446242</v>
      </c>
      <c r="T5">
        <v>142.2849208044679</v>
      </c>
      <c r="U5">
        <v>104.5121616260262</v>
      </c>
      <c r="V5">
        <v>51.20853297524949</v>
      </c>
      <c r="W5">
        <v>55.630664998321478</v>
      </c>
      <c r="X5">
        <v>124.79476302377391</v>
      </c>
      <c r="Y5">
        <v>72.13507492294076</v>
      </c>
      <c r="Z5">
        <v>109.33408612323375</v>
      </c>
      <c r="AA5">
        <v>78.955961790826137</v>
      </c>
      <c r="AB5">
        <v>119.73784600360119</v>
      </c>
      <c r="AC5">
        <v>118.53541673024689</v>
      </c>
      <c r="AD5">
        <v>98.506118961149937</v>
      </c>
      <c r="AE5">
        <v>60.107730338450267</v>
      </c>
      <c r="AF5">
        <v>128.91476180303354</v>
      </c>
      <c r="AG5">
        <v>137.19138157292397</v>
      </c>
      <c r="AH5">
        <v>91.676076540421761</v>
      </c>
      <c r="AI5">
        <v>70.120853297524945</v>
      </c>
      <c r="AJ5">
        <v>119.5577867976928</v>
      </c>
      <c r="AK5">
        <v>135.43961912900176</v>
      </c>
      <c r="AL5">
        <v>89.710684530167555</v>
      </c>
      <c r="AM5">
        <v>87.705618457594539</v>
      </c>
      <c r="AN5">
        <v>61.636707663197726</v>
      </c>
      <c r="AO5">
        <v>135.05813776055177</v>
      </c>
      <c r="AP5">
        <v>82.230597857600628</v>
      </c>
      <c r="AQ5">
        <v>129.19248023926514</v>
      </c>
      <c r="AR5">
        <v>100.54170354319895</v>
      </c>
      <c r="AS5">
        <v>66.727195043794069</v>
      </c>
      <c r="AT5">
        <v>126.63808099612415</v>
      </c>
      <c r="AU5">
        <v>123.99212622455519</v>
      </c>
      <c r="AV5">
        <v>93.214209418012018</v>
      </c>
      <c r="AW5">
        <v>74.121829889828177</v>
      </c>
      <c r="AX5">
        <v>98.417615283669548</v>
      </c>
      <c r="AY5">
        <v>101.61900692770165</v>
      </c>
      <c r="AZ5">
        <v>50.363170262764363</v>
      </c>
      <c r="BA5">
        <v>59.021271401104769</v>
      </c>
      <c r="BB5">
        <v>95.255897701956229</v>
      </c>
      <c r="BC5">
        <v>69.238868373668623</v>
      </c>
      <c r="BD5">
        <v>141.38462477492601</v>
      </c>
      <c r="BE5">
        <v>66.2358470412305</v>
      </c>
      <c r="BF5">
        <v>147.05191198461867</v>
      </c>
      <c r="BG5">
        <v>50.75685903500473</v>
      </c>
      <c r="BH5">
        <v>114.44288460951567</v>
      </c>
      <c r="BI5">
        <v>109.26084170049135</v>
      </c>
      <c r="BJ5">
        <v>86.274300363170255</v>
      </c>
      <c r="BK5">
        <v>63.553270058290352</v>
      </c>
      <c r="BL5">
        <v>78.577532273323769</v>
      </c>
      <c r="BM5">
        <v>127.42851039155248</v>
      </c>
      <c r="BN5">
        <v>145.55345316934722</v>
      </c>
      <c r="BO5">
        <v>107.85699026459548</v>
      </c>
      <c r="BP5">
        <v>88.831751457258832</v>
      </c>
      <c r="BQ5">
        <v>138.48231452375865</v>
      </c>
      <c r="BR5">
        <v>73.068941312906276</v>
      </c>
      <c r="BS5">
        <v>84.855189672536397</v>
      </c>
      <c r="BT5">
        <v>54.361095004120003</v>
      </c>
      <c r="BU5">
        <v>126.72353282265694</v>
      </c>
      <c r="BV5">
        <v>130.63600573747976</v>
      </c>
      <c r="BW5">
        <v>115.04715109714041</v>
      </c>
      <c r="BX5">
        <v>145.97155674916837</v>
      </c>
      <c r="BY5">
        <v>132.90353099154638</v>
      </c>
      <c r="BZ5">
        <v>86.457411420026247</v>
      </c>
      <c r="CA5">
        <v>72.348704489272748</v>
      </c>
      <c r="CB5">
        <v>56.186101870784633</v>
      </c>
      <c r="CC5">
        <v>86.521500289925839</v>
      </c>
      <c r="CD5">
        <v>80.793176061281173</v>
      </c>
      <c r="CE5">
        <v>99.723807489242233</v>
      </c>
      <c r="CF5">
        <v>114.99221778008362</v>
      </c>
      <c r="CG5">
        <v>71.124912259285253</v>
      </c>
      <c r="CH5">
        <v>92.558061464278083</v>
      </c>
      <c r="CI5">
        <v>121.8008972441786</v>
      </c>
      <c r="CJ5">
        <v>114.34522537919248</v>
      </c>
      <c r="CK5">
        <v>63.223670155949584</v>
      </c>
      <c r="CL5">
        <v>85.035248878444776</v>
      </c>
      <c r="CM5">
        <v>120.25666066469314</v>
      </c>
      <c r="CN5">
        <v>144.62569048127688</v>
      </c>
      <c r="CO5">
        <v>135.49150059511095</v>
      </c>
      <c r="CP5">
        <v>58.829004791405985</v>
      </c>
      <c r="CQ5">
        <v>87.476729636524553</v>
      </c>
      <c r="CR5">
        <v>96.101260414441356</v>
      </c>
      <c r="CS5">
        <v>64.807580797753843</v>
      </c>
      <c r="CT5">
        <v>90.147099215674302</v>
      </c>
      <c r="CU5">
        <v>124.18439283425397</v>
      </c>
      <c r="CV5">
        <v>128.57905819879755</v>
      </c>
    </row>
    <row r="6" spans="1:100">
      <c r="A6">
        <v>76.163518173772388</v>
      </c>
      <c r="B6">
        <v>85.8989226966155</v>
      </c>
      <c r="C6">
        <v>93.156224250007625</v>
      </c>
      <c r="D6">
        <v>115.85894344920194</v>
      </c>
      <c r="E6">
        <v>102.78481398968475</v>
      </c>
      <c r="F6">
        <v>61.627552110354927</v>
      </c>
      <c r="G6">
        <v>122.06335642567217</v>
      </c>
      <c r="H6">
        <v>92.298654133732114</v>
      </c>
      <c r="I6">
        <v>89.640491958372763</v>
      </c>
      <c r="J6">
        <v>135.53117465742974</v>
      </c>
      <c r="K6">
        <v>147.93084505752739</v>
      </c>
      <c r="L6">
        <v>119.06949064607684</v>
      </c>
      <c r="M6">
        <v>54.986724448377942</v>
      </c>
      <c r="N6">
        <v>126.12842188787499</v>
      </c>
      <c r="O6">
        <v>145.29404583880125</v>
      </c>
      <c r="P6">
        <v>132.19244972075563</v>
      </c>
      <c r="Q6">
        <v>61.905270546586507</v>
      </c>
      <c r="R6">
        <v>80.768761253700376</v>
      </c>
      <c r="S6">
        <v>112.41950743125706</v>
      </c>
      <c r="T6">
        <v>66.006958220160527</v>
      </c>
      <c r="U6">
        <v>69.922482985930969</v>
      </c>
      <c r="V6">
        <v>83.219397564622938</v>
      </c>
      <c r="W6">
        <v>60.925626392406997</v>
      </c>
      <c r="X6">
        <v>146.8413342692343</v>
      </c>
      <c r="Y6">
        <v>66.51356547746208</v>
      </c>
      <c r="Z6">
        <v>121.6727195043794</v>
      </c>
      <c r="AA6">
        <v>124.34308908352915</v>
      </c>
      <c r="AB6">
        <v>129.82726523636586</v>
      </c>
      <c r="AC6">
        <v>69.135105441450236</v>
      </c>
      <c r="AD6">
        <v>145.19638660847806</v>
      </c>
      <c r="AE6">
        <v>101.22531815546128</v>
      </c>
      <c r="AF6">
        <v>132.03680532242805</v>
      </c>
      <c r="AG6">
        <v>138.35413678395946</v>
      </c>
      <c r="AH6">
        <v>86.777855769524223</v>
      </c>
      <c r="AI6">
        <v>98.490859706411939</v>
      </c>
      <c r="AJ6">
        <v>64.993743705557421</v>
      </c>
      <c r="AK6">
        <v>92.753379924924474</v>
      </c>
      <c r="AL6">
        <v>81.144138920255131</v>
      </c>
      <c r="AM6">
        <v>90.556047242652667</v>
      </c>
      <c r="AN6">
        <v>119.76226081118199</v>
      </c>
      <c r="AO6">
        <v>66.2297433393353</v>
      </c>
      <c r="AP6">
        <v>55.36515396588031</v>
      </c>
      <c r="AQ6">
        <v>59.91851557969909</v>
      </c>
      <c r="AR6">
        <v>107.6738792077395</v>
      </c>
      <c r="AS6">
        <v>98.28333384197515</v>
      </c>
      <c r="AT6">
        <v>120.48249763481552</v>
      </c>
      <c r="AU6">
        <v>134.835352641377</v>
      </c>
      <c r="AV6">
        <v>109.8437452314829</v>
      </c>
      <c r="AW6">
        <v>97.94763023773919</v>
      </c>
      <c r="AX6">
        <v>142.22083193456831</v>
      </c>
      <c r="AY6">
        <v>135.8760338145085</v>
      </c>
      <c r="AZ6">
        <v>82.575457014679401</v>
      </c>
      <c r="BA6">
        <v>96.613971373638122</v>
      </c>
      <c r="BB6">
        <v>62.329477828302871</v>
      </c>
      <c r="BC6">
        <v>80.890835291604361</v>
      </c>
      <c r="BD6">
        <v>110.45106357005524</v>
      </c>
      <c r="BE6">
        <v>118.91994994964446</v>
      </c>
      <c r="BF6">
        <v>93.436994537186791</v>
      </c>
      <c r="BG6">
        <v>146.04480117191076</v>
      </c>
      <c r="BH6">
        <v>81.958983123264261</v>
      </c>
      <c r="BI6">
        <v>76.358836634418779</v>
      </c>
      <c r="BJ6">
        <v>86.674092837305835</v>
      </c>
      <c r="BK6">
        <v>125.33799249244667</v>
      </c>
      <c r="BL6">
        <v>100.08087405011139</v>
      </c>
      <c r="BM6">
        <v>54.956205938901945</v>
      </c>
      <c r="BN6">
        <v>149.05392620624409</v>
      </c>
      <c r="BO6">
        <v>52.468947416608174</v>
      </c>
      <c r="BP6">
        <v>149.52696310312206</v>
      </c>
      <c r="BQ6">
        <v>93.226416821802417</v>
      </c>
      <c r="BR6">
        <v>137.16391491439558</v>
      </c>
      <c r="BS6">
        <v>91.309854426709805</v>
      </c>
      <c r="BT6">
        <v>87.742240668965735</v>
      </c>
      <c r="BU6">
        <v>121.57506027405621</v>
      </c>
      <c r="BV6">
        <v>101.42368846705527</v>
      </c>
      <c r="BW6">
        <v>115.65752128666036</v>
      </c>
      <c r="BX6">
        <v>68.20123905148472</v>
      </c>
      <c r="BY6">
        <v>105.04928739280373</v>
      </c>
      <c r="BZ6">
        <v>120.36957914975433</v>
      </c>
      <c r="CA6">
        <v>118.86196478164007</v>
      </c>
      <c r="CB6">
        <v>73.978392895290995</v>
      </c>
      <c r="CC6">
        <v>55.023346659749137</v>
      </c>
      <c r="CD6">
        <v>128.10296945097201</v>
      </c>
      <c r="CE6">
        <v>143.97564622943815</v>
      </c>
      <c r="CF6">
        <v>89.841914120914339</v>
      </c>
      <c r="CG6">
        <v>125.44175542466506</v>
      </c>
      <c r="CH6">
        <v>88.038270210882899</v>
      </c>
      <c r="CI6">
        <v>75.009918515579699</v>
      </c>
      <c r="CJ6">
        <v>90.937528611102636</v>
      </c>
      <c r="CK6">
        <v>59.262367625965148</v>
      </c>
      <c r="CL6">
        <v>116.06952116458632</v>
      </c>
      <c r="CM6">
        <v>79.984435560167242</v>
      </c>
      <c r="CN6">
        <v>76.206244087038783</v>
      </c>
      <c r="CO6">
        <v>100.74007385479294</v>
      </c>
      <c r="CP6">
        <v>106.24256111331522</v>
      </c>
      <c r="CQ6">
        <v>146.31946775719473</v>
      </c>
      <c r="CR6">
        <v>124.63606677449873</v>
      </c>
      <c r="CS6">
        <v>139.1262550737022</v>
      </c>
      <c r="CT6">
        <v>62.137211218604087</v>
      </c>
      <c r="CU6">
        <v>99.26908169804986</v>
      </c>
      <c r="CV6">
        <v>102.50404370250556</v>
      </c>
    </row>
    <row r="7" spans="1:100">
      <c r="A7">
        <v>89.646595660267963</v>
      </c>
      <c r="B7">
        <v>138.62575151829583</v>
      </c>
      <c r="C7">
        <v>71.97027497177038</v>
      </c>
      <c r="D7">
        <v>118.93826105533006</v>
      </c>
      <c r="E7">
        <v>123.48857081820124</v>
      </c>
      <c r="F7">
        <v>64.069032868434704</v>
      </c>
      <c r="G7">
        <v>57.889034699545277</v>
      </c>
      <c r="H7">
        <v>144.90951261940367</v>
      </c>
      <c r="I7">
        <v>82.871486556596579</v>
      </c>
      <c r="J7">
        <v>108.58943449201941</v>
      </c>
      <c r="K7">
        <v>52.603228858302558</v>
      </c>
      <c r="L7">
        <v>87.098300119022184</v>
      </c>
      <c r="M7">
        <v>143.90850550859096</v>
      </c>
      <c r="N7">
        <v>62.857448042237621</v>
      </c>
      <c r="O7">
        <v>77.085177159947506</v>
      </c>
      <c r="P7">
        <v>53.537095248268074</v>
      </c>
      <c r="Q7">
        <v>119.66765343180639</v>
      </c>
      <c r="R7">
        <v>126.18640705587939</v>
      </c>
      <c r="S7">
        <v>67.847224341563162</v>
      </c>
      <c r="T7">
        <v>81.412701803643913</v>
      </c>
      <c r="U7">
        <v>108.39716788232062</v>
      </c>
      <c r="V7">
        <v>124.37360759300515</v>
      </c>
      <c r="W7">
        <v>135.79973754081851</v>
      </c>
      <c r="X7">
        <v>123.02163762321848</v>
      </c>
      <c r="Y7">
        <v>148.17804498428296</v>
      </c>
      <c r="Z7">
        <v>108.28730124820703</v>
      </c>
      <c r="AA7">
        <v>83.085116122928554</v>
      </c>
      <c r="AB7">
        <v>57.696768089846493</v>
      </c>
      <c r="AC7">
        <v>93.626209295937983</v>
      </c>
      <c r="AD7">
        <v>86.179692983794666</v>
      </c>
      <c r="AE7">
        <v>118.6025574510941</v>
      </c>
      <c r="AF7">
        <v>107.84478286080508</v>
      </c>
      <c r="AG7">
        <v>80.3353984191412</v>
      </c>
      <c r="AH7">
        <v>92.936490981780452</v>
      </c>
      <c r="AI7">
        <v>62.72316660054323</v>
      </c>
      <c r="AJ7">
        <v>87.174596392712175</v>
      </c>
      <c r="AK7">
        <v>92.588579973754079</v>
      </c>
      <c r="AL7">
        <v>149.38047425763725</v>
      </c>
      <c r="AM7">
        <v>81.952879421369062</v>
      </c>
      <c r="AN7">
        <v>59.332560197759939</v>
      </c>
      <c r="AO7">
        <v>100.05951109347819</v>
      </c>
      <c r="AP7">
        <v>114.70839564195686</v>
      </c>
      <c r="AQ7">
        <v>144.04583880123295</v>
      </c>
      <c r="AR7">
        <v>134.96963408307138</v>
      </c>
      <c r="AS7">
        <v>79.047517319254126</v>
      </c>
      <c r="AT7">
        <v>85.24887844477675</v>
      </c>
      <c r="AU7">
        <v>134.27991576891384</v>
      </c>
      <c r="AV7">
        <v>85.41673024689473</v>
      </c>
      <c r="AW7">
        <v>83.948789941099278</v>
      </c>
      <c r="AX7">
        <v>142.61757255775626</v>
      </c>
      <c r="AY7">
        <v>99.455244605853451</v>
      </c>
      <c r="AZ7">
        <v>87.006744590594195</v>
      </c>
      <c r="BA7">
        <v>143.97259437849056</v>
      </c>
      <c r="BB7">
        <v>99.726859340189833</v>
      </c>
      <c r="BC7">
        <v>146.04174932096316</v>
      </c>
      <c r="BD7">
        <v>135.84246345408491</v>
      </c>
      <c r="BE7">
        <v>121.75817133091221</v>
      </c>
      <c r="BF7">
        <v>123.40311899166845</v>
      </c>
      <c r="BG7">
        <v>114.24756614886928</v>
      </c>
      <c r="BH7">
        <v>82.462538529618215</v>
      </c>
      <c r="BI7">
        <v>121.35227515488144</v>
      </c>
      <c r="BJ7">
        <v>126.76015503402814</v>
      </c>
      <c r="BK7">
        <v>136.24835963011566</v>
      </c>
      <c r="BL7">
        <v>104.80819116794336</v>
      </c>
      <c r="BM7">
        <v>135.55864131595814</v>
      </c>
      <c r="BN7">
        <v>101.53355510116886</v>
      </c>
      <c r="BO7">
        <v>76.343577379680781</v>
      </c>
      <c r="BP7">
        <v>141.4731284524064</v>
      </c>
      <c r="BQ7">
        <v>104.11847285378582</v>
      </c>
      <c r="BR7">
        <v>111.9617297891171</v>
      </c>
      <c r="BS7">
        <v>141.4700766014588</v>
      </c>
      <c r="BT7">
        <v>122.67983031708731</v>
      </c>
      <c r="BU7">
        <v>133.27890865810113</v>
      </c>
      <c r="BV7">
        <v>98.518326364940336</v>
      </c>
      <c r="BW7">
        <v>82.523575548570207</v>
      </c>
      <c r="BX7">
        <v>128.78963591418196</v>
      </c>
      <c r="BY7">
        <v>132.79061250648519</v>
      </c>
      <c r="BZ7">
        <v>129.4793542283395</v>
      </c>
      <c r="CA7">
        <v>52.145451216162606</v>
      </c>
      <c r="CB7">
        <v>79.474776451918089</v>
      </c>
      <c r="CC7">
        <v>60.864589373455004</v>
      </c>
      <c r="CD7">
        <v>128.48139896847437</v>
      </c>
      <c r="CE7">
        <v>134.560686056093</v>
      </c>
      <c r="CF7">
        <v>106.68202764976959</v>
      </c>
      <c r="CG7">
        <v>117.81823175756097</v>
      </c>
      <c r="CH7">
        <v>56.161687063203836</v>
      </c>
      <c r="CI7">
        <v>113.11838129825739</v>
      </c>
      <c r="CJ7">
        <v>114.50086977752007</v>
      </c>
      <c r="CK7">
        <v>78.916287728507342</v>
      </c>
      <c r="CL7">
        <v>74.060792870876185</v>
      </c>
      <c r="CM7">
        <v>91.163365581225008</v>
      </c>
      <c r="CN7">
        <v>79.084139530625322</v>
      </c>
      <c r="CO7">
        <v>107.16422009949034</v>
      </c>
      <c r="CP7">
        <v>68.826868495742673</v>
      </c>
      <c r="CQ7">
        <v>131.83538315988648</v>
      </c>
      <c r="CR7">
        <v>91.731009857478568</v>
      </c>
      <c r="CS7">
        <v>136.53218176824242</v>
      </c>
      <c r="CT7">
        <v>64.938810388500627</v>
      </c>
      <c r="CU7">
        <v>132.448805200354</v>
      </c>
      <c r="CV7">
        <v>98.240607928708755</v>
      </c>
    </row>
    <row r="8" spans="1:100">
      <c r="A8">
        <v>123.50993377483444</v>
      </c>
      <c r="B8">
        <v>101.12460707419049</v>
      </c>
      <c r="C8">
        <v>84.501174962614826</v>
      </c>
      <c r="D8">
        <v>104.39619129001738</v>
      </c>
      <c r="E8">
        <v>128.54853968932156</v>
      </c>
      <c r="F8">
        <v>72.894985808893097</v>
      </c>
      <c r="G8">
        <v>134.50575273903621</v>
      </c>
      <c r="H8">
        <v>80.509353923154393</v>
      </c>
      <c r="I8">
        <v>55.606250190740681</v>
      </c>
      <c r="J8">
        <v>124.13556321909238</v>
      </c>
      <c r="K8">
        <v>87.61711478011415</v>
      </c>
      <c r="L8">
        <v>88.370921964171259</v>
      </c>
      <c r="M8">
        <v>67.346720786156808</v>
      </c>
      <c r="N8">
        <v>72.199163792840352</v>
      </c>
      <c r="O8">
        <v>125.81408124027223</v>
      </c>
      <c r="P8">
        <v>129.94323557237465</v>
      </c>
      <c r="Q8">
        <v>64.17889950254829</v>
      </c>
      <c r="R8">
        <v>146.94509720145268</v>
      </c>
      <c r="S8">
        <v>116.2038026062807</v>
      </c>
      <c r="T8">
        <v>83.838923306985691</v>
      </c>
      <c r="U8">
        <v>120.47029023102512</v>
      </c>
      <c r="V8">
        <v>144.66536454359567</v>
      </c>
      <c r="W8">
        <v>61.761833552049318</v>
      </c>
      <c r="X8">
        <v>115.58732871486556</v>
      </c>
      <c r="Y8">
        <v>66.2327951902829</v>
      </c>
      <c r="Z8">
        <v>145.46800134281443</v>
      </c>
      <c r="AA8">
        <v>61.65501876888333</v>
      </c>
      <c r="AB8">
        <v>59.192175054170356</v>
      </c>
      <c r="AC8">
        <v>54.977568895535143</v>
      </c>
      <c r="AD8">
        <v>72.287667470320741</v>
      </c>
      <c r="AE8">
        <v>146.74062318796351</v>
      </c>
      <c r="AF8">
        <v>73.105563524277471</v>
      </c>
      <c r="AG8">
        <v>108.29035309915463</v>
      </c>
      <c r="AH8">
        <v>119.60661641285439</v>
      </c>
      <c r="AI8">
        <v>105.90075380718406</v>
      </c>
      <c r="AJ8">
        <v>123.72051149021883</v>
      </c>
      <c r="AK8">
        <v>77.799310281685848</v>
      </c>
      <c r="AL8">
        <v>130.01342814416944</v>
      </c>
      <c r="AM8">
        <v>68.832972197637872</v>
      </c>
      <c r="AN8">
        <v>99.555955687124239</v>
      </c>
      <c r="AO8">
        <v>115.1936399426252</v>
      </c>
      <c r="AP8">
        <v>146.7711416974395</v>
      </c>
      <c r="AQ8">
        <v>60.870693075350204</v>
      </c>
      <c r="AR8">
        <v>109.21811578722496</v>
      </c>
      <c r="AS8">
        <v>90.794091616565453</v>
      </c>
      <c r="AT8">
        <v>120.46113467818232</v>
      </c>
      <c r="AU8">
        <v>95.542771691030609</v>
      </c>
      <c r="AV8">
        <v>66.272469252601695</v>
      </c>
      <c r="AW8">
        <v>51.455732902005067</v>
      </c>
      <c r="AX8">
        <v>97.874385814996799</v>
      </c>
      <c r="AY8">
        <v>66.382335886715296</v>
      </c>
      <c r="AZ8">
        <v>104.01470992156743</v>
      </c>
      <c r="BA8">
        <v>99.061555833613085</v>
      </c>
      <c r="BB8">
        <v>137.70409253212074</v>
      </c>
      <c r="BC8">
        <v>57.614368114261296</v>
      </c>
      <c r="BD8">
        <v>118.84060182500687</v>
      </c>
      <c r="BE8">
        <v>136.88009277626878</v>
      </c>
      <c r="BF8">
        <v>133.82518997772149</v>
      </c>
      <c r="BG8">
        <v>71.198156682027644</v>
      </c>
      <c r="BH8">
        <v>80.259102145451209</v>
      </c>
      <c r="BI8">
        <v>122.07861568041018</v>
      </c>
      <c r="BJ8">
        <v>141.90343943601795</v>
      </c>
      <c r="BK8">
        <v>139.72441785943175</v>
      </c>
      <c r="BL8">
        <v>145.04989776299325</v>
      </c>
      <c r="BM8">
        <v>70.728171636097301</v>
      </c>
      <c r="BN8">
        <v>104.60371715445419</v>
      </c>
      <c r="BO8">
        <v>112.57820368053224</v>
      </c>
      <c r="BP8">
        <v>82.862331003753781</v>
      </c>
      <c r="BQ8">
        <v>70.386364329966128</v>
      </c>
      <c r="BR8">
        <v>119.65544602801599</v>
      </c>
      <c r="BS8">
        <v>65.381328775902588</v>
      </c>
      <c r="BT8">
        <v>110.44190801721244</v>
      </c>
      <c r="BU8">
        <v>90.025025177770317</v>
      </c>
      <c r="BV8">
        <v>72.568437757499922</v>
      </c>
      <c r="BW8">
        <v>114.31470686971649</v>
      </c>
      <c r="BX8">
        <v>111.14383373516037</v>
      </c>
      <c r="BY8">
        <v>133.90758995330668</v>
      </c>
      <c r="BZ8">
        <v>137.53013702810756</v>
      </c>
      <c r="CA8">
        <v>125.92394787438582</v>
      </c>
      <c r="CB8">
        <v>67.978453932309947</v>
      </c>
      <c r="CC8">
        <v>55.008087405011139</v>
      </c>
      <c r="CD8">
        <v>99.577318643757437</v>
      </c>
      <c r="CE8">
        <v>63.101596118045592</v>
      </c>
      <c r="CF8">
        <v>88.218329416791278</v>
      </c>
      <c r="CG8">
        <v>93.68419446394239</v>
      </c>
      <c r="CH8">
        <v>101.20700704977568</v>
      </c>
      <c r="CI8">
        <v>57.800531022064881</v>
      </c>
      <c r="CJ8">
        <v>147.74468214972381</v>
      </c>
      <c r="CK8">
        <v>57.086397900326546</v>
      </c>
      <c r="CL8">
        <v>66.492202520828883</v>
      </c>
      <c r="CM8">
        <v>51.120029297769094</v>
      </c>
      <c r="CN8">
        <v>133.25754570146793</v>
      </c>
      <c r="CO8">
        <v>105.09811700796533</v>
      </c>
      <c r="CP8">
        <v>105.88854640339366</v>
      </c>
      <c r="CQ8">
        <v>91.43498031556139</v>
      </c>
      <c r="CR8">
        <v>110.44190801721244</v>
      </c>
      <c r="CS8">
        <v>58.279671620838037</v>
      </c>
      <c r="CT8">
        <v>54.821924497207554</v>
      </c>
      <c r="CU8">
        <v>131.11209448530533</v>
      </c>
      <c r="CV8">
        <v>96.253852961821337</v>
      </c>
    </row>
    <row r="9" spans="1:100">
      <c r="A9">
        <v>120.43366801965392</v>
      </c>
      <c r="B9">
        <v>114.15601062044129</v>
      </c>
      <c r="C9">
        <v>58.322397534104432</v>
      </c>
      <c r="D9">
        <v>71.22867519150364</v>
      </c>
      <c r="E9">
        <v>81.974242378002259</v>
      </c>
      <c r="F9">
        <v>94.260994293038721</v>
      </c>
      <c r="G9">
        <v>95.07889034699545</v>
      </c>
      <c r="H9">
        <v>115.88641010773034</v>
      </c>
      <c r="I9">
        <v>124.85580004272592</v>
      </c>
      <c r="J9">
        <v>110.30152287362284</v>
      </c>
      <c r="K9">
        <v>87.354655598620553</v>
      </c>
      <c r="L9">
        <v>94.645527512436303</v>
      </c>
      <c r="M9">
        <v>91.554002502517775</v>
      </c>
      <c r="N9">
        <v>92.088076418347725</v>
      </c>
      <c r="O9">
        <v>123.87615588854641</v>
      </c>
      <c r="P9">
        <v>56.799523911252173</v>
      </c>
      <c r="Q9">
        <v>137.76207770012513</v>
      </c>
      <c r="R9">
        <v>111.86407055879391</v>
      </c>
      <c r="S9">
        <v>120.01251258888516</v>
      </c>
      <c r="T9">
        <v>110.02075258644368</v>
      </c>
      <c r="U9">
        <v>129.21079134495074</v>
      </c>
      <c r="V9">
        <v>56.271553697317422</v>
      </c>
      <c r="W9">
        <v>114.30555131687369</v>
      </c>
      <c r="X9">
        <v>93.19895016327402</v>
      </c>
      <c r="Y9">
        <v>135.58000427259134</v>
      </c>
      <c r="Z9">
        <v>107.14285714285714</v>
      </c>
      <c r="AA9">
        <v>138.67152928250982</v>
      </c>
      <c r="AB9">
        <v>128.43867305520797</v>
      </c>
      <c r="AC9">
        <v>87.104403820917383</v>
      </c>
      <c r="AD9">
        <v>134.17615283669545</v>
      </c>
      <c r="AE9">
        <v>52.80465102084414</v>
      </c>
      <c r="AF9">
        <v>80.228583635975212</v>
      </c>
      <c r="AG9">
        <v>109.49583422345653</v>
      </c>
      <c r="AH9">
        <v>52.661214026306958</v>
      </c>
      <c r="AI9">
        <v>83.530686361278114</v>
      </c>
      <c r="AJ9">
        <v>99.9984740745262</v>
      </c>
      <c r="AK9">
        <v>102.81228064821315</v>
      </c>
      <c r="AL9">
        <v>149.38962981048005</v>
      </c>
      <c r="AM9">
        <v>59.607226783043913</v>
      </c>
      <c r="AN9">
        <v>84.134952848902856</v>
      </c>
      <c r="AO9">
        <v>79.902035584582052</v>
      </c>
      <c r="AP9">
        <v>129.80590227973266</v>
      </c>
      <c r="AQ9">
        <v>82.694479201635787</v>
      </c>
      <c r="AR9">
        <v>123.60148930326243</v>
      </c>
      <c r="AS9">
        <v>130.03784295175024</v>
      </c>
      <c r="AT9">
        <v>89.628284554582365</v>
      </c>
      <c r="AU9">
        <v>125.07858516190069</v>
      </c>
      <c r="AV9">
        <v>73.28257087923825</v>
      </c>
      <c r="AW9">
        <v>123.36649678029725</v>
      </c>
      <c r="AX9">
        <v>63.968321787163916</v>
      </c>
      <c r="AY9">
        <v>93.556016724143191</v>
      </c>
      <c r="AZ9">
        <v>149.18210394604327</v>
      </c>
      <c r="BA9">
        <v>112.52327036347545</v>
      </c>
      <c r="BB9">
        <v>63.418988616595968</v>
      </c>
      <c r="BC9">
        <v>143.18521683400985</v>
      </c>
      <c r="BD9">
        <v>90.864284188360244</v>
      </c>
      <c r="BE9">
        <v>83.93658253730888</v>
      </c>
      <c r="BF9">
        <v>55.291909543137912</v>
      </c>
      <c r="BG9">
        <v>62.695699942014834</v>
      </c>
      <c r="BH9">
        <v>106.48365733817562</v>
      </c>
      <c r="BI9">
        <v>135.8851893673513</v>
      </c>
      <c r="BJ9">
        <v>139.19034394360179</v>
      </c>
      <c r="BK9">
        <v>83.411664174321729</v>
      </c>
      <c r="BL9">
        <v>52.346873378704181</v>
      </c>
      <c r="BM9">
        <v>98.695333719901129</v>
      </c>
      <c r="BN9">
        <v>76.313058870204785</v>
      </c>
      <c r="BO9">
        <v>115.10818811609241</v>
      </c>
      <c r="BP9">
        <v>68.878749961851867</v>
      </c>
      <c r="BQ9">
        <v>91.770683919797364</v>
      </c>
      <c r="BR9">
        <v>136.42841883602404</v>
      </c>
      <c r="BS9">
        <v>114.56190679647206</v>
      </c>
      <c r="BT9">
        <v>137.56370738853116</v>
      </c>
      <c r="BU9">
        <v>65.262306588946188</v>
      </c>
      <c r="BV9">
        <v>135.36637470625936</v>
      </c>
      <c r="BW9">
        <v>85.505233924375133</v>
      </c>
      <c r="BX9">
        <v>143.53617969298381</v>
      </c>
      <c r="BY9">
        <v>124.71541489913632</v>
      </c>
      <c r="BZ9">
        <v>123.50993377483444</v>
      </c>
      <c r="CA9">
        <v>125.65843684194465</v>
      </c>
      <c r="CB9">
        <v>97.010711996826075</v>
      </c>
      <c r="CC9">
        <v>79.395428327280499</v>
      </c>
      <c r="CD9">
        <v>103.39518417920469</v>
      </c>
      <c r="CE9">
        <v>86.454359569078647</v>
      </c>
      <c r="CF9">
        <v>116.57918027283547</v>
      </c>
      <c r="CG9">
        <v>104.83870967741936</v>
      </c>
      <c r="CH9">
        <v>104.5121616260262</v>
      </c>
      <c r="CI9">
        <v>61.105685598315375</v>
      </c>
      <c r="CJ9">
        <v>127.55363628040406</v>
      </c>
      <c r="CK9">
        <v>60.296945097201451</v>
      </c>
      <c r="CL9">
        <v>93.491927854243599</v>
      </c>
      <c r="CM9">
        <v>66.574602496414073</v>
      </c>
      <c r="CN9">
        <v>78.498184148686178</v>
      </c>
      <c r="CO9">
        <v>51.693777275917846</v>
      </c>
      <c r="CP9">
        <v>147.73552659688102</v>
      </c>
      <c r="CQ9">
        <v>135.15579699087496</v>
      </c>
      <c r="CR9">
        <v>129.03378398998993</v>
      </c>
      <c r="CS9">
        <v>80.70162053285317</v>
      </c>
      <c r="CT9">
        <v>70.667134617145308</v>
      </c>
      <c r="CU9">
        <v>81.226538895840321</v>
      </c>
      <c r="CV9">
        <v>112.03497421185949</v>
      </c>
    </row>
    <row r="10" spans="1:100">
      <c r="A10">
        <v>94.74929044465469</v>
      </c>
      <c r="B10">
        <v>119.19766838587603</v>
      </c>
      <c r="C10">
        <v>121.8161564989166</v>
      </c>
      <c r="D10">
        <v>57.12912381359294</v>
      </c>
      <c r="E10">
        <v>58.536027100436414</v>
      </c>
      <c r="F10">
        <v>71.655934324167603</v>
      </c>
      <c r="G10">
        <v>112.06244087038789</v>
      </c>
      <c r="H10">
        <v>106.19373149815362</v>
      </c>
      <c r="I10">
        <v>63.834040345469532</v>
      </c>
      <c r="J10">
        <v>62.558366649372843</v>
      </c>
      <c r="K10">
        <v>126.20777001251258</v>
      </c>
      <c r="L10">
        <v>81.525620288705099</v>
      </c>
      <c r="M10">
        <v>149.59715567491685</v>
      </c>
      <c r="N10">
        <v>74.884792626728114</v>
      </c>
      <c r="O10">
        <v>65.741447187719359</v>
      </c>
      <c r="P10">
        <v>77.307962279122293</v>
      </c>
      <c r="Q10">
        <v>87.226477858821369</v>
      </c>
      <c r="R10">
        <v>82.557145908993803</v>
      </c>
      <c r="S10">
        <v>94.511246070741905</v>
      </c>
      <c r="T10">
        <v>95.24979400006103</v>
      </c>
      <c r="U10">
        <v>141.97363200781274</v>
      </c>
      <c r="V10">
        <v>128.76216925565356</v>
      </c>
      <c r="W10">
        <v>116.18243964964751</v>
      </c>
      <c r="X10">
        <v>74.570451979125338</v>
      </c>
      <c r="Y10">
        <v>95.426801355021823</v>
      </c>
      <c r="Z10">
        <v>120.90365306558428</v>
      </c>
      <c r="AA10">
        <v>101.96386608478042</v>
      </c>
      <c r="AB10">
        <v>71.414838099307232</v>
      </c>
      <c r="AC10">
        <v>119.83245338297678</v>
      </c>
      <c r="AD10">
        <v>70.24597918637653</v>
      </c>
      <c r="AE10">
        <v>84.125797296060057</v>
      </c>
      <c r="AF10">
        <v>140.80477309488202</v>
      </c>
      <c r="AG10">
        <v>144.72029786065247</v>
      </c>
      <c r="AH10">
        <v>54.437391277809994</v>
      </c>
      <c r="AI10">
        <v>80.945768608661155</v>
      </c>
      <c r="AJ10">
        <v>124.22406689657277</v>
      </c>
      <c r="AK10">
        <v>106.6057313760796</v>
      </c>
      <c r="AL10">
        <v>130.99307229834895</v>
      </c>
      <c r="AM10">
        <v>68.759727774895481</v>
      </c>
      <c r="AN10">
        <v>96.043275246436963</v>
      </c>
      <c r="AO10">
        <v>122.26783043916136</v>
      </c>
      <c r="AP10">
        <v>79.883724478896454</v>
      </c>
      <c r="AQ10">
        <v>66.678365428632475</v>
      </c>
      <c r="AR10">
        <v>71.826837977233197</v>
      </c>
      <c r="AS10">
        <v>76.325266273995183</v>
      </c>
      <c r="AT10">
        <v>103.3585619678335</v>
      </c>
      <c r="AU10">
        <v>149.65208899197364</v>
      </c>
      <c r="AV10">
        <v>131.67668691061129</v>
      </c>
      <c r="AW10">
        <v>63.675344096194344</v>
      </c>
      <c r="AX10">
        <v>61.111789300210575</v>
      </c>
      <c r="AY10">
        <v>70.587786492507703</v>
      </c>
      <c r="AZ10">
        <v>76.709799493392751</v>
      </c>
      <c r="BA10">
        <v>58.835108493301185</v>
      </c>
      <c r="BB10">
        <v>123.42143009735405</v>
      </c>
      <c r="BC10">
        <v>109.44090090639973</v>
      </c>
      <c r="BD10">
        <v>124.11114841151158</v>
      </c>
      <c r="BE10">
        <v>75.724051637318041</v>
      </c>
      <c r="BF10">
        <v>142.55958738975187</v>
      </c>
      <c r="BG10">
        <v>101.40537736136967</v>
      </c>
      <c r="BH10">
        <v>123.73271889400922</v>
      </c>
      <c r="BI10">
        <v>79.425946836756495</v>
      </c>
      <c r="BJ10">
        <v>136.47114474929043</v>
      </c>
      <c r="BK10">
        <v>66.541032135990477</v>
      </c>
      <c r="BL10">
        <v>101.96386608478042</v>
      </c>
      <c r="BM10">
        <v>81.046479689931942</v>
      </c>
      <c r="BN10">
        <v>50.973540452284311</v>
      </c>
      <c r="BO10">
        <v>79.950865199743646</v>
      </c>
      <c r="BP10">
        <v>145.85253456221199</v>
      </c>
      <c r="BQ10">
        <v>132.39692373424481</v>
      </c>
      <c r="BR10">
        <v>141.83935056611836</v>
      </c>
      <c r="BS10">
        <v>90.784936063722654</v>
      </c>
      <c r="BT10">
        <v>108.57417523728141</v>
      </c>
      <c r="BU10">
        <v>122.02978606524857</v>
      </c>
      <c r="BV10">
        <v>149.11496322519608</v>
      </c>
      <c r="BW10">
        <v>111.75725577562793</v>
      </c>
      <c r="BX10">
        <v>103.40739158299509</v>
      </c>
      <c r="BY10">
        <v>105.87328714865566</v>
      </c>
      <c r="BZ10">
        <v>67.743461409344775</v>
      </c>
      <c r="CA10">
        <v>119.79277932065798</v>
      </c>
      <c r="CB10">
        <v>64.273506881923879</v>
      </c>
      <c r="CC10">
        <v>138.0642109439375</v>
      </c>
      <c r="CD10">
        <v>117.60765404217658</v>
      </c>
      <c r="CE10">
        <v>58.429212317270427</v>
      </c>
      <c r="CF10">
        <v>101.0422070986053</v>
      </c>
      <c r="CG10">
        <v>117.57408368175298</v>
      </c>
      <c r="CH10">
        <v>66.089358195745717</v>
      </c>
      <c r="CI10">
        <v>82.612079226050597</v>
      </c>
      <c r="CJ10">
        <v>127.64519180883205</v>
      </c>
      <c r="CK10">
        <v>116.3136692403943</v>
      </c>
      <c r="CL10">
        <v>106.30054628131961</v>
      </c>
      <c r="CM10">
        <v>136.47419660023803</v>
      </c>
      <c r="CN10">
        <v>91.209143345439003</v>
      </c>
      <c r="CO10">
        <v>104.2802209540086</v>
      </c>
      <c r="CP10">
        <v>144.11908322397534</v>
      </c>
      <c r="CQ10">
        <v>104.77767265846737</v>
      </c>
      <c r="CR10">
        <v>80.265205847346408</v>
      </c>
      <c r="CS10">
        <v>137.41416669209877</v>
      </c>
      <c r="CT10">
        <v>97.117526779992062</v>
      </c>
      <c r="CU10">
        <v>128.60347300637835</v>
      </c>
      <c r="CV10">
        <v>140.1913510544145</v>
      </c>
    </row>
    <row r="11" spans="1:100">
      <c r="A11">
        <v>55.432294686727502</v>
      </c>
      <c r="B11">
        <v>61.749626148258919</v>
      </c>
      <c r="C11">
        <v>77.451399273659476</v>
      </c>
      <c r="D11">
        <v>68.927579577013461</v>
      </c>
      <c r="E11">
        <v>101.19174779503768</v>
      </c>
      <c r="F11">
        <v>67.078157902768027</v>
      </c>
      <c r="G11">
        <v>83.088167973876153</v>
      </c>
      <c r="H11">
        <v>138.91872920926542</v>
      </c>
      <c r="I11">
        <v>75.226599932859273</v>
      </c>
      <c r="J11">
        <v>58.761864070558794</v>
      </c>
      <c r="K11">
        <v>69.193090609454629</v>
      </c>
      <c r="L11">
        <v>89.512314218573565</v>
      </c>
      <c r="M11">
        <v>119.579149754326</v>
      </c>
      <c r="N11">
        <v>68.756675923947881</v>
      </c>
      <c r="O11">
        <v>115.74602496414074</v>
      </c>
      <c r="P11">
        <v>103.27005829035309</v>
      </c>
      <c r="Q11">
        <v>69.034394360179448</v>
      </c>
      <c r="R11">
        <v>95.268105105746628</v>
      </c>
      <c r="S11">
        <v>70.346690267647318</v>
      </c>
      <c r="T11">
        <v>60.684530167546619</v>
      </c>
      <c r="U11">
        <v>62.240974150822474</v>
      </c>
      <c r="V11">
        <v>131.99102755821406</v>
      </c>
      <c r="W11">
        <v>73.075045014801475</v>
      </c>
      <c r="X11">
        <v>128.09076204718161</v>
      </c>
      <c r="Y11">
        <v>90.485854670857876</v>
      </c>
      <c r="Z11">
        <v>84.205145420697647</v>
      </c>
      <c r="AA11">
        <v>120.6167790765099</v>
      </c>
      <c r="AB11">
        <v>127.78252510147404</v>
      </c>
      <c r="AC11">
        <v>99.812311166722623</v>
      </c>
      <c r="AD11">
        <v>124.9687185277871</v>
      </c>
      <c r="AE11">
        <v>110.26795251319925</v>
      </c>
      <c r="AF11">
        <v>68.506424146244697</v>
      </c>
      <c r="AG11">
        <v>112.07464827417829</v>
      </c>
      <c r="AH11">
        <v>94.4288460951567</v>
      </c>
      <c r="AI11">
        <v>54.446546830652792</v>
      </c>
      <c r="AJ11">
        <v>64.419995727408676</v>
      </c>
      <c r="AK11">
        <v>80.567339091158786</v>
      </c>
      <c r="AL11">
        <v>95.442060609759821</v>
      </c>
      <c r="AM11">
        <v>106.35242774742881</v>
      </c>
      <c r="AN11">
        <v>120.6411938840907</v>
      </c>
      <c r="AO11">
        <v>145.84948271126439</v>
      </c>
      <c r="AP11">
        <v>88.608966338084059</v>
      </c>
      <c r="AQ11">
        <v>87.348551896725354</v>
      </c>
      <c r="AR11">
        <v>113.53038117618337</v>
      </c>
      <c r="AS11">
        <v>107.38395336771752</v>
      </c>
      <c r="AT11">
        <v>139.84649189733574</v>
      </c>
      <c r="AU11">
        <v>56.775109103671376</v>
      </c>
      <c r="AV11">
        <v>143.84441663869137</v>
      </c>
      <c r="AW11">
        <v>76.630451368755146</v>
      </c>
      <c r="AX11">
        <v>123.61674855800042</v>
      </c>
      <c r="AY11">
        <v>123.77849665822322</v>
      </c>
      <c r="AZ11">
        <v>58.548234504226812</v>
      </c>
      <c r="BA11">
        <v>125.90868861964782</v>
      </c>
      <c r="BB11">
        <v>73.999755851924192</v>
      </c>
      <c r="BC11">
        <v>133.66954557939391</v>
      </c>
      <c r="BD11">
        <v>129.4793542283395</v>
      </c>
      <c r="BE11">
        <v>107.6006347849971</v>
      </c>
      <c r="BF11">
        <v>56.619464705343788</v>
      </c>
      <c r="BG11">
        <v>69.315164647358628</v>
      </c>
      <c r="BH11">
        <v>72.21442304757835</v>
      </c>
      <c r="BI11">
        <v>129.76622821741387</v>
      </c>
      <c r="BJ11">
        <v>140.75594347972043</v>
      </c>
      <c r="BK11">
        <v>59.759819330423902</v>
      </c>
      <c r="BL11">
        <v>88.166447950682084</v>
      </c>
      <c r="BM11">
        <v>72.611163670766317</v>
      </c>
      <c r="BN11">
        <v>82.490005188146611</v>
      </c>
      <c r="BO11">
        <v>96.559038056581315</v>
      </c>
      <c r="BP11">
        <v>73.206274605548259</v>
      </c>
      <c r="BQ11">
        <v>86.844996490371415</v>
      </c>
      <c r="BR11">
        <v>64.737388225959052</v>
      </c>
      <c r="BS11">
        <v>75.943784905545215</v>
      </c>
      <c r="BT11">
        <v>53.732413708914457</v>
      </c>
      <c r="BU11">
        <v>98.005615405743583</v>
      </c>
      <c r="BV11">
        <v>146.67043061616869</v>
      </c>
      <c r="BW11">
        <v>63.0344553971984</v>
      </c>
      <c r="BX11">
        <v>56.506546220282601</v>
      </c>
      <c r="BY11">
        <v>109.46226386303293</v>
      </c>
      <c r="BZ11">
        <v>117.23227637562181</v>
      </c>
      <c r="CA11">
        <v>143.76201666310618</v>
      </c>
      <c r="CB11">
        <v>115.38895840327157</v>
      </c>
      <c r="CC11">
        <v>94.672994170964699</v>
      </c>
      <c r="CD11">
        <v>80.918301950132758</v>
      </c>
      <c r="CE11">
        <v>80.097354045228428</v>
      </c>
      <c r="CF11">
        <v>68.140202032532727</v>
      </c>
      <c r="CG11">
        <v>119.30448316904202</v>
      </c>
      <c r="CH11">
        <v>53.860591448713642</v>
      </c>
      <c r="CI11">
        <v>134.24024170659504</v>
      </c>
      <c r="CJ11">
        <v>146.38050477614672</v>
      </c>
      <c r="CK11">
        <v>83.875545518356887</v>
      </c>
      <c r="CL11">
        <v>98.414563432721948</v>
      </c>
      <c r="CM11">
        <v>77.368999298074286</v>
      </c>
      <c r="CN11">
        <v>111.81218909268472</v>
      </c>
      <c r="CO11">
        <v>127.53227332377087</v>
      </c>
      <c r="CP11">
        <v>74.347666859950564</v>
      </c>
      <c r="CQ11">
        <v>148.59309671315651</v>
      </c>
      <c r="CR11">
        <v>141.89733573412275</v>
      </c>
      <c r="CS11">
        <v>83.56730857264931</v>
      </c>
      <c r="CT11">
        <v>134.75295266579181</v>
      </c>
      <c r="CU11">
        <v>79.703665272988076</v>
      </c>
      <c r="CV11">
        <v>118.04101687673574</v>
      </c>
    </row>
    <row r="12" spans="1:100">
      <c r="A12">
        <v>114.72975859859005</v>
      </c>
      <c r="B12">
        <v>90.836817529831848</v>
      </c>
      <c r="C12">
        <v>127.19962157048251</v>
      </c>
      <c r="D12">
        <v>134.95437482833339</v>
      </c>
      <c r="E12">
        <v>78.489028595843379</v>
      </c>
      <c r="F12">
        <v>145.48326059755243</v>
      </c>
      <c r="G12">
        <v>107.7074495681631</v>
      </c>
      <c r="H12">
        <v>113.40830713827935</v>
      </c>
      <c r="I12">
        <v>123.21695608386486</v>
      </c>
      <c r="J12">
        <v>50.906399731437119</v>
      </c>
      <c r="K12">
        <v>132.95846430860317</v>
      </c>
      <c r="L12">
        <v>132.01544236579485</v>
      </c>
      <c r="M12">
        <v>127.51091036713767</v>
      </c>
      <c r="N12">
        <v>128.2006286812952</v>
      </c>
      <c r="O12">
        <v>119.04507583849605</v>
      </c>
      <c r="P12">
        <v>54.434339426862394</v>
      </c>
      <c r="Q12">
        <v>114.49171422467727</v>
      </c>
      <c r="R12">
        <v>115.66057313760795</v>
      </c>
      <c r="S12">
        <v>78.058717612231817</v>
      </c>
      <c r="T12">
        <v>113.39609973448896</v>
      </c>
      <c r="U12">
        <v>129.00936918240913</v>
      </c>
      <c r="V12">
        <v>99.687185277871023</v>
      </c>
      <c r="W12">
        <v>137.97265541550951</v>
      </c>
      <c r="X12">
        <v>113.51512192144537</v>
      </c>
      <c r="Y12">
        <v>141.61351359599598</v>
      </c>
      <c r="Z12">
        <v>65.36301767021699</v>
      </c>
      <c r="AA12">
        <v>103.3280434583575</v>
      </c>
      <c r="AB12">
        <v>111.71147801141393</v>
      </c>
      <c r="AC12">
        <v>119.89043855098117</v>
      </c>
      <c r="AD12">
        <v>144.93087557603687</v>
      </c>
      <c r="AE12">
        <v>122.41126743369854</v>
      </c>
      <c r="AF12">
        <v>78.229621265297411</v>
      </c>
      <c r="AG12">
        <v>57.843256935331283</v>
      </c>
      <c r="AH12">
        <v>92.173528244880515</v>
      </c>
      <c r="AI12">
        <v>76.447340311899168</v>
      </c>
      <c r="AJ12">
        <v>91.483809930722984</v>
      </c>
      <c r="AK12">
        <v>103.86822107608265</v>
      </c>
      <c r="AL12">
        <v>60.989715262306589</v>
      </c>
      <c r="AM12">
        <v>56.549272133548996</v>
      </c>
      <c r="AN12">
        <v>69.815668202764982</v>
      </c>
      <c r="AO12">
        <v>77.997680593279824</v>
      </c>
      <c r="AP12">
        <v>116.12750633259071</v>
      </c>
      <c r="AQ12">
        <v>143.92986846522416</v>
      </c>
      <c r="AR12">
        <v>93.269142735068812</v>
      </c>
      <c r="AS12">
        <v>119.04507583849605</v>
      </c>
      <c r="AT12">
        <v>54.278695028534806</v>
      </c>
      <c r="AU12">
        <v>59.079256569109162</v>
      </c>
      <c r="AV12">
        <v>118.55677968688011</v>
      </c>
      <c r="AW12">
        <v>52.230903042695395</v>
      </c>
      <c r="AX12">
        <v>63.684499649037143</v>
      </c>
      <c r="AY12">
        <v>127.34916226691489</v>
      </c>
      <c r="AZ12">
        <v>144.79354228339488</v>
      </c>
      <c r="BA12">
        <v>51.419110690633872</v>
      </c>
      <c r="BB12">
        <v>119.45402386547441</v>
      </c>
      <c r="BC12">
        <v>107.22220526749473</v>
      </c>
      <c r="BD12">
        <v>51.461836603900267</v>
      </c>
      <c r="BE12">
        <v>96.63533433027132</v>
      </c>
      <c r="BF12">
        <v>75.806451612903231</v>
      </c>
      <c r="BG12">
        <v>99.076815088351083</v>
      </c>
      <c r="BH12">
        <v>82.41981261635182</v>
      </c>
      <c r="BI12">
        <v>116.42658772545549</v>
      </c>
      <c r="BJ12">
        <v>81.781975768303482</v>
      </c>
      <c r="BK12">
        <v>75.153355510116882</v>
      </c>
      <c r="BL12">
        <v>102.04626606036561</v>
      </c>
      <c r="BM12">
        <v>124.32782982879115</v>
      </c>
      <c r="BN12">
        <v>126.68996246223334</v>
      </c>
      <c r="BO12">
        <v>127.73979918820764</v>
      </c>
      <c r="BP12">
        <v>102.86721396526994</v>
      </c>
      <c r="BQ12">
        <v>84.601886043885614</v>
      </c>
      <c r="BR12">
        <v>142.22388378551591</v>
      </c>
      <c r="BS12">
        <v>138.36634418774986</v>
      </c>
      <c r="BT12">
        <v>60.455641346476639</v>
      </c>
      <c r="BU12">
        <v>60.034485915707876</v>
      </c>
      <c r="BV12">
        <v>121.51402325510422</v>
      </c>
      <c r="BW12">
        <v>133.14462721640675</v>
      </c>
      <c r="BX12">
        <v>129.92797631763665</v>
      </c>
      <c r="BY12">
        <v>134.95132297738579</v>
      </c>
      <c r="BZ12">
        <v>112.61177404095584</v>
      </c>
      <c r="CA12">
        <v>114.85793633838924</v>
      </c>
      <c r="CB12">
        <v>112.14789269692068</v>
      </c>
      <c r="CC12">
        <v>129.04599139378033</v>
      </c>
      <c r="CD12">
        <v>139.48332163457138</v>
      </c>
      <c r="CE12">
        <v>112.44087038789026</v>
      </c>
      <c r="CF12">
        <v>67.831965086825164</v>
      </c>
      <c r="CG12">
        <v>67.66716513565477</v>
      </c>
      <c r="CH12">
        <v>53.677480391857664</v>
      </c>
      <c r="CI12">
        <v>138.46095156712545</v>
      </c>
      <c r="CJ12">
        <v>107.5731681264687</v>
      </c>
      <c r="CK12">
        <v>124.14777062288277</v>
      </c>
      <c r="CL12">
        <v>69.812616351817383</v>
      </c>
      <c r="CM12">
        <v>95.225379192480233</v>
      </c>
      <c r="CN12">
        <v>136.01031525620289</v>
      </c>
      <c r="CO12">
        <v>99.861140781884217</v>
      </c>
      <c r="CP12">
        <v>87.928403576769313</v>
      </c>
      <c r="CQ12">
        <v>120.17120883816035</v>
      </c>
      <c r="CR12">
        <v>78.1991027558214</v>
      </c>
      <c r="CS12">
        <v>57.568590350047302</v>
      </c>
      <c r="CT12">
        <v>55.90227973265786</v>
      </c>
      <c r="CU12">
        <v>111.10110782189398</v>
      </c>
      <c r="CV12">
        <v>66.351817377239286</v>
      </c>
    </row>
    <row r="13" spans="1:100">
      <c r="A13">
        <v>95.551927243873408</v>
      </c>
      <c r="B13">
        <v>140.29816583758048</v>
      </c>
      <c r="C13">
        <v>117.97997985778375</v>
      </c>
      <c r="D13">
        <v>100.30060731833858</v>
      </c>
      <c r="E13">
        <v>103.86822107608265</v>
      </c>
      <c r="F13">
        <v>101.67088839381084</v>
      </c>
      <c r="G13">
        <v>52.407910397656181</v>
      </c>
      <c r="H13">
        <v>108.71761223181859</v>
      </c>
      <c r="I13">
        <v>141.32358775597402</v>
      </c>
      <c r="J13">
        <v>107.62199774163031</v>
      </c>
      <c r="K13">
        <v>60.284737693411053</v>
      </c>
      <c r="L13">
        <v>65.927610095522937</v>
      </c>
      <c r="M13">
        <v>53.170873134556111</v>
      </c>
      <c r="N13">
        <v>143.71013519699699</v>
      </c>
      <c r="O13">
        <v>70.908230842005679</v>
      </c>
      <c r="P13">
        <v>76.047547837763602</v>
      </c>
      <c r="Q13">
        <v>100.93539231543932</v>
      </c>
      <c r="R13">
        <v>53.753776665547655</v>
      </c>
      <c r="S13">
        <v>117.69310586870937</v>
      </c>
      <c r="T13">
        <v>94.175542466505931</v>
      </c>
      <c r="U13">
        <v>103.3524582659383</v>
      </c>
      <c r="V13">
        <v>79.425946836756495</v>
      </c>
      <c r="W13">
        <v>131.95745719779046</v>
      </c>
      <c r="X13">
        <v>107.44804223761712</v>
      </c>
      <c r="Y13">
        <v>105.70543534653768</v>
      </c>
      <c r="Z13">
        <v>114.80910672322764</v>
      </c>
      <c r="AA13">
        <v>91.630298776207766</v>
      </c>
      <c r="AB13">
        <v>51.455732902005067</v>
      </c>
      <c r="AC13">
        <v>143.05398724326304</v>
      </c>
      <c r="AD13">
        <v>79.197058015686508</v>
      </c>
      <c r="AE13">
        <v>115.45304727317118</v>
      </c>
      <c r="AF13">
        <v>90.156254768517101</v>
      </c>
      <c r="AG13">
        <v>113.045136875515</v>
      </c>
      <c r="AH13">
        <v>61.133152256843772</v>
      </c>
      <c r="AI13">
        <v>143.30729087191384</v>
      </c>
      <c r="AJ13">
        <v>137.35007782219918</v>
      </c>
      <c r="AK13">
        <v>123.9341410565508</v>
      </c>
      <c r="AL13">
        <v>136.89230018005918</v>
      </c>
      <c r="AM13">
        <v>93.308816797387607</v>
      </c>
      <c r="AN13">
        <v>147.91253395184179</v>
      </c>
      <c r="AO13">
        <v>133.40708639790034</v>
      </c>
      <c r="AP13">
        <v>116.46931363872189</v>
      </c>
      <c r="AQ13">
        <v>136.28803369243445</v>
      </c>
      <c r="AR13">
        <v>56.863612781151772</v>
      </c>
      <c r="AS13">
        <v>143.85052034058657</v>
      </c>
      <c r="AT13">
        <v>120.26886806848354</v>
      </c>
      <c r="AU13">
        <v>78.260139774773407</v>
      </c>
      <c r="AV13">
        <v>94.441053498947113</v>
      </c>
      <c r="AW13">
        <v>69.721060823389394</v>
      </c>
      <c r="AX13">
        <v>139.56572161015657</v>
      </c>
      <c r="AY13">
        <v>73.746452223273423</v>
      </c>
      <c r="AZ13">
        <v>75.040437025055695</v>
      </c>
      <c r="BA13">
        <v>121.97180089724418</v>
      </c>
      <c r="BB13">
        <v>115.03494369335002</v>
      </c>
      <c r="BC13">
        <v>125.44175542466506</v>
      </c>
      <c r="BD13">
        <v>101.93334757530442</v>
      </c>
      <c r="BE13">
        <v>69.763786736655788</v>
      </c>
      <c r="BF13">
        <v>62.979522080141606</v>
      </c>
      <c r="BG13">
        <v>77.356791894283887</v>
      </c>
      <c r="BH13">
        <v>149.75280007324443</v>
      </c>
      <c r="BI13">
        <v>143.16080202642902</v>
      </c>
      <c r="BJ13">
        <v>109.62706381420332</v>
      </c>
      <c r="BK13">
        <v>84.745323038422811</v>
      </c>
      <c r="BL13">
        <v>142.04687643055513</v>
      </c>
      <c r="BM13">
        <v>53.570665608691669</v>
      </c>
      <c r="BN13">
        <v>124.50483718375195</v>
      </c>
      <c r="BO13">
        <v>77.738273262733856</v>
      </c>
      <c r="BP13">
        <v>122.25257118442336</v>
      </c>
      <c r="BQ13">
        <v>119.18851283303323</v>
      </c>
      <c r="BR13">
        <v>57.596057008575698</v>
      </c>
      <c r="BS13">
        <v>142.76711325418864</v>
      </c>
      <c r="BT13">
        <v>71.955015717032381</v>
      </c>
      <c r="BU13">
        <v>122.64320810571611</v>
      </c>
      <c r="BV13">
        <v>128.80794701986756</v>
      </c>
      <c r="BW13">
        <v>66.650898770104078</v>
      </c>
      <c r="BX13">
        <v>141.07943968016602</v>
      </c>
      <c r="BY13">
        <v>132.96761986144597</v>
      </c>
      <c r="BZ13">
        <v>124.64522232734153</v>
      </c>
      <c r="CA13">
        <v>59.045686208685566</v>
      </c>
      <c r="CB13">
        <v>143.10892056031983</v>
      </c>
      <c r="CC13">
        <v>132.40302743614001</v>
      </c>
      <c r="CD13">
        <v>80.280465102084406</v>
      </c>
      <c r="CE13">
        <v>118.78872035889768</v>
      </c>
      <c r="CF13">
        <v>118.4896389660329</v>
      </c>
      <c r="CG13">
        <v>138.72035889767142</v>
      </c>
      <c r="CH13">
        <v>75.061799981688893</v>
      </c>
      <c r="CI13">
        <v>59.845271156956699</v>
      </c>
      <c r="CJ13">
        <v>119.30753501998961</v>
      </c>
      <c r="CK13">
        <v>63.687551499984743</v>
      </c>
      <c r="CL13">
        <v>119.62797936948759</v>
      </c>
      <c r="CM13">
        <v>62.457655568102055</v>
      </c>
      <c r="CN13">
        <v>118.37977233191931</v>
      </c>
      <c r="CO13">
        <v>98.292489394817949</v>
      </c>
      <c r="CP13">
        <v>62.756736960966826</v>
      </c>
      <c r="CQ13">
        <v>65.08529923398541</v>
      </c>
      <c r="CR13">
        <v>95.878475295266583</v>
      </c>
      <c r="CS13">
        <v>65.323343607898195</v>
      </c>
      <c r="CT13">
        <v>96.089053010650957</v>
      </c>
      <c r="CU13">
        <v>62.80861842707602</v>
      </c>
      <c r="CV13">
        <v>106.648457289346</v>
      </c>
    </row>
    <row r="14" spans="1:100">
      <c r="A14">
        <v>91.566209906308174</v>
      </c>
      <c r="B14">
        <v>55.212561418500322</v>
      </c>
      <c r="C14">
        <v>142.56569109164707</v>
      </c>
      <c r="D14">
        <v>83.866389965514088</v>
      </c>
      <c r="E14">
        <v>85.212256233405554</v>
      </c>
      <c r="F14">
        <v>149.49949644459366</v>
      </c>
      <c r="G14">
        <v>69.38230536820582</v>
      </c>
      <c r="H14">
        <v>68.338572344126717</v>
      </c>
      <c r="I14">
        <v>55.154576250495928</v>
      </c>
      <c r="J14">
        <v>115.06851405377361</v>
      </c>
      <c r="K14">
        <v>109.94750816370129</v>
      </c>
      <c r="L14">
        <v>144.3937498092593</v>
      </c>
      <c r="M14">
        <v>105.05539109469893</v>
      </c>
      <c r="N14">
        <v>117.36960966826379</v>
      </c>
      <c r="O14">
        <v>88.673055207983651</v>
      </c>
      <c r="P14">
        <v>126.52211066011536</v>
      </c>
      <c r="Q14">
        <v>78.159428693502605</v>
      </c>
      <c r="R14">
        <v>116.3289284951323</v>
      </c>
      <c r="S14">
        <v>106.69118320261239</v>
      </c>
      <c r="T14">
        <v>118.6147648548845</v>
      </c>
      <c r="U14">
        <v>90.989410077211829</v>
      </c>
      <c r="V14">
        <v>127.88933988464002</v>
      </c>
      <c r="W14">
        <v>69.733268227179792</v>
      </c>
      <c r="X14">
        <v>92.768639179662472</v>
      </c>
      <c r="Y14">
        <v>109.34324167607654</v>
      </c>
      <c r="Z14">
        <v>58.389538254951631</v>
      </c>
      <c r="AA14">
        <v>97.489852595599231</v>
      </c>
      <c r="AB14">
        <v>123.76018555253762</v>
      </c>
      <c r="AC14">
        <v>57.367168187505726</v>
      </c>
      <c r="AD14">
        <v>139.95330668050173</v>
      </c>
      <c r="AE14">
        <v>130.00427259132664</v>
      </c>
      <c r="AF14">
        <v>132.33588671529282</v>
      </c>
      <c r="AG14">
        <v>100.22431104464859</v>
      </c>
      <c r="AH14">
        <v>144.91561632129887</v>
      </c>
      <c r="AI14">
        <v>96.772667622913303</v>
      </c>
      <c r="AJ14">
        <v>140.38666951506087</v>
      </c>
      <c r="AK14">
        <v>91.019928586687826</v>
      </c>
      <c r="AL14">
        <v>107.5426496169927</v>
      </c>
      <c r="AM14">
        <v>64.18500320444349</v>
      </c>
      <c r="AN14">
        <v>91.193884090701005</v>
      </c>
      <c r="AO14">
        <v>122.64015625476851</v>
      </c>
      <c r="AP14">
        <v>131.07852412488174</v>
      </c>
      <c r="AQ14">
        <v>126.87917722098453</v>
      </c>
      <c r="AR14">
        <v>137.79564806054873</v>
      </c>
      <c r="AS14">
        <v>75.064851832636492</v>
      </c>
      <c r="AT14">
        <v>108.23541978209784</v>
      </c>
      <c r="AU14">
        <v>58.688619647816402</v>
      </c>
      <c r="AV14">
        <v>52.685628833887755</v>
      </c>
      <c r="AW14">
        <v>98.835718863490712</v>
      </c>
      <c r="AX14">
        <v>133.35520493179112</v>
      </c>
      <c r="AY14">
        <v>129.99511703848384</v>
      </c>
      <c r="AZ14">
        <v>84.763634144108408</v>
      </c>
      <c r="BA14">
        <v>127.80388805810723</v>
      </c>
      <c r="BB14">
        <v>81.275368511001915</v>
      </c>
      <c r="BC14">
        <v>109.18149357585376</v>
      </c>
      <c r="BD14">
        <v>102.23853267006439</v>
      </c>
      <c r="BE14">
        <v>117.50694296090579</v>
      </c>
      <c r="BF14">
        <v>64.1026032288583</v>
      </c>
      <c r="BG14">
        <v>69.91637928403577</v>
      </c>
      <c r="BH14">
        <v>97.260963774529245</v>
      </c>
      <c r="BI14">
        <v>86.106448561052275</v>
      </c>
      <c r="BJ14">
        <v>141.25644703512683</v>
      </c>
      <c r="BK14">
        <v>57.773064363536484</v>
      </c>
      <c r="BL14">
        <v>71.240882595294039</v>
      </c>
      <c r="BM14">
        <v>64.963225196081424</v>
      </c>
      <c r="BN14">
        <v>61.850337229529714</v>
      </c>
      <c r="BO14">
        <v>145.7640308847316</v>
      </c>
      <c r="BP14">
        <v>94.083986938077942</v>
      </c>
      <c r="BQ14">
        <v>127.62993255409405</v>
      </c>
      <c r="BR14">
        <v>105.49485763115329</v>
      </c>
      <c r="BS14">
        <v>144.33881649220251</v>
      </c>
      <c r="BT14">
        <v>136.61152989288001</v>
      </c>
      <c r="BU14">
        <v>105.02792443617054</v>
      </c>
      <c r="BV14">
        <v>99.18057802056947</v>
      </c>
      <c r="BW14">
        <v>63.183996093630789</v>
      </c>
      <c r="BX14">
        <v>147.73857844782862</v>
      </c>
      <c r="BY14">
        <v>66.479995117038484</v>
      </c>
      <c r="BZ14">
        <v>136.7427594836268</v>
      </c>
      <c r="CA14">
        <v>65.387432477797788</v>
      </c>
      <c r="CB14">
        <v>54.477065340128789</v>
      </c>
      <c r="CC14">
        <v>132.18329416791283</v>
      </c>
      <c r="CD14">
        <v>103.95672475356304</v>
      </c>
      <c r="CE14">
        <v>104.59761345255899</v>
      </c>
      <c r="CF14">
        <v>112.92916653950621</v>
      </c>
      <c r="CG14">
        <v>132.7051606799524</v>
      </c>
      <c r="CH14">
        <v>62.451551866206856</v>
      </c>
      <c r="CI14">
        <v>85.825678273873109</v>
      </c>
      <c r="CJ14">
        <v>88.36481826227606</v>
      </c>
      <c r="CK14">
        <v>81.260109256263917</v>
      </c>
      <c r="CL14">
        <v>95.512253181554613</v>
      </c>
      <c r="CM14">
        <v>140.51789910580766</v>
      </c>
      <c r="CN14">
        <v>92.561113315225683</v>
      </c>
      <c r="CO14">
        <v>74.222540971098965</v>
      </c>
      <c r="CP14">
        <v>68.93063142796106</v>
      </c>
      <c r="CQ14">
        <v>56.488235114597003</v>
      </c>
      <c r="CR14">
        <v>56.442457350383009</v>
      </c>
      <c r="CS14">
        <v>85.639515366069517</v>
      </c>
      <c r="CT14">
        <v>110.03601184118168</v>
      </c>
      <c r="CU14">
        <v>53.384502700888092</v>
      </c>
      <c r="CV14">
        <v>66.257209997863697</v>
      </c>
    </row>
    <row r="15" spans="1:100">
      <c r="A15">
        <v>88.779869991149639</v>
      </c>
      <c r="B15">
        <v>61.902218695638908</v>
      </c>
      <c r="C15">
        <v>125.26169621875668</v>
      </c>
      <c r="D15">
        <v>134.22193060090945</v>
      </c>
      <c r="E15">
        <v>118.5964537491989</v>
      </c>
      <c r="F15">
        <v>56.659138767662583</v>
      </c>
      <c r="G15">
        <v>144.03363139744255</v>
      </c>
      <c r="H15">
        <v>101.77770317697684</v>
      </c>
      <c r="I15">
        <v>145.27268288216806</v>
      </c>
      <c r="J15">
        <v>85.645619067964731</v>
      </c>
      <c r="K15">
        <v>138.82106997894221</v>
      </c>
      <c r="L15">
        <v>145.80980864894559</v>
      </c>
      <c r="M15">
        <v>107.09707937864314</v>
      </c>
      <c r="N15">
        <v>81.110568559831535</v>
      </c>
      <c r="O15">
        <v>121.52012695699942</v>
      </c>
      <c r="P15">
        <v>54.699850459303569</v>
      </c>
      <c r="Q15">
        <v>116.68599505600147</v>
      </c>
      <c r="R15">
        <v>121.86498611407819</v>
      </c>
      <c r="S15">
        <v>55.740531632435072</v>
      </c>
      <c r="T15">
        <v>87.461470381786555</v>
      </c>
      <c r="U15">
        <v>97.459334086123235</v>
      </c>
      <c r="V15">
        <v>86.31702627643665</v>
      </c>
      <c r="W15">
        <v>110.21301919614245</v>
      </c>
      <c r="X15">
        <v>76.0658589434492</v>
      </c>
      <c r="Y15">
        <v>89.085055085909602</v>
      </c>
      <c r="Z15">
        <v>98.689230018005929</v>
      </c>
      <c r="AA15">
        <v>132.63801995910521</v>
      </c>
      <c r="AB15">
        <v>66.296884060182492</v>
      </c>
      <c r="AC15">
        <v>137.47520371105077</v>
      </c>
      <c r="AD15">
        <v>121.49266029847102</v>
      </c>
      <c r="AE15">
        <v>84.74837488937041</v>
      </c>
      <c r="AF15">
        <v>75.16861476485488</v>
      </c>
      <c r="AG15">
        <v>134.97573778496658</v>
      </c>
      <c r="AH15">
        <v>97.444074831385237</v>
      </c>
      <c r="AI15">
        <v>129.06125064851832</v>
      </c>
      <c r="AJ15">
        <v>93.104342783898431</v>
      </c>
      <c r="AK15">
        <v>126.40614032410657</v>
      </c>
      <c r="AL15">
        <v>93.913083285012362</v>
      </c>
      <c r="AM15">
        <v>108.05536057618946</v>
      </c>
      <c r="AN15">
        <v>108.92818994720298</v>
      </c>
      <c r="AO15">
        <v>146.49647511215551</v>
      </c>
      <c r="AP15">
        <v>53.024384289071321</v>
      </c>
      <c r="AQ15">
        <v>106.33411664174321</v>
      </c>
      <c r="AR15">
        <v>85.865352336191904</v>
      </c>
      <c r="AS15">
        <v>104.44807275612658</v>
      </c>
      <c r="AT15">
        <v>100.56917020172735</v>
      </c>
      <c r="AU15">
        <v>136.43757438886684</v>
      </c>
      <c r="AV15">
        <v>66.635639515366066</v>
      </c>
      <c r="AW15">
        <v>81.138035218359931</v>
      </c>
      <c r="AX15">
        <v>116.79891354106266</v>
      </c>
      <c r="AY15">
        <v>71.292764061403233</v>
      </c>
      <c r="AZ15">
        <v>57.980590227973266</v>
      </c>
      <c r="BA15">
        <v>144.25641651661732</v>
      </c>
      <c r="BB15">
        <v>141.30222479934082</v>
      </c>
      <c r="BC15">
        <v>147.95525986510819</v>
      </c>
      <c r="BD15">
        <v>88.471633045442061</v>
      </c>
      <c r="BE15">
        <v>73.899044770653404</v>
      </c>
      <c r="BF15">
        <v>81.388286996063115</v>
      </c>
      <c r="BG15">
        <v>63.467818231757562</v>
      </c>
      <c r="BH15">
        <v>66.028321176793725</v>
      </c>
      <c r="BI15">
        <v>74.594866786706135</v>
      </c>
      <c r="BJ15">
        <v>62.201300088503679</v>
      </c>
      <c r="BK15">
        <v>123.28409680471206</v>
      </c>
      <c r="BL15">
        <v>126.90054017761773</v>
      </c>
      <c r="BM15">
        <v>129.83642078920866</v>
      </c>
      <c r="BN15">
        <v>106.56605731376081</v>
      </c>
      <c r="BO15">
        <v>89.039277321695607</v>
      </c>
      <c r="BP15">
        <v>145.77929013946959</v>
      </c>
      <c r="BQ15">
        <v>86.680196539201035</v>
      </c>
      <c r="BR15">
        <v>109.8681600390637</v>
      </c>
      <c r="BS15">
        <v>114.86709189123204</v>
      </c>
      <c r="BT15">
        <v>89.423810541093175</v>
      </c>
      <c r="BU15">
        <v>107.39005706961272</v>
      </c>
      <c r="BV15">
        <v>147.67754142887662</v>
      </c>
      <c r="BW15">
        <v>136.9960631122776</v>
      </c>
      <c r="BX15">
        <v>110.33814508499404</v>
      </c>
      <c r="BY15">
        <v>100.92928861354412</v>
      </c>
      <c r="BZ15">
        <v>143.72844630268258</v>
      </c>
      <c r="CA15">
        <v>82.303842280343019</v>
      </c>
      <c r="CB15">
        <v>83.573412274544509</v>
      </c>
      <c r="CC15">
        <v>124.9839777825251</v>
      </c>
      <c r="CD15">
        <v>126.38477736747338</v>
      </c>
      <c r="CE15">
        <v>111.47038178655353</v>
      </c>
      <c r="CF15">
        <v>139.87701040681173</v>
      </c>
      <c r="CG15">
        <v>99.107333597827079</v>
      </c>
      <c r="CH15">
        <v>51.687673574022647</v>
      </c>
      <c r="CI15">
        <v>62.262337107455672</v>
      </c>
      <c r="CJ15">
        <v>98.194830164494761</v>
      </c>
      <c r="CK15">
        <v>119.61882381664479</v>
      </c>
      <c r="CL15">
        <v>121.15695669423505</v>
      </c>
      <c r="CM15">
        <v>108.70540482802819</v>
      </c>
      <c r="CN15">
        <v>50.75685903500473</v>
      </c>
      <c r="CO15">
        <v>116.89657277138585</v>
      </c>
      <c r="CP15">
        <v>72.406689657277141</v>
      </c>
      <c r="CQ15">
        <v>101.66478469191564</v>
      </c>
      <c r="CR15">
        <v>103.82244331186865</v>
      </c>
      <c r="CS15">
        <v>145.68163090914641</v>
      </c>
      <c r="CT15">
        <v>70.777001251258895</v>
      </c>
      <c r="CU15">
        <v>106.49586474196602</v>
      </c>
      <c r="CV15">
        <v>127.17520676290171</v>
      </c>
    </row>
    <row r="16" spans="1:100">
      <c r="A16">
        <v>138.88515884884183</v>
      </c>
      <c r="B16">
        <v>135.76921903134252</v>
      </c>
      <c r="C16">
        <v>54.681539353617971</v>
      </c>
      <c r="D16">
        <v>122.29834894863735</v>
      </c>
      <c r="E16">
        <v>137.13950010681478</v>
      </c>
      <c r="F16">
        <v>117.25669118320261</v>
      </c>
      <c r="G16">
        <v>119.93621631519517</v>
      </c>
      <c r="H16">
        <v>81.983397930845058</v>
      </c>
      <c r="I16">
        <v>138.0550553910947</v>
      </c>
      <c r="J16">
        <v>135.72038941618092</v>
      </c>
      <c r="K16">
        <v>117.53135776848659</v>
      </c>
      <c r="L16">
        <v>80.426953947569203</v>
      </c>
      <c r="M16">
        <v>118.4438612018189</v>
      </c>
      <c r="N16">
        <v>119.14578691976683</v>
      </c>
      <c r="O16">
        <v>138.17407757805108</v>
      </c>
      <c r="P16">
        <v>71.555223242896815</v>
      </c>
      <c r="Q16">
        <v>88.447218237861264</v>
      </c>
      <c r="R16">
        <v>71.362956633198039</v>
      </c>
      <c r="S16">
        <v>117.69310586870937</v>
      </c>
      <c r="T16">
        <v>55.917538987395858</v>
      </c>
      <c r="U16">
        <v>72.232734153263948</v>
      </c>
      <c r="V16">
        <v>92.362743003631707</v>
      </c>
      <c r="W16">
        <v>88.590655232398461</v>
      </c>
      <c r="X16">
        <v>88.618121890926858</v>
      </c>
      <c r="Y16">
        <v>96.751304666280106</v>
      </c>
      <c r="Z16">
        <v>74.597918637653734</v>
      </c>
      <c r="AA16">
        <v>103.61796929837946</v>
      </c>
      <c r="AB16">
        <v>71.005890072328867</v>
      </c>
      <c r="AC16">
        <v>129.07956175420392</v>
      </c>
      <c r="AD16">
        <v>53.39976195562609</v>
      </c>
      <c r="AE16">
        <v>97.083956419568466</v>
      </c>
      <c r="AF16">
        <v>129.32065797906432</v>
      </c>
      <c r="AG16">
        <v>53.061006500442517</v>
      </c>
      <c r="AH16">
        <v>139.59318826868497</v>
      </c>
      <c r="AI16">
        <v>99.452192754905852</v>
      </c>
      <c r="AJ16">
        <v>133.33689382610552</v>
      </c>
      <c r="AK16">
        <v>125.80797753837703</v>
      </c>
      <c r="AL16">
        <v>112.47444074831385</v>
      </c>
      <c r="AM16">
        <v>70.911282692953279</v>
      </c>
      <c r="AN16">
        <v>58.209479049043246</v>
      </c>
      <c r="AO16">
        <v>104.71053193762017</v>
      </c>
      <c r="AP16">
        <v>101.28940702536087</v>
      </c>
      <c r="AQ16">
        <v>69.489120151371807</v>
      </c>
      <c r="AR16">
        <v>142.60231330301826</v>
      </c>
      <c r="AS16">
        <v>85.590685750907923</v>
      </c>
      <c r="AT16">
        <v>133.27280495620593</v>
      </c>
      <c r="AU16">
        <v>119.38993499557482</v>
      </c>
      <c r="AV16">
        <v>146.17297891170995</v>
      </c>
      <c r="AW16">
        <v>142.60536515396586</v>
      </c>
      <c r="AX16">
        <v>76.441236610003969</v>
      </c>
      <c r="AY16">
        <v>148.98068178350169</v>
      </c>
      <c r="AZ16">
        <v>80.045472579119235</v>
      </c>
      <c r="BA16">
        <v>103.41349528489029</v>
      </c>
      <c r="BB16">
        <v>115.59343241676076</v>
      </c>
      <c r="BC16">
        <v>86.280404065065454</v>
      </c>
      <c r="BD16">
        <v>140.36530655842768</v>
      </c>
      <c r="BE16">
        <v>66.144291512802511</v>
      </c>
      <c r="BF16">
        <v>115.30045472579118</v>
      </c>
      <c r="BG16">
        <v>66.608172856837669</v>
      </c>
      <c r="BH16">
        <v>131.54850917081211</v>
      </c>
      <c r="BI16">
        <v>84.574419385357217</v>
      </c>
      <c r="BJ16">
        <v>118.6239204077273</v>
      </c>
      <c r="BK16">
        <v>77.091280861842705</v>
      </c>
      <c r="BL16">
        <v>149.86877040925322</v>
      </c>
      <c r="BM16">
        <v>146.91457869197669</v>
      </c>
      <c r="BN16">
        <v>79.91729483932005</v>
      </c>
      <c r="BO16">
        <v>147.69280068361462</v>
      </c>
      <c r="BP16">
        <v>76.392406994842375</v>
      </c>
      <c r="BQ16">
        <v>147.09768974883269</v>
      </c>
      <c r="BR16">
        <v>55.905331583605459</v>
      </c>
      <c r="BS16">
        <v>142.65419476912746</v>
      </c>
      <c r="BT16">
        <v>65.109714041566207</v>
      </c>
      <c r="BU16">
        <v>132.98287911618397</v>
      </c>
      <c r="BV16">
        <v>123.57097079378643</v>
      </c>
      <c r="BW16">
        <v>119.36552018799402</v>
      </c>
      <c r="BX16">
        <v>128.86898403881955</v>
      </c>
      <c r="BY16">
        <v>61.001922666096988</v>
      </c>
      <c r="BZ16">
        <v>78.690450758384969</v>
      </c>
      <c r="CA16">
        <v>145.21469771416366</v>
      </c>
      <c r="CB16">
        <v>51.29398480178228</v>
      </c>
      <c r="CC16">
        <v>72.894985808893097</v>
      </c>
      <c r="CD16">
        <v>68.195135349589521</v>
      </c>
      <c r="CE16">
        <v>113.07870723593859</v>
      </c>
      <c r="CF16">
        <v>102.83669545579394</v>
      </c>
      <c r="CG16">
        <v>60.101626636555068</v>
      </c>
      <c r="CH16">
        <v>59.393597216711939</v>
      </c>
      <c r="CI16">
        <v>146.06616412854396</v>
      </c>
      <c r="CJ16">
        <v>89.008758812219611</v>
      </c>
      <c r="CK16">
        <v>131.52409436323131</v>
      </c>
      <c r="CL16">
        <v>99.275185399945059</v>
      </c>
      <c r="CM16">
        <v>132.16498306222724</v>
      </c>
      <c r="CN16">
        <v>109.00143436994537</v>
      </c>
      <c r="CO16">
        <v>50.183111056855985</v>
      </c>
      <c r="CP16">
        <v>66.96523941770684</v>
      </c>
      <c r="CQ16">
        <v>79.358806115909289</v>
      </c>
      <c r="CR16">
        <v>52.752769554734947</v>
      </c>
      <c r="CS16">
        <v>54.501480147709586</v>
      </c>
      <c r="CT16">
        <v>72.461622974333935</v>
      </c>
      <c r="CU16">
        <v>131.92388683736687</v>
      </c>
      <c r="CV16">
        <v>114.65956602679526</v>
      </c>
    </row>
    <row r="17" spans="1:100">
      <c r="A17">
        <v>95.124668111209445</v>
      </c>
      <c r="B17">
        <v>59.69267860957671</v>
      </c>
      <c r="C17">
        <v>110.52125614185003</v>
      </c>
      <c r="D17">
        <v>55.230872524185919</v>
      </c>
      <c r="E17">
        <v>87.104403820917383</v>
      </c>
      <c r="F17">
        <v>70.767845698416096</v>
      </c>
      <c r="G17">
        <v>100.0350962858974</v>
      </c>
      <c r="H17">
        <v>67.108676412244023</v>
      </c>
      <c r="I17">
        <v>64.304025391399875</v>
      </c>
      <c r="J17">
        <v>138.34803308206426</v>
      </c>
      <c r="K17">
        <v>86.680196539201035</v>
      </c>
      <c r="L17">
        <v>78.293710135197003</v>
      </c>
      <c r="M17">
        <v>99.610889004181033</v>
      </c>
      <c r="N17">
        <v>79.172643208105711</v>
      </c>
      <c r="O17">
        <v>64.023255104220709</v>
      </c>
      <c r="P17">
        <v>126.69301431318094</v>
      </c>
      <c r="Q17">
        <v>73.490096743675039</v>
      </c>
      <c r="R17">
        <v>119.25870540482802</v>
      </c>
      <c r="S17">
        <v>101.73192541276283</v>
      </c>
      <c r="T17">
        <v>110.18860438856166</v>
      </c>
      <c r="U17">
        <v>121.63304544206061</v>
      </c>
      <c r="V17">
        <v>113.52732932523577</v>
      </c>
      <c r="W17">
        <v>99.143955809198275</v>
      </c>
      <c r="X17">
        <v>88.422803430280467</v>
      </c>
      <c r="Y17">
        <v>142.10791344950712</v>
      </c>
      <c r="Z17">
        <v>86.744285409100627</v>
      </c>
      <c r="AA17">
        <v>74.985503707998902</v>
      </c>
      <c r="AB17">
        <v>76.169621875667588</v>
      </c>
      <c r="AC17">
        <v>127.77642139957884</v>
      </c>
      <c r="AD17">
        <v>98.857081820123909</v>
      </c>
      <c r="AE17">
        <v>83.841975157933291</v>
      </c>
      <c r="AF17">
        <v>56.408886989959413</v>
      </c>
      <c r="AG17">
        <v>139.48332163457138</v>
      </c>
      <c r="AH17">
        <v>87.879573961607719</v>
      </c>
      <c r="AI17">
        <v>99.989318521683401</v>
      </c>
      <c r="AJ17">
        <v>91.309854426709805</v>
      </c>
      <c r="AK17">
        <v>85.715811639759522</v>
      </c>
      <c r="AL17">
        <v>93.44615009002959</v>
      </c>
      <c r="AM17">
        <v>59.277626880703146</v>
      </c>
      <c r="AN17">
        <v>59.128086184270757</v>
      </c>
      <c r="AO17">
        <v>124.32172612689595</v>
      </c>
      <c r="AP17">
        <v>114.1376995147557</v>
      </c>
      <c r="AQ17">
        <v>99.598681600390634</v>
      </c>
      <c r="AR17">
        <v>95.25284585100863</v>
      </c>
      <c r="AS17">
        <v>51.919614246040226</v>
      </c>
      <c r="AT17">
        <v>101.73497726371043</v>
      </c>
      <c r="AU17">
        <v>90.644550920133057</v>
      </c>
      <c r="AV17">
        <v>65.45152134769738</v>
      </c>
      <c r="AW17">
        <v>96.650593585009318</v>
      </c>
      <c r="AX17">
        <v>145.52293465987123</v>
      </c>
      <c r="AY17">
        <v>129.72960600604267</v>
      </c>
      <c r="AZ17">
        <v>104.79598376415296</v>
      </c>
      <c r="BA17">
        <v>138.43653675954465</v>
      </c>
      <c r="BB17">
        <v>51.950132755516222</v>
      </c>
      <c r="BC17">
        <v>145.20859401226846</v>
      </c>
      <c r="BD17">
        <v>82.728049562059397</v>
      </c>
      <c r="BE17">
        <v>112.19977416302987</v>
      </c>
      <c r="BF17">
        <v>65.98559526352733</v>
      </c>
      <c r="BG17">
        <v>123.10403759880367</v>
      </c>
      <c r="BH17">
        <v>111.10721152378918</v>
      </c>
      <c r="BI17">
        <v>74.655903805658127</v>
      </c>
      <c r="BJ17">
        <v>134.46913052766502</v>
      </c>
      <c r="BK17">
        <v>54.177983947264018</v>
      </c>
      <c r="BL17">
        <v>96.012756736960966</v>
      </c>
      <c r="BM17">
        <v>122.45704519791254</v>
      </c>
      <c r="BN17">
        <v>72.794274727622309</v>
      </c>
      <c r="BO17">
        <v>126.27491073335977</v>
      </c>
      <c r="BP17">
        <v>121.828363902707</v>
      </c>
      <c r="BQ17">
        <v>108.73897518845179</v>
      </c>
      <c r="BR17">
        <v>52.621539963988155</v>
      </c>
      <c r="BS17">
        <v>81.101413006988736</v>
      </c>
      <c r="BT17">
        <v>143.34391308328503</v>
      </c>
      <c r="BU17">
        <v>79.355754264961689</v>
      </c>
      <c r="BV17">
        <v>55.789361247596666</v>
      </c>
      <c r="BW17">
        <v>64.99984740745262</v>
      </c>
      <c r="BX17">
        <v>96.006653035065767</v>
      </c>
      <c r="BY17">
        <v>54.562517166661578</v>
      </c>
      <c r="BZ17">
        <v>91.706595049897771</v>
      </c>
      <c r="CA17">
        <v>89.243751335184783</v>
      </c>
      <c r="CB17">
        <v>77.49717703787347</v>
      </c>
      <c r="CC17">
        <v>96.848963896603294</v>
      </c>
      <c r="CD17">
        <v>56.350901821955013</v>
      </c>
      <c r="CE17">
        <v>65.549180578020568</v>
      </c>
      <c r="CF17">
        <v>103.68205816827906</v>
      </c>
      <c r="CG17">
        <v>55.526902066103091</v>
      </c>
      <c r="CH17">
        <v>60.995818964201789</v>
      </c>
      <c r="CI17">
        <v>132.41523483993041</v>
      </c>
      <c r="CJ17">
        <v>92.13080233161412</v>
      </c>
      <c r="CK17">
        <v>128.72554704428237</v>
      </c>
      <c r="CL17">
        <v>108.78475295266578</v>
      </c>
      <c r="CM17">
        <v>137.88720358897672</v>
      </c>
      <c r="CN17">
        <v>76.282540360728788</v>
      </c>
      <c r="CO17">
        <v>133.35215308084352</v>
      </c>
      <c r="CP17">
        <v>147.27469710379347</v>
      </c>
      <c r="CQ17">
        <v>94.410534989471103</v>
      </c>
      <c r="CR17">
        <v>103.41959898678549</v>
      </c>
      <c r="CS17">
        <v>123.72051149021883</v>
      </c>
      <c r="CT17">
        <v>75.095370342112489</v>
      </c>
      <c r="CU17">
        <v>71.378215887936037</v>
      </c>
      <c r="CV17">
        <v>119.5242164372692</v>
      </c>
    </row>
    <row r="18" spans="1:100">
      <c r="A18">
        <v>93.546861171300392</v>
      </c>
      <c r="B18">
        <v>149.48423718985566</v>
      </c>
      <c r="C18">
        <v>79.83489486373486</v>
      </c>
      <c r="D18">
        <v>149.71617786187323</v>
      </c>
      <c r="E18">
        <v>141.00314340647603</v>
      </c>
      <c r="F18">
        <v>63.162633136997592</v>
      </c>
      <c r="G18">
        <v>62.259285256508072</v>
      </c>
      <c r="H18">
        <v>57.220679342020937</v>
      </c>
      <c r="I18">
        <v>78.543961912900173</v>
      </c>
      <c r="J18">
        <v>97.077852717673267</v>
      </c>
      <c r="K18">
        <v>140.59724723044525</v>
      </c>
      <c r="L18">
        <v>122.80190435499129</v>
      </c>
      <c r="M18">
        <v>57.593005157628099</v>
      </c>
      <c r="N18">
        <v>99.967955565050204</v>
      </c>
      <c r="O18">
        <v>109.68199713126012</v>
      </c>
      <c r="P18">
        <v>88.743247779778443</v>
      </c>
      <c r="Q18">
        <v>120.84261604663227</v>
      </c>
      <c r="R18">
        <v>84.99862666707358</v>
      </c>
      <c r="S18">
        <v>56.228827784051028</v>
      </c>
      <c r="T18">
        <v>66.241950743125699</v>
      </c>
      <c r="U18">
        <v>70.694601275673705</v>
      </c>
      <c r="V18">
        <v>87.006744590594195</v>
      </c>
      <c r="W18">
        <v>99.613940855128632</v>
      </c>
      <c r="X18">
        <v>75.547044282357248</v>
      </c>
      <c r="Y18">
        <v>61.310159611804558</v>
      </c>
      <c r="Z18">
        <v>148.83419293801691</v>
      </c>
      <c r="AA18">
        <v>145.35508285775325</v>
      </c>
      <c r="AB18">
        <v>148.01324503311258</v>
      </c>
      <c r="AC18">
        <v>104.92110965300455</v>
      </c>
      <c r="AD18">
        <v>64.883877071443834</v>
      </c>
      <c r="AE18">
        <v>66.898098696859648</v>
      </c>
      <c r="AF18">
        <v>143.20657979064305</v>
      </c>
      <c r="AG18">
        <v>133.01950132755516</v>
      </c>
      <c r="AH18">
        <v>60.068056276131472</v>
      </c>
      <c r="AI18">
        <v>81.388286996063115</v>
      </c>
      <c r="AJ18">
        <v>84.177678762169251</v>
      </c>
      <c r="AK18">
        <v>103.06253242591632</v>
      </c>
      <c r="AL18">
        <v>132.17413861507004</v>
      </c>
      <c r="AM18">
        <v>134.95742667928099</v>
      </c>
      <c r="AN18">
        <v>64.01715140232551</v>
      </c>
      <c r="AO18">
        <v>91.312906277657405</v>
      </c>
      <c r="AP18">
        <v>135.8699301126133</v>
      </c>
      <c r="AQ18">
        <v>63.251136814477981</v>
      </c>
      <c r="AR18">
        <v>126.81508835108494</v>
      </c>
      <c r="AS18">
        <v>62.42103335673086</v>
      </c>
      <c r="AT18">
        <v>136.43452253791924</v>
      </c>
      <c r="AU18">
        <v>142.75795770134584</v>
      </c>
      <c r="AV18">
        <v>76.172673726615187</v>
      </c>
      <c r="AW18">
        <v>56.402783288064214</v>
      </c>
      <c r="AX18">
        <v>111.32084109012115</v>
      </c>
      <c r="AY18">
        <v>149.42320017090367</v>
      </c>
      <c r="AZ18">
        <v>130.83742790002137</v>
      </c>
      <c r="BA18">
        <v>140.98178044984283</v>
      </c>
      <c r="BB18">
        <v>94.206060975981927</v>
      </c>
      <c r="BC18">
        <v>93.079927976317634</v>
      </c>
      <c r="BD18">
        <v>142.2605059968871</v>
      </c>
      <c r="BE18">
        <v>143.01736503189184</v>
      </c>
      <c r="BF18">
        <v>88.779869991149639</v>
      </c>
      <c r="BG18">
        <v>78.611102633747365</v>
      </c>
      <c r="BH18">
        <v>64.01409955137791</v>
      </c>
      <c r="BI18">
        <v>84.26923429059724</v>
      </c>
      <c r="BJ18">
        <v>120.6320383312479</v>
      </c>
      <c r="BK18">
        <v>90.635395367290258</v>
      </c>
      <c r="BL18">
        <v>81.96508682515946</v>
      </c>
      <c r="BM18">
        <v>138.08862575151829</v>
      </c>
      <c r="BN18">
        <v>126.99819940794092</v>
      </c>
      <c r="BO18">
        <v>95.612964262825415</v>
      </c>
      <c r="BP18">
        <v>112.19367046113467</v>
      </c>
      <c r="BQ18">
        <v>59.768974883266701</v>
      </c>
      <c r="BR18">
        <v>81.287575914792313</v>
      </c>
      <c r="BS18">
        <v>105.39414654988251</v>
      </c>
      <c r="BT18">
        <v>72.910245063631095</v>
      </c>
      <c r="BU18">
        <v>83.408612323374129</v>
      </c>
      <c r="BV18">
        <v>65.066988128299812</v>
      </c>
      <c r="BW18">
        <v>73.758659627063821</v>
      </c>
      <c r="BX18">
        <v>57.315286721396525</v>
      </c>
      <c r="BY18">
        <v>115.78875087740714</v>
      </c>
      <c r="BZ18">
        <v>148.84334849085971</v>
      </c>
      <c r="CA18">
        <v>66.60206915494247</v>
      </c>
      <c r="CB18">
        <v>85.551011688589128</v>
      </c>
      <c r="CC18">
        <v>93.006683553575243</v>
      </c>
      <c r="CD18">
        <v>84.727011932737213</v>
      </c>
      <c r="CE18">
        <v>96.363719595934924</v>
      </c>
      <c r="CF18">
        <v>63.907284768211923</v>
      </c>
      <c r="CG18">
        <v>115.38590655232397</v>
      </c>
      <c r="CH18">
        <v>64.191106906338689</v>
      </c>
      <c r="CI18">
        <v>61.340678121280554</v>
      </c>
      <c r="CJ18">
        <v>129.36643574327832</v>
      </c>
      <c r="CK18">
        <v>126.33899960325937</v>
      </c>
      <c r="CL18">
        <v>143.94512771996216</v>
      </c>
      <c r="CM18">
        <v>80.53071687978759</v>
      </c>
      <c r="CN18">
        <v>107.5975829340495</v>
      </c>
      <c r="CO18">
        <v>50.827051606799522</v>
      </c>
      <c r="CP18">
        <v>93.104342783898431</v>
      </c>
      <c r="CQ18">
        <v>64.578691976683857</v>
      </c>
      <c r="CR18">
        <v>62.616351817377236</v>
      </c>
      <c r="CS18">
        <v>58.981597338785974</v>
      </c>
      <c r="CT18">
        <v>64.807580797753843</v>
      </c>
      <c r="CU18">
        <v>113.50291451765497</v>
      </c>
      <c r="CV18">
        <v>66.113773003326514</v>
      </c>
    </row>
    <row r="19" spans="1:100">
      <c r="A19">
        <v>98.567155980101944</v>
      </c>
      <c r="B19">
        <v>114.38489944151128</v>
      </c>
      <c r="C19">
        <v>83.625293740653703</v>
      </c>
      <c r="D19">
        <v>127.72148808252204</v>
      </c>
      <c r="E19">
        <v>84.247871333964042</v>
      </c>
      <c r="F19">
        <v>65.381328775902588</v>
      </c>
      <c r="G19">
        <v>68.424024170659507</v>
      </c>
      <c r="H19">
        <v>74.207281716360967</v>
      </c>
      <c r="I19">
        <v>99.360637226477863</v>
      </c>
      <c r="J19">
        <v>84.626300851466411</v>
      </c>
      <c r="K19">
        <v>131.97271645252846</v>
      </c>
      <c r="L19">
        <v>74.619281594286932</v>
      </c>
      <c r="M19">
        <v>60.336619159520254</v>
      </c>
      <c r="N19">
        <v>109.01364177373577</v>
      </c>
      <c r="O19">
        <v>55.029450361644336</v>
      </c>
      <c r="P19">
        <v>62.286751915036469</v>
      </c>
      <c r="Q19">
        <v>90.275276955473487</v>
      </c>
      <c r="R19">
        <v>149.95422223578601</v>
      </c>
      <c r="S19">
        <v>111.23233741264076</v>
      </c>
      <c r="T19">
        <v>142.74575029755545</v>
      </c>
      <c r="U19">
        <v>143.32865382854703</v>
      </c>
      <c r="V19">
        <v>82.740256965849795</v>
      </c>
      <c r="W19">
        <v>111.46122623371073</v>
      </c>
      <c r="X19">
        <v>123.03384502700888</v>
      </c>
      <c r="Y19">
        <v>129.26267281105993</v>
      </c>
      <c r="Z19">
        <v>135.33890804773094</v>
      </c>
      <c r="AA19">
        <v>50.006103701895199</v>
      </c>
      <c r="AB19">
        <v>135.75395977660452</v>
      </c>
      <c r="AC19">
        <v>53.863643299661241</v>
      </c>
      <c r="AD19">
        <v>129.68993194372388</v>
      </c>
      <c r="AE19">
        <v>93.122653889584029</v>
      </c>
      <c r="AF19">
        <v>135.9248634296701</v>
      </c>
      <c r="AG19">
        <v>140.78341013824883</v>
      </c>
      <c r="AH19">
        <v>78.708761864070567</v>
      </c>
      <c r="AI19">
        <v>100.54170354319895</v>
      </c>
      <c r="AJ19">
        <v>98.875392925809507</v>
      </c>
      <c r="AK19">
        <v>50.415051728873564</v>
      </c>
      <c r="AL19">
        <v>92.057557908871729</v>
      </c>
      <c r="AM19">
        <v>120.67476424451429</v>
      </c>
      <c r="AN19">
        <v>97.190771202734453</v>
      </c>
      <c r="AO19">
        <v>61.529892880031738</v>
      </c>
      <c r="AP19">
        <v>93.827631458479573</v>
      </c>
      <c r="AQ19">
        <v>50.042725913266395</v>
      </c>
      <c r="AR19">
        <v>84.91927854243599</v>
      </c>
      <c r="AS19">
        <v>131.19144260994292</v>
      </c>
      <c r="AT19">
        <v>105.27207251197851</v>
      </c>
      <c r="AU19">
        <v>97.599719229712832</v>
      </c>
      <c r="AV19">
        <v>67.096469008453624</v>
      </c>
      <c r="AW19">
        <v>98.615985595263538</v>
      </c>
      <c r="AX19">
        <v>95.695364238410605</v>
      </c>
      <c r="AY19">
        <v>70.557267983031707</v>
      </c>
      <c r="AZ19">
        <v>145.34592730491045</v>
      </c>
      <c r="BA19">
        <v>81.781975768303482</v>
      </c>
      <c r="BB19">
        <v>64.642780846583449</v>
      </c>
      <c r="BC19">
        <v>65.842158268990147</v>
      </c>
      <c r="BD19">
        <v>83.93047883541368</v>
      </c>
      <c r="BE19">
        <v>101.47556993316446</v>
      </c>
      <c r="BF19">
        <v>72.821741386150705</v>
      </c>
      <c r="BG19">
        <v>118.6269722586749</v>
      </c>
      <c r="BH19">
        <v>56.326487014374216</v>
      </c>
      <c r="BI19">
        <v>103.96282845545824</v>
      </c>
      <c r="BJ19">
        <v>70.587786492507703</v>
      </c>
      <c r="BK19">
        <v>116.86300241096225</v>
      </c>
      <c r="BL19">
        <v>65.317239906002996</v>
      </c>
      <c r="BM19">
        <v>130.93508713034456</v>
      </c>
      <c r="BN19">
        <v>132.7265236365856</v>
      </c>
      <c r="BO19">
        <v>86.658833582567837</v>
      </c>
      <c r="BP19">
        <v>131.26163518173772</v>
      </c>
      <c r="BQ19">
        <v>75.278481398968466</v>
      </c>
      <c r="BR19">
        <v>68.695638904995874</v>
      </c>
      <c r="BS19">
        <v>85.212256233405554</v>
      </c>
      <c r="BT19">
        <v>75.778984954374835</v>
      </c>
      <c r="BU19">
        <v>142.47413556321908</v>
      </c>
      <c r="BV19">
        <v>100.99032563249611</v>
      </c>
      <c r="BW19">
        <v>78.302865688039802</v>
      </c>
      <c r="BX19">
        <v>51.770073549607837</v>
      </c>
      <c r="BY19">
        <v>73.099459822382272</v>
      </c>
      <c r="BZ19">
        <v>60.052797021393474</v>
      </c>
      <c r="CA19">
        <v>68.005920590838343</v>
      </c>
      <c r="CB19">
        <v>122.80495620593889</v>
      </c>
      <c r="CC19">
        <v>117.13156529435102</v>
      </c>
      <c r="CD19">
        <v>123.955504013184</v>
      </c>
      <c r="CE19">
        <v>86.188848536637465</v>
      </c>
      <c r="CF19">
        <v>145.06515701773125</v>
      </c>
      <c r="CG19">
        <v>100.58748130741296</v>
      </c>
      <c r="CH19">
        <v>80.878627887813963</v>
      </c>
      <c r="CI19">
        <v>119.49674977874081</v>
      </c>
      <c r="CJ19">
        <v>54.965361491744744</v>
      </c>
      <c r="CK19">
        <v>75.214392529068874</v>
      </c>
      <c r="CL19">
        <v>142.64503921628466</v>
      </c>
      <c r="CM19">
        <v>81.366924039429918</v>
      </c>
      <c r="CN19">
        <v>115.55070650349437</v>
      </c>
      <c r="CO19">
        <v>91.776787621692563</v>
      </c>
      <c r="CP19">
        <v>87.266151921140164</v>
      </c>
      <c r="CQ19">
        <v>96.778771324808503</v>
      </c>
      <c r="CR19">
        <v>124.79781487472151</v>
      </c>
      <c r="CS19">
        <v>87.632374034852148</v>
      </c>
      <c r="CT19">
        <v>58.79238258003479</v>
      </c>
      <c r="CU19">
        <v>115.27909176915799</v>
      </c>
      <c r="CV19">
        <v>138.98586993011261</v>
      </c>
    </row>
    <row r="20" spans="1:100">
      <c r="A20">
        <v>144.54023865474409</v>
      </c>
      <c r="B20">
        <v>82.78603473006379</v>
      </c>
      <c r="C20">
        <v>148.62361522263251</v>
      </c>
      <c r="D20">
        <v>54.62965788750877</v>
      </c>
      <c r="E20">
        <v>140.27985473189489</v>
      </c>
      <c r="F20">
        <v>79.691457869197677</v>
      </c>
      <c r="G20">
        <v>100.26703695791498</v>
      </c>
      <c r="H20">
        <v>88.438062685018465</v>
      </c>
      <c r="I20">
        <v>125.16403698843348</v>
      </c>
      <c r="J20">
        <v>108.49787896359142</v>
      </c>
      <c r="K20">
        <v>136.30024109622485</v>
      </c>
      <c r="L20">
        <v>94.4318979461043</v>
      </c>
      <c r="M20">
        <v>120.5771050141911</v>
      </c>
      <c r="N20">
        <v>115.08682515945921</v>
      </c>
      <c r="O20">
        <v>139.05606250190741</v>
      </c>
      <c r="P20">
        <v>115.69109164708395</v>
      </c>
      <c r="Q20">
        <v>77.027191991943113</v>
      </c>
      <c r="R20">
        <v>58.694723349711602</v>
      </c>
      <c r="S20">
        <v>148.43745231482893</v>
      </c>
      <c r="T20">
        <v>129.62584307382429</v>
      </c>
      <c r="U20">
        <v>120.91586046937468</v>
      </c>
      <c r="V20">
        <v>134.20972319711905</v>
      </c>
      <c r="W20">
        <v>107.5701162755211</v>
      </c>
      <c r="X20">
        <v>73.493148594622639</v>
      </c>
      <c r="Y20">
        <v>90.516373180333872</v>
      </c>
      <c r="Z20">
        <v>126.66249580370494</v>
      </c>
      <c r="AA20">
        <v>111.80913724173712</v>
      </c>
      <c r="AB20">
        <v>59.939878536332287</v>
      </c>
      <c r="AC20">
        <v>101.86010315256203</v>
      </c>
      <c r="AD20">
        <v>76.084170049134798</v>
      </c>
      <c r="AE20">
        <v>126.64418469801934</v>
      </c>
      <c r="AF20">
        <v>85.688344981231126</v>
      </c>
      <c r="AG20">
        <v>135.13443403424176</v>
      </c>
      <c r="AH20">
        <v>80.845057527390367</v>
      </c>
      <c r="AI20">
        <v>90.223395489364293</v>
      </c>
      <c r="AJ20">
        <v>86.542863246559037</v>
      </c>
      <c r="AK20">
        <v>82.184820093386634</v>
      </c>
      <c r="AL20">
        <v>117.58629108554338</v>
      </c>
      <c r="AM20">
        <v>66.043580431531723</v>
      </c>
      <c r="AN20">
        <v>141.79967650379956</v>
      </c>
      <c r="AO20">
        <v>145.82506790368359</v>
      </c>
      <c r="AP20">
        <v>105.86718344676046</v>
      </c>
      <c r="AQ20">
        <v>61.465804010132146</v>
      </c>
      <c r="AR20">
        <v>81.168553727835928</v>
      </c>
      <c r="AS20">
        <v>131.46305734427932</v>
      </c>
      <c r="AT20">
        <v>95.704519791253404</v>
      </c>
      <c r="AU20">
        <v>77.683339945677062</v>
      </c>
      <c r="AV20">
        <v>97.41966002380444</v>
      </c>
      <c r="AW20">
        <v>121.8008972441786</v>
      </c>
      <c r="AX20">
        <v>106.03503524887844</v>
      </c>
      <c r="AY20">
        <v>129.15890987884154</v>
      </c>
      <c r="AZ20">
        <v>102.46742149113436</v>
      </c>
      <c r="BA20">
        <v>118.00134281441694</v>
      </c>
      <c r="BB20">
        <v>114.19263283181249</v>
      </c>
      <c r="BC20">
        <v>99.717703787347034</v>
      </c>
      <c r="BD20">
        <v>63.357951597643975</v>
      </c>
      <c r="BE20">
        <v>134.20361949522385</v>
      </c>
      <c r="BF20">
        <v>119.12137211218604</v>
      </c>
      <c r="BG20">
        <v>73.737296670430624</v>
      </c>
      <c r="BH20">
        <v>126.64418469801934</v>
      </c>
      <c r="BI20">
        <v>133.05612353892636</v>
      </c>
      <c r="BJ20">
        <v>122.29834894863735</v>
      </c>
      <c r="BK20">
        <v>67.554246650593583</v>
      </c>
      <c r="BL20">
        <v>127.53532517471847</v>
      </c>
      <c r="BM20">
        <v>106.19983520004882</v>
      </c>
      <c r="BN20">
        <v>106.84377574999237</v>
      </c>
      <c r="BO20">
        <v>107.63725699636831</v>
      </c>
      <c r="BP20">
        <v>109.14181951353495</v>
      </c>
      <c r="BQ20">
        <v>106.78884243293558</v>
      </c>
      <c r="BR20">
        <v>115.89251380962554</v>
      </c>
      <c r="BS20">
        <v>106.81630909146398</v>
      </c>
      <c r="BT20">
        <v>56.256294442579424</v>
      </c>
      <c r="BU20">
        <v>60.577715384380625</v>
      </c>
      <c r="BV20">
        <v>81.80333872493668</v>
      </c>
      <c r="BW20">
        <v>89.155247657704393</v>
      </c>
      <c r="BX20">
        <v>83.262123477889332</v>
      </c>
      <c r="BY20">
        <v>114.71449934385205</v>
      </c>
      <c r="BZ20">
        <v>142.2910245063631</v>
      </c>
      <c r="CA20">
        <v>54.077272865993223</v>
      </c>
      <c r="CB20">
        <v>104.2497024445326</v>
      </c>
      <c r="CC20">
        <v>139.84649189733574</v>
      </c>
      <c r="CD20">
        <v>96.571245460371713</v>
      </c>
      <c r="CE20">
        <v>120.36347544785913</v>
      </c>
      <c r="CF20">
        <v>63.507492294076357</v>
      </c>
      <c r="CG20">
        <v>51.187170018616293</v>
      </c>
      <c r="CH20">
        <v>104.71968749046297</v>
      </c>
      <c r="CI20">
        <v>140.66743980224004</v>
      </c>
      <c r="CJ20">
        <v>54.495376445814387</v>
      </c>
      <c r="CK20">
        <v>64.148380993072294</v>
      </c>
      <c r="CL20">
        <v>83.262123477889332</v>
      </c>
      <c r="CM20">
        <v>127.16299935911131</v>
      </c>
      <c r="CN20">
        <v>105.37278359324931</v>
      </c>
      <c r="CO20">
        <v>50.146488845484789</v>
      </c>
      <c r="CP20">
        <v>100.22736289559619</v>
      </c>
      <c r="CQ20">
        <v>78.959013641773737</v>
      </c>
      <c r="CR20">
        <v>59.298989837336343</v>
      </c>
      <c r="CS20">
        <v>108.25067903683583</v>
      </c>
      <c r="CT20">
        <v>122.69508957182531</v>
      </c>
      <c r="CU20">
        <v>51.876888332773831</v>
      </c>
      <c r="CV20">
        <v>127.58415478988006</v>
      </c>
    </row>
    <row r="21" spans="1:100">
      <c r="A21">
        <v>106.74611651966919</v>
      </c>
      <c r="B21">
        <v>117.75414288766136</v>
      </c>
      <c r="C21">
        <v>75.125888851588485</v>
      </c>
      <c r="D21">
        <v>92.320017090365312</v>
      </c>
      <c r="E21">
        <v>141.31138035218362</v>
      </c>
      <c r="F21">
        <v>137.12729270302438</v>
      </c>
      <c r="G21">
        <v>137.87804803613392</v>
      </c>
      <c r="H21">
        <v>71.359904782250439</v>
      </c>
      <c r="I21">
        <v>112.66060365611743</v>
      </c>
      <c r="J21">
        <v>66.592913602099671</v>
      </c>
      <c r="K21">
        <v>112.07770012512589</v>
      </c>
      <c r="L21">
        <v>81.464583269753106</v>
      </c>
      <c r="M21">
        <v>122.7286599322489</v>
      </c>
      <c r="N21">
        <v>99.83672597430342</v>
      </c>
      <c r="O21">
        <v>68.295846430860308</v>
      </c>
      <c r="P21">
        <v>106.08691671498764</v>
      </c>
      <c r="Q21">
        <v>85.639515366069517</v>
      </c>
      <c r="R21">
        <v>50.964384899441512</v>
      </c>
      <c r="S21">
        <v>144.72945341349529</v>
      </c>
      <c r="T21">
        <v>139.0835291604358</v>
      </c>
      <c r="U21">
        <v>144.48835718863489</v>
      </c>
      <c r="V21">
        <v>66.730246894741668</v>
      </c>
      <c r="W21">
        <v>123.04605243079928</v>
      </c>
      <c r="X21">
        <v>119.67986083559678</v>
      </c>
      <c r="Y21">
        <v>78.904080324716944</v>
      </c>
      <c r="Z21">
        <v>66.287728507339693</v>
      </c>
      <c r="AA21">
        <v>121.60557878353221</v>
      </c>
      <c r="AB21">
        <v>115.30350657673878</v>
      </c>
      <c r="AC21">
        <v>69.092379528183841</v>
      </c>
      <c r="AD21">
        <v>111.62297433393354</v>
      </c>
      <c r="AE21">
        <v>96.702475051118512</v>
      </c>
      <c r="AF21">
        <v>80.368968779564796</v>
      </c>
      <c r="AG21">
        <v>131.92083498641927</v>
      </c>
      <c r="AH21">
        <v>61.746574297311319</v>
      </c>
      <c r="AI21">
        <v>92.4176763206885</v>
      </c>
      <c r="AJ21">
        <v>69.202246162297428</v>
      </c>
      <c r="AK21">
        <v>94.709616382335895</v>
      </c>
      <c r="AL21">
        <v>113.84777367473373</v>
      </c>
      <c r="AM21">
        <v>129.75707266457107</v>
      </c>
      <c r="AN21">
        <v>131.15176854762413</v>
      </c>
      <c r="AO21">
        <v>122.35023041474655</v>
      </c>
      <c r="AP21">
        <v>84.437086092715234</v>
      </c>
      <c r="AQ21">
        <v>75.638599810785237</v>
      </c>
      <c r="AR21">
        <v>66.071047090060119</v>
      </c>
      <c r="AS21">
        <v>63.354899746696375</v>
      </c>
      <c r="AT21">
        <v>133.67870113223671</v>
      </c>
      <c r="AU21">
        <v>82.428968169194619</v>
      </c>
      <c r="AV21">
        <v>68.292794579912709</v>
      </c>
      <c r="AW21">
        <v>130.49562059389018</v>
      </c>
      <c r="AX21">
        <v>86.008789330729087</v>
      </c>
      <c r="AY21">
        <v>118.27906125064852</v>
      </c>
      <c r="AZ21">
        <v>120.05523850215155</v>
      </c>
      <c r="BA21">
        <v>61.243018890957366</v>
      </c>
      <c r="BB21">
        <v>143.77117221594898</v>
      </c>
      <c r="BC21">
        <v>90.952787865840634</v>
      </c>
      <c r="BD21">
        <v>76.013977477340006</v>
      </c>
      <c r="BE21">
        <v>58.328501235999639</v>
      </c>
      <c r="BF21">
        <v>96.88253425702689</v>
      </c>
      <c r="BG21">
        <v>80.750450148014764</v>
      </c>
      <c r="BH21">
        <v>112.54463332010864</v>
      </c>
      <c r="BI21">
        <v>71.021149327066865</v>
      </c>
      <c r="BJ21">
        <v>71.845149082918795</v>
      </c>
      <c r="BK21">
        <v>77.079073458052306</v>
      </c>
      <c r="BL21">
        <v>78.84914700766015</v>
      </c>
      <c r="BM21">
        <v>149.41099276711324</v>
      </c>
      <c r="BN21">
        <v>75.290688802758865</v>
      </c>
      <c r="BO21">
        <v>139.39786980803859</v>
      </c>
      <c r="BP21">
        <v>108.51313821832942</v>
      </c>
      <c r="BQ21">
        <v>106.84987945188757</v>
      </c>
      <c r="BR21">
        <v>74.814600054933322</v>
      </c>
      <c r="BS21">
        <v>91.904965361491747</v>
      </c>
      <c r="BT21">
        <v>97.932370983001192</v>
      </c>
      <c r="BU21">
        <v>97.172460097048855</v>
      </c>
      <c r="BV21">
        <v>129.86693929868466</v>
      </c>
      <c r="BW21">
        <v>143.43241676076542</v>
      </c>
      <c r="BX21">
        <v>109.15402691732535</v>
      </c>
      <c r="BY21">
        <v>118.66054261909849</v>
      </c>
      <c r="BZ21">
        <v>142.3276467177343</v>
      </c>
      <c r="CA21">
        <v>148.12921536912137</v>
      </c>
      <c r="CB21">
        <v>50.262459181493575</v>
      </c>
      <c r="CC21">
        <v>85.389263588366333</v>
      </c>
      <c r="CD21">
        <v>104.97604297006134</v>
      </c>
      <c r="CE21">
        <v>72.638630329294713</v>
      </c>
      <c r="CF21">
        <v>136.42841883602404</v>
      </c>
      <c r="CG21">
        <v>56.591998046815391</v>
      </c>
      <c r="CH21">
        <v>75.90411084322642</v>
      </c>
      <c r="CI21">
        <v>85.306863612781143</v>
      </c>
      <c r="CJ21">
        <v>84.733115634632412</v>
      </c>
      <c r="CK21">
        <v>64.651936399426248</v>
      </c>
      <c r="CL21">
        <v>57.058931241798149</v>
      </c>
      <c r="CM21">
        <v>133.09884945219275</v>
      </c>
      <c r="CN21">
        <v>145.94409009063997</v>
      </c>
      <c r="CO21">
        <v>132.33588671529282</v>
      </c>
      <c r="CP21">
        <v>104.97299111911374</v>
      </c>
      <c r="CQ21">
        <v>121.828363902707</v>
      </c>
      <c r="CR21">
        <v>126.27185888241218</v>
      </c>
      <c r="CS21">
        <v>119.93621631519517</v>
      </c>
      <c r="CT21">
        <v>51.892147587511829</v>
      </c>
      <c r="CU21">
        <v>65.359965819269391</v>
      </c>
      <c r="CV21">
        <v>102.35755485702077</v>
      </c>
    </row>
    <row r="22" spans="1:100">
      <c r="A22">
        <v>138.57692190313423</v>
      </c>
      <c r="B22">
        <v>137.17917416913357</v>
      </c>
      <c r="C22">
        <v>81.614123966185488</v>
      </c>
      <c r="D22">
        <v>50.180059205908385</v>
      </c>
      <c r="E22">
        <v>121.01657155064547</v>
      </c>
      <c r="F22">
        <v>82.383190404980624</v>
      </c>
      <c r="G22">
        <v>116.27399517807551</v>
      </c>
      <c r="H22">
        <v>91.813409833063758</v>
      </c>
      <c r="I22">
        <v>89.960936307870725</v>
      </c>
      <c r="J22">
        <v>102.03405865657521</v>
      </c>
      <c r="K22">
        <v>53.839228492080444</v>
      </c>
      <c r="L22">
        <v>61.636707663197726</v>
      </c>
      <c r="M22">
        <v>116.70125431073947</v>
      </c>
      <c r="N22">
        <v>61.804559465315712</v>
      </c>
      <c r="O22">
        <v>108.6504715109714</v>
      </c>
      <c r="P22">
        <v>132.52510147404399</v>
      </c>
      <c r="Q22">
        <v>85.019989623706778</v>
      </c>
      <c r="R22">
        <v>53.161717581713312</v>
      </c>
      <c r="S22">
        <v>127.85271767326883</v>
      </c>
      <c r="T22">
        <v>148.41608935819573</v>
      </c>
      <c r="U22">
        <v>56.894131290627769</v>
      </c>
      <c r="V22">
        <v>58.783227027191991</v>
      </c>
      <c r="W22">
        <v>107.5945310831019</v>
      </c>
      <c r="X22">
        <v>138.30225531785027</v>
      </c>
      <c r="Y22">
        <v>143.05703909421064</v>
      </c>
      <c r="Z22">
        <v>103.36771752067629</v>
      </c>
      <c r="AA22">
        <v>53.137302774132515</v>
      </c>
      <c r="AB22">
        <v>98.362681966612755</v>
      </c>
      <c r="AC22">
        <v>69.061861018707845</v>
      </c>
      <c r="AD22">
        <v>117.88842432935576</v>
      </c>
      <c r="AE22">
        <v>98.548844874416346</v>
      </c>
      <c r="AF22">
        <v>95.408490249336211</v>
      </c>
      <c r="AG22">
        <v>77.518539994506668</v>
      </c>
      <c r="AH22">
        <v>95.484786523026216</v>
      </c>
      <c r="AI22">
        <v>51.571703238013853</v>
      </c>
      <c r="AJ22">
        <v>94.706564531388295</v>
      </c>
      <c r="AK22">
        <v>57.040620136112551</v>
      </c>
      <c r="AL22">
        <v>67.04763939329203</v>
      </c>
      <c r="AM22">
        <v>79.358806115909289</v>
      </c>
      <c r="AN22">
        <v>65.378276924954989</v>
      </c>
      <c r="AO22">
        <v>138.60133671071503</v>
      </c>
      <c r="AP22">
        <v>74.66811120944854</v>
      </c>
      <c r="AQ22">
        <v>100.59968871120336</v>
      </c>
      <c r="AR22">
        <v>66.43726920377209</v>
      </c>
      <c r="AS22">
        <v>149.88402966399121</v>
      </c>
      <c r="AT22">
        <v>71.06692709128086</v>
      </c>
      <c r="AU22">
        <v>99.74822229682303</v>
      </c>
      <c r="AV22">
        <v>66.632587664418466</v>
      </c>
      <c r="AW22">
        <v>68.286690878017509</v>
      </c>
      <c r="AX22">
        <v>123.13455610827967</v>
      </c>
      <c r="AY22">
        <v>92.918179876094854</v>
      </c>
      <c r="AZ22">
        <v>65.353862117374192</v>
      </c>
      <c r="BA22">
        <v>119.34720908230842</v>
      </c>
      <c r="BB22">
        <v>82.490005188146611</v>
      </c>
      <c r="BC22">
        <v>50.67751091036714</v>
      </c>
      <c r="BD22">
        <v>124.36445204016235</v>
      </c>
      <c r="BE22">
        <v>65.173802911465799</v>
      </c>
      <c r="BF22">
        <v>117.268898586993</v>
      </c>
      <c r="BG22">
        <v>107.08182012390515</v>
      </c>
      <c r="BH22">
        <v>140.30732139042328</v>
      </c>
      <c r="BI22">
        <v>59.741508224738304</v>
      </c>
      <c r="BJ22">
        <v>112.81319620349743</v>
      </c>
      <c r="BK22">
        <v>63.367107150486774</v>
      </c>
      <c r="BL22">
        <v>100.71871089815974</v>
      </c>
      <c r="BM22">
        <v>116.67378765221108</v>
      </c>
      <c r="BN22">
        <v>149.60020752586445</v>
      </c>
      <c r="BO22">
        <v>64.078188421277503</v>
      </c>
      <c r="BP22">
        <v>64.01715140232551</v>
      </c>
      <c r="BQ22">
        <v>134.58510086367383</v>
      </c>
      <c r="BR22">
        <v>60.126041444135865</v>
      </c>
      <c r="BS22">
        <v>76.606036561174349</v>
      </c>
      <c r="BT22">
        <v>83.344523453474537</v>
      </c>
      <c r="BU22">
        <v>138.08862575151829</v>
      </c>
      <c r="BV22">
        <v>68.478957487716301</v>
      </c>
      <c r="BW22">
        <v>85.010834070863979</v>
      </c>
      <c r="BX22">
        <v>87.635425885799748</v>
      </c>
      <c r="BY22">
        <v>147.07022309030427</v>
      </c>
      <c r="BZ22">
        <v>144.92172002319407</v>
      </c>
      <c r="CA22">
        <v>138.70204779198582</v>
      </c>
      <c r="CB22">
        <v>98.03308206427198</v>
      </c>
      <c r="CC22">
        <v>139.94720297860653</v>
      </c>
      <c r="CD22">
        <v>78.659932248908973</v>
      </c>
      <c r="CE22">
        <v>146.65517136143069</v>
      </c>
      <c r="CF22">
        <v>107.78374584185309</v>
      </c>
      <c r="CG22">
        <v>126.47633289590136</v>
      </c>
      <c r="CH22">
        <v>121.91991943113499</v>
      </c>
      <c r="CI22">
        <v>57.733390301217689</v>
      </c>
      <c r="CJ22">
        <v>103.73393963438826</v>
      </c>
      <c r="CK22">
        <v>95.774712363048195</v>
      </c>
      <c r="CL22">
        <v>108.38496047853022</v>
      </c>
      <c r="CM22">
        <v>117.79381694998017</v>
      </c>
      <c r="CN22">
        <v>57.562486648152102</v>
      </c>
      <c r="CO22">
        <v>55.130161442915124</v>
      </c>
      <c r="CP22">
        <v>99.232459486678664</v>
      </c>
      <c r="CQ22">
        <v>144.14349803155613</v>
      </c>
      <c r="CR22">
        <v>64.838099307229839</v>
      </c>
      <c r="CS22">
        <v>125.30747398297068</v>
      </c>
      <c r="CT22">
        <v>59.787285988952299</v>
      </c>
      <c r="CU22">
        <v>108.04010132145146</v>
      </c>
      <c r="CV22">
        <v>60.08331553086947</v>
      </c>
    </row>
    <row r="23" spans="1:100">
      <c r="A23">
        <v>128.94528031250954</v>
      </c>
      <c r="B23">
        <v>101.19785149693288</v>
      </c>
      <c r="C23">
        <v>63.165684987945191</v>
      </c>
      <c r="D23">
        <v>147.65312662129583</v>
      </c>
      <c r="E23">
        <v>113.24961088900417</v>
      </c>
      <c r="F23">
        <v>118.6361278115177</v>
      </c>
      <c r="G23">
        <v>67.963194677571948</v>
      </c>
      <c r="H23">
        <v>57.437360759300518</v>
      </c>
      <c r="I23">
        <v>124.82222968230232</v>
      </c>
      <c r="J23">
        <v>120.67781609546189</v>
      </c>
      <c r="K23">
        <v>72.846156193731503</v>
      </c>
      <c r="L23">
        <v>145.91051973021638</v>
      </c>
      <c r="M23">
        <v>141.68065431684317</v>
      </c>
      <c r="N23">
        <v>148.52595599230932</v>
      </c>
      <c r="O23">
        <v>78.47987304300058</v>
      </c>
      <c r="P23">
        <v>88.251899777214874</v>
      </c>
      <c r="Q23">
        <v>56.631672109134186</v>
      </c>
      <c r="R23">
        <v>118.5018463698233</v>
      </c>
      <c r="S23">
        <v>101.56102175969725</v>
      </c>
      <c r="T23">
        <v>87.369914853358551</v>
      </c>
      <c r="U23">
        <v>52.072206793420207</v>
      </c>
      <c r="V23">
        <v>60.254219183935056</v>
      </c>
      <c r="W23">
        <v>72.721030304879918</v>
      </c>
      <c r="X23">
        <v>142.60841700491346</v>
      </c>
      <c r="Y23">
        <v>106.17236854152043</v>
      </c>
      <c r="Z23">
        <v>60.61738944669942</v>
      </c>
      <c r="AA23">
        <v>117.46421704763939</v>
      </c>
      <c r="AB23">
        <v>69.510483108005005</v>
      </c>
      <c r="AC23">
        <v>146.16077150791955</v>
      </c>
      <c r="AD23">
        <v>66.248054445020898</v>
      </c>
      <c r="AE23">
        <v>60.699789422284617</v>
      </c>
      <c r="AF23">
        <v>148.66634113589893</v>
      </c>
      <c r="AG23">
        <v>114.32081057161169</v>
      </c>
      <c r="AH23">
        <v>148.20245979186376</v>
      </c>
      <c r="AI23">
        <v>145.57176427503282</v>
      </c>
      <c r="AJ23">
        <v>131.75908688619649</v>
      </c>
      <c r="AK23">
        <v>62.283700064088869</v>
      </c>
      <c r="AL23">
        <v>81.525620288705099</v>
      </c>
      <c r="AM23">
        <v>107.13370159001434</v>
      </c>
      <c r="AN23">
        <v>82.999664296395764</v>
      </c>
      <c r="AO23">
        <v>139.26664021729181</v>
      </c>
      <c r="AP23">
        <v>143.02957243568224</v>
      </c>
      <c r="AQ23">
        <v>91.563158055360574</v>
      </c>
      <c r="AR23">
        <v>84.01593066194647</v>
      </c>
      <c r="AS23">
        <v>89.887691885128334</v>
      </c>
      <c r="AT23">
        <v>80.338450270088799</v>
      </c>
      <c r="AU23">
        <v>61.499374370555742</v>
      </c>
      <c r="AV23">
        <v>80.347605822931598</v>
      </c>
      <c r="AW23">
        <v>127.19046601763971</v>
      </c>
      <c r="AX23">
        <v>55.37125766777551</v>
      </c>
      <c r="AY23">
        <v>107.85393841364788</v>
      </c>
      <c r="AZ23">
        <v>119.99420148319956</v>
      </c>
      <c r="BA23">
        <v>65.802484206671352</v>
      </c>
      <c r="BB23">
        <v>85.923337504196297</v>
      </c>
      <c r="BC23">
        <v>90.177617725150299</v>
      </c>
      <c r="BD23">
        <v>121.7856379894406</v>
      </c>
      <c r="BE23">
        <v>129.17416913357954</v>
      </c>
      <c r="BF23">
        <v>144.4730979338969</v>
      </c>
      <c r="BG23">
        <v>103.89873958555864</v>
      </c>
      <c r="BH23">
        <v>106.49586474196602</v>
      </c>
      <c r="BI23">
        <v>115.59648426770836</v>
      </c>
      <c r="BJ23">
        <v>109.04416028321177</v>
      </c>
      <c r="BK23">
        <v>102.1408734397412</v>
      </c>
      <c r="BL23">
        <v>145.45579393902403</v>
      </c>
      <c r="BM23">
        <v>68.958098086489457</v>
      </c>
      <c r="BN23">
        <v>124.38886684774315</v>
      </c>
      <c r="BO23">
        <v>71.427045503097631</v>
      </c>
      <c r="BP23">
        <v>66.830957976012456</v>
      </c>
      <c r="BQ23">
        <v>91.502121036408582</v>
      </c>
      <c r="BR23">
        <v>73.471785637989441</v>
      </c>
      <c r="BS23">
        <v>143.75286111026338</v>
      </c>
      <c r="BT23">
        <v>81.940672017578663</v>
      </c>
      <c r="BU23">
        <v>77.472762230292673</v>
      </c>
      <c r="BV23">
        <v>139.04080324716941</v>
      </c>
      <c r="BW23">
        <v>124.45905941953795</v>
      </c>
      <c r="BX23">
        <v>64.044618060853907</v>
      </c>
      <c r="BY23">
        <v>89.161351359599593</v>
      </c>
      <c r="BZ23">
        <v>137.98181096835231</v>
      </c>
      <c r="CA23">
        <v>101.59154026917325</v>
      </c>
      <c r="CB23">
        <v>82.847071749015782</v>
      </c>
      <c r="CC23">
        <v>65.942869350260935</v>
      </c>
      <c r="CD23">
        <v>56.704916531876584</v>
      </c>
      <c r="CE23">
        <v>52.301095614490187</v>
      </c>
      <c r="CF23">
        <v>147.76299325540941</v>
      </c>
      <c r="CG23">
        <v>106.96584978789636</v>
      </c>
      <c r="CH23">
        <v>65.601062044129762</v>
      </c>
      <c r="CI23">
        <v>111.9525742362743</v>
      </c>
      <c r="CJ23">
        <v>63.104647968993191</v>
      </c>
      <c r="CK23">
        <v>118.07458723715934</v>
      </c>
      <c r="CL23">
        <v>140.73763237403483</v>
      </c>
      <c r="CM23">
        <v>121.53843806268502</v>
      </c>
      <c r="CN23">
        <v>148.33063753166294</v>
      </c>
      <c r="CO23">
        <v>63.62956633198035</v>
      </c>
      <c r="CP23">
        <v>70.889919736320081</v>
      </c>
      <c r="CQ23">
        <v>119.06033509323404</v>
      </c>
      <c r="CR23">
        <v>126.39393292031617</v>
      </c>
      <c r="CS23">
        <v>113.85998107852413</v>
      </c>
      <c r="CT23">
        <v>78.083132419812614</v>
      </c>
      <c r="CU23">
        <v>90.455336161381879</v>
      </c>
      <c r="CV23">
        <v>133.46507156590474</v>
      </c>
    </row>
    <row r="24" spans="1:100">
      <c r="A24">
        <v>78.128910184026608</v>
      </c>
      <c r="B24">
        <v>97.669911801507624</v>
      </c>
      <c r="C24">
        <v>96.455275124362927</v>
      </c>
      <c r="D24">
        <v>115.33402508621478</v>
      </c>
      <c r="E24">
        <v>100.65462202826015</v>
      </c>
      <c r="F24">
        <v>105.87328714865566</v>
      </c>
      <c r="G24">
        <v>95.484786523026216</v>
      </c>
      <c r="H24">
        <v>94.398327585680704</v>
      </c>
      <c r="I24">
        <v>93.791009247108377</v>
      </c>
      <c r="J24">
        <v>59.106723227637559</v>
      </c>
      <c r="K24">
        <v>66.949980162968842</v>
      </c>
      <c r="L24">
        <v>99.168370616779072</v>
      </c>
      <c r="M24">
        <v>83.872493667409287</v>
      </c>
      <c r="N24">
        <v>89.942625202185127</v>
      </c>
      <c r="O24">
        <v>128.43867305520797</v>
      </c>
      <c r="P24">
        <v>81.049531540879542</v>
      </c>
      <c r="Q24">
        <v>54.226813562425612</v>
      </c>
      <c r="R24">
        <v>85.740226447340319</v>
      </c>
      <c r="S24">
        <v>55.795464949491866</v>
      </c>
      <c r="T24">
        <v>148.67244483779413</v>
      </c>
      <c r="U24">
        <v>120.44282357249672</v>
      </c>
      <c r="V24">
        <v>125.38987395855587</v>
      </c>
      <c r="W24">
        <v>85.459456160161139</v>
      </c>
      <c r="X24">
        <v>123.44889675588244</v>
      </c>
      <c r="Y24">
        <v>76.114688558610794</v>
      </c>
      <c r="Z24">
        <v>104.506057924131</v>
      </c>
      <c r="AA24">
        <v>51.309244056520278</v>
      </c>
      <c r="AB24">
        <v>91.465498825037386</v>
      </c>
      <c r="AC24">
        <v>149.75280007324443</v>
      </c>
      <c r="AD24">
        <v>127.2637104403821</v>
      </c>
      <c r="AE24">
        <v>121.767326883755</v>
      </c>
      <c r="AF24">
        <v>54.760887478255562</v>
      </c>
      <c r="AG24">
        <v>63.434247871333966</v>
      </c>
      <c r="AH24">
        <v>92.896816919461656</v>
      </c>
      <c r="AI24">
        <v>52.658162175359358</v>
      </c>
      <c r="AJ24">
        <v>135.13138218329416</v>
      </c>
      <c r="AK24">
        <v>133.84960478530229</v>
      </c>
      <c r="AL24">
        <v>55.117954039124726</v>
      </c>
      <c r="AM24">
        <v>121.58726767784661</v>
      </c>
      <c r="AN24">
        <v>133.62071596423232</v>
      </c>
      <c r="AO24">
        <v>106.32496108890041</v>
      </c>
      <c r="AP24">
        <v>82.468642231513414</v>
      </c>
      <c r="AQ24">
        <v>59.314249092074341</v>
      </c>
      <c r="AR24">
        <v>98.814355906857514</v>
      </c>
      <c r="AS24">
        <v>62.524796288949247</v>
      </c>
      <c r="AT24">
        <v>97.773674733726011</v>
      </c>
      <c r="AU24">
        <v>143.88103885006257</v>
      </c>
      <c r="AV24">
        <v>106.99636829737236</v>
      </c>
      <c r="AW24">
        <v>92.384105960264904</v>
      </c>
      <c r="AX24">
        <v>124.85580004272592</v>
      </c>
      <c r="AY24">
        <v>128.27692495498519</v>
      </c>
      <c r="AZ24">
        <v>129.69603564561908</v>
      </c>
      <c r="BA24">
        <v>145.7518234809412</v>
      </c>
      <c r="BB24">
        <v>52.999969481490524</v>
      </c>
      <c r="BC24">
        <v>65.930661946470536</v>
      </c>
      <c r="BD24">
        <v>70.310068056276123</v>
      </c>
      <c r="BE24">
        <v>136.00421155430769</v>
      </c>
      <c r="BF24">
        <v>127.39188818018128</v>
      </c>
      <c r="BG24">
        <v>62.997833185827204</v>
      </c>
      <c r="BH24">
        <v>51.425214392529071</v>
      </c>
      <c r="BI24">
        <v>76.703695791497552</v>
      </c>
      <c r="BJ24">
        <v>50.238044373912778</v>
      </c>
      <c r="BK24">
        <v>68.381298257393112</v>
      </c>
      <c r="BL24">
        <v>87.110507522812583</v>
      </c>
      <c r="BM24">
        <v>93.250831629383214</v>
      </c>
      <c r="BN24">
        <v>92.472609637745293</v>
      </c>
      <c r="BO24">
        <v>77.954954680013429</v>
      </c>
      <c r="BP24">
        <v>113.80809961241494</v>
      </c>
      <c r="BQ24">
        <v>54.119998779259618</v>
      </c>
      <c r="BR24">
        <v>65.323343607898195</v>
      </c>
      <c r="BS24">
        <v>58.075197607348855</v>
      </c>
      <c r="BT24">
        <v>82.312997833185818</v>
      </c>
      <c r="BU24">
        <v>107.34122745445113</v>
      </c>
      <c r="BV24">
        <v>73.374126407666253</v>
      </c>
      <c r="BW24">
        <v>98.945585497604299</v>
      </c>
      <c r="BX24">
        <v>60.156559953611861</v>
      </c>
      <c r="BY24">
        <v>85.941648609881895</v>
      </c>
      <c r="BZ24">
        <v>60.76082644123661</v>
      </c>
      <c r="CA24">
        <v>88.508255256813257</v>
      </c>
      <c r="CB24">
        <v>72.412793359172341</v>
      </c>
      <c r="CC24">
        <v>97.938474684896391</v>
      </c>
      <c r="CD24">
        <v>103.67595446638386</v>
      </c>
      <c r="CE24">
        <v>147.47917111728265</v>
      </c>
      <c r="CF24">
        <v>59.146397289956354</v>
      </c>
      <c r="CG24">
        <v>66.544083986938077</v>
      </c>
      <c r="CH24">
        <v>52.249214148380993</v>
      </c>
      <c r="CI24">
        <v>116.10614337595752</v>
      </c>
      <c r="CJ24">
        <v>77.573473311563461</v>
      </c>
      <c r="CK24">
        <v>136.18121890926847</v>
      </c>
      <c r="CL24">
        <v>75.031281472212896</v>
      </c>
      <c r="CM24">
        <v>133.35825678273872</v>
      </c>
      <c r="CN24">
        <v>127.06839197973571</v>
      </c>
      <c r="CO24">
        <v>109.94750816370129</v>
      </c>
      <c r="CP24">
        <v>109.06247138889736</v>
      </c>
      <c r="CQ24">
        <v>99.064607684560684</v>
      </c>
      <c r="CR24">
        <v>125.15488143559068</v>
      </c>
      <c r="CS24">
        <v>134.14563432721945</v>
      </c>
      <c r="CT24">
        <v>68.805505539109475</v>
      </c>
      <c r="CU24">
        <v>59.753715628528703</v>
      </c>
      <c r="CV24">
        <v>112.59651478621784</v>
      </c>
    </row>
    <row r="25" spans="1:100">
      <c r="A25">
        <v>73.014007995849482</v>
      </c>
      <c r="B25">
        <v>107.40226447340312</v>
      </c>
      <c r="C25">
        <v>70.911282692953279</v>
      </c>
      <c r="D25">
        <v>120.56184575945311</v>
      </c>
      <c r="E25">
        <v>80.518509475997192</v>
      </c>
      <c r="F25">
        <v>135.59221167638174</v>
      </c>
      <c r="G25">
        <v>130.52919095431378</v>
      </c>
      <c r="H25">
        <v>120.29023102511674</v>
      </c>
      <c r="I25">
        <v>112.19977416302987</v>
      </c>
      <c r="J25">
        <v>148.14142277291177</v>
      </c>
      <c r="K25">
        <v>69.525742362743003</v>
      </c>
      <c r="L25">
        <v>75.113681447798086</v>
      </c>
      <c r="M25">
        <v>127.00430310983612</v>
      </c>
      <c r="N25">
        <v>81.730094302194274</v>
      </c>
      <c r="O25">
        <v>87.284463026825762</v>
      </c>
      <c r="P25">
        <v>108.6199530014954</v>
      </c>
      <c r="Q25">
        <v>138.97671437726981</v>
      </c>
      <c r="R25">
        <v>89.783928952909946</v>
      </c>
      <c r="S25">
        <v>86.875514999847411</v>
      </c>
      <c r="T25">
        <v>71.616260261848808</v>
      </c>
      <c r="U25">
        <v>65.662099063081754</v>
      </c>
      <c r="V25">
        <v>59.756767479476302</v>
      </c>
      <c r="W25">
        <v>135.65630054628133</v>
      </c>
      <c r="X25">
        <v>122.81411175878169</v>
      </c>
      <c r="Y25">
        <v>98.573259681997143</v>
      </c>
      <c r="Z25">
        <v>64.230780968657484</v>
      </c>
      <c r="AA25">
        <v>124.52314828943754</v>
      </c>
      <c r="AB25">
        <v>113.58531449324016</v>
      </c>
      <c r="AC25">
        <v>61.355937376018559</v>
      </c>
      <c r="AD25">
        <v>148.9165929136021</v>
      </c>
      <c r="AE25">
        <v>116.41438032166509</v>
      </c>
      <c r="AF25">
        <v>104.98519852290414</v>
      </c>
      <c r="AG25">
        <v>71.283608508560434</v>
      </c>
      <c r="AH25">
        <v>110.67384868923001</v>
      </c>
      <c r="AI25">
        <v>124.67574083681752</v>
      </c>
      <c r="AJ25">
        <v>95.109408856471447</v>
      </c>
      <c r="AK25">
        <v>69.681386761070598</v>
      </c>
      <c r="AL25">
        <v>68.741416669209883</v>
      </c>
      <c r="AM25">
        <v>111.9556260872219</v>
      </c>
      <c r="AN25">
        <v>84.910122989593191</v>
      </c>
      <c r="AO25">
        <v>136.9350260933256</v>
      </c>
      <c r="AP25">
        <v>82.221442304757829</v>
      </c>
      <c r="AQ25">
        <v>50.241096224860378</v>
      </c>
      <c r="AR25">
        <v>60.644856105227817</v>
      </c>
      <c r="AS25">
        <v>57.672353282265696</v>
      </c>
      <c r="AT25">
        <v>116.97286904507584</v>
      </c>
      <c r="AU25">
        <v>132.61665700247198</v>
      </c>
      <c r="AV25">
        <v>121.03488265633106</v>
      </c>
      <c r="AW25">
        <v>51.815851313821831</v>
      </c>
      <c r="AX25">
        <v>115.06546220282601</v>
      </c>
      <c r="AY25">
        <v>95.512253181554613</v>
      </c>
      <c r="AZ25">
        <v>116.93624683370464</v>
      </c>
      <c r="BA25">
        <v>108.6870937223426</v>
      </c>
      <c r="BB25">
        <v>115.71550645466475</v>
      </c>
      <c r="BC25">
        <v>146.7802972502823</v>
      </c>
      <c r="BD25">
        <v>50.210577715384382</v>
      </c>
      <c r="BE25">
        <v>140.80477309488202</v>
      </c>
      <c r="BF25">
        <v>144.05804620502335</v>
      </c>
      <c r="BG25">
        <v>126.15283669545579</v>
      </c>
      <c r="BH25">
        <v>103.46842860194708</v>
      </c>
      <c r="BI25">
        <v>53.189184240241708</v>
      </c>
      <c r="BJ25">
        <v>51.535081026642658</v>
      </c>
      <c r="BK25">
        <v>86.381115146336242</v>
      </c>
      <c r="BL25">
        <v>124.95345927304911</v>
      </c>
      <c r="BM25">
        <v>131.6522721030305</v>
      </c>
      <c r="BN25">
        <v>139.19339579454939</v>
      </c>
      <c r="BO25">
        <v>99.024933622241889</v>
      </c>
      <c r="BP25">
        <v>126.00939970091861</v>
      </c>
      <c r="BQ25">
        <v>114.05529953917051</v>
      </c>
      <c r="BR25">
        <v>127.64519180883205</v>
      </c>
      <c r="BS25">
        <v>149.53001495406966</v>
      </c>
      <c r="BT25">
        <v>58.362071596423235</v>
      </c>
      <c r="BU25">
        <v>71.057771538438061</v>
      </c>
      <c r="BV25">
        <v>77.433088167973878</v>
      </c>
      <c r="BW25">
        <v>88.746299630726043</v>
      </c>
      <c r="BX25">
        <v>122.03588976714377</v>
      </c>
      <c r="BY25">
        <v>94.840845973082679</v>
      </c>
      <c r="BZ25">
        <v>85.309915463728743</v>
      </c>
      <c r="CA25">
        <v>56.543168431653797</v>
      </c>
      <c r="CB25">
        <v>57.05282753990295</v>
      </c>
      <c r="CC25">
        <v>136.47114474929043</v>
      </c>
      <c r="CD25">
        <v>134.64918973357342</v>
      </c>
      <c r="CE25">
        <v>143.08755760368663</v>
      </c>
      <c r="CF25">
        <v>122.07251197851498</v>
      </c>
      <c r="CG25">
        <v>82.520523697622608</v>
      </c>
      <c r="CH25">
        <v>128.06939909054842</v>
      </c>
      <c r="CI25">
        <v>103.45011749626148</v>
      </c>
      <c r="CJ25">
        <v>113.0420850245674</v>
      </c>
      <c r="CK25">
        <v>111.58940397350995</v>
      </c>
      <c r="CL25">
        <v>80.423902096621603</v>
      </c>
      <c r="CM25">
        <v>91.178624835963006</v>
      </c>
      <c r="CN25">
        <v>125.04501480147709</v>
      </c>
      <c r="CO25">
        <v>121.30039368877225</v>
      </c>
      <c r="CP25">
        <v>100.25177770317698</v>
      </c>
      <c r="CQ25">
        <v>126.41529587694937</v>
      </c>
      <c r="CR25">
        <v>110.40223395489365</v>
      </c>
      <c r="CS25">
        <v>66.461684011352887</v>
      </c>
      <c r="CT25">
        <v>137.82921842097232</v>
      </c>
      <c r="CU25">
        <v>64.212469862971886</v>
      </c>
      <c r="CV25">
        <v>136.20868556779686</v>
      </c>
    </row>
    <row r="26" spans="1:100">
      <c r="A26">
        <v>77.436140018921478</v>
      </c>
      <c r="B26">
        <v>127.2698141422773</v>
      </c>
      <c r="C26">
        <v>137.008270516068</v>
      </c>
      <c r="D26">
        <v>69.901120029297772</v>
      </c>
      <c r="E26">
        <v>115.50187688833277</v>
      </c>
      <c r="F26">
        <v>103.99945066682943</v>
      </c>
      <c r="G26">
        <v>138.16187017426068</v>
      </c>
      <c r="H26">
        <v>60.095522934659868</v>
      </c>
      <c r="I26">
        <v>100.84383678701133</v>
      </c>
      <c r="J26">
        <v>69.431134983367414</v>
      </c>
      <c r="K26">
        <v>109.69725638599812</v>
      </c>
      <c r="L26">
        <v>145.30625324259165</v>
      </c>
      <c r="M26">
        <v>135.81194494460891</v>
      </c>
      <c r="N26">
        <v>122.64320810571611</v>
      </c>
      <c r="O26">
        <v>86.078981902523878</v>
      </c>
      <c r="P26">
        <v>77.060762352366709</v>
      </c>
      <c r="Q26">
        <v>50.991851557969909</v>
      </c>
      <c r="R26">
        <v>66.241950743125699</v>
      </c>
      <c r="S26">
        <v>126.31458479567857</v>
      </c>
      <c r="T26">
        <v>127.80999176000243</v>
      </c>
      <c r="U26">
        <v>130.68178350169379</v>
      </c>
      <c r="V26">
        <v>92.530594805749686</v>
      </c>
      <c r="W26">
        <v>68.018127994628742</v>
      </c>
      <c r="X26">
        <v>91.196935941648604</v>
      </c>
      <c r="Y26">
        <v>124.44380016479995</v>
      </c>
      <c r="Z26">
        <v>111.22928556169316</v>
      </c>
      <c r="AA26">
        <v>56.674398022400588</v>
      </c>
      <c r="AB26">
        <v>56.793420209356974</v>
      </c>
      <c r="AC26">
        <v>135.48844874416335</v>
      </c>
      <c r="AD26">
        <v>146.96646015808588</v>
      </c>
      <c r="AE26">
        <v>65.713980529190962</v>
      </c>
      <c r="AF26">
        <v>112.36457411420027</v>
      </c>
      <c r="AG26">
        <v>126.36341441084016</v>
      </c>
      <c r="AH26">
        <v>84.595782341990414</v>
      </c>
      <c r="AI26">
        <v>73.047578356273078</v>
      </c>
      <c r="AJ26">
        <v>76.773888363292343</v>
      </c>
      <c r="AK26">
        <v>132.7021088290048</v>
      </c>
      <c r="AL26">
        <v>90.501113925595874</v>
      </c>
      <c r="AM26">
        <v>109.65147862178412</v>
      </c>
      <c r="AN26">
        <v>116.70735801263467</v>
      </c>
      <c r="AO26">
        <v>125.59739982299266</v>
      </c>
      <c r="AP26">
        <v>87.995544297616505</v>
      </c>
      <c r="AQ26">
        <v>145.86474196600238</v>
      </c>
      <c r="AR26">
        <v>50.292977690969572</v>
      </c>
      <c r="AS26">
        <v>113.20078127384258</v>
      </c>
      <c r="AT26">
        <v>114.95864741966002</v>
      </c>
      <c r="AU26">
        <v>130.99917600024415</v>
      </c>
      <c r="AV26">
        <v>90.775780510879855</v>
      </c>
      <c r="AW26">
        <v>122.25867488631856</v>
      </c>
      <c r="AX26">
        <v>141.79967650379956</v>
      </c>
      <c r="AY26">
        <v>98.960844752342297</v>
      </c>
      <c r="AZ26">
        <v>127.97479171117283</v>
      </c>
      <c r="BA26">
        <v>78.702658162175368</v>
      </c>
      <c r="BB26">
        <v>94.401379436628304</v>
      </c>
      <c r="BC26">
        <v>50.054933317056793</v>
      </c>
      <c r="BD26">
        <v>105.67186498611409</v>
      </c>
      <c r="BE26">
        <v>128.65535447248755</v>
      </c>
      <c r="BF26">
        <v>67.50236518448439</v>
      </c>
      <c r="BG26">
        <v>145.67247535630361</v>
      </c>
      <c r="BH26">
        <v>122.68288216803491</v>
      </c>
      <c r="BI26">
        <v>120.14984588152716</v>
      </c>
      <c r="BJ26">
        <v>103.14188055055391</v>
      </c>
      <c r="BK26">
        <v>95.32914212469862</v>
      </c>
      <c r="BL26">
        <v>143.27372051149024</v>
      </c>
      <c r="BM26">
        <v>131.92999053926206</v>
      </c>
      <c r="BN26">
        <v>100.47761467329936</v>
      </c>
      <c r="BO26">
        <v>145.32761619922485</v>
      </c>
      <c r="BP26">
        <v>147.14346751304669</v>
      </c>
      <c r="BQ26">
        <v>119.07864619891964</v>
      </c>
      <c r="BR26">
        <v>61.694692831202126</v>
      </c>
      <c r="BS26">
        <v>136.81600390636919</v>
      </c>
      <c r="BT26">
        <v>117.72667622913296</v>
      </c>
      <c r="BU26">
        <v>60.635700552385018</v>
      </c>
      <c r="BV26">
        <v>111.64738914151434</v>
      </c>
      <c r="BW26">
        <v>59.372234260078741</v>
      </c>
      <c r="BX26">
        <v>143.96649067659536</v>
      </c>
      <c r="BY26">
        <v>66.791283913693661</v>
      </c>
      <c r="BZ26">
        <v>138.76308481093781</v>
      </c>
      <c r="CA26">
        <v>140.71016571550643</v>
      </c>
      <c r="CB26">
        <v>113.67381817072055</v>
      </c>
      <c r="CC26">
        <v>111.25980407116916</v>
      </c>
      <c r="CD26">
        <v>60.412915433210244</v>
      </c>
      <c r="CE26">
        <v>63.135166478469195</v>
      </c>
      <c r="CF26">
        <v>126.63502914517655</v>
      </c>
      <c r="CG26">
        <v>104.4969023712882</v>
      </c>
      <c r="CH26">
        <v>65.787224951933354</v>
      </c>
      <c r="CI26">
        <v>147.42423780022585</v>
      </c>
      <c r="CJ26">
        <v>105.55589465010529</v>
      </c>
      <c r="CK26">
        <v>73.346659749137856</v>
      </c>
      <c r="CL26">
        <v>139.43754387035739</v>
      </c>
      <c r="CM26">
        <v>94.648579363383902</v>
      </c>
      <c r="CN26">
        <v>133.00119022186956</v>
      </c>
      <c r="CO26">
        <v>62.768944364757225</v>
      </c>
      <c r="CP26">
        <v>118.6147648548845</v>
      </c>
      <c r="CQ26">
        <v>126.68996246223334</v>
      </c>
      <c r="CR26">
        <v>92.396313364055302</v>
      </c>
      <c r="CS26">
        <v>125.24643696401868</v>
      </c>
      <c r="CT26">
        <v>87.528611102633747</v>
      </c>
      <c r="CU26">
        <v>115.97796563615833</v>
      </c>
      <c r="CV26">
        <v>141.31138035218362</v>
      </c>
    </row>
    <row r="27" spans="1:100">
      <c r="A27">
        <v>51.901303140354628</v>
      </c>
      <c r="B27">
        <v>133.32468642231512</v>
      </c>
      <c r="C27">
        <v>50.097659230323188</v>
      </c>
      <c r="D27">
        <v>77.939695425275431</v>
      </c>
      <c r="E27">
        <v>126.0856959746086</v>
      </c>
      <c r="F27">
        <v>138.17407757805108</v>
      </c>
      <c r="G27">
        <v>127.80083620715963</v>
      </c>
      <c r="H27">
        <v>144.85457930234688</v>
      </c>
      <c r="I27">
        <v>95.023957029938657</v>
      </c>
      <c r="J27">
        <v>113.13974425489059</v>
      </c>
      <c r="K27">
        <v>85.08102664265877</v>
      </c>
      <c r="L27">
        <v>143.85662404248177</v>
      </c>
      <c r="M27">
        <v>133.33689382610552</v>
      </c>
      <c r="N27">
        <v>148.69991149632253</v>
      </c>
      <c r="O27">
        <v>57.593005157628099</v>
      </c>
      <c r="P27">
        <v>96.748252815332506</v>
      </c>
      <c r="Q27">
        <v>139.3398846400342</v>
      </c>
      <c r="R27">
        <v>108.72066408276619</v>
      </c>
      <c r="S27">
        <v>127.2240363780633</v>
      </c>
      <c r="T27">
        <v>87.421796319467759</v>
      </c>
      <c r="U27">
        <v>122.7317117831965</v>
      </c>
      <c r="V27">
        <v>129.98596148564104</v>
      </c>
      <c r="W27">
        <v>136.01031525620289</v>
      </c>
      <c r="X27">
        <v>82.5846125675222</v>
      </c>
      <c r="Y27">
        <v>54.931791131321148</v>
      </c>
      <c r="Z27">
        <v>133.63597521897032</v>
      </c>
      <c r="AA27">
        <v>64.328440198980687</v>
      </c>
      <c r="AB27">
        <v>59.68962675862911</v>
      </c>
      <c r="AC27">
        <v>97.764519180883212</v>
      </c>
      <c r="AD27">
        <v>101.64036988433485</v>
      </c>
      <c r="AE27">
        <v>113.98205511642811</v>
      </c>
      <c r="AF27">
        <v>120.24140140995515</v>
      </c>
      <c r="AG27">
        <v>76.0658589434492</v>
      </c>
      <c r="AH27">
        <v>121.44383068330943</v>
      </c>
      <c r="AI27">
        <v>86.747337260048226</v>
      </c>
      <c r="AJ27">
        <v>116.55476546525468</v>
      </c>
      <c r="AK27">
        <v>109.88647114474929</v>
      </c>
      <c r="AL27">
        <v>51.88604388561663</v>
      </c>
      <c r="AM27">
        <v>99.107333597827079</v>
      </c>
      <c r="AN27">
        <v>70.136112552262944</v>
      </c>
      <c r="AO27">
        <v>71.869563890499592</v>
      </c>
      <c r="AP27">
        <v>113.57005523850216</v>
      </c>
      <c r="AQ27">
        <v>123.71135593737603</v>
      </c>
      <c r="AR27">
        <v>109.77660451063571</v>
      </c>
      <c r="AS27">
        <v>85.459456160161139</v>
      </c>
      <c r="AT27">
        <v>56.707968382824184</v>
      </c>
      <c r="AU27">
        <v>98.216193121127958</v>
      </c>
      <c r="AV27">
        <v>107.49992370372631</v>
      </c>
      <c r="AW27">
        <v>129.55565050202949</v>
      </c>
      <c r="AX27">
        <v>109.70641193884092</v>
      </c>
      <c r="AY27">
        <v>113.51207007049777</v>
      </c>
      <c r="AZ27">
        <v>61.627552110354927</v>
      </c>
      <c r="BA27">
        <v>145.12619403668327</v>
      </c>
      <c r="BB27">
        <v>95.045319986571855</v>
      </c>
      <c r="BC27">
        <v>142.2696615497299</v>
      </c>
      <c r="BD27">
        <v>65.057832575457013</v>
      </c>
      <c r="BE27">
        <v>87.058626056703389</v>
      </c>
      <c r="BF27">
        <v>148.72432630390333</v>
      </c>
      <c r="BG27">
        <v>134.39588610492262</v>
      </c>
      <c r="BH27">
        <v>54.391613513595999</v>
      </c>
      <c r="BI27">
        <v>146.30726035340433</v>
      </c>
      <c r="BJ27">
        <v>115.96575823236793</v>
      </c>
      <c r="BK27">
        <v>117.4306466872158</v>
      </c>
      <c r="BL27">
        <v>91.816461684011358</v>
      </c>
      <c r="BM27">
        <v>52.011169774468215</v>
      </c>
      <c r="BN27">
        <v>112.31574449903867</v>
      </c>
      <c r="BO27">
        <v>85.81652272103031</v>
      </c>
      <c r="BP27">
        <v>120.78768272957548</v>
      </c>
      <c r="BQ27">
        <v>143.36222418897063</v>
      </c>
      <c r="BR27">
        <v>61.487166966765344</v>
      </c>
      <c r="BS27">
        <v>94.630268257698305</v>
      </c>
      <c r="BT27">
        <v>147.42728965117345</v>
      </c>
      <c r="BU27">
        <v>137.98791467024751</v>
      </c>
      <c r="BV27">
        <v>52.612384411145356</v>
      </c>
      <c r="BW27">
        <v>100.35554063539537</v>
      </c>
      <c r="BX27">
        <v>80.649739066743976</v>
      </c>
      <c r="BY27">
        <v>124.03485213782159</v>
      </c>
      <c r="BZ27">
        <v>126.57704397717215</v>
      </c>
      <c r="CA27">
        <v>114.36658833582568</v>
      </c>
      <c r="CB27">
        <v>134.23413800469984</v>
      </c>
      <c r="CC27">
        <v>66.470839564195686</v>
      </c>
      <c r="CD27">
        <v>119.5883053071688</v>
      </c>
      <c r="CE27">
        <v>84.727011932737213</v>
      </c>
      <c r="CF27">
        <v>143.92071291238136</v>
      </c>
      <c r="CG27">
        <v>68.271431623279511</v>
      </c>
      <c r="CH27">
        <v>142.09570604571672</v>
      </c>
      <c r="CI27">
        <v>71.930600909451584</v>
      </c>
      <c r="CJ27">
        <v>102.68410290841396</v>
      </c>
      <c r="CK27">
        <v>77.1340067751091</v>
      </c>
      <c r="CL27">
        <v>121.18747520371105</v>
      </c>
      <c r="CM27">
        <v>134.22803430280464</v>
      </c>
      <c r="CN27">
        <v>67.279580065309602</v>
      </c>
      <c r="CO27">
        <v>78.299813837092202</v>
      </c>
      <c r="CP27">
        <v>84.577471236304817</v>
      </c>
      <c r="CQ27">
        <v>88.11761833552049</v>
      </c>
      <c r="CR27">
        <v>139.22696615497298</v>
      </c>
      <c r="CS27">
        <v>64.151432844019894</v>
      </c>
      <c r="CT27">
        <v>114.34522537919248</v>
      </c>
      <c r="CU27">
        <v>59.69573046052431</v>
      </c>
      <c r="CV27">
        <v>73.291726432081063</v>
      </c>
    </row>
    <row r="28" spans="1:100">
      <c r="A28">
        <v>92.158268990142517</v>
      </c>
      <c r="B28">
        <v>140.49348429822686</v>
      </c>
      <c r="C28">
        <v>65.222632526627393</v>
      </c>
      <c r="D28">
        <v>61.478011413922545</v>
      </c>
      <c r="E28">
        <v>72.437208166753138</v>
      </c>
      <c r="F28">
        <v>57.126071962645341</v>
      </c>
      <c r="G28">
        <v>50.119022186956386</v>
      </c>
      <c r="H28">
        <v>80.70162053285317</v>
      </c>
      <c r="I28">
        <v>58.066042054506056</v>
      </c>
      <c r="J28">
        <v>75.223548081911673</v>
      </c>
      <c r="K28">
        <v>56.225775933103428</v>
      </c>
      <c r="L28">
        <v>125.11215552232429</v>
      </c>
      <c r="M28">
        <v>104.79903561510056</v>
      </c>
      <c r="N28">
        <v>90.653706472975855</v>
      </c>
      <c r="O28">
        <v>56.537064729758598</v>
      </c>
      <c r="P28">
        <v>143.95123142185736</v>
      </c>
      <c r="Q28">
        <v>110.27405621509445</v>
      </c>
      <c r="R28">
        <v>124.41633350627156</v>
      </c>
      <c r="S28">
        <v>96.302682576982932</v>
      </c>
      <c r="T28">
        <v>126.70522171697134</v>
      </c>
      <c r="U28">
        <v>80.280465102084406</v>
      </c>
      <c r="V28">
        <v>86.326181829279449</v>
      </c>
      <c r="W28">
        <v>114.47950682088687</v>
      </c>
      <c r="X28">
        <v>101.27414777062287</v>
      </c>
      <c r="Y28">
        <v>146.8077639088107</v>
      </c>
      <c r="Z28">
        <v>83.426923429059727</v>
      </c>
      <c r="AA28">
        <v>131.00527970213935</v>
      </c>
      <c r="AB28">
        <v>134.66139713736382</v>
      </c>
      <c r="AC28">
        <v>78.421887874996187</v>
      </c>
      <c r="AD28">
        <v>51.251258888515885</v>
      </c>
      <c r="AE28">
        <v>65.500350962858974</v>
      </c>
      <c r="AF28">
        <v>139.333780938139</v>
      </c>
      <c r="AG28">
        <v>73.718985564745026</v>
      </c>
      <c r="AH28">
        <v>136.05914487136448</v>
      </c>
      <c r="AI28">
        <v>103.06558427686392</v>
      </c>
      <c r="AJ28">
        <v>138.36024048585466</v>
      </c>
      <c r="AK28">
        <v>78.366954557939394</v>
      </c>
      <c r="AL28">
        <v>106.17847224341563</v>
      </c>
      <c r="AM28">
        <v>72.751548814355914</v>
      </c>
      <c r="AN28">
        <v>92.49702444532609</v>
      </c>
      <c r="AO28">
        <v>116.41132847071749</v>
      </c>
      <c r="AP28">
        <v>120.57100131229591</v>
      </c>
      <c r="AQ28">
        <v>54.358043153172403</v>
      </c>
      <c r="AR28">
        <v>142.2696615497299</v>
      </c>
      <c r="AS28">
        <v>76.474806970427565</v>
      </c>
      <c r="AT28">
        <v>132.75399029511399</v>
      </c>
      <c r="AU28">
        <v>79.18485061189611</v>
      </c>
      <c r="AV28">
        <v>68.247016815698714</v>
      </c>
      <c r="AW28">
        <v>143.45683156834622</v>
      </c>
      <c r="AX28">
        <v>58.185064241462449</v>
      </c>
      <c r="AY28">
        <v>121.19357890560624</v>
      </c>
      <c r="AZ28">
        <v>148.49238563188572</v>
      </c>
      <c r="BA28">
        <v>92.423780022583699</v>
      </c>
      <c r="BB28">
        <v>116.69820245979187</v>
      </c>
      <c r="BC28">
        <v>125.0297555467391</v>
      </c>
      <c r="BD28">
        <v>58.499404889065218</v>
      </c>
      <c r="BE28">
        <v>126.97073274941252</v>
      </c>
      <c r="BF28">
        <v>132.04290902432325</v>
      </c>
      <c r="BG28">
        <v>83.970152897732476</v>
      </c>
      <c r="BH28">
        <v>80.994598223822749</v>
      </c>
      <c r="BI28">
        <v>118.75514999847408</v>
      </c>
      <c r="BJ28">
        <v>107.21304971465193</v>
      </c>
      <c r="BK28">
        <v>121.92907498397778</v>
      </c>
      <c r="BL28">
        <v>131.6064943388165</v>
      </c>
      <c r="BM28">
        <v>108.81832331308939</v>
      </c>
      <c r="BN28">
        <v>105.27207251197851</v>
      </c>
      <c r="BO28">
        <v>141.15573595385601</v>
      </c>
      <c r="BP28">
        <v>79.212317270424506</v>
      </c>
      <c r="BQ28">
        <v>113.62193670461136</v>
      </c>
      <c r="BR28">
        <v>57.556382946256903</v>
      </c>
      <c r="BS28">
        <v>55.505539109469893</v>
      </c>
      <c r="BT28">
        <v>108.6474196600238</v>
      </c>
      <c r="BU28">
        <v>149.42014831995607</v>
      </c>
      <c r="BV28">
        <v>53.03353984191412</v>
      </c>
      <c r="BW28">
        <v>134.8597674489578</v>
      </c>
      <c r="BX28">
        <v>50.0030518509476</v>
      </c>
      <c r="BY28">
        <v>56.848353526413767</v>
      </c>
      <c r="BZ28">
        <v>127.08365123447371</v>
      </c>
      <c r="CA28">
        <v>51.235999633777887</v>
      </c>
      <c r="CB28">
        <v>102.66884365367596</v>
      </c>
      <c r="CC28">
        <v>141.30527665028842</v>
      </c>
      <c r="CD28">
        <v>102.82448805200355</v>
      </c>
      <c r="CE28">
        <v>67.371135593737606</v>
      </c>
      <c r="CF28">
        <v>132.21381267738883</v>
      </c>
      <c r="CG28">
        <v>94.785912656025886</v>
      </c>
      <c r="CH28">
        <v>88.090151676992093</v>
      </c>
      <c r="CI28">
        <v>58.236945707571643</v>
      </c>
      <c r="CJ28">
        <v>68.262276070436712</v>
      </c>
      <c r="CK28">
        <v>114.80605487228004</v>
      </c>
      <c r="CL28">
        <v>81.214331492049922</v>
      </c>
      <c r="CM28">
        <v>106.22730185857722</v>
      </c>
      <c r="CN28">
        <v>81.452375865962708</v>
      </c>
      <c r="CO28">
        <v>85.990478225043489</v>
      </c>
      <c r="CP28">
        <v>88.715781121250046</v>
      </c>
      <c r="CQ28">
        <v>60.592974639118623</v>
      </c>
      <c r="CR28">
        <v>67.621387371440775</v>
      </c>
      <c r="CS28">
        <v>140.01129184850612</v>
      </c>
      <c r="CT28">
        <v>108.01568651387066</v>
      </c>
      <c r="CU28">
        <v>101.77465132602924</v>
      </c>
      <c r="CV28">
        <v>117.36045411542099</v>
      </c>
    </row>
    <row r="29" spans="1:100">
      <c r="A29">
        <v>140.34089175084688</v>
      </c>
      <c r="B29">
        <v>122.60048219244972</v>
      </c>
      <c r="C29">
        <v>116.3686025574511</v>
      </c>
      <c r="D29">
        <v>83.286538285470129</v>
      </c>
      <c r="E29">
        <v>78.250984221930608</v>
      </c>
      <c r="F29">
        <v>135.06424146244697</v>
      </c>
      <c r="G29">
        <v>102.93130283516953</v>
      </c>
      <c r="H29">
        <v>144.12823877681814</v>
      </c>
      <c r="I29">
        <v>57.000946073793756</v>
      </c>
      <c r="J29">
        <v>146.45069734794151</v>
      </c>
      <c r="K29">
        <v>131.53935361796931</v>
      </c>
      <c r="L29">
        <v>53.027436140018921</v>
      </c>
      <c r="M29">
        <v>97.099215674306464</v>
      </c>
      <c r="N29">
        <v>72.812585833307907</v>
      </c>
      <c r="O29">
        <v>71.250038148136838</v>
      </c>
      <c r="P29">
        <v>101.1062959685049</v>
      </c>
      <c r="Q29">
        <v>80.329294717246</v>
      </c>
      <c r="R29">
        <v>53.427228614154487</v>
      </c>
      <c r="S29">
        <v>100.40437025055697</v>
      </c>
      <c r="T29">
        <v>114.92202520828883</v>
      </c>
      <c r="U29">
        <v>92.292550431836915</v>
      </c>
      <c r="V29">
        <v>85.642567217017117</v>
      </c>
      <c r="W29">
        <v>114.48561052278207</v>
      </c>
      <c r="X29">
        <v>95.359660634174617</v>
      </c>
      <c r="Y29">
        <v>118.26380199591053</v>
      </c>
      <c r="Z29">
        <v>99.815363017670222</v>
      </c>
      <c r="AA29">
        <v>113.89660328989532</v>
      </c>
      <c r="AB29">
        <v>116.86910611285745</v>
      </c>
      <c r="AC29">
        <v>57.998901333658864</v>
      </c>
      <c r="AD29">
        <v>77.372051149021885</v>
      </c>
      <c r="AE29">
        <v>62.198248237556079</v>
      </c>
      <c r="AF29">
        <v>115.1600695822016</v>
      </c>
      <c r="AG29">
        <v>75.125888851588485</v>
      </c>
      <c r="AH29">
        <v>65.192114017151397</v>
      </c>
      <c r="AI29">
        <v>55.53605761894589</v>
      </c>
      <c r="AJ29">
        <v>141.51280251472519</v>
      </c>
      <c r="AK29">
        <v>146.70705282753991</v>
      </c>
      <c r="AL29">
        <v>89.38108462782678</v>
      </c>
      <c r="AM29">
        <v>93.76659443952758</v>
      </c>
      <c r="AN29">
        <v>111.82134464552752</v>
      </c>
      <c r="AO29">
        <v>128.61262855922115</v>
      </c>
      <c r="AP29">
        <v>121.58726767784661</v>
      </c>
      <c r="AQ29">
        <v>94.01684621723075</v>
      </c>
      <c r="AR29">
        <v>128.47834711752677</v>
      </c>
      <c r="AS29">
        <v>102.40638447218237</v>
      </c>
      <c r="AT29">
        <v>100.99642933439131</v>
      </c>
      <c r="AU29">
        <v>137.21579638050477</v>
      </c>
      <c r="AV29">
        <v>103.2303842280343</v>
      </c>
      <c r="AW29">
        <v>119.20682393871883</v>
      </c>
      <c r="AX29">
        <v>65.103610339671008</v>
      </c>
      <c r="AY29">
        <v>59.445478682821133</v>
      </c>
      <c r="AZ29">
        <v>78.336436048463398</v>
      </c>
      <c r="BA29">
        <v>101.20395519882808</v>
      </c>
      <c r="BB29">
        <v>99.021881771294289</v>
      </c>
      <c r="BC29">
        <v>141.22898037659843</v>
      </c>
      <c r="BD29">
        <v>52.887050996429338</v>
      </c>
      <c r="BE29">
        <v>117.2780541398358</v>
      </c>
      <c r="BF29">
        <v>133.35825678273872</v>
      </c>
      <c r="BG29">
        <v>85.267189550462348</v>
      </c>
      <c r="BH29">
        <v>95.45426801355022</v>
      </c>
      <c r="BI29">
        <v>118.08069093905453</v>
      </c>
      <c r="BJ29">
        <v>87.852107303079322</v>
      </c>
      <c r="BK29">
        <v>123.9219336527604</v>
      </c>
      <c r="BL29">
        <v>54.516739402447584</v>
      </c>
      <c r="BM29">
        <v>71.472823267311625</v>
      </c>
      <c r="BN29">
        <v>68.93063142796106</v>
      </c>
      <c r="BO29">
        <v>57.885982848597678</v>
      </c>
      <c r="BP29">
        <v>118.07458723715934</v>
      </c>
      <c r="BQ29">
        <v>93.208105716116819</v>
      </c>
      <c r="BR29">
        <v>140.1333658864101</v>
      </c>
      <c r="BS29">
        <v>114.17737357707449</v>
      </c>
      <c r="BT29">
        <v>102.21716971343119</v>
      </c>
      <c r="BU29">
        <v>93.662831507309193</v>
      </c>
      <c r="BV29">
        <v>144.3906979583117</v>
      </c>
      <c r="BW29">
        <v>91.779839472640163</v>
      </c>
      <c r="BX29">
        <v>76.621295815912347</v>
      </c>
      <c r="BY29">
        <v>113.84777367473373</v>
      </c>
      <c r="BZ29">
        <v>58.523819696646015</v>
      </c>
      <c r="CA29">
        <v>110.65553758354442</v>
      </c>
      <c r="CB29">
        <v>80.100405896176028</v>
      </c>
      <c r="CC29">
        <v>91.279335917233794</v>
      </c>
      <c r="CD29">
        <v>58.120975371562849</v>
      </c>
      <c r="CE29">
        <v>129.65330973235268</v>
      </c>
      <c r="CF29">
        <v>129.30539872432632</v>
      </c>
      <c r="CG29">
        <v>146.37745292519912</v>
      </c>
      <c r="CH29">
        <v>120.84871974852747</v>
      </c>
      <c r="CI29">
        <v>149.02951139866329</v>
      </c>
      <c r="CJ29">
        <v>73.706778160954627</v>
      </c>
      <c r="CK29">
        <v>129.97680593279824</v>
      </c>
      <c r="CL29">
        <v>146.38660847804192</v>
      </c>
      <c r="CM29">
        <v>63.141270180364394</v>
      </c>
      <c r="CN29">
        <v>100.022888882107</v>
      </c>
      <c r="CO29">
        <v>122.61574144718772</v>
      </c>
      <c r="CP29">
        <v>121.09897152623066</v>
      </c>
      <c r="CQ29">
        <v>78.959013641773737</v>
      </c>
      <c r="CR29">
        <v>139.14151432844019</v>
      </c>
      <c r="CS29">
        <v>126.19556260872218</v>
      </c>
      <c r="CT29">
        <v>105.54368724631489</v>
      </c>
      <c r="CU29">
        <v>66.034424878688924</v>
      </c>
      <c r="CV29">
        <v>78.748435926389362</v>
      </c>
    </row>
    <row r="30" spans="1:100">
      <c r="A30">
        <v>88.276314584795671</v>
      </c>
      <c r="B30">
        <v>59.15555284279916</v>
      </c>
      <c r="C30">
        <v>106.32190923795281</v>
      </c>
      <c r="D30">
        <v>92.396313364055302</v>
      </c>
      <c r="E30">
        <v>80.53682058168279</v>
      </c>
      <c r="F30">
        <v>139.85259559923094</v>
      </c>
      <c r="G30">
        <v>52.154606769005404</v>
      </c>
      <c r="H30">
        <v>110.08178960539567</v>
      </c>
      <c r="I30">
        <v>105.07675405133213</v>
      </c>
      <c r="J30">
        <v>103.96893215735344</v>
      </c>
      <c r="K30">
        <v>135.09170812097537</v>
      </c>
      <c r="L30">
        <v>69.980468153935362</v>
      </c>
      <c r="M30">
        <v>95.53361613818781</v>
      </c>
      <c r="N30">
        <v>133.24533829767753</v>
      </c>
      <c r="O30">
        <v>111.92205572679831</v>
      </c>
      <c r="P30">
        <v>145.7182531205176</v>
      </c>
      <c r="Q30">
        <v>149.08139286477248</v>
      </c>
      <c r="R30">
        <v>132.12225714896084</v>
      </c>
      <c r="S30">
        <v>131.48442030091252</v>
      </c>
      <c r="T30">
        <v>54.284798730430005</v>
      </c>
      <c r="U30">
        <v>74.124881740775777</v>
      </c>
      <c r="V30">
        <v>147.08548234504229</v>
      </c>
      <c r="W30">
        <v>89.124729148228397</v>
      </c>
      <c r="X30">
        <v>55.215613269447921</v>
      </c>
      <c r="Y30">
        <v>105.4338206122013</v>
      </c>
      <c r="Z30">
        <v>83.875545518356887</v>
      </c>
      <c r="AA30">
        <v>87.592699972533339</v>
      </c>
      <c r="AB30">
        <v>130.352183599353</v>
      </c>
      <c r="AC30">
        <v>77.204199346903891</v>
      </c>
      <c r="AD30">
        <v>50.662251655629142</v>
      </c>
      <c r="AE30">
        <v>120.01251258888516</v>
      </c>
      <c r="AF30">
        <v>97.437971129490037</v>
      </c>
      <c r="AG30">
        <v>94.843897824030279</v>
      </c>
      <c r="AH30">
        <v>105.32395397808772</v>
      </c>
      <c r="AI30">
        <v>140.54536576433605</v>
      </c>
      <c r="AJ30">
        <v>60.626544999542219</v>
      </c>
      <c r="AK30">
        <v>95.936460463270976</v>
      </c>
      <c r="AL30">
        <v>134.93301187170019</v>
      </c>
      <c r="AM30">
        <v>138.39075899533066</v>
      </c>
      <c r="AN30">
        <v>51.016266365550706</v>
      </c>
      <c r="AO30">
        <v>141.15268410290841</v>
      </c>
      <c r="AP30">
        <v>145.64195684682761</v>
      </c>
      <c r="AQ30">
        <v>80.70162053285317</v>
      </c>
      <c r="AR30">
        <v>60.354930265205851</v>
      </c>
      <c r="AS30">
        <v>125.60960722678306</v>
      </c>
      <c r="AT30">
        <v>90.98635822626423</v>
      </c>
      <c r="AU30">
        <v>140.09979552598651</v>
      </c>
      <c r="AV30">
        <v>121.02877895443586</v>
      </c>
      <c r="AW30">
        <v>51.413006988738672</v>
      </c>
      <c r="AX30">
        <v>116.85689870906705</v>
      </c>
      <c r="AY30">
        <v>138.65321817682423</v>
      </c>
      <c r="AZ30">
        <v>72.959074678792689</v>
      </c>
      <c r="BA30">
        <v>53.530991546372874</v>
      </c>
      <c r="BB30">
        <v>134.72243415631581</v>
      </c>
      <c r="BC30">
        <v>52.255317850276192</v>
      </c>
      <c r="BD30">
        <v>76.850184636982334</v>
      </c>
      <c r="BE30">
        <v>139.96246223334452</v>
      </c>
      <c r="BF30">
        <v>84.430982390820034</v>
      </c>
      <c r="BG30">
        <v>66.177861873226107</v>
      </c>
      <c r="BH30">
        <v>75.81865901669363</v>
      </c>
      <c r="BI30">
        <v>131.22196111941892</v>
      </c>
      <c r="BJ30">
        <v>115.11123996704001</v>
      </c>
      <c r="BK30">
        <v>53.924680318613241</v>
      </c>
      <c r="BL30">
        <v>93.714712973418386</v>
      </c>
      <c r="BM30">
        <v>72.595904416028318</v>
      </c>
      <c r="BN30">
        <v>90.36378063295389</v>
      </c>
      <c r="BO30">
        <v>76.303903317361986</v>
      </c>
      <c r="BP30">
        <v>143.29203161717584</v>
      </c>
      <c r="BQ30">
        <v>90.33021027253028</v>
      </c>
      <c r="BR30">
        <v>87.971129490035707</v>
      </c>
      <c r="BS30">
        <v>80.494094668416395</v>
      </c>
      <c r="BT30">
        <v>91.453291421246988</v>
      </c>
      <c r="BU30">
        <v>108.36664937284462</v>
      </c>
      <c r="BV30">
        <v>112.10211493270668</v>
      </c>
      <c r="BW30">
        <v>75.89800714133122</v>
      </c>
      <c r="BX30">
        <v>94.224372081667525</v>
      </c>
      <c r="BY30">
        <v>55.954161198767054</v>
      </c>
      <c r="BZ30">
        <v>133.08969389934995</v>
      </c>
      <c r="CA30">
        <v>127.36442152165289</v>
      </c>
      <c r="CB30">
        <v>79.572435682241277</v>
      </c>
      <c r="CC30">
        <v>131.6553239539781</v>
      </c>
      <c r="CD30">
        <v>57.831049531540877</v>
      </c>
      <c r="CE30">
        <v>56.411938840907013</v>
      </c>
      <c r="CF30">
        <v>106.21814630573442</v>
      </c>
      <c r="CG30">
        <v>139.43754387035739</v>
      </c>
      <c r="CH30">
        <v>84.022034363841669</v>
      </c>
      <c r="CI30">
        <v>91.117587817011014</v>
      </c>
      <c r="CJ30">
        <v>76.523636585589159</v>
      </c>
      <c r="CK30">
        <v>62.488174077578051</v>
      </c>
      <c r="CL30">
        <v>141.26865443891722</v>
      </c>
      <c r="CM30">
        <v>55.209509567552722</v>
      </c>
      <c r="CN30">
        <v>131.6400646992401</v>
      </c>
      <c r="CO30">
        <v>90.311899166844682</v>
      </c>
      <c r="CP30">
        <v>72.247993408001946</v>
      </c>
      <c r="CQ30">
        <v>137.10287789544358</v>
      </c>
      <c r="CR30">
        <v>106.97195348979156</v>
      </c>
      <c r="CS30">
        <v>64.774010437330247</v>
      </c>
      <c r="CT30">
        <v>57.05282753990295</v>
      </c>
      <c r="CU30">
        <v>129.39085055085911</v>
      </c>
      <c r="CV30">
        <v>76.142155217139191</v>
      </c>
    </row>
    <row r="31" spans="1:100">
      <c r="A31">
        <v>72.360911893063147</v>
      </c>
      <c r="B31">
        <v>135.47013763847775</v>
      </c>
      <c r="C31">
        <v>51.940977202673423</v>
      </c>
      <c r="D31">
        <v>51.107821893978695</v>
      </c>
      <c r="E31">
        <v>59.949034089175086</v>
      </c>
      <c r="F31">
        <v>108.10724204229865</v>
      </c>
      <c r="G31">
        <v>108.48567155980102</v>
      </c>
      <c r="H31">
        <v>116.12140263069551</v>
      </c>
      <c r="I31">
        <v>86.9670705282754</v>
      </c>
      <c r="J31">
        <v>82.972197637867367</v>
      </c>
      <c r="K31">
        <v>149.93896298104801</v>
      </c>
      <c r="L31">
        <v>92.255928220465705</v>
      </c>
      <c r="M31">
        <v>61.188085573900572</v>
      </c>
      <c r="N31">
        <v>140.09979552598651</v>
      </c>
      <c r="O31">
        <v>76.084170049134798</v>
      </c>
      <c r="P31">
        <v>110.46937467574084</v>
      </c>
      <c r="Q31">
        <v>148.80062257759332</v>
      </c>
      <c r="R31">
        <v>53.839228492080444</v>
      </c>
      <c r="S31">
        <v>95.182653279213838</v>
      </c>
      <c r="T31">
        <v>102.1073030793176</v>
      </c>
      <c r="U31">
        <v>137.44163335062717</v>
      </c>
      <c r="V31">
        <v>66.205328531754503</v>
      </c>
      <c r="W31">
        <v>116.3869136631367</v>
      </c>
      <c r="X31">
        <v>84.089175084688861</v>
      </c>
      <c r="Y31">
        <v>93.19589831232642</v>
      </c>
      <c r="Z31">
        <v>78.40052491836299</v>
      </c>
      <c r="AA31">
        <v>87.705618457594539</v>
      </c>
      <c r="AB31">
        <v>107.5518051698355</v>
      </c>
      <c r="AC31">
        <v>127.16910306100651</v>
      </c>
      <c r="AD31">
        <v>113.61583300271616</v>
      </c>
      <c r="AE31">
        <v>120.08880886257515</v>
      </c>
      <c r="AF31">
        <v>148.08648945585497</v>
      </c>
      <c r="AG31">
        <v>137.23410748619037</v>
      </c>
      <c r="AH31">
        <v>54.24207281716361</v>
      </c>
      <c r="AI31">
        <v>88.273262733848071</v>
      </c>
      <c r="AJ31">
        <v>65.717032380138562</v>
      </c>
      <c r="AK31">
        <v>140.62471388897364</v>
      </c>
      <c r="AL31">
        <v>106.6454054383984</v>
      </c>
      <c r="AM31">
        <v>149.00204474013489</v>
      </c>
      <c r="AN31">
        <v>112.73689992980744</v>
      </c>
      <c r="AO31">
        <v>62.94900357066561</v>
      </c>
      <c r="AP31">
        <v>96.577349162266913</v>
      </c>
      <c r="AQ31">
        <v>67.249061555833606</v>
      </c>
      <c r="AR31">
        <v>117.48863185522019</v>
      </c>
      <c r="AS31">
        <v>99.305703909421055</v>
      </c>
      <c r="AT31">
        <v>148.39167455061494</v>
      </c>
      <c r="AU31">
        <v>91.108432264168215</v>
      </c>
      <c r="AV31">
        <v>122.28003784295176</v>
      </c>
      <c r="AW31">
        <v>113.0420850245674</v>
      </c>
      <c r="AX31">
        <v>51.156651509140296</v>
      </c>
      <c r="AY31">
        <v>60.75777459028901</v>
      </c>
      <c r="AZ31">
        <v>133.7946714682455</v>
      </c>
      <c r="BA31">
        <v>79.502243110446486</v>
      </c>
      <c r="BB31">
        <v>61.557359538560135</v>
      </c>
      <c r="BC31">
        <v>66.96523941770684</v>
      </c>
      <c r="BD31">
        <v>118.6361278115177</v>
      </c>
      <c r="BE31">
        <v>142.12012085329752</v>
      </c>
      <c r="BF31">
        <v>139.68169194616536</v>
      </c>
      <c r="BG31">
        <v>82.569353312784202</v>
      </c>
      <c r="BH31">
        <v>78.373058259834593</v>
      </c>
      <c r="BI31">
        <v>73.926511429181801</v>
      </c>
      <c r="BJ31">
        <v>119.17325357829523</v>
      </c>
      <c r="BK31">
        <v>95.292519913327425</v>
      </c>
      <c r="BL31">
        <v>58.664204840235598</v>
      </c>
      <c r="BM31">
        <v>61.456648457289347</v>
      </c>
      <c r="BN31">
        <v>120.01556443983276</v>
      </c>
      <c r="BO31">
        <v>56.579790643024992</v>
      </c>
      <c r="BP31">
        <v>121.05014191106906</v>
      </c>
      <c r="BQ31">
        <v>122.47535630359813</v>
      </c>
      <c r="BR31">
        <v>131.71330912198249</v>
      </c>
      <c r="BS31">
        <v>119.44792016357921</v>
      </c>
      <c r="BT31">
        <v>91.88665425580615</v>
      </c>
      <c r="BU31">
        <v>71.692556535538799</v>
      </c>
      <c r="BV31">
        <v>78.745384075441763</v>
      </c>
      <c r="BW31">
        <v>54.644917142246769</v>
      </c>
      <c r="BX31">
        <v>76.343577379680781</v>
      </c>
      <c r="BY31">
        <v>91.322061830500203</v>
      </c>
      <c r="BZ31">
        <v>71.35380108035524</v>
      </c>
      <c r="CA31">
        <v>110.79897457808161</v>
      </c>
      <c r="CB31">
        <v>140.52705465865046</v>
      </c>
      <c r="CC31">
        <v>97.163304544206056</v>
      </c>
      <c r="CD31">
        <v>69.815668202764982</v>
      </c>
      <c r="CE31">
        <v>134.07544175542466</v>
      </c>
      <c r="CF31">
        <v>114.90981780449843</v>
      </c>
      <c r="CG31">
        <v>140.80172124393442</v>
      </c>
      <c r="CH31">
        <v>140.31647694326608</v>
      </c>
      <c r="CI31">
        <v>113.08481093783379</v>
      </c>
      <c r="CJ31">
        <v>122.18237861262857</v>
      </c>
      <c r="CK31">
        <v>138.58302560502943</v>
      </c>
      <c r="CL31">
        <v>130.53224280526138</v>
      </c>
      <c r="CM31">
        <v>64.587847529526655</v>
      </c>
      <c r="CN31">
        <v>82.639545884578993</v>
      </c>
      <c r="CO31">
        <v>67.963194677571948</v>
      </c>
      <c r="CP31">
        <v>143.11502426221503</v>
      </c>
      <c r="CQ31">
        <v>125.63402203436385</v>
      </c>
      <c r="CR31">
        <v>100.22125919370099</v>
      </c>
      <c r="CS31">
        <v>121.87414166692099</v>
      </c>
      <c r="CT31">
        <v>135.07644886623737</v>
      </c>
      <c r="CU31">
        <v>67.78313547166357</v>
      </c>
      <c r="CV31">
        <v>82.343516342661829</v>
      </c>
    </row>
    <row r="32" spans="1:100">
      <c r="A32">
        <v>65.89709158604694</v>
      </c>
      <c r="B32">
        <v>103.51115451521348</v>
      </c>
      <c r="C32">
        <v>87.900936918240916</v>
      </c>
      <c r="D32">
        <v>64.850306711020238</v>
      </c>
      <c r="E32">
        <v>128.1670583208716</v>
      </c>
      <c r="F32">
        <v>52.157658619953004</v>
      </c>
      <c r="G32">
        <v>99.058503982665485</v>
      </c>
      <c r="H32">
        <v>69.653920102542187</v>
      </c>
      <c r="I32">
        <v>70.224616229743333</v>
      </c>
      <c r="J32">
        <v>142.72438734092225</v>
      </c>
      <c r="K32">
        <v>118.75514999847408</v>
      </c>
      <c r="L32">
        <v>111.58940397350995</v>
      </c>
      <c r="M32">
        <v>115.77043977172154</v>
      </c>
      <c r="N32">
        <v>68.799401837214276</v>
      </c>
      <c r="O32">
        <v>122.11828974272898</v>
      </c>
      <c r="P32">
        <v>147.54631183812984</v>
      </c>
      <c r="Q32">
        <v>97.306741538743239</v>
      </c>
      <c r="R32">
        <v>73.355815301980655</v>
      </c>
      <c r="S32">
        <v>108.806115909299</v>
      </c>
      <c r="T32">
        <v>142.85561693166906</v>
      </c>
      <c r="U32">
        <v>75.925473799859617</v>
      </c>
      <c r="V32">
        <v>51.873836481826231</v>
      </c>
      <c r="W32">
        <v>106.09912411877804</v>
      </c>
      <c r="X32">
        <v>124.51704458754234</v>
      </c>
      <c r="Y32">
        <v>94.108401745658739</v>
      </c>
      <c r="Z32">
        <v>56.457716605121007</v>
      </c>
      <c r="AA32">
        <v>69.052705465865046</v>
      </c>
      <c r="AB32">
        <v>143.23099459822384</v>
      </c>
      <c r="AC32">
        <v>102.1439252906888</v>
      </c>
      <c r="AD32">
        <v>79.056672872096925</v>
      </c>
      <c r="AE32">
        <v>143.35612048707543</v>
      </c>
      <c r="AF32">
        <v>147.33878597369306</v>
      </c>
      <c r="AG32">
        <v>148.82808923612171</v>
      </c>
      <c r="AH32">
        <v>141.90649128696555</v>
      </c>
      <c r="AI32">
        <v>106.50196844386122</v>
      </c>
      <c r="AJ32">
        <v>121.782586138493</v>
      </c>
      <c r="AK32">
        <v>77.008880886257515</v>
      </c>
      <c r="AL32">
        <v>73.306985686819061</v>
      </c>
      <c r="AM32">
        <v>52.908413953062535</v>
      </c>
      <c r="AN32">
        <v>95.268105105746628</v>
      </c>
      <c r="AO32">
        <v>114.69924008911406</v>
      </c>
      <c r="AP32">
        <v>96.922208319345685</v>
      </c>
      <c r="AQ32">
        <v>138.61964781640063</v>
      </c>
      <c r="AR32">
        <v>68.683431501205476</v>
      </c>
      <c r="AS32">
        <v>102.25074007385479</v>
      </c>
      <c r="AT32">
        <v>112.62398144474624</v>
      </c>
      <c r="AU32">
        <v>51.159703360087896</v>
      </c>
      <c r="AV32">
        <v>67.941831720938751</v>
      </c>
      <c r="AW32">
        <v>146.34998626667073</v>
      </c>
      <c r="AX32">
        <v>97.099215674306464</v>
      </c>
      <c r="AY32">
        <v>61.685537278359327</v>
      </c>
      <c r="AZ32">
        <v>121.34922330393384</v>
      </c>
      <c r="BA32">
        <v>99.043244727927487</v>
      </c>
      <c r="BB32">
        <v>96.659749137852117</v>
      </c>
      <c r="BC32">
        <v>59.494308297982727</v>
      </c>
      <c r="BD32">
        <v>110.52125614185003</v>
      </c>
      <c r="BE32">
        <v>69.077120273445843</v>
      </c>
      <c r="BF32">
        <v>117.85180211798456</v>
      </c>
      <c r="BG32">
        <v>70.224616229743333</v>
      </c>
      <c r="BH32">
        <v>50.952177495651114</v>
      </c>
      <c r="BI32">
        <v>143.40800195318462</v>
      </c>
      <c r="BJ32">
        <v>67.563402203436382</v>
      </c>
      <c r="BK32">
        <v>124.27594836268196</v>
      </c>
      <c r="BL32">
        <v>115.35233619190038</v>
      </c>
      <c r="BM32">
        <v>62.149418622394485</v>
      </c>
      <c r="BN32">
        <v>100.67598498489335</v>
      </c>
      <c r="BO32">
        <v>81.296731467635112</v>
      </c>
      <c r="BP32">
        <v>101.96691793572802</v>
      </c>
      <c r="BQ32">
        <v>148.99594103823969</v>
      </c>
      <c r="BR32">
        <v>140.93600268562884</v>
      </c>
      <c r="BS32">
        <v>135.72649311807612</v>
      </c>
      <c r="BT32">
        <v>80.481887264625996</v>
      </c>
      <c r="BU32">
        <v>85.923337504196297</v>
      </c>
      <c r="BV32">
        <v>119.15799432355723</v>
      </c>
      <c r="BW32">
        <v>114.67482528153326</v>
      </c>
      <c r="BX32">
        <v>60.794396801660206</v>
      </c>
      <c r="BY32">
        <v>119.47538682210761</v>
      </c>
      <c r="BZ32">
        <v>117.09494308297982</v>
      </c>
      <c r="CA32">
        <v>58.877834406567587</v>
      </c>
      <c r="CB32">
        <v>112.75215918454543</v>
      </c>
      <c r="CC32">
        <v>113.99121066927091</v>
      </c>
      <c r="CD32">
        <v>70.08117923520615</v>
      </c>
      <c r="CE32">
        <v>127.2362437818537</v>
      </c>
      <c r="CF32">
        <v>114.98611407818842</v>
      </c>
      <c r="CG32">
        <v>117.61070589312418</v>
      </c>
      <c r="CH32">
        <v>131.59123508407851</v>
      </c>
      <c r="CI32">
        <v>115.62089907528916</v>
      </c>
      <c r="CJ32">
        <v>60.971404156620991</v>
      </c>
      <c r="CK32">
        <v>56.573686941129793</v>
      </c>
      <c r="CL32">
        <v>52.844325083162936</v>
      </c>
      <c r="CM32">
        <v>130.57191686758017</v>
      </c>
      <c r="CN32">
        <v>100.47761467329936</v>
      </c>
      <c r="CO32">
        <v>123.46110415967284</v>
      </c>
      <c r="CP32">
        <v>80.576494644001585</v>
      </c>
      <c r="CQ32">
        <v>108.50703451643422</v>
      </c>
      <c r="CR32">
        <v>144.4181646168401</v>
      </c>
      <c r="CS32">
        <v>74.9977111117893</v>
      </c>
      <c r="CT32">
        <v>126.0856959746086</v>
      </c>
      <c r="CU32">
        <v>121.04709006012146</v>
      </c>
      <c r="CV32">
        <v>111.38187810907314</v>
      </c>
    </row>
    <row r="33" spans="1:100">
      <c r="A33">
        <v>120.28412732322154</v>
      </c>
      <c r="B33">
        <v>74.369029816583762</v>
      </c>
      <c r="C33">
        <v>141.34189886165962</v>
      </c>
      <c r="D33">
        <v>102.30567339091158</v>
      </c>
      <c r="E33">
        <v>135.08865627002777</v>
      </c>
      <c r="F33">
        <v>135.75395977660452</v>
      </c>
      <c r="G33">
        <v>148.60835596789451</v>
      </c>
      <c r="H33">
        <v>79.895931882686853</v>
      </c>
      <c r="I33">
        <v>83.249916074098934</v>
      </c>
      <c r="J33">
        <v>111.16824854274117</v>
      </c>
      <c r="K33">
        <v>74.54908902249214</v>
      </c>
      <c r="L33">
        <v>109.73693044831691</v>
      </c>
      <c r="M33">
        <v>77.945799127170631</v>
      </c>
      <c r="N33">
        <v>52.746665852839747</v>
      </c>
      <c r="O33">
        <v>137.84142582476272</v>
      </c>
      <c r="P33">
        <v>60.669270912808621</v>
      </c>
      <c r="Q33">
        <v>88.084047975096894</v>
      </c>
      <c r="R33">
        <v>77.451399273659476</v>
      </c>
      <c r="S33">
        <v>66.544083986938077</v>
      </c>
      <c r="T33">
        <v>61.624500259407327</v>
      </c>
      <c r="U33">
        <v>137.48741111484117</v>
      </c>
      <c r="V33">
        <v>132.02764976958525</v>
      </c>
      <c r="W33">
        <v>115.77654347361674</v>
      </c>
      <c r="X33">
        <v>111.18961149937437</v>
      </c>
      <c r="Y33">
        <v>88.633381145664856</v>
      </c>
      <c r="Z33">
        <v>104.2588579973754</v>
      </c>
      <c r="AA33">
        <v>146.45374919888911</v>
      </c>
      <c r="AB33">
        <v>103.79497665334026</v>
      </c>
      <c r="AC33">
        <v>76.633503219702746</v>
      </c>
      <c r="AD33">
        <v>83.619190038758504</v>
      </c>
      <c r="AE33">
        <v>55.835139011810661</v>
      </c>
      <c r="AF33">
        <v>100.63936277352215</v>
      </c>
      <c r="AG33">
        <v>108.96786400952178</v>
      </c>
      <c r="AH33">
        <v>124.46211127048555</v>
      </c>
      <c r="AI33">
        <v>100.44099246192816</v>
      </c>
      <c r="AJ33">
        <v>123.43668935209205</v>
      </c>
      <c r="AK33">
        <v>96.71773430585651</v>
      </c>
      <c r="AL33">
        <v>114.88540299691763</v>
      </c>
      <c r="AM33">
        <v>101.96081423383282</v>
      </c>
      <c r="AN33">
        <v>99.153111362041074</v>
      </c>
      <c r="AO33">
        <v>132.83944212164678</v>
      </c>
      <c r="AP33">
        <v>104.37788018433179</v>
      </c>
      <c r="AQ33">
        <v>76.807458723715939</v>
      </c>
      <c r="AR33">
        <v>133.87096774193549</v>
      </c>
      <c r="AS33">
        <v>83.149204992828146</v>
      </c>
      <c r="AT33">
        <v>93.394268623920397</v>
      </c>
      <c r="AU33">
        <v>79.938657795953247</v>
      </c>
      <c r="AV33">
        <v>143.81694998016297</v>
      </c>
      <c r="AW33">
        <v>105.62913907284768</v>
      </c>
      <c r="AX33">
        <v>137.93908505508591</v>
      </c>
      <c r="AY33">
        <v>105.08590960417493</v>
      </c>
      <c r="AZ33">
        <v>108.70235297708059</v>
      </c>
      <c r="BA33">
        <v>57.104709006012143</v>
      </c>
      <c r="BB33">
        <v>143.84746848963897</v>
      </c>
      <c r="BC33">
        <v>108.6107974486526</v>
      </c>
      <c r="BD33">
        <v>126.80898464918974</v>
      </c>
      <c r="BE33">
        <v>122.38074892422254</v>
      </c>
      <c r="BF33">
        <v>72.241889706106747</v>
      </c>
      <c r="BG33">
        <v>101.74413281655323</v>
      </c>
      <c r="BH33">
        <v>59.503463850825526</v>
      </c>
      <c r="BI33">
        <v>146.8138676107059</v>
      </c>
      <c r="BJ33">
        <v>55.023346659749137</v>
      </c>
      <c r="BK33">
        <v>114.26282540360729</v>
      </c>
      <c r="BL33">
        <v>52.059999389629809</v>
      </c>
      <c r="BM33">
        <v>140.72542497024443</v>
      </c>
      <c r="BN33">
        <v>72.803430280465108</v>
      </c>
      <c r="BO33">
        <v>119.60966826380199</v>
      </c>
      <c r="BP33">
        <v>88.303781243324067</v>
      </c>
      <c r="BQ33">
        <v>90.180669576097898</v>
      </c>
      <c r="BR33">
        <v>104.73799859614857</v>
      </c>
      <c r="BS33">
        <v>118.24243903927733</v>
      </c>
      <c r="BT33">
        <v>103.03506576738792</v>
      </c>
      <c r="BU33">
        <v>132.25043488876003</v>
      </c>
      <c r="BV33">
        <v>65.262306588946188</v>
      </c>
      <c r="BW33">
        <v>139.95635853144933</v>
      </c>
      <c r="BX33">
        <v>137.59727774895475</v>
      </c>
      <c r="BY33">
        <v>100.76143681142614</v>
      </c>
      <c r="BZ33">
        <v>129.29929502243112</v>
      </c>
      <c r="CA33">
        <v>80.744346446119565</v>
      </c>
      <c r="CB33">
        <v>91.740165410321367</v>
      </c>
      <c r="CC33">
        <v>83.210242011780139</v>
      </c>
      <c r="CD33">
        <v>124.05621509445479</v>
      </c>
      <c r="CE33">
        <v>139.88311410870693</v>
      </c>
      <c r="CF33">
        <v>74.924466689046909</v>
      </c>
      <c r="CG33">
        <v>79.410687582018497</v>
      </c>
      <c r="CH33">
        <v>115.57512131107516</v>
      </c>
      <c r="CI33">
        <v>72.812585833307907</v>
      </c>
      <c r="CJ33">
        <v>110.11841181676687</v>
      </c>
      <c r="CK33">
        <v>102.53151036103395</v>
      </c>
      <c r="CL33">
        <v>68.106631672109131</v>
      </c>
      <c r="CM33">
        <v>125.49363689077425</v>
      </c>
      <c r="CN33">
        <v>93.293557542649609</v>
      </c>
      <c r="CO33">
        <v>113.14279610583819</v>
      </c>
      <c r="CP33">
        <v>104.4938505203406</v>
      </c>
      <c r="CQ33">
        <v>65.793328653828553</v>
      </c>
      <c r="CR33">
        <v>61.700796533097325</v>
      </c>
      <c r="CS33">
        <v>126.88833277382733</v>
      </c>
      <c r="CT33">
        <v>145.61143833735161</v>
      </c>
      <c r="CU33">
        <v>77.616199224829856</v>
      </c>
      <c r="CV33">
        <v>74.051637318033386</v>
      </c>
    </row>
    <row r="34" spans="1:100">
      <c r="A34">
        <v>103.54167302468947</v>
      </c>
      <c r="B34">
        <v>121.8222602008118</v>
      </c>
      <c r="C34">
        <v>63.650929288613547</v>
      </c>
      <c r="D34">
        <v>72.33649708548235</v>
      </c>
      <c r="E34">
        <v>121.23935666982024</v>
      </c>
      <c r="F34">
        <v>67.181920834986414</v>
      </c>
      <c r="G34">
        <v>148.81282998138371</v>
      </c>
      <c r="H34">
        <v>103.30362865077669</v>
      </c>
      <c r="I34">
        <v>118.41639454329051</v>
      </c>
      <c r="J34">
        <v>57.184057130649741</v>
      </c>
      <c r="K34">
        <v>78.93154698324534</v>
      </c>
      <c r="L34">
        <v>78.391369365520191</v>
      </c>
      <c r="M34">
        <v>99.327066866054267</v>
      </c>
      <c r="N34">
        <v>88.300729392376468</v>
      </c>
      <c r="O34">
        <v>86.896877956480608</v>
      </c>
      <c r="P34">
        <v>82.020020142216254</v>
      </c>
      <c r="Q34">
        <v>111.55583361308635</v>
      </c>
      <c r="R34">
        <v>65.280617694631786</v>
      </c>
      <c r="S34">
        <v>65.915402691732538</v>
      </c>
      <c r="T34">
        <v>62.128055665761281</v>
      </c>
      <c r="U34">
        <v>78.507339701528977</v>
      </c>
      <c r="V34">
        <v>66.208380382702103</v>
      </c>
      <c r="W34">
        <v>86.88467055269021</v>
      </c>
      <c r="X34">
        <v>140.65828424939724</v>
      </c>
      <c r="Y34">
        <v>80.521561326944791</v>
      </c>
      <c r="Z34">
        <v>61.636707663197726</v>
      </c>
      <c r="AA34">
        <v>53.424176763206887</v>
      </c>
      <c r="AB34">
        <v>110.9027375103</v>
      </c>
      <c r="AC34">
        <v>75.244911038544871</v>
      </c>
      <c r="AD34">
        <v>115.97796563615833</v>
      </c>
      <c r="AE34">
        <v>110.23133030182805</v>
      </c>
      <c r="AF34">
        <v>74.945829645680107</v>
      </c>
      <c r="AG34">
        <v>97.886593218787198</v>
      </c>
      <c r="AH34">
        <v>149.23398541215246</v>
      </c>
      <c r="AI34">
        <v>70.395519882808927</v>
      </c>
      <c r="AJ34">
        <v>124.23322244941556</v>
      </c>
      <c r="AK34">
        <v>131.99102755821406</v>
      </c>
      <c r="AL34">
        <v>87.199011200292972</v>
      </c>
      <c r="AM34">
        <v>77.277443769646297</v>
      </c>
      <c r="AN34">
        <v>116.42353587450789</v>
      </c>
      <c r="AO34">
        <v>91.312906277657405</v>
      </c>
      <c r="AP34">
        <v>78.281502731406604</v>
      </c>
      <c r="AQ34">
        <v>66.574602496414073</v>
      </c>
      <c r="AR34">
        <v>51.696829126865445</v>
      </c>
      <c r="AS34">
        <v>103.50810266426588</v>
      </c>
      <c r="AT34">
        <v>105.02487258522294</v>
      </c>
      <c r="AU34">
        <v>144.22894985808892</v>
      </c>
      <c r="AV34">
        <v>101.56102175969725</v>
      </c>
      <c r="AW34">
        <v>136.13544114505447</v>
      </c>
      <c r="AX34">
        <v>68.497268593401898</v>
      </c>
      <c r="AY34">
        <v>86.42994476149785</v>
      </c>
      <c r="AZ34">
        <v>57.071138645588547</v>
      </c>
      <c r="BA34">
        <v>133.30027161473433</v>
      </c>
      <c r="BB34">
        <v>55.746635334330271</v>
      </c>
      <c r="BC34">
        <v>138.27173680837427</v>
      </c>
      <c r="BD34">
        <v>81.272316660054315</v>
      </c>
      <c r="BE34">
        <v>110.00244148075808</v>
      </c>
      <c r="BF34">
        <v>112.27607043671986</v>
      </c>
      <c r="BG34">
        <v>105.06454664754173</v>
      </c>
      <c r="BH34">
        <v>82.911160618915375</v>
      </c>
      <c r="BI34">
        <v>65.643787957396157</v>
      </c>
      <c r="BJ34">
        <v>63.879818109683526</v>
      </c>
      <c r="BK34">
        <v>94.083986938077942</v>
      </c>
      <c r="BL34">
        <v>86.103396710104676</v>
      </c>
      <c r="BM34">
        <v>140.02960295419172</v>
      </c>
      <c r="BN34">
        <v>104.66475417340618</v>
      </c>
      <c r="BO34">
        <v>132.448805200354</v>
      </c>
      <c r="BP34">
        <v>131.23722037415692</v>
      </c>
      <c r="BQ34">
        <v>96.812341685232099</v>
      </c>
      <c r="BR34">
        <v>139.22391430402539</v>
      </c>
      <c r="BS34">
        <v>69.705801568651395</v>
      </c>
      <c r="BT34">
        <v>129.66246528519548</v>
      </c>
      <c r="BU34">
        <v>71.897030549027988</v>
      </c>
      <c r="BV34">
        <v>99.937437055574208</v>
      </c>
      <c r="BW34">
        <v>138.45789971617785</v>
      </c>
      <c r="BX34">
        <v>144.3906979583117</v>
      </c>
      <c r="BY34">
        <v>143.90850550859096</v>
      </c>
      <c r="BZ34">
        <v>98.057496871852777</v>
      </c>
      <c r="CA34">
        <v>113.57921079134496</v>
      </c>
      <c r="CB34">
        <v>74.83596301156652</v>
      </c>
      <c r="CC34">
        <v>92.344431897946109</v>
      </c>
      <c r="CD34">
        <v>111.71147801141393</v>
      </c>
      <c r="CE34">
        <v>60.739463484603412</v>
      </c>
      <c r="CF34">
        <v>73.859370708334609</v>
      </c>
      <c r="CG34">
        <v>59.094515823847161</v>
      </c>
      <c r="CH34">
        <v>63.937803277687919</v>
      </c>
      <c r="CI34">
        <v>114.77553636280405</v>
      </c>
      <c r="CJ34">
        <v>75.095370342112489</v>
      </c>
      <c r="CK34">
        <v>78.839991454817351</v>
      </c>
      <c r="CL34">
        <v>93.900875881221964</v>
      </c>
      <c r="CM34">
        <v>78.56837672048097</v>
      </c>
      <c r="CN34">
        <v>58.798486281929989</v>
      </c>
      <c r="CO34">
        <v>94.077883236182743</v>
      </c>
      <c r="CP34">
        <v>74.365977965636162</v>
      </c>
      <c r="CQ34">
        <v>83.088167973876153</v>
      </c>
      <c r="CR34">
        <v>134.27076021607104</v>
      </c>
      <c r="CS34">
        <v>120.29938657795954</v>
      </c>
      <c r="CT34">
        <v>78.614154484694978</v>
      </c>
      <c r="CU34">
        <v>99.153111362041074</v>
      </c>
      <c r="CV34">
        <v>67.026276436658833</v>
      </c>
    </row>
    <row r="35" spans="1:100">
      <c r="A35">
        <v>145.7365642262032</v>
      </c>
      <c r="B35">
        <v>93.336283455916004</v>
      </c>
      <c r="C35">
        <v>55.716116824854275</v>
      </c>
      <c r="D35">
        <v>73.664052247688218</v>
      </c>
      <c r="E35">
        <v>92.58552812280648</v>
      </c>
      <c r="F35">
        <v>103.42875453962829</v>
      </c>
      <c r="G35">
        <v>60.425122837000643</v>
      </c>
      <c r="H35">
        <v>93.845942564165171</v>
      </c>
      <c r="I35">
        <v>111.35135959959715</v>
      </c>
      <c r="J35">
        <v>62.521744438001647</v>
      </c>
      <c r="K35">
        <v>77.002777184362316</v>
      </c>
      <c r="L35">
        <v>142.41309854426709</v>
      </c>
      <c r="M35">
        <v>131.11514633625293</v>
      </c>
      <c r="N35">
        <v>125.80797753837703</v>
      </c>
      <c r="O35">
        <v>62.591937009796439</v>
      </c>
      <c r="P35">
        <v>129.82116153447066</v>
      </c>
      <c r="Q35">
        <v>124.83443708609272</v>
      </c>
      <c r="R35">
        <v>111.36661885433514</v>
      </c>
      <c r="S35">
        <v>102.05542161320841</v>
      </c>
      <c r="T35">
        <v>134.15173802911465</v>
      </c>
      <c r="U35">
        <v>110.28931546983245</v>
      </c>
      <c r="V35">
        <v>59.854426709799498</v>
      </c>
      <c r="W35">
        <v>141.4395580919828</v>
      </c>
      <c r="X35">
        <v>63.208410901211586</v>
      </c>
      <c r="Y35">
        <v>76.212347788933982</v>
      </c>
      <c r="Z35">
        <v>118.6025574510941</v>
      </c>
      <c r="AA35">
        <v>148.19025238807336</v>
      </c>
      <c r="AB35">
        <v>136.38874477370524</v>
      </c>
      <c r="AC35">
        <v>149.24924466689046</v>
      </c>
      <c r="AD35">
        <v>103.2303842280343</v>
      </c>
      <c r="AE35">
        <v>138.75087740714741</v>
      </c>
      <c r="AF35">
        <v>64.355906857509083</v>
      </c>
      <c r="AG35">
        <v>67.349772637104408</v>
      </c>
      <c r="AH35">
        <v>139.97161778618732</v>
      </c>
      <c r="AI35">
        <v>64.175847651600691</v>
      </c>
      <c r="AJ35">
        <v>54.745628223517564</v>
      </c>
      <c r="AK35">
        <v>75.25101474044007</v>
      </c>
      <c r="AL35">
        <v>141.73863948484757</v>
      </c>
      <c r="AM35">
        <v>94.373912778099907</v>
      </c>
      <c r="AN35">
        <v>121.92907498397778</v>
      </c>
      <c r="AO35">
        <v>107.63725699636831</v>
      </c>
      <c r="AP35">
        <v>121.13254188665425</v>
      </c>
      <c r="AQ35">
        <v>91.587572862941371</v>
      </c>
      <c r="AR35">
        <v>129.00326548051393</v>
      </c>
      <c r="AS35">
        <v>75.626392406994839</v>
      </c>
      <c r="AT35">
        <v>93.473616748558001</v>
      </c>
      <c r="AU35">
        <v>113.79284035767694</v>
      </c>
      <c r="AV35">
        <v>140.1760917996765</v>
      </c>
      <c r="AW35">
        <v>122.20374156926177</v>
      </c>
      <c r="AX35">
        <v>73.023163548692281</v>
      </c>
      <c r="AY35">
        <v>77.021088290047913</v>
      </c>
      <c r="AZ35">
        <v>149.89623706778161</v>
      </c>
      <c r="BA35">
        <v>141.60740989410078</v>
      </c>
      <c r="BB35">
        <v>128.80794701986756</v>
      </c>
      <c r="BC35">
        <v>50.259407330545976</v>
      </c>
      <c r="BD35">
        <v>76.523636585589159</v>
      </c>
      <c r="BE35">
        <v>56.472975859859005</v>
      </c>
      <c r="BF35">
        <v>98.558000427259145</v>
      </c>
      <c r="BG35">
        <v>102.03711050752281</v>
      </c>
      <c r="BH35">
        <v>125.79577013458663</v>
      </c>
      <c r="BI35">
        <v>131.78350169377728</v>
      </c>
      <c r="BJ35">
        <v>92.536698507644886</v>
      </c>
      <c r="BK35">
        <v>92.625202185125275</v>
      </c>
      <c r="BL35">
        <v>139.77935117648855</v>
      </c>
      <c r="BM35">
        <v>122.60658589434492</v>
      </c>
      <c r="BN35">
        <v>51.608325449385049</v>
      </c>
      <c r="BO35">
        <v>131.10599078341014</v>
      </c>
      <c r="BP35">
        <v>146.18823816644795</v>
      </c>
      <c r="BQ35">
        <v>131.02664265877254</v>
      </c>
      <c r="BR35">
        <v>63.940855128635519</v>
      </c>
      <c r="BS35">
        <v>119.83855708487198</v>
      </c>
      <c r="BT35">
        <v>87.37907040620135</v>
      </c>
      <c r="BU35">
        <v>131.56071657460251</v>
      </c>
      <c r="BV35">
        <v>51.123081148716693</v>
      </c>
      <c r="BW35">
        <v>108.54976042970061</v>
      </c>
      <c r="BX35">
        <v>120.68086794640949</v>
      </c>
      <c r="BY35">
        <v>82.767723624378192</v>
      </c>
      <c r="BZ35">
        <v>95.924253059480577</v>
      </c>
      <c r="CA35">
        <v>123.58317819757683</v>
      </c>
      <c r="CB35">
        <v>93.082979827265234</v>
      </c>
      <c r="CC35">
        <v>115.58732871486556</v>
      </c>
      <c r="CD35">
        <v>139.77324747459335</v>
      </c>
      <c r="CE35">
        <v>87.980285042878506</v>
      </c>
      <c r="CF35">
        <v>143.52092043824581</v>
      </c>
      <c r="CG35">
        <v>139.05301065095981</v>
      </c>
      <c r="CH35">
        <v>128.06634723960082</v>
      </c>
      <c r="CI35">
        <v>98.008667256691183</v>
      </c>
      <c r="CJ35">
        <v>135.77837458418531</v>
      </c>
      <c r="CK35">
        <v>54.031495101779228</v>
      </c>
      <c r="CL35">
        <v>131.48442030091252</v>
      </c>
      <c r="CM35">
        <v>71.753593554490806</v>
      </c>
      <c r="CN35">
        <v>75.214392529068874</v>
      </c>
      <c r="CO35">
        <v>115.60258796960356</v>
      </c>
      <c r="CP35">
        <v>121.39194921720024</v>
      </c>
      <c r="CQ35">
        <v>135.42130802331616</v>
      </c>
      <c r="CR35">
        <v>112.38288521988586</v>
      </c>
      <c r="CS35">
        <v>134.65224158452102</v>
      </c>
      <c r="CT35">
        <v>127.45902890102847</v>
      </c>
      <c r="CU35">
        <v>62.924588763084813</v>
      </c>
      <c r="CV35">
        <v>86.692403942991433</v>
      </c>
    </row>
    <row r="36" spans="1:100">
      <c r="A36">
        <v>138.58912930692463</v>
      </c>
      <c r="B36">
        <v>111.58024842066715</v>
      </c>
      <c r="C36">
        <v>62.222663045136876</v>
      </c>
      <c r="D36">
        <v>115.46220282601398</v>
      </c>
      <c r="E36">
        <v>148.20856349375896</v>
      </c>
      <c r="F36">
        <v>98.710592974639127</v>
      </c>
      <c r="G36">
        <v>72.608111819818717</v>
      </c>
      <c r="H36">
        <v>109.78881191442611</v>
      </c>
      <c r="I36">
        <v>66.299935911130092</v>
      </c>
      <c r="J36">
        <v>108.58638264107181</v>
      </c>
      <c r="K36">
        <v>148.37336344492934</v>
      </c>
      <c r="L36">
        <v>72.78817102572711</v>
      </c>
      <c r="M36">
        <v>87.104403820917383</v>
      </c>
      <c r="N36">
        <v>74.759666737876529</v>
      </c>
      <c r="O36">
        <v>90.064699240089112</v>
      </c>
      <c r="P36">
        <v>149.13022247993408</v>
      </c>
      <c r="Q36">
        <v>87.604907376323752</v>
      </c>
      <c r="R36">
        <v>83.310953093050941</v>
      </c>
      <c r="S36">
        <v>138.32972197637866</v>
      </c>
      <c r="T36">
        <v>70.258186590166929</v>
      </c>
      <c r="U36">
        <v>63.348796044801176</v>
      </c>
      <c r="V36">
        <v>127.93816949980163</v>
      </c>
      <c r="W36">
        <v>121.12033448286385</v>
      </c>
      <c r="X36">
        <v>75.226599932859273</v>
      </c>
      <c r="Y36">
        <v>78.492080446790979</v>
      </c>
      <c r="Z36">
        <v>122.26172673726616</v>
      </c>
      <c r="AA36">
        <v>129.24130985442673</v>
      </c>
      <c r="AB36">
        <v>146.5269936216315</v>
      </c>
      <c r="AC36">
        <v>70.755638294625697</v>
      </c>
      <c r="AD36">
        <v>147.50663777581104</v>
      </c>
      <c r="AE36">
        <v>85.868404187139504</v>
      </c>
      <c r="AF36">
        <v>64.111758781701099</v>
      </c>
      <c r="AG36">
        <v>101.87231055635243</v>
      </c>
      <c r="AH36">
        <v>63.647877437665947</v>
      </c>
      <c r="AI36">
        <v>125.58824427014986</v>
      </c>
      <c r="AJ36">
        <v>130.72450941496018</v>
      </c>
      <c r="AK36">
        <v>94.163335062715532</v>
      </c>
      <c r="AL36">
        <v>62.149418622394485</v>
      </c>
      <c r="AM36">
        <v>148.66328928495133</v>
      </c>
      <c r="AN36">
        <v>71.573534348582413</v>
      </c>
      <c r="AO36">
        <v>143.90545365764336</v>
      </c>
      <c r="AP36">
        <v>88.435010834070866</v>
      </c>
      <c r="AQ36">
        <v>66.129032258064512</v>
      </c>
      <c r="AR36">
        <v>61.630603961302526</v>
      </c>
      <c r="AS36">
        <v>52.020325327311014</v>
      </c>
      <c r="AT36">
        <v>112.22724082155827</v>
      </c>
      <c r="AU36">
        <v>101.30466628009887</v>
      </c>
      <c r="AV36">
        <v>83.530686361278114</v>
      </c>
      <c r="AW36">
        <v>62.842188787499623</v>
      </c>
      <c r="AX36">
        <v>73.831904049806212</v>
      </c>
      <c r="AY36">
        <v>59.405804620502337</v>
      </c>
      <c r="AZ36">
        <v>55.648976104007076</v>
      </c>
      <c r="BA36">
        <v>134.47828608050781</v>
      </c>
      <c r="BB36">
        <v>113.24350718710897</v>
      </c>
      <c r="BC36">
        <v>127.43156224250008</v>
      </c>
      <c r="BD36">
        <v>94.676046021912299</v>
      </c>
      <c r="BE36">
        <v>129.68993194372388</v>
      </c>
      <c r="BF36">
        <v>65.936765648365736</v>
      </c>
      <c r="BG36">
        <v>128.78963591418196</v>
      </c>
      <c r="BH36">
        <v>89.057588427381205</v>
      </c>
      <c r="BI36">
        <v>120.90365306558428</v>
      </c>
      <c r="BJ36">
        <v>60.010071108127079</v>
      </c>
      <c r="BK36">
        <v>70.929593798638876</v>
      </c>
      <c r="BL36">
        <v>106.91396832178717</v>
      </c>
      <c r="BM36">
        <v>82.343516342661829</v>
      </c>
      <c r="BN36">
        <v>87.116611224707782</v>
      </c>
      <c r="BO36">
        <v>85.996581926938688</v>
      </c>
      <c r="BP36">
        <v>80.585650196844384</v>
      </c>
      <c r="BQ36">
        <v>80.692464980010371</v>
      </c>
      <c r="BR36">
        <v>106.04113895077364</v>
      </c>
      <c r="BS36">
        <v>71.103549302652056</v>
      </c>
      <c r="BT36">
        <v>148.26960051271095</v>
      </c>
      <c r="BU36">
        <v>62.753685110019227</v>
      </c>
      <c r="BV36">
        <v>142.24219489120151</v>
      </c>
      <c r="BW36">
        <v>102.27210303048798</v>
      </c>
      <c r="BX36">
        <v>74.707785271767335</v>
      </c>
      <c r="BY36">
        <v>105.80614642780847</v>
      </c>
      <c r="BZ36">
        <v>99.275185399945059</v>
      </c>
      <c r="CA36">
        <v>112.62398144474624</v>
      </c>
      <c r="CB36">
        <v>79.160435804315313</v>
      </c>
      <c r="CC36">
        <v>146.28284554582353</v>
      </c>
      <c r="CD36">
        <v>135.29313028351694</v>
      </c>
      <c r="CE36">
        <v>75.431073946348462</v>
      </c>
      <c r="CF36">
        <v>148.67854853968933</v>
      </c>
      <c r="CG36">
        <v>52.374340037232585</v>
      </c>
      <c r="CH36">
        <v>107.64946440015871</v>
      </c>
      <c r="CI36">
        <v>82.718894009216598</v>
      </c>
      <c r="CJ36">
        <v>64.868617816705836</v>
      </c>
      <c r="CK36">
        <v>56.250190740684225</v>
      </c>
      <c r="CL36">
        <v>138.86989959410383</v>
      </c>
      <c r="CM36">
        <v>59.945982238227487</v>
      </c>
      <c r="CN36">
        <v>122.28919339579456</v>
      </c>
      <c r="CO36">
        <v>111.40934476760154</v>
      </c>
      <c r="CP36">
        <v>106.96279793694876</v>
      </c>
      <c r="CQ36">
        <v>107.49687185277871</v>
      </c>
      <c r="CR36">
        <v>66.522721030304879</v>
      </c>
      <c r="CS36">
        <v>90.90395825067904</v>
      </c>
      <c r="CT36">
        <v>113.32590716269416</v>
      </c>
      <c r="CU36">
        <v>109.51414532914212</v>
      </c>
      <c r="CV36">
        <v>130.14465773491622</v>
      </c>
    </row>
    <row r="37" spans="1:100">
      <c r="A37">
        <v>63.385418256172372</v>
      </c>
      <c r="B37">
        <v>69.293801690725431</v>
      </c>
      <c r="C37">
        <v>51.455732902005067</v>
      </c>
      <c r="D37">
        <v>84.55305642872402</v>
      </c>
      <c r="E37">
        <v>58.749656666768395</v>
      </c>
      <c r="F37">
        <v>128.93917661061434</v>
      </c>
      <c r="G37">
        <v>50.341807306131166</v>
      </c>
      <c r="H37">
        <v>109.31577501754815</v>
      </c>
      <c r="I37">
        <v>55.557420575579087</v>
      </c>
      <c r="J37">
        <v>119.16409802545243</v>
      </c>
      <c r="K37">
        <v>55.865657521286664</v>
      </c>
      <c r="L37">
        <v>109.65147862178412</v>
      </c>
      <c r="M37">
        <v>67.319254127628398</v>
      </c>
      <c r="N37">
        <v>55.163731803338727</v>
      </c>
      <c r="O37">
        <v>105.30259102145452</v>
      </c>
      <c r="P37">
        <v>75.147251808221682</v>
      </c>
      <c r="Q37">
        <v>71.008941923276467</v>
      </c>
      <c r="R37">
        <v>118.75820184942168</v>
      </c>
      <c r="S37">
        <v>64.981536301767022</v>
      </c>
      <c r="T37">
        <v>121.52317880794702</v>
      </c>
      <c r="U37">
        <v>125.39597766045107</v>
      </c>
      <c r="V37">
        <v>65.89709158604694</v>
      </c>
      <c r="W37">
        <v>120.18646809289835</v>
      </c>
      <c r="X37">
        <v>83.387249366740932</v>
      </c>
      <c r="Y37">
        <v>105.18967253639332</v>
      </c>
      <c r="Z37">
        <v>86.774803918576623</v>
      </c>
      <c r="AA37">
        <v>107.45414593951232</v>
      </c>
      <c r="AB37">
        <v>79.91424298837245</v>
      </c>
      <c r="AC37">
        <v>116.62190618610188</v>
      </c>
      <c r="AD37">
        <v>121.52317880794702</v>
      </c>
      <c r="AE37">
        <v>79.853205969420458</v>
      </c>
      <c r="AF37">
        <v>81.412701803643913</v>
      </c>
      <c r="AG37">
        <v>110.11230811487167</v>
      </c>
      <c r="AH37">
        <v>84.757530442213209</v>
      </c>
      <c r="AI37">
        <v>145.93188268684958</v>
      </c>
      <c r="AJ37">
        <v>55.08438367870113</v>
      </c>
      <c r="AK37">
        <v>55.61540574358348</v>
      </c>
      <c r="AL37">
        <v>102.01574755088961</v>
      </c>
      <c r="AM37">
        <v>72.882778405102698</v>
      </c>
      <c r="AN37">
        <v>117.93115024262215</v>
      </c>
      <c r="AO37">
        <v>96.305734427930531</v>
      </c>
      <c r="AP37">
        <v>111.22318185979796</v>
      </c>
      <c r="AQ37">
        <v>94.636371959593504</v>
      </c>
      <c r="AR37">
        <v>75.070955534531691</v>
      </c>
      <c r="AS37">
        <v>146.17297891170995</v>
      </c>
      <c r="AT37">
        <v>132.33893856624042</v>
      </c>
      <c r="AU37">
        <v>115.41642506179997</v>
      </c>
      <c r="AV37">
        <v>71.494186223944823</v>
      </c>
      <c r="AW37">
        <v>147.24723044526507</v>
      </c>
      <c r="AX37">
        <v>58.291879024628436</v>
      </c>
      <c r="AY37">
        <v>91.993469038972137</v>
      </c>
      <c r="AZ37">
        <v>131.28299813837091</v>
      </c>
      <c r="BA37">
        <v>100.77059236426894</v>
      </c>
      <c r="BB37">
        <v>94.633320108645904</v>
      </c>
      <c r="BC37">
        <v>62.851344340342422</v>
      </c>
      <c r="BD37">
        <v>88.416699728385268</v>
      </c>
      <c r="BE37">
        <v>132.14972380748924</v>
      </c>
      <c r="BF37">
        <v>56.414990691854612</v>
      </c>
      <c r="BG37">
        <v>116.99728385265664</v>
      </c>
      <c r="BH37">
        <v>85.831781975768308</v>
      </c>
      <c r="BI37">
        <v>125.39292580950347</v>
      </c>
      <c r="BJ37">
        <v>125.10605182042909</v>
      </c>
      <c r="BK37">
        <v>51.019318216498306</v>
      </c>
      <c r="BL37">
        <v>107.43278298287912</v>
      </c>
      <c r="BM37">
        <v>57.739494003112888</v>
      </c>
      <c r="BN37">
        <v>132.11615344706564</v>
      </c>
      <c r="BO37">
        <v>131.27384258552812</v>
      </c>
      <c r="BP37">
        <v>122.38074892422254</v>
      </c>
      <c r="BQ37">
        <v>67.072054200872827</v>
      </c>
      <c r="BR37">
        <v>77.747428815576654</v>
      </c>
      <c r="BS37">
        <v>65.115817743461406</v>
      </c>
      <c r="BT37">
        <v>133.83739738151189</v>
      </c>
      <c r="BU37">
        <v>118.16003906369212</v>
      </c>
      <c r="BV37">
        <v>94.862208929715877</v>
      </c>
      <c r="BW37">
        <v>122.36548966948455</v>
      </c>
      <c r="BX37">
        <v>77.124851222266301</v>
      </c>
      <c r="BY37">
        <v>120.71749015778069</v>
      </c>
      <c r="BZ37">
        <v>57.300027466658527</v>
      </c>
      <c r="CA37">
        <v>122.56996368297372</v>
      </c>
      <c r="CB37">
        <v>120.41840876491592</v>
      </c>
      <c r="CC37">
        <v>139.80681783501694</v>
      </c>
      <c r="CD37">
        <v>111.14078188421277</v>
      </c>
      <c r="CE37">
        <v>53.70494705038606</v>
      </c>
      <c r="CF37">
        <v>71.100497451704456</v>
      </c>
      <c r="CG37">
        <v>89.252906888027582</v>
      </c>
      <c r="CH37">
        <v>56.936857203894164</v>
      </c>
      <c r="CI37">
        <v>137.98791467024751</v>
      </c>
      <c r="CJ37">
        <v>140.92379528183844</v>
      </c>
      <c r="CK37">
        <v>148.71211890011293</v>
      </c>
      <c r="CL37">
        <v>61.06906338694418</v>
      </c>
      <c r="CM37">
        <v>110.32288583025604</v>
      </c>
      <c r="CN37">
        <v>73.053682058168278</v>
      </c>
      <c r="CO37">
        <v>94.953764458143866</v>
      </c>
      <c r="CP37">
        <v>124.29731131931516</v>
      </c>
      <c r="CQ37">
        <v>125.11825922421949</v>
      </c>
      <c r="CR37">
        <v>84.195989867854848</v>
      </c>
      <c r="CS37">
        <v>88.096255378887292</v>
      </c>
      <c r="CT37">
        <v>85.676137577440727</v>
      </c>
      <c r="CU37">
        <v>57.034516434217352</v>
      </c>
      <c r="CV37">
        <v>124.84054078798792</v>
      </c>
    </row>
    <row r="38" spans="1:100">
      <c r="A38">
        <v>149.45066682943207</v>
      </c>
      <c r="B38">
        <v>135.44572283089695</v>
      </c>
      <c r="C38">
        <v>51.947080904568622</v>
      </c>
      <c r="D38">
        <v>70.322275460066521</v>
      </c>
      <c r="E38">
        <v>87.455366679891355</v>
      </c>
      <c r="F38">
        <v>141.51585436567279</v>
      </c>
      <c r="G38">
        <v>146.33167516098513</v>
      </c>
      <c r="H38">
        <v>130.86184270760216</v>
      </c>
      <c r="I38">
        <v>130.47425763725698</v>
      </c>
      <c r="J38">
        <v>71.588793603320411</v>
      </c>
      <c r="K38">
        <v>79.691457869197677</v>
      </c>
      <c r="L38">
        <v>57.071138645588547</v>
      </c>
      <c r="M38">
        <v>81.730094302194274</v>
      </c>
      <c r="N38">
        <v>101.78380687887204</v>
      </c>
      <c r="O38">
        <v>116.3289284951323</v>
      </c>
      <c r="P38">
        <v>128.2067323831904</v>
      </c>
      <c r="Q38">
        <v>137.12729270302438</v>
      </c>
      <c r="R38">
        <v>93.461409344767603</v>
      </c>
      <c r="S38">
        <v>74.927518539994509</v>
      </c>
      <c r="T38">
        <v>129.83642078920866</v>
      </c>
      <c r="U38">
        <v>64.987640003662221</v>
      </c>
      <c r="V38">
        <v>116.49067659535508</v>
      </c>
      <c r="W38">
        <v>71.323282570879229</v>
      </c>
      <c r="X38">
        <v>88.151188695944086</v>
      </c>
      <c r="Y38">
        <v>115.70940275276955</v>
      </c>
      <c r="Z38">
        <v>82.853175450910982</v>
      </c>
      <c r="AA38">
        <v>130.16602069154942</v>
      </c>
      <c r="AB38">
        <v>97.41355632190924</v>
      </c>
      <c r="AC38">
        <v>51.858577227088226</v>
      </c>
      <c r="AD38">
        <v>118.72463148899809</v>
      </c>
      <c r="AE38">
        <v>81.174657429731127</v>
      </c>
      <c r="AF38">
        <v>93.693350016785189</v>
      </c>
      <c r="AG38">
        <v>139.49247718741418</v>
      </c>
      <c r="AH38">
        <v>53.161717581713312</v>
      </c>
      <c r="AI38">
        <v>105.59862056337168</v>
      </c>
      <c r="AJ38">
        <v>78.03735465559862</v>
      </c>
      <c r="AK38">
        <v>91.145054475539411</v>
      </c>
      <c r="AL38">
        <v>51.504562517166661</v>
      </c>
      <c r="AM38">
        <v>148.47102267525253</v>
      </c>
      <c r="AN38">
        <v>142.15369121372112</v>
      </c>
      <c r="AO38">
        <v>101.28330332346567</v>
      </c>
      <c r="AP38">
        <v>71.655934324167603</v>
      </c>
      <c r="AQ38">
        <v>62.320322275460065</v>
      </c>
      <c r="AR38">
        <v>99.772637104403827</v>
      </c>
      <c r="AS38">
        <v>64.685506759849844</v>
      </c>
      <c r="AT38">
        <v>71.292764061403233</v>
      </c>
      <c r="AU38">
        <v>97.975096896267587</v>
      </c>
      <c r="AV38">
        <v>76.80440687276834</v>
      </c>
      <c r="AW38">
        <v>118.5232093264565</v>
      </c>
      <c r="AX38">
        <v>144.23810541093172</v>
      </c>
      <c r="AY38">
        <v>103.27005829035309</v>
      </c>
      <c r="AZ38">
        <v>89.973143711661123</v>
      </c>
      <c r="BA38">
        <v>111.29032258064515</v>
      </c>
      <c r="BB38">
        <v>110.82644123661001</v>
      </c>
      <c r="BC38">
        <v>148.47407452620013</v>
      </c>
      <c r="BD38">
        <v>96.644489883114119</v>
      </c>
      <c r="BE38">
        <v>109.17233802301095</v>
      </c>
      <c r="BF38">
        <v>129.31150242622152</v>
      </c>
      <c r="BG38">
        <v>59.152500991851554</v>
      </c>
      <c r="BH38">
        <v>58.56349375896481</v>
      </c>
      <c r="BI38">
        <v>64.371166112247082</v>
      </c>
      <c r="BJ38">
        <v>72.278511917477942</v>
      </c>
      <c r="BK38">
        <v>110.19775994140446</v>
      </c>
      <c r="BL38">
        <v>148.59920041505171</v>
      </c>
      <c r="BM38">
        <v>115.76128421887874</v>
      </c>
      <c r="BN38">
        <v>100.71260719626454</v>
      </c>
      <c r="BO38">
        <v>135.8943449201941</v>
      </c>
      <c r="BP38">
        <v>62.155522324289684</v>
      </c>
      <c r="BQ38">
        <v>132.23212378307443</v>
      </c>
      <c r="BR38">
        <v>92.548905911435284</v>
      </c>
      <c r="BS38">
        <v>98.564104129154344</v>
      </c>
      <c r="BT38">
        <v>73.85326700643941</v>
      </c>
      <c r="BU38">
        <v>55.236976226081119</v>
      </c>
      <c r="BV38">
        <v>77.564317758720662</v>
      </c>
      <c r="BW38">
        <v>96.43696401867733</v>
      </c>
      <c r="BX38">
        <v>76.367992187261578</v>
      </c>
      <c r="BY38">
        <v>94.6699423200171</v>
      </c>
      <c r="BZ38">
        <v>112.28827784051026</v>
      </c>
      <c r="CA38">
        <v>51.382488479262676</v>
      </c>
      <c r="CB38">
        <v>79.691457869197677</v>
      </c>
      <c r="CC38">
        <v>143.64909817804499</v>
      </c>
      <c r="CD38">
        <v>98.063600573747976</v>
      </c>
      <c r="CE38">
        <v>67.21549119541001</v>
      </c>
      <c r="CF38">
        <v>98.835718863490712</v>
      </c>
      <c r="CG38">
        <v>127.90154728843042</v>
      </c>
      <c r="CH38">
        <v>95.44816431165502</v>
      </c>
      <c r="CI38">
        <v>99.052400280770286</v>
      </c>
      <c r="CJ38">
        <v>108.12860499893185</v>
      </c>
      <c r="CK38">
        <v>55.346842860194705</v>
      </c>
      <c r="CL38">
        <v>137.96349986266671</v>
      </c>
      <c r="CM38">
        <v>124.49262977996155</v>
      </c>
      <c r="CN38">
        <v>90.260017700735489</v>
      </c>
      <c r="CO38">
        <v>81.479842524491104</v>
      </c>
      <c r="CP38">
        <v>98.429822687459946</v>
      </c>
      <c r="CQ38">
        <v>57.13522751548814</v>
      </c>
      <c r="CR38">
        <v>58.163701284829244</v>
      </c>
      <c r="CS38">
        <v>56.21051667836543</v>
      </c>
      <c r="CT38">
        <v>110.96377452925199</v>
      </c>
      <c r="CU38">
        <v>93.153172399060026</v>
      </c>
      <c r="CV38">
        <v>77.893917661061437</v>
      </c>
    </row>
    <row r="39" spans="1:100">
      <c r="A39">
        <v>108.01568651387066</v>
      </c>
      <c r="B39">
        <v>63.39762565996277</v>
      </c>
      <c r="C39">
        <v>98.655659657582333</v>
      </c>
      <c r="D39">
        <v>114.00036622211371</v>
      </c>
      <c r="E39">
        <v>78.589739677114167</v>
      </c>
      <c r="F39">
        <v>81.031220435193944</v>
      </c>
      <c r="G39">
        <v>50.836207159642321</v>
      </c>
      <c r="H39">
        <v>62.707907345805232</v>
      </c>
      <c r="I39">
        <v>55.157628101443528</v>
      </c>
      <c r="J39">
        <v>67.795342875453969</v>
      </c>
      <c r="K39">
        <v>87.412640766624961</v>
      </c>
      <c r="L39">
        <v>123.50688192388684</v>
      </c>
      <c r="M39">
        <v>77.802362132633448</v>
      </c>
      <c r="N39">
        <v>134.94521927549059</v>
      </c>
      <c r="O39">
        <v>130.14465773491622</v>
      </c>
      <c r="P39">
        <v>114.54054383983886</v>
      </c>
      <c r="Q39">
        <v>91.737113559373768</v>
      </c>
      <c r="R39">
        <v>97.856074709311201</v>
      </c>
      <c r="S39">
        <v>129.81810968352306</v>
      </c>
      <c r="T39">
        <v>142.69081698049865</v>
      </c>
      <c r="U39">
        <v>148.64192632831814</v>
      </c>
      <c r="V39">
        <v>134.54847865230261</v>
      </c>
      <c r="W39">
        <v>103.2090212714011</v>
      </c>
      <c r="X39">
        <v>55.136265144810324</v>
      </c>
      <c r="Y39">
        <v>64.429151280251475</v>
      </c>
      <c r="Z39">
        <v>74.848170415356918</v>
      </c>
      <c r="AA39">
        <v>78.061769463179417</v>
      </c>
      <c r="AB39">
        <v>66.919461653492846</v>
      </c>
      <c r="AC39">
        <v>149.11801507614368</v>
      </c>
      <c r="AD39">
        <v>73.358867152928255</v>
      </c>
      <c r="AE39">
        <v>86.725974303415029</v>
      </c>
      <c r="AF39">
        <v>142.59620960112306</v>
      </c>
      <c r="AG39">
        <v>74.332407605212566</v>
      </c>
      <c r="AH39">
        <v>69.327372051149027</v>
      </c>
      <c r="AI39">
        <v>99.003570665608692</v>
      </c>
      <c r="AJ39">
        <v>60.092471083712269</v>
      </c>
      <c r="AK39">
        <v>94.203009125034328</v>
      </c>
      <c r="AL39">
        <v>86.564226203192234</v>
      </c>
      <c r="AM39">
        <v>134.92080446790979</v>
      </c>
      <c r="AN39">
        <v>134.97878963591418</v>
      </c>
      <c r="AO39">
        <v>85.145115512558363</v>
      </c>
      <c r="AP39">
        <v>76.52058473464156</v>
      </c>
      <c r="AQ39">
        <v>147.98272652363659</v>
      </c>
      <c r="AR39">
        <v>133.13241981261635</v>
      </c>
      <c r="AS39">
        <v>120.25971251564074</v>
      </c>
      <c r="AT39">
        <v>57.654042176580099</v>
      </c>
      <c r="AU39">
        <v>119.5852534562212</v>
      </c>
      <c r="AV39">
        <v>50.076296273689991</v>
      </c>
      <c r="AW39">
        <v>143.88409070101017</v>
      </c>
      <c r="AX39">
        <v>54.211554307687614</v>
      </c>
      <c r="AY39">
        <v>67.773979918820771</v>
      </c>
      <c r="AZ39">
        <v>101.72276985992004</v>
      </c>
      <c r="BA39">
        <v>131.44779808954132</v>
      </c>
      <c r="BB39">
        <v>70.569475386822106</v>
      </c>
      <c r="BC39">
        <v>149.33469649342325</v>
      </c>
      <c r="BD39">
        <v>131.6217535935545</v>
      </c>
      <c r="BE39">
        <v>58.078249458296455</v>
      </c>
      <c r="BF39">
        <v>121.58116397595141</v>
      </c>
      <c r="BG39">
        <v>63.904232917264324</v>
      </c>
      <c r="BH39">
        <v>104.03302102725303</v>
      </c>
      <c r="BI39">
        <v>135.61967833491013</v>
      </c>
      <c r="BJ39">
        <v>75.128940702536084</v>
      </c>
      <c r="BK39">
        <v>133.23007904293954</v>
      </c>
      <c r="BL39">
        <v>140.71016571550643</v>
      </c>
      <c r="BM39">
        <v>87.940610980559711</v>
      </c>
      <c r="BN39">
        <v>142.25440229499191</v>
      </c>
      <c r="BO39">
        <v>126.20777001251258</v>
      </c>
      <c r="BP39">
        <v>78.93459883419294</v>
      </c>
      <c r="BQ39">
        <v>121.19663075655384</v>
      </c>
      <c r="BR39">
        <v>100.43488876003296</v>
      </c>
      <c r="BS39">
        <v>72.537919248023925</v>
      </c>
      <c r="BT39">
        <v>93.137913144322027</v>
      </c>
      <c r="BU39">
        <v>71.536912137211218</v>
      </c>
      <c r="BV39">
        <v>112.95968504898221</v>
      </c>
      <c r="BW39">
        <v>117.17734305856501</v>
      </c>
      <c r="BX39">
        <v>94.010742515335551</v>
      </c>
      <c r="BY39">
        <v>120.19867549668875</v>
      </c>
      <c r="BZ39">
        <v>146.12109744560075</v>
      </c>
      <c r="CA39">
        <v>81.22959074678792</v>
      </c>
      <c r="CB39">
        <v>108.32392345957822</v>
      </c>
      <c r="CC39">
        <v>66.626483962523267</v>
      </c>
      <c r="CD39">
        <v>112.37678151799066</v>
      </c>
      <c r="CE39">
        <v>144.93697927793207</v>
      </c>
      <c r="CF39">
        <v>92.490920743430891</v>
      </c>
      <c r="CG39">
        <v>100.20599993896299</v>
      </c>
      <c r="CH39">
        <v>117.65037995544297</v>
      </c>
      <c r="CI39">
        <v>118.31263161107212</v>
      </c>
      <c r="CJ39">
        <v>83.091219824823753</v>
      </c>
      <c r="CK39">
        <v>61.258278145695364</v>
      </c>
      <c r="CL39">
        <v>140.82003234962002</v>
      </c>
      <c r="CM39">
        <v>115.1661732840968</v>
      </c>
      <c r="CN39">
        <v>137.38975188451798</v>
      </c>
      <c r="CO39">
        <v>131.93914609210486</v>
      </c>
      <c r="CP39">
        <v>123.57707449568163</v>
      </c>
      <c r="CQ39">
        <v>96.012756736960966</v>
      </c>
      <c r="CR39">
        <v>67.056794946134829</v>
      </c>
      <c r="CS39">
        <v>147.59514145329143</v>
      </c>
      <c r="CT39">
        <v>98.762474440748321</v>
      </c>
      <c r="CU39">
        <v>95.582445753349404</v>
      </c>
      <c r="CV39">
        <v>118.15088351084933</v>
      </c>
    </row>
    <row r="40" spans="1:100">
      <c r="A40">
        <v>55.154576250495928</v>
      </c>
      <c r="B40">
        <v>85.007782219916379</v>
      </c>
      <c r="C40">
        <v>61.999877925962096</v>
      </c>
      <c r="D40">
        <v>87.556077761162143</v>
      </c>
      <c r="E40">
        <v>122.69814142277291</v>
      </c>
      <c r="F40">
        <v>87.681203650013742</v>
      </c>
      <c r="G40">
        <v>114.0766624958037</v>
      </c>
      <c r="H40">
        <v>123.14065981017487</v>
      </c>
      <c r="I40">
        <v>124.33088167973875</v>
      </c>
      <c r="J40">
        <v>106.27002777184362</v>
      </c>
      <c r="K40">
        <v>141.95226905117954</v>
      </c>
      <c r="L40">
        <v>126.28711813715017</v>
      </c>
      <c r="M40">
        <v>141.476180303354</v>
      </c>
      <c r="N40">
        <v>114.33912167729729</v>
      </c>
      <c r="O40">
        <v>121.47129734183783</v>
      </c>
      <c r="P40">
        <v>129.87914670247505</v>
      </c>
      <c r="Q40">
        <v>144.28388317514572</v>
      </c>
      <c r="R40">
        <v>145.03158665730766</v>
      </c>
      <c r="S40">
        <v>72.385326700643944</v>
      </c>
      <c r="T40">
        <v>67.084261604663226</v>
      </c>
      <c r="U40">
        <v>105.95873897518845</v>
      </c>
      <c r="V40">
        <v>110.61891537217322</v>
      </c>
      <c r="W40">
        <v>112.24250007629627</v>
      </c>
      <c r="X40">
        <v>72.244941557054347</v>
      </c>
      <c r="Y40">
        <v>112.59346293527024</v>
      </c>
      <c r="Z40">
        <v>135.51286355174415</v>
      </c>
      <c r="AA40">
        <v>69.800408948026984</v>
      </c>
      <c r="AB40">
        <v>103.05948057496872</v>
      </c>
      <c r="AC40">
        <v>109.10214545121616</v>
      </c>
      <c r="AD40">
        <v>80.884731589709162</v>
      </c>
      <c r="AE40">
        <v>123.68694112979523</v>
      </c>
      <c r="AF40">
        <v>87.174596392712175</v>
      </c>
      <c r="AG40">
        <v>71.96722312082278</v>
      </c>
      <c r="AH40">
        <v>89.036225470748008</v>
      </c>
      <c r="AI40">
        <v>81.843012787255475</v>
      </c>
      <c r="AJ40">
        <v>146.32557145908993</v>
      </c>
      <c r="AK40">
        <v>149.32554094058045</v>
      </c>
      <c r="AL40">
        <v>125.56688131351665</v>
      </c>
      <c r="AM40">
        <v>67.429120761741999</v>
      </c>
      <c r="AN40">
        <v>101.11850337229529</v>
      </c>
      <c r="AO40">
        <v>59.073152867213963</v>
      </c>
      <c r="AP40">
        <v>147.56767479476304</v>
      </c>
      <c r="AQ40">
        <v>126.79372539445174</v>
      </c>
      <c r="AR40">
        <v>109.63621936704612</v>
      </c>
      <c r="AS40">
        <v>85.61510055848872</v>
      </c>
      <c r="AT40">
        <v>75.89800714133122</v>
      </c>
      <c r="AU40">
        <v>125.13351847895748</v>
      </c>
      <c r="AV40">
        <v>142.92580950346385</v>
      </c>
      <c r="AW40">
        <v>65.860469374675745</v>
      </c>
      <c r="AX40">
        <v>99.696340830713822</v>
      </c>
      <c r="AY40">
        <v>69.321268349253828</v>
      </c>
      <c r="AZ40">
        <v>135.30533768730734</v>
      </c>
      <c r="BA40">
        <v>100.51118503372295</v>
      </c>
      <c r="BB40">
        <v>100.52949613940855</v>
      </c>
      <c r="BC40">
        <v>108.22626422925504</v>
      </c>
      <c r="BD40">
        <v>127.86187322611163</v>
      </c>
      <c r="BE40">
        <v>92.872402111880859</v>
      </c>
      <c r="BF40">
        <v>119.78972746971039</v>
      </c>
      <c r="BG40">
        <v>142.08960234382153</v>
      </c>
      <c r="BH40">
        <v>109.35850093081454</v>
      </c>
      <c r="BI40">
        <v>125.12436292611469</v>
      </c>
      <c r="BJ40">
        <v>114.88845484786523</v>
      </c>
      <c r="BK40">
        <v>115.03189184240242</v>
      </c>
      <c r="BL40">
        <v>114.45509201330607</v>
      </c>
      <c r="BM40">
        <v>142.15674306466872</v>
      </c>
      <c r="BN40">
        <v>54.525894955290383</v>
      </c>
      <c r="BO40">
        <v>60.831019013031401</v>
      </c>
      <c r="BP40">
        <v>72.147282326731158</v>
      </c>
      <c r="BQ40">
        <v>116.00848414563433</v>
      </c>
      <c r="BR40">
        <v>95.481734672078616</v>
      </c>
      <c r="BS40">
        <v>140.47517319254126</v>
      </c>
      <c r="BT40">
        <v>55.587939085055083</v>
      </c>
      <c r="BU40">
        <v>108.93124179815058</v>
      </c>
      <c r="BV40">
        <v>55.935850093081456</v>
      </c>
      <c r="BW40">
        <v>134.60341196935943</v>
      </c>
      <c r="BX40">
        <v>67.236854152043207</v>
      </c>
      <c r="BY40">
        <v>130.3704947050386</v>
      </c>
      <c r="BZ40">
        <v>107.01467940305795</v>
      </c>
      <c r="CA40">
        <v>81.455427716910307</v>
      </c>
      <c r="CB40">
        <v>87.531662953581346</v>
      </c>
      <c r="CC40">
        <v>103.53556932279427</v>
      </c>
      <c r="CD40">
        <v>135.58305612353894</v>
      </c>
      <c r="CE40">
        <v>100.97201452681051</v>
      </c>
      <c r="CF40">
        <v>65.103610339671008</v>
      </c>
      <c r="CG40">
        <v>107.16727195043794</v>
      </c>
      <c r="CH40">
        <v>81.449324015015108</v>
      </c>
      <c r="CI40">
        <v>95.619067964720614</v>
      </c>
      <c r="CJ40">
        <v>76.783043916135142</v>
      </c>
      <c r="CK40">
        <v>108.10419019135105</v>
      </c>
      <c r="CL40">
        <v>102.1561326944792</v>
      </c>
      <c r="CM40">
        <v>68.622394482253483</v>
      </c>
      <c r="CN40">
        <v>135.40604876857816</v>
      </c>
      <c r="CO40">
        <v>50.314340647602769</v>
      </c>
      <c r="CP40">
        <v>68.372142704550313</v>
      </c>
      <c r="CQ40">
        <v>50.201422162541583</v>
      </c>
      <c r="CR40">
        <v>73.609118930631425</v>
      </c>
      <c r="CS40">
        <v>116.00238044373913</v>
      </c>
      <c r="CT40">
        <v>143.12723166600543</v>
      </c>
      <c r="CU40">
        <v>72.425000762962739</v>
      </c>
      <c r="CV40">
        <v>81.748405407879886</v>
      </c>
    </row>
    <row r="41" spans="1:100">
      <c r="A41">
        <v>145.49241615039523</v>
      </c>
      <c r="B41">
        <v>50.540177617725149</v>
      </c>
      <c r="C41">
        <v>105.10116885891293</v>
      </c>
      <c r="D41">
        <v>91.218298898281802</v>
      </c>
      <c r="E41">
        <v>56.683553575243387</v>
      </c>
      <c r="F41">
        <v>119.25260170293282</v>
      </c>
      <c r="G41">
        <v>113.39915158543656</v>
      </c>
      <c r="H41">
        <v>59.186071352275157</v>
      </c>
      <c r="I41">
        <v>65.802484206671352</v>
      </c>
      <c r="J41">
        <v>78.022095400860621</v>
      </c>
      <c r="K41">
        <v>103.11441389202551</v>
      </c>
      <c r="L41">
        <v>118.71242408520769</v>
      </c>
      <c r="M41">
        <v>120.91586046937468</v>
      </c>
      <c r="N41">
        <v>52.429273354289379</v>
      </c>
      <c r="O41">
        <v>138.18933683278908</v>
      </c>
      <c r="P41">
        <v>105.96789452803125</v>
      </c>
      <c r="Q41">
        <v>79.575487533188877</v>
      </c>
      <c r="R41">
        <v>121.61778618732261</v>
      </c>
      <c r="S41">
        <v>75.791192358165233</v>
      </c>
      <c r="T41">
        <v>115.68803979613635</v>
      </c>
      <c r="U41">
        <v>108.8000122074038</v>
      </c>
      <c r="V41">
        <v>80.875576036866363</v>
      </c>
      <c r="W41">
        <v>91.010773033845027</v>
      </c>
      <c r="X41">
        <v>89.661854915005961</v>
      </c>
      <c r="Y41">
        <v>132.08563493758965</v>
      </c>
      <c r="Z41">
        <v>63.080233161412394</v>
      </c>
      <c r="AA41">
        <v>125.13962218085268</v>
      </c>
      <c r="AB41">
        <v>134.33179723502303</v>
      </c>
      <c r="AC41">
        <v>89.152195806756794</v>
      </c>
      <c r="AD41">
        <v>121.96874904629658</v>
      </c>
      <c r="AE41">
        <v>148.24213385418255</v>
      </c>
      <c r="AF41">
        <v>95.597705008087402</v>
      </c>
      <c r="AG41">
        <v>123.98602252265999</v>
      </c>
      <c r="AH41">
        <v>130.52003540147098</v>
      </c>
      <c r="AI41">
        <v>76.60298471022675</v>
      </c>
      <c r="AJ41">
        <v>68.991668446913053</v>
      </c>
      <c r="AK41">
        <v>66.834009826960056</v>
      </c>
      <c r="AL41">
        <v>97.444074831385237</v>
      </c>
      <c r="AM41">
        <v>135.67766350291453</v>
      </c>
      <c r="AN41">
        <v>73.322244941557059</v>
      </c>
      <c r="AO41">
        <v>125.77440717795344</v>
      </c>
      <c r="AP41">
        <v>55.023346659749137</v>
      </c>
      <c r="AQ41">
        <v>109.16928617206335</v>
      </c>
      <c r="AR41">
        <v>65.921506393627737</v>
      </c>
      <c r="AS41">
        <v>53.463850825525682</v>
      </c>
      <c r="AT41">
        <v>121.29428998687705</v>
      </c>
      <c r="AU41">
        <v>64.877773369548635</v>
      </c>
      <c r="AV41">
        <v>127.62382885219886</v>
      </c>
      <c r="AW41">
        <v>104.73494674520097</v>
      </c>
      <c r="AX41">
        <v>89.823603015228741</v>
      </c>
      <c r="AY41">
        <v>124.37971129490035</v>
      </c>
      <c r="AZ41">
        <v>147.91558580278939</v>
      </c>
      <c r="BA41">
        <v>83.344523453474537</v>
      </c>
      <c r="BB41">
        <v>128.02667317728202</v>
      </c>
      <c r="BC41">
        <v>83.793145542771697</v>
      </c>
      <c r="BD41">
        <v>68.875698110904267</v>
      </c>
      <c r="BE41">
        <v>141.00009155552843</v>
      </c>
      <c r="BF41">
        <v>138.95840327158422</v>
      </c>
      <c r="BG41">
        <v>62.784203619495223</v>
      </c>
      <c r="BH41">
        <v>106.11743522446363</v>
      </c>
      <c r="BI41">
        <v>77.927488021485033</v>
      </c>
      <c r="BJ41">
        <v>68.344676046021917</v>
      </c>
      <c r="BK41">
        <v>95.698416089358204</v>
      </c>
      <c r="BL41">
        <v>119.33194982757041</v>
      </c>
      <c r="BM41">
        <v>76.816614276558738</v>
      </c>
      <c r="BN41">
        <v>132.83028656880398</v>
      </c>
      <c r="BO41">
        <v>88.523514511551255</v>
      </c>
      <c r="BP41">
        <v>72.833948789941104</v>
      </c>
      <c r="BQ41">
        <v>147.903378398999</v>
      </c>
      <c r="BR41">
        <v>142.17810602130191</v>
      </c>
      <c r="BS41">
        <v>140.53315836054566</v>
      </c>
      <c r="BT41">
        <v>133.12631611072115</v>
      </c>
      <c r="BU41">
        <v>148.76400036622212</v>
      </c>
      <c r="BV41">
        <v>102.41248817407757</v>
      </c>
      <c r="BW41">
        <v>147.35709707937866</v>
      </c>
      <c r="BX41">
        <v>122.12744529557177</v>
      </c>
      <c r="BY41">
        <v>137.10898159733878</v>
      </c>
      <c r="BZ41">
        <v>119.93926816614277</v>
      </c>
      <c r="CA41">
        <v>101.16733298745689</v>
      </c>
      <c r="CB41">
        <v>79.215369121372106</v>
      </c>
      <c r="CC41">
        <v>97.21823786126285</v>
      </c>
      <c r="CD41">
        <v>84.75447859126561</v>
      </c>
      <c r="CE41">
        <v>53.506576738792077</v>
      </c>
      <c r="CF41">
        <v>135.14664143803216</v>
      </c>
      <c r="CG41">
        <v>130.61769463179417</v>
      </c>
      <c r="CH41">
        <v>60.889004181035801</v>
      </c>
      <c r="CI41">
        <v>56.482131412701804</v>
      </c>
      <c r="CJ41">
        <v>51.034577471236304</v>
      </c>
      <c r="CK41">
        <v>51.641895809808652</v>
      </c>
      <c r="CL41">
        <v>62.19519638660848</v>
      </c>
      <c r="CM41">
        <v>147.872859889523</v>
      </c>
      <c r="CN41">
        <v>125.51805169835505</v>
      </c>
      <c r="CO41">
        <v>78.540910061952573</v>
      </c>
      <c r="CP41">
        <v>141.62572099978638</v>
      </c>
      <c r="CQ41">
        <v>95.823541978209789</v>
      </c>
      <c r="CR41">
        <v>123.14371166112247</v>
      </c>
      <c r="CS41">
        <v>60.647907956175416</v>
      </c>
      <c r="CT41">
        <v>72.098452711569564</v>
      </c>
      <c r="CU41">
        <v>68.726157414471885</v>
      </c>
      <c r="CV41">
        <v>127.2545548875393</v>
      </c>
    </row>
    <row r="42" spans="1:100">
      <c r="A42">
        <v>97.926267281105993</v>
      </c>
      <c r="B42">
        <v>95.570238349559006</v>
      </c>
      <c r="C42">
        <v>50.607318338572341</v>
      </c>
      <c r="D42">
        <v>50.137333292641991</v>
      </c>
      <c r="E42">
        <v>81.983397930845058</v>
      </c>
      <c r="F42">
        <v>72.034363841669972</v>
      </c>
      <c r="G42">
        <v>64.392529068880279</v>
      </c>
      <c r="H42">
        <v>91.917172765282146</v>
      </c>
      <c r="I42">
        <v>69.144260994293035</v>
      </c>
      <c r="J42">
        <v>87.318033387249358</v>
      </c>
      <c r="K42">
        <v>145.48936429944763</v>
      </c>
      <c r="L42">
        <v>96.134830774864952</v>
      </c>
      <c r="M42">
        <v>129.03988769188513</v>
      </c>
      <c r="N42">
        <v>144.86983855708488</v>
      </c>
      <c r="O42">
        <v>96.473586230048525</v>
      </c>
      <c r="P42">
        <v>66.214484084597302</v>
      </c>
      <c r="Q42">
        <v>67.853328043458362</v>
      </c>
      <c r="R42">
        <v>126.77541428876614</v>
      </c>
      <c r="S42">
        <v>119.18851283303323</v>
      </c>
      <c r="T42">
        <v>102.36060670796837</v>
      </c>
      <c r="U42">
        <v>117.83654286324656</v>
      </c>
      <c r="V42">
        <v>87.711722159489739</v>
      </c>
      <c r="W42">
        <v>145.34592730491045</v>
      </c>
      <c r="X42">
        <v>72.177800836207155</v>
      </c>
      <c r="Y42">
        <v>137.93603320413831</v>
      </c>
      <c r="Z42">
        <v>115.51408429212317</v>
      </c>
      <c r="AA42">
        <v>67.355876338999607</v>
      </c>
      <c r="AB42">
        <v>80.70162053285317</v>
      </c>
      <c r="AC42">
        <v>116.22516556291392</v>
      </c>
      <c r="AD42">
        <v>86.451307718131048</v>
      </c>
      <c r="AE42">
        <v>84.980315561387982</v>
      </c>
      <c r="AF42">
        <v>92.967009491256448</v>
      </c>
      <c r="AG42">
        <v>114.67482528153326</v>
      </c>
      <c r="AH42">
        <v>93.366801965392</v>
      </c>
      <c r="AI42">
        <v>133.40708639790034</v>
      </c>
      <c r="AJ42">
        <v>112.24555192724387</v>
      </c>
      <c r="AK42">
        <v>146.96035645619068</v>
      </c>
      <c r="AL42">
        <v>74.790185247352525</v>
      </c>
      <c r="AM42">
        <v>108.41242713705863</v>
      </c>
      <c r="AN42">
        <v>67.069002349925228</v>
      </c>
      <c r="AO42">
        <v>129.86693929868466</v>
      </c>
      <c r="AP42">
        <v>123.16507461775566</v>
      </c>
      <c r="AQ42">
        <v>54.220709860530413</v>
      </c>
      <c r="AR42">
        <v>110.17639698477126</v>
      </c>
      <c r="AS42">
        <v>99.006622516556291</v>
      </c>
      <c r="AT42">
        <v>100.27008880886258</v>
      </c>
      <c r="AU42">
        <v>129.67467268898588</v>
      </c>
      <c r="AV42">
        <v>82.459486678670615</v>
      </c>
      <c r="AW42">
        <v>129.36948759422592</v>
      </c>
      <c r="AX42">
        <v>138.0275887325663</v>
      </c>
      <c r="AY42">
        <v>132.38166447950681</v>
      </c>
      <c r="AZ42">
        <v>147.10989715262309</v>
      </c>
      <c r="BA42">
        <v>145.94409009063997</v>
      </c>
      <c r="BB42">
        <v>70.340586565752119</v>
      </c>
      <c r="BC42">
        <v>134.57594531083103</v>
      </c>
      <c r="BD42">
        <v>79.151280251472514</v>
      </c>
      <c r="BE42">
        <v>134.92690816980499</v>
      </c>
      <c r="BF42">
        <v>145.12314218573567</v>
      </c>
      <c r="BG42">
        <v>93.839838862269971</v>
      </c>
      <c r="BH42">
        <v>124.17828913235877</v>
      </c>
      <c r="BI42">
        <v>110.46937467574084</v>
      </c>
      <c r="BJ42">
        <v>149.34080019531845</v>
      </c>
      <c r="BK42">
        <v>100.56917020172735</v>
      </c>
      <c r="BL42">
        <v>110.10010071108127</v>
      </c>
      <c r="BM42">
        <v>141.60435804315318</v>
      </c>
      <c r="BN42">
        <v>67.545091097750785</v>
      </c>
      <c r="BO42">
        <v>76.160466322824789</v>
      </c>
      <c r="BP42">
        <v>97.563097018341637</v>
      </c>
      <c r="BQ42">
        <v>121.84362315744499</v>
      </c>
      <c r="BR42">
        <v>142.87697988830226</v>
      </c>
      <c r="BS42">
        <v>70.172734763634139</v>
      </c>
      <c r="BT42">
        <v>51.034577471236304</v>
      </c>
      <c r="BU42">
        <v>68.372142704550313</v>
      </c>
      <c r="BV42">
        <v>142.00109866634114</v>
      </c>
      <c r="BW42">
        <v>77.945799127170631</v>
      </c>
      <c r="BX42">
        <v>148.40693380535293</v>
      </c>
      <c r="BY42">
        <v>105.78783532212287</v>
      </c>
      <c r="BZ42">
        <v>66.373180333872497</v>
      </c>
      <c r="CA42">
        <v>119.38993499557482</v>
      </c>
      <c r="CB42">
        <v>107.15506454664754</v>
      </c>
      <c r="CC42">
        <v>100.04730368968779</v>
      </c>
      <c r="CD42">
        <v>112.88949247718742</v>
      </c>
      <c r="CE42">
        <v>69.492172002319407</v>
      </c>
      <c r="CF42">
        <v>55.273598437452314</v>
      </c>
      <c r="CG42">
        <v>58.246101260414441</v>
      </c>
      <c r="CH42">
        <v>137.07235938596759</v>
      </c>
      <c r="CI42">
        <v>81.260109256263917</v>
      </c>
      <c r="CJ42">
        <v>125.0236518448439</v>
      </c>
      <c r="CK42">
        <v>59.823908200323494</v>
      </c>
      <c r="CL42">
        <v>121.94738608966338</v>
      </c>
      <c r="CM42">
        <v>91.615039521469768</v>
      </c>
      <c r="CN42">
        <v>97.669911801507624</v>
      </c>
      <c r="CO42">
        <v>134.850611896115</v>
      </c>
      <c r="CP42">
        <v>105.67186498611409</v>
      </c>
      <c r="CQ42">
        <v>50.958281197546313</v>
      </c>
      <c r="CR42">
        <v>77.33542893765069</v>
      </c>
      <c r="CS42">
        <v>54.99588000122074</v>
      </c>
      <c r="CT42">
        <v>71.118808557390054</v>
      </c>
      <c r="CU42">
        <v>66.977446821497239</v>
      </c>
      <c r="CV42">
        <v>122.05420087282937</v>
      </c>
    </row>
    <row r="43" spans="1:100">
      <c r="A43">
        <v>118.35535752433852</v>
      </c>
      <c r="B43">
        <v>145.15366069521167</v>
      </c>
      <c r="C43">
        <v>51.397747734000674</v>
      </c>
      <c r="D43">
        <v>52.764976958525345</v>
      </c>
      <c r="E43">
        <v>98.268074587237152</v>
      </c>
      <c r="F43">
        <v>133.21787163914914</v>
      </c>
      <c r="G43">
        <v>103.2029175695059</v>
      </c>
      <c r="H43">
        <v>51.098666341135896</v>
      </c>
      <c r="I43">
        <v>136.7366557817316</v>
      </c>
      <c r="J43">
        <v>133.21787163914914</v>
      </c>
      <c r="K43">
        <v>109.53245643482772</v>
      </c>
      <c r="L43">
        <v>55.517746513260292</v>
      </c>
      <c r="M43">
        <v>126.1009552293466</v>
      </c>
      <c r="N43">
        <v>138.68373668630022</v>
      </c>
      <c r="O43">
        <v>128.11517685476241</v>
      </c>
      <c r="P43">
        <v>127.84661397137363</v>
      </c>
      <c r="Q43">
        <v>125.87511825922422</v>
      </c>
      <c r="R43">
        <v>86.167485580004268</v>
      </c>
      <c r="S43">
        <v>54.022339548936429</v>
      </c>
      <c r="T43">
        <v>118.65443891720329</v>
      </c>
      <c r="U43">
        <v>126.95852534562212</v>
      </c>
      <c r="V43">
        <v>125.09079256569109</v>
      </c>
      <c r="W43">
        <v>122.66151921140171</v>
      </c>
      <c r="X43">
        <v>120.80294198431348</v>
      </c>
      <c r="Y43">
        <v>103.56303598132267</v>
      </c>
      <c r="Z43">
        <v>124.46516312143315</v>
      </c>
      <c r="AA43">
        <v>102.01574755088961</v>
      </c>
      <c r="AB43">
        <v>55.182042909024325</v>
      </c>
      <c r="AC43">
        <v>68.439283425397505</v>
      </c>
      <c r="AD43">
        <v>69.711905270546595</v>
      </c>
      <c r="AE43">
        <v>114.78469191564685</v>
      </c>
      <c r="AF43">
        <v>66.834009826960056</v>
      </c>
      <c r="AG43">
        <v>97.071749015778067</v>
      </c>
      <c r="AH43">
        <v>52.603228858302558</v>
      </c>
      <c r="AI43">
        <v>81.019013031403546</v>
      </c>
      <c r="AJ43">
        <v>59.524826807458723</v>
      </c>
      <c r="AK43">
        <v>136.42231513412884</v>
      </c>
      <c r="AL43">
        <v>107.50602740562151</v>
      </c>
      <c r="AM43">
        <v>121.89550462355419</v>
      </c>
      <c r="AN43">
        <v>146.92678609576708</v>
      </c>
      <c r="AO43">
        <v>63.870662556840728</v>
      </c>
      <c r="AP43">
        <v>97.029023102511673</v>
      </c>
      <c r="AQ43">
        <v>115.23941770683919</v>
      </c>
      <c r="AR43">
        <v>148.52900784325692</v>
      </c>
      <c r="AS43">
        <v>112.0044557023835</v>
      </c>
      <c r="AT43">
        <v>100.23957029938659</v>
      </c>
      <c r="AU43">
        <v>143.44767601550342</v>
      </c>
      <c r="AV43">
        <v>108.41547898800623</v>
      </c>
      <c r="AW43">
        <v>124.81307412945952</v>
      </c>
      <c r="AX43">
        <v>106.50196844386122</v>
      </c>
      <c r="AY43">
        <v>52.850428785058135</v>
      </c>
      <c r="AZ43">
        <v>50.466933194982758</v>
      </c>
      <c r="BA43">
        <v>103.3494064149907</v>
      </c>
      <c r="BB43">
        <v>110.19470809045686</v>
      </c>
      <c r="BC43">
        <v>135.15274513992736</v>
      </c>
      <c r="BD43">
        <v>147.97357097079379</v>
      </c>
      <c r="BE43">
        <v>123.924985503708</v>
      </c>
      <c r="BF43">
        <v>70.355845820490117</v>
      </c>
      <c r="BG43">
        <v>105.60167241431928</v>
      </c>
      <c r="BH43">
        <v>134.00830103457747</v>
      </c>
      <c r="BI43">
        <v>123.07962279122287</v>
      </c>
      <c r="BJ43">
        <v>52.86568803979614</v>
      </c>
      <c r="BK43">
        <v>62.881862849818418</v>
      </c>
      <c r="BL43">
        <v>113.55784783471177</v>
      </c>
      <c r="BM43">
        <v>132.79671620838039</v>
      </c>
      <c r="BN43">
        <v>70.996734519486068</v>
      </c>
      <c r="BO43">
        <v>89.481795709097568</v>
      </c>
      <c r="BP43">
        <v>122.20679342020937</v>
      </c>
      <c r="BQ43">
        <v>147.14957121494189</v>
      </c>
      <c r="BR43">
        <v>90.049439985351114</v>
      </c>
      <c r="BS43">
        <v>96.980193487350078</v>
      </c>
      <c r="BT43">
        <v>52.819910275582139</v>
      </c>
      <c r="BU43">
        <v>54.770043031098361</v>
      </c>
      <c r="BV43">
        <v>92.399365215002902</v>
      </c>
      <c r="BW43">
        <v>143.37748344370863</v>
      </c>
      <c r="BX43">
        <v>66.010010071108127</v>
      </c>
      <c r="BY43">
        <v>119.99420148319956</v>
      </c>
      <c r="BZ43">
        <v>96.644489883114119</v>
      </c>
      <c r="CA43">
        <v>88.148136844996486</v>
      </c>
      <c r="CB43">
        <v>87.491988891262551</v>
      </c>
      <c r="CC43">
        <v>103.1907101657155</v>
      </c>
      <c r="CD43">
        <v>58.996856593523972</v>
      </c>
      <c r="CE43">
        <v>100.60579241309856</v>
      </c>
      <c r="CF43">
        <v>145.52598651081883</v>
      </c>
      <c r="CG43">
        <v>61.059907834101381</v>
      </c>
      <c r="CH43">
        <v>135.00625629444258</v>
      </c>
      <c r="CI43">
        <v>87.195959349345372</v>
      </c>
      <c r="CJ43">
        <v>51.464888454847866</v>
      </c>
      <c r="CK43">
        <v>117.37876522110659</v>
      </c>
      <c r="CL43">
        <v>129.76622821741387</v>
      </c>
      <c r="CM43">
        <v>53.390606402783291</v>
      </c>
      <c r="CN43">
        <v>76.654866176335943</v>
      </c>
      <c r="CO43">
        <v>144.89120151371807</v>
      </c>
      <c r="CP43">
        <v>114.72670674764245</v>
      </c>
      <c r="CQ43">
        <v>65.747550889614558</v>
      </c>
      <c r="CR43">
        <v>128.69808038575394</v>
      </c>
      <c r="CS43">
        <v>148.97762993255409</v>
      </c>
      <c r="CT43">
        <v>139.22696615497298</v>
      </c>
      <c r="CU43">
        <v>129.81200598162786</v>
      </c>
      <c r="CV43">
        <v>80.262153996398808</v>
      </c>
    </row>
    <row r="44" spans="1:100">
      <c r="A44">
        <v>124.39497054963834</v>
      </c>
      <c r="B44">
        <v>64.978484450819423</v>
      </c>
      <c r="C44">
        <v>60.971404156620991</v>
      </c>
      <c r="D44">
        <v>68.143253883480327</v>
      </c>
      <c r="E44">
        <v>66.010010071108127</v>
      </c>
      <c r="F44">
        <v>149.78637043366803</v>
      </c>
      <c r="G44">
        <v>109.8437452314829</v>
      </c>
      <c r="H44">
        <v>115.00442518387402</v>
      </c>
      <c r="I44">
        <v>135.06118961149937</v>
      </c>
      <c r="J44">
        <v>143.618579668569</v>
      </c>
      <c r="K44">
        <v>135.74480422376172</v>
      </c>
      <c r="L44">
        <v>84.046449171422466</v>
      </c>
      <c r="M44">
        <v>80.860316782128365</v>
      </c>
      <c r="N44">
        <v>67.914365062410354</v>
      </c>
      <c r="O44">
        <v>116.2099063081759</v>
      </c>
      <c r="P44">
        <v>67.123935666982021</v>
      </c>
      <c r="Q44">
        <v>104.47859126560257</v>
      </c>
      <c r="R44">
        <v>139.65727713858456</v>
      </c>
      <c r="S44">
        <v>89.814447462385942</v>
      </c>
      <c r="T44">
        <v>130.02563554795984</v>
      </c>
      <c r="U44">
        <v>114.05224768822291</v>
      </c>
      <c r="V44">
        <v>67.856379894405961</v>
      </c>
      <c r="W44">
        <v>79.160435804315313</v>
      </c>
      <c r="X44">
        <v>105.95263527329325</v>
      </c>
      <c r="Y44">
        <v>56.900234992522968</v>
      </c>
      <c r="Z44">
        <v>119.79888302255318</v>
      </c>
      <c r="AA44">
        <v>104.73189489425337</v>
      </c>
      <c r="AB44">
        <v>116.53035065767388</v>
      </c>
      <c r="AC44">
        <v>68.991668446913053</v>
      </c>
      <c r="AD44">
        <v>135.09170812097537</v>
      </c>
      <c r="AE44">
        <v>55.14542069765313</v>
      </c>
      <c r="AF44">
        <v>123.46720786156804</v>
      </c>
      <c r="AG44">
        <v>132.41828669087801</v>
      </c>
      <c r="AH44">
        <v>115.74297311319314</v>
      </c>
      <c r="AI44">
        <v>129.5281838435011</v>
      </c>
      <c r="AJ44">
        <v>64.029358806115908</v>
      </c>
      <c r="AK44">
        <v>81.5195165868099</v>
      </c>
      <c r="AL44">
        <v>70.291756950590525</v>
      </c>
      <c r="AM44">
        <v>117.52220221564379</v>
      </c>
      <c r="AN44">
        <v>73.419904171880248</v>
      </c>
      <c r="AO44">
        <v>148.26654866176335</v>
      </c>
      <c r="AP44">
        <v>140.20966216010009</v>
      </c>
      <c r="AQ44">
        <v>132.6807458723716</v>
      </c>
      <c r="AR44">
        <v>147.17398602252268</v>
      </c>
      <c r="AS44">
        <v>87.488937040314951</v>
      </c>
      <c r="AT44">
        <v>86.60084841456343</v>
      </c>
      <c r="AU44">
        <v>64.75264748069705</v>
      </c>
      <c r="AV44">
        <v>146.74672688985871</v>
      </c>
      <c r="AW44">
        <v>72.678304391613509</v>
      </c>
      <c r="AX44">
        <v>65.44846949674978</v>
      </c>
      <c r="AY44">
        <v>93.68724631488999</v>
      </c>
      <c r="AZ44">
        <v>114.88540299691763</v>
      </c>
      <c r="BA44">
        <v>149.44456312753687</v>
      </c>
      <c r="BB44">
        <v>53.595080416272467</v>
      </c>
      <c r="BC44">
        <v>60.776085695974608</v>
      </c>
      <c r="BD44">
        <v>100.96591082491531</v>
      </c>
      <c r="BE44">
        <v>83.240760521256135</v>
      </c>
      <c r="BF44">
        <v>113.77758110293894</v>
      </c>
      <c r="BG44">
        <v>82.401501510666222</v>
      </c>
      <c r="BH44">
        <v>68.829920346690272</v>
      </c>
      <c r="BI44">
        <v>63.638721884823148</v>
      </c>
      <c r="BJ44">
        <v>73.914304025391402</v>
      </c>
      <c r="BK44">
        <v>138.0428479873043</v>
      </c>
      <c r="BL44">
        <v>73.64879299295022</v>
      </c>
      <c r="BM44">
        <v>94.328135013885912</v>
      </c>
      <c r="BN44">
        <v>65.36606952116459</v>
      </c>
      <c r="BO44">
        <v>56.317331461531417</v>
      </c>
      <c r="BP44">
        <v>111.43375957518234</v>
      </c>
      <c r="BQ44">
        <v>91.621143223364967</v>
      </c>
      <c r="BR44">
        <v>76.136051515243992</v>
      </c>
      <c r="BS44">
        <v>112.33405560472427</v>
      </c>
      <c r="BT44">
        <v>89.54588457899716</v>
      </c>
      <c r="BU44">
        <v>85.41367839594713</v>
      </c>
      <c r="BV44">
        <v>110.55482650227363</v>
      </c>
      <c r="BW44">
        <v>61.111789300210575</v>
      </c>
      <c r="BX44">
        <v>88.85006256294443</v>
      </c>
      <c r="BY44">
        <v>145.29404583880125</v>
      </c>
      <c r="BZ44">
        <v>73.368022705771054</v>
      </c>
      <c r="CA44">
        <v>97.843867305520803</v>
      </c>
      <c r="CB44">
        <v>145.52903836176642</v>
      </c>
      <c r="CC44">
        <v>147.51579332865384</v>
      </c>
      <c r="CD44">
        <v>131.3806573686941</v>
      </c>
      <c r="CE44">
        <v>85.45030060731834</v>
      </c>
      <c r="CF44">
        <v>130.80080568865017</v>
      </c>
      <c r="CG44">
        <v>148.39167455061494</v>
      </c>
      <c r="CH44">
        <v>55.734427930539873</v>
      </c>
      <c r="CI44">
        <v>140.22186956389049</v>
      </c>
      <c r="CJ44">
        <v>56.595049897762991</v>
      </c>
      <c r="CK44">
        <v>79.764702291940068</v>
      </c>
      <c r="CL44">
        <v>98.023926511429181</v>
      </c>
      <c r="CM44">
        <v>116.04815820795312</v>
      </c>
      <c r="CN44">
        <v>85.32822656941434</v>
      </c>
      <c r="CO44">
        <v>132.18024231696523</v>
      </c>
      <c r="CP44">
        <v>103.26090273751029</v>
      </c>
      <c r="CQ44">
        <v>77.906125064851835</v>
      </c>
      <c r="CR44">
        <v>71.900082399975588</v>
      </c>
      <c r="CS44">
        <v>141.36631366924041</v>
      </c>
      <c r="CT44">
        <v>112.95358134708701</v>
      </c>
      <c r="CU44">
        <v>105.26291695913571</v>
      </c>
      <c r="CV44">
        <v>116.06036561174352</v>
      </c>
    </row>
    <row r="45" spans="1:100">
      <c r="A45">
        <v>66.574602496414073</v>
      </c>
      <c r="B45">
        <v>101.39011810663168</v>
      </c>
      <c r="C45">
        <v>102.84585100863674</v>
      </c>
      <c r="D45">
        <v>69.391460921048619</v>
      </c>
      <c r="E45">
        <v>141.12521744438001</v>
      </c>
      <c r="F45">
        <v>109.42564165166173</v>
      </c>
      <c r="G45">
        <v>111.20792260505996</v>
      </c>
      <c r="H45">
        <v>64.273506881923879</v>
      </c>
      <c r="I45">
        <v>144.4395275734733</v>
      </c>
      <c r="J45">
        <v>92.066713461714528</v>
      </c>
      <c r="K45">
        <v>116.2038026062807</v>
      </c>
      <c r="L45">
        <v>98.527481917783135</v>
      </c>
      <c r="M45">
        <v>69.928586687826169</v>
      </c>
      <c r="N45">
        <v>102.90383617664114</v>
      </c>
      <c r="O45">
        <v>105.54979094821009</v>
      </c>
      <c r="P45">
        <v>113.54564043092137</v>
      </c>
      <c r="Q45">
        <v>129.80895413068026</v>
      </c>
      <c r="R45">
        <v>146.17908261360515</v>
      </c>
      <c r="S45">
        <v>93.919186986907562</v>
      </c>
      <c r="T45">
        <v>133.13241981261635</v>
      </c>
      <c r="U45">
        <v>99.18057802056947</v>
      </c>
      <c r="V45">
        <v>106.96584978789636</v>
      </c>
      <c r="W45">
        <v>144.87594225898007</v>
      </c>
      <c r="X45">
        <v>60.211493270668662</v>
      </c>
      <c r="Y45">
        <v>138.47926267281105</v>
      </c>
      <c r="Z45">
        <v>146.41407513657032</v>
      </c>
      <c r="AA45">
        <v>97.679067354350423</v>
      </c>
      <c r="AB45">
        <v>58.856471449934382</v>
      </c>
      <c r="AC45">
        <v>59.817804498428295</v>
      </c>
      <c r="AD45">
        <v>65.118869594409006</v>
      </c>
      <c r="AE45">
        <v>89.646595660267963</v>
      </c>
      <c r="AF45">
        <v>149.82299264503922</v>
      </c>
      <c r="AG45">
        <v>52.95419171727653</v>
      </c>
      <c r="AH45">
        <v>87.830744346446124</v>
      </c>
      <c r="AI45">
        <v>114.57106234931486</v>
      </c>
      <c r="AJ45">
        <v>97.645496993926827</v>
      </c>
      <c r="AK45">
        <v>136.41010773033844</v>
      </c>
      <c r="AL45">
        <v>72.510452589495529</v>
      </c>
      <c r="AM45">
        <v>107.96685689870907</v>
      </c>
      <c r="AN45">
        <v>117.52830591753899</v>
      </c>
      <c r="AO45">
        <v>149.41404461806084</v>
      </c>
      <c r="AP45">
        <v>96.998504593035676</v>
      </c>
      <c r="AQ45">
        <v>99.656666768395027</v>
      </c>
      <c r="AR45">
        <v>79.99664296395764</v>
      </c>
      <c r="AS45">
        <v>50.335703604235967</v>
      </c>
      <c r="AT45">
        <v>126.29016998809777</v>
      </c>
      <c r="AU45">
        <v>124.39191869869074</v>
      </c>
      <c r="AV45">
        <v>141.61656544694358</v>
      </c>
      <c r="AW45">
        <v>137.13644825586718</v>
      </c>
      <c r="AX45">
        <v>113.62804040650656</v>
      </c>
      <c r="AY45">
        <v>143.66740928373059</v>
      </c>
      <c r="AZ45">
        <v>61.267433698538163</v>
      </c>
      <c r="BA45">
        <v>115.94439527573473</v>
      </c>
      <c r="BB45">
        <v>53.241065706350902</v>
      </c>
      <c r="BC45">
        <v>116.04510635700552</v>
      </c>
      <c r="BD45">
        <v>117.56492812891018</v>
      </c>
      <c r="BE45">
        <v>51.168858912930695</v>
      </c>
      <c r="BF45">
        <v>61.981566820276498</v>
      </c>
      <c r="BG45">
        <v>66.284676656392094</v>
      </c>
      <c r="BH45">
        <v>78.266243476668606</v>
      </c>
      <c r="BI45">
        <v>112.33100375377667</v>
      </c>
      <c r="BJ45">
        <v>116.10003967406232</v>
      </c>
      <c r="BK45">
        <v>89.005706961272011</v>
      </c>
      <c r="BL45">
        <v>61.328470717490156</v>
      </c>
      <c r="BM45">
        <v>90.137943662831503</v>
      </c>
      <c r="BN45">
        <v>59.69573046052431</v>
      </c>
      <c r="BO45">
        <v>53.122043519394509</v>
      </c>
      <c r="BP45">
        <v>106.33716849269081</v>
      </c>
      <c r="BQ45">
        <v>76.819666127506338</v>
      </c>
      <c r="BR45">
        <v>133.14767906735435</v>
      </c>
      <c r="BS45">
        <v>136.38569292275764</v>
      </c>
      <c r="BT45">
        <v>133.41929380169074</v>
      </c>
      <c r="BU45">
        <v>101.90282906582843</v>
      </c>
      <c r="BV45">
        <v>128.1914731284524</v>
      </c>
      <c r="BW45">
        <v>72.602008117923518</v>
      </c>
      <c r="BX45">
        <v>64.035462508011108</v>
      </c>
      <c r="BY45">
        <v>82.279427472762222</v>
      </c>
      <c r="BZ45">
        <v>100.25177770317698</v>
      </c>
      <c r="CA45">
        <v>127.19656971953491</v>
      </c>
      <c r="CB45">
        <v>56.857509079256566</v>
      </c>
      <c r="CC45">
        <v>127.15384380626851</v>
      </c>
      <c r="CD45">
        <v>116.10614337595752</v>
      </c>
      <c r="CE45">
        <v>66.693624683370473</v>
      </c>
      <c r="CF45">
        <v>61.767937253944517</v>
      </c>
      <c r="CG45">
        <v>88.492996002075259</v>
      </c>
      <c r="CH45">
        <v>65.015106662190618</v>
      </c>
      <c r="CI45">
        <v>137.79564806054873</v>
      </c>
      <c r="CJ45">
        <v>145.17197180089727</v>
      </c>
      <c r="CK45">
        <v>97.605822931608031</v>
      </c>
      <c r="CL45">
        <v>111.49479659413433</v>
      </c>
      <c r="CM45">
        <v>121.62694174016541</v>
      </c>
      <c r="CN45">
        <v>89.698477126377156</v>
      </c>
      <c r="CO45">
        <v>78.495132297738579</v>
      </c>
      <c r="CP45">
        <v>117.76635029145176</v>
      </c>
      <c r="CQ45">
        <v>78.824732200079353</v>
      </c>
      <c r="CR45">
        <v>121.49876400036622</v>
      </c>
      <c r="CS45">
        <v>78.580584124271368</v>
      </c>
      <c r="CT45">
        <v>114.0980254524369</v>
      </c>
      <c r="CU45">
        <v>51.0681478316599</v>
      </c>
      <c r="CV45">
        <v>68.11883907589953</v>
      </c>
    </row>
    <row r="46" spans="1:100">
      <c r="A46">
        <v>131.07242042298654</v>
      </c>
      <c r="B46">
        <v>79.734183782464072</v>
      </c>
      <c r="C46">
        <v>55.52995391705069</v>
      </c>
      <c r="D46">
        <v>138.51283303323464</v>
      </c>
      <c r="E46">
        <v>81.260109256263917</v>
      </c>
      <c r="F46">
        <v>59.512619403668324</v>
      </c>
      <c r="G46">
        <v>110.48463393047884</v>
      </c>
      <c r="H46">
        <v>134.72548600726341</v>
      </c>
      <c r="I46">
        <v>77.570421460615862</v>
      </c>
      <c r="J46">
        <v>111.26895962401196</v>
      </c>
      <c r="K46">
        <v>146.64601580858789</v>
      </c>
      <c r="L46">
        <v>111.53447065645315</v>
      </c>
      <c r="M46">
        <v>112.53547776726585</v>
      </c>
      <c r="N46">
        <v>146.30726035340433</v>
      </c>
      <c r="O46">
        <v>113.34116641743216</v>
      </c>
      <c r="P46">
        <v>121.20883816034424</v>
      </c>
      <c r="Q46">
        <v>78.641621143223375</v>
      </c>
      <c r="R46">
        <v>89.362773522141183</v>
      </c>
      <c r="S46">
        <v>79.779961546678066</v>
      </c>
      <c r="T46">
        <v>75.894955290383621</v>
      </c>
      <c r="U46">
        <v>130.11108737449263</v>
      </c>
      <c r="V46">
        <v>55.752739036225471</v>
      </c>
      <c r="W46">
        <v>116.06952116458632</v>
      </c>
      <c r="X46">
        <v>67.084261604663226</v>
      </c>
      <c r="Y46">
        <v>137.05404828028199</v>
      </c>
      <c r="Z46">
        <v>51.400799584948274</v>
      </c>
      <c r="AA46">
        <v>105.67186498611409</v>
      </c>
      <c r="AB46">
        <v>90.711691640980249</v>
      </c>
      <c r="AC46">
        <v>122.65236365855891</v>
      </c>
      <c r="AD46">
        <v>123.80901516769921</v>
      </c>
      <c r="AE46">
        <v>104.95468001342815</v>
      </c>
      <c r="AF46">
        <v>131.06021301919614</v>
      </c>
      <c r="AG46">
        <v>123.9494003112888</v>
      </c>
      <c r="AH46">
        <v>142.15674306466872</v>
      </c>
      <c r="AI46">
        <v>115.40116580706197</v>
      </c>
      <c r="AJ46">
        <v>106.56605731376081</v>
      </c>
      <c r="AK46">
        <v>66.925565355388045</v>
      </c>
      <c r="AL46">
        <v>134.62172307504503</v>
      </c>
      <c r="AM46">
        <v>84.171575060274051</v>
      </c>
      <c r="AN46">
        <v>130.68483535264139</v>
      </c>
      <c r="AO46">
        <v>96.427808465834531</v>
      </c>
      <c r="AP46">
        <v>61.044648579363383</v>
      </c>
      <c r="AQ46">
        <v>98.59767448957794</v>
      </c>
      <c r="AR46">
        <v>90.894802697836241</v>
      </c>
      <c r="AS46">
        <v>51.623584704123047</v>
      </c>
      <c r="AT46">
        <v>149.07528916287728</v>
      </c>
      <c r="AU46">
        <v>90.232551042207092</v>
      </c>
      <c r="AV46">
        <v>99.01272621845149</v>
      </c>
      <c r="AW46">
        <v>127.60551774651326</v>
      </c>
      <c r="AX46">
        <v>71.906186101870787</v>
      </c>
      <c r="AY46">
        <v>107.41752372814112</v>
      </c>
      <c r="AZ46">
        <v>145.09262367625965</v>
      </c>
      <c r="BA46">
        <v>134.67360454115422</v>
      </c>
      <c r="BB46">
        <v>100.26093325601978</v>
      </c>
      <c r="BC46">
        <v>124.08368175298318</v>
      </c>
      <c r="BD46">
        <v>70.096438489944148</v>
      </c>
      <c r="BE46">
        <v>91.862239448225353</v>
      </c>
      <c r="BF46">
        <v>60.361033967101051</v>
      </c>
      <c r="BG46">
        <v>63.785210730307931</v>
      </c>
      <c r="BH46">
        <v>145.84337900936919</v>
      </c>
      <c r="BI46">
        <v>115.41642506179997</v>
      </c>
      <c r="BJ46">
        <v>131.29520554216131</v>
      </c>
      <c r="BK46">
        <v>144.38459425641651</v>
      </c>
      <c r="BL46">
        <v>69.397564622943818</v>
      </c>
      <c r="BM46">
        <v>112.19672231208227</v>
      </c>
      <c r="BN46">
        <v>148.17194128238776</v>
      </c>
      <c r="BO46">
        <v>143.37748344370863</v>
      </c>
      <c r="BP46">
        <v>109.65758232367932</v>
      </c>
      <c r="BQ46">
        <v>121.29123813592945</v>
      </c>
      <c r="BR46">
        <v>106.48060548722802</v>
      </c>
      <c r="BS46">
        <v>86.085085604419078</v>
      </c>
      <c r="BT46">
        <v>105.37583544419691</v>
      </c>
      <c r="BU46">
        <v>132.32978301339762</v>
      </c>
      <c r="BV46">
        <v>69.605090487380593</v>
      </c>
      <c r="BW46">
        <v>135.52812280648214</v>
      </c>
      <c r="BX46">
        <v>57.968382824182868</v>
      </c>
      <c r="BY46">
        <v>119.62797936948759</v>
      </c>
      <c r="BZ46">
        <v>128.90560625019074</v>
      </c>
      <c r="CA46">
        <v>124.72151860103152</v>
      </c>
      <c r="CB46">
        <v>97.151097140415658</v>
      </c>
      <c r="CC46">
        <v>57.782219916379283</v>
      </c>
      <c r="CD46">
        <v>119.42960905789361</v>
      </c>
      <c r="CE46">
        <v>121.97485274819178</v>
      </c>
      <c r="CF46">
        <v>147.53410443433944</v>
      </c>
      <c r="CG46">
        <v>134.31653798028503</v>
      </c>
      <c r="CH46">
        <v>144.47614978484449</v>
      </c>
      <c r="CI46">
        <v>69.812616351817383</v>
      </c>
      <c r="CJ46">
        <v>74.356822412793363</v>
      </c>
      <c r="CK46">
        <v>125.04806665242469</v>
      </c>
      <c r="CL46">
        <v>111.9922482985931</v>
      </c>
      <c r="CM46">
        <v>88.172551652577283</v>
      </c>
      <c r="CN46">
        <v>136.42841883602404</v>
      </c>
      <c r="CO46">
        <v>147.75078585161901</v>
      </c>
      <c r="CP46">
        <v>136.08355967894528</v>
      </c>
      <c r="CQ46">
        <v>82.456434827723015</v>
      </c>
      <c r="CR46">
        <v>124.40717795342874</v>
      </c>
      <c r="CS46">
        <v>59.787285988952299</v>
      </c>
      <c r="CT46">
        <v>106.6301461836604</v>
      </c>
      <c r="CU46">
        <v>147.13126010925629</v>
      </c>
      <c r="CV46">
        <v>112.58125553147984</v>
      </c>
    </row>
    <row r="47" spans="1:100">
      <c r="A47">
        <v>114.1376995147557</v>
      </c>
      <c r="B47">
        <v>115.89861751152074</v>
      </c>
      <c r="C47">
        <v>113.69823297830135</v>
      </c>
      <c r="D47">
        <v>95.777764213995795</v>
      </c>
      <c r="E47">
        <v>118.93826105533006</v>
      </c>
      <c r="F47">
        <v>103.72173223059787</v>
      </c>
      <c r="G47">
        <v>149.21567430646687</v>
      </c>
      <c r="H47">
        <v>75.260170293282869</v>
      </c>
      <c r="I47">
        <v>73.358867152928255</v>
      </c>
      <c r="J47">
        <v>108.89461958677938</v>
      </c>
      <c r="K47">
        <v>87.171544541764575</v>
      </c>
      <c r="L47">
        <v>124.59944456312753</v>
      </c>
      <c r="M47">
        <v>64.825891903439441</v>
      </c>
      <c r="N47">
        <v>128.76522110660116</v>
      </c>
      <c r="O47">
        <v>106.6667683950316</v>
      </c>
      <c r="P47">
        <v>143.07535019989623</v>
      </c>
      <c r="Q47">
        <v>135.75090792565692</v>
      </c>
      <c r="R47">
        <v>65.24704733420819</v>
      </c>
      <c r="S47">
        <v>64.487136448255868</v>
      </c>
      <c r="T47">
        <v>122.67067476424451</v>
      </c>
      <c r="U47">
        <v>73.139133884701067</v>
      </c>
      <c r="V47">
        <v>118.5018463698233</v>
      </c>
      <c r="W47">
        <v>126.63502914517655</v>
      </c>
      <c r="X47">
        <v>116.02679525131992</v>
      </c>
      <c r="Y47">
        <v>117.16208380382702</v>
      </c>
      <c r="Z47">
        <v>123.73577074495682</v>
      </c>
      <c r="AA47">
        <v>70.319223609118922</v>
      </c>
      <c r="AB47">
        <v>92.912076174199655</v>
      </c>
      <c r="AC47">
        <v>104.261909848323</v>
      </c>
      <c r="AD47">
        <v>84.348582415234844</v>
      </c>
      <c r="AE47">
        <v>97.13278603473006</v>
      </c>
      <c r="AF47">
        <v>63.275551622058778</v>
      </c>
      <c r="AG47">
        <v>110.50294503616443</v>
      </c>
      <c r="AH47">
        <v>104.45112460707418</v>
      </c>
      <c r="AI47">
        <v>147.92168950468459</v>
      </c>
      <c r="AJ47">
        <v>95.042268135624255</v>
      </c>
      <c r="AK47">
        <v>110.68605609302041</v>
      </c>
      <c r="AL47">
        <v>73.923459578234201</v>
      </c>
      <c r="AM47">
        <v>60.092471083712269</v>
      </c>
      <c r="AN47">
        <v>104.72884304330577</v>
      </c>
      <c r="AO47">
        <v>118.95352031006806</v>
      </c>
      <c r="AP47">
        <v>109.18149357585376</v>
      </c>
      <c r="AQ47">
        <v>57.919553209021274</v>
      </c>
      <c r="AR47">
        <v>149.09054841761528</v>
      </c>
      <c r="AS47">
        <v>126.45191808832057</v>
      </c>
      <c r="AT47">
        <v>102.66579180272836</v>
      </c>
      <c r="AU47">
        <v>116.45100253303629</v>
      </c>
      <c r="AV47">
        <v>95.799127170628992</v>
      </c>
      <c r="AW47">
        <v>101.66478469191564</v>
      </c>
      <c r="AX47">
        <v>84.311960203863649</v>
      </c>
      <c r="AY47">
        <v>115.28824732200079</v>
      </c>
      <c r="AZ47">
        <v>80.234687337870412</v>
      </c>
      <c r="BA47">
        <v>105.40635395367291</v>
      </c>
      <c r="BB47">
        <v>102.24463637195959</v>
      </c>
      <c r="BC47">
        <v>147.54631183812984</v>
      </c>
      <c r="BD47">
        <v>95.551927243873408</v>
      </c>
      <c r="BE47">
        <v>75.73320719016084</v>
      </c>
      <c r="BF47">
        <v>84.781945249794006</v>
      </c>
      <c r="BG47">
        <v>92.204046754356511</v>
      </c>
      <c r="BH47">
        <v>66.187017426068905</v>
      </c>
      <c r="BI47">
        <v>105.64134647663808</v>
      </c>
      <c r="BJ47">
        <v>102.63222144230477</v>
      </c>
      <c r="BK47">
        <v>116.93624683370464</v>
      </c>
      <c r="BL47">
        <v>54.232917264320811</v>
      </c>
      <c r="BM47">
        <v>63.583788567766348</v>
      </c>
      <c r="BN47">
        <v>136.20258186590166</v>
      </c>
      <c r="BO47">
        <v>73.136082033753468</v>
      </c>
      <c r="BP47">
        <v>77.603991821039457</v>
      </c>
      <c r="BQ47">
        <v>129.45188756981111</v>
      </c>
      <c r="BR47">
        <v>94.898831141087072</v>
      </c>
      <c r="BS47">
        <v>135.36027100436417</v>
      </c>
      <c r="BT47">
        <v>54.300057985168003</v>
      </c>
      <c r="BU47">
        <v>74.307992797631769</v>
      </c>
      <c r="BV47">
        <v>140.39582506790367</v>
      </c>
      <c r="BW47">
        <v>144.04889065218055</v>
      </c>
      <c r="BX47">
        <v>136.68172246467481</v>
      </c>
      <c r="BY47">
        <v>70.017090365306558</v>
      </c>
      <c r="BZ47">
        <v>120.21393475142675</v>
      </c>
      <c r="CA47">
        <v>117.20480971709341</v>
      </c>
      <c r="CB47">
        <v>138.93093661305582</v>
      </c>
      <c r="CC47">
        <v>119.40214239936522</v>
      </c>
      <c r="CD47">
        <v>139.83123264259774</v>
      </c>
      <c r="CE47">
        <v>146.67043061616869</v>
      </c>
      <c r="CF47">
        <v>110.78981902523881</v>
      </c>
      <c r="CG47">
        <v>147.48527481917785</v>
      </c>
      <c r="CH47">
        <v>51.345866267891473</v>
      </c>
      <c r="CI47">
        <v>144.54023865474409</v>
      </c>
      <c r="CJ47">
        <v>60.724204229865414</v>
      </c>
      <c r="CK47">
        <v>144.55244605853449</v>
      </c>
      <c r="CL47">
        <v>86.902981658375808</v>
      </c>
      <c r="CM47">
        <v>55.462813196203498</v>
      </c>
      <c r="CN47">
        <v>81.620227668080688</v>
      </c>
      <c r="CO47">
        <v>101.53660695211646</v>
      </c>
      <c r="CP47">
        <v>114.94338816492203</v>
      </c>
      <c r="CQ47">
        <v>100.33112582781457</v>
      </c>
      <c r="CR47">
        <v>82.126834925382241</v>
      </c>
      <c r="CS47">
        <v>128.46308786278877</v>
      </c>
      <c r="CT47">
        <v>147.44865260780665</v>
      </c>
      <c r="CU47">
        <v>67.075106051820427</v>
      </c>
      <c r="CV47">
        <v>76.828821680349137</v>
      </c>
    </row>
    <row r="48" spans="1:100">
      <c r="A48">
        <v>89.692373424481957</v>
      </c>
      <c r="B48">
        <v>101.41758476516007</v>
      </c>
      <c r="C48">
        <v>69.110690633869439</v>
      </c>
      <c r="D48">
        <v>148.00103762932218</v>
      </c>
      <c r="E48">
        <v>143.70403149510179</v>
      </c>
      <c r="F48">
        <v>74.674214911343739</v>
      </c>
      <c r="G48">
        <v>131.95440534684286</v>
      </c>
      <c r="H48">
        <v>146.21265297402874</v>
      </c>
      <c r="I48">
        <v>85.148167363505962</v>
      </c>
      <c r="J48">
        <v>53.238013855403302</v>
      </c>
      <c r="K48">
        <v>54.181035798211617</v>
      </c>
      <c r="L48">
        <v>105.95873897518845</v>
      </c>
      <c r="M48">
        <v>126.01245155186621</v>
      </c>
      <c r="N48">
        <v>72.089297158726765</v>
      </c>
      <c r="O48">
        <v>68.015076143681142</v>
      </c>
      <c r="P48">
        <v>69.119846186712238</v>
      </c>
      <c r="Q48">
        <v>75.077059236426891</v>
      </c>
      <c r="R48">
        <v>51.617481002227848</v>
      </c>
      <c r="S48">
        <v>122.09387493514818</v>
      </c>
      <c r="T48">
        <v>110.33509323404644</v>
      </c>
      <c r="U48">
        <v>96.763512070070504</v>
      </c>
      <c r="V48">
        <v>83.579515976439708</v>
      </c>
      <c r="W48">
        <v>136.13238929410687</v>
      </c>
      <c r="X48">
        <v>135.54033021027254</v>
      </c>
      <c r="Y48">
        <v>127.99005096591083</v>
      </c>
      <c r="Z48">
        <v>143.01126132999664</v>
      </c>
      <c r="AA48">
        <v>77.637562181463068</v>
      </c>
      <c r="AB48">
        <v>114.31775872066409</v>
      </c>
      <c r="AC48">
        <v>93.656727805413993</v>
      </c>
      <c r="AD48">
        <v>104.2588579973754</v>
      </c>
      <c r="AE48">
        <v>126.34815515610217</v>
      </c>
      <c r="AF48">
        <v>149.13632618182928</v>
      </c>
      <c r="AG48">
        <v>111.41544846949674</v>
      </c>
      <c r="AH48">
        <v>89.249855037079982</v>
      </c>
      <c r="AI48">
        <v>141.93700979644154</v>
      </c>
      <c r="AJ48">
        <v>134.63698232978302</v>
      </c>
      <c r="AK48">
        <v>126.27491073335977</v>
      </c>
      <c r="AL48">
        <v>126.0765404217658</v>
      </c>
      <c r="AM48">
        <v>100.71260719626454</v>
      </c>
      <c r="AN48">
        <v>110.10620441297647</v>
      </c>
      <c r="AO48">
        <v>65.759758293404957</v>
      </c>
      <c r="AP48">
        <v>146.09057893612476</v>
      </c>
      <c r="AQ48">
        <v>116.87826166570025</v>
      </c>
      <c r="AR48">
        <v>58.194219794305248</v>
      </c>
      <c r="AS48">
        <v>56.167790765099035</v>
      </c>
      <c r="AT48">
        <v>97.584459974974834</v>
      </c>
      <c r="AU48">
        <v>113.95458845789972</v>
      </c>
      <c r="AV48">
        <v>53.091525009918513</v>
      </c>
      <c r="AW48">
        <v>90.61403241065706</v>
      </c>
      <c r="AX48">
        <v>104.20697653126621</v>
      </c>
      <c r="AY48">
        <v>96.479689931943724</v>
      </c>
      <c r="AZ48">
        <v>76.276436658833589</v>
      </c>
      <c r="BA48">
        <v>114.1376995147557</v>
      </c>
      <c r="BB48">
        <v>138.29309976500747</v>
      </c>
      <c r="BC48">
        <v>94.190801721243929</v>
      </c>
      <c r="BD48">
        <v>66.745506149479667</v>
      </c>
      <c r="BE48">
        <v>102.27820673238318</v>
      </c>
      <c r="BF48">
        <v>64.166692098757892</v>
      </c>
      <c r="BG48">
        <v>138.830225531785</v>
      </c>
      <c r="BH48">
        <v>86.530655842768638</v>
      </c>
      <c r="BI48">
        <v>120.31159398174994</v>
      </c>
      <c r="BJ48">
        <v>62.472914822840053</v>
      </c>
      <c r="BK48">
        <v>132.97067171239357</v>
      </c>
      <c r="BL48">
        <v>98.066652424695576</v>
      </c>
      <c r="BM48">
        <v>120.43366801965392</v>
      </c>
      <c r="BN48">
        <v>108.13165684987945</v>
      </c>
      <c r="BO48">
        <v>107.36564226203193</v>
      </c>
      <c r="BP48">
        <v>92.548905911435284</v>
      </c>
      <c r="BQ48">
        <v>128.71333964049197</v>
      </c>
      <c r="BR48">
        <v>73.938718832972199</v>
      </c>
      <c r="BS48">
        <v>140.53315836054566</v>
      </c>
      <c r="BT48">
        <v>93.65062410351878</v>
      </c>
      <c r="BU48">
        <v>146.44154179509871</v>
      </c>
      <c r="BV48">
        <v>89.088106936857201</v>
      </c>
      <c r="BW48">
        <v>95.7319864497818</v>
      </c>
      <c r="BX48">
        <v>109.10519730216376</v>
      </c>
      <c r="BY48">
        <v>107.89971617786188</v>
      </c>
      <c r="BZ48">
        <v>128.33491012298958</v>
      </c>
      <c r="CA48">
        <v>65.948973052156134</v>
      </c>
      <c r="CB48">
        <v>58.246101260414441</v>
      </c>
      <c r="CC48">
        <v>110.19775994140446</v>
      </c>
      <c r="CD48">
        <v>84.940641499069187</v>
      </c>
      <c r="CE48">
        <v>67.505417035431989</v>
      </c>
      <c r="CF48">
        <v>53.674428540910064</v>
      </c>
      <c r="CG48">
        <v>80.835901974547568</v>
      </c>
      <c r="CH48">
        <v>130.58717612231817</v>
      </c>
      <c r="CI48">
        <v>72.943815424054691</v>
      </c>
      <c r="CJ48">
        <v>65.124973296304205</v>
      </c>
      <c r="CK48">
        <v>98.542741172521147</v>
      </c>
      <c r="CL48">
        <v>115.24857325968199</v>
      </c>
      <c r="CM48">
        <v>123.77544480727562</v>
      </c>
      <c r="CN48">
        <v>143.70097964415419</v>
      </c>
      <c r="CO48">
        <v>133.10190130314035</v>
      </c>
      <c r="CP48">
        <v>110.29847102267524</v>
      </c>
      <c r="CQ48">
        <v>113.74095889156774</v>
      </c>
      <c r="CR48">
        <v>134.58510086367383</v>
      </c>
      <c r="CS48">
        <v>119.71343119602038</v>
      </c>
      <c r="CT48">
        <v>147.8698080385754</v>
      </c>
      <c r="CU48">
        <v>83.216345713675338</v>
      </c>
      <c r="CV48">
        <v>56.341746269112214</v>
      </c>
    </row>
    <row r="49" spans="1:100">
      <c r="A49">
        <v>62.076174199652087</v>
      </c>
      <c r="B49">
        <v>111.21707815790276</v>
      </c>
      <c r="C49">
        <v>89.426862392040775</v>
      </c>
      <c r="D49">
        <v>146.21265297402874</v>
      </c>
      <c r="E49">
        <v>146.69179357280191</v>
      </c>
      <c r="F49">
        <v>147.57072664571064</v>
      </c>
      <c r="G49">
        <v>143.5911130100406</v>
      </c>
      <c r="H49">
        <v>92.710654011658079</v>
      </c>
      <c r="I49">
        <v>84.336375011444446</v>
      </c>
      <c r="J49">
        <v>90.888698995941041</v>
      </c>
      <c r="K49">
        <v>81.769768364513084</v>
      </c>
      <c r="L49">
        <v>63.006988738670003</v>
      </c>
      <c r="M49">
        <v>51.135288552507099</v>
      </c>
      <c r="N49">
        <v>60.711996826075016</v>
      </c>
      <c r="O49">
        <v>51.651051362651451</v>
      </c>
      <c r="P49">
        <v>145.17502365184487</v>
      </c>
      <c r="Q49">
        <v>139.58708456678977</v>
      </c>
      <c r="R49">
        <v>59.488204596087527</v>
      </c>
      <c r="S49">
        <v>56.109805597094635</v>
      </c>
      <c r="T49">
        <v>149.94201483199561</v>
      </c>
      <c r="U49">
        <v>109.30661946470535</v>
      </c>
      <c r="V49">
        <v>82.822656941434985</v>
      </c>
      <c r="W49">
        <v>134.93606372264779</v>
      </c>
      <c r="X49">
        <v>128.13348796044801</v>
      </c>
      <c r="Y49">
        <v>147.34794152653586</v>
      </c>
      <c r="Z49">
        <v>101.0483108005005</v>
      </c>
      <c r="AA49">
        <v>132.64412366100041</v>
      </c>
      <c r="AB49">
        <v>129.63499862666708</v>
      </c>
      <c r="AC49">
        <v>103.70952482680745</v>
      </c>
      <c r="AD49">
        <v>115.18753624073</v>
      </c>
      <c r="AE49">
        <v>143.08145390179143</v>
      </c>
      <c r="AF49">
        <v>132.12530899990844</v>
      </c>
      <c r="AG49">
        <v>117.67174291207617</v>
      </c>
      <c r="AH49">
        <v>140.46906949064606</v>
      </c>
      <c r="AI49">
        <v>71.408734397412033</v>
      </c>
      <c r="AJ49">
        <v>117.64732810449537</v>
      </c>
      <c r="AK49">
        <v>100.56001464888455</v>
      </c>
      <c r="AL49">
        <v>120.48554948576312</v>
      </c>
      <c r="AM49">
        <v>104.06659138767662</v>
      </c>
      <c r="AN49">
        <v>125.17014069032868</v>
      </c>
      <c r="AO49">
        <v>90.610980559709461</v>
      </c>
      <c r="AP49">
        <v>125.17624439222388</v>
      </c>
      <c r="AQ49">
        <v>127.39799188207648</v>
      </c>
      <c r="AR49">
        <v>57.229834894863735</v>
      </c>
      <c r="AS49">
        <v>145.48936429944763</v>
      </c>
      <c r="AT49">
        <v>135.68071535386213</v>
      </c>
      <c r="AU49">
        <v>85.523545030060731</v>
      </c>
      <c r="AV49">
        <v>68.820764793847474</v>
      </c>
      <c r="AW49">
        <v>88.163396099734484</v>
      </c>
      <c r="AX49">
        <v>69.26328318124942</v>
      </c>
      <c r="AY49">
        <v>133.58409375286112</v>
      </c>
      <c r="AZ49">
        <v>59.628589739677111</v>
      </c>
      <c r="BA49">
        <v>115.37064729758598</v>
      </c>
      <c r="BB49">
        <v>74.970244453260904</v>
      </c>
      <c r="BC49">
        <v>80.298776207770004</v>
      </c>
      <c r="BD49">
        <v>68.109683523056731</v>
      </c>
      <c r="BE49">
        <v>74.680318613238938</v>
      </c>
      <c r="BF49">
        <v>50.766014587847529</v>
      </c>
      <c r="BG49">
        <v>67.685476241340368</v>
      </c>
      <c r="BH49">
        <v>133.69396038697471</v>
      </c>
      <c r="BI49">
        <v>78.510391552476577</v>
      </c>
      <c r="BJ49">
        <v>86.207159642323063</v>
      </c>
      <c r="BK49">
        <v>74.698629718924536</v>
      </c>
      <c r="BL49">
        <v>110.36561174352245</v>
      </c>
      <c r="BM49">
        <v>142.2605059968871</v>
      </c>
      <c r="BN49">
        <v>52.896206549272136</v>
      </c>
      <c r="BO49">
        <v>83.03628650776696</v>
      </c>
      <c r="BP49">
        <v>113.43882564775535</v>
      </c>
      <c r="BQ49">
        <v>88.816492202520834</v>
      </c>
      <c r="BR49">
        <v>125.78356273079623</v>
      </c>
      <c r="BS49">
        <v>87.064729758598588</v>
      </c>
      <c r="BT49">
        <v>52.246162297433393</v>
      </c>
      <c r="BU49">
        <v>62.86965544602802</v>
      </c>
      <c r="BV49">
        <v>102.67799920651876</v>
      </c>
      <c r="BW49">
        <v>147.68364513077182</v>
      </c>
      <c r="BX49">
        <v>131.06021301919614</v>
      </c>
      <c r="BY49">
        <v>140.74373607593003</v>
      </c>
      <c r="BZ49">
        <v>137.29209265419476</v>
      </c>
      <c r="CA49">
        <v>105.76342051454208</v>
      </c>
      <c r="CB49">
        <v>71.240882595294039</v>
      </c>
      <c r="CC49">
        <v>76.334421826837982</v>
      </c>
      <c r="CD49">
        <v>63.84929960020753</v>
      </c>
      <c r="CE49">
        <v>120.79683828241828</v>
      </c>
      <c r="CF49">
        <v>57.861568041016881</v>
      </c>
      <c r="CG49">
        <v>73.868526261177408</v>
      </c>
      <c r="CH49">
        <v>141.4395580919828</v>
      </c>
      <c r="CI49">
        <v>50.323496200445568</v>
      </c>
      <c r="CJ49">
        <v>63.827936643574333</v>
      </c>
      <c r="CK49">
        <v>127.95953245643483</v>
      </c>
      <c r="CL49">
        <v>96.208075197607343</v>
      </c>
      <c r="CM49">
        <v>135.8760338145085</v>
      </c>
      <c r="CN49">
        <v>54.672383800775172</v>
      </c>
      <c r="CO49">
        <v>121.73986022522661</v>
      </c>
      <c r="CP49">
        <v>89.54893642994476</v>
      </c>
      <c r="CQ49">
        <v>110.8966338084048</v>
      </c>
      <c r="CR49">
        <v>127.15079195532091</v>
      </c>
      <c r="CS49">
        <v>123.59843745231483</v>
      </c>
      <c r="CT49">
        <v>90.372936185796689</v>
      </c>
      <c r="CU49">
        <v>96.452223273415328</v>
      </c>
      <c r="CV49">
        <v>84.723960081789613</v>
      </c>
    </row>
    <row r="50" spans="1:100">
      <c r="A50">
        <v>118.09900204474013</v>
      </c>
      <c r="B50">
        <v>116.60969878231148</v>
      </c>
      <c r="C50">
        <v>71.716971343119596</v>
      </c>
      <c r="D50">
        <v>147.39982299264506</v>
      </c>
      <c r="E50">
        <v>68.576616718039489</v>
      </c>
      <c r="F50">
        <v>96.659749137852117</v>
      </c>
      <c r="G50">
        <v>78.720969267860966</v>
      </c>
      <c r="H50">
        <v>60.122989593188265</v>
      </c>
      <c r="I50">
        <v>103.60271004364147</v>
      </c>
      <c r="J50">
        <v>148.73043000579852</v>
      </c>
      <c r="K50">
        <v>120.79989013336588</v>
      </c>
      <c r="L50">
        <v>129.83642078920866</v>
      </c>
      <c r="M50">
        <v>134.17004913480025</v>
      </c>
      <c r="N50">
        <v>55.316324350718709</v>
      </c>
      <c r="O50">
        <v>54.031495101779228</v>
      </c>
      <c r="P50">
        <v>127.59941404461806</v>
      </c>
      <c r="Q50">
        <v>79.157383953367713</v>
      </c>
      <c r="R50">
        <v>113.53648487807857</v>
      </c>
      <c r="S50">
        <v>75.794244209112833</v>
      </c>
      <c r="T50">
        <v>145.13534958952607</v>
      </c>
      <c r="U50">
        <v>61.88085573900571</v>
      </c>
      <c r="V50">
        <v>107.98821985534227</v>
      </c>
      <c r="W50">
        <v>118.65443891720329</v>
      </c>
      <c r="X50">
        <v>75.601977599414042</v>
      </c>
      <c r="Y50">
        <v>80.265205847346408</v>
      </c>
      <c r="Z50">
        <v>62.729270302438429</v>
      </c>
      <c r="AA50">
        <v>106.98110904263436</v>
      </c>
      <c r="AB50">
        <v>106.27918332468641</v>
      </c>
      <c r="AC50">
        <v>141.28086184270762</v>
      </c>
      <c r="AD50">
        <v>100.45319986571856</v>
      </c>
      <c r="AE50">
        <v>91.88665425580615</v>
      </c>
      <c r="AF50">
        <v>76.285592211676388</v>
      </c>
      <c r="AG50">
        <v>100.25177770317698</v>
      </c>
      <c r="AH50">
        <v>87.040314951017791</v>
      </c>
      <c r="AI50">
        <v>130.06836146122623</v>
      </c>
      <c r="AJ50">
        <v>102.48878444776756</v>
      </c>
      <c r="AK50">
        <v>95.716727195043802</v>
      </c>
      <c r="AL50">
        <v>89.58250679036837</v>
      </c>
      <c r="AM50">
        <v>122.25867488631856</v>
      </c>
      <c r="AN50">
        <v>126.66554765465254</v>
      </c>
      <c r="AO50">
        <v>120.34516434217353</v>
      </c>
      <c r="AP50">
        <v>125.99108859523301</v>
      </c>
      <c r="AQ50">
        <v>76.874599444563131</v>
      </c>
      <c r="AR50">
        <v>87.104403820917383</v>
      </c>
      <c r="AS50">
        <v>118.68495742667929</v>
      </c>
      <c r="AT50">
        <v>134.35926389355143</v>
      </c>
      <c r="AU50">
        <v>114.45509201330607</v>
      </c>
      <c r="AV50">
        <v>67.752616962187574</v>
      </c>
      <c r="AW50">
        <v>52.249214148380993</v>
      </c>
      <c r="AX50">
        <v>140.1577806939909</v>
      </c>
      <c r="AY50">
        <v>73.175756096072263</v>
      </c>
      <c r="AZ50">
        <v>79.606006042664887</v>
      </c>
      <c r="BA50">
        <v>100.19684438612019</v>
      </c>
      <c r="BB50">
        <v>103.12662129581591</v>
      </c>
      <c r="BC50">
        <v>97.251808221686446</v>
      </c>
      <c r="BD50">
        <v>65.051728873561814</v>
      </c>
      <c r="BE50">
        <v>84.29975280007325</v>
      </c>
      <c r="BF50">
        <v>89.039277321695607</v>
      </c>
      <c r="BG50">
        <v>146.12720114749595</v>
      </c>
      <c r="BH50">
        <v>134.73464156010621</v>
      </c>
      <c r="BI50">
        <v>117.96777245399335</v>
      </c>
      <c r="BJ50">
        <v>85.105441450239567</v>
      </c>
      <c r="BK50">
        <v>91.138950773644211</v>
      </c>
      <c r="BL50">
        <v>126.80898464918974</v>
      </c>
      <c r="BM50">
        <v>80.118717001861626</v>
      </c>
      <c r="BN50">
        <v>124.32782982879115</v>
      </c>
      <c r="BO50">
        <v>73.963133640552996</v>
      </c>
      <c r="BP50">
        <v>144.24726096377452</v>
      </c>
      <c r="BQ50">
        <v>127.92901394695882</v>
      </c>
      <c r="BR50">
        <v>87.009796441541795</v>
      </c>
      <c r="BS50">
        <v>148.26349681081575</v>
      </c>
      <c r="BT50">
        <v>92.323068941312911</v>
      </c>
      <c r="BU50">
        <v>96.760460219122905</v>
      </c>
      <c r="BV50">
        <v>63.376262703329573</v>
      </c>
      <c r="BW50">
        <v>104.34736167485579</v>
      </c>
      <c r="BX50">
        <v>67.13309121982482</v>
      </c>
      <c r="BY50">
        <v>147.23197119052708</v>
      </c>
      <c r="BZ50">
        <v>74.967192602313304</v>
      </c>
      <c r="CA50">
        <v>117.50083925901059</v>
      </c>
      <c r="CB50">
        <v>73.160496841334265</v>
      </c>
      <c r="CC50">
        <v>124.91378521073031</v>
      </c>
      <c r="CD50">
        <v>57.943968016602071</v>
      </c>
      <c r="CE50">
        <v>110.52430799279763</v>
      </c>
      <c r="CF50">
        <v>98.103274636066772</v>
      </c>
      <c r="CG50">
        <v>148.40693380535293</v>
      </c>
      <c r="CH50">
        <v>61.456648457289347</v>
      </c>
      <c r="CI50">
        <v>71.182897427289646</v>
      </c>
      <c r="CJ50">
        <v>123.03994872890408</v>
      </c>
      <c r="CK50">
        <v>91.315958128605004</v>
      </c>
      <c r="CL50">
        <v>64.142277291177095</v>
      </c>
      <c r="CM50">
        <v>115.172276985992</v>
      </c>
      <c r="CN50">
        <v>96.076845606860559</v>
      </c>
      <c r="CO50">
        <v>73.822748496963413</v>
      </c>
      <c r="CP50">
        <v>61.947996459852902</v>
      </c>
      <c r="CQ50">
        <v>135.17105624561296</v>
      </c>
      <c r="CR50">
        <v>147.59514145329143</v>
      </c>
      <c r="CS50">
        <v>129.45493942075871</v>
      </c>
      <c r="CT50">
        <v>130.336924344615</v>
      </c>
      <c r="CU50">
        <v>126.71742912076174</v>
      </c>
      <c r="CV50">
        <v>75.214392529068874</v>
      </c>
    </row>
    <row r="51" spans="1:100">
      <c r="A51">
        <v>78.56532486953337</v>
      </c>
      <c r="B51">
        <v>127.98699911496323</v>
      </c>
      <c r="C51">
        <v>122.63100070192571</v>
      </c>
      <c r="D51">
        <v>149.39878536332284</v>
      </c>
      <c r="E51">
        <v>68.778038880581079</v>
      </c>
      <c r="F51">
        <v>66.217535935544902</v>
      </c>
      <c r="G51">
        <v>93.235572374645216</v>
      </c>
      <c r="H51">
        <v>145.93798638874478</v>
      </c>
      <c r="I51">
        <v>61.328470717490156</v>
      </c>
      <c r="J51">
        <v>120.39094210638753</v>
      </c>
      <c r="K51">
        <v>100.28839991454818</v>
      </c>
      <c r="L51">
        <v>120.95553453169347</v>
      </c>
      <c r="M51">
        <v>133.10800500503555</v>
      </c>
      <c r="N51">
        <v>58.514664143803216</v>
      </c>
      <c r="O51">
        <v>93.708609271523187</v>
      </c>
      <c r="P51">
        <v>112.82235175634023</v>
      </c>
      <c r="Q51">
        <v>54.586931974242376</v>
      </c>
      <c r="R51">
        <v>62.375255592516865</v>
      </c>
      <c r="S51">
        <v>98.503067110202338</v>
      </c>
      <c r="T51">
        <v>85.441145054475527</v>
      </c>
      <c r="U51">
        <v>67.33756523331401</v>
      </c>
      <c r="V51">
        <v>57.522812585833307</v>
      </c>
      <c r="W51">
        <v>137.28598895229956</v>
      </c>
      <c r="X51">
        <v>123.15897091586046</v>
      </c>
      <c r="Y51">
        <v>111.70537430951873</v>
      </c>
      <c r="Z51">
        <v>92.683187353129682</v>
      </c>
      <c r="AA51">
        <v>104.56099124118779</v>
      </c>
      <c r="AB51">
        <v>70.444349497970521</v>
      </c>
      <c r="AC51">
        <v>120.34516434217353</v>
      </c>
      <c r="AD51">
        <v>121.69713431196021</v>
      </c>
      <c r="AE51">
        <v>133.38572344126712</v>
      </c>
      <c r="AF51">
        <v>94.404431287575903</v>
      </c>
      <c r="AG51">
        <v>143.18216498306225</v>
      </c>
      <c r="AH51">
        <v>91.135898922696612</v>
      </c>
      <c r="AI51">
        <v>145.02853480636006</v>
      </c>
      <c r="AJ51">
        <v>98.249763481551554</v>
      </c>
      <c r="AK51">
        <v>119.43571275978881</v>
      </c>
      <c r="AL51">
        <v>86.695455793939033</v>
      </c>
      <c r="AM51">
        <v>122.28614154484696</v>
      </c>
      <c r="AN51">
        <v>63.907284768211923</v>
      </c>
      <c r="AO51">
        <v>62.363048188726466</v>
      </c>
      <c r="AP51">
        <v>141.51585436567279</v>
      </c>
      <c r="AQ51">
        <v>97.05038605914487</v>
      </c>
      <c r="AR51">
        <v>51.831110568559829</v>
      </c>
      <c r="AS51">
        <v>72.29987487411114</v>
      </c>
      <c r="AT51">
        <v>59.524826807458723</v>
      </c>
      <c r="AU51">
        <v>92.728965117343677</v>
      </c>
      <c r="AV51">
        <v>136.16901150547807</v>
      </c>
      <c r="AW51">
        <v>143.65215002899259</v>
      </c>
      <c r="AX51">
        <v>56.96432386242256</v>
      </c>
      <c r="AY51">
        <v>62.643818475905633</v>
      </c>
      <c r="AZ51">
        <v>114.04614398632771</v>
      </c>
      <c r="BA51">
        <v>131.4203314310129</v>
      </c>
      <c r="BB51">
        <v>76.636555070650346</v>
      </c>
      <c r="BC51">
        <v>62.775048066652424</v>
      </c>
      <c r="BD51">
        <v>147.52189703054904</v>
      </c>
      <c r="BE51">
        <v>88.178655354472482</v>
      </c>
      <c r="BF51">
        <v>58.429212317270427</v>
      </c>
      <c r="BG51">
        <v>90.269173253578288</v>
      </c>
      <c r="BH51">
        <v>59.115878780480358</v>
      </c>
      <c r="BI51">
        <v>133.07748649555955</v>
      </c>
      <c r="BJ51">
        <v>98.9364299447615</v>
      </c>
      <c r="BK51">
        <v>100.37690359202857</v>
      </c>
      <c r="BL51">
        <v>62.225714896084476</v>
      </c>
      <c r="BM51">
        <v>138.47926267281105</v>
      </c>
      <c r="BN51">
        <v>93.406476027710795</v>
      </c>
      <c r="BO51">
        <v>120.29633472701194</v>
      </c>
      <c r="BP51">
        <v>86.448255867183448</v>
      </c>
      <c r="BQ51">
        <v>132.05511642811365</v>
      </c>
      <c r="BR51">
        <v>59.46989349040193</v>
      </c>
      <c r="BS51">
        <v>145.21774956511126</v>
      </c>
      <c r="BT51">
        <v>51.907406842249827</v>
      </c>
      <c r="BU51">
        <v>86.280404065065454</v>
      </c>
      <c r="BV51">
        <v>131.10599078341014</v>
      </c>
      <c r="BW51">
        <v>68.967253639332256</v>
      </c>
      <c r="BX51">
        <v>139.88311410870693</v>
      </c>
      <c r="BY51">
        <v>119.10000915555284</v>
      </c>
      <c r="BZ51">
        <v>119.19156468398083</v>
      </c>
      <c r="CA51">
        <v>114.81826227607044</v>
      </c>
      <c r="CB51">
        <v>62.826929532761618</v>
      </c>
      <c r="CC51">
        <v>96.31183812982573</v>
      </c>
      <c r="CD51">
        <v>66.791283913693661</v>
      </c>
      <c r="CE51">
        <v>82.13599047822504</v>
      </c>
      <c r="CF51">
        <v>86.948759422589802</v>
      </c>
      <c r="CG51">
        <v>76.377147740104377</v>
      </c>
      <c r="CH51">
        <v>77.301858577227094</v>
      </c>
      <c r="CI51">
        <v>74.46974089785455</v>
      </c>
      <c r="CJ51">
        <v>110.44495986816004</v>
      </c>
      <c r="CK51">
        <v>88.20001831110568</v>
      </c>
      <c r="CL51">
        <v>143.54838709677421</v>
      </c>
      <c r="CM51">
        <v>124.70625934629352</v>
      </c>
      <c r="CN51">
        <v>50.515762810144352</v>
      </c>
      <c r="CO51">
        <v>82.557145908993803</v>
      </c>
      <c r="CP51">
        <v>56.012146366771447</v>
      </c>
      <c r="CQ51">
        <v>82.926419873653373</v>
      </c>
      <c r="CR51">
        <v>142.3184911648915</v>
      </c>
      <c r="CS51">
        <v>147.79045991393781</v>
      </c>
      <c r="CT51">
        <v>118.27906125064852</v>
      </c>
      <c r="CU51">
        <v>82.5846125675222</v>
      </c>
      <c r="CV51">
        <v>102.92825098422193</v>
      </c>
    </row>
    <row r="52" spans="1:100">
      <c r="A52">
        <v>112.21503341776787</v>
      </c>
      <c r="B52">
        <v>103.40128788109989</v>
      </c>
      <c r="C52">
        <v>81.461531418805507</v>
      </c>
      <c r="D52">
        <v>75.189977721488077</v>
      </c>
      <c r="E52">
        <v>111.9739371929075</v>
      </c>
      <c r="F52">
        <v>92.600787377544478</v>
      </c>
      <c r="G52">
        <v>93.183690908536022</v>
      </c>
      <c r="H52">
        <v>67.883846552934358</v>
      </c>
      <c r="I52">
        <v>52.862636188848541</v>
      </c>
      <c r="J52">
        <v>105.39719840083011</v>
      </c>
      <c r="K52">
        <v>71.237830744346439</v>
      </c>
      <c r="L52">
        <v>115.82537308877835</v>
      </c>
      <c r="M52">
        <v>68.384350108340712</v>
      </c>
      <c r="N52">
        <v>63.803521835993529</v>
      </c>
      <c r="O52">
        <v>132.06427198095645</v>
      </c>
      <c r="P52">
        <v>72.29987487411114</v>
      </c>
      <c r="Q52">
        <v>140.91158787804804</v>
      </c>
      <c r="R52">
        <v>144.01837214270455</v>
      </c>
      <c r="S52">
        <v>127.18741416669211</v>
      </c>
      <c r="T52">
        <v>92.329172643208111</v>
      </c>
      <c r="U52">
        <v>126.52516251106296</v>
      </c>
      <c r="V52">
        <v>64.319284646137888</v>
      </c>
      <c r="W52">
        <v>92.042298654133731</v>
      </c>
      <c r="X52">
        <v>148.77925962096012</v>
      </c>
      <c r="Y52">
        <v>119.18546098208563</v>
      </c>
      <c r="Z52">
        <v>55.218665120395521</v>
      </c>
      <c r="AA52">
        <v>148.06207464827418</v>
      </c>
      <c r="AB52">
        <v>88.523514511551255</v>
      </c>
      <c r="AC52">
        <v>94.700460829493096</v>
      </c>
      <c r="AD52">
        <v>89.912106692709131</v>
      </c>
      <c r="AE52">
        <v>123.74187444685202</v>
      </c>
      <c r="AF52">
        <v>131.79570909756768</v>
      </c>
      <c r="AG52">
        <v>125.26169621875668</v>
      </c>
      <c r="AH52">
        <v>103.25479903561509</v>
      </c>
      <c r="AI52">
        <v>110.26490066225165</v>
      </c>
      <c r="AJ52">
        <v>67.773979918820771</v>
      </c>
      <c r="AK52">
        <v>105.07065034943693</v>
      </c>
      <c r="AL52">
        <v>77.314065981017492</v>
      </c>
      <c r="AM52">
        <v>117.3329874568926</v>
      </c>
      <c r="AN52">
        <v>149.64903714102604</v>
      </c>
      <c r="AO52">
        <v>77.768791772209852</v>
      </c>
      <c r="AP52">
        <v>121.6635639515366</v>
      </c>
      <c r="AQ52">
        <v>144.79964598529008</v>
      </c>
      <c r="AR52">
        <v>142.15063936277352</v>
      </c>
      <c r="AS52">
        <v>106.20899075289162</v>
      </c>
      <c r="AT52">
        <v>126.50685140537736</v>
      </c>
      <c r="AU52">
        <v>135.76311532944732</v>
      </c>
      <c r="AV52">
        <v>124.83138523514512</v>
      </c>
      <c r="AW52">
        <v>75.244911038544871</v>
      </c>
      <c r="AX52">
        <v>116.80806909390546</v>
      </c>
      <c r="AY52">
        <v>130.3735465559862</v>
      </c>
      <c r="AZ52">
        <v>147.81182287057101</v>
      </c>
      <c r="BA52">
        <v>50.61952574236274</v>
      </c>
      <c r="BB52">
        <v>63.48612933744316</v>
      </c>
      <c r="BC52">
        <v>50.98269600512711</v>
      </c>
      <c r="BD52">
        <v>90.238654744102291</v>
      </c>
      <c r="BE52">
        <v>77.149266029847098</v>
      </c>
      <c r="BF52">
        <v>122.64015625476851</v>
      </c>
      <c r="BG52">
        <v>56.717123935666983</v>
      </c>
      <c r="BH52">
        <v>125.22507400738549</v>
      </c>
      <c r="BI52">
        <v>110.35645619067965</v>
      </c>
      <c r="BJ52">
        <v>124.36445204016235</v>
      </c>
      <c r="BK52">
        <v>100.05645924253059</v>
      </c>
      <c r="BL52">
        <v>92.05145420697653</v>
      </c>
      <c r="BM52">
        <v>92.188787499618513</v>
      </c>
      <c r="BN52">
        <v>113.36558122501296</v>
      </c>
      <c r="BO52">
        <v>85.215308084353154</v>
      </c>
      <c r="BP52">
        <v>113.09091463972899</v>
      </c>
      <c r="BQ52">
        <v>100.51728873561815</v>
      </c>
      <c r="BR52">
        <v>71.121860408337653</v>
      </c>
      <c r="BS52">
        <v>72.49824518570513</v>
      </c>
      <c r="BT52">
        <v>143.20963164159065</v>
      </c>
      <c r="BU52">
        <v>113.35642567217016</v>
      </c>
      <c r="BV52">
        <v>85.718863490707122</v>
      </c>
      <c r="BW52">
        <v>81.296731467635112</v>
      </c>
      <c r="BX52">
        <v>123.31461531418806</v>
      </c>
      <c r="BY52">
        <v>60.769981994079409</v>
      </c>
      <c r="BZ52">
        <v>58.597064119388406</v>
      </c>
      <c r="CA52">
        <v>82.328257087923831</v>
      </c>
      <c r="CB52">
        <v>66.098513748588516</v>
      </c>
      <c r="CC52">
        <v>80.127872554704425</v>
      </c>
      <c r="CD52">
        <v>101.34739219336527</v>
      </c>
      <c r="CE52">
        <v>119.78057191686759</v>
      </c>
      <c r="CF52">
        <v>52.145451216162606</v>
      </c>
      <c r="CG52">
        <v>140.26764732810449</v>
      </c>
      <c r="CH52">
        <v>125.66454054383985</v>
      </c>
      <c r="CI52">
        <v>53.93078402050844</v>
      </c>
      <c r="CJ52">
        <v>64.517654957731864</v>
      </c>
      <c r="CK52">
        <v>50.253303628650777</v>
      </c>
      <c r="CL52">
        <v>79.578539384136477</v>
      </c>
      <c r="CM52">
        <v>64.947965941343426</v>
      </c>
      <c r="CN52">
        <v>139.93499557481613</v>
      </c>
      <c r="CO52">
        <v>118.34009826960052</v>
      </c>
      <c r="CP52">
        <v>133.13547166356395</v>
      </c>
      <c r="CQ52">
        <v>108.38801232947782</v>
      </c>
      <c r="CR52">
        <v>64.685506759849844</v>
      </c>
      <c r="CS52">
        <v>76.712851344340351</v>
      </c>
      <c r="CT52">
        <v>66.559343241676075</v>
      </c>
      <c r="CU52">
        <v>63.129062776573988</v>
      </c>
      <c r="CV52">
        <v>93.400372325815596</v>
      </c>
    </row>
    <row r="54" spans="1:100">
      <c r="A54">
        <f t="shared" ref="A54:BL54" si="0">AVERAGE(A3:A52)</f>
        <v>102.70265816217533</v>
      </c>
      <c r="B54">
        <f t="shared" si="0"/>
        <v>102.89223914304029</v>
      </c>
      <c r="C54">
        <f t="shared" si="0"/>
        <v>85.963011566515092</v>
      </c>
      <c r="D54">
        <f t="shared" si="0"/>
        <v>97.288308359019751</v>
      </c>
      <c r="E54">
        <f t="shared" si="0"/>
        <v>101.3216345713675</v>
      </c>
      <c r="F54">
        <f t="shared" si="0"/>
        <v>100.33057649464398</v>
      </c>
      <c r="G54">
        <f t="shared" si="0"/>
        <v>102.5832087160863</v>
      </c>
      <c r="H54">
        <f t="shared" si="0"/>
        <v>96.162846766563945</v>
      </c>
      <c r="I54">
        <f t="shared" si="0"/>
        <v>91.877193517868562</v>
      </c>
      <c r="J54">
        <f t="shared" si="0"/>
        <v>100.97317423017059</v>
      </c>
      <c r="K54">
        <f t="shared" si="0"/>
        <v>102.16956083864866</v>
      </c>
      <c r="L54">
        <f t="shared" si="0"/>
        <v>99.525498214667181</v>
      </c>
      <c r="M54">
        <f t="shared" si="0"/>
        <v>101.43327127903076</v>
      </c>
      <c r="N54">
        <f t="shared" si="0"/>
        <v>97.352214117862474</v>
      </c>
      <c r="O54">
        <f t="shared" si="0"/>
        <v>97.96337778862879</v>
      </c>
      <c r="P54">
        <f t="shared" si="0"/>
        <v>101.13895077364423</v>
      </c>
      <c r="Q54">
        <f t="shared" si="0"/>
        <v>98.240058595538159</v>
      </c>
      <c r="R54">
        <f t="shared" si="0"/>
        <v>98.090823084200565</v>
      </c>
      <c r="S54">
        <f t="shared" si="0"/>
        <v>95.966063417462664</v>
      </c>
      <c r="T54">
        <f t="shared" si="0"/>
        <v>105.39255958738977</v>
      </c>
      <c r="U54">
        <f t="shared" si="0"/>
        <v>101.95379497665331</v>
      </c>
      <c r="V54">
        <f t="shared" si="0"/>
        <v>95.755058442945653</v>
      </c>
      <c r="W54">
        <f t="shared" si="0"/>
        <v>105.87737662892542</v>
      </c>
      <c r="X54">
        <f t="shared" si="0"/>
        <v>100.98654133732109</v>
      </c>
      <c r="Y54">
        <f t="shared" si="0"/>
        <v>103.07559434797204</v>
      </c>
      <c r="Z54">
        <f t="shared" si="0"/>
        <v>99.0314035462508</v>
      </c>
      <c r="AA54">
        <f t="shared" si="0"/>
        <v>101.07046723838006</v>
      </c>
      <c r="AB54">
        <f t="shared" si="0"/>
        <v>99.502426221503342</v>
      </c>
      <c r="AC54">
        <f t="shared" si="0"/>
        <v>99.745292519913335</v>
      </c>
      <c r="AD54">
        <f t="shared" si="0"/>
        <v>100.84359263893552</v>
      </c>
      <c r="AE54">
        <f t="shared" si="0"/>
        <v>100.73775444807278</v>
      </c>
      <c r="AF54">
        <f t="shared" si="0"/>
        <v>105.47941526535844</v>
      </c>
      <c r="AG54">
        <f t="shared" si="0"/>
        <v>108.01391644032104</v>
      </c>
      <c r="AH54">
        <f t="shared" si="0"/>
        <v>98.044129764702248</v>
      </c>
      <c r="AI54">
        <f t="shared" si="0"/>
        <v>101.31553086947237</v>
      </c>
      <c r="AJ54">
        <f t="shared" si="0"/>
        <v>98.62215033417769</v>
      </c>
      <c r="AK54">
        <f t="shared" si="0"/>
        <v>101.71129490035707</v>
      </c>
      <c r="AL54">
        <f t="shared" si="0"/>
        <v>98.298104800561561</v>
      </c>
      <c r="AM54">
        <f t="shared" si="0"/>
        <v>98.332468642231547</v>
      </c>
      <c r="AN54">
        <f t="shared" si="0"/>
        <v>98.770958586382662</v>
      </c>
      <c r="AO54">
        <f t="shared" si="0"/>
        <v>108.04815820795311</v>
      </c>
      <c r="AP54">
        <f t="shared" si="0"/>
        <v>105.79149754325999</v>
      </c>
      <c r="AQ54">
        <f t="shared" si="0"/>
        <v>93.790643024994679</v>
      </c>
      <c r="AR54">
        <f t="shared" si="0"/>
        <v>98.249153111362048</v>
      </c>
      <c r="AS54">
        <f t="shared" si="0"/>
        <v>93.061922055726811</v>
      </c>
      <c r="AT54">
        <f t="shared" si="0"/>
        <v>105.37754448072754</v>
      </c>
      <c r="AU54">
        <f t="shared" si="0"/>
        <v>106.21393475142669</v>
      </c>
      <c r="AV54">
        <f t="shared" si="0"/>
        <v>98.222663045136869</v>
      </c>
      <c r="AW54">
        <f t="shared" si="0"/>
        <v>101.04788354136787</v>
      </c>
      <c r="AX54">
        <f t="shared" si="0"/>
        <v>98.803430280465093</v>
      </c>
      <c r="AY54">
        <f t="shared" si="0"/>
        <v>99.794122135074943</v>
      </c>
      <c r="AZ54">
        <f t="shared" si="0"/>
        <v>102.74916837061677</v>
      </c>
      <c r="BA54">
        <f t="shared" si="0"/>
        <v>106.92818994720299</v>
      </c>
      <c r="BB54">
        <f t="shared" si="0"/>
        <v>96.999664296395792</v>
      </c>
      <c r="BC54">
        <f t="shared" si="0"/>
        <v>99.740409558397147</v>
      </c>
      <c r="BD54">
        <f t="shared" si="0"/>
        <v>98.310495315408758</v>
      </c>
      <c r="BE54">
        <f t="shared" si="0"/>
        <v>101.2357554857021</v>
      </c>
      <c r="BF54">
        <f t="shared" si="0"/>
        <v>99.512619403668324</v>
      </c>
      <c r="BG54">
        <f t="shared" si="0"/>
        <v>92.649739066743933</v>
      </c>
      <c r="BH54">
        <f t="shared" si="0"/>
        <v>95.96594134342476</v>
      </c>
      <c r="BI54">
        <f t="shared" si="0"/>
        <v>105.94152653584402</v>
      </c>
      <c r="BJ54">
        <f t="shared" si="0"/>
        <v>99.921201208532949</v>
      </c>
      <c r="BK54">
        <f t="shared" si="0"/>
        <v>97.23111667226172</v>
      </c>
      <c r="BL54">
        <f t="shared" si="0"/>
        <v>100.65230262153995</v>
      </c>
      <c r="BM54">
        <f t="shared" ref="BM54:CV54" si="1">AVERAGE(BM3:BM52)</f>
        <v>103.03964354380931</v>
      </c>
      <c r="BN54">
        <f t="shared" si="1"/>
        <v>101.81939146092104</v>
      </c>
      <c r="BO54">
        <f t="shared" si="1"/>
        <v>99.963316751609824</v>
      </c>
      <c r="BP54">
        <f t="shared" si="1"/>
        <v>107.15207373271888</v>
      </c>
      <c r="BQ54">
        <f t="shared" si="1"/>
        <v>109.52122562334054</v>
      </c>
      <c r="BR54">
        <f t="shared" si="1"/>
        <v>96.224250007629621</v>
      </c>
      <c r="BS54">
        <f t="shared" si="1"/>
        <v>105.83526108584857</v>
      </c>
      <c r="BT54">
        <f t="shared" si="1"/>
        <v>92.376903592028569</v>
      </c>
      <c r="BU54">
        <f t="shared" si="1"/>
        <v>99.017548142948712</v>
      </c>
      <c r="BV54">
        <f t="shared" si="1"/>
        <v>101.13150425733205</v>
      </c>
      <c r="BW54">
        <f t="shared" si="1"/>
        <v>102.18402661214026</v>
      </c>
      <c r="BX54">
        <f t="shared" si="1"/>
        <v>100.34900967436748</v>
      </c>
      <c r="BY54">
        <f t="shared" si="1"/>
        <v>107.36783959471418</v>
      </c>
      <c r="BZ54">
        <f t="shared" si="1"/>
        <v>107.32352671895504</v>
      </c>
      <c r="CA54">
        <f t="shared" si="1"/>
        <v>99.763359477523096</v>
      </c>
      <c r="CB54">
        <f t="shared" si="1"/>
        <v>89.495345927304911</v>
      </c>
      <c r="CC54">
        <f t="shared" si="1"/>
        <v>105.21823786126282</v>
      </c>
      <c r="CD54">
        <f t="shared" si="1"/>
        <v>99.066133610034498</v>
      </c>
      <c r="CE54">
        <f t="shared" si="1"/>
        <v>97.162022766808093</v>
      </c>
      <c r="CF54">
        <f t="shared" si="1"/>
        <v>103.89782403027442</v>
      </c>
      <c r="CG54">
        <f t="shared" si="1"/>
        <v>100.78933072908721</v>
      </c>
      <c r="CH54">
        <f t="shared" si="1"/>
        <v>90.308297982726543</v>
      </c>
      <c r="CI54">
        <f t="shared" si="1"/>
        <v>98.697347941526516</v>
      </c>
      <c r="CJ54">
        <f t="shared" si="1"/>
        <v>94.10290841395306</v>
      </c>
      <c r="CK54">
        <f t="shared" si="1"/>
        <v>91.931333353679008</v>
      </c>
      <c r="CL54">
        <f t="shared" si="1"/>
        <v>105.01876888332775</v>
      </c>
      <c r="CM54">
        <f t="shared" si="1"/>
        <v>101.91436506241033</v>
      </c>
      <c r="CN54">
        <f t="shared" si="1"/>
        <v>101.13803521835993</v>
      </c>
      <c r="CO54">
        <f t="shared" si="1"/>
        <v>98.593157750175465</v>
      </c>
      <c r="CP54">
        <f t="shared" si="1"/>
        <v>100.27466658528401</v>
      </c>
      <c r="CQ54">
        <f t="shared" si="1"/>
        <v>98.805322428052619</v>
      </c>
      <c r="CR54">
        <f t="shared" si="1"/>
        <v>101.33585619678334</v>
      </c>
      <c r="CS54">
        <f t="shared" si="1"/>
        <v>102.8297372356334</v>
      </c>
      <c r="CT54">
        <f t="shared" si="1"/>
        <v>96.74074526200144</v>
      </c>
      <c r="CU54">
        <f t="shared" si="1"/>
        <v>92.888760032960022</v>
      </c>
      <c r="CV54">
        <f t="shared" si="1"/>
        <v>99.614185003204454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196"/>
  <dimension ref="A1:CV54"/>
  <sheetViews>
    <sheetView workbookViewId="0"/>
  </sheetViews>
  <sheetFormatPr defaultRowHeight="14.4"/>
  <cols>
    <col min="1" max="100" width="3.88671875" customWidth="1"/>
  </cols>
  <sheetData>
    <row r="1" spans="1:100">
      <c r="A1" s="1" t="s">
        <v>1770</v>
      </c>
    </row>
    <row r="3" spans="1:100">
      <c r="A3">
        <v>1</v>
      </c>
      <c r="B3">
        <v>1</v>
      </c>
      <c r="C3">
        <v>2</v>
      </c>
      <c r="D3">
        <v>0</v>
      </c>
      <c r="E3">
        <v>1</v>
      </c>
      <c r="F3">
        <v>1</v>
      </c>
      <c r="G3">
        <v>0</v>
      </c>
      <c r="H3">
        <v>1</v>
      </c>
      <c r="I3">
        <v>0</v>
      </c>
      <c r="J3">
        <v>2</v>
      </c>
      <c r="K3">
        <v>0</v>
      </c>
      <c r="L3">
        <v>4</v>
      </c>
      <c r="M3">
        <v>0</v>
      </c>
      <c r="N3">
        <v>1</v>
      </c>
      <c r="O3">
        <v>0</v>
      </c>
      <c r="P3">
        <v>0</v>
      </c>
      <c r="Q3">
        <v>2</v>
      </c>
      <c r="R3">
        <v>0</v>
      </c>
      <c r="S3">
        <v>1</v>
      </c>
      <c r="T3">
        <v>1</v>
      </c>
      <c r="U3">
        <v>0</v>
      </c>
      <c r="V3">
        <v>2</v>
      </c>
      <c r="W3">
        <v>1</v>
      </c>
      <c r="X3">
        <v>1</v>
      </c>
      <c r="Y3">
        <v>0</v>
      </c>
      <c r="Z3">
        <v>1</v>
      </c>
      <c r="AA3">
        <v>1</v>
      </c>
      <c r="AB3">
        <v>2</v>
      </c>
      <c r="AC3">
        <v>0</v>
      </c>
      <c r="AD3">
        <v>0</v>
      </c>
      <c r="AE3">
        <v>2</v>
      </c>
      <c r="AF3">
        <v>1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</v>
      </c>
      <c r="BP3">
        <v>0</v>
      </c>
      <c r="BQ3">
        <v>0</v>
      </c>
      <c r="BR3">
        <v>1</v>
      </c>
      <c r="BS3">
        <v>0</v>
      </c>
      <c r="BT3">
        <v>1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2</v>
      </c>
      <c r="CB3">
        <v>0</v>
      </c>
      <c r="CC3">
        <v>1</v>
      </c>
      <c r="CD3">
        <v>0</v>
      </c>
      <c r="CE3">
        <v>1</v>
      </c>
      <c r="CF3">
        <v>2</v>
      </c>
      <c r="CG3">
        <v>0</v>
      </c>
      <c r="CH3">
        <v>0</v>
      </c>
      <c r="CI3">
        <v>1</v>
      </c>
      <c r="CJ3">
        <v>0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3</v>
      </c>
      <c r="CR3">
        <v>0</v>
      </c>
      <c r="CS3">
        <v>0</v>
      </c>
      <c r="CT3">
        <v>0</v>
      </c>
      <c r="CU3">
        <v>1</v>
      </c>
      <c r="CV3">
        <v>0</v>
      </c>
    </row>
    <row r="4" spans="1:100">
      <c r="A4">
        <v>0</v>
      </c>
      <c r="B4">
        <v>1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1</v>
      </c>
      <c r="T4">
        <v>1</v>
      </c>
      <c r="U4">
        <v>2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2</v>
      </c>
      <c r="AC4">
        <v>1</v>
      </c>
      <c r="AD4">
        <v>0</v>
      </c>
      <c r="AE4">
        <v>2</v>
      </c>
      <c r="AF4">
        <v>0</v>
      </c>
      <c r="AG4">
        <v>0</v>
      </c>
      <c r="AH4">
        <v>1</v>
      </c>
      <c r="AI4">
        <v>2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1</v>
      </c>
      <c r="AS4">
        <v>1</v>
      </c>
      <c r="AT4">
        <v>0</v>
      </c>
      <c r="AU4">
        <v>1</v>
      </c>
      <c r="AV4">
        <v>3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</v>
      </c>
      <c r="BE4">
        <v>0</v>
      </c>
      <c r="BF4">
        <v>1</v>
      </c>
      <c r="BG4">
        <v>0</v>
      </c>
      <c r="BH4">
        <v>1</v>
      </c>
      <c r="BI4">
        <v>0</v>
      </c>
      <c r="BJ4">
        <v>1</v>
      </c>
      <c r="BK4">
        <v>1</v>
      </c>
      <c r="BL4">
        <v>1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0</v>
      </c>
      <c r="BT4">
        <v>0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1</v>
      </c>
      <c r="CB4">
        <v>1</v>
      </c>
      <c r="CC4">
        <v>0</v>
      </c>
      <c r="CD4">
        <v>0</v>
      </c>
      <c r="CE4">
        <v>4</v>
      </c>
      <c r="CF4">
        <v>0</v>
      </c>
      <c r="CG4">
        <v>1</v>
      </c>
      <c r="CH4">
        <v>1</v>
      </c>
      <c r="CI4">
        <v>0</v>
      </c>
      <c r="CJ4">
        <v>1</v>
      </c>
      <c r="CK4">
        <v>0</v>
      </c>
      <c r="CL4">
        <v>1</v>
      </c>
      <c r="CM4">
        <v>0</v>
      </c>
      <c r="CN4">
        <v>1</v>
      </c>
      <c r="CO4">
        <v>1</v>
      </c>
      <c r="CP4">
        <v>1</v>
      </c>
      <c r="CQ4">
        <v>0</v>
      </c>
      <c r="CR4">
        <v>0</v>
      </c>
      <c r="CS4">
        <v>0</v>
      </c>
      <c r="CT4">
        <v>1</v>
      </c>
      <c r="CU4">
        <v>0</v>
      </c>
      <c r="CV4">
        <v>0</v>
      </c>
    </row>
    <row r="5" spans="1:100">
      <c r="A5">
        <v>0</v>
      </c>
      <c r="B5">
        <v>1</v>
      </c>
      <c r="C5">
        <v>2</v>
      </c>
      <c r="D5">
        <v>0</v>
      </c>
      <c r="E5">
        <v>0</v>
      </c>
      <c r="F5">
        <v>1</v>
      </c>
      <c r="G5">
        <v>0</v>
      </c>
      <c r="H5">
        <v>1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2</v>
      </c>
      <c r="Q5">
        <v>2</v>
      </c>
      <c r="R5">
        <v>1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0</v>
      </c>
      <c r="Z5">
        <v>2</v>
      </c>
      <c r="AA5">
        <v>0</v>
      </c>
      <c r="AB5">
        <v>1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1</v>
      </c>
      <c r="BM5">
        <v>1</v>
      </c>
      <c r="BN5">
        <v>0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1</v>
      </c>
      <c r="BZ5">
        <v>1</v>
      </c>
      <c r="CA5">
        <v>0</v>
      </c>
      <c r="CB5">
        <v>2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1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</row>
    <row r="6" spans="1:100">
      <c r="A6">
        <v>0</v>
      </c>
      <c r="B6">
        <v>0</v>
      </c>
      <c r="C6">
        <v>1</v>
      </c>
      <c r="D6">
        <v>1</v>
      </c>
      <c r="E6">
        <v>1</v>
      </c>
      <c r="F6">
        <v>0</v>
      </c>
      <c r="G6">
        <v>2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0</v>
      </c>
      <c r="AE6">
        <v>2</v>
      </c>
      <c r="AF6">
        <v>0</v>
      </c>
      <c r="AG6">
        <v>2</v>
      </c>
      <c r="AH6">
        <v>2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1</v>
      </c>
      <c r="AU6">
        <v>0</v>
      </c>
      <c r="AV6">
        <v>0</v>
      </c>
      <c r="AW6">
        <v>1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1</v>
      </c>
      <c r="BF6">
        <v>1</v>
      </c>
      <c r="BG6">
        <v>0</v>
      </c>
      <c r="BH6">
        <v>1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1</v>
      </c>
      <c r="BY6">
        <v>1</v>
      </c>
      <c r="BZ6">
        <v>0</v>
      </c>
      <c r="CA6">
        <v>0</v>
      </c>
      <c r="CB6">
        <v>0</v>
      </c>
      <c r="CC6">
        <v>2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1</v>
      </c>
      <c r="CM6">
        <v>0</v>
      </c>
      <c r="CN6">
        <v>1</v>
      </c>
      <c r="CO6">
        <v>1</v>
      </c>
      <c r="CP6">
        <v>1</v>
      </c>
      <c r="CQ6">
        <v>0</v>
      </c>
      <c r="CR6">
        <v>3</v>
      </c>
      <c r="CS6">
        <v>1</v>
      </c>
      <c r="CT6">
        <v>0</v>
      </c>
      <c r="CU6">
        <v>2</v>
      </c>
      <c r="CV6">
        <v>0</v>
      </c>
    </row>
    <row r="7" spans="1:100">
      <c r="A7">
        <v>0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2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1</v>
      </c>
      <c r="AE7">
        <v>0</v>
      </c>
      <c r="AF7">
        <v>0</v>
      </c>
      <c r="AG7">
        <v>2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</v>
      </c>
      <c r="AU7">
        <v>0</v>
      </c>
      <c r="AV7">
        <v>2</v>
      </c>
      <c r="AW7">
        <v>0</v>
      </c>
      <c r="AX7">
        <v>2</v>
      </c>
      <c r="AY7">
        <v>0</v>
      </c>
      <c r="AZ7">
        <v>0</v>
      </c>
      <c r="BA7">
        <v>1</v>
      </c>
      <c r="BB7">
        <v>0</v>
      </c>
      <c r="BC7">
        <v>1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1</v>
      </c>
      <c r="BR7">
        <v>0</v>
      </c>
      <c r="BS7">
        <v>1</v>
      </c>
      <c r="BT7">
        <v>1</v>
      </c>
      <c r="BU7">
        <v>0</v>
      </c>
      <c r="BV7">
        <v>0</v>
      </c>
      <c r="BW7">
        <v>2</v>
      </c>
      <c r="BX7">
        <v>0</v>
      </c>
      <c r="BY7">
        <v>1</v>
      </c>
      <c r="BZ7">
        <v>0</v>
      </c>
      <c r="CA7">
        <v>2</v>
      </c>
      <c r="CB7">
        <v>0</v>
      </c>
      <c r="CC7">
        <v>0</v>
      </c>
      <c r="CD7">
        <v>0</v>
      </c>
      <c r="CE7">
        <v>2</v>
      </c>
      <c r="CF7">
        <v>1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1</v>
      </c>
      <c r="CQ7">
        <v>1</v>
      </c>
      <c r="CR7">
        <v>1</v>
      </c>
      <c r="CS7">
        <v>0</v>
      </c>
      <c r="CT7">
        <v>1</v>
      </c>
      <c r="CU7">
        <v>0</v>
      </c>
      <c r="CV7">
        <v>1</v>
      </c>
    </row>
    <row r="8" spans="1:100">
      <c r="A8">
        <v>0</v>
      </c>
      <c r="B8">
        <v>0</v>
      </c>
      <c r="C8">
        <v>0</v>
      </c>
      <c r="D8">
        <v>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0</v>
      </c>
      <c r="R8">
        <v>2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2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  <c r="AH8">
        <v>0</v>
      </c>
      <c r="AI8">
        <v>1</v>
      </c>
      <c r="AJ8">
        <v>0</v>
      </c>
      <c r="AK8">
        <v>0</v>
      </c>
      <c r="AL8">
        <v>2</v>
      </c>
      <c r="AM8">
        <v>0</v>
      </c>
      <c r="AN8">
        <v>0</v>
      </c>
      <c r="AO8">
        <v>0</v>
      </c>
      <c r="AP8">
        <v>2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1</v>
      </c>
      <c r="AX8">
        <v>1</v>
      </c>
      <c r="AY8">
        <v>1</v>
      </c>
      <c r="AZ8">
        <v>0</v>
      </c>
      <c r="BA8">
        <v>1</v>
      </c>
      <c r="BB8">
        <v>0</v>
      </c>
      <c r="BC8">
        <v>1</v>
      </c>
      <c r="BD8">
        <v>0</v>
      </c>
      <c r="BE8">
        <v>0</v>
      </c>
      <c r="BF8">
        <v>1</v>
      </c>
      <c r="BG8">
        <v>1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1</v>
      </c>
      <c r="BY8">
        <v>1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2</v>
      </c>
      <c r="CH8">
        <v>1</v>
      </c>
      <c r="CI8">
        <v>0</v>
      </c>
      <c r="CJ8">
        <v>1</v>
      </c>
      <c r="CK8">
        <v>0</v>
      </c>
      <c r="CL8">
        <v>1</v>
      </c>
      <c r="CM8">
        <v>0</v>
      </c>
      <c r="CN8">
        <v>1</v>
      </c>
      <c r="CO8">
        <v>0</v>
      </c>
      <c r="CP8">
        <v>1</v>
      </c>
      <c r="CQ8">
        <v>1</v>
      </c>
      <c r="CR8">
        <v>0</v>
      </c>
      <c r="CS8">
        <v>1</v>
      </c>
      <c r="CT8">
        <v>0</v>
      </c>
      <c r="CU8">
        <v>1</v>
      </c>
      <c r="CV8">
        <v>0</v>
      </c>
    </row>
    <row r="9" spans="1:100">
      <c r="A9">
        <v>1</v>
      </c>
      <c r="B9">
        <v>1</v>
      </c>
      <c r="C9">
        <v>1</v>
      </c>
      <c r="D9">
        <v>1</v>
      </c>
      <c r="E9">
        <v>0</v>
      </c>
      <c r="F9">
        <v>2</v>
      </c>
      <c r="G9">
        <v>0</v>
      </c>
      <c r="H9">
        <v>0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2</v>
      </c>
      <c r="AD9">
        <v>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2</v>
      </c>
      <c r="AN9">
        <v>0</v>
      </c>
      <c r="AO9">
        <v>0</v>
      </c>
      <c r="AP9">
        <v>2</v>
      </c>
      <c r="AQ9">
        <v>0</v>
      </c>
      <c r="AR9">
        <v>1</v>
      </c>
      <c r="AS9">
        <v>1</v>
      </c>
      <c r="AT9">
        <v>1</v>
      </c>
      <c r="AU9">
        <v>0</v>
      </c>
      <c r="AV9">
        <v>0</v>
      </c>
      <c r="AW9">
        <v>0</v>
      </c>
      <c r="AX9">
        <v>2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1</v>
      </c>
      <c r="BH9">
        <v>2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1</v>
      </c>
      <c r="BQ9">
        <v>2</v>
      </c>
      <c r="BR9">
        <v>1</v>
      </c>
      <c r="BS9">
        <v>0</v>
      </c>
      <c r="BT9">
        <v>0</v>
      </c>
      <c r="BU9">
        <v>1</v>
      </c>
      <c r="BV9">
        <v>0</v>
      </c>
      <c r="BW9">
        <v>1</v>
      </c>
      <c r="BX9">
        <v>0</v>
      </c>
      <c r="BY9">
        <v>0</v>
      </c>
      <c r="BZ9">
        <v>2</v>
      </c>
      <c r="CA9">
        <v>0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1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1</v>
      </c>
      <c r="CV9">
        <v>0</v>
      </c>
    </row>
    <row r="10" spans="1:10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3</v>
      </c>
      <c r="AA10">
        <v>0</v>
      </c>
      <c r="AB10">
        <v>0</v>
      </c>
      <c r="AC10">
        <v>0</v>
      </c>
      <c r="AD10">
        <v>2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2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2</v>
      </c>
      <c r="BB10">
        <v>3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2</v>
      </c>
      <c r="BO10">
        <v>0</v>
      </c>
      <c r="BP10">
        <v>1</v>
      </c>
      <c r="BQ10">
        <v>1</v>
      </c>
      <c r="BR10">
        <v>1</v>
      </c>
      <c r="BS10">
        <v>1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1</v>
      </c>
    </row>
    <row r="11" spans="1:100">
      <c r="A11">
        <v>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</v>
      </c>
      <c r="AS11">
        <v>0</v>
      </c>
      <c r="AT11">
        <v>2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3</v>
      </c>
      <c r="BC11">
        <v>0</v>
      </c>
      <c r="BD11">
        <v>0</v>
      </c>
      <c r="BE11">
        <v>1</v>
      </c>
      <c r="BF11">
        <v>1</v>
      </c>
      <c r="BG11">
        <v>0</v>
      </c>
      <c r="BH11">
        <v>1</v>
      </c>
      <c r="BI11">
        <v>1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3</v>
      </c>
      <c r="CS11">
        <v>0</v>
      </c>
      <c r="CT11">
        <v>1</v>
      </c>
      <c r="CU11">
        <v>0</v>
      </c>
      <c r="CV11">
        <v>0</v>
      </c>
    </row>
    <row r="12" spans="1:100">
      <c r="A12">
        <v>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0</v>
      </c>
      <c r="T12">
        <v>2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2</v>
      </c>
      <c r="AU12">
        <v>1</v>
      </c>
      <c r="AV12">
        <v>0</v>
      </c>
      <c r="AW12">
        <v>1</v>
      </c>
      <c r="AX12">
        <v>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2</v>
      </c>
      <c r="BK12">
        <v>0</v>
      </c>
      <c r="BL12">
        <v>0</v>
      </c>
      <c r="BM12">
        <v>1</v>
      </c>
      <c r="BN12">
        <v>0</v>
      </c>
      <c r="BO12">
        <v>1</v>
      </c>
      <c r="BP12">
        <v>0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1</v>
      </c>
      <c r="BZ12">
        <v>0</v>
      </c>
      <c r="CA12">
        <v>2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0</v>
      </c>
    </row>
    <row r="13" spans="1:100">
      <c r="A13">
        <v>1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2</v>
      </c>
      <c r="O13">
        <v>0</v>
      </c>
      <c r="P13">
        <v>2</v>
      </c>
      <c r="Q13">
        <v>2</v>
      </c>
      <c r="R13">
        <v>1</v>
      </c>
      <c r="S13">
        <v>1</v>
      </c>
      <c r="T13">
        <v>1</v>
      </c>
      <c r="U13">
        <v>0</v>
      </c>
      <c r="V13">
        <v>1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2</v>
      </c>
      <c r="BC13">
        <v>0</v>
      </c>
      <c r="BD13">
        <v>0</v>
      </c>
      <c r="BE13">
        <v>1</v>
      </c>
      <c r="BF13">
        <v>2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1</v>
      </c>
      <c r="BP13">
        <v>2</v>
      </c>
      <c r="BQ13">
        <v>0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1</v>
      </c>
      <c r="CB13">
        <v>1</v>
      </c>
      <c r="CC13">
        <v>2</v>
      </c>
      <c r="CD13">
        <v>0</v>
      </c>
      <c r="CE13">
        <v>3</v>
      </c>
      <c r="CF13">
        <v>2</v>
      </c>
      <c r="CG13">
        <v>2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1</v>
      </c>
      <c r="CN13">
        <v>1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1</v>
      </c>
    </row>
    <row r="14" spans="1:100">
      <c r="A14">
        <v>1</v>
      </c>
      <c r="B14">
        <v>0</v>
      </c>
      <c r="C14">
        <v>1</v>
      </c>
      <c r="D14">
        <v>2</v>
      </c>
      <c r="E14">
        <v>0</v>
      </c>
      <c r="F14">
        <v>0</v>
      </c>
      <c r="G14">
        <v>3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1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2</v>
      </c>
      <c r="AM14">
        <v>1</v>
      </c>
      <c r="AN14">
        <v>0</v>
      </c>
      <c r="AO14">
        <v>2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2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1</v>
      </c>
      <c r="BF14">
        <v>0</v>
      </c>
      <c r="BG14">
        <v>2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2</v>
      </c>
      <c r="BO14">
        <v>0</v>
      </c>
      <c r="BP14">
        <v>1</v>
      </c>
      <c r="BQ14">
        <v>1</v>
      </c>
      <c r="BR14">
        <v>0</v>
      </c>
      <c r="BS14">
        <v>0</v>
      </c>
      <c r="BT14">
        <v>1</v>
      </c>
      <c r="BU14">
        <v>1</v>
      </c>
      <c r="BV14">
        <v>0</v>
      </c>
      <c r="BW14">
        <v>0</v>
      </c>
      <c r="BX14">
        <v>1</v>
      </c>
      <c r="BY14">
        <v>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</v>
      </c>
      <c r="CJ14">
        <v>1</v>
      </c>
      <c r="CK14">
        <v>1</v>
      </c>
      <c r="CL14">
        <v>2</v>
      </c>
      <c r="CM14">
        <v>0</v>
      </c>
      <c r="CN14">
        <v>0</v>
      </c>
      <c r="CO14">
        <v>3</v>
      </c>
      <c r="CP14">
        <v>1</v>
      </c>
      <c r="CQ14">
        <v>0</v>
      </c>
      <c r="CR14">
        <v>0</v>
      </c>
      <c r="CS14">
        <v>2</v>
      </c>
      <c r="CT14">
        <v>1</v>
      </c>
      <c r="CU14">
        <v>0</v>
      </c>
      <c r="CV14">
        <v>1</v>
      </c>
    </row>
    <row r="15" spans="1:100">
      <c r="A15">
        <v>1</v>
      </c>
      <c r="B15">
        <v>0</v>
      </c>
      <c r="C15">
        <v>1</v>
      </c>
      <c r="D15">
        <v>1</v>
      </c>
      <c r="E15">
        <v>1</v>
      </c>
      <c r="F15">
        <v>1</v>
      </c>
      <c r="G15">
        <v>0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2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1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1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1</v>
      </c>
    </row>
    <row r="16" spans="1:100">
      <c r="A16">
        <v>0</v>
      </c>
      <c r="B16">
        <v>1</v>
      </c>
      <c r="C16">
        <v>1</v>
      </c>
      <c r="D16">
        <v>1</v>
      </c>
      <c r="E16">
        <v>0</v>
      </c>
      <c r="F16">
        <v>0</v>
      </c>
      <c r="G16">
        <v>2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1</v>
      </c>
      <c r="O16">
        <v>2</v>
      </c>
      <c r="P16">
        <v>0</v>
      </c>
      <c r="Q16">
        <v>1</v>
      </c>
      <c r="R16">
        <v>0</v>
      </c>
      <c r="S16">
        <v>0</v>
      </c>
      <c r="T16">
        <v>1</v>
      </c>
      <c r="U16">
        <v>0</v>
      </c>
      <c r="V16">
        <v>1</v>
      </c>
      <c r="W16">
        <v>1</v>
      </c>
      <c r="X16">
        <v>1</v>
      </c>
      <c r="Y16">
        <v>0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0</v>
      </c>
      <c r="AQ16">
        <v>1</v>
      </c>
      <c r="AR16">
        <v>2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2</v>
      </c>
      <c r="BI16">
        <v>1</v>
      </c>
      <c r="BJ16">
        <v>1</v>
      </c>
      <c r="BK16">
        <v>0</v>
      </c>
      <c r="BL16">
        <v>1</v>
      </c>
      <c r="BM16">
        <v>4</v>
      </c>
      <c r="BN16">
        <v>1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0</v>
      </c>
      <c r="BU16">
        <v>0</v>
      </c>
      <c r="BV16">
        <v>0</v>
      </c>
      <c r="BW16">
        <v>3</v>
      </c>
      <c r="BX16">
        <v>0</v>
      </c>
      <c r="BY16">
        <v>1</v>
      </c>
      <c r="BZ16">
        <v>2</v>
      </c>
      <c r="CA16">
        <v>4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0</v>
      </c>
      <c r="CJ16">
        <v>0</v>
      </c>
      <c r="CK16">
        <v>0</v>
      </c>
      <c r="CL16">
        <v>1</v>
      </c>
      <c r="CM16">
        <v>1</v>
      </c>
      <c r="CN16">
        <v>2</v>
      </c>
      <c r="CO16">
        <v>0</v>
      </c>
      <c r="CP16">
        <v>0</v>
      </c>
      <c r="CQ16">
        <v>0</v>
      </c>
      <c r="CR16">
        <v>1</v>
      </c>
      <c r="CS16">
        <v>2</v>
      </c>
      <c r="CT16">
        <v>0</v>
      </c>
      <c r="CU16">
        <v>2</v>
      </c>
      <c r="CV16">
        <v>0</v>
      </c>
    </row>
    <row r="17" spans="1:100">
      <c r="A17">
        <v>0</v>
      </c>
      <c r="B17">
        <v>0</v>
      </c>
      <c r="C17">
        <v>2</v>
      </c>
      <c r="D17">
        <v>0</v>
      </c>
      <c r="E17">
        <v>1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2</v>
      </c>
      <c r="T17">
        <v>1</v>
      </c>
      <c r="U17">
        <v>2</v>
      </c>
      <c r="V17">
        <v>0</v>
      </c>
      <c r="W17">
        <v>1</v>
      </c>
      <c r="X17">
        <v>0</v>
      </c>
      <c r="Y17">
        <v>3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2</v>
      </c>
      <c r="AG17">
        <v>4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2</v>
      </c>
      <c r="AQ17">
        <v>0</v>
      </c>
      <c r="AR17">
        <v>1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1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</v>
      </c>
      <c r="BW17">
        <v>1</v>
      </c>
      <c r="BX17">
        <v>2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2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</row>
    <row r="18" spans="1:100">
      <c r="A18">
        <v>0</v>
      </c>
      <c r="B18">
        <v>0</v>
      </c>
      <c r="C18">
        <v>2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1</v>
      </c>
      <c r="BA18">
        <v>1</v>
      </c>
      <c r="BB18">
        <v>2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1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2</v>
      </c>
      <c r="CT18">
        <v>0</v>
      </c>
      <c r="CU18">
        <v>0</v>
      </c>
      <c r="CV18">
        <v>0</v>
      </c>
    </row>
    <row r="19" spans="1:100">
      <c r="A19">
        <v>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2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5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2</v>
      </c>
      <c r="BE19">
        <v>3</v>
      </c>
      <c r="BF19">
        <v>1</v>
      </c>
      <c r="BG19">
        <v>0</v>
      </c>
      <c r="BH19">
        <v>0</v>
      </c>
      <c r="BI19">
        <v>0</v>
      </c>
      <c r="BJ19">
        <v>1</v>
      </c>
      <c r="BK19">
        <v>2</v>
      </c>
      <c r="BL19">
        <v>0</v>
      </c>
      <c r="BM19">
        <v>0</v>
      </c>
      <c r="BN19">
        <v>1</v>
      </c>
      <c r="BO19">
        <v>0</v>
      </c>
      <c r="BP19">
        <v>2</v>
      </c>
      <c r="BQ19">
        <v>2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1</v>
      </c>
      <c r="CR19">
        <v>0</v>
      </c>
      <c r="CS19">
        <v>2</v>
      </c>
      <c r="CT19">
        <v>2</v>
      </c>
      <c r="CU19">
        <v>1</v>
      </c>
      <c r="CV19">
        <v>0</v>
      </c>
    </row>
    <row r="20" spans="1:100">
      <c r="A20">
        <v>0</v>
      </c>
      <c r="B20">
        <v>0</v>
      </c>
      <c r="C20">
        <v>0</v>
      </c>
      <c r="D20">
        <v>1</v>
      </c>
      <c r="E20">
        <v>1</v>
      </c>
      <c r="F20">
        <v>1</v>
      </c>
      <c r="G20">
        <v>0</v>
      </c>
      <c r="H20">
        <v>1</v>
      </c>
      <c r="I20">
        <v>1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1</v>
      </c>
      <c r="X20">
        <v>2</v>
      </c>
      <c r="Y20">
        <v>0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2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0</v>
      </c>
      <c r="BJ20">
        <v>2</v>
      </c>
      <c r="BK20">
        <v>1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3</v>
      </c>
      <c r="BX20">
        <v>0</v>
      </c>
      <c r="BY20">
        <v>0</v>
      </c>
      <c r="BZ20">
        <v>0</v>
      </c>
      <c r="CA20">
        <v>1</v>
      </c>
      <c r="CB20">
        <v>2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1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1</v>
      </c>
      <c r="CT20">
        <v>4</v>
      </c>
      <c r="CU20">
        <v>1</v>
      </c>
      <c r="CV20">
        <v>0</v>
      </c>
    </row>
    <row r="21" spans="1:100">
      <c r="A21">
        <v>0</v>
      </c>
      <c r="B21">
        <v>1</v>
      </c>
      <c r="C21">
        <v>1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  <c r="J21">
        <v>2</v>
      </c>
      <c r="K21">
        <v>0</v>
      </c>
      <c r="L21">
        <v>2</v>
      </c>
      <c r="M21">
        <v>0</v>
      </c>
      <c r="N21">
        <v>0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2</v>
      </c>
      <c r="AM21">
        <v>0</v>
      </c>
      <c r="AN21">
        <v>1</v>
      </c>
      <c r="AO21">
        <v>2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2</v>
      </c>
      <c r="CC21">
        <v>1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3</v>
      </c>
      <c r="CS21">
        <v>1</v>
      </c>
      <c r="CT21">
        <v>1</v>
      </c>
      <c r="CU21">
        <v>1</v>
      </c>
      <c r="CV21">
        <v>0</v>
      </c>
    </row>
    <row r="22" spans="1:100">
      <c r="A22">
        <v>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3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2</v>
      </c>
      <c r="W22">
        <v>2</v>
      </c>
      <c r="X22">
        <v>0</v>
      </c>
      <c r="Y22">
        <v>0</v>
      </c>
      <c r="Z22">
        <v>0</v>
      </c>
      <c r="AA22">
        <v>2</v>
      </c>
      <c r="AB22">
        <v>0</v>
      </c>
      <c r="AC22">
        <v>2</v>
      </c>
      <c r="AD22">
        <v>1</v>
      </c>
      <c r="AE22">
        <v>1</v>
      </c>
      <c r="AF22">
        <v>1</v>
      </c>
      <c r="AG22">
        <v>2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1</v>
      </c>
      <c r="AP22">
        <v>1</v>
      </c>
      <c r="AQ22">
        <v>1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2</v>
      </c>
      <c r="BG22">
        <v>0</v>
      </c>
      <c r="BH22">
        <v>2</v>
      </c>
      <c r="BI22">
        <v>1</v>
      </c>
      <c r="BJ22">
        <v>1</v>
      </c>
      <c r="BK22">
        <v>1</v>
      </c>
      <c r="BL22">
        <v>0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>
        <v>1</v>
      </c>
      <c r="BV22">
        <v>1</v>
      </c>
      <c r="BW22">
        <v>1</v>
      </c>
      <c r="BX22">
        <v>2</v>
      </c>
      <c r="BY22">
        <v>0</v>
      </c>
      <c r="BZ22">
        <v>1</v>
      </c>
      <c r="CA22">
        <v>0</v>
      </c>
      <c r="CB22">
        <v>1</v>
      </c>
      <c r="CC22">
        <v>2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2</v>
      </c>
      <c r="CJ22">
        <v>0</v>
      </c>
      <c r="CK22">
        <v>1</v>
      </c>
      <c r="CL22">
        <v>0</v>
      </c>
      <c r="CM22">
        <v>1</v>
      </c>
      <c r="CN22">
        <v>1</v>
      </c>
      <c r="CO22">
        <v>0</v>
      </c>
      <c r="CP22">
        <v>1</v>
      </c>
      <c r="CQ22">
        <v>2</v>
      </c>
      <c r="CR22">
        <v>2</v>
      </c>
      <c r="CS22">
        <v>0</v>
      </c>
      <c r="CT22">
        <v>0</v>
      </c>
      <c r="CU22">
        <v>0</v>
      </c>
      <c r="CV22">
        <v>0</v>
      </c>
    </row>
    <row r="23" spans="1:100">
      <c r="A23">
        <v>0</v>
      </c>
      <c r="B23">
        <v>0</v>
      </c>
      <c r="C23">
        <v>3</v>
      </c>
      <c r="D23">
        <v>1</v>
      </c>
      <c r="E23">
        <v>1</v>
      </c>
      <c r="F23">
        <v>0</v>
      </c>
      <c r="G23">
        <v>2</v>
      </c>
      <c r="H23">
        <v>0</v>
      </c>
      <c r="I23">
        <v>3</v>
      </c>
      <c r="J23">
        <v>1</v>
      </c>
      <c r="K23">
        <v>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2</v>
      </c>
      <c r="AJ23">
        <v>1</v>
      </c>
      <c r="AK23">
        <v>2</v>
      </c>
      <c r="AL23">
        <v>1</v>
      </c>
      <c r="AM23">
        <v>0</v>
      </c>
      <c r="AN23">
        <v>3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1</v>
      </c>
      <c r="AX23">
        <v>0</v>
      </c>
      <c r="AY23">
        <v>1</v>
      </c>
      <c r="AZ23">
        <v>2</v>
      </c>
      <c r="BA23">
        <v>1</v>
      </c>
      <c r="BB23">
        <v>1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2</v>
      </c>
      <c r="BO23">
        <v>0</v>
      </c>
      <c r="BP23">
        <v>2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1</v>
      </c>
      <c r="BY23">
        <v>0</v>
      </c>
      <c r="BZ23">
        <v>2</v>
      </c>
      <c r="CA23">
        <v>0</v>
      </c>
      <c r="CB23">
        <v>1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2</v>
      </c>
      <c r="CP23">
        <v>0</v>
      </c>
      <c r="CQ23">
        <v>0</v>
      </c>
      <c r="CR23">
        <v>1</v>
      </c>
      <c r="CS23">
        <v>2</v>
      </c>
      <c r="CT23">
        <v>0</v>
      </c>
      <c r="CU23">
        <v>0</v>
      </c>
      <c r="CV23">
        <v>0</v>
      </c>
    </row>
    <row r="24" spans="1:100">
      <c r="A24">
        <v>1</v>
      </c>
      <c r="B24">
        <v>1</v>
      </c>
      <c r="C24">
        <v>0</v>
      </c>
      <c r="D24">
        <v>0</v>
      </c>
      <c r="E24">
        <v>2</v>
      </c>
      <c r="F24">
        <v>1</v>
      </c>
      <c r="G24">
        <v>1</v>
      </c>
      <c r="H24">
        <v>1</v>
      </c>
      <c r="I24">
        <v>1</v>
      </c>
      <c r="J24">
        <v>2</v>
      </c>
      <c r="K24">
        <v>0</v>
      </c>
      <c r="L24">
        <v>2</v>
      </c>
      <c r="M24">
        <v>0</v>
      </c>
      <c r="N24">
        <v>2</v>
      </c>
      <c r="O24">
        <v>2</v>
      </c>
      <c r="P24">
        <v>0</v>
      </c>
      <c r="Q24">
        <v>0</v>
      </c>
      <c r="R24">
        <v>1</v>
      </c>
      <c r="S24">
        <v>2</v>
      </c>
      <c r="T24">
        <v>0</v>
      </c>
      <c r="U24">
        <v>2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2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2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2</v>
      </c>
      <c r="BI24">
        <v>0</v>
      </c>
      <c r="BJ24">
        <v>1</v>
      </c>
      <c r="BK24">
        <v>1</v>
      </c>
      <c r="BL24">
        <v>1</v>
      </c>
      <c r="BM24">
        <v>2</v>
      </c>
      <c r="BN24">
        <v>1</v>
      </c>
      <c r="BO24">
        <v>2</v>
      </c>
      <c r="BP24">
        <v>1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1</v>
      </c>
      <c r="CS24">
        <v>0</v>
      </c>
      <c r="CT24">
        <v>1</v>
      </c>
      <c r="CU24">
        <v>0</v>
      </c>
      <c r="CV24">
        <v>0</v>
      </c>
    </row>
    <row r="25" spans="1:100">
      <c r="A25">
        <v>1</v>
      </c>
      <c r="B25">
        <v>0</v>
      </c>
      <c r="C25">
        <v>0</v>
      </c>
      <c r="D25">
        <v>0</v>
      </c>
      <c r="E25">
        <v>2</v>
      </c>
      <c r="F25">
        <v>0</v>
      </c>
      <c r="G25">
        <v>3</v>
      </c>
      <c r="H25">
        <v>1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1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1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2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</row>
    <row r="26" spans="1:100">
      <c r="A26">
        <v>1</v>
      </c>
      <c r="B26">
        <v>0</v>
      </c>
      <c r="C26">
        <v>1</v>
      </c>
      <c r="D26">
        <v>2</v>
      </c>
      <c r="E26">
        <v>2</v>
      </c>
      <c r="F26">
        <v>1</v>
      </c>
      <c r="G26">
        <v>1</v>
      </c>
      <c r="H26">
        <v>0</v>
      </c>
      <c r="I26">
        <v>0</v>
      </c>
      <c r="J26">
        <v>1</v>
      </c>
      <c r="K26">
        <v>0</v>
      </c>
      <c r="L26">
        <v>2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2</v>
      </c>
      <c r="AJ26">
        <v>1</v>
      </c>
      <c r="AK26">
        <v>1</v>
      </c>
      <c r="AL26">
        <v>0</v>
      </c>
      <c r="AM26">
        <v>0</v>
      </c>
      <c r="AN26">
        <v>2</v>
      </c>
      <c r="AO26">
        <v>1</v>
      </c>
      <c r="AP26">
        <v>1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2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3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4</v>
      </c>
      <c r="BP26">
        <v>0</v>
      </c>
      <c r="BQ26">
        <v>2</v>
      </c>
      <c r="BR26">
        <v>0</v>
      </c>
      <c r="BS26">
        <v>1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2</v>
      </c>
      <c r="BZ26">
        <v>0</v>
      </c>
      <c r="CA26">
        <v>0</v>
      </c>
      <c r="CB26">
        <v>0</v>
      </c>
      <c r="CC26">
        <v>0</v>
      </c>
      <c r="CD26">
        <v>2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</v>
      </c>
      <c r="CO26">
        <v>0</v>
      </c>
      <c r="CP26">
        <v>0</v>
      </c>
      <c r="CQ26">
        <v>0</v>
      </c>
      <c r="CR26">
        <v>0</v>
      </c>
      <c r="CS26">
        <v>2</v>
      </c>
      <c r="CT26">
        <v>0</v>
      </c>
      <c r="CU26">
        <v>1</v>
      </c>
      <c r="CV26">
        <v>0</v>
      </c>
    </row>
    <row r="27" spans="1:100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2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2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2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1</v>
      </c>
      <c r="BD27">
        <v>2</v>
      </c>
      <c r="BE27">
        <v>0</v>
      </c>
      <c r="BF27">
        <v>1</v>
      </c>
      <c r="BG27">
        <v>1</v>
      </c>
      <c r="BH27">
        <v>0</v>
      </c>
      <c r="BI27">
        <v>1</v>
      </c>
      <c r="BJ27">
        <v>0</v>
      </c>
      <c r="BK27">
        <v>0</v>
      </c>
      <c r="BL27">
        <v>2</v>
      </c>
      <c r="BM27">
        <v>2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2</v>
      </c>
      <c r="BZ27">
        <v>0</v>
      </c>
      <c r="CA27">
        <v>1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</row>
    <row r="28" spans="1:100">
      <c r="A28">
        <v>0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1</v>
      </c>
      <c r="Q28">
        <v>0</v>
      </c>
      <c r="R28">
        <v>1</v>
      </c>
      <c r="S28">
        <v>0</v>
      </c>
      <c r="T28">
        <v>1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1</v>
      </c>
      <c r="AG28">
        <v>0</v>
      </c>
      <c r="AH28">
        <v>2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2</v>
      </c>
      <c r="AV28">
        <v>0</v>
      </c>
      <c r="AW28">
        <v>1</v>
      </c>
      <c r="AX28">
        <v>1</v>
      </c>
      <c r="AY28">
        <v>2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2</v>
      </c>
      <c r="BF28">
        <v>0</v>
      </c>
      <c r="BG28">
        <v>1</v>
      </c>
      <c r="BH28">
        <v>1</v>
      </c>
      <c r="BI28">
        <v>1</v>
      </c>
      <c r="BJ28">
        <v>0</v>
      </c>
      <c r="BK28">
        <v>0</v>
      </c>
      <c r="BL28">
        <v>1</v>
      </c>
      <c r="BM28">
        <v>2</v>
      </c>
      <c r="BN28">
        <v>0</v>
      </c>
      <c r="BO28">
        <v>0</v>
      </c>
      <c r="BP28">
        <v>2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1</v>
      </c>
      <c r="CD28">
        <v>2</v>
      </c>
      <c r="CE28">
        <v>2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0</v>
      </c>
      <c r="CT28">
        <v>0</v>
      </c>
      <c r="CU28">
        <v>1</v>
      </c>
      <c r="CV28">
        <v>1</v>
      </c>
    </row>
    <row r="29" spans="1:100">
      <c r="A29">
        <v>0</v>
      </c>
      <c r="B29">
        <v>1</v>
      </c>
      <c r="C29">
        <v>0</v>
      </c>
      <c r="D29">
        <v>1</v>
      </c>
      <c r="E29">
        <v>1</v>
      </c>
      <c r="F29">
        <v>0</v>
      </c>
      <c r="G29">
        <v>1</v>
      </c>
      <c r="H29">
        <v>0</v>
      </c>
      <c r="I29">
        <v>1</v>
      </c>
      <c r="J29">
        <v>1</v>
      </c>
      <c r="K29">
        <v>0</v>
      </c>
      <c r="L29">
        <v>0</v>
      </c>
      <c r="M29">
        <v>1</v>
      </c>
      <c r="N29">
        <v>1</v>
      </c>
      <c r="O29">
        <v>4</v>
      </c>
      <c r="P29">
        <v>2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2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1</v>
      </c>
      <c r="BJ29">
        <v>1</v>
      </c>
      <c r="BK29">
        <v>0</v>
      </c>
      <c r="BL29">
        <v>0</v>
      </c>
      <c r="BM29">
        <v>0</v>
      </c>
      <c r="BN29">
        <v>2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0</v>
      </c>
      <c r="CB29">
        <v>2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0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3</v>
      </c>
      <c r="CS29">
        <v>0</v>
      </c>
      <c r="CT29">
        <v>0</v>
      </c>
      <c r="CU29">
        <v>1</v>
      </c>
      <c r="CV29">
        <v>1</v>
      </c>
    </row>
    <row r="30" spans="1:100">
      <c r="A30">
        <v>0</v>
      </c>
      <c r="B30">
        <v>1</v>
      </c>
      <c r="C30">
        <v>2</v>
      </c>
      <c r="D30">
        <v>1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1</v>
      </c>
      <c r="Y30">
        <v>0</v>
      </c>
      <c r="Z30">
        <v>0</v>
      </c>
      <c r="AA30">
        <v>2</v>
      </c>
      <c r="AB30">
        <v>0</v>
      </c>
      <c r="AC30">
        <v>2</v>
      </c>
      <c r="AD30">
        <v>2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2</v>
      </c>
      <c r="AM30">
        <v>0</v>
      </c>
      <c r="AN30">
        <v>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1</v>
      </c>
      <c r="BF30">
        <v>0</v>
      </c>
      <c r="BG30">
        <v>1</v>
      </c>
      <c r="BH30">
        <v>1</v>
      </c>
      <c r="BI30">
        <v>1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2</v>
      </c>
      <c r="BW30">
        <v>1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0</v>
      </c>
      <c r="CD30">
        <v>2</v>
      </c>
      <c r="CE30">
        <v>1</v>
      </c>
      <c r="CF30">
        <v>0</v>
      </c>
      <c r="CG30">
        <v>0</v>
      </c>
      <c r="CH30">
        <v>2</v>
      </c>
      <c r="CI30">
        <v>1</v>
      </c>
      <c r="CJ30">
        <v>2</v>
      </c>
      <c r="CK30">
        <v>1</v>
      </c>
      <c r="CL30">
        <v>1</v>
      </c>
      <c r="CM30">
        <v>0</v>
      </c>
      <c r="CN30">
        <v>2</v>
      </c>
      <c r="CO30">
        <v>0</v>
      </c>
      <c r="CP30">
        <v>1</v>
      </c>
      <c r="CQ30">
        <v>1</v>
      </c>
      <c r="CR30">
        <v>0</v>
      </c>
      <c r="CS30">
        <v>1</v>
      </c>
      <c r="CT30">
        <v>0</v>
      </c>
      <c r="CU30">
        <v>0</v>
      </c>
      <c r="CV30">
        <v>0</v>
      </c>
    </row>
    <row r="31" spans="1:100">
      <c r="A31">
        <v>0</v>
      </c>
      <c r="B31">
        <v>0</v>
      </c>
      <c r="C31">
        <v>0</v>
      </c>
      <c r="D31">
        <v>2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  <c r="Q31">
        <v>2</v>
      </c>
      <c r="R31">
        <v>1</v>
      </c>
      <c r="S31">
        <v>1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2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1</v>
      </c>
      <c r="BK31">
        <v>0</v>
      </c>
      <c r="BL31">
        <v>1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1</v>
      </c>
      <c r="BW31">
        <v>0</v>
      </c>
      <c r="BX31">
        <v>0</v>
      </c>
      <c r="BY31">
        <v>2</v>
      </c>
      <c r="BZ31">
        <v>0</v>
      </c>
      <c r="CA31">
        <v>0</v>
      </c>
      <c r="CB31">
        <v>0</v>
      </c>
      <c r="CC31">
        <v>2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1</v>
      </c>
      <c r="CK31">
        <v>3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1</v>
      </c>
    </row>
    <row r="32" spans="1:100">
      <c r="A32">
        <v>1</v>
      </c>
      <c r="B32">
        <v>0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2</v>
      </c>
      <c r="N32">
        <v>2</v>
      </c>
      <c r="O32">
        <v>0</v>
      </c>
      <c r="P32">
        <v>0</v>
      </c>
      <c r="Q32">
        <v>1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1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2</v>
      </c>
      <c r="AI32">
        <v>0</v>
      </c>
      <c r="AJ32">
        <v>1</v>
      </c>
      <c r="AK32">
        <v>1</v>
      </c>
      <c r="AL32">
        <v>0</v>
      </c>
      <c r="AM32">
        <v>2</v>
      </c>
      <c r="AN32">
        <v>0</v>
      </c>
      <c r="AO32">
        <v>3</v>
      </c>
      <c r="AP32">
        <v>1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2</v>
      </c>
      <c r="BA32">
        <v>1</v>
      </c>
      <c r="BB32">
        <v>1</v>
      </c>
      <c r="BC32">
        <v>0</v>
      </c>
      <c r="BD32">
        <v>0</v>
      </c>
      <c r="BE32">
        <v>1</v>
      </c>
      <c r="BF32">
        <v>2</v>
      </c>
      <c r="BG32">
        <v>0</v>
      </c>
      <c r="BH32">
        <v>1</v>
      </c>
      <c r="BI32">
        <v>0</v>
      </c>
      <c r="BJ32">
        <v>1</v>
      </c>
      <c r="BK32">
        <v>3</v>
      </c>
      <c r="BL32">
        <v>2</v>
      </c>
      <c r="BM32">
        <v>0</v>
      </c>
      <c r="BN32">
        <v>2</v>
      </c>
      <c r="BO32">
        <v>0</v>
      </c>
      <c r="BP32">
        <v>3</v>
      </c>
      <c r="BQ32">
        <v>1</v>
      </c>
      <c r="BR32">
        <v>1</v>
      </c>
      <c r="BS32">
        <v>0</v>
      </c>
      <c r="BT32">
        <v>0</v>
      </c>
      <c r="BU32">
        <v>3</v>
      </c>
      <c r="BV32">
        <v>2</v>
      </c>
      <c r="BW32">
        <v>0</v>
      </c>
      <c r="BX32">
        <v>0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1</v>
      </c>
      <c r="CE32">
        <v>2</v>
      </c>
      <c r="CF32">
        <v>1</v>
      </c>
      <c r="CG32">
        <v>0</v>
      </c>
      <c r="CH32">
        <v>3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1</v>
      </c>
      <c r="CP32">
        <v>0</v>
      </c>
      <c r="CQ32">
        <v>1</v>
      </c>
      <c r="CR32">
        <v>2</v>
      </c>
      <c r="CS32">
        <v>0</v>
      </c>
      <c r="CT32">
        <v>0</v>
      </c>
      <c r="CU32">
        <v>0</v>
      </c>
      <c r="CV32">
        <v>0</v>
      </c>
    </row>
    <row r="33" spans="1:100">
      <c r="A33">
        <v>1</v>
      </c>
      <c r="B33">
        <v>2</v>
      </c>
      <c r="C33">
        <v>0</v>
      </c>
      <c r="D33">
        <v>1</v>
      </c>
      <c r="E33">
        <v>0</v>
      </c>
      <c r="F33">
        <v>2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1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1</v>
      </c>
      <c r="Y33">
        <v>2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2</v>
      </c>
      <c r="AV33">
        <v>2</v>
      </c>
      <c r="AW33">
        <v>1</v>
      </c>
      <c r="AX33">
        <v>0</v>
      </c>
      <c r="AY33">
        <v>0</v>
      </c>
      <c r="AZ33">
        <v>0</v>
      </c>
      <c r="BA33">
        <v>3</v>
      </c>
      <c r="BB33">
        <v>2</v>
      </c>
      <c r="BC33">
        <v>0</v>
      </c>
      <c r="BD33">
        <v>1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0</v>
      </c>
      <c r="BR33">
        <v>1</v>
      </c>
      <c r="BS33">
        <v>0</v>
      </c>
      <c r="BT33">
        <v>0</v>
      </c>
      <c r="BU33">
        <v>2</v>
      </c>
      <c r="BV33">
        <v>1</v>
      </c>
      <c r="BW33">
        <v>1</v>
      </c>
      <c r="BX33">
        <v>1</v>
      </c>
      <c r="BY33">
        <v>1</v>
      </c>
      <c r="BZ33">
        <v>0</v>
      </c>
      <c r="CA33">
        <v>1</v>
      </c>
      <c r="CB33">
        <v>0</v>
      </c>
      <c r="CC33">
        <v>0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1</v>
      </c>
      <c r="CP33">
        <v>2</v>
      </c>
      <c r="CQ33">
        <v>1</v>
      </c>
      <c r="CR33">
        <v>1</v>
      </c>
      <c r="CS33">
        <v>1</v>
      </c>
      <c r="CT33">
        <v>2</v>
      </c>
      <c r="CU33">
        <v>0</v>
      </c>
      <c r="CV33">
        <v>0</v>
      </c>
    </row>
    <row r="34" spans="1:100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1</v>
      </c>
      <c r="K34">
        <v>0</v>
      </c>
      <c r="L34">
        <v>1</v>
      </c>
      <c r="M34">
        <v>2</v>
      </c>
      <c r="N34">
        <v>2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1</v>
      </c>
      <c r="V34">
        <v>2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2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2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2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1</v>
      </c>
      <c r="BN34">
        <v>2</v>
      </c>
      <c r="BO34">
        <v>0</v>
      </c>
      <c r="BP34">
        <v>0</v>
      </c>
      <c r="BQ34">
        <v>1</v>
      </c>
      <c r="BR34">
        <v>0</v>
      </c>
      <c r="BS34">
        <v>2</v>
      </c>
      <c r="BT34">
        <v>0</v>
      </c>
      <c r="BU34">
        <v>2</v>
      </c>
      <c r="BV34">
        <v>1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2</v>
      </c>
      <c r="CC34">
        <v>0</v>
      </c>
      <c r="CD34">
        <v>0</v>
      </c>
      <c r="CE34">
        <v>2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1</v>
      </c>
      <c r="CR34">
        <v>0</v>
      </c>
      <c r="CS34">
        <v>0</v>
      </c>
      <c r="CT34">
        <v>1</v>
      </c>
      <c r="CU34">
        <v>1</v>
      </c>
      <c r="CV34">
        <v>2</v>
      </c>
    </row>
    <row r="35" spans="1:100">
      <c r="A35">
        <v>2</v>
      </c>
      <c r="B35">
        <v>0</v>
      </c>
      <c r="C35">
        <v>1</v>
      </c>
      <c r="D35">
        <v>2</v>
      </c>
      <c r="E35">
        <v>0</v>
      </c>
      <c r="F35">
        <v>1</v>
      </c>
      <c r="G35">
        <v>0</v>
      </c>
      <c r="H35">
        <v>2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3</v>
      </c>
      <c r="BG35">
        <v>0</v>
      </c>
      <c r="BH35">
        <v>2</v>
      </c>
      <c r="BI35">
        <v>0</v>
      </c>
      <c r="BJ35">
        <v>1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1</v>
      </c>
      <c r="BR35">
        <v>0</v>
      </c>
      <c r="BS35">
        <v>1</v>
      </c>
      <c r="BT35">
        <v>2</v>
      </c>
      <c r="BU35">
        <v>0</v>
      </c>
      <c r="BV35">
        <v>1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1</v>
      </c>
      <c r="CH35">
        <v>1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1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</row>
    <row r="36" spans="1:100">
      <c r="A36">
        <v>1</v>
      </c>
      <c r="B36">
        <v>0</v>
      </c>
      <c r="C36">
        <v>1</v>
      </c>
      <c r="D36">
        <v>1</v>
      </c>
      <c r="E36">
        <v>0</v>
      </c>
      <c r="F36">
        <v>0</v>
      </c>
      <c r="G36">
        <v>1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1</v>
      </c>
      <c r="O36">
        <v>2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2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2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3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2</v>
      </c>
      <c r="BF36">
        <v>1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1</v>
      </c>
      <c r="BR36">
        <v>0</v>
      </c>
      <c r="BS36">
        <v>1</v>
      </c>
      <c r="BT36">
        <v>2</v>
      </c>
      <c r="BU36">
        <v>0</v>
      </c>
      <c r="BV36">
        <v>0</v>
      </c>
      <c r="BW36">
        <v>1</v>
      </c>
      <c r="BX36">
        <v>0</v>
      </c>
      <c r="BY36">
        <v>0</v>
      </c>
      <c r="BZ36">
        <v>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1</v>
      </c>
      <c r="CS36">
        <v>1</v>
      </c>
      <c r="CT36">
        <v>2</v>
      </c>
      <c r="CU36">
        <v>1</v>
      </c>
      <c r="CV36">
        <v>0</v>
      </c>
    </row>
    <row r="37" spans="1:100">
      <c r="A37">
        <v>1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3</v>
      </c>
      <c r="J37">
        <v>1</v>
      </c>
      <c r="K37">
        <v>1</v>
      </c>
      <c r="L37">
        <v>0</v>
      </c>
      <c r="M37">
        <v>2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1</v>
      </c>
      <c r="BD37">
        <v>0</v>
      </c>
      <c r="BE37">
        <v>2</v>
      </c>
      <c r="BF37">
        <v>1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2</v>
      </c>
      <c r="BT37">
        <v>0</v>
      </c>
      <c r="BU37">
        <v>1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3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</row>
    <row r="38" spans="1:100">
      <c r="A38">
        <v>0</v>
      </c>
      <c r="B38">
        <v>0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1</v>
      </c>
      <c r="M38">
        <v>0</v>
      </c>
      <c r="N38">
        <v>0</v>
      </c>
      <c r="O38">
        <v>2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3</v>
      </c>
      <c r="BI38">
        <v>1</v>
      </c>
      <c r="BJ38">
        <v>0</v>
      </c>
      <c r="BK38">
        <v>1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0</v>
      </c>
      <c r="BX38">
        <v>0</v>
      </c>
      <c r="BY38">
        <v>2</v>
      </c>
      <c r="BZ38">
        <v>0</v>
      </c>
      <c r="CA38">
        <v>2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1</v>
      </c>
    </row>
    <row r="39" spans="1:100">
      <c r="A39">
        <v>0</v>
      </c>
      <c r="B39">
        <v>0</v>
      </c>
      <c r="C39">
        <v>2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0</v>
      </c>
      <c r="K39">
        <v>1</v>
      </c>
      <c r="L39">
        <v>0</v>
      </c>
      <c r="M39">
        <v>4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2</v>
      </c>
      <c r="W39">
        <v>0</v>
      </c>
      <c r="X39">
        <v>0</v>
      </c>
      <c r="Y39">
        <v>1</v>
      </c>
      <c r="Z39">
        <v>1</v>
      </c>
      <c r="AA39">
        <v>2</v>
      </c>
      <c r="AB39">
        <v>2</v>
      </c>
      <c r="AC39">
        <v>1</v>
      </c>
      <c r="AD39">
        <v>3</v>
      </c>
      <c r="AE39">
        <v>1</v>
      </c>
      <c r="AF39">
        <v>0</v>
      </c>
      <c r="AG39">
        <v>0</v>
      </c>
      <c r="AH39">
        <v>2</v>
      </c>
      <c r="AI39">
        <v>0</v>
      </c>
      <c r="AJ39">
        <v>2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1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0</v>
      </c>
      <c r="CC39">
        <v>2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5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2</v>
      </c>
      <c r="CU39">
        <v>0</v>
      </c>
      <c r="CV39">
        <v>0</v>
      </c>
    </row>
    <row r="40" spans="1:10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4</v>
      </c>
      <c r="H40">
        <v>0</v>
      </c>
      <c r="I40">
        <v>2</v>
      </c>
      <c r="J40">
        <v>1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1</v>
      </c>
      <c r="R40">
        <v>2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2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3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0</v>
      </c>
      <c r="AU40">
        <v>1</v>
      </c>
      <c r="AV40">
        <v>1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1</v>
      </c>
      <c r="CC40">
        <v>3</v>
      </c>
      <c r="CD40">
        <v>0</v>
      </c>
      <c r="CE40">
        <v>2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3</v>
      </c>
      <c r="CQ40">
        <v>0</v>
      </c>
      <c r="CR40">
        <v>0</v>
      </c>
      <c r="CS40">
        <v>2</v>
      </c>
      <c r="CT40">
        <v>0</v>
      </c>
      <c r="CU40">
        <v>0</v>
      </c>
      <c r="CV40">
        <v>2</v>
      </c>
    </row>
    <row r="41" spans="1:100">
      <c r="A41">
        <v>1</v>
      </c>
      <c r="B41">
        <v>0</v>
      </c>
      <c r="C41">
        <v>0</v>
      </c>
      <c r="D41">
        <v>2</v>
      </c>
      <c r="E41">
        <v>1</v>
      </c>
      <c r="F41">
        <v>3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2</v>
      </c>
      <c r="U41">
        <v>1</v>
      </c>
      <c r="V41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1</v>
      </c>
      <c r="AC41">
        <v>1</v>
      </c>
      <c r="AD41">
        <v>2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2</v>
      </c>
      <c r="AP41">
        <v>0</v>
      </c>
      <c r="AQ41">
        <v>0</v>
      </c>
      <c r="AR41">
        <v>0</v>
      </c>
      <c r="AS41">
        <v>1</v>
      </c>
      <c r="AT41">
        <v>2</v>
      </c>
      <c r="AU41">
        <v>2</v>
      </c>
      <c r="AV41">
        <v>0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2</v>
      </c>
      <c r="BC41">
        <v>0</v>
      </c>
      <c r="BD41">
        <v>1</v>
      </c>
      <c r="BE41">
        <v>0</v>
      </c>
      <c r="BF41">
        <v>0</v>
      </c>
      <c r="BG41">
        <v>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2</v>
      </c>
      <c r="BV41">
        <v>0</v>
      </c>
      <c r="BW41">
        <v>1</v>
      </c>
      <c r="BX41">
        <v>0</v>
      </c>
      <c r="BY41">
        <v>2</v>
      </c>
      <c r="BZ41">
        <v>2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3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2</v>
      </c>
      <c r="CU41">
        <v>1</v>
      </c>
      <c r="CV41">
        <v>0</v>
      </c>
    </row>
    <row r="42" spans="1:100">
      <c r="A42">
        <v>0</v>
      </c>
      <c r="B42">
        <v>0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1</v>
      </c>
      <c r="O42">
        <v>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2</v>
      </c>
      <c r="AU42">
        <v>0</v>
      </c>
      <c r="AV42">
        <v>1</v>
      </c>
      <c r="AW42">
        <v>1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2</v>
      </c>
      <c r="BG42">
        <v>0</v>
      </c>
      <c r="BH42">
        <v>1</v>
      </c>
      <c r="BI42">
        <v>3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2</v>
      </c>
      <c r="CC42">
        <v>0</v>
      </c>
      <c r="CD42">
        <v>1</v>
      </c>
      <c r="CE42">
        <v>0</v>
      </c>
      <c r="CF42">
        <v>3</v>
      </c>
      <c r="CG42">
        <v>1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1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</row>
    <row r="43" spans="1:100">
      <c r="A43">
        <v>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2</v>
      </c>
      <c r="I43">
        <v>1</v>
      </c>
      <c r="J43">
        <v>2</v>
      </c>
      <c r="K43">
        <v>0</v>
      </c>
      <c r="L43">
        <v>1</v>
      </c>
      <c r="M43">
        <v>0</v>
      </c>
      <c r="N43">
        <v>2</v>
      </c>
      <c r="O43">
        <v>0</v>
      </c>
      <c r="P43">
        <v>0</v>
      </c>
      <c r="Q43">
        <v>0</v>
      </c>
      <c r="R43">
        <v>3</v>
      </c>
      <c r="S43">
        <v>0</v>
      </c>
      <c r="T43">
        <v>0</v>
      </c>
      <c r="U43">
        <v>0</v>
      </c>
      <c r="V43">
        <v>1</v>
      </c>
      <c r="W43">
        <v>1</v>
      </c>
      <c r="X43">
        <v>1</v>
      </c>
      <c r="Y43">
        <v>1</v>
      </c>
      <c r="Z43">
        <v>4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2</v>
      </c>
      <c r="BI43">
        <v>1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1</v>
      </c>
      <c r="BZ43">
        <v>2</v>
      </c>
      <c r="CA43">
        <v>1</v>
      </c>
      <c r="CB43">
        <v>1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2</v>
      </c>
      <c r="CK43">
        <v>1</v>
      </c>
      <c r="CL43">
        <v>0</v>
      </c>
      <c r="CM43">
        <v>0</v>
      </c>
      <c r="CN43">
        <v>0</v>
      </c>
      <c r="CO43">
        <v>2</v>
      </c>
      <c r="CP43">
        <v>1</v>
      </c>
      <c r="CQ43">
        <v>1</v>
      </c>
      <c r="CR43">
        <v>0</v>
      </c>
      <c r="CS43">
        <v>0</v>
      </c>
      <c r="CT43">
        <v>1</v>
      </c>
      <c r="CU43">
        <v>2</v>
      </c>
      <c r="CV43">
        <v>1</v>
      </c>
    </row>
    <row r="44" spans="1:100">
      <c r="A44">
        <v>1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2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2</v>
      </c>
      <c r="S44">
        <v>1</v>
      </c>
      <c r="T44">
        <v>0</v>
      </c>
      <c r="U44">
        <v>0</v>
      </c>
      <c r="V44">
        <v>0</v>
      </c>
      <c r="W44">
        <v>1</v>
      </c>
      <c r="X44">
        <v>1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1</v>
      </c>
      <c r="AI44">
        <v>0</v>
      </c>
      <c r="AJ44">
        <v>2</v>
      </c>
      <c r="AK44">
        <v>2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0</v>
      </c>
      <c r="AS44">
        <v>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2</v>
      </c>
      <c r="BD44">
        <v>0</v>
      </c>
      <c r="BE44">
        <v>0</v>
      </c>
      <c r="BF44">
        <v>0</v>
      </c>
      <c r="BG44">
        <v>0</v>
      </c>
      <c r="BH44">
        <v>2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1</v>
      </c>
      <c r="CI44">
        <v>0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0</v>
      </c>
      <c r="CP44">
        <v>2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1</v>
      </c>
    </row>
    <row r="45" spans="1:100">
      <c r="A45">
        <v>0</v>
      </c>
      <c r="B45">
        <v>0</v>
      </c>
      <c r="C45"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2</v>
      </c>
      <c r="L45">
        <v>1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2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2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0</v>
      </c>
      <c r="CC45">
        <v>1</v>
      </c>
      <c r="CD45">
        <v>0</v>
      </c>
      <c r="CE45">
        <v>2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2</v>
      </c>
      <c r="CM45">
        <v>0</v>
      </c>
      <c r="CN45">
        <v>1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0</v>
      </c>
    </row>
    <row r="46" spans="1:100">
      <c r="A46">
        <v>0</v>
      </c>
      <c r="B46">
        <v>0</v>
      </c>
      <c r="C46">
        <v>0</v>
      </c>
      <c r="D46">
        <v>2</v>
      </c>
      <c r="E46">
        <v>0</v>
      </c>
      <c r="F46">
        <v>0</v>
      </c>
      <c r="G46">
        <v>1</v>
      </c>
      <c r="H46">
        <v>0</v>
      </c>
      <c r="I46">
        <v>0</v>
      </c>
      <c r="J46">
        <v>1</v>
      </c>
      <c r="K46">
        <v>2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2</v>
      </c>
      <c r="V46">
        <v>0</v>
      </c>
      <c r="W46">
        <v>1</v>
      </c>
      <c r="X46">
        <v>0</v>
      </c>
      <c r="Y46">
        <v>1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2</v>
      </c>
      <c r="AU46">
        <v>0</v>
      </c>
      <c r="AV46">
        <v>1</v>
      </c>
      <c r="AW46">
        <v>0</v>
      </c>
      <c r="AX46">
        <v>0</v>
      </c>
      <c r="AY46">
        <v>2</v>
      </c>
      <c r="AZ46">
        <v>0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4</v>
      </c>
      <c r="BK46">
        <v>0</v>
      </c>
      <c r="BL46">
        <v>1</v>
      </c>
      <c r="BM46">
        <v>2</v>
      </c>
      <c r="BN46">
        <v>0</v>
      </c>
      <c r="BO46">
        <v>0</v>
      </c>
      <c r="BP46">
        <v>1</v>
      </c>
      <c r="BQ46">
        <v>1</v>
      </c>
      <c r="BR46">
        <v>1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2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2</v>
      </c>
      <c r="CV46">
        <v>0</v>
      </c>
    </row>
    <row r="47" spans="1:100">
      <c r="A47">
        <v>0</v>
      </c>
      <c r="B47">
        <v>0</v>
      </c>
      <c r="C47">
        <v>1</v>
      </c>
      <c r="D47">
        <v>1</v>
      </c>
      <c r="E47">
        <v>0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>
        <v>2</v>
      </c>
      <c r="R47">
        <v>0</v>
      </c>
      <c r="S47">
        <v>1</v>
      </c>
      <c r="T47">
        <v>0</v>
      </c>
      <c r="U47">
        <v>0</v>
      </c>
      <c r="V47">
        <v>1</v>
      </c>
      <c r="W47">
        <v>1</v>
      </c>
      <c r="X47">
        <v>1</v>
      </c>
      <c r="Y47">
        <v>0</v>
      </c>
      <c r="Z47">
        <v>0</v>
      </c>
      <c r="AA47">
        <v>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2</v>
      </c>
      <c r="BG47">
        <v>0</v>
      </c>
      <c r="BH47">
        <v>3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2</v>
      </c>
      <c r="CD47">
        <v>0</v>
      </c>
      <c r="CE47">
        <v>0</v>
      </c>
      <c r="CF47">
        <v>3</v>
      </c>
      <c r="CG47">
        <v>1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1</v>
      </c>
      <c r="CT47">
        <v>2</v>
      </c>
      <c r="CU47">
        <v>1</v>
      </c>
      <c r="CV47">
        <v>0</v>
      </c>
    </row>
    <row r="48" spans="1:100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2</v>
      </c>
      <c r="H48">
        <v>2</v>
      </c>
      <c r="I48">
        <v>1</v>
      </c>
      <c r="J48">
        <v>0</v>
      </c>
      <c r="K48">
        <v>0</v>
      </c>
      <c r="L48">
        <v>1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2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2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1</v>
      </c>
      <c r="BA48">
        <v>1</v>
      </c>
      <c r="BB48">
        <v>2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1</v>
      </c>
      <c r="BO48">
        <v>2</v>
      </c>
      <c r="BP48">
        <v>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1</v>
      </c>
      <c r="BX48">
        <v>0</v>
      </c>
      <c r="BY48">
        <v>0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2</v>
      </c>
      <c r="CG48">
        <v>0</v>
      </c>
      <c r="CH48">
        <v>2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2</v>
      </c>
      <c r="CP48">
        <v>2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</row>
    <row r="49" spans="1:100">
      <c r="A49">
        <v>2</v>
      </c>
      <c r="B49">
        <v>0</v>
      </c>
      <c r="C49">
        <v>1</v>
      </c>
      <c r="D49">
        <v>1</v>
      </c>
      <c r="E49">
        <v>0</v>
      </c>
      <c r="F49">
        <v>1</v>
      </c>
      <c r="G49">
        <v>0</v>
      </c>
      <c r="H49">
        <v>0</v>
      </c>
      <c r="I49">
        <v>1</v>
      </c>
      <c r="J49">
        <v>1</v>
      </c>
      <c r="K49">
        <v>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2</v>
      </c>
      <c r="T49">
        <v>2</v>
      </c>
      <c r="U49">
        <v>1</v>
      </c>
      <c r="V49">
        <v>0</v>
      </c>
      <c r="W49">
        <v>0</v>
      </c>
      <c r="X49">
        <v>1</v>
      </c>
      <c r="Y49">
        <v>0</v>
      </c>
      <c r="Z49">
        <v>1</v>
      </c>
      <c r="AA49">
        <v>2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2</v>
      </c>
      <c r="AM49">
        <v>0</v>
      </c>
      <c r="AN49">
        <v>1</v>
      </c>
      <c r="AO49">
        <v>1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>
        <v>0</v>
      </c>
      <c r="BH49">
        <v>0</v>
      </c>
      <c r="BI49">
        <v>2</v>
      </c>
      <c r="BJ49">
        <v>2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1</v>
      </c>
      <c r="BU49">
        <v>1</v>
      </c>
      <c r="BV49">
        <v>0</v>
      </c>
      <c r="BW49">
        <v>1</v>
      </c>
      <c r="BX49">
        <v>1</v>
      </c>
      <c r="BY49">
        <v>0</v>
      </c>
      <c r="BZ49">
        <v>0</v>
      </c>
      <c r="CA49">
        <v>1</v>
      </c>
      <c r="CB49">
        <v>0</v>
      </c>
      <c r="CC49">
        <v>1</v>
      </c>
      <c r="CD49">
        <v>4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1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3</v>
      </c>
      <c r="CV49">
        <v>0</v>
      </c>
    </row>
    <row r="50" spans="1:100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0</v>
      </c>
      <c r="K50">
        <v>2</v>
      </c>
      <c r="L50">
        <v>0</v>
      </c>
      <c r="M50">
        <v>0</v>
      </c>
      <c r="N50">
        <v>2</v>
      </c>
      <c r="O50">
        <v>1</v>
      </c>
      <c r="P50">
        <v>0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2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2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2</v>
      </c>
      <c r="CA50">
        <v>0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</row>
    <row r="51" spans="1:100">
      <c r="A51">
        <v>0</v>
      </c>
      <c r="B51">
        <v>1</v>
      </c>
      <c r="C51">
        <v>0</v>
      </c>
      <c r="D51">
        <v>1</v>
      </c>
      <c r="E51">
        <v>1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1</v>
      </c>
      <c r="N51">
        <v>3</v>
      </c>
      <c r="O51">
        <v>0</v>
      </c>
      <c r="P51">
        <v>0</v>
      </c>
      <c r="Q51">
        <v>1</v>
      </c>
      <c r="R51">
        <v>0</v>
      </c>
      <c r="S51">
        <v>2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3</v>
      </c>
      <c r="BF51">
        <v>2</v>
      </c>
      <c r="BG51">
        <v>2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0</v>
      </c>
      <c r="CA51">
        <v>0</v>
      </c>
      <c r="CB51">
        <v>1</v>
      </c>
      <c r="CC51">
        <v>1</v>
      </c>
      <c r="CD51">
        <v>0</v>
      </c>
      <c r="CE51">
        <v>0</v>
      </c>
      <c r="CF51">
        <v>2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0</v>
      </c>
      <c r="CO51">
        <v>2</v>
      </c>
      <c r="CP51">
        <v>0</v>
      </c>
      <c r="CQ51">
        <v>1</v>
      </c>
      <c r="CR51">
        <v>2</v>
      </c>
      <c r="CS51">
        <v>0</v>
      </c>
      <c r="CT51">
        <v>2</v>
      </c>
      <c r="CU51">
        <v>0</v>
      </c>
      <c r="CV51">
        <v>0</v>
      </c>
    </row>
    <row r="52" spans="1:100">
      <c r="A52">
        <v>1</v>
      </c>
      <c r="B52">
        <v>0</v>
      </c>
      <c r="C52">
        <v>0</v>
      </c>
      <c r="D52">
        <v>1</v>
      </c>
      <c r="E52">
        <v>0</v>
      </c>
      <c r="F52">
        <v>0</v>
      </c>
      <c r="G52">
        <v>2</v>
      </c>
      <c r="H52">
        <v>0</v>
      </c>
      <c r="I52">
        <v>0</v>
      </c>
      <c r="J52">
        <v>1</v>
      </c>
      <c r="K52">
        <v>1</v>
      </c>
      <c r="L52">
        <v>2</v>
      </c>
      <c r="M52">
        <v>0</v>
      </c>
      <c r="N52">
        <v>0</v>
      </c>
      <c r="O52">
        <v>0</v>
      </c>
      <c r="P52">
        <v>2</v>
      </c>
      <c r="Q52">
        <v>1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2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1</v>
      </c>
      <c r="AQ52">
        <v>1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1</v>
      </c>
      <c r="BI52">
        <v>4</v>
      </c>
      <c r="BJ52">
        <v>0</v>
      </c>
      <c r="BK52">
        <v>0</v>
      </c>
      <c r="BL52">
        <v>1</v>
      </c>
      <c r="BM52">
        <v>1</v>
      </c>
      <c r="BN52">
        <v>1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1</v>
      </c>
      <c r="BU52">
        <v>0</v>
      </c>
      <c r="BV52">
        <v>0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2</v>
      </c>
      <c r="CI52">
        <v>0</v>
      </c>
      <c r="CJ52">
        <v>0</v>
      </c>
      <c r="CK52">
        <v>0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1</v>
      </c>
      <c r="CV52">
        <v>0</v>
      </c>
    </row>
    <row r="54" spans="1:100">
      <c r="A54">
        <f>AVERAGE(A2:A52)</f>
        <v>0.42</v>
      </c>
      <c r="B54">
        <f t="shared" ref="B54:BM54" si="0">AVERAGE(B2:B52)</f>
        <v>0.32</v>
      </c>
      <c r="C54">
        <f t="shared" si="0"/>
        <v>0.74</v>
      </c>
      <c r="D54">
        <f t="shared" si="0"/>
        <v>0.7</v>
      </c>
      <c r="E54">
        <f t="shared" si="0"/>
        <v>0.48</v>
      </c>
      <c r="F54">
        <f t="shared" si="0"/>
        <v>0.4</v>
      </c>
      <c r="G54">
        <f t="shared" si="0"/>
        <v>0.76</v>
      </c>
      <c r="H54">
        <f t="shared" si="0"/>
        <v>0.28000000000000003</v>
      </c>
      <c r="I54">
        <f t="shared" si="0"/>
        <v>0.56000000000000005</v>
      </c>
      <c r="J54">
        <f t="shared" si="0"/>
        <v>0.62</v>
      </c>
      <c r="K54">
        <f t="shared" si="0"/>
        <v>0.57999999999999996</v>
      </c>
      <c r="L54">
        <f t="shared" si="0"/>
        <v>0.64</v>
      </c>
      <c r="M54">
        <f t="shared" si="0"/>
        <v>0.44</v>
      </c>
      <c r="N54">
        <f t="shared" si="0"/>
        <v>0.66</v>
      </c>
      <c r="O54">
        <f t="shared" si="0"/>
        <v>0.57999999999999996</v>
      </c>
      <c r="P54">
        <f t="shared" si="0"/>
        <v>0.46</v>
      </c>
      <c r="Q54">
        <f t="shared" si="0"/>
        <v>0.62</v>
      </c>
      <c r="R54">
        <f t="shared" si="0"/>
        <v>0.46</v>
      </c>
      <c r="S54">
        <f t="shared" si="0"/>
        <v>0.42</v>
      </c>
      <c r="T54">
        <f t="shared" si="0"/>
        <v>0.5</v>
      </c>
      <c r="U54">
        <f t="shared" si="0"/>
        <v>0.48</v>
      </c>
      <c r="V54">
        <f t="shared" si="0"/>
        <v>0.4</v>
      </c>
      <c r="W54">
        <f t="shared" si="0"/>
        <v>0.46</v>
      </c>
      <c r="X54">
        <f t="shared" si="0"/>
        <v>0.38</v>
      </c>
      <c r="Y54">
        <f t="shared" si="0"/>
        <v>0.46</v>
      </c>
      <c r="Z54">
        <f t="shared" si="0"/>
        <v>0.57999999999999996</v>
      </c>
      <c r="AA54">
        <f t="shared" si="0"/>
        <v>0.6</v>
      </c>
      <c r="AB54">
        <f t="shared" si="0"/>
        <v>0.48</v>
      </c>
      <c r="AC54">
        <f t="shared" si="0"/>
        <v>0.48</v>
      </c>
      <c r="AD54">
        <f t="shared" si="0"/>
        <v>0.56000000000000005</v>
      </c>
      <c r="AE54">
        <f t="shared" si="0"/>
        <v>0.56000000000000005</v>
      </c>
      <c r="AF54">
        <f t="shared" si="0"/>
        <v>0.46</v>
      </c>
      <c r="AG54">
        <f t="shared" si="0"/>
        <v>0.44</v>
      </c>
      <c r="AH54">
        <f t="shared" si="0"/>
        <v>0.54</v>
      </c>
      <c r="AI54">
        <f t="shared" si="0"/>
        <v>0.36</v>
      </c>
      <c r="AJ54">
        <f t="shared" si="0"/>
        <v>0.38</v>
      </c>
      <c r="AK54">
        <f t="shared" si="0"/>
        <v>0.5</v>
      </c>
      <c r="AL54">
        <f t="shared" si="0"/>
        <v>0.64</v>
      </c>
      <c r="AM54">
        <f t="shared" si="0"/>
        <v>0.46</v>
      </c>
      <c r="AN54">
        <f t="shared" si="0"/>
        <v>0.46</v>
      </c>
      <c r="AO54">
        <f t="shared" si="0"/>
        <v>0.56000000000000005</v>
      </c>
      <c r="AP54">
        <f t="shared" si="0"/>
        <v>0.46</v>
      </c>
      <c r="AQ54">
        <f t="shared" si="0"/>
        <v>0.32</v>
      </c>
      <c r="AR54">
        <f t="shared" si="0"/>
        <v>0.52</v>
      </c>
      <c r="AS54">
        <f t="shared" si="0"/>
        <v>0.44</v>
      </c>
      <c r="AT54">
        <f t="shared" si="0"/>
        <v>0.46</v>
      </c>
      <c r="AU54">
        <f t="shared" si="0"/>
        <v>0.52</v>
      </c>
      <c r="AV54">
        <f t="shared" si="0"/>
        <v>0.46</v>
      </c>
      <c r="AW54">
        <f t="shared" si="0"/>
        <v>0.38</v>
      </c>
      <c r="AX54">
        <f t="shared" si="0"/>
        <v>0.48</v>
      </c>
      <c r="AY54">
        <f t="shared" si="0"/>
        <v>0.44</v>
      </c>
      <c r="AZ54">
        <f t="shared" si="0"/>
        <v>0.3</v>
      </c>
      <c r="BA54">
        <f t="shared" si="0"/>
        <v>0.38</v>
      </c>
      <c r="BB54">
        <f t="shared" si="0"/>
        <v>0.64</v>
      </c>
      <c r="BC54">
        <f t="shared" si="0"/>
        <v>0.28000000000000003</v>
      </c>
      <c r="BD54">
        <f t="shared" si="0"/>
        <v>0.4</v>
      </c>
      <c r="BE54">
        <f t="shared" si="0"/>
        <v>0.57999999999999996</v>
      </c>
      <c r="BF54">
        <f t="shared" si="0"/>
        <v>0.66</v>
      </c>
      <c r="BG54">
        <f t="shared" si="0"/>
        <v>0.42</v>
      </c>
      <c r="BH54">
        <f t="shared" si="0"/>
        <v>0.74</v>
      </c>
      <c r="BI54">
        <f t="shared" si="0"/>
        <v>0.52</v>
      </c>
      <c r="BJ54">
        <f t="shared" si="0"/>
        <v>0.54</v>
      </c>
      <c r="BK54">
        <f t="shared" si="0"/>
        <v>0.36</v>
      </c>
      <c r="BL54">
        <f t="shared" si="0"/>
        <v>0.42</v>
      </c>
      <c r="BM54">
        <f t="shared" si="0"/>
        <v>0.46</v>
      </c>
      <c r="BN54">
        <f t="shared" ref="BN54:CV54" si="1">AVERAGE(BN2:BN52)</f>
        <v>0.6</v>
      </c>
      <c r="BO54">
        <f t="shared" si="1"/>
        <v>0.4</v>
      </c>
      <c r="BP54">
        <f t="shared" si="1"/>
        <v>0.52</v>
      </c>
      <c r="BQ54">
        <f t="shared" si="1"/>
        <v>0.48</v>
      </c>
      <c r="BR54">
        <f t="shared" si="1"/>
        <v>0.36</v>
      </c>
      <c r="BS54">
        <f t="shared" si="1"/>
        <v>0.42</v>
      </c>
      <c r="BT54">
        <f t="shared" si="1"/>
        <v>0.42</v>
      </c>
      <c r="BU54">
        <f t="shared" si="1"/>
        <v>0.52</v>
      </c>
      <c r="BV54">
        <f t="shared" si="1"/>
        <v>0.38</v>
      </c>
      <c r="BW54">
        <f t="shared" si="1"/>
        <v>0.54</v>
      </c>
      <c r="BX54">
        <f t="shared" si="1"/>
        <v>0.44</v>
      </c>
      <c r="BY54">
        <f t="shared" si="1"/>
        <v>0.6</v>
      </c>
      <c r="BZ54">
        <f t="shared" si="1"/>
        <v>0.46</v>
      </c>
      <c r="CA54">
        <f t="shared" si="1"/>
        <v>0.57999999999999996</v>
      </c>
      <c r="CB54">
        <f t="shared" si="1"/>
        <v>0.54</v>
      </c>
      <c r="CC54">
        <f t="shared" si="1"/>
        <v>0.62</v>
      </c>
      <c r="CD54">
        <f t="shared" si="1"/>
        <v>0.4</v>
      </c>
      <c r="CE54">
        <f t="shared" si="1"/>
        <v>0.74</v>
      </c>
      <c r="CF54">
        <f t="shared" si="1"/>
        <v>0.52</v>
      </c>
      <c r="CG54">
        <f t="shared" si="1"/>
        <v>0.54</v>
      </c>
      <c r="CH54">
        <f t="shared" si="1"/>
        <v>0.66</v>
      </c>
      <c r="CI54">
        <f t="shared" si="1"/>
        <v>0.62</v>
      </c>
      <c r="CJ54">
        <f t="shared" si="1"/>
        <v>0.46</v>
      </c>
      <c r="CK54">
        <f t="shared" si="1"/>
        <v>0.44</v>
      </c>
      <c r="CL54">
        <f t="shared" si="1"/>
        <v>0.5</v>
      </c>
      <c r="CM54">
        <f t="shared" si="1"/>
        <v>0.28000000000000003</v>
      </c>
      <c r="CN54">
        <f t="shared" si="1"/>
        <v>0.6</v>
      </c>
      <c r="CO54">
        <f t="shared" si="1"/>
        <v>0.44</v>
      </c>
      <c r="CP54">
        <f t="shared" si="1"/>
        <v>0.52</v>
      </c>
      <c r="CQ54">
        <f t="shared" si="1"/>
        <v>0.46</v>
      </c>
      <c r="CR54">
        <f t="shared" si="1"/>
        <v>0.62</v>
      </c>
      <c r="CS54">
        <f t="shared" si="1"/>
        <v>0.6</v>
      </c>
      <c r="CT54">
        <f t="shared" si="1"/>
        <v>0.56000000000000005</v>
      </c>
      <c r="CU54">
        <f t="shared" si="1"/>
        <v>0.52</v>
      </c>
      <c r="CV54">
        <f t="shared" si="1"/>
        <v>0.32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197"/>
  <dimension ref="A1:Z102"/>
  <sheetViews>
    <sheetView workbookViewId="0">
      <selection activeCell="Q26" sqref="Q26"/>
    </sheetView>
  </sheetViews>
  <sheetFormatPr defaultRowHeight="14.4"/>
  <cols>
    <col min="1" max="1" width="18.88671875" customWidth="1"/>
    <col min="3" max="3" width="6.44140625" customWidth="1"/>
    <col min="6" max="6" width="9.109375" customWidth="1"/>
  </cols>
  <sheetData>
    <row r="1" spans="1:26">
      <c r="A1" s="1" t="s">
        <v>1772</v>
      </c>
      <c r="O1" s="1418" t="s">
        <v>1030</v>
      </c>
    </row>
    <row r="3" spans="1:26">
      <c r="A3" t="s">
        <v>1773</v>
      </c>
      <c r="O3">
        <f t="array" ref="O3:O102">TRANSPOSE('Uniform Sample'!A54:CV54)</f>
        <v>102.70265816217533</v>
      </c>
      <c r="Q3" s="1236" t="e">
        <f t="array" aca="1" ref="Q3:Z12" ca="1">[1]!RESHAPE(O3:O102)</f>
        <v>#NAME?</v>
      </c>
      <c r="R3" s="1152" t="e">
        <f ca="1"/>
        <v>#NAME?</v>
      </c>
      <c r="S3" s="1152" t="e">
        <f ca="1"/>
        <v>#NAME?</v>
      </c>
      <c r="T3" s="1152" t="e">
        <f ca="1"/>
        <v>#NAME?</v>
      </c>
      <c r="U3" s="1152" t="e">
        <f ca="1"/>
        <v>#NAME?</v>
      </c>
      <c r="V3" s="1152" t="e">
        <f ca="1"/>
        <v>#NAME?</v>
      </c>
      <c r="W3" s="1152" t="e">
        <f ca="1"/>
        <v>#NAME?</v>
      </c>
      <c r="X3" s="1152" t="e">
        <f ca="1"/>
        <v>#NAME?</v>
      </c>
      <c r="Y3" s="1152" t="e">
        <f ca="1"/>
        <v>#NAME?</v>
      </c>
      <c r="Z3" s="1237" t="e">
        <f ca="1"/>
        <v>#NAME?</v>
      </c>
    </row>
    <row r="4" spans="1:26" ht="15" thickBot="1">
      <c r="O4">
        <v>102.89223914304029</v>
      </c>
      <c r="Q4" s="656" t="e">
        <f ca="1"/>
        <v>#NAME?</v>
      </c>
      <c r="R4" s="8" t="e">
        <f ca="1"/>
        <v>#NAME?</v>
      </c>
      <c r="S4" s="8" t="e">
        <f ca="1"/>
        <v>#NAME?</v>
      </c>
      <c r="T4" s="8" t="e">
        <f ca="1"/>
        <v>#NAME?</v>
      </c>
      <c r="U4" s="8" t="e">
        <f ca="1"/>
        <v>#NAME?</v>
      </c>
      <c r="V4" s="8" t="e">
        <f ca="1"/>
        <v>#NAME?</v>
      </c>
      <c r="W4" s="8" t="e">
        <f ca="1"/>
        <v>#NAME?</v>
      </c>
      <c r="X4" s="8" t="e">
        <f ca="1"/>
        <v>#NAME?</v>
      </c>
      <c r="Y4" s="8" t="e">
        <f ca="1"/>
        <v>#NAME?</v>
      </c>
      <c r="Z4" s="657" t="e">
        <f ca="1"/>
        <v>#NAME?</v>
      </c>
    </row>
    <row r="5" spans="1:26">
      <c r="A5" t="s">
        <v>1774</v>
      </c>
      <c r="B5">
        <v>100</v>
      </c>
      <c r="D5" s="695" t="s">
        <v>112</v>
      </c>
      <c r="E5" s="695" t="s">
        <v>108</v>
      </c>
      <c r="O5">
        <v>85.963011566515092</v>
      </c>
      <c r="Q5" s="656" t="e">
        <f ca="1"/>
        <v>#NAME?</v>
      </c>
      <c r="R5" s="8" t="e">
        <f ca="1"/>
        <v>#NAME?</v>
      </c>
      <c r="S5" s="8" t="e">
        <f ca="1"/>
        <v>#NAME?</v>
      </c>
      <c r="T5" s="8" t="e">
        <f ca="1"/>
        <v>#NAME?</v>
      </c>
      <c r="U5" s="8" t="e">
        <f ca="1"/>
        <v>#NAME?</v>
      </c>
      <c r="V5" s="8" t="e">
        <f ca="1"/>
        <v>#NAME?</v>
      </c>
      <c r="W5" s="8" t="e">
        <f ca="1"/>
        <v>#NAME?</v>
      </c>
      <c r="X5" s="8" t="e">
        <f ca="1"/>
        <v>#NAME?</v>
      </c>
      <c r="Y5" s="8" t="e">
        <f ca="1"/>
        <v>#NAME?</v>
      </c>
      <c r="Z5" s="657" t="e">
        <f ca="1"/>
        <v>#NAME?</v>
      </c>
    </row>
    <row r="6" spans="1:26">
      <c r="A6" t="s">
        <v>1775</v>
      </c>
      <c r="B6">
        <v>50</v>
      </c>
      <c r="D6" s="29">
        <v>90</v>
      </c>
      <c r="E6" s="28">
        <v>2</v>
      </c>
      <c r="O6">
        <v>97.288308359019751</v>
      </c>
      <c r="Q6" s="656" t="e">
        <f ca="1"/>
        <v>#NAME?</v>
      </c>
      <c r="R6" s="8" t="e">
        <f ca="1"/>
        <v>#NAME?</v>
      </c>
      <c r="S6" s="8" t="e">
        <f ca="1"/>
        <v>#NAME?</v>
      </c>
      <c r="T6" s="8" t="e">
        <f ca="1"/>
        <v>#NAME?</v>
      </c>
      <c r="U6" s="8" t="e">
        <f ca="1"/>
        <v>#NAME?</v>
      </c>
      <c r="V6" s="8" t="e">
        <f ca="1"/>
        <v>#NAME?</v>
      </c>
      <c r="W6" s="8" t="e">
        <f ca="1"/>
        <v>#NAME?</v>
      </c>
      <c r="X6" s="8" t="e">
        <f ca="1"/>
        <v>#NAME?</v>
      </c>
      <c r="Y6" s="8" t="e">
        <f ca="1"/>
        <v>#NAME?</v>
      </c>
      <c r="Z6" s="657" t="e">
        <f ca="1"/>
        <v>#NAME?</v>
      </c>
    </row>
    <row r="7" spans="1:26">
      <c r="A7" t="s">
        <v>63</v>
      </c>
      <c r="B7">
        <f>AVERAGE('Uniform Sample'!A54:CV54)</f>
        <v>100.05664845728934</v>
      </c>
      <c r="D7" s="29">
        <v>92</v>
      </c>
      <c r="E7" s="28">
        <v>3</v>
      </c>
      <c r="O7">
        <v>101.3216345713675</v>
      </c>
      <c r="Q7" s="656" t="e">
        <f ca="1"/>
        <v>#NAME?</v>
      </c>
      <c r="R7" s="8" t="e">
        <f ca="1"/>
        <v>#NAME?</v>
      </c>
      <c r="S7" s="8" t="e">
        <f ca="1"/>
        <v>#NAME?</v>
      </c>
      <c r="T7" s="8" t="e">
        <f ca="1"/>
        <v>#NAME?</v>
      </c>
      <c r="U7" s="8" t="e">
        <f ca="1"/>
        <v>#NAME?</v>
      </c>
      <c r="V7" s="8" t="e">
        <f ca="1"/>
        <v>#NAME?</v>
      </c>
      <c r="W7" s="8" t="e">
        <f ca="1"/>
        <v>#NAME?</v>
      </c>
      <c r="X7" s="8" t="e">
        <f ca="1"/>
        <v>#NAME?</v>
      </c>
      <c r="Y7" s="8" t="e">
        <f ca="1"/>
        <v>#NAME?</v>
      </c>
      <c r="Z7" s="657" t="e">
        <f ca="1"/>
        <v>#NAME?</v>
      </c>
    </row>
    <row r="8" spans="1:26">
      <c r="A8" t="s">
        <v>218</v>
      </c>
      <c r="B8">
        <f>STDEV('Uniform Sample'!A54:CV54)</f>
        <v>4.3187345615329651</v>
      </c>
      <c r="D8" s="29">
        <v>94</v>
      </c>
      <c r="E8" s="28">
        <v>5</v>
      </c>
      <c r="O8">
        <v>100.33057649464398</v>
      </c>
      <c r="Q8" s="656" t="e">
        <f ca="1"/>
        <v>#NAME?</v>
      </c>
      <c r="R8" s="8" t="e">
        <f ca="1"/>
        <v>#NAME?</v>
      </c>
      <c r="S8" s="8" t="e">
        <f ca="1"/>
        <v>#NAME?</v>
      </c>
      <c r="T8" s="8" t="e">
        <f ca="1"/>
        <v>#NAME?</v>
      </c>
      <c r="U8" s="8" t="e">
        <f ca="1"/>
        <v>#NAME?</v>
      </c>
      <c r="V8" s="8" t="e">
        <f ca="1"/>
        <v>#NAME?</v>
      </c>
      <c r="W8" s="8" t="e">
        <f ca="1"/>
        <v>#NAME?</v>
      </c>
      <c r="X8" s="8" t="e">
        <f ca="1"/>
        <v>#NAME?</v>
      </c>
      <c r="Y8" s="8" t="e">
        <f ca="1"/>
        <v>#NAME?</v>
      </c>
      <c r="Z8" s="657" t="e">
        <f ca="1"/>
        <v>#NAME?</v>
      </c>
    </row>
    <row r="9" spans="1:26">
      <c r="D9" s="29">
        <v>96</v>
      </c>
      <c r="E9" s="28">
        <v>4</v>
      </c>
      <c r="O9">
        <v>102.5832087160863</v>
      </c>
      <c r="Q9" s="656" t="e">
        <f ca="1"/>
        <v>#NAME?</v>
      </c>
      <c r="R9" s="8" t="e">
        <f ca="1"/>
        <v>#NAME?</v>
      </c>
      <c r="S9" s="8" t="e">
        <f ca="1"/>
        <v>#NAME?</v>
      </c>
      <c r="T9" s="8" t="e">
        <f ca="1"/>
        <v>#NAME?</v>
      </c>
      <c r="U9" s="8" t="e">
        <f ca="1"/>
        <v>#NAME?</v>
      </c>
      <c r="V9" s="8" t="e">
        <f ca="1"/>
        <v>#NAME?</v>
      </c>
      <c r="W9" s="8" t="e">
        <f ca="1"/>
        <v>#NAME?</v>
      </c>
      <c r="X9" s="8" t="e">
        <f ca="1"/>
        <v>#NAME?</v>
      </c>
      <c r="Y9" s="8" t="e">
        <f ca="1"/>
        <v>#NAME?</v>
      </c>
      <c r="Z9" s="657" t="e">
        <f ca="1"/>
        <v>#NAME?</v>
      </c>
    </row>
    <row r="10" spans="1:26">
      <c r="A10" t="s">
        <v>1776</v>
      </c>
      <c r="D10" s="29">
        <v>98</v>
      </c>
      <c r="E10" s="28">
        <v>9</v>
      </c>
      <c r="O10">
        <v>96.162846766563945</v>
      </c>
      <c r="Q10" s="656" t="e">
        <f ca="1"/>
        <v>#NAME?</v>
      </c>
      <c r="R10" s="8" t="e">
        <f ca="1"/>
        <v>#NAME?</v>
      </c>
      <c r="S10" s="8" t="e">
        <f ca="1"/>
        <v>#NAME?</v>
      </c>
      <c r="T10" s="8" t="e">
        <f ca="1"/>
        <v>#NAME?</v>
      </c>
      <c r="U10" s="8" t="e">
        <f ca="1"/>
        <v>#NAME?</v>
      </c>
      <c r="V10" s="8" t="e">
        <f ca="1"/>
        <v>#NAME?</v>
      </c>
      <c r="W10" s="8" t="e">
        <f ca="1"/>
        <v>#NAME?</v>
      </c>
      <c r="X10" s="8" t="e">
        <f ca="1"/>
        <v>#NAME?</v>
      </c>
      <c r="Y10" s="8" t="e">
        <f ca="1"/>
        <v>#NAME?</v>
      </c>
      <c r="Z10" s="657" t="e">
        <f ca="1"/>
        <v>#NAME?</v>
      </c>
    </row>
    <row r="11" spans="1:26">
      <c r="A11" t="s">
        <v>63</v>
      </c>
      <c r="B11">
        <f>(50+150)/2</f>
        <v>100</v>
      </c>
      <c r="D11" s="29">
        <v>100</v>
      </c>
      <c r="E11" s="28">
        <v>27</v>
      </c>
      <c r="O11">
        <v>91.877193517868562</v>
      </c>
      <c r="Q11" s="656" t="e">
        <f ca="1"/>
        <v>#NAME?</v>
      </c>
      <c r="R11" s="8" t="e">
        <f ca="1"/>
        <v>#NAME?</v>
      </c>
      <c r="S11" s="8" t="e">
        <f ca="1"/>
        <v>#NAME?</v>
      </c>
      <c r="T11" s="8" t="e">
        <f ca="1"/>
        <v>#NAME?</v>
      </c>
      <c r="U11" s="8" t="e">
        <f ca="1"/>
        <v>#NAME?</v>
      </c>
      <c r="V11" s="8" t="e">
        <f ca="1"/>
        <v>#NAME?</v>
      </c>
      <c r="W11" s="8" t="e">
        <f ca="1"/>
        <v>#NAME?</v>
      </c>
      <c r="X11" s="8" t="e">
        <f ca="1"/>
        <v>#NAME?</v>
      </c>
      <c r="Y11" s="8" t="e">
        <f ca="1"/>
        <v>#NAME?</v>
      </c>
      <c r="Z11" s="657" t="e">
        <f ca="1"/>
        <v>#NAME?</v>
      </c>
    </row>
    <row r="12" spans="1:26">
      <c r="A12" t="s">
        <v>67</v>
      </c>
      <c r="B12">
        <f>(150-50)/SQRT(12)</f>
        <v>28.867513459481291</v>
      </c>
      <c r="D12" s="29">
        <v>102</v>
      </c>
      <c r="E12" s="28">
        <v>23</v>
      </c>
      <c r="O12">
        <v>100.97317423017059</v>
      </c>
      <c r="Q12" s="533" t="e">
        <f ca="1"/>
        <v>#NAME?</v>
      </c>
      <c r="R12" s="1078" t="e">
        <f ca="1"/>
        <v>#NAME?</v>
      </c>
      <c r="S12" s="1078" t="e">
        <f ca="1"/>
        <v>#NAME?</v>
      </c>
      <c r="T12" s="1078" t="e">
        <f ca="1"/>
        <v>#NAME?</v>
      </c>
      <c r="U12" s="1078" t="e">
        <f ca="1"/>
        <v>#NAME?</v>
      </c>
      <c r="V12" s="1078" t="e">
        <f ca="1"/>
        <v>#NAME?</v>
      </c>
      <c r="W12" s="1078" t="e">
        <f ca="1"/>
        <v>#NAME?</v>
      </c>
      <c r="X12" s="1078" t="e">
        <f ca="1"/>
        <v>#NAME?</v>
      </c>
      <c r="Y12" s="1078" t="e">
        <f ca="1"/>
        <v>#NAME?</v>
      </c>
      <c r="Z12" s="541" t="e">
        <f ca="1"/>
        <v>#NAME?</v>
      </c>
    </row>
    <row r="13" spans="1:26">
      <c r="D13" s="29">
        <v>104</v>
      </c>
      <c r="E13" s="28">
        <v>10</v>
      </c>
      <c r="O13">
        <v>102.16956083864866</v>
      </c>
    </row>
    <row r="14" spans="1:26">
      <c r="A14" t="s">
        <v>1777</v>
      </c>
      <c r="D14" s="29">
        <v>106</v>
      </c>
      <c r="E14" s="28">
        <v>9</v>
      </c>
      <c r="O14">
        <v>99.525498214667181</v>
      </c>
    </row>
    <row r="15" spans="1:26">
      <c r="A15" t="s">
        <v>63</v>
      </c>
      <c r="B15">
        <f>B11</f>
        <v>100</v>
      </c>
      <c r="D15" s="29">
        <v>108</v>
      </c>
      <c r="E15" s="28">
        <v>5</v>
      </c>
      <c r="O15">
        <v>101.43327127903076</v>
      </c>
    </row>
    <row r="16" spans="1:26">
      <c r="A16" t="s">
        <v>67</v>
      </c>
      <c r="B16">
        <f>B12/SQRT(B6)</f>
        <v>4.0824829046386304</v>
      </c>
      <c r="D16" s="29">
        <v>110</v>
      </c>
      <c r="E16" s="28">
        <v>3</v>
      </c>
      <c r="O16">
        <v>97.352214117862474</v>
      </c>
    </row>
    <row r="17" spans="1:15" ht="15" thickBot="1">
      <c r="D17" s="31" t="s">
        <v>113</v>
      </c>
      <c r="E17" s="31">
        <v>0</v>
      </c>
      <c r="O17">
        <v>97.96337778862879</v>
      </c>
    </row>
    <row r="18" spans="1:15">
      <c r="O18">
        <v>101.13895077364423</v>
      </c>
    </row>
    <row r="19" spans="1:15" ht="15" thickBot="1">
      <c r="O19">
        <v>98.240058595538159</v>
      </c>
    </row>
    <row r="20" spans="1:15">
      <c r="A20" t="s">
        <v>1778</v>
      </c>
      <c r="D20" s="695" t="s">
        <v>112</v>
      </c>
      <c r="E20" s="695" t="s">
        <v>108</v>
      </c>
      <c r="O20">
        <v>98.090823084200565</v>
      </c>
    </row>
    <row r="21" spans="1:15">
      <c r="D21" s="29">
        <v>0.24</v>
      </c>
      <c r="E21" s="28">
        <v>0</v>
      </c>
      <c r="O21">
        <v>95.966063417462664</v>
      </c>
    </row>
    <row r="22" spans="1:15">
      <c r="A22" t="s">
        <v>1774</v>
      </c>
      <c r="B22">
        <v>100</v>
      </c>
      <c r="D22" s="29">
        <v>0.26</v>
      </c>
      <c r="E22" s="28">
        <v>0</v>
      </c>
      <c r="O22">
        <v>105.39255958738977</v>
      </c>
    </row>
    <row r="23" spans="1:15">
      <c r="A23" t="s">
        <v>1775</v>
      </c>
      <c r="B23">
        <v>50</v>
      </c>
      <c r="D23" s="29">
        <v>0.28000000000000003</v>
      </c>
      <c r="E23" s="28">
        <v>3</v>
      </c>
      <c r="O23">
        <v>101.95379497665331</v>
      </c>
    </row>
    <row r="24" spans="1:15">
      <c r="A24" t="s">
        <v>63</v>
      </c>
      <c r="B24">
        <f>AVERAGE('Poisson Sample'!A54:CV54)</f>
        <v>0.49740000000000018</v>
      </c>
      <c r="D24" s="29">
        <v>0.30000000000000004</v>
      </c>
      <c r="E24" s="28">
        <v>1</v>
      </c>
      <c r="O24">
        <v>95.755058442945653</v>
      </c>
    </row>
    <row r="25" spans="1:15">
      <c r="A25" t="s">
        <v>218</v>
      </c>
      <c r="B25">
        <f>STDEV('Poisson Sample'!A54:CV54)</f>
        <v>0.10778410894660619</v>
      </c>
      <c r="D25" s="29">
        <v>0.32000000000000006</v>
      </c>
      <c r="E25" s="28">
        <v>3</v>
      </c>
      <c r="O25">
        <v>105.87737662892542</v>
      </c>
    </row>
    <row r="26" spans="1:15">
      <c r="D26" s="29">
        <v>0.34000000000000008</v>
      </c>
      <c r="E26" s="28">
        <v>0</v>
      </c>
      <c r="O26">
        <v>100.98654133732109</v>
      </c>
    </row>
    <row r="27" spans="1:15">
      <c r="A27" t="s">
        <v>1776</v>
      </c>
      <c r="D27" s="29">
        <v>0.3600000000000001</v>
      </c>
      <c r="E27" s="28">
        <v>3</v>
      </c>
      <c r="O27">
        <v>103.07559434797204</v>
      </c>
    </row>
    <row r="28" spans="1:15">
      <c r="A28" t="s">
        <v>63</v>
      </c>
      <c r="B28">
        <f>0.5</f>
        <v>0.5</v>
      </c>
      <c r="D28" s="29">
        <v>0.38000000000000012</v>
      </c>
      <c r="E28" s="28">
        <v>5</v>
      </c>
      <c r="O28">
        <v>99.0314035462508</v>
      </c>
    </row>
    <row r="29" spans="1:15">
      <c r="A29" t="s">
        <v>67</v>
      </c>
      <c r="B29">
        <f>SQRT(0.5)</f>
        <v>0.70710678118654757</v>
      </c>
      <c r="D29" s="29">
        <v>0.40000000000000013</v>
      </c>
      <c r="E29" s="28">
        <v>5</v>
      </c>
      <c r="O29">
        <v>101.07046723838006</v>
      </c>
    </row>
    <row r="30" spans="1:15">
      <c r="D30" s="29">
        <v>0.42000000000000015</v>
      </c>
      <c r="E30" s="28">
        <v>6</v>
      </c>
      <c r="O30">
        <v>99.502426221503342</v>
      </c>
    </row>
    <row r="31" spans="1:15">
      <c r="A31" t="s">
        <v>1777</v>
      </c>
      <c r="D31" s="29">
        <v>0.44000000000000017</v>
      </c>
      <c r="E31" s="28">
        <v>7</v>
      </c>
      <c r="O31">
        <v>99.745292519913335</v>
      </c>
    </row>
    <row r="32" spans="1:15">
      <c r="A32" t="s">
        <v>63</v>
      </c>
      <c r="B32">
        <f>B28</f>
        <v>0.5</v>
      </c>
      <c r="D32" s="29">
        <v>0.46000000000000019</v>
      </c>
      <c r="E32" s="28">
        <v>14</v>
      </c>
      <c r="O32">
        <v>100.84359263893552</v>
      </c>
    </row>
    <row r="33" spans="1:15">
      <c r="A33" t="s">
        <v>67</v>
      </c>
      <c r="B33">
        <f>B29/SQRT(B23)</f>
        <v>0.1</v>
      </c>
      <c r="D33" s="29">
        <v>0.4800000000000002</v>
      </c>
      <c r="E33" s="28">
        <v>6</v>
      </c>
      <c r="O33">
        <v>100.73775444807278</v>
      </c>
    </row>
    <row r="34" spans="1:15">
      <c r="D34" s="29">
        <v>0.50000000000000022</v>
      </c>
      <c r="E34" s="28">
        <v>3</v>
      </c>
      <c r="O34">
        <v>105.47941526535844</v>
      </c>
    </row>
    <row r="35" spans="1:15">
      <c r="D35" s="29">
        <v>0.52000000000000024</v>
      </c>
      <c r="E35" s="28">
        <v>8</v>
      </c>
      <c r="O35">
        <v>108.01391644032104</v>
      </c>
    </row>
    <row r="36" spans="1:15">
      <c r="D36" s="29">
        <v>0.54000000000000026</v>
      </c>
      <c r="E36" s="28">
        <v>5</v>
      </c>
      <c r="O36">
        <v>98.044129764702248</v>
      </c>
    </row>
    <row r="37" spans="1:15">
      <c r="D37" s="29">
        <v>0.56000000000000028</v>
      </c>
      <c r="E37" s="28">
        <v>5</v>
      </c>
      <c r="O37">
        <v>101.31553086947237</v>
      </c>
    </row>
    <row r="38" spans="1:15">
      <c r="D38" s="29">
        <v>0.58000000000000029</v>
      </c>
      <c r="E38" s="28">
        <v>5</v>
      </c>
      <c r="O38">
        <v>98.62215033417769</v>
      </c>
    </row>
    <row r="39" spans="1:15">
      <c r="D39" s="29">
        <v>0.60000000000000031</v>
      </c>
      <c r="E39" s="28">
        <v>5</v>
      </c>
      <c r="O39">
        <v>101.71129490035707</v>
      </c>
    </row>
    <row r="40" spans="1:15">
      <c r="D40" s="29">
        <v>0.62000000000000033</v>
      </c>
      <c r="E40" s="28">
        <v>5</v>
      </c>
      <c r="O40">
        <v>98.298104800561561</v>
      </c>
    </row>
    <row r="41" spans="1:15">
      <c r="D41" s="29">
        <v>0.64000000000000035</v>
      </c>
      <c r="E41" s="28">
        <v>3</v>
      </c>
      <c r="O41">
        <v>98.332468642231547</v>
      </c>
    </row>
    <row r="42" spans="1:15">
      <c r="D42" s="29">
        <v>0.66000000000000036</v>
      </c>
      <c r="E42" s="28">
        <v>3</v>
      </c>
      <c r="O42">
        <v>98.770958586382662</v>
      </c>
    </row>
    <row r="43" spans="1:15">
      <c r="D43" s="29">
        <v>0.68000000000000038</v>
      </c>
      <c r="E43" s="28">
        <v>0</v>
      </c>
      <c r="O43">
        <v>108.04815820795311</v>
      </c>
    </row>
    <row r="44" spans="1:15" ht="15" thickBot="1">
      <c r="D44" s="31" t="s">
        <v>113</v>
      </c>
      <c r="E44" s="31">
        <v>5</v>
      </c>
      <c r="O44">
        <v>105.79149754325999</v>
      </c>
    </row>
    <row r="45" spans="1:15">
      <c r="O45">
        <v>93.790643024994679</v>
      </c>
    </row>
    <row r="46" spans="1:15">
      <c r="O46">
        <v>98.249153111362048</v>
      </c>
    </row>
    <row r="47" spans="1:15">
      <c r="O47">
        <v>93.061922055726811</v>
      </c>
    </row>
    <row r="48" spans="1:15">
      <c r="O48">
        <v>105.37754448072754</v>
      </c>
    </row>
    <row r="49" spans="15:15">
      <c r="O49">
        <v>106.21393475142669</v>
      </c>
    </row>
    <row r="50" spans="15:15">
      <c r="O50">
        <v>98.222663045136869</v>
      </c>
    </row>
    <row r="51" spans="15:15">
      <c r="O51">
        <v>101.04788354136787</v>
      </c>
    </row>
    <row r="52" spans="15:15">
      <c r="O52">
        <v>98.803430280465093</v>
      </c>
    </row>
    <row r="53" spans="15:15">
      <c r="O53">
        <v>99.794122135074943</v>
      </c>
    </row>
    <row r="54" spans="15:15">
      <c r="O54">
        <v>102.74916837061677</v>
      </c>
    </row>
    <row r="55" spans="15:15">
      <c r="O55">
        <v>106.92818994720299</v>
      </c>
    </row>
    <row r="56" spans="15:15">
      <c r="O56">
        <v>96.999664296395792</v>
      </c>
    </row>
    <row r="57" spans="15:15">
      <c r="O57">
        <v>99.740409558397147</v>
      </c>
    </row>
    <row r="58" spans="15:15">
      <c r="O58">
        <v>98.310495315408758</v>
      </c>
    </row>
    <row r="59" spans="15:15">
      <c r="O59">
        <v>101.2357554857021</v>
      </c>
    </row>
    <row r="60" spans="15:15">
      <c r="O60">
        <v>99.512619403668324</v>
      </c>
    </row>
    <row r="61" spans="15:15">
      <c r="O61">
        <v>92.649739066743933</v>
      </c>
    </row>
    <row r="62" spans="15:15">
      <c r="O62">
        <v>95.96594134342476</v>
      </c>
    </row>
    <row r="63" spans="15:15">
      <c r="O63">
        <v>105.94152653584402</v>
      </c>
    </row>
    <row r="64" spans="15:15">
      <c r="O64">
        <v>99.921201208532949</v>
      </c>
    </row>
    <row r="65" spans="15:15">
      <c r="O65">
        <v>97.23111667226172</v>
      </c>
    </row>
    <row r="66" spans="15:15">
      <c r="O66">
        <v>100.65230262153995</v>
      </c>
    </row>
    <row r="67" spans="15:15">
      <c r="O67">
        <v>103.03964354380931</v>
      </c>
    </row>
    <row r="68" spans="15:15">
      <c r="O68">
        <v>101.81939146092104</v>
      </c>
    </row>
    <row r="69" spans="15:15">
      <c r="O69">
        <v>99.963316751609824</v>
      </c>
    </row>
    <row r="70" spans="15:15">
      <c r="O70">
        <v>107.15207373271888</v>
      </c>
    </row>
    <row r="71" spans="15:15">
      <c r="O71">
        <v>109.52122562334054</v>
      </c>
    </row>
    <row r="72" spans="15:15">
      <c r="O72">
        <v>96.224250007629621</v>
      </c>
    </row>
    <row r="73" spans="15:15">
      <c r="O73">
        <v>105.83526108584857</v>
      </c>
    </row>
    <row r="74" spans="15:15">
      <c r="O74">
        <v>92.376903592028569</v>
      </c>
    </row>
    <row r="75" spans="15:15">
      <c r="O75">
        <v>99.017548142948712</v>
      </c>
    </row>
    <row r="76" spans="15:15">
      <c r="O76">
        <v>101.13150425733205</v>
      </c>
    </row>
    <row r="77" spans="15:15">
      <c r="O77">
        <v>102.18402661214026</v>
      </c>
    </row>
    <row r="78" spans="15:15">
      <c r="O78">
        <v>100.34900967436748</v>
      </c>
    </row>
    <row r="79" spans="15:15">
      <c r="O79">
        <v>107.36783959471418</v>
      </c>
    </row>
    <row r="80" spans="15:15">
      <c r="O80">
        <v>107.32352671895504</v>
      </c>
    </row>
    <row r="81" spans="15:15">
      <c r="O81">
        <v>99.763359477523096</v>
      </c>
    </row>
    <row r="82" spans="15:15">
      <c r="O82">
        <v>89.495345927304911</v>
      </c>
    </row>
    <row r="83" spans="15:15">
      <c r="O83">
        <v>105.21823786126282</v>
      </c>
    </row>
    <row r="84" spans="15:15">
      <c r="O84">
        <v>99.066133610034498</v>
      </c>
    </row>
    <row r="85" spans="15:15">
      <c r="O85">
        <v>97.162022766808093</v>
      </c>
    </row>
    <row r="86" spans="15:15">
      <c r="O86">
        <v>103.89782403027442</v>
      </c>
    </row>
    <row r="87" spans="15:15">
      <c r="O87">
        <v>100.78933072908721</v>
      </c>
    </row>
    <row r="88" spans="15:15">
      <c r="O88">
        <v>90.308297982726543</v>
      </c>
    </row>
    <row r="89" spans="15:15">
      <c r="O89">
        <v>98.697347941526516</v>
      </c>
    </row>
    <row r="90" spans="15:15">
      <c r="O90">
        <v>94.10290841395306</v>
      </c>
    </row>
    <row r="91" spans="15:15">
      <c r="O91">
        <v>91.931333353679008</v>
      </c>
    </row>
    <row r="92" spans="15:15">
      <c r="O92">
        <v>105.01876888332775</v>
      </c>
    </row>
    <row r="93" spans="15:15">
      <c r="O93">
        <v>101.91436506241033</v>
      </c>
    </row>
    <row r="94" spans="15:15">
      <c r="O94">
        <v>101.13803521835993</v>
      </c>
    </row>
    <row r="95" spans="15:15">
      <c r="O95">
        <v>98.593157750175465</v>
      </c>
    </row>
    <row r="96" spans="15:15">
      <c r="O96">
        <v>100.27466658528401</v>
      </c>
    </row>
    <row r="97" spans="15:15">
      <c r="O97">
        <v>98.805322428052619</v>
      </c>
    </row>
    <row r="98" spans="15:15">
      <c r="O98">
        <v>101.33585619678334</v>
      </c>
    </row>
    <row r="99" spans="15:15">
      <c r="O99">
        <v>102.8297372356334</v>
      </c>
    </row>
    <row r="100" spans="15:15">
      <c r="O100">
        <v>96.74074526200144</v>
      </c>
    </row>
    <row r="101" spans="15:15">
      <c r="O101">
        <v>92.888760032960022</v>
      </c>
    </row>
    <row r="102" spans="15:15">
      <c r="O102">
        <v>99.614185003204454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198"/>
  <dimension ref="A1:G28"/>
  <sheetViews>
    <sheetView zoomScaleNormal="100" workbookViewId="0"/>
  </sheetViews>
  <sheetFormatPr defaultRowHeight="14.4"/>
  <sheetData>
    <row r="1" spans="1:7">
      <c r="A1" s="1" t="s">
        <v>1780</v>
      </c>
    </row>
    <row r="2" spans="1:7">
      <c r="B2" s="8"/>
    </row>
    <row r="3" spans="1:7">
      <c r="B3" s="638" t="s">
        <v>1783</v>
      </c>
      <c r="C3" s="638" t="s">
        <v>1781</v>
      </c>
      <c r="D3" s="638" t="s">
        <v>1782</v>
      </c>
      <c r="F3" t="s">
        <v>63</v>
      </c>
      <c r="G3" s="542">
        <v>60</v>
      </c>
    </row>
    <row r="4" spans="1:7">
      <c r="A4">
        <v>1</v>
      </c>
      <c r="B4">
        <f ca="1">RAND()</f>
        <v>0.68271502782192717</v>
      </c>
      <c r="C4">
        <f t="shared" ref="C4:C28" ca="1" si="0">NORMINV(B4,$G$3,$G$4)</f>
        <v>69.506090217705093</v>
      </c>
      <c r="D4">
        <f t="shared" ref="D4:D28" ca="1" si="1">NORMDIST(C4,$G$3,$G$4,FALSE)</f>
        <v>1.7816540781432529E-2</v>
      </c>
      <c r="F4" t="s">
        <v>218</v>
      </c>
      <c r="G4" s="627">
        <v>20</v>
      </c>
    </row>
    <row r="5" spans="1:7">
      <c r="A5">
        <f>A4+1</f>
        <v>2</v>
      </c>
      <c r="B5">
        <f t="shared" ref="B5:B28" ca="1" si="2">RAND()</f>
        <v>0.34248379077377678</v>
      </c>
      <c r="C5">
        <f t="shared" ca="1" si="0"/>
        <v>51.886123542436692</v>
      </c>
      <c r="D5">
        <f t="shared" ca="1" si="1"/>
        <v>1.8371319638632522E-2</v>
      </c>
      <c r="F5" t="s">
        <v>65</v>
      </c>
      <c r="G5" s="544">
        <v>25</v>
      </c>
    </row>
    <row r="6" spans="1:7">
      <c r="A6">
        <f t="shared" ref="A6:A28" si="3">A5+1</f>
        <v>3</v>
      </c>
      <c r="B6">
        <f t="shared" ca="1" si="2"/>
        <v>0.75349507607877975</v>
      </c>
      <c r="C6">
        <f t="shared" ca="1" si="0"/>
        <v>73.710590127150752</v>
      </c>
      <c r="D6">
        <f t="shared" ca="1" si="1"/>
        <v>1.576999557186539E-2</v>
      </c>
    </row>
    <row r="7" spans="1:7">
      <c r="A7">
        <f t="shared" si="3"/>
        <v>4</v>
      </c>
      <c r="B7">
        <f t="shared" ca="1" si="2"/>
        <v>0.12563484069243103</v>
      </c>
      <c r="C7">
        <f t="shared" ca="1" si="0"/>
        <v>37.05458221484264</v>
      </c>
      <c r="D7">
        <f t="shared" ca="1" si="1"/>
        <v>1.0329142050856123E-2</v>
      </c>
    </row>
    <row r="8" spans="1:7">
      <c r="A8">
        <f t="shared" si="3"/>
        <v>5</v>
      </c>
      <c r="B8">
        <f t="shared" ca="1" si="2"/>
        <v>0.88291081435807461</v>
      </c>
      <c r="C8">
        <f t="shared" ca="1" si="0"/>
        <v>83.793285541248892</v>
      </c>
      <c r="D8">
        <f t="shared" ca="1" si="1"/>
        <v>9.8299507715338304E-3</v>
      </c>
    </row>
    <row r="9" spans="1:7">
      <c r="A9">
        <f t="shared" si="3"/>
        <v>6</v>
      </c>
      <c r="B9">
        <f t="shared" ca="1" si="2"/>
        <v>0.83824996865814327</v>
      </c>
      <c r="C9">
        <f t="shared" ca="1" si="0"/>
        <v>79.745817502202883</v>
      </c>
      <c r="D9">
        <f t="shared" ca="1" si="1"/>
        <v>1.2252289729104634E-2</v>
      </c>
    </row>
    <row r="10" spans="1:7">
      <c r="A10">
        <f t="shared" si="3"/>
        <v>7</v>
      </c>
      <c r="B10">
        <f t="shared" ca="1" si="2"/>
        <v>0.76219989989011694</v>
      </c>
      <c r="C10">
        <f t="shared" ca="1" si="0"/>
        <v>74.267937696495366</v>
      </c>
      <c r="D10">
        <f t="shared" ca="1" si="1"/>
        <v>1.5465580079020973E-2</v>
      </c>
    </row>
    <row r="11" spans="1:7">
      <c r="A11">
        <f t="shared" si="3"/>
        <v>8</v>
      </c>
      <c r="B11">
        <f t="shared" ca="1" si="2"/>
        <v>0.72791704752721831</v>
      </c>
      <c r="C11">
        <f t="shared" ca="1" si="0"/>
        <v>72.1305084811695</v>
      </c>
      <c r="D11">
        <f t="shared" ca="1" si="1"/>
        <v>1.6595771387329695E-2</v>
      </c>
    </row>
    <row r="12" spans="1:7">
      <c r="A12">
        <f t="shared" si="3"/>
        <v>9</v>
      </c>
      <c r="B12">
        <f t="shared" ca="1" si="2"/>
        <v>0.94952869836921661</v>
      </c>
      <c r="C12">
        <f t="shared" ca="1" si="0"/>
        <v>92.806019475774278</v>
      </c>
      <c r="D12">
        <f t="shared" ca="1" si="1"/>
        <v>5.1954894199299408E-3</v>
      </c>
    </row>
    <row r="13" spans="1:7">
      <c r="A13">
        <f t="shared" si="3"/>
        <v>10</v>
      </c>
      <c r="B13">
        <f t="shared" ca="1" si="2"/>
        <v>0.99124935485820775</v>
      </c>
      <c r="C13">
        <f t="shared" ca="1" si="0"/>
        <v>107.52007274925661</v>
      </c>
      <c r="D13">
        <f t="shared" ca="1" si="1"/>
        <v>1.1857646367863062E-3</v>
      </c>
    </row>
    <row r="14" spans="1:7">
      <c r="A14">
        <f t="shared" si="3"/>
        <v>11</v>
      </c>
      <c r="B14">
        <f t="shared" ca="1" si="2"/>
        <v>0.85923836453727365</v>
      </c>
      <c r="C14">
        <f t="shared" ca="1" si="0"/>
        <v>81.538074852057534</v>
      </c>
      <c r="D14">
        <f t="shared" ca="1" si="1"/>
        <v>1.1169910905378343E-2</v>
      </c>
    </row>
    <row r="15" spans="1:7">
      <c r="A15">
        <f t="shared" si="3"/>
        <v>12</v>
      </c>
      <c r="B15">
        <f t="shared" ca="1" si="2"/>
        <v>0.33134502852276815</v>
      </c>
      <c r="C15">
        <f t="shared" ca="1" si="0"/>
        <v>51.275956693462092</v>
      </c>
      <c r="D15">
        <f t="shared" ca="1" si="1"/>
        <v>1.8136895840782229E-2</v>
      </c>
    </row>
    <row r="16" spans="1:7">
      <c r="A16">
        <f t="shared" si="3"/>
        <v>13</v>
      </c>
      <c r="B16">
        <f t="shared" ca="1" si="2"/>
        <v>0.31589601695773628</v>
      </c>
      <c r="C16">
        <f t="shared" ca="1" si="0"/>
        <v>50.415878529133295</v>
      </c>
      <c r="D16">
        <f t="shared" ca="1" si="1"/>
        <v>1.7783396511998874E-2</v>
      </c>
    </row>
    <row r="17" spans="1:4">
      <c r="A17">
        <f t="shared" si="3"/>
        <v>14</v>
      </c>
      <c r="B17">
        <f t="shared" ca="1" si="2"/>
        <v>0.38122754786444002</v>
      </c>
      <c r="C17">
        <f t="shared" ca="1" si="0"/>
        <v>53.954832201875611</v>
      </c>
      <c r="D17">
        <f t="shared" ca="1" si="1"/>
        <v>1.9056426715803657E-2</v>
      </c>
    </row>
    <row r="18" spans="1:4">
      <c r="A18">
        <f t="shared" si="3"/>
        <v>15</v>
      </c>
      <c r="B18">
        <f t="shared" ca="1" si="2"/>
        <v>0.38533986603018278</v>
      </c>
      <c r="C18">
        <f t="shared" ca="1" si="0"/>
        <v>54.170282155766316</v>
      </c>
      <c r="D18">
        <f t="shared" ca="1" si="1"/>
        <v>1.9117467760428303E-2</v>
      </c>
    </row>
    <row r="19" spans="1:4">
      <c r="A19">
        <f t="shared" si="3"/>
        <v>16</v>
      </c>
      <c r="B19">
        <f t="shared" ca="1" si="2"/>
        <v>0.55778362401529646</v>
      </c>
      <c r="C19">
        <f t="shared" ca="1" si="0"/>
        <v>62.907045283864989</v>
      </c>
      <c r="D19">
        <f t="shared" ca="1" si="1"/>
        <v>1.9737508927049459E-2</v>
      </c>
    </row>
    <row r="20" spans="1:4">
      <c r="A20">
        <f t="shared" si="3"/>
        <v>17</v>
      </c>
      <c r="B20">
        <f t="shared" ca="1" si="2"/>
        <v>0.39089546831033517</v>
      </c>
      <c r="C20">
        <f t="shared" ca="1" si="0"/>
        <v>54.460282096758696</v>
      </c>
      <c r="D20">
        <f t="shared" ca="1" si="1"/>
        <v>1.919642145603357E-2</v>
      </c>
    </row>
    <row r="21" spans="1:4">
      <c r="A21">
        <f t="shared" si="3"/>
        <v>18</v>
      </c>
      <c r="B21">
        <f t="shared" ca="1" si="2"/>
        <v>0.38142752428327631</v>
      </c>
      <c r="C21">
        <f t="shared" ca="1" si="0"/>
        <v>53.965325279889498</v>
      </c>
      <c r="D21">
        <f t="shared" ca="1" si="1"/>
        <v>1.9059446320293022E-2</v>
      </c>
    </row>
    <row r="22" spans="1:4">
      <c r="A22">
        <f t="shared" si="3"/>
        <v>19</v>
      </c>
      <c r="B22">
        <f t="shared" ca="1" si="2"/>
        <v>0.49790951190092514</v>
      </c>
      <c r="C22">
        <f t="shared" ca="1" si="0"/>
        <v>59.895197988843201</v>
      </c>
      <c r="D22">
        <f t="shared" ca="1" si="1"/>
        <v>1.994684016150193E-2</v>
      </c>
    </row>
    <row r="23" spans="1:4">
      <c r="A23">
        <f t="shared" si="3"/>
        <v>20</v>
      </c>
      <c r="B23">
        <f t="shared" ca="1" si="2"/>
        <v>0.66349673415007748</v>
      </c>
      <c r="C23">
        <f t="shared" ca="1" si="0"/>
        <v>68.440506523685656</v>
      </c>
      <c r="D23">
        <f t="shared" ca="1" si="1"/>
        <v>1.8247567514220724E-2</v>
      </c>
    </row>
    <row r="24" spans="1:4">
      <c r="A24">
        <f t="shared" si="3"/>
        <v>21</v>
      </c>
      <c r="B24">
        <f t="shared" ca="1" si="2"/>
        <v>0.22779292111542837</v>
      </c>
      <c r="C24">
        <f t="shared" ca="1" si="0"/>
        <v>45.077299133414286</v>
      </c>
      <c r="D24">
        <f t="shared" ca="1" si="1"/>
        <v>1.510046775934986E-2</v>
      </c>
    </row>
    <row r="25" spans="1:4">
      <c r="A25">
        <f t="shared" si="3"/>
        <v>22</v>
      </c>
      <c r="B25">
        <f t="shared" ca="1" si="2"/>
        <v>0.20113797007094814</v>
      </c>
      <c r="C25">
        <f t="shared" ca="1" si="0"/>
        <v>43.248731446811014</v>
      </c>
      <c r="D25">
        <f t="shared" ca="1" si="1"/>
        <v>1.404586750204272E-2</v>
      </c>
    </row>
    <row r="26" spans="1:4">
      <c r="A26">
        <f t="shared" si="3"/>
        <v>23</v>
      </c>
      <c r="B26">
        <f t="shared" ca="1" si="2"/>
        <v>0.75927056640537738</v>
      </c>
      <c r="C26">
        <f t="shared" ca="1" si="0"/>
        <v>74.079162009973544</v>
      </c>
      <c r="D26">
        <f t="shared" ca="1" si="1"/>
        <v>1.5569376943864049E-2</v>
      </c>
    </row>
    <row r="27" spans="1:4">
      <c r="A27">
        <f t="shared" si="3"/>
        <v>24</v>
      </c>
      <c r="B27">
        <f t="shared" ca="1" si="2"/>
        <v>0.48985926880580744</v>
      </c>
      <c r="C27">
        <f t="shared" ca="1" si="0"/>
        <v>59.491564370379912</v>
      </c>
      <c r="D27">
        <f t="shared" ca="1" si="1"/>
        <v>1.9940669480845344E-2</v>
      </c>
    </row>
    <row r="28" spans="1:4">
      <c r="A28" s="534">
        <f t="shared" si="3"/>
        <v>25</v>
      </c>
      <c r="B28" s="534">
        <f t="shared" ca="1" si="2"/>
        <v>0.11951414092903079</v>
      </c>
      <c r="C28" s="534">
        <f t="shared" ca="1" si="0"/>
        <v>36.451618590646824</v>
      </c>
      <c r="D28" s="534">
        <f t="shared" ca="1" si="1"/>
        <v>9.9734507603988012E-3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sheetPr codeName="Sheet193"/>
  <dimension ref="A1:E15"/>
  <sheetViews>
    <sheetView workbookViewId="0"/>
  </sheetViews>
  <sheetFormatPr defaultRowHeight="14.4"/>
  <sheetData>
    <row r="1" spans="1:5">
      <c r="A1" s="1" t="s">
        <v>1764</v>
      </c>
    </row>
    <row r="2" spans="1:5">
      <c r="A2" s="1"/>
    </row>
    <row r="3" spans="1:5">
      <c r="A3" s="1555" t="s">
        <v>26</v>
      </c>
      <c r="B3" s="1555"/>
      <c r="D3" s="1552" t="s">
        <v>333</v>
      </c>
      <c r="E3" s="1552"/>
    </row>
    <row r="4" spans="1:5">
      <c r="A4" s="611"/>
      <c r="B4" s="611"/>
    </row>
    <row r="5" spans="1:5">
      <c r="A5" s="696" t="s">
        <v>725</v>
      </c>
      <c r="B5" s="715" t="s">
        <v>726</v>
      </c>
      <c r="D5" s="712" t="s">
        <v>208</v>
      </c>
      <c r="E5" s="712" t="s">
        <v>1765</v>
      </c>
    </row>
    <row r="6" spans="1:5">
      <c r="A6" s="610">
        <v>2</v>
      </c>
      <c r="B6" s="714">
        <v>1</v>
      </c>
      <c r="D6" s="713" t="s">
        <v>1766</v>
      </c>
      <c r="E6" s="713" t="s">
        <v>1767</v>
      </c>
    </row>
    <row r="7" spans="1:5">
      <c r="A7" s="664">
        <v>5</v>
      </c>
      <c r="B7" s="714">
        <v>3</v>
      </c>
      <c r="D7" s="714">
        <v>17</v>
      </c>
      <c r="E7" s="714">
        <v>6</v>
      </c>
    </row>
    <row r="8" spans="1:5">
      <c r="A8" s="664">
        <v>7</v>
      </c>
      <c r="B8" s="714">
        <v>6</v>
      </c>
      <c r="D8" s="714">
        <v>24</v>
      </c>
      <c r="E8" s="714">
        <v>24</v>
      </c>
    </row>
    <row r="9" spans="1:5">
      <c r="A9" s="664">
        <v>8</v>
      </c>
      <c r="B9" s="714">
        <v>10</v>
      </c>
      <c r="D9" s="714">
        <v>2</v>
      </c>
      <c r="E9" s="714">
        <v>19</v>
      </c>
    </row>
    <row r="10" spans="1:5">
      <c r="A10" s="664">
        <v>9</v>
      </c>
      <c r="B10" s="714">
        <v>12</v>
      </c>
      <c r="D10" s="714">
        <v>2</v>
      </c>
      <c r="E10" s="714"/>
    </row>
    <row r="11" spans="1:5">
      <c r="A11" s="664">
        <v>11</v>
      </c>
      <c r="B11" s="714">
        <v>24</v>
      </c>
      <c r="D11" s="714">
        <v>21</v>
      </c>
      <c r="E11" s="714"/>
    </row>
    <row r="12" spans="1:5">
      <c r="A12" s="664">
        <v>15</v>
      </c>
      <c r="B12" s="714">
        <v>16</v>
      </c>
      <c r="D12" s="713">
        <v>8</v>
      </c>
      <c r="E12" s="713"/>
    </row>
    <row r="13" spans="1:5">
      <c r="A13" s="664">
        <v>17</v>
      </c>
      <c r="B13" s="714">
        <v>18</v>
      </c>
    </row>
    <row r="14" spans="1:5">
      <c r="A14" s="664">
        <v>20</v>
      </c>
      <c r="B14" s="714">
        <v>19</v>
      </c>
    </row>
    <row r="15" spans="1:5">
      <c r="A15" s="560">
        <v>21</v>
      </c>
      <c r="B15" s="713">
        <v>22</v>
      </c>
    </row>
  </sheetData>
  <mergeCells count="2">
    <mergeCell ref="A3:B3"/>
    <mergeCell ref="D3:E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sheetPr codeName="Sheet194"/>
  <dimension ref="A1:S23"/>
  <sheetViews>
    <sheetView workbookViewId="0"/>
  </sheetViews>
  <sheetFormatPr defaultRowHeight="14.4"/>
  <sheetData>
    <row r="1" spans="1:19">
      <c r="A1" s="1" t="s">
        <v>1768</v>
      </c>
      <c r="E1" s="1" t="s">
        <v>1779</v>
      </c>
    </row>
    <row r="2" spans="1:19">
      <c r="I2" t="s">
        <v>1862</v>
      </c>
      <c r="K2" s="23" t="s">
        <v>3912</v>
      </c>
      <c r="P2" s="23" t="s">
        <v>3913</v>
      </c>
    </row>
    <row r="3" spans="1:19">
      <c r="A3" s="711" t="s">
        <v>1769</v>
      </c>
      <c r="B3" s="665" t="s">
        <v>1766</v>
      </c>
      <c r="C3" s="717" t="s">
        <v>333</v>
      </c>
      <c r="E3" s="665" t="s">
        <v>1769</v>
      </c>
      <c r="F3" s="717" t="s">
        <v>333</v>
      </c>
    </row>
    <row r="4" spans="1:19" ht="15">
      <c r="A4" s="656">
        <v>2</v>
      </c>
      <c r="B4" s="627">
        <f ca="1">RAND()</f>
        <v>0.60437489527899491</v>
      </c>
      <c r="C4" s="719">
        <f t="shared" ref="C4:C9" ca="1" si="0">INDEX(A$4:A$23,RANK(B4,B$4:B$23))</f>
        <v>15</v>
      </c>
      <c r="E4" s="627">
        <v>2</v>
      </c>
      <c r="F4" s="719">
        <f t="shared" ref="F4:F9" ca="1" si="1">INDEX(E$4:E$23,RANDBETWEEN(1,COUNT(E$4:E$23)))</f>
        <v>20</v>
      </c>
      <c r="I4" s="542" t="e">
        <f t="array" aca="1" ref="I4:I23" ca="1">[1]!SHUFFLE(A4:A23)</f>
        <v>#NAME?</v>
      </c>
      <c r="K4" s="1236" t="e">
        <f t="array" aca="1" ref="K4:N9" ca="1">[1]!RANDOMIZE(E4:E23)</f>
        <v>#NAME?</v>
      </c>
      <c r="L4" s="1152" t="e">
        <f ca="1"/>
        <v>#NAME?</v>
      </c>
      <c r="M4" s="1152" t="e">
        <f ca="1"/>
        <v>#NAME?</v>
      </c>
      <c r="N4" s="1237" t="e">
        <f ca="1"/>
        <v>#NAME?</v>
      </c>
      <c r="P4" s="1236" t="e">
        <f t="array" aca="1" ref="P4:S9" ca="1">[1]!SHUFFLE(A4:A23)</f>
        <v>#NAME?</v>
      </c>
      <c r="Q4" s="1152" t="e">
        <f ca="1"/>
        <v>#NAME?</v>
      </c>
      <c r="R4" s="1152" t="e">
        <f ca="1"/>
        <v>#NAME?</v>
      </c>
      <c r="S4" s="1237" t="e">
        <f ca="1"/>
        <v>#NAME?</v>
      </c>
    </row>
    <row r="5" spans="1:19" ht="15">
      <c r="A5" s="656">
        <v>5</v>
      </c>
      <c r="B5" s="627">
        <f t="shared" ref="B5:B23" ca="1" si="2">RAND()</f>
        <v>0.51227898413895168</v>
      </c>
      <c r="C5" s="720">
        <f t="shared" ca="1" si="0"/>
        <v>20</v>
      </c>
      <c r="E5" s="627">
        <v>5</v>
      </c>
      <c r="F5" s="720">
        <f t="shared" ca="1" si="1"/>
        <v>22</v>
      </c>
      <c r="I5" s="627" t="e">
        <f ca="1"/>
        <v>#NAME?</v>
      </c>
      <c r="K5" s="656" t="e">
        <f ca="1"/>
        <v>#NAME?</v>
      </c>
      <c r="L5" s="8" t="e">
        <f ca="1"/>
        <v>#NAME?</v>
      </c>
      <c r="M5" s="8" t="e">
        <f ca="1"/>
        <v>#NAME?</v>
      </c>
      <c r="N5" s="657" t="e">
        <f ca="1"/>
        <v>#NAME?</v>
      </c>
      <c r="P5" s="656" t="e">
        <f ca="1"/>
        <v>#NAME?</v>
      </c>
      <c r="Q5" s="8" t="e">
        <f ca="1"/>
        <v>#NAME?</v>
      </c>
      <c r="R5" s="8" t="e">
        <f ca="1"/>
        <v>#NAME?</v>
      </c>
      <c r="S5" s="657" t="e">
        <f ca="1"/>
        <v>#NAME?</v>
      </c>
    </row>
    <row r="6" spans="1:19" ht="15">
      <c r="A6" s="656">
        <v>7</v>
      </c>
      <c r="B6" s="627">
        <f t="shared" ca="1" si="2"/>
        <v>0.19062243389564126</v>
      </c>
      <c r="C6" s="720">
        <f t="shared" ca="1" si="0"/>
        <v>24</v>
      </c>
      <c r="E6" s="627">
        <v>7</v>
      </c>
      <c r="F6" s="720">
        <f t="shared" ca="1" si="1"/>
        <v>9</v>
      </c>
      <c r="I6" s="627" t="e">
        <f ca="1"/>
        <v>#NAME?</v>
      </c>
      <c r="K6" s="656" t="e">
        <f ca="1"/>
        <v>#NAME?</v>
      </c>
      <c r="L6" s="8" t="e">
        <f ca="1"/>
        <v>#NAME?</v>
      </c>
      <c r="M6" s="8" t="e">
        <f ca="1"/>
        <v>#NAME?</v>
      </c>
      <c r="N6" s="657" t="e">
        <f ca="1"/>
        <v>#NAME?</v>
      </c>
      <c r="P6" s="656" t="e">
        <f ca="1"/>
        <v>#NAME?</v>
      </c>
      <c r="Q6" s="8" t="e">
        <f ca="1"/>
        <v>#NAME?</v>
      </c>
      <c r="R6" s="8" t="e">
        <f ca="1"/>
        <v>#NAME?</v>
      </c>
      <c r="S6" s="657" t="e">
        <f ca="1"/>
        <v>#NAME?</v>
      </c>
    </row>
    <row r="7" spans="1:19" ht="15">
      <c r="A7" s="656">
        <v>8</v>
      </c>
      <c r="B7" s="627">
        <f t="shared" ca="1" si="2"/>
        <v>3.7334472794507079E-2</v>
      </c>
      <c r="C7" s="720">
        <f t="shared" ca="1" si="0"/>
        <v>19</v>
      </c>
      <c r="E7" s="627">
        <v>8</v>
      </c>
      <c r="F7" s="720">
        <f t="shared" ca="1" si="1"/>
        <v>21</v>
      </c>
      <c r="I7" s="627" t="e">
        <f ca="1"/>
        <v>#NAME?</v>
      </c>
      <c r="K7" s="656" t="e">
        <f ca="1"/>
        <v>#NAME?</v>
      </c>
      <c r="L7" s="8" t="e">
        <f ca="1"/>
        <v>#NAME?</v>
      </c>
      <c r="M7" s="8" t="e">
        <f ca="1"/>
        <v>#NAME?</v>
      </c>
      <c r="N7" s="657" t="e">
        <f ca="1"/>
        <v>#NAME?</v>
      </c>
      <c r="P7" s="656" t="e">
        <f ca="1"/>
        <v>#NAME?</v>
      </c>
      <c r="Q7" s="8" t="e">
        <f ca="1"/>
        <v>#NAME?</v>
      </c>
      <c r="R7" s="8" t="e">
        <f ca="1"/>
        <v>#NAME?</v>
      </c>
      <c r="S7" s="657" t="e">
        <f ca="1"/>
        <v>#NAME?</v>
      </c>
    </row>
    <row r="8" spans="1:19" ht="15">
      <c r="A8" s="656">
        <v>9</v>
      </c>
      <c r="B8" s="627">
        <f t="shared" ca="1" si="2"/>
        <v>0.55945738215859286</v>
      </c>
      <c r="C8" s="720">
        <f t="shared" ca="1" si="0"/>
        <v>17</v>
      </c>
      <c r="E8" s="627">
        <v>9</v>
      </c>
      <c r="F8" s="720">
        <f t="shared" ca="1" si="1"/>
        <v>19</v>
      </c>
      <c r="I8" s="627" t="e">
        <f ca="1"/>
        <v>#NAME?</v>
      </c>
      <c r="K8" s="656" t="e">
        <f ca="1"/>
        <v>#NAME?</v>
      </c>
      <c r="L8" s="8" t="e">
        <f ca="1"/>
        <v>#NAME?</v>
      </c>
      <c r="M8" s="8" t="e">
        <f ca="1"/>
        <v>#NAME?</v>
      </c>
      <c r="N8" s="657" t="e">
        <f ca="1"/>
        <v>#NAME?</v>
      </c>
      <c r="P8" s="656" t="e">
        <f ca="1"/>
        <v>#NAME?</v>
      </c>
      <c r="Q8" s="8" t="e">
        <f ca="1"/>
        <v>#NAME?</v>
      </c>
      <c r="R8" s="8" t="e">
        <f ca="1"/>
        <v>#NAME?</v>
      </c>
      <c r="S8" s="657" t="e">
        <f ca="1"/>
        <v>#NAME?</v>
      </c>
    </row>
    <row r="9" spans="1:19" ht="15">
      <c r="A9" s="656">
        <v>11</v>
      </c>
      <c r="B9" s="627">
        <f t="shared" ca="1" si="2"/>
        <v>0.69009972799127661</v>
      </c>
      <c r="C9" s="721">
        <f t="shared" ca="1" si="0"/>
        <v>5</v>
      </c>
      <c r="E9" s="627">
        <v>11</v>
      </c>
      <c r="F9" s="721">
        <f t="shared" ca="1" si="1"/>
        <v>10</v>
      </c>
      <c r="I9" s="627" t="e">
        <f ca="1"/>
        <v>#NAME?</v>
      </c>
      <c r="K9" s="533" t="e">
        <f ca="1"/>
        <v>#NAME?</v>
      </c>
      <c r="L9" s="1078" t="e">
        <f ca="1"/>
        <v>#NAME?</v>
      </c>
      <c r="M9" s="1078" t="e">
        <f ca="1"/>
        <v>#NAME?</v>
      </c>
      <c r="N9" s="541" t="e">
        <f ca="1"/>
        <v>#NAME?</v>
      </c>
      <c r="P9" s="533" t="e">
        <f ca="1"/>
        <v>#NAME?</v>
      </c>
      <c r="Q9" s="1078" t="e">
        <f ca="1"/>
        <v>#NAME?</v>
      </c>
      <c r="R9" s="1078" t="e">
        <f ca="1"/>
        <v>#NAME?</v>
      </c>
      <c r="S9" s="541" t="e">
        <f ca="1"/>
        <v>#NAME?</v>
      </c>
    </row>
    <row r="10" spans="1:19" ht="15">
      <c r="A10" s="656">
        <v>15</v>
      </c>
      <c r="B10" s="627">
        <f t="shared" ca="1" si="2"/>
        <v>0.66659989792240015</v>
      </c>
      <c r="C10" s="718"/>
      <c r="E10" s="627">
        <v>15</v>
      </c>
      <c r="G10" s="718"/>
      <c r="H10" s="718"/>
      <c r="I10" s="627" t="e">
        <f ca="1"/>
        <v>#NAME?</v>
      </c>
    </row>
    <row r="11" spans="1:19" ht="15">
      <c r="A11" s="656">
        <v>17</v>
      </c>
      <c r="B11" s="627">
        <f t="shared" ca="1" si="2"/>
        <v>0.60644674128058096</v>
      </c>
      <c r="C11" s="718"/>
      <c r="E11" s="627">
        <v>17</v>
      </c>
      <c r="G11" s="718"/>
      <c r="H11" s="718"/>
      <c r="I11" s="627" t="e">
        <f ca="1"/>
        <v>#NAME?</v>
      </c>
    </row>
    <row r="12" spans="1:19" ht="15">
      <c r="A12" s="656">
        <v>20</v>
      </c>
      <c r="B12" s="627">
        <f t="shared" ca="1" si="2"/>
        <v>0.64461733707780011</v>
      </c>
      <c r="C12" s="718"/>
      <c r="E12" s="627">
        <v>20</v>
      </c>
      <c r="G12" s="718"/>
      <c r="H12" s="718"/>
      <c r="I12" s="627" t="e">
        <f ca="1"/>
        <v>#NAME?</v>
      </c>
    </row>
    <row r="13" spans="1:19" ht="15">
      <c r="A13" s="656">
        <v>21</v>
      </c>
      <c r="B13" s="627">
        <f t="shared" ca="1" si="2"/>
        <v>0.49531537808102977</v>
      </c>
      <c r="C13" s="718"/>
      <c r="E13" s="627">
        <v>21</v>
      </c>
      <c r="G13" s="718"/>
      <c r="H13" s="718"/>
      <c r="I13" s="627" t="e">
        <f ca="1"/>
        <v>#NAME?</v>
      </c>
    </row>
    <row r="14" spans="1:19" ht="15">
      <c r="A14" s="656">
        <v>1</v>
      </c>
      <c r="B14" s="627">
        <f t="shared" ca="1" si="2"/>
        <v>0.62043870034514192</v>
      </c>
      <c r="C14" s="718"/>
      <c r="E14" s="627">
        <v>1</v>
      </c>
      <c r="G14" s="718"/>
      <c r="H14" s="718"/>
      <c r="I14" s="627" t="e">
        <f ca="1"/>
        <v>#NAME?</v>
      </c>
    </row>
    <row r="15" spans="1:19" ht="15">
      <c r="A15" s="656">
        <v>3</v>
      </c>
      <c r="B15" s="627">
        <f t="shared" ca="1" si="2"/>
        <v>0.47305016079443174</v>
      </c>
      <c r="C15" s="718"/>
      <c r="E15" s="627">
        <v>3</v>
      </c>
      <c r="G15" s="718"/>
      <c r="H15" s="718"/>
      <c r="I15" s="627" t="e">
        <f ca="1"/>
        <v>#NAME?</v>
      </c>
    </row>
    <row r="16" spans="1:19" ht="15">
      <c r="A16" s="656">
        <v>6</v>
      </c>
      <c r="B16" s="627">
        <f t="shared" ca="1" si="2"/>
        <v>0.40625344314152301</v>
      </c>
      <c r="C16" s="718"/>
      <c r="E16" s="627">
        <v>6</v>
      </c>
      <c r="G16" s="718"/>
      <c r="H16" s="718"/>
      <c r="I16" s="627" t="e">
        <f ca="1"/>
        <v>#NAME?</v>
      </c>
    </row>
    <row r="17" spans="1:9" ht="15">
      <c r="A17" s="656">
        <v>10</v>
      </c>
      <c r="B17" s="627">
        <f t="shared" ca="1" si="2"/>
        <v>7.9375685726842615E-2</v>
      </c>
      <c r="C17" s="718"/>
      <c r="E17" s="627">
        <v>10</v>
      </c>
      <c r="G17" s="718"/>
      <c r="H17" s="718"/>
      <c r="I17" s="627" t="e">
        <f ca="1"/>
        <v>#NAME?</v>
      </c>
    </row>
    <row r="18" spans="1:9" ht="15">
      <c r="A18" s="656">
        <v>12</v>
      </c>
      <c r="B18" s="627">
        <f t="shared" ca="1" si="2"/>
        <v>0.40383630145298821</v>
      </c>
      <c r="C18" s="718"/>
      <c r="E18" s="627">
        <v>12</v>
      </c>
      <c r="G18" s="718"/>
      <c r="H18" s="718"/>
      <c r="I18" s="627" t="e">
        <f ca="1"/>
        <v>#NAME?</v>
      </c>
    </row>
    <row r="19" spans="1:9" ht="15">
      <c r="A19" s="656">
        <v>24</v>
      </c>
      <c r="B19" s="627">
        <f t="shared" ca="1" si="2"/>
        <v>0.88101726944302428</v>
      </c>
      <c r="C19" s="718"/>
      <c r="E19" s="627">
        <v>24</v>
      </c>
      <c r="G19" s="718"/>
      <c r="H19" s="718"/>
      <c r="I19" s="627" t="e">
        <f ca="1"/>
        <v>#NAME?</v>
      </c>
    </row>
    <row r="20" spans="1:9" ht="15">
      <c r="A20" s="656">
        <v>16</v>
      </c>
      <c r="B20" s="627">
        <f t="shared" ca="1" si="2"/>
        <v>0.21432288687282774</v>
      </c>
      <c r="C20" s="718"/>
      <c r="E20" s="627">
        <v>16</v>
      </c>
      <c r="G20" s="718"/>
      <c r="H20" s="718"/>
      <c r="I20" s="627" t="e">
        <f ca="1"/>
        <v>#NAME?</v>
      </c>
    </row>
    <row r="21" spans="1:9" ht="15">
      <c r="A21" s="656">
        <v>18</v>
      </c>
      <c r="B21" s="627">
        <f t="shared" ca="1" si="2"/>
        <v>0.36809826383570643</v>
      </c>
      <c r="C21" s="718"/>
      <c r="E21" s="627">
        <v>18</v>
      </c>
      <c r="G21" s="718"/>
      <c r="H21" s="718"/>
      <c r="I21" s="627" t="e">
        <f ca="1"/>
        <v>#NAME?</v>
      </c>
    </row>
    <row r="22" spans="1:9" ht="15">
      <c r="A22" s="656">
        <v>19</v>
      </c>
      <c r="B22" s="627">
        <f t="shared" ca="1" si="2"/>
        <v>4.0452840548557134E-2</v>
      </c>
      <c r="C22" s="718"/>
      <c r="E22" s="627">
        <v>19</v>
      </c>
      <c r="G22" s="718"/>
      <c r="H22" s="718"/>
      <c r="I22" s="627" t="e">
        <f ca="1"/>
        <v>#NAME?</v>
      </c>
    </row>
    <row r="23" spans="1:9" ht="15">
      <c r="A23" s="533">
        <v>22</v>
      </c>
      <c r="B23" s="544">
        <f t="shared" ca="1" si="2"/>
        <v>2.6501558594378194E-2</v>
      </c>
      <c r="C23" s="718"/>
      <c r="E23" s="544">
        <v>22</v>
      </c>
      <c r="G23" s="718"/>
      <c r="H23" s="718"/>
      <c r="I23" s="544" t="e">
        <f ca="1"/>
        <v>#NAME?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sheetPr codeName="Sheet130"/>
  <dimension ref="A1:R44"/>
  <sheetViews>
    <sheetView workbookViewId="0"/>
  </sheetViews>
  <sheetFormatPr defaultRowHeight="14.4"/>
  <cols>
    <col min="1" max="1" width="10.88671875" customWidth="1"/>
    <col min="7" max="7" width="9.33203125" customWidth="1"/>
    <col min="23" max="23" width="13.6640625" customWidth="1"/>
  </cols>
  <sheetData>
    <row r="1" spans="1:2">
      <c r="A1" s="1" t="s">
        <v>1175</v>
      </c>
    </row>
    <row r="3" spans="1:2">
      <c r="A3" s="1552" t="s">
        <v>1176</v>
      </c>
      <c r="B3" s="1552"/>
    </row>
    <row r="4" spans="1:2">
      <c r="A4" s="8" t="s">
        <v>63</v>
      </c>
      <c r="B4" s="743">
        <v>60</v>
      </c>
    </row>
    <row r="5" spans="1:2">
      <c r="A5" s="8" t="s">
        <v>67</v>
      </c>
      <c r="B5" s="544">
        <v>12</v>
      </c>
    </row>
    <row r="7" spans="1:2">
      <c r="A7" s="1552" t="s">
        <v>1177</v>
      </c>
      <c r="B7" s="1552"/>
    </row>
    <row r="8" spans="1:2">
      <c r="A8" s="8" t="s">
        <v>1180</v>
      </c>
      <c r="B8" s="743">
        <v>110</v>
      </c>
    </row>
    <row r="9" spans="1:2">
      <c r="A9" s="8" t="s">
        <v>337</v>
      </c>
      <c r="B9" s="627">
        <v>0.05</v>
      </c>
    </row>
    <row r="10" spans="1:2">
      <c r="A10" s="8" t="s">
        <v>1178</v>
      </c>
      <c r="B10" s="627">
        <v>1</v>
      </c>
    </row>
    <row r="11" spans="1:2">
      <c r="A11" s="8" t="s">
        <v>826</v>
      </c>
      <c r="B11" s="627">
        <f>B5/SQRT(B8)</f>
        <v>1.1441551070947107</v>
      </c>
    </row>
    <row r="12" spans="1:2">
      <c r="A12" s="8" t="s">
        <v>1179</v>
      </c>
      <c r="B12" s="544">
        <f>NORMINV(1-B9,B4,B11)</f>
        <v>61.881967677699784</v>
      </c>
    </row>
    <row r="15" spans="1:2">
      <c r="A15" t="s">
        <v>114</v>
      </c>
    </row>
    <row r="16" spans="1:2">
      <c r="A16" s="429"/>
      <c r="B16" s="429"/>
    </row>
    <row r="17" spans="1:17">
      <c r="A17" s="473" t="s">
        <v>63</v>
      </c>
      <c r="B17" s="473" t="s">
        <v>1182</v>
      </c>
      <c r="C17" s="473" t="s">
        <v>1181</v>
      </c>
      <c r="N17" t="s">
        <v>1183</v>
      </c>
    </row>
    <row r="18" spans="1:17">
      <c r="A18">
        <f>B12</f>
        <v>61.881967677699784</v>
      </c>
      <c r="B18">
        <f>NORMDIST($B$12,A18,$B$11,TRUE)</f>
        <v>0.5</v>
      </c>
      <c r="C18">
        <f>1-B18</f>
        <v>0.5</v>
      </c>
    </row>
    <row r="19" spans="1:17">
      <c r="A19" s="64">
        <f>INT(A18*10+1)/10</f>
        <v>61.9</v>
      </c>
      <c r="B19">
        <f t="shared" ref="B19:B44" si="0">NORMDIST($B$12,A19,$B$11,TRUE)</f>
        <v>0.49371277728636825</v>
      </c>
      <c r="C19">
        <f t="shared" ref="C19:C44" si="1">1-B19</f>
        <v>0.50628722271363169</v>
      </c>
      <c r="N19" s="824" t="s">
        <v>1174</v>
      </c>
      <c r="O19" s="824" t="s">
        <v>63</v>
      </c>
      <c r="P19" s="824" t="s">
        <v>1182</v>
      </c>
      <c r="Q19" s="824" t="s">
        <v>1181</v>
      </c>
    </row>
    <row r="20" spans="1:17">
      <c r="A20" s="64">
        <f>A19+0.1</f>
        <v>62</v>
      </c>
      <c r="B20">
        <f t="shared" si="0"/>
        <v>0.45891754848598787</v>
      </c>
      <c r="C20">
        <f t="shared" si="1"/>
        <v>0.54108245151401213</v>
      </c>
      <c r="N20">
        <v>0.2</v>
      </c>
      <c r="O20">
        <f>$B$4+$B$5*N20</f>
        <v>62.4</v>
      </c>
      <c r="P20">
        <f>NORMDIST($B$12,O20,$B$11,TRUE)</f>
        <v>0.32535931951029284</v>
      </c>
      <c r="Q20">
        <f>1-P20</f>
        <v>0.67464068048970716</v>
      </c>
    </row>
    <row r="21" spans="1:17">
      <c r="A21" s="64">
        <f t="shared" ref="A21:A30" si="2">A20+0.1</f>
        <v>62.1</v>
      </c>
      <c r="B21">
        <f t="shared" si="0"/>
        <v>0.42443443796337804</v>
      </c>
      <c r="C21">
        <f t="shared" si="1"/>
        <v>0.57556556203662201</v>
      </c>
    </row>
    <row r="22" spans="1:17">
      <c r="A22" s="64">
        <f t="shared" si="2"/>
        <v>62.2</v>
      </c>
      <c r="B22">
        <f t="shared" si="0"/>
        <v>0.39052053637083356</v>
      </c>
      <c r="C22">
        <f t="shared" si="1"/>
        <v>0.6094794636291665</v>
      </c>
      <c r="N22" s="175" t="s">
        <v>1184</v>
      </c>
      <c r="O22" s="809"/>
      <c r="P22" s="809"/>
      <c r="Q22" s="809"/>
    </row>
    <row r="23" spans="1:17">
      <c r="A23" s="64">
        <f t="shared" si="2"/>
        <v>62.300000000000004</v>
      </c>
      <c r="B23">
        <f t="shared" si="0"/>
        <v>0.35742010442580252</v>
      </c>
      <c r="C23">
        <f t="shared" si="1"/>
        <v>0.64257989557419748</v>
      </c>
      <c r="N23" s="824"/>
      <c r="O23" s="824"/>
      <c r="P23" s="824"/>
      <c r="Q23" s="824"/>
    </row>
    <row r="24" spans="1:17">
      <c r="A24" s="64">
        <f t="shared" si="2"/>
        <v>62.400000000000006</v>
      </c>
      <c r="B24">
        <f t="shared" si="0"/>
        <v>0.32535931951029062</v>
      </c>
      <c r="C24">
        <f t="shared" si="1"/>
        <v>0.67464068048970938</v>
      </c>
      <c r="N24" s="824" t="s">
        <v>1174</v>
      </c>
      <c r="O24" s="824" t="s">
        <v>63</v>
      </c>
      <c r="P24" s="824" t="s">
        <v>1182</v>
      </c>
      <c r="Q24" s="824" t="s">
        <v>1181</v>
      </c>
    </row>
    <row r="25" spans="1:17">
      <c r="A25" s="64">
        <f t="shared" si="2"/>
        <v>62.500000000000007</v>
      </c>
      <c r="B25">
        <f>NORMDIST($B$12,A25,$B$11,TRUE)</f>
        <v>0.29454169041516465</v>
      </c>
      <c r="C25">
        <f t="shared" si="1"/>
        <v>0.70545830958483535</v>
      </c>
      <c r="N25">
        <f>(O25-$B$4)/$B$5</f>
        <v>0.2370975325003061</v>
      </c>
      <c r="O25">
        <v>62.845170390003673</v>
      </c>
      <c r="P25">
        <f>NORMDIST($B$12,O25,$B$11,TRUE)</f>
        <v>0.19993700357886809</v>
      </c>
      <c r="Q25">
        <f>1-P25</f>
        <v>0.80006299642113188</v>
      </c>
    </row>
    <row r="26" spans="1:17">
      <c r="A26" s="64">
        <f t="shared" si="2"/>
        <v>62.600000000000009</v>
      </c>
      <c r="B26">
        <f t="shared" si="0"/>
        <v>0.26514429316689925</v>
      </c>
      <c r="C26">
        <f t="shared" si="1"/>
        <v>0.73485570683310075</v>
      </c>
    </row>
    <row r="27" spans="1:17">
      <c r="A27" s="64">
        <f t="shared" si="2"/>
        <v>62.70000000000001</v>
      </c>
      <c r="B27">
        <f t="shared" si="0"/>
        <v>0.23731493937549364</v>
      </c>
      <c r="C27">
        <f t="shared" si="1"/>
        <v>0.76268506062450636</v>
      </c>
      <c r="N27" t="s">
        <v>1185</v>
      </c>
    </row>
    <row r="28" spans="1:17">
      <c r="A28" s="64">
        <f t="shared" si="2"/>
        <v>62.800000000000011</v>
      </c>
      <c r="B28">
        <f t="shared" si="0"/>
        <v>0.2111703426986915</v>
      </c>
      <c r="C28">
        <f t="shared" si="1"/>
        <v>0.7888296573013085</v>
      </c>
    </row>
    <row r="29" spans="1:17">
      <c r="A29" s="64">
        <f t="shared" si="2"/>
        <v>62.900000000000013</v>
      </c>
      <c r="B29">
        <f t="shared" si="0"/>
        <v>0.18679530171283279</v>
      </c>
      <c r="C29">
        <f t="shared" si="1"/>
        <v>0.81320469828716724</v>
      </c>
      <c r="N29" s="824" t="s">
        <v>65</v>
      </c>
      <c r="O29" s="824" t="s">
        <v>63</v>
      </c>
      <c r="P29" s="824" t="s">
        <v>1182</v>
      </c>
      <c r="Q29" s="824" t="s">
        <v>1181</v>
      </c>
    </row>
    <row r="30" spans="1:17">
      <c r="A30" s="64">
        <f t="shared" si="2"/>
        <v>63.000000000000014</v>
      </c>
      <c r="B30">
        <f t="shared" si="0"/>
        <v>0.16424287157366305</v>
      </c>
      <c r="C30">
        <f t="shared" si="1"/>
        <v>0.83575712842633698</v>
      </c>
      <c r="N30">
        <v>22.600161841077849</v>
      </c>
      <c r="O30">
        <v>64</v>
      </c>
      <c r="P30">
        <f>NORMDIST($B$12,O30,$B$5/SQRT(N30),TRUE)</f>
        <v>0.20071018062064577</v>
      </c>
      <c r="Q30">
        <f>1-P30</f>
        <v>0.79928981937935428</v>
      </c>
    </row>
    <row r="31" spans="1:17">
      <c r="A31" s="64">
        <f>A30+0.1</f>
        <v>63.100000000000016</v>
      </c>
      <c r="B31">
        <f t="shared" si="0"/>
        <v>0.14353545496631082</v>
      </c>
      <c r="C31">
        <f t="shared" si="1"/>
        <v>0.85646454503368918</v>
      </c>
    </row>
    <row r="32" spans="1:17">
      <c r="A32" s="64">
        <f>A31+0.1</f>
        <v>63.200000000000017</v>
      </c>
      <c r="B32">
        <f t="shared" si="0"/>
        <v>0.12466670719360462</v>
      </c>
      <c r="C32">
        <f t="shared" si="1"/>
        <v>0.87533329280639538</v>
      </c>
      <c r="N32" t="s">
        <v>1186</v>
      </c>
    </row>
    <row r="33" spans="1:18">
      <c r="A33" s="64">
        <f>A32+0.1</f>
        <v>63.300000000000018</v>
      </c>
      <c r="B33">
        <f t="shared" si="0"/>
        <v>0.1076041224965501</v>
      </c>
      <c r="C33">
        <f t="shared" si="1"/>
        <v>0.89239587750344995</v>
      </c>
    </row>
    <row r="34" spans="1:18">
      <c r="A34" s="64">
        <f>A33+0.1</f>
        <v>63.40000000000002</v>
      </c>
      <c r="B34">
        <f t="shared" si="0"/>
        <v>9.2292149866411183E-2</v>
      </c>
      <c r="C34">
        <f t="shared" si="1"/>
        <v>0.90770785013358879</v>
      </c>
      <c r="N34" s="824" t="s">
        <v>65</v>
      </c>
      <c r="O34" s="824" t="s">
        <v>1174</v>
      </c>
      <c r="P34" s="824" t="s">
        <v>63</v>
      </c>
      <c r="Q34" s="824" t="s">
        <v>1182</v>
      </c>
      <c r="R34" s="824" t="s">
        <v>1181</v>
      </c>
    </row>
    <row r="35" spans="1:18">
      <c r="A35" s="64">
        <f t="shared" ref="A35:A42" si="3">A34+0.1</f>
        <v>63.500000000000021</v>
      </c>
      <c r="B35">
        <f t="shared" si="0"/>
        <v>7.8655677059105547E-2</v>
      </c>
      <c r="C35">
        <f t="shared" si="1"/>
        <v>0.92134432294089441</v>
      </c>
      <c r="N35">
        <v>379.59058421126565</v>
      </c>
      <c r="O35">
        <v>0.2</v>
      </c>
      <c r="P35">
        <f>$B$4+$B$5*O35</f>
        <v>62.4</v>
      </c>
      <c r="Q35">
        <f>NORMDIST($B$12,P35,$B$5/SQRT(N35),TRUE)</f>
        <v>0.2001537173165929</v>
      </c>
      <c r="R35">
        <f>1-Q35</f>
        <v>0.79984628268340707</v>
      </c>
    </row>
    <row r="36" spans="1:18">
      <c r="A36" s="64">
        <f t="shared" si="3"/>
        <v>63.600000000000023</v>
      </c>
      <c r="B36">
        <f t="shared" si="0"/>
        <v>6.6603720990058429E-2</v>
      </c>
      <c r="C36">
        <f t="shared" si="1"/>
        <v>0.9333962790099416</v>
      </c>
    </row>
    <row r="37" spans="1:18">
      <c r="A37" s="64">
        <f t="shared" si="3"/>
        <v>63.700000000000024</v>
      </c>
      <c r="B37">
        <f t="shared" si="0"/>
        <v>5.6033170342996964E-2</v>
      </c>
      <c r="C37">
        <f t="shared" si="1"/>
        <v>0.94396682965700307</v>
      </c>
    </row>
    <row r="38" spans="1:18">
      <c r="A38" s="64">
        <f t="shared" si="3"/>
        <v>63.800000000000026</v>
      </c>
      <c r="B38">
        <f t="shared" si="0"/>
        <v>4.6832440794893286E-2</v>
      </c>
      <c r="C38">
        <f t="shared" si="1"/>
        <v>0.95316755920510676</v>
      </c>
    </row>
    <row r="39" spans="1:18">
      <c r="A39" s="64">
        <f t="shared" si="3"/>
        <v>63.900000000000027</v>
      </c>
      <c r="B39">
        <f t="shared" si="0"/>
        <v>3.8884923157158156E-2</v>
      </c>
      <c r="C39">
        <f t="shared" si="1"/>
        <v>0.96111507684284181</v>
      </c>
    </row>
    <row r="40" spans="1:18">
      <c r="A40" s="64">
        <f t="shared" si="3"/>
        <v>64.000000000000028</v>
      </c>
      <c r="B40">
        <f t="shared" si="0"/>
        <v>3.2072128212725912E-2</v>
      </c>
      <c r="C40">
        <f t="shared" si="1"/>
        <v>0.96792787178727413</v>
      </c>
    </row>
    <row r="41" spans="1:18">
      <c r="A41" s="64">
        <f t="shared" si="3"/>
        <v>64.100000000000023</v>
      </c>
      <c r="B41">
        <f t="shared" si="0"/>
        <v>2.6276457321778159E-2</v>
      </c>
      <c r="C41">
        <f t="shared" si="1"/>
        <v>0.97372354267822181</v>
      </c>
    </row>
    <row r="42" spans="1:18">
      <c r="A42" s="64">
        <f t="shared" si="3"/>
        <v>64.200000000000017</v>
      </c>
      <c r="B42">
        <f t="shared" si="0"/>
        <v>2.1383553314302042E-2</v>
      </c>
      <c r="C42">
        <f t="shared" si="1"/>
        <v>0.97861644668569792</v>
      </c>
    </row>
    <row r="43" spans="1:18">
      <c r="A43" s="64">
        <f>A42+0.1</f>
        <v>64.300000000000011</v>
      </c>
      <c r="B43">
        <f t="shared" si="0"/>
        <v>1.728421033419875E-2</v>
      </c>
      <c r="C43">
        <f t="shared" si="1"/>
        <v>0.9827157896658012</v>
      </c>
    </row>
    <row r="44" spans="1:18">
      <c r="A44" s="476">
        <f>A43+0.1</f>
        <v>64.400000000000006</v>
      </c>
      <c r="B44" s="11">
        <f t="shared" si="0"/>
        <v>1.3875842979261017E-2</v>
      </c>
      <c r="C44" s="11">
        <f t="shared" si="1"/>
        <v>0.98612415702073897</v>
      </c>
    </row>
  </sheetData>
  <mergeCells count="2">
    <mergeCell ref="A3:B3"/>
    <mergeCell ref="A7:B7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sheetPr codeName="Sheet131"/>
  <dimension ref="A1:K38"/>
  <sheetViews>
    <sheetView topLeftCell="A15" workbookViewId="0">
      <selection activeCell="M30" sqref="M30"/>
    </sheetView>
  </sheetViews>
  <sheetFormatPr defaultRowHeight="14.4"/>
  <cols>
    <col min="1" max="1" width="19" customWidth="1"/>
    <col min="3" max="3" width="3.44140625" customWidth="1"/>
    <col min="4" max="4" width="38.109375" customWidth="1"/>
    <col min="10" max="10" width="3.33203125" customWidth="1"/>
    <col min="11" max="11" width="30.5546875" customWidth="1"/>
  </cols>
  <sheetData>
    <row r="1" spans="1:9">
      <c r="A1" s="1" t="s">
        <v>1194</v>
      </c>
      <c r="I1" t="s">
        <v>3078</v>
      </c>
    </row>
    <row r="3" spans="1:9">
      <c r="A3" t="s">
        <v>1189</v>
      </c>
      <c r="B3" s="1156">
        <v>60</v>
      </c>
    </row>
    <row r="4" spans="1:9">
      <c r="A4" t="s">
        <v>1190</v>
      </c>
      <c r="B4" s="627">
        <v>12</v>
      </c>
    </row>
    <row r="5" spans="1:9">
      <c r="A5" t="s">
        <v>116</v>
      </c>
      <c r="B5" s="627">
        <v>0.05</v>
      </c>
    </row>
    <row r="6" spans="1:9">
      <c r="A6" t="s">
        <v>1188</v>
      </c>
      <c r="B6" s="627">
        <v>110</v>
      </c>
    </row>
    <row r="7" spans="1:9">
      <c r="A7" t="s">
        <v>1195</v>
      </c>
      <c r="B7" s="627">
        <f>B4/SQRT(B6)</f>
        <v>1.1441551070947107</v>
      </c>
      <c r="D7" s="23" t="s">
        <v>1196</v>
      </c>
    </row>
    <row r="8" spans="1:9">
      <c r="A8" t="s">
        <v>1193</v>
      </c>
      <c r="B8" s="627">
        <f>NORMINV(1-B5,B3,B7)</f>
        <v>61.881967677699784</v>
      </c>
      <c r="D8" s="23" t="s">
        <v>3858</v>
      </c>
    </row>
    <row r="9" spans="1:9">
      <c r="A9" t="s">
        <v>379</v>
      </c>
      <c r="B9" s="627">
        <v>0.2</v>
      </c>
    </row>
    <row r="10" spans="1:9">
      <c r="A10" t="s">
        <v>1191</v>
      </c>
      <c r="B10" s="627">
        <f>B3+B9*B4</f>
        <v>62.4</v>
      </c>
      <c r="D10" s="23" t="s">
        <v>1197</v>
      </c>
    </row>
    <row r="11" spans="1:9">
      <c r="A11" t="s">
        <v>1192</v>
      </c>
      <c r="B11" s="627">
        <f>NORMDIST(B8,B10,B7,TRUE)</f>
        <v>0.32535931951029284</v>
      </c>
      <c r="D11" s="23" t="s">
        <v>3859</v>
      </c>
    </row>
    <row r="12" spans="1:9">
      <c r="A12" t="s">
        <v>114</v>
      </c>
      <c r="B12" s="544">
        <f>1-B11</f>
        <v>0.67464068048970716</v>
      </c>
      <c r="D12" s="23" t="s">
        <v>1198</v>
      </c>
    </row>
    <row r="14" spans="1:9">
      <c r="A14" s="1" t="s">
        <v>3862</v>
      </c>
    </row>
    <row r="16" spans="1:9">
      <c r="A16" t="s">
        <v>1946</v>
      </c>
      <c r="B16" s="1156">
        <v>0.2</v>
      </c>
    </row>
    <row r="17" spans="1:11">
      <c r="A17" t="s">
        <v>337</v>
      </c>
      <c r="B17" s="627">
        <v>0.05</v>
      </c>
    </row>
    <row r="18" spans="1:11">
      <c r="A18" t="s">
        <v>1180</v>
      </c>
      <c r="B18" s="627">
        <v>110</v>
      </c>
    </row>
    <row r="19" spans="1:11">
      <c r="A19" t="s">
        <v>491</v>
      </c>
      <c r="B19" s="627">
        <f>NORMSINV(1-B17)</f>
        <v>1.6448536269514715</v>
      </c>
      <c r="D19" s="23" t="s">
        <v>3860</v>
      </c>
    </row>
    <row r="20" spans="1:11">
      <c r="A20" t="s">
        <v>1181</v>
      </c>
      <c r="B20" s="544">
        <f>NORMSDIST(B16*SQRT(B18)-B19)</f>
        <v>0.67464068048970749</v>
      </c>
      <c r="D20" s="23" t="s">
        <v>3861</v>
      </c>
      <c r="I20" s="756" t="e">
        <f ca="1">[1]!NORM1_POWER(B16,B18,1,B17)</f>
        <v>#NAME?</v>
      </c>
      <c r="K20" t="e">
        <f ca="1">[1]!FTEXT(I20)</f>
        <v>#NAME?</v>
      </c>
    </row>
    <row r="22" spans="1:11">
      <c r="A22" s="1" t="s">
        <v>3864</v>
      </c>
    </row>
    <row r="24" spans="1:11">
      <c r="A24" t="s">
        <v>1181</v>
      </c>
      <c r="B24" s="1156">
        <v>0.8</v>
      </c>
    </row>
    <row r="25" spans="1:11">
      <c r="A25" t="s">
        <v>337</v>
      </c>
      <c r="B25" s="627">
        <v>0.05</v>
      </c>
    </row>
    <row r="26" spans="1:11">
      <c r="A26" t="s">
        <v>1180</v>
      </c>
      <c r="B26" s="627">
        <f>B18</f>
        <v>110</v>
      </c>
    </row>
    <row r="27" spans="1:11">
      <c r="A27" t="s">
        <v>1944</v>
      </c>
      <c r="B27" s="627">
        <f>NORMSINV(1-B25)</f>
        <v>1.6448536269514715</v>
      </c>
      <c r="D27" s="23" t="s">
        <v>3865</v>
      </c>
    </row>
    <row r="28" spans="1:11">
      <c r="A28" t="s">
        <v>1945</v>
      </c>
      <c r="B28" s="627">
        <f>NORMSINV(1-B24)</f>
        <v>-0.84162123357291474</v>
      </c>
      <c r="D28" s="23" t="s">
        <v>3866</v>
      </c>
    </row>
    <row r="29" spans="1:11">
      <c r="A29" t="s">
        <v>1946</v>
      </c>
      <c r="B29" s="544">
        <f>(B27-B28)/SQRT(B26)</f>
        <v>0.23707607586096544</v>
      </c>
      <c r="D29" s="23" t="e">
        <f ca="1">[1]!FTEXT(B29)</f>
        <v>#NAME?</v>
      </c>
    </row>
    <row r="31" spans="1:11">
      <c r="A31" s="1" t="s">
        <v>3863</v>
      </c>
    </row>
    <row r="33" spans="1:11">
      <c r="A33" t="s">
        <v>1181</v>
      </c>
      <c r="B33" s="1156">
        <v>0.8</v>
      </c>
    </row>
    <row r="34" spans="1:11">
      <c r="A34" t="s">
        <v>337</v>
      </c>
      <c r="B34" s="627">
        <v>0.05</v>
      </c>
    </row>
    <row r="35" spans="1:11">
      <c r="A35" t="s">
        <v>1946</v>
      </c>
      <c r="B35" s="627">
        <v>0.2</v>
      </c>
    </row>
    <row r="36" spans="1:11">
      <c r="A36" t="s">
        <v>1944</v>
      </c>
      <c r="B36" s="627">
        <f>NORMSINV(1-B34)</f>
        <v>1.6448536269514715</v>
      </c>
      <c r="D36" s="23" t="s">
        <v>3865</v>
      </c>
    </row>
    <row r="37" spans="1:11">
      <c r="A37" t="s">
        <v>1945</v>
      </c>
      <c r="B37" s="627">
        <f>NORMSINV(1-B33)</f>
        <v>-0.84162123357291474</v>
      </c>
      <c r="D37" s="23" t="s">
        <v>3866</v>
      </c>
    </row>
    <row r="38" spans="1:11">
      <c r="A38" t="s">
        <v>1180</v>
      </c>
      <c r="B38" s="544">
        <f>((B36-B37)/B35)^2</f>
        <v>154.56393080049412</v>
      </c>
      <c r="D38" s="23" t="e">
        <f ca="1">[1]!FTEXT(B38)</f>
        <v>#NAME?</v>
      </c>
      <c r="I38" s="756" t="e">
        <f ca="1">[1]!NORM1_SIZE(B35,B33,1,B34)</f>
        <v>#NAME?</v>
      </c>
      <c r="K38" t="e">
        <f ca="1">[1]!FTEXT(I38)</f>
        <v>#NAME?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sheetPr codeName="Sheet349"/>
  <dimension ref="A1:K26"/>
  <sheetViews>
    <sheetView workbookViewId="0">
      <selection activeCell="A10" sqref="A10"/>
    </sheetView>
  </sheetViews>
  <sheetFormatPr defaultRowHeight="14.4"/>
  <cols>
    <col min="1" max="1" width="19" customWidth="1"/>
    <col min="3" max="3" width="3.44140625" customWidth="1"/>
    <col min="4" max="4" width="23.44140625" customWidth="1"/>
    <col min="6" max="6" width="16.109375" customWidth="1"/>
    <col min="10" max="10" width="3.33203125" customWidth="1"/>
    <col min="11" max="11" width="27" customWidth="1"/>
  </cols>
  <sheetData>
    <row r="1" spans="1:11">
      <c r="A1" s="1" t="s">
        <v>3862</v>
      </c>
      <c r="I1" t="s">
        <v>3078</v>
      </c>
    </row>
    <row r="3" spans="1:11">
      <c r="A3" t="s">
        <v>3867</v>
      </c>
      <c r="B3" s="1156">
        <v>0.2</v>
      </c>
    </row>
    <row r="4" spans="1:11">
      <c r="A4" t="s">
        <v>3869</v>
      </c>
      <c r="B4" s="627">
        <v>0.05</v>
      </c>
    </row>
    <row r="5" spans="1:11">
      <c r="A5" t="s">
        <v>3868</v>
      </c>
      <c r="B5" s="627">
        <v>110</v>
      </c>
    </row>
    <row r="6" spans="1:11">
      <c r="A6" t="s">
        <v>3877</v>
      </c>
      <c r="B6" s="627">
        <f>B3*SQRT(B5)</f>
        <v>2.0976176963403033</v>
      </c>
      <c r="D6" t="s">
        <v>3870</v>
      </c>
    </row>
    <row r="7" spans="1:11">
      <c r="A7" t="s">
        <v>491</v>
      </c>
      <c r="B7" s="627">
        <f>NORMSINV(1-B4/2)</f>
        <v>1.9599639845400536</v>
      </c>
      <c r="D7" s="23" t="s">
        <v>3872</v>
      </c>
    </row>
    <row r="8" spans="1:11">
      <c r="A8" t="s">
        <v>1181</v>
      </c>
      <c r="B8" s="544">
        <f>NORMSDIST(B6-B7)+NORMSDIST(-B6-B7)</f>
        <v>0.55476773990607753</v>
      </c>
      <c r="D8" s="23" t="s">
        <v>3871</v>
      </c>
      <c r="I8" s="756" t="e">
        <f ca="1">[1]!NORM1_POWER(B3,B5,2,B4)</f>
        <v>#NAME?</v>
      </c>
      <c r="K8" t="e">
        <f ca="1">[1]!FTEXT(I8)</f>
        <v>#NAME?</v>
      </c>
    </row>
    <row r="10" spans="1:11">
      <c r="A10" s="1" t="s">
        <v>3864</v>
      </c>
    </row>
    <row r="12" spans="1:11">
      <c r="A12" t="s">
        <v>1181</v>
      </c>
      <c r="B12" s="1156">
        <v>0.8</v>
      </c>
    </row>
    <row r="13" spans="1:11">
      <c r="A13" t="s">
        <v>337</v>
      </c>
      <c r="B13" s="627">
        <v>0.05</v>
      </c>
    </row>
    <row r="14" spans="1:11">
      <c r="A14" t="s">
        <v>1180</v>
      </c>
      <c r="B14" s="627">
        <f>B5</f>
        <v>110</v>
      </c>
    </row>
    <row r="15" spans="1:11">
      <c r="A15" t="s">
        <v>1944</v>
      </c>
      <c r="B15" s="627">
        <f>NORMSINV(1-B13/2)</f>
        <v>1.9599639845400536</v>
      </c>
      <c r="D15" s="23" t="s">
        <v>3873</v>
      </c>
    </row>
    <row r="16" spans="1:11">
      <c r="A16" t="s">
        <v>1945</v>
      </c>
      <c r="B16" s="627">
        <f>NORMSINV(1-B12)</f>
        <v>-0.84162123357291474</v>
      </c>
      <c r="D16" s="23" t="s">
        <v>3874</v>
      </c>
    </row>
    <row r="17" spans="1:11">
      <c r="A17" t="s">
        <v>1946</v>
      </c>
      <c r="B17" s="544">
        <f>(B15-B16)/SQRT(B14)</f>
        <v>0.26712066960541681</v>
      </c>
      <c r="D17" s="23" t="e">
        <f ca="1">[1]!FTEXT(B17)</f>
        <v>#NAME?</v>
      </c>
    </row>
    <row r="19" spans="1:11">
      <c r="A19" s="1" t="s">
        <v>3863</v>
      </c>
    </row>
    <row r="21" spans="1:11">
      <c r="A21" t="s">
        <v>1181</v>
      </c>
      <c r="B21" s="1156">
        <v>0.8</v>
      </c>
    </row>
    <row r="22" spans="1:11">
      <c r="A22" t="s">
        <v>337</v>
      </c>
      <c r="B22" s="627">
        <v>0.05</v>
      </c>
    </row>
    <row r="23" spans="1:11">
      <c r="A23" t="s">
        <v>1946</v>
      </c>
      <c r="B23" s="627">
        <v>0.2</v>
      </c>
    </row>
    <row r="24" spans="1:11">
      <c r="A24" t="s">
        <v>1944</v>
      </c>
      <c r="B24" s="627">
        <f>NORMSINV(1-B22/2)</f>
        <v>1.9599639845400536</v>
      </c>
      <c r="D24" s="23" t="s">
        <v>3875</v>
      </c>
    </row>
    <row r="25" spans="1:11">
      <c r="A25" t="s">
        <v>1945</v>
      </c>
      <c r="B25" s="627">
        <f>NORMSINV(1-B21)</f>
        <v>-0.84162123357291474</v>
      </c>
      <c r="D25" s="23" t="s">
        <v>3876</v>
      </c>
    </row>
    <row r="26" spans="1:11">
      <c r="A26" t="s">
        <v>1180</v>
      </c>
      <c r="B26" s="544">
        <f>((B24-B25)/B23)^2</f>
        <v>196.22199335872716</v>
      </c>
      <c r="D26" s="23" t="e">
        <f ca="1">[1]!FTEXT(B26)</f>
        <v>#NAME?</v>
      </c>
      <c r="I26" s="756" t="e">
        <f ca="1">[1]!NORM1_SIZE(B23,B21,2,B22)</f>
        <v>#NAME?</v>
      </c>
      <c r="K26" t="e">
        <f ca="1">[1]!FTEXT(I26)</f>
        <v>#NAME?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sheetPr codeName="Sheet350"/>
  <dimension ref="A1:L19"/>
  <sheetViews>
    <sheetView workbookViewId="0">
      <selection activeCell="J19" sqref="J19"/>
    </sheetView>
  </sheetViews>
  <sheetFormatPr defaultRowHeight="14.4"/>
  <cols>
    <col min="1" max="6" width="7.44140625" customWidth="1"/>
    <col min="7" max="7" width="6.44140625" customWidth="1"/>
    <col min="8" max="8" width="15.88671875" customWidth="1"/>
    <col min="11" max="11" width="3" customWidth="1"/>
    <col min="12" max="12" width="51.5546875" customWidth="1"/>
  </cols>
  <sheetData>
    <row r="1" spans="1:12">
      <c r="A1" s="1" t="s">
        <v>3882</v>
      </c>
      <c r="H1" t="s">
        <v>3885</v>
      </c>
    </row>
    <row r="2" spans="1:12">
      <c r="A2" s="1"/>
    </row>
    <row r="3" spans="1:12">
      <c r="A3" s="1554" t="s">
        <v>239</v>
      </c>
      <c r="B3" s="1554"/>
      <c r="C3" s="1554"/>
      <c r="D3" s="1554" t="s">
        <v>1754</v>
      </c>
      <c r="E3" s="1554"/>
      <c r="F3" s="1554"/>
      <c r="I3" t="s">
        <v>239</v>
      </c>
      <c r="J3" t="s">
        <v>1754</v>
      </c>
    </row>
    <row r="4" spans="1:12">
      <c r="A4" s="702">
        <v>82.67</v>
      </c>
      <c r="B4" s="703">
        <v>89.03</v>
      </c>
      <c r="C4" s="703">
        <v>109.13</v>
      </c>
      <c r="D4" s="702">
        <v>106.18</v>
      </c>
      <c r="E4" s="703">
        <v>95.47</v>
      </c>
      <c r="F4" s="704">
        <v>117.51</v>
      </c>
      <c r="H4" t="s">
        <v>1180</v>
      </c>
      <c r="I4" s="1236">
        <f>COUNT(A4:C13)</f>
        <v>30</v>
      </c>
      <c r="J4" s="1237">
        <f>COUNT(D4:F13)</f>
        <v>30</v>
      </c>
      <c r="K4" s="8"/>
    </row>
    <row r="5" spans="1:12">
      <c r="A5" s="705">
        <v>90.11</v>
      </c>
      <c r="B5" s="101">
        <v>94.51</v>
      </c>
      <c r="C5" s="101">
        <v>81.59</v>
      </c>
      <c r="D5" s="705">
        <v>100.86</v>
      </c>
      <c r="E5" s="101">
        <v>108.66</v>
      </c>
      <c r="F5" s="706">
        <v>115.64</v>
      </c>
      <c r="H5" t="s">
        <v>1187</v>
      </c>
      <c r="I5" s="705">
        <f>AVERAGE(A4:C13)</f>
        <v>95.737333333333339</v>
      </c>
      <c r="J5" s="706">
        <f>AVERAGE(D4:F13)</f>
        <v>106.691</v>
      </c>
      <c r="K5" s="101"/>
    </row>
    <row r="6" spans="1:12">
      <c r="A6" s="705">
        <v>89.2</v>
      </c>
      <c r="B6" s="101">
        <v>93.32</v>
      </c>
      <c r="C6" s="101">
        <v>94.99</v>
      </c>
      <c r="D6" s="705">
        <v>129.85</v>
      </c>
      <c r="E6" s="101">
        <v>83.32</v>
      </c>
      <c r="F6" s="706">
        <v>97.22</v>
      </c>
      <c r="H6" t="s">
        <v>1727</v>
      </c>
      <c r="I6" s="1425">
        <v>16</v>
      </c>
      <c r="J6" s="1426">
        <v>16</v>
      </c>
    </row>
    <row r="7" spans="1:12">
      <c r="A7" s="705">
        <v>119.15</v>
      </c>
      <c r="B7" s="101">
        <v>89.26</v>
      </c>
      <c r="C7" s="101">
        <v>101.34</v>
      </c>
      <c r="D7" s="705">
        <v>100.3</v>
      </c>
      <c r="E7" s="101">
        <v>117.64</v>
      </c>
      <c r="F7" s="706">
        <v>131.04</v>
      </c>
      <c r="L7" s="8"/>
    </row>
    <row r="8" spans="1:12">
      <c r="A8" s="705">
        <v>83.01</v>
      </c>
      <c r="B8" s="101">
        <v>110.36</v>
      </c>
      <c r="C8" s="101">
        <v>104.82</v>
      </c>
      <c r="D8" s="705">
        <v>87.56</v>
      </c>
      <c r="E8" s="101">
        <v>96.9</v>
      </c>
      <c r="F8" s="706">
        <v>101.58</v>
      </c>
      <c r="H8" t="s">
        <v>337</v>
      </c>
      <c r="I8" s="1235">
        <v>0.05</v>
      </c>
      <c r="L8" s="101"/>
    </row>
    <row r="9" spans="1:12">
      <c r="A9" s="705">
        <v>93.61</v>
      </c>
      <c r="B9" s="101">
        <v>92.52</v>
      </c>
      <c r="C9" s="101">
        <v>106.92</v>
      </c>
      <c r="D9" s="705">
        <v>96.87</v>
      </c>
      <c r="E9" s="101">
        <v>66.459999999999994</v>
      </c>
      <c r="F9" s="706">
        <v>103.8</v>
      </c>
      <c r="H9" t="s">
        <v>1756</v>
      </c>
      <c r="I9" s="627">
        <f>I6^2/I4+J6^2/J4</f>
        <v>17.066666666666666</v>
      </c>
      <c r="L9" s="23" t="e">
        <f ca="1">[1]!FTEXT(I9)</f>
        <v>#NAME?</v>
      </c>
    </row>
    <row r="10" spans="1:12">
      <c r="A10" s="705">
        <v>88.42</v>
      </c>
      <c r="B10" s="101">
        <v>112.87</v>
      </c>
      <c r="C10" s="101">
        <v>80.5</v>
      </c>
      <c r="D10" s="705">
        <v>112.57</v>
      </c>
      <c r="E10" s="101">
        <v>87.8</v>
      </c>
      <c r="F10" s="706">
        <v>111.99</v>
      </c>
      <c r="H10" t="s">
        <v>1757</v>
      </c>
      <c r="I10" s="627">
        <f>SQRT(I9)</f>
        <v>4.1311822359545776</v>
      </c>
      <c r="L10" s="23" t="e">
        <f ca="1">[1]!FTEXT(I10)</f>
        <v>#NAME?</v>
      </c>
    </row>
    <row r="11" spans="1:12">
      <c r="A11" s="705">
        <v>97.02</v>
      </c>
      <c r="B11" s="101">
        <v>64.05</v>
      </c>
      <c r="C11" s="101">
        <v>106.31</v>
      </c>
      <c r="D11" s="705">
        <v>148.36000000000001</v>
      </c>
      <c r="E11" s="101">
        <v>115.52</v>
      </c>
      <c r="F11" s="706">
        <v>119.34</v>
      </c>
      <c r="H11" t="s">
        <v>3878</v>
      </c>
      <c r="I11" s="544">
        <f>(J5-I5)/I10</f>
        <v>2.6514605362442061</v>
      </c>
      <c r="L11" s="23" t="e">
        <f ca="1">[1]!FTEXT(I11)</f>
        <v>#NAME?</v>
      </c>
    </row>
    <row r="12" spans="1:12">
      <c r="A12" s="705">
        <v>126.11</v>
      </c>
      <c r="B12" s="101">
        <v>80.06</v>
      </c>
      <c r="C12" s="101">
        <v>85.46</v>
      </c>
      <c r="D12" s="705">
        <v>131.62</v>
      </c>
      <c r="E12" s="101">
        <v>102.34</v>
      </c>
      <c r="F12" s="706">
        <v>95.1</v>
      </c>
    </row>
    <row r="13" spans="1:12">
      <c r="A13" s="707">
        <v>127.96</v>
      </c>
      <c r="B13" s="708">
        <v>74.13</v>
      </c>
      <c r="C13" s="708">
        <v>103.69</v>
      </c>
      <c r="D13" s="707">
        <v>114.6</v>
      </c>
      <c r="E13" s="708">
        <v>97.01</v>
      </c>
      <c r="F13" s="709">
        <v>107.62</v>
      </c>
      <c r="H13" t="s">
        <v>1178</v>
      </c>
      <c r="I13" s="1417" t="s">
        <v>3879</v>
      </c>
      <c r="J13" s="1417" t="s">
        <v>3880</v>
      </c>
      <c r="K13" s="1417"/>
    </row>
    <row r="14" spans="1:12">
      <c r="H14" t="s">
        <v>491</v>
      </c>
      <c r="I14" s="1236">
        <f>NORMSINV(1-I8)</f>
        <v>1.6448536269514715</v>
      </c>
      <c r="J14" s="1235">
        <f>NORMSINV(1-I8/2)</f>
        <v>1.9599639845400536</v>
      </c>
      <c r="K14" s="8"/>
      <c r="L14" s="23" t="s">
        <v>3883</v>
      </c>
    </row>
    <row r="15" spans="1:12">
      <c r="H15" t="s">
        <v>3881</v>
      </c>
      <c r="I15" s="533">
        <f>NORMSDIST(I11-I14)</f>
        <v>0.84293814357296581</v>
      </c>
      <c r="J15" s="544">
        <f>NORMSDIST(I11-J14)+NORMSDIST(-I11-J14)</f>
        <v>0.75537522610363572</v>
      </c>
      <c r="K15" s="8"/>
      <c r="L15" s="23" t="s">
        <v>3884</v>
      </c>
    </row>
    <row r="17" spans="8:12">
      <c r="H17" t="s">
        <v>3078</v>
      </c>
    </row>
    <row r="18" spans="8:12">
      <c r="I18" t="s">
        <v>3879</v>
      </c>
      <c r="J18" t="e">
        <f ca="1">[1]!NORM2_POWER(J5-I5,I6,J6,I4,,1)</f>
        <v>#NAME?</v>
      </c>
      <c r="L18" t="e">
        <f ca="1">[1]!FTEXT(J18)</f>
        <v>#NAME?</v>
      </c>
    </row>
    <row r="19" spans="8:12">
      <c r="I19" t="s">
        <v>3880</v>
      </c>
      <c r="J19" t="e">
        <f ca="1">[1]!NORM2_POWER(J5-I5,I6,J6,J4)</f>
        <v>#NAME?</v>
      </c>
      <c r="L19" t="e">
        <f ca="1">[1]!FTEXT(J19)</f>
        <v>#NAME?</v>
      </c>
    </row>
  </sheetData>
  <mergeCells count="2">
    <mergeCell ref="A3:C3"/>
    <mergeCell ref="D3:F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sheetPr codeName="Sheet351"/>
  <dimension ref="A1:I49"/>
  <sheetViews>
    <sheetView workbookViewId="0"/>
  </sheetViews>
  <sheetFormatPr defaultRowHeight="14.4"/>
  <cols>
    <col min="1" max="1" width="15.88671875" customWidth="1"/>
    <col min="4" max="4" width="3" customWidth="1"/>
    <col min="5" max="5" width="30.5546875" customWidth="1"/>
    <col min="8" max="8" width="3.33203125" customWidth="1"/>
  </cols>
  <sheetData>
    <row r="1" spans="1:7">
      <c r="A1" s="1" t="s">
        <v>3889</v>
      </c>
      <c r="G1" t="s">
        <v>3801</v>
      </c>
    </row>
    <row r="3" spans="1:7">
      <c r="B3" t="s">
        <v>97</v>
      </c>
      <c r="C3" t="s">
        <v>98</v>
      </c>
    </row>
    <row r="4" spans="1:7">
      <c r="A4" t="s">
        <v>1180</v>
      </c>
      <c r="B4" s="553">
        <v>50</v>
      </c>
      <c r="C4" s="667">
        <v>60</v>
      </c>
      <c r="D4" s="8"/>
    </row>
    <row r="5" spans="1:7">
      <c r="A5" t="s">
        <v>3886</v>
      </c>
      <c r="B5" s="707">
        <v>5</v>
      </c>
      <c r="C5" s="709">
        <v>8</v>
      </c>
      <c r="D5" s="101"/>
    </row>
    <row r="7" spans="1:7">
      <c r="A7" t="s">
        <v>1757</v>
      </c>
      <c r="B7" s="1235">
        <f>SQRT(B5^2/B4+C5^2/C4)</f>
        <v>1.2516655570345725</v>
      </c>
      <c r="E7" s="8" t="e">
        <f ca="1">[1]!FTEXT(B7)</f>
        <v>#NAME?</v>
      </c>
    </row>
    <row r="8" spans="1:7">
      <c r="A8" t="s">
        <v>337</v>
      </c>
      <c r="B8" s="627">
        <v>0.05</v>
      </c>
      <c r="E8" s="8"/>
    </row>
    <row r="9" spans="1:7">
      <c r="A9" t="s">
        <v>3881</v>
      </c>
      <c r="B9" s="627">
        <v>0.8</v>
      </c>
      <c r="E9" s="8"/>
    </row>
    <row r="10" spans="1:7">
      <c r="A10" t="s">
        <v>1945</v>
      </c>
      <c r="B10" s="544">
        <f>NORMSINV(1-B9)</f>
        <v>-0.84162123357291474</v>
      </c>
      <c r="E10" s="8" t="e">
        <f ca="1">[1]!FTEXT(B10)</f>
        <v>#NAME?</v>
      </c>
    </row>
    <row r="11" spans="1:7">
      <c r="E11" s="8" t="e">
        <f ca="1">[1]!FTEXT(B11)</f>
        <v>#NAME?</v>
      </c>
    </row>
    <row r="12" spans="1:7">
      <c r="A12" t="s">
        <v>1178</v>
      </c>
      <c r="B12" s="1417" t="s">
        <v>3879</v>
      </c>
      <c r="C12" s="1417" t="s">
        <v>3880</v>
      </c>
      <c r="D12" s="1417"/>
      <c r="E12" s="8"/>
    </row>
    <row r="13" spans="1:7">
      <c r="A13" t="s">
        <v>1944</v>
      </c>
      <c r="B13" s="1236">
        <f>NORMSINV(1-B8)</f>
        <v>1.6448536269514715</v>
      </c>
      <c r="C13" s="1235">
        <f>NORMSINV(1-B8/2)</f>
        <v>1.9599639845400536</v>
      </c>
      <c r="D13" s="8"/>
      <c r="E13" s="8" t="e">
        <f ca="1">[1]!FTEXT(B13)</f>
        <v>#NAME?</v>
      </c>
    </row>
    <row r="14" spans="1:7">
      <c r="A14" t="s">
        <v>3878</v>
      </c>
      <c r="B14" s="656">
        <f>B13-B10</f>
        <v>2.4864748605243863</v>
      </c>
      <c r="C14" s="627">
        <f>C13-B10</f>
        <v>2.8015852181129683</v>
      </c>
      <c r="D14" s="8"/>
      <c r="E14" s="8" t="e">
        <f ca="1">[1]!FTEXT(B14)</f>
        <v>#NAME?</v>
      </c>
    </row>
    <row r="15" spans="1:7">
      <c r="A15" t="s">
        <v>3887</v>
      </c>
      <c r="B15" s="533">
        <f>B14*B7</f>
        <v>3.1122349413507169</v>
      </c>
      <c r="C15" s="544">
        <f>C14*B7</f>
        <v>3.506647722609193</v>
      </c>
      <c r="D15" s="8"/>
      <c r="E15" s="8" t="e">
        <f ca="1">[1]!FTEXT(B15)</f>
        <v>#NAME?</v>
      </c>
    </row>
    <row r="16" spans="1:7">
      <c r="E16" s="23"/>
    </row>
    <row r="18" spans="1:9">
      <c r="A18" s="1" t="s">
        <v>3888</v>
      </c>
    </row>
    <row r="20" spans="1:9">
      <c r="B20" t="s">
        <v>97</v>
      </c>
      <c r="C20" t="s">
        <v>98</v>
      </c>
    </row>
    <row r="21" spans="1:9">
      <c r="A21" t="s">
        <v>3886</v>
      </c>
      <c r="B21" s="1420">
        <v>3.2</v>
      </c>
      <c r="C21" s="1421">
        <v>3.2</v>
      </c>
    </row>
    <row r="23" spans="1:9">
      <c r="A23" t="s">
        <v>337</v>
      </c>
      <c r="B23" s="1235">
        <v>0.05</v>
      </c>
    </row>
    <row r="24" spans="1:9">
      <c r="A24" t="s">
        <v>3881</v>
      </c>
      <c r="B24" s="627">
        <v>0.8</v>
      </c>
    </row>
    <row r="25" spans="1:9">
      <c r="A25" t="s">
        <v>1945</v>
      </c>
      <c r="B25" s="627">
        <f>NORMSINV(1-B24)</f>
        <v>-0.84162123357291474</v>
      </c>
      <c r="E25" t="e">
        <f ca="1">[1]!FTEXT(B25)</f>
        <v>#NAME?</v>
      </c>
    </row>
    <row r="26" spans="1:9">
      <c r="A26" t="s">
        <v>3887</v>
      </c>
      <c r="B26" s="627">
        <v>1.5</v>
      </c>
    </row>
    <row r="27" spans="1:9">
      <c r="A27" t="s">
        <v>3624</v>
      </c>
      <c r="B27" s="1422">
        <v>1</v>
      </c>
    </row>
    <row r="28" spans="1:9">
      <c r="E28" t="e">
        <f ca="1">[1]!FTEXT(B28)</f>
        <v>#NAME?</v>
      </c>
    </row>
    <row r="29" spans="1:9">
      <c r="A29" t="s">
        <v>1178</v>
      </c>
      <c r="B29" s="1417" t="s">
        <v>3879</v>
      </c>
      <c r="C29" s="1417" t="s">
        <v>3880</v>
      </c>
    </row>
    <row r="30" spans="1:9">
      <c r="A30" t="s">
        <v>1944</v>
      </c>
      <c r="B30" s="1236">
        <f>NORMSINV(1-B23)</f>
        <v>1.6448536269514715</v>
      </c>
      <c r="C30" s="1235">
        <f>NORMSINV(1-B23/2)</f>
        <v>1.9599639845400536</v>
      </c>
      <c r="E30" t="e">
        <f ca="1">[1]!FTEXT(B30)</f>
        <v>#NAME?</v>
      </c>
    </row>
    <row r="31" spans="1:9">
      <c r="A31" t="s">
        <v>3878</v>
      </c>
      <c r="B31" s="656">
        <f>B30-B25</f>
        <v>2.4864748605243863</v>
      </c>
      <c r="C31" s="627">
        <f>C30-B25</f>
        <v>2.8015852181129683</v>
      </c>
      <c r="E31" t="e">
        <f ca="1">[1]!FTEXT(B31)</f>
        <v>#NAME?</v>
      </c>
    </row>
    <row r="32" spans="1:9">
      <c r="A32" t="s">
        <v>291</v>
      </c>
      <c r="B32" s="656">
        <f>(B31/B26)^2*(B21^2+C21^2/B27)</f>
        <v>56.275009827451044</v>
      </c>
      <c r="C32" s="627">
        <f>(C31/B26)^2*(B21^2+C21^2/B27)</f>
        <v>71.442247537541945</v>
      </c>
      <c r="E32" t="e">
        <f ca="1">[1]!FTEXT(B32)</f>
        <v>#NAME?</v>
      </c>
      <c r="G32" s="1235" t="e">
        <f ca="1">[1]!NORM2_SIZE(B26,B21,C21,B24,1)</f>
        <v>#NAME?</v>
      </c>
      <c r="I32" t="e">
        <f ca="1">[1]!FTEXT(G32)</f>
        <v>#NAME?</v>
      </c>
    </row>
    <row r="33" spans="1:9">
      <c r="A33" t="s">
        <v>292</v>
      </c>
      <c r="B33" s="533">
        <f>B27*B32</f>
        <v>56.275009827451044</v>
      </c>
      <c r="C33" s="544">
        <f>B27*C32</f>
        <v>71.442247537541945</v>
      </c>
      <c r="E33" t="e">
        <f ca="1">[1]!FTEXT(B33)</f>
        <v>#NAME?</v>
      </c>
      <c r="G33" s="544" t="e">
        <f ca="1">[1]!NORM2_SIZE(B26,B21,C21)</f>
        <v>#NAME?</v>
      </c>
      <c r="I33" t="e">
        <f ca="1">[1]!FTEXT(G33)</f>
        <v>#NAME?</v>
      </c>
    </row>
    <row r="35" spans="1:9">
      <c r="A35" t="s">
        <v>3890</v>
      </c>
    </row>
    <row r="37" spans="1:9">
      <c r="B37" t="s">
        <v>97</v>
      </c>
      <c r="C37" t="s">
        <v>98</v>
      </c>
    </row>
    <row r="38" spans="1:9">
      <c r="A38" t="s">
        <v>3886</v>
      </c>
      <c r="B38" s="1423">
        <v>3.2</v>
      </c>
      <c r="C38" s="1424">
        <v>3.2</v>
      </c>
    </row>
    <row r="39" spans="1:9">
      <c r="A39" t="s">
        <v>292</v>
      </c>
      <c r="B39" s="1344">
        <v>57</v>
      </c>
      <c r="C39" s="1346">
        <v>72</v>
      </c>
    </row>
    <row r="41" spans="1:9">
      <c r="A41" t="s">
        <v>337</v>
      </c>
      <c r="B41" s="1235">
        <v>0.05</v>
      </c>
    </row>
    <row r="42" spans="1:9">
      <c r="A42" t="s">
        <v>3881</v>
      </c>
      <c r="B42" s="627">
        <v>0.8</v>
      </c>
    </row>
    <row r="43" spans="1:9">
      <c r="A43" t="s">
        <v>1945</v>
      </c>
      <c r="B43" s="627">
        <f>NORMSINV(1-B42)</f>
        <v>-0.84162123357291474</v>
      </c>
      <c r="E43" t="e">
        <f ca="1">[1]!FTEXT(B43)</f>
        <v>#NAME?</v>
      </c>
    </row>
    <row r="44" spans="1:9">
      <c r="A44" t="s">
        <v>3887</v>
      </c>
      <c r="B44" s="544">
        <v>1.5</v>
      </c>
    </row>
    <row r="45" spans="1:9">
      <c r="E45" t="e">
        <f ca="1">[1]!FTEXT(B45)</f>
        <v>#NAME?</v>
      </c>
    </row>
    <row r="46" spans="1:9">
      <c r="A46" t="s">
        <v>1178</v>
      </c>
      <c r="B46" s="1417" t="s">
        <v>3879</v>
      </c>
      <c r="C46" s="1417" t="s">
        <v>3880</v>
      </c>
    </row>
    <row r="47" spans="1:9">
      <c r="A47" t="s">
        <v>1944</v>
      </c>
      <c r="B47" s="1236">
        <f>NORMSINV(1-B41)</f>
        <v>1.6448536269514715</v>
      </c>
      <c r="C47" s="1235">
        <f>NORMSINV(1-B41/2)</f>
        <v>1.9599639845400536</v>
      </c>
      <c r="E47" t="e">
        <f ca="1">[1]!FTEXT(B47)</f>
        <v>#NAME?</v>
      </c>
    </row>
    <row r="48" spans="1:9">
      <c r="A48" t="s">
        <v>3878</v>
      </c>
      <c r="B48" s="656">
        <f>B47-B43</f>
        <v>2.4864748605243863</v>
      </c>
      <c r="C48" s="627">
        <f>C47-B43</f>
        <v>2.8015852181129683</v>
      </c>
      <c r="E48" t="e">
        <f ca="1">[1]!FTEXT(B48)</f>
        <v>#NAME?</v>
      </c>
      <c r="G48" s="1235" t="e">
        <f ca="1">[1]!NORM2_SIZE(B44,B38,C38,B42,1,B41,-B39)</f>
        <v>#NAME?</v>
      </c>
      <c r="I48" t="e">
        <f ca="1">[1]!FTEXT(G48)</f>
        <v>#NAME?</v>
      </c>
    </row>
    <row r="49" spans="1:9">
      <c r="A49" t="s">
        <v>291</v>
      </c>
      <c r="B49" s="533">
        <f>B38^2/((B44/B48)^2-C38^2/B39)</f>
        <v>55.568230511195736</v>
      </c>
      <c r="C49" s="544">
        <f>B38^2/((B44/C48)^2-C38^2/C39)</f>
        <v>70.89306997711212</v>
      </c>
      <c r="E49" t="e">
        <f ca="1">[1]!FTEXT(B49)</f>
        <v>#NAME?</v>
      </c>
      <c r="G49" s="544" t="e">
        <f ca="1">[1]!NORM2_SIZE(B44,B38,C38,B42,2,B41,-C39)</f>
        <v>#NAME?</v>
      </c>
      <c r="I49" t="e">
        <f ca="1">[1]!FTEXT(G49)</f>
        <v>#NAME?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sheetPr codeName="Sheet248"/>
  <dimension ref="A1:O21"/>
  <sheetViews>
    <sheetView workbookViewId="0">
      <selection activeCell="D3" sqref="D3:D16"/>
    </sheetView>
  </sheetViews>
  <sheetFormatPr defaultRowHeight="14.4"/>
  <cols>
    <col min="1" max="1" width="5.44140625" customWidth="1"/>
    <col min="11" max="11" width="11.109375" customWidth="1"/>
  </cols>
  <sheetData>
    <row r="1" spans="1:15">
      <c r="A1" s="1" t="s">
        <v>2691</v>
      </c>
      <c r="F1" t="s">
        <v>2693</v>
      </c>
      <c r="K1" t="s">
        <v>2691</v>
      </c>
    </row>
    <row r="3" spans="1:15">
      <c r="B3" s="1029" t="s">
        <v>97</v>
      </c>
      <c r="C3" s="1029" t="s">
        <v>98</v>
      </c>
      <c r="D3" t="s">
        <v>2692</v>
      </c>
      <c r="G3" s="348" t="str">
        <f>B3</f>
        <v>Sample 1</v>
      </c>
      <c r="H3" s="348" t="str">
        <f>C3</f>
        <v>Sample 2</v>
      </c>
      <c r="I3" s="348" t="str">
        <f>D3</f>
        <v>Sample 3</v>
      </c>
      <c r="K3" s="1035"/>
      <c r="L3" s="1035" t="str">
        <f>B3</f>
        <v>Sample 1</v>
      </c>
      <c r="M3" s="1035" t="str">
        <f>C3</f>
        <v>Sample 2</v>
      </c>
      <c r="N3" s="1035" t="str">
        <f>D3</f>
        <v>Sample 3</v>
      </c>
    </row>
    <row r="4" spans="1:15">
      <c r="A4">
        <v>1</v>
      </c>
      <c r="B4" s="949">
        <v>19</v>
      </c>
      <c r="C4" s="115">
        <v>12</v>
      </c>
      <c r="D4" s="1009">
        <v>145</v>
      </c>
      <c r="F4" t="s">
        <v>160</v>
      </c>
      <c r="G4" s="1032">
        <f>MIN(B4:B16)</f>
        <v>8</v>
      </c>
      <c r="H4" s="1033">
        <f>MIN(C4:C16)</f>
        <v>3</v>
      </c>
      <c r="I4" s="1034">
        <f>MIN(D4:D16)</f>
        <v>3</v>
      </c>
      <c r="K4" s="1029" t="s">
        <v>63</v>
      </c>
      <c r="L4">
        <f>AVERAGE(B4:B16)</f>
        <v>36.846153846153847</v>
      </c>
      <c r="M4">
        <f>AVERAGE(C4:C16)</f>
        <v>40.416666666666664</v>
      </c>
      <c r="N4">
        <f>AVERAGE(D4:D16)</f>
        <v>148.90909090909091</v>
      </c>
    </row>
    <row r="5" spans="1:15">
      <c r="A5">
        <f>A4+1</f>
        <v>2</v>
      </c>
      <c r="B5" s="664">
        <v>41</v>
      </c>
      <c r="C5" s="1031">
        <v>27</v>
      </c>
      <c r="D5" s="618">
        <v>125</v>
      </c>
      <c r="F5" t="s">
        <v>161</v>
      </c>
      <c r="G5" s="625">
        <f>QUARTILE(B4:B16,1)-G4</f>
        <v>11</v>
      </c>
      <c r="H5" s="8">
        <f>QUARTILE(C4:C16,1)-H4</f>
        <v>18.75</v>
      </c>
      <c r="I5" s="132">
        <f>QUARTILE(D4:D16,1)-I4</f>
        <v>129.5</v>
      </c>
      <c r="K5" s="1029" t="s">
        <v>67</v>
      </c>
      <c r="L5">
        <f>STDEV(B4:B16)</f>
        <v>23.989046645799807</v>
      </c>
      <c r="M5">
        <f>STDEV(C4:C16)</f>
        <v>33.087922359383739</v>
      </c>
      <c r="N5">
        <f>STDEV(D4:D16)</f>
        <v>57.810820000160085</v>
      </c>
    </row>
    <row r="6" spans="1:15">
      <c r="A6">
        <f t="shared" ref="A6:A16" si="0">A5+1</f>
        <v>3</v>
      </c>
      <c r="B6" s="664">
        <v>29</v>
      </c>
      <c r="C6" s="1031">
        <v>18</v>
      </c>
      <c r="D6" s="618">
        <v>190</v>
      </c>
      <c r="F6" t="s">
        <v>162</v>
      </c>
      <c r="G6" s="625">
        <f>MEDIAN(B4:B16)-QUARTILE(B4:B16,1)</f>
        <v>16</v>
      </c>
      <c r="H6" s="8">
        <f>MEDIAN(C4:C16)-QUARTILE(C4:C16,1)</f>
        <v>5.25</v>
      </c>
      <c r="I6" s="132">
        <f>MEDIAN(D4:D16)-QUARTILE(D4:D16,1)</f>
        <v>17.5</v>
      </c>
      <c r="K6" s="115" t="s">
        <v>2694</v>
      </c>
      <c r="L6" s="5">
        <f>COUNTIF(L9:L21,"&gt;=2.5")+COUNTIF(L9:L21,"&lt;=-2.5")</f>
        <v>0</v>
      </c>
      <c r="M6" s="5">
        <f>COUNTIF(M9:M21,"&gt;=2.5")+COUNTIF(M9:M21,"&lt;=-2.5")</f>
        <v>1</v>
      </c>
      <c r="N6" s="5">
        <f>COUNTIF(N9:N21,"&gt;=2.5")+COUNTIF(N9:N21,"&lt;=-2.5")</f>
        <v>1</v>
      </c>
    </row>
    <row r="7" spans="1:15">
      <c r="A7">
        <f t="shared" si="0"/>
        <v>4</v>
      </c>
      <c r="B7" s="664">
        <v>95</v>
      </c>
      <c r="C7" s="1031">
        <v>23</v>
      </c>
      <c r="D7" s="618">
        <v>135</v>
      </c>
      <c r="F7" t="s">
        <v>163</v>
      </c>
      <c r="G7" s="625">
        <f>QUARTILE(B4:B16,3)-MEDIAN(B4:B16)</f>
        <v>13</v>
      </c>
      <c r="H7" s="8">
        <f>QUARTILE(C4:C16,3)-MEDIAN(C4:C16)</f>
        <v>26</v>
      </c>
      <c r="I7" s="132">
        <f>QUARTILE(D4:D16,3)-MEDIAN(D4:D16)</f>
        <v>27.5</v>
      </c>
      <c r="K7" s="1029" t="s">
        <v>2695</v>
      </c>
      <c r="L7">
        <f>COUNTIF(L9:L21,"")</f>
        <v>0</v>
      </c>
      <c r="M7">
        <f>COUNTIF(M9:M21,"")</f>
        <v>0</v>
      </c>
      <c r="N7">
        <f>COUNTIF(N9:N21,"")</f>
        <v>2</v>
      </c>
    </row>
    <row r="8" spans="1:15">
      <c r="A8">
        <f t="shared" si="0"/>
        <v>5</v>
      </c>
      <c r="B8" s="664">
        <v>8</v>
      </c>
      <c r="C8" s="1031">
        <v>72</v>
      </c>
      <c r="D8" s="618">
        <v>220</v>
      </c>
      <c r="F8" t="s">
        <v>164</v>
      </c>
      <c r="G8" s="497">
        <f>MAX(B4:B16)-QUARTILE(B4:B16,3)</f>
        <v>47</v>
      </c>
      <c r="H8" s="615">
        <f>MAX(C4:C16)-QUARTILE(C4:C16,3)</f>
        <v>72</v>
      </c>
      <c r="I8" s="498">
        <f>MAX(D4:D16)-QUARTILE(D4:D16,3)</f>
        <v>42.5</v>
      </c>
      <c r="K8" s="1030" t="s">
        <v>2696</v>
      </c>
      <c r="L8" s="534">
        <f>COUNTIF(L9:L21," ******* ")</f>
        <v>0</v>
      </c>
      <c r="M8" s="534">
        <f>COUNTIF(M9:M21," ******* ")</f>
        <v>1</v>
      </c>
      <c r="N8" s="534">
        <f>COUNTIF(N9:N21," ******* ")</f>
        <v>0</v>
      </c>
    </row>
    <row r="9" spans="1:15">
      <c r="A9">
        <f t="shared" si="0"/>
        <v>6</v>
      </c>
      <c r="B9" s="664">
        <v>29</v>
      </c>
      <c r="C9" s="1031">
        <v>27</v>
      </c>
      <c r="D9" s="618"/>
      <c r="K9" s="1029">
        <v>1</v>
      </c>
      <c r="L9">
        <f>IF(B4="","",IF(ISNUMBER(B4),STANDARDIZE(B4,L$4,L$5)," ******* "))</f>
        <v>-0.74392926528735115</v>
      </c>
      <c r="M9">
        <f t="shared" ref="M9:N21" si="1">IF(C4="","",IF(ISNUMBER(C4),STANDARDIZE(C4,M$4,M$5)," ******* "))</f>
        <v>-0.85882293720408509</v>
      </c>
      <c r="N9">
        <f t="shared" si="1"/>
        <v>-6.7618672578594829E-2</v>
      </c>
      <c r="O9" t="str">
        <f>IF(COUNTIF(L9:N9,"&gt;=2.5")+COUNTIF(L9:N9,"&lt;=-2.5")&gt;0,"*","")</f>
        <v/>
      </c>
    </row>
    <row r="10" spans="1:15">
      <c r="A10">
        <f t="shared" si="0"/>
        <v>7</v>
      </c>
      <c r="B10" s="664">
        <v>11</v>
      </c>
      <c r="C10" s="1031">
        <v>27</v>
      </c>
      <c r="D10" s="618">
        <v>130</v>
      </c>
      <c r="K10" s="1029">
        <f>K9+1</f>
        <v>2</v>
      </c>
      <c r="L10">
        <f t="shared" ref="L10:L21" si="2">IF(B5="","",IF(ISNUMBER(B5),STANDARDIZE(B5,L$4,L$5)," ******* "))</f>
        <v>0.1731559496789524</v>
      </c>
      <c r="M10">
        <f t="shared" si="1"/>
        <v>-0.40548531639254454</v>
      </c>
      <c r="N10">
        <f t="shared" si="1"/>
        <v>-0.41357467181791746</v>
      </c>
      <c r="O10" t="str">
        <f t="shared" ref="O10:O21" si="3">IF(COUNTIF(L10:N10,"&gt;=2.5")+COUNTIF(L10:N10,"&lt;=-2.5")&gt;0,"*","")</f>
        <v/>
      </c>
    </row>
    <row r="11" spans="1:15">
      <c r="A11">
        <f t="shared" si="0"/>
        <v>8</v>
      </c>
      <c r="B11" s="664">
        <v>59</v>
      </c>
      <c r="C11" s="1031">
        <v>53</v>
      </c>
      <c r="D11" s="618">
        <v>210</v>
      </c>
      <c r="K11" s="1029">
        <f t="shared" ref="K11:K21" si="4">K10+1</f>
        <v>3</v>
      </c>
      <c r="L11">
        <f t="shared" si="2"/>
        <v>-0.32707234939357682</v>
      </c>
      <c r="M11">
        <f t="shared" si="1"/>
        <v>-0.67748788887946887</v>
      </c>
      <c r="N11">
        <f t="shared" si="1"/>
        <v>0.71078232570988109</v>
      </c>
      <c r="O11" t="str">
        <f t="shared" si="3"/>
        <v/>
      </c>
    </row>
    <row r="12" spans="1:15">
      <c r="A12">
        <f t="shared" si="0"/>
        <v>9</v>
      </c>
      <c r="B12" s="664">
        <v>41</v>
      </c>
      <c r="C12" s="1031">
        <v>3</v>
      </c>
      <c r="D12" s="618">
        <v>3</v>
      </c>
      <c r="K12" s="1029">
        <f t="shared" si="4"/>
        <v>4</v>
      </c>
      <c r="L12">
        <f t="shared" si="2"/>
        <v>2.4241832955053342</v>
      </c>
      <c r="M12">
        <f t="shared" si="1"/>
        <v>-0.5263753486089553</v>
      </c>
      <c r="N12">
        <f t="shared" si="1"/>
        <v>-0.24059667219825615</v>
      </c>
      <c r="O12" t="str">
        <f t="shared" si="3"/>
        <v/>
      </c>
    </row>
    <row r="13" spans="1:15">
      <c r="A13">
        <f t="shared" si="0"/>
        <v>10</v>
      </c>
      <c r="B13" s="664">
        <v>48</v>
      </c>
      <c r="C13" s="1031">
        <v>45</v>
      </c>
      <c r="D13" s="618">
        <v>165</v>
      </c>
      <c r="K13" s="1029">
        <f t="shared" si="4"/>
        <v>5</v>
      </c>
      <c r="L13">
        <f t="shared" si="2"/>
        <v>-1.202471872770503</v>
      </c>
      <c r="M13">
        <f t="shared" si="1"/>
        <v>0.95452754604207712</v>
      </c>
      <c r="N13">
        <f t="shared" si="1"/>
        <v>1.2297163245688651</v>
      </c>
      <c r="O13" t="str">
        <f t="shared" si="3"/>
        <v/>
      </c>
    </row>
    <row r="14" spans="1:15">
      <c r="A14">
        <f t="shared" si="0"/>
        <v>11</v>
      </c>
      <c r="B14" s="664">
        <v>53</v>
      </c>
      <c r="C14" s="1031">
        <v>53</v>
      </c>
      <c r="D14" s="618">
        <v>165</v>
      </c>
      <c r="K14" s="1029">
        <f t="shared" si="4"/>
        <v>6</v>
      </c>
      <c r="L14">
        <f t="shared" si="2"/>
        <v>-0.32707234939357682</v>
      </c>
      <c r="M14">
        <f t="shared" si="1"/>
        <v>-0.40548531639254454</v>
      </c>
      <c r="N14" t="str">
        <f t="shared" si="1"/>
        <v/>
      </c>
      <c r="O14" t="str">
        <f t="shared" si="3"/>
        <v/>
      </c>
    </row>
    <row r="15" spans="1:15">
      <c r="A15">
        <f t="shared" si="0"/>
        <v>12</v>
      </c>
      <c r="B15" s="664">
        <v>35</v>
      </c>
      <c r="C15" s="1031">
        <v>125</v>
      </c>
      <c r="D15" s="618">
        <v>150</v>
      </c>
      <c r="K15" s="1029">
        <f t="shared" si="4"/>
        <v>7</v>
      </c>
      <c r="L15">
        <f t="shared" si="2"/>
        <v>-1.0774147980023707</v>
      </c>
      <c r="M15">
        <f t="shared" si="1"/>
        <v>-0.40548531639254454</v>
      </c>
      <c r="N15">
        <f t="shared" si="1"/>
        <v>-0.3270856720080868</v>
      </c>
      <c r="O15" t="str">
        <f t="shared" si="3"/>
        <v/>
      </c>
    </row>
    <row r="16" spans="1:15">
      <c r="A16">
        <f t="shared" si="0"/>
        <v>13</v>
      </c>
      <c r="B16" s="560">
        <v>11</v>
      </c>
      <c r="C16" s="1030" t="s">
        <v>28</v>
      </c>
      <c r="D16" s="536"/>
      <c r="K16" s="1029">
        <f t="shared" si="4"/>
        <v>8</v>
      </c>
      <c r="L16">
        <f t="shared" si="2"/>
        <v>0.92349839828774627</v>
      </c>
      <c r="M16">
        <f t="shared" si="1"/>
        <v>0.38029989301412576</v>
      </c>
      <c r="N16">
        <f t="shared" si="1"/>
        <v>1.0567383249492037</v>
      </c>
      <c r="O16" t="str">
        <f t="shared" si="3"/>
        <v/>
      </c>
    </row>
    <row r="17" spans="11:15">
      <c r="K17" s="1029">
        <f t="shared" si="4"/>
        <v>9</v>
      </c>
      <c r="L17">
        <f t="shared" si="2"/>
        <v>0.1731559496789524</v>
      </c>
      <c r="M17">
        <f t="shared" si="1"/>
        <v>-1.1308255096910094</v>
      </c>
      <c r="N17">
        <f t="shared" si="1"/>
        <v>-2.5239062671777854</v>
      </c>
      <c r="O17" t="str">
        <f t="shared" si="3"/>
        <v>*</v>
      </c>
    </row>
    <row r="18" spans="11:15">
      <c r="K18" s="1029">
        <f t="shared" si="4"/>
        <v>10</v>
      </c>
      <c r="L18">
        <f t="shared" si="2"/>
        <v>0.46495579080459448</v>
      </c>
      <c r="M18">
        <f t="shared" si="1"/>
        <v>0.13851982858130413</v>
      </c>
      <c r="N18">
        <f t="shared" si="1"/>
        <v>0.2783373266607278</v>
      </c>
      <c r="O18" t="str">
        <f t="shared" si="3"/>
        <v/>
      </c>
    </row>
    <row r="19" spans="11:15">
      <c r="K19" s="1029">
        <f t="shared" si="4"/>
        <v>11</v>
      </c>
      <c r="L19">
        <f t="shared" si="2"/>
        <v>0.67338424875148162</v>
      </c>
      <c r="M19">
        <f t="shared" si="1"/>
        <v>0.38029989301412576</v>
      </c>
      <c r="N19">
        <f t="shared" si="1"/>
        <v>0.2783373266607278</v>
      </c>
      <c r="O19" t="str">
        <f t="shared" si="3"/>
        <v/>
      </c>
    </row>
    <row r="20" spans="11:15">
      <c r="K20" s="1029">
        <f t="shared" si="4"/>
        <v>12</v>
      </c>
      <c r="L20">
        <f t="shared" si="2"/>
        <v>-7.6958199857312212E-2</v>
      </c>
      <c r="M20">
        <f t="shared" si="1"/>
        <v>2.5563204729095208</v>
      </c>
      <c r="N20">
        <f t="shared" si="1"/>
        <v>1.8870327231235825E-2</v>
      </c>
      <c r="O20" t="str">
        <f t="shared" si="3"/>
        <v>*</v>
      </c>
    </row>
    <row r="21" spans="11:15">
      <c r="K21" s="1030">
        <f t="shared" si="4"/>
        <v>13</v>
      </c>
      <c r="L21" s="534">
        <f t="shared" si="2"/>
        <v>-1.0774147980023707</v>
      </c>
      <c r="M21" s="534" t="str">
        <f t="shared" si="1"/>
        <v xml:space="preserve"> ******* </v>
      </c>
      <c r="N21" s="534" t="str">
        <f t="shared" si="1"/>
        <v/>
      </c>
      <c r="O21" t="str">
        <f t="shared" si="3"/>
        <v/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sheetPr codeName="Sheet383"/>
  <dimension ref="A1:Q14"/>
  <sheetViews>
    <sheetView workbookViewId="0">
      <selection activeCell="O12" sqref="O12"/>
    </sheetView>
  </sheetViews>
  <sheetFormatPr defaultRowHeight="14.4"/>
  <cols>
    <col min="2" max="2" width="4.88671875" customWidth="1"/>
    <col min="3" max="4" width="9.109375" customWidth="1"/>
    <col min="8" max="8" width="3.33203125" customWidth="1"/>
    <col min="9" max="9" width="32.6640625" customWidth="1"/>
    <col min="12" max="12" width="5" customWidth="1"/>
  </cols>
  <sheetData>
    <row r="1" spans="1:17">
      <c r="A1" s="1" t="s">
        <v>4217</v>
      </c>
    </row>
    <row r="3" spans="1:17">
      <c r="C3" t="s">
        <v>2705</v>
      </c>
      <c r="F3" t="s">
        <v>3358</v>
      </c>
      <c r="G3" s="1235">
        <f>MIN(A4:A14)</f>
        <v>3</v>
      </c>
      <c r="I3" t="e">
        <f ca="1">[1]!FTEXT(G3)</f>
        <v>#NAME?</v>
      </c>
      <c r="M3" t="s">
        <v>2705</v>
      </c>
      <c r="P3" t="s">
        <v>4231</v>
      </c>
    </row>
    <row r="4" spans="1:17">
      <c r="A4" s="1528">
        <v>145</v>
      </c>
      <c r="F4" t="s">
        <v>63</v>
      </c>
      <c r="G4" s="627">
        <f>AVERAGE(A4:A14)</f>
        <v>148.90909090909091</v>
      </c>
      <c r="I4" t="e">
        <f ca="1">[1]!FTEXT(G4)</f>
        <v>#NAME?</v>
      </c>
      <c r="K4" s="1528">
        <v>145</v>
      </c>
    </row>
    <row r="5" spans="1:17">
      <c r="A5" s="714">
        <v>125</v>
      </c>
      <c r="C5" s="1329"/>
      <c r="D5" s="1329" t="s">
        <v>208</v>
      </c>
      <c r="F5" t="s">
        <v>67</v>
      </c>
      <c r="G5" s="627">
        <f>STDEV(A4:A14)</f>
        <v>57.810820000160085</v>
      </c>
      <c r="I5" t="e">
        <f ca="1">[1]!FTEXT(G5)</f>
        <v>#NAME?</v>
      </c>
      <c r="K5" s="714">
        <v>125</v>
      </c>
      <c r="M5" s="1329"/>
      <c r="N5" s="1329" t="s">
        <v>208</v>
      </c>
      <c r="P5" t="e">
        <f t="array" aca="1" ref="P5:Q8" ca="1">[1]!GRUBB(A4:A14,TRUE)</f>
        <v>#NAME?</v>
      </c>
      <c r="Q5" s="1235" t="e">
        <f ca="1"/>
        <v>#NAME?</v>
      </c>
    </row>
    <row r="6" spans="1:17">
      <c r="A6" s="714">
        <v>190</v>
      </c>
      <c r="C6" t="s">
        <v>1513</v>
      </c>
      <c r="D6" t="e">
        <f ca="1">[1]!Shapiro(A4:A14)</f>
        <v>#NAME?</v>
      </c>
      <c r="F6" t="s">
        <v>1294</v>
      </c>
      <c r="G6" s="544">
        <f>(G4-G3)/G5</f>
        <v>2.5239062671777854</v>
      </c>
      <c r="I6" t="e">
        <f ca="1">[1]!FTEXT(G6)</f>
        <v>#NAME?</v>
      </c>
      <c r="K6" s="714">
        <v>190</v>
      </c>
      <c r="M6" t="s">
        <v>1513</v>
      </c>
      <c r="N6" t="e">
        <f ca="1">[1]!Shapiro(K4:K14)</f>
        <v>#NAME?</v>
      </c>
      <c r="P6" t="e">
        <f ca="1"/>
        <v>#NAME?</v>
      </c>
      <c r="Q6" s="627" t="e">
        <f ca="1"/>
        <v>#NAME?</v>
      </c>
    </row>
    <row r="7" spans="1:17">
      <c r="A7" s="714">
        <v>135</v>
      </c>
      <c r="C7" t="s">
        <v>200</v>
      </c>
      <c r="D7" t="e">
        <f ca="1">[1]!swtest(A4:A14)</f>
        <v>#NAME?</v>
      </c>
      <c r="K7" s="714">
        <v>135</v>
      </c>
      <c r="M7" t="s">
        <v>200</v>
      </c>
      <c r="N7" t="e">
        <f ca="1">[1]!swtest(K4:K14)</f>
        <v>#NAME?</v>
      </c>
      <c r="P7" t="e">
        <f ca="1"/>
        <v>#NAME?</v>
      </c>
      <c r="Q7" s="627" t="e">
        <f ca="1"/>
        <v>#NAME?</v>
      </c>
    </row>
    <row r="8" spans="1:17">
      <c r="A8" s="714">
        <v>220</v>
      </c>
      <c r="C8" t="s">
        <v>337</v>
      </c>
      <c r="D8">
        <v>0.05</v>
      </c>
      <c r="F8" t="s">
        <v>337</v>
      </c>
      <c r="G8" s="1235">
        <v>0.05</v>
      </c>
      <c r="K8" s="714">
        <v>220</v>
      </c>
      <c r="M8" t="s">
        <v>337</v>
      </c>
      <c r="N8">
        <v>0.05</v>
      </c>
      <c r="P8" t="e">
        <f ca="1"/>
        <v>#NAME?</v>
      </c>
      <c r="Q8" s="538" t="e">
        <f ca="1"/>
        <v>#NAME?</v>
      </c>
    </row>
    <row r="9" spans="1:17">
      <c r="A9" s="714">
        <v>130</v>
      </c>
      <c r="C9" s="1078" t="s">
        <v>2706</v>
      </c>
      <c r="D9" s="1247" t="e">
        <f ca="1">IF(D7&lt;D8,"no","yes")</f>
        <v>#NAME?</v>
      </c>
      <c r="F9" t="s">
        <v>65</v>
      </c>
      <c r="G9" s="627">
        <f>COUNT(A4:A14)</f>
        <v>11</v>
      </c>
      <c r="I9" t="e">
        <f ca="1">[1]!FTEXT(G9)</f>
        <v>#NAME?</v>
      </c>
      <c r="K9" s="714">
        <v>130</v>
      </c>
      <c r="M9" s="1078" t="s">
        <v>2706</v>
      </c>
      <c r="N9" s="1247" t="e">
        <f ca="1">IF(N7&lt;N8,"no","yes")</f>
        <v>#NAME?</v>
      </c>
    </row>
    <row r="10" spans="1:17">
      <c r="A10" s="714">
        <v>210</v>
      </c>
      <c r="F10" t="s">
        <v>4218</v>
      </c>
      <c r="G10" s="627">
        <f>G8/G9</f>
        <v>4.5454545454545461E-3</v>
      </c>
      <c r="I10" t="e">
        <f ca="1">[1]!FTEXT(G10)</f>
        <v>#NAME?</v>
      </c>
      <c r="K10" s="714">
        <v>210</v>
      </c>
    </row>
    <row r="11" spans="1:17">
      <c r="A11" s="714">
        <v>3</v>
      </c>
      <c r="F11" t="s">
        <v>186</v>
      </c>
      <c r="G11" s="627">
        <f>G9-2</f>
        <v>9</v>
      </c>
      <c r="I11" t="e">
        <f ca="1">[1]!FTEXT(G11)</f>
        <v>#NAME?</v>
      </c>
      <c r="K11" s="714"/>
    </row>
    <row r="12" spans="1:17">
      <c r="A12" s="714">
        <v>165</v>
      </c>
      <c r="F12" t="s">
        <v>201</v>
      </c>
      <c r="G12" s="627">
        <f>TINV(2*G10,G11)</f>
        <v>3.3095169292973754</v>
      </c>
      <c r="I12" t="e">
        <f ca="1">[1]!FTEXT(G12)</f>
        <v>#NAME?</v>
      </c>
      <c r="K12" s="714">
        <v>165</v>
      </c>
    </row>
    <row r="13" spans="1:17">
      <c r="A13" s="714">
        <v>165</v>
      </c>
      <c r="F13" t="s">
        <v>4219</v>
      </c>
      <c r="G13" s="627">
        <f>(G9-1)*G12/SQRT(G9*(G11+G12^2))</f>
        <v>2.2339077064682864</v>
      </c>
      <c r="I13" t="e">
        <f ca="1">[1]!FTEXT(G13)</f>
        <v>#NAME?</v>
      </c>
      <c r="K13" s="714">
        <v>165</v>
      </c>
    </row>
    <row r="14" spans="1:17">
      <c r="A14" s="713">
        <v>150</v>
      </c>
      <c r="F14" t="s">
        <v>948</v>
      </c>
      <c r="G14" s="538" t="str">
        <f>IF(G6&gt;G13,"yes","no")</f>
        <v>yes</v>
      </c>
      <c r="I14" t="e">
        <f ca="1">[1]!FTEXT(G14)</f>
        <v>#NAME?</v>
      </c>
      <c r="K14" s="713">
        <v>150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sheetPr codeName="Sheet384"/>
  <dimension ref="A1:AX31"/>
  <sheetViews>
    <sheetView zoomScale="110" zoomScaleNormal="110" workbookViewId="0">
      <selection activeCell="BM42" sqref="BM42"/>
    </sheetView>
  </sheetViews>
  <sheetFormatPr defaultRowHeight="14.4"/>
  <cols>
    <col min="3" max="3" width="5" customWidth="1"/>
    <col min="4" max="4" width="10.44140625" customWidth="1"/>
    <col min="6" max="6" width="3.109375" customWidth="1"/>
    <col min="7" max="7" width="34.88671875" customWidth="1"/>
    <col min="11" max="11" width="3.5546875" customWidth="1"/>
    <col min="12" max="12" width="8" customWidth="1"/>
    <col min="13" max="13" width="7.109375" customWidth="1"/>
    <col min="16" max="16" width="6.44140625" customWidth="1"/>
    <col min="17" max="17" width="3.5546875" customWidth="1"/>
    <col min="18" max="18" width="10.6640625" customWidth="1"/>
    <col min="23" max="23" width="3.5546875" customWidth="1"/>
    <col min="24" max="24" width="10.88671875" customWidth="1"/>
    <col min="29" max="29" width="3.5546875" customWidth="1"/>
    <col min="30" max="30" width="11.109375" customWidth="1"/>
    <col min="35" max="35" width="3.5546875" customWidth="1"/>
    <col min="36" max="36" width="11" customWidth="1"/>
  </cols>
  <sheetData>
    <row r="1" spans="1:50">
      <c r="A1" s="1" t="s">
        <v>4220</v>
      </c>
    </row>
    <row r="3" spans="1:50">
      <c r="D3" t="s">
        <v>4221</v>
      </c>
      <c r="L3" t="s">
        <v>4224</v>
      </c>
      <c r="R3" t="s">
        <v>4225</v>
      </c>
      <c r="X3" t="s">
        <v>4226</v>
      </c>
      <c r="AD3" t="s">
        <v>4227</v>
      </c>
      <c r="AJ3" t="s">
        <v>4228</v>
      </c>
      <c r="AQ3" t="s">
        <v>2705</v>
      </c>
      <c r="AW3" t="s">
        <v>2705</v>
      </c>
    </row>
    <row r="4" spans="1:50">
      <c r="AN4" s="1548">
        <v>145</v>
      </c>
      <c r="AO4" s="1237">
        <v>350</v>
      </c>
      <c r="AT4" s="1548">
        <v>145</v>
      </c>
      <c r="AU4" s="1237"/>
    </row>
    <row r="5" spans="1:50">
      <c r="A5" s="1548">
        <f t="shared" ref="A5:A15" si="0">AN4</f>
        <v>145</v>
      </c>
      <c r="B5" s="1531">
        <f t="shared" ref="B5:B15" si="1">AO4</f>
        <v>350</v>
      </c>
      <c r="D5" t="s">
        <v>3358</v>
      </c>
      <c r="E5" s="1235">
        <f>MIN(A5:B15)</f>
        <v>3</v>
      </c>
      <c r="F5" s="8"/>
      <c r="G5" s="8" t="e">
        <f ca="1">[1]!FTEXT(E5)</f>
        <v>#NAME?</v>
      </c>
      <c r="I5" s="1548">
        <f>A5</f>
        <v>145</v>
      </c>
      <c r="J5" s="1531">
        <f>B5</f>
        <v>350</v>
      </c>
      <c r="L5" t="s">
        <v>3358</v>
      </c>
      <c r="M5" s="1235">
        <f>MIN(I5:J15)</f>
        <v>3</v>
      </c>
      <c r="O5" s="1548">
        <f>I5</f>
        <v>145</v>
      </c>
      <c r="P5" s="1531">
        <f>J5</f>
        <v>350</v>
      </c>
      <c r="R5" t="s">
        <v>3358</v>
      </c>
      <c r="S5" s="1235">
        <f>MIN(O5:P15)</f>
        <v>3</v>
      </c>
      <c r="U5" s="1548">
        <f>O5</f>
        <v>145</v>
      </c>
      <c r="V5" s="1531"/>
      <c r="X5" t="s">
        <v>3358</v>
      </c>
      <c r="Y5" s="1235">
        <f>MIN(U5:V15)</f>
        <v>3</v>
      </c>
      <c r="AA5" s="1548">
        <f>U5</f>
        <v>145</v>
      </c>
      <c r="AB5" s="1531"/>
      <c r="AD5" t="s">
        <v>3358</v>
      </c>
      <c r="AE5" s="1235">
        <f>MIN(AA5:AB15)</f>
        <v>40</v>
      </c>
      <c r="AG5" s="1548">
        <f>AA5</f>
        <v>145</v>
      </c>
      <c r="AH5" s="1531"/>
      <c r="AJ5" t="s">
        <v>3358</v>
      </c>
      <c r="AK5" s="1235">
        <f>MIN(AG5:AH15)</f>
        <v>125</v>
      </c>
      <c r="AN5" s="664">
        <v>125</v>
      </c>
      <c r="AO5" s="657">
        <v>170</v>
      </c>
      <c r="AQ5" s="1329"/>
      <c r="AR5" s="1329" t="s">
        <v>208</v>
      </c>
      <c r="AT5" s="664">
        <v>125</v>
      </c>
      <c r="AU5" s="657">
        <v>170</v>
      </c>
      <c r="AW5" s="1329"/>
      <c r="AX5" s="1329" t="s">
        <v>208</v>
      </c>
    </row>
    <row r="6" spans="1:50">
      <c r="A6" s="664">
        <f t="shared" si="0"/>
        <v>125</v>
      </c>
      <c r="B6" s="618">
        <f t="shared" si="1"/>
        <v>170</v>
      </c>
      <c r="D6" t="s">
        <v>3359</v>
      </c>
      <c r="E6" s="627">
        <f>MAX(A5:B15)</f>
        <v>440</v>
      </c>
      <c r="F6" s="8"/>
      <c r="G6" s="8" t="e">
        <f ca="1">[1]!FTEXT(E6)</f>
        <v>#NAME?</v>
      </c>
      <c r="I6" s="664">
        <f t="shared" ref="I6:I15" si="2">A6</f>
        <v>125</v>
      </c>
      <c r="J6" s="618">
        <f>B6</f>
        <v>170</v>
      </c>
      <c r="L6" t="s">
        <v>3359</v>
      </c>
      <c r="M6" s="627">
        <f>MAX(I5:J15)</f>
        <v>410</v>
      </c>
      <c r="O6" s="664">
        <f t="shared" ref="O6:O15" si="3">I6</f>
        <v>125</v>
      </c>
      <c r="P6" s="618">
        <f t="shared" ref="P6:P15" si="4">J6</f>
        <v>170</v>
      </c>
      <c r="R6" t="s">
        <v>3359</v>
      </c>
      <c r="S6" s="627">
        <f>MAX(O5:P15)</f>
        <v>350</v>
      </c>
      <c r="U6" s="664">
        <f t="shared" ref="U6:U15" si="5">O6</f>
        <v>125</v>
      </c>
      <c r="V6" s="618">
        <f t="shared" ref="V6:V15" si="6">P6</f>
        <v>170</v>
      </c>
      <c r="X6" t="s">
        <v>3359</v>
      </c>
      <c r="Y6" s="627">
        <f>MAX(U5:V15)</f>
        <v>220</v>
      </c>
      <c r="AA6" s="664">
        <f t="shared" ref="AA6:AA15" si="7">U6</f>
        <v>125</v>
      </c>
      <c r="AB6" s="618">
        <f t="shared" ref="AB6:AB15" si="8">V6</f>
        <v>170</v>
      </c>
      <c r="AD6" t="s">
        <v>3359</v>
      </c>
      <c r="AE6" s="627">
        <f>MAX(AA5:AB15)</f>
        <v>220</v>
      </c>
      <c r="AG6" s="664">
        <f t="shared" ref="AG6:AG11" si="9">AA6</f>
        <v>125</v>
      </c>
      <c r="AH6" s="618">
        <f t="shared" ref="AH6:AH8" si="10">AB6</f>
        <v>170</v>
      </c>
      <c r="AJ6" t="s">
        <v>3359</v>
      </c>
      <c r="AK6" s="627">
        <f>MAX(AG5:AH15)</f>
        <v>220</v>
      </c>
      <c r="AN6" s="664">
        <v>190</v>
      </c>
      <c r="AO6" s="657">
        <v>180</v>
      </c>
      <c r="AQ6" t="s">
        <v>1513</v>
      </c>
      <c r="AR6" t="e">
        <f ca="1">[1]!Shapiro(AN4:AO14)</f>
        <v>#NAME?</v>
      </c>
      <c r="AT6" s="664">
        <v>190</v>
      </c>
      <c r="AU6" s="657">
        <v>180</v>
      </c>
      <c r="AW6" t="s">
        <v>1513</v>
      </c>
      <c r="AX6" t="e">
        <f ca="1">[1]!Shapiro(AT4:AU14)</f>
        <v>#NAME?</v>
      </c>
    </row>
    <row r="7" spans="1:50">
      <c r="A7" s="664">
        <f t="shared" si="0"/>
        <v>190</v>
      </c>
      <c r="B7" s="618">
        <f t="shared" si="1"/>
        <v>180</v>
      </c>
      <c r="D7" t="s">
        <v>63</v>
      </c>
      <c r="E7" s="627">
        <f>AVERAGE(A5:B15)</f>
        <v>185.81818181818181</v>
      </c>
      <c r="F7" s="8"/>
      <c r="G7" s="8" t="e">
        <f ca="1">[1]!FTEXT(E7)</f>
        <v>#NAME?</v>
      </c>
      <c r="I7" s="664">
        <f t="shared" si="2"/>
        <v>190</v>
      </c>
      <c r="J7" s="618">
        <f>B7</f>
        <v>180</v>
      </c>
      <c r="L7" t="s">
        <v>63</v>
      </c>
      <c r="M7" s="627">
        <f>AVERAGE(I5:J15)</f>
        <v>173.71428571428572</v>
      </c>
      <c r="O7" s="664">
        <f t="shared" si="3"/>
        <v>190</v>
      </c>
      <c r="P7" s="618">
        <f t="shared" si="4"/>
        <v>180</v>
      </c>
      <c r="R7" t="s">
        <v>63</v>
      </c>
      <c r="S7" s="627">
        <f>AVERAGE(O5:P15)</f>
        <v>161.9</v>
      </c>
      <c r="U7" s="664">
        <f t="shared" si="5"/>
        <v>190</v>
      </c>
      <c r="V7" s="618">
        <f t="shared" si="6"/>
        <v>180</v>
      </c>
      <c r="X7" t="s">
        <v>63</v>
      </c>
      <c r="Y7" s="627">
        <f>AVERAGE(U5:V15)</f>
        <v>152</v>
      </c>
      <c r="AA7" s="664">
        <f t="shared" si="7"/>
        <v>190</v>
      </c>
      <c r="AB7" s="618">
        <f t="shared" si="8"/>
        <v>180</v>
      </c>
      <c r="AD7" t="s">
        <v>63</v>
      </c>
      <c r="AE7" s="627">
        <f>AVERAGE(AA5:AB15)</f>
        <v>160.27777777777777</v>
      </c>
      <c r="AG7" s="664">
        <f t="shared" si="9"/>
        <v>190</v>
      </c>
      <c r="AH7" s="618">
        <f t="shared" si="10"/>
        <v>180</v>
      </c>
      <c r="AJ7" t="s">
        <v>63</v>
      </c>
      <c r="AK7" s="627">
        <f>AVERAGE(AG5:AH15)</f>
        <v>167.35294117647058</v>
      </c>
      <c r="AN7" s="664">
        <v>135</v>
      </c>
      <c r="AO7" s="657">
        <v>195</v>
      </c>
      <c r="AQ7" t="s">
        <v>200</v>
      </c>
      <c r="AR7" t="e">
        <f ca="1">[1]!swtest(AN4:AO14)</f>
        <v>#NAME?</v>
      </c>
      <c r="AT7" s="664">
        <v>135</v>
      </c>
      <c r="AU7" s="657">
        <v>195</v>
      </c>
      <c r="AW7" t="s">
        <v>200</v>
      </c>
      <c r="AX7" t="e">
        <f ca="1">[1]!swtest(AT4:AU14)</f>
        <v>#NAME?</v>
      </c>
    </row>
    <row r="8" spans="1:50">
      <c r="A8" s="664">
        <f t="shared" si="0"/>
        <v>135</v>
      </c>
      <c r="B8" s="618">
        <f t="shared" si="1"/>
        <v>195</v>
      </c>
      <c r="D8" t="s">
        <v>67</v>
      </c>
      <c r="E8" s="627">
        <f>STDEV(A5:B15)</f>
        <v>101.77221828959225</v>
      </c>
      <c r="F8" s="8"/>
      <c r="G8" s="8" t="e">
        <f ca="1">[1]!FTEXT(E8)</f>
        <v>#NAME?</v>
      </c>
      <c r="I8" s="664">
        <f t="shared" si="2"/>
        <v>135</v>
      </c>
      <c r="J8" s="618">
        <f>B8</f>
        <v>195</v>
      </c>
      <c r="L8" t="s">
        <v>67</v>
      </c>
      <c r="M8" s="627">
        <f>STDEV(I5:J15)</f>
        <v>86.551801169671123</v>
      </c>
      <c r="O8" s="664">
        <f t="shared" si="3"/>
        <v>135</v>
      </c>
      <c r="P8" s="618">
        <f t="shared" si="4"/>
        <v>195</v>
      </c>
      <c r="R8" t="s">
        <v>67</v>
      </c>
      <c r="S8" s="627">
        <f>STDEV(O5:P15)</f>
        <v>69.282716003647721</v>
      </c>
      <c r="U8" s="664">
        <f t="shared" si="5"/>
        <v>135</v>
      </c>
      <c r="V8" s="618">
        <f t="shared" si="6"/>
        <v>195</v>
      </c>
      <c r="X8" t="s">
        <v>67</v>
      </c>
      <c r="Y8" s="627">
        <f>STDEV(U5:V15)</f>
        <v>54.750951285495184</v>
      </c>
      <c r="AA8" s="664">
        <f t="shared" si="7"/>
        <v>135</v>
      </c>
      <c r="AB8" s="618">
        <f t="shared" si="8"/>
        <v>195</v>
      </c>
      <c r="AD8" t="s">
        <v>67</v>
      </c>
      <c r="AE8" s="627">
        <f>STDEV(AA5:AB15)</f>
        <v>42.373417798753422</v>
      </c>
      <c r="AG8" s="664">
        <f t="shared" si="9"/>
        <v>135</v>
      </c>
      <c r="AH8" s="618">
        <f t="shared" si="10"/>
        <v>195</v>
      </c>
      <c r="AJ8" t="s">
        <v>67</v>
      </c>
      <c r="AK8" s="627">
        <f>STDEV(AG5:AH15)</f>
        <v>30.828033460777633</v>
      </c>
      <c r="AN8" s="664">
        <v>220</v>
      </c>
      <c r="AO8" s="657">
        <v>440</v>
      </c>
      <c r="AQ8" t="s">
        <v>337</v>
      </c>
      <c r="AR8">
        <v>0.05</v>
      </c>
      <c r="AT8" s="664">
        <v>220</v>
      </c>
      <c r="AU8" s="657"/>
      <c r="AW8" t="s">
        <v>337</v>
      </c>
      <c r="AX8">
        <v>0.05</v>
      </c>
    </row>
    <row r="9" spans="1:50">
      <c r="A9" s="664">
        <f t="shared" si="0"/>
        <v>220</v>
      </c>
      <c r="B9" s="618">
        <f t="shared" si="1"/>
        <v>440</v>
      </c>
      <c r="D9" t="s">
        <v>4222</v>
      </c>
      <c r="E9" s="627">
        <f>E7-E5</f>
        <v>182.81818181818181</v>
      </c>
      <c r="F9" s="8"/>
      <c r="G9" s="8" t="e">
        <f ca="1">[1]!FTEXT(E9)</f>
        <v>#NAME?</v>
      </c>
      <c r="I9" s="664">
        <f t="shared" si="2"/>
        <v>220</v>
      </c>
      <c r="J9" s="618"/>
      <c r="L9" t="s">
        <v>4222</v>
      </c>
      <c r="M9" s="627">
        <f>M7-M5</f>
        <v>170.71428571428572</v>
      </c>
      <c r="O9" s="664">
        <f t="shared" si="3"/>
        <v>220</v>
      </c>
      <c r="P9" s="618"/>
      <c r="R9" t="s">
        <v>4222</v>
      </c>
      <c r="S9" s="627">
        <f>S7-S5</f>
        <v>158.9</v>
      </c>
      <c r="U9" s="664">
        <f t="shared" si="5"/>
        <v>220</v>
      </c>
      <c r="V9" s="618"/>
      <c r="X9" t="s">
        <v>4222</v>
      </c>
      <c r="Y9" s="627">
        <f>Y7-Y5</f>
        <v>149</v>
      </c>
      <c r="AA9" s="664">
        <f t="shared" si="7"/>
        <v>220</v>
      </c>
      <c r="AB9" s="618"/>
      <c r="AD9" t="s">
        <v>4222</v>
      </c>
      <c r="AE9" s="627">
        <f>AE7-AE5</f>
        <v>120.27777777777777</v>
      </c>
      <c r="AG9" s="664">
        <f t="shared" si="9"/>
        <v>220</v>
      </c>
      <c r="AH9" s="618"/>
      <c r="AJ9" t="s">
        <v>4222</v>
      </c>
      <c r="AK9" s="627">
        <f>AK7-AK5</f>
        <v>42.35294117647058</v>
      </c>
      <c r="AN9" s="664">
        <v>130</v>
      </c>
      <c r="AO9" s="657">
        <v>215</v>
      </c>
      <c r="AQ9" s="1078" t="s">
        <v>2706</v>
      </c>
      <c r="AR9" s="1247" t="e">
        <f ca="1">IF(AR7&lt;AR8,"no","yes")</f>
        <v>#NAME?</v>
      </c>
      <c r="AT9" s="664">
        <v>130</v>
      </c>
      <c r="AU9" s="657">
        <v>215</v>
      </c>
      <c r="AW9" s="1078" t="s">
        <v>2706</v>
      </c>
      <c r="AX9" s="1247" t="e">
        <f ca="1">IF(AX7&lt;AX8,"no","yes")</f>
        <v>#NAME?</v>
      </c>
    </row>
    <row r="10" spans="1:50">
      <c r="A10" s="664">
        <f t="shared" si="0"/>
        <v>130</v>
      </c>
      <c r="B10" s="618">
        <f t="shared" si="1"/>
        <v>215</v>
      </c>
      <c r="D10" t="s">
        <v>4223</v>
      </c>
      <c r="E10" s="627">
        <f>E6-E7</f>
        <v>254.18181818181819</v>
      </c>
      <c r="F10" s="8"/>
      <c r="G10" s="8" t="e">
        <f ca="1">[1]!FTEXT(E10)</f>
        <v>#NAME?</v>
      </c>
      <c r="I10" s="664">
        <f t="shared" si="2"/>
        <v>130</v>
      </c>
      <c r="J10" s="618">
        <f t="shared" ref="J10:J15" si="11">B10</f>
        <v>215</v>
      </c>
      <c r="L10" t="s">
        <v>4223</v>
      </c>
      <c r="M10" s="627">
        <f>M6-M7</f>
        <v>236.28571428571428</v>
      </c>
      <c r="O10" s="664">
        <f t="shared" si="3"/>
        <v>130</v>
      </c>
      <c r="P10" s="618">
        <f t="shared" si="4"/>
        <v>215</v>
      </c>
      <c r="R10" t="s">
        <v>4223</v>
      </c>
      <c r="S10" s="627">
        <f>S6-S7</f>
        <v>188.1</v>
      </c>
      <c r="U10" s="664">
        <f t="shared" si="5"/>
        <v>130</v>
      </c>
      <c r="V10" s="618">
        <f t="shared" si="6"/>
        <v>215</v>
      </c>
      <c r="X10" t="s">
        <v>4223</v>
      </c>
      <c r="Y10" s="627">
        <f>Y6-Y7</f>
        <v>68</v>
      </c>
      <c r="AA10" s="664">
        <f t="shared" si="7"/>
        <v>130</v>
      </c>
      <c r="AB10" s="618">
        <f t="shared" si="8"/>
        <v>215</v>
      </c>
      <c r="AD10" t="s">
        <v>4223</v>
      </c>
      <c r="AE10" s="627">
        <f>AE6-AE7</f>
        <v>59.722222222222229</v>
      </c>
      <c r="AG10" s="664">
        <f t="shared" si="9"/>
        <v>130</v>
      </c>
      <c r="AH10" s="618">
        <f t="shared" ref="AH10:AH11" si="12">AB10</f>
        <v>215</v>
      </c>
      <c r="AJ10" t="s">
        <v>4223</v>
      </c>
      <c r="AK10" s="627">
        <f>AK6-AK7</f>
        <v>52.64705882352942</v>
      </c>
      <c r="AN10" s="664">
        <v>210</v>
      </c>
      <c r="AO10" s="657">
        <v>135</v>
      </c>
      <c r="AT10" s="664">
        <v>210</v>
      </c>
      <c r="AU10" s="657">
        <v>135</v>
      </c>
    </row>
    <row r="11" spans="1:50">
      <c r="A11" s="664">
        <f t="shared" si="0"/>
        <v>210</v>
      </c>
      <c r="B11" s="618">
        <f t="shared" si="1"/>
        <v>135</v>
      </c>
      <c r="D11" t="s">
        <v>1294</v>
      </c>
      <c r="E11" s="544">
        <f>MAX(E9:E10)/E8</f>
        <v>2.4975560369387382</v>
      </c>
      <c r="F11" s="8"/>
      <c r="G11" s="8" t="e">
        <f ca="1">[1]!FTEXT(E11)</f>
        <v>#NAME?</v>
      </c>
      <c r="I11" s="664">
        <f t="shared" si="2"/>
        <v>210</v>
      </c>
      <c r="J11" s="618">
        <f t="shared" si="11"/>
        <v>135</v>
      </c>
      <c r="L11" t="s">
        <v>1294</v>
      </c>
      <c r="M11" s="544">
        <f>MAX(M9:M10)/M8</f>
        <v>2.7299918787653361</v>
      </c>
      <c r="O11" s="664">
        <f t="shared" si="3"/>
        <v>210</v>
      </c>
      <c r="P11" s="618">
        <f t="shared" si="4"/>
        <v>135</v>
      </c>
      <c r="R11" t="s">
        <v>1294</v>
      </c>
      <c r="S11" s="544">
        <f>MAX(S9:S10)/S8</f>
        <v>2.7149628485998814</v>
      </c>
      <c r="U11" s="664">
        <f t="shared" si="5"/>
        <v>210</v>
      </c>
      <c r="V11" s="618">
        <f t="shared" si="6"/>
        <v>135</v>
      </c>
      <c r="X11" t="s">
        <v>1294</v>
      </c>
      <c r="Y11" s="544">
        <f>MAX(Y9:Y10)/Y8</f>
        <v>2.7214139024370452</v>
      </c>
      <c r="AA11" s="664">
        <f t="shared" si="7"/>
        <v>210</v>
      </c>
      <c r="AB11" s="618">
        <f t="shared" si="8"/>
        <v>135</v>
      </c>
      <c r="AD11" t="s">
        <v>1294</v>
      </c>
      <c r="AE11" s="544">
        <f>MAX(AE9:AE10)/AE8</f>
        <v>2.8385196197535949</v>
      </c>
      <c r="AG11" s="664">
        <f t="shared" si="9"/>
        <v>210</v>
      </c>
      <c r="AH11" s="618">
        <f t="shared" si="12"/>
        <v>135</v>
      </c>
      <c r="AJ11" t="s">
        <v>1294</v>
      </c>
      <c r="AK11" s="544">
        <f>MAX(AK9:AK10)/AK8</f>
        <v>1.7077657220825335</v>
      </c>
      <c r="AN11" s="664">
        <v>3</v>
      </c>
      <c r="AO11" s="657">
        <v>410</v>
      </c>
      <c r="AT11" s="664"/>
      <c r="AU11" s="657"/>
    </row>
    <row r="12" spans="1:50">
      <c r="A12" s="664">
        <f t="shared" si="0"/>
        <v>3</v>
      </c>
      <c r="B12" s="618">
        <f t="shared" si="1"/>
        <v>410</v>
      </c>
      <c r="G12" s="8" t="e">
        <f ca="1">[1]!FTEXT(E12)</f>
        <v>#NAME?</v>
      </c>
      <c r="I12" s="664">
        <f t="shared" si="2"/>
        <v>3</v>
      </c>
      <c r="J12" s="618">
        <f t="shared" si="11"/>
        <v>410</v>
      </c>
      <c r="O12" s="664">
        <f t="shared" si="3"/>
        <v>3</v>
      </c>
      <c r="P12" s="618"/>
      <c r="U12" s="664">
        <f t="shared" si="5"/>
        <v>3</v>
      </c>
      <c r="V12" s="618"/>
      <c r="AA12" s="664"/>
      <c r="AB12" s="618"/>
      <c r="AG12" s="664"/>
      <c r="AH12" s="618"/>
      <c r="AN12" s="664">
        <v>165</v>
      </c>
      <c r="AO12" s="657">
        <v>40</v>
      </c>
      <c r="AT12" s="664">
        <v>165</v>
      </c>
      <c r="AU12" s="657"/>
    </row>
    <row r="13" spans="1:50">
      <c r="A13" s="664">
        <f t="shared" si="0"/>
        <v>165</v>
      </c>
      <c r="B13" s="618">
        <f t="shared" si="1"/>
        <v>40</v>
      </c>
      <c r="D13" t="s">
        <v>337</v>
      </c>
      <c r="E13" s="1235">
        <v>0.05</v>
      </c>
      <c r="F13" s="8"/>
      <c r="G13" s="8"/>
      <c r="I13" s="664">
        <f t="shared" si="2"/>
        <v>165</v>
      </c>
      <c r="J13" s="618">
        <f t="shared" si="11"/>
        <v>40</v>
      </c>
      <c r="L13" t="s">
        <v>337</v>
      </c>
      <c r="M13" s="1235">
        <v>0.05</v>
      </c>
      <c r="O13" s="664">
        <f t="shared" si="3"/>
        <v>165</v>
      </c>
      <c r="P13" s="618">
        <f t="shared" si="4"/>
        <v>40</v>
      </c>
      <c r="R13" t="s">
        <v>337</v>
      </c>
      <c r="S13" s="1235">
        <v>0.05</v>
      </c>
      <c r="U13" s="664">
        <f t="shared" si="5"/>
        <v>165</v>
      </c>
      <c r="V13" s="618">
        <f t="shared" si="6"/>
        <v>40</v>
      </c>
      <c r="X13" t="s">
        <v>337</v>
      </c>
      <c r="Y13" s="1235">
        <v>0.05</v>
      </c>
      <c r="AA13" s="664">
        <f t="shared" si="7"/>
        <v>165</v>
      </c>
      <c r="AB13" s="618">
        <f t="shared" si="8"/>
        <v>40</v>
      </c>
      <c r="AD13" t="s">
        <v>337</v>
      </c>
      <c r="AE13" s="1235">
        <v>0.05</v>
      </c>
      <c r="AG13" s="664">
        <f t="shared" ref="AG13:AG15" si="13">AA13</f>
        <v>165</v>
      </c>
      <c r="AH13" s="618"/>
      <c r="AJ13" t="s">
        <v>337</v>
      </c>
      <c r="AK13" s="1235">
        <v>0.05</v>
      </c>
      <c r="AN13" s="664">
        <v>165</v>
      </c>
      <c r="AO13" s="657">
        <v>140</v>
      </c>
      <c r="AT13" s="664">
        <v>165</v>
      </c>
      <c r="AU13" s="657">
        <v>140</v>
      </c>
    </row>
    <row r="14" spans="1:50">
      <c r="A14" s="664">
        <f t="shared" si="0"/>
        <v>165</v>
      </c>
      <c r="B14" s="618">
        <f t="shared" si="1"/>
        <v>140</v>
      </c>
      <c r="D14" t="s">
        <v>65</v>
      </c>
      <c r="E14" s="627">
        <f>COUNT(A5:B15)</f>
        <v>22</v>
      </c>
      <c r="F14" s="8"/>
      <c r="G14" s="8" t="e">
        <f ca="1">[1]!FTEXT(E14)</f>
        <v>#NAME?</v>
      </c>
      <c r="I14" s="664">
        <f t="shared" si="2"/>
        <v>165</v>
      </c>
      <c r="J14" s="618">
        <f t="shared" si="11"/>
        <v>140</v>
      </c>
      <c r="L14" t="s">
        <v>65</v>
      </c>
      <c r="M14" s="627">
        <f>COUNT(I5:J15)</f>
        <v>21</v>
      </c>
      <c r="O14" s="664">
        <f t="shared" si="3"/>
        <v>165</v>
      </c>
      <c r="P14" s="618">
        <f t="shared" si="4"/>
        <v>140</v>
      </c>
      <c r="R14" t="s">
        <v>65</v>
      </c>
      <c r="S14" s="627">
        <f>COUNT(O5:P15)</f>
        <v>20</v>
      </c>
      <c r="U14" s="664">
        <f t="shared" si="5"/>
        <v>165</v>
      </c>
      <c r="V14" s="618">
        <f t="shared" si="6"/>
        <v>140</v>
      </c>
      <c r="X14" t="s">
        <v>65</v>
      </c>
      <c r="Y14" s="627">
        <f>COUNT(U5:V15)</f>
        <v>19</v>
      </c>
      <c r="AA14" s="664">
        <f t="shared" si="7"/>
        <v>165</v>
      </c>
      <c r="AB14" s="618">
        <f t="shared" si="8"/>
        <v>140</v>
      </c>
      <c r="AD14" t="s">
        <v>65</v>
      </c>
      <c r="AE14" s="627">
        <f>COUNT(AA5:AB15)</f>
        <v>18</v>
      </c>
      <c r="AG14" s="664">
        <f t="shared" si="13"/>
        <v>165</v>
      </c>
      <c r="AH14" s="618">
        <f t="shared" ref="AH14:AH15" si="14">AB14</f>
        <v>140</v>
      </c>
      <c r="AJ14" t="s">
        <v>65</v>
      </c>
      <c r="AK14" s="627">
        <f>COUNT(AG5:AH15)</f>
        <v>17</v>
      </c>
      <c r="AN14" s="560">
        <v>150</v>
      </c>
      <c r="AO14" s="541">
        <v>175</v>
      </c>
      <c r="AT14" s="560">
        <v>150</v>
      </c>
      <c r="AU14" s="541">
        <v>175</v>
      </c>
    </row>
    <row r="15" spans="1:50">
      <c r="A15" s="560">
        <f t="shared" si="0"/>
        <v>150</v>
      </c>
      <c r="B15" s="536">
        <f t="shared" si="1"/>
        <v>175</v>
      </c>
      <c r="D15" t="s">
        <v>4218</v>
      </c>
      <c r="E15" s="627">
        <f>E13/E14</f>
        <v>2.2727272727272731E-3</v>
      </c>
      <c r="F15" s="8"/>
      <c r="G15" s="8" t="e">
        <f ca="1">[1]!FTEXT(E15)</f>
        <v>#NAME?</v>
      </c>
      <c r="I15" s="560">
        <f t="shared" si="2"/>
        <v>150</v>
      </c>
      <c r="J15" s="536">
        <f t="shared" si="11"/>
        <v>175</v>
      </c>
      <c r="L15" t="s">
        <v>4218</v>
      </c>
      <c r="M15" s="627">
        <f>M13/M14</f>
        <v>2.3809523809523812E-3</v>
      </c>
      <c r="O15" s="560">
        <f t="shared" si="3"/>
        <v>150</v>
      </c>
      <c r="P15" s="536">
        <f t="shared" si="4"/>
        <v>175</v>
      </c>
      <c r="R15" t="s">
        <v>4218</v>
      </c>
      <c r="S15" s="627">
        <f>S13/S14</f>
        <v>2.5000000000000001E-3</v>
      </c>
      <c r="U15" s="560">
        <f t="shared" si="5"/>
        <v>150</v>
      </c>
      <c r="V15" s="536">
        <f t="shared" si="6"/>
        <v>175</v>
      </c>
      <c r="X15" t="s">
        <v>4218</v>
      </c>
      <c r="Y15" s="627">
        <f>Y13/Y14</f>
        <v>2.631578947368421E-3</v>
      </c>
      <c r="AA15" s="560">
        <f t="shared" si="7"/>
        <v>150</v>
      </c>
      <c r="AB15" s="536">
        <f t="shared" si="8"/>
        <v>175</v>
      </c>
      <c r="AD15" t="s">
        <v>4218</v>
      </c>
      <c r="AE15" s="627">
        <f>AE13/AE14</f>
        <v>2.7777777777777779E-3</v>
      </c>
      <c r="AG15" s="560">
        <f t="shared" si="13"/>
        <v>150</v>
      </c>
      <c r="AH15" s="536">
        <f t="shared" si="14"/>
        <v>175</v>
      </c>
      <c r="AJ15" t="s">
        <v>4218</v>
      </c>
      <c r="AK15" s="627">
        <f>AK13/AK14</f>
        <v>2.9411764705882353E-3</v>
      </c>
    </row>
    <row r="16" spans="1:50">
      <c r="D16" t="s">
        <v>186</v>
      </c>
      <c r="E16" s="627">
        <f>E14-2</f>
        <v>20</v>
      </c>
      <c r="F16" s="8"/>
      <c r="G16" s="8" t="e">
        <f ca="1">[1]!FTEXT(E16)</f>
        <v>#NAME?</v>
      </c>
      <c r="L16" t="s">
        <v>186</v>
      </c>
      <c r="M16" s="627">
        <f>M14-2</f>
        <v>19</v>
      </c>
      <c r="R16" t="s">
        <v>186</v>
      </c>
      <c r="S16" s="627">
        <f>S14-2</f>
        <v>18</v>
      </c>
      <c r="X16" t="s">
        <v>186</v>
      </c>
      <c r="Y16" s="627">
        <f>Y14-2</f>
        <v>17</v>
      </c>
      <c r="AD16" t="s">
        <v>186</v>
      </c>
      <c r="AE16" s="627">
        <f>AE14-2</f>
        <v>16</v>
      </c>
      <c r="AJ16" t="s">
        <v>186</v>
      </c>
      <c r="AK16" s="627">
        <f>AK14-2</f>
        <v>15</v>
      </c>
    </row>
    <row r="17" spans="4:48">
      <c r="D17" t="s">
        <v>201</v>
      </c>
      <c r="E17" s="627">
        <f>TINV(E15,E16)</f>
        <v>3.4966411965676412</v>
      </c>
      <c r="F17" s="8"/>
      <c r="G17" s="8" t="e">
        <f ca="1">[1]!FTEXT(E17)</f>
        <v>#NAME?</v>
      </c>
      <c r="L17" t="s">
        <v>201</v>
      </c>
      <c r="M17" s="627">
        <f>TINV(M15,M16)</f>
        <v>3.5026559386265497</v>
      </c>
      <c r="R17" t="s">
        <v>201</v>
      </c>
      <c r="S17" s="627">
        <f>TINV(S15,S16)</f>
        <v>3.5101041304634206</v>
      </c>
      <c r="X17" t="s">
        <v>201</v>
      </c>
      <c r="Y17" s="627">
        <f>TINV(Y15,Y16)</f>
        <v>3.5192999602032482</v>
      </c>
      <c r="AD17" t="s">
        <v>201</v>
      </c>
      <c r="AE17" s="627">
        <f>TINV(AE15,AE16)</f>
        <v>3.530647943008447</v>
      </c>
      <c r="AJ17" t="s">
        <v>201</v>
      </c>
      <c r="AK17" s="627">
        <f>TINV(AK15,AK16)</f>
        <v>3.5446767899400018</v>
      </c>
    </row>
    <row r="18" spans="4:48">
      <c r="D18" t="s">
        <v>4219</v>
      </c>
      <c r="E18" s="627">
        <f>(E14-1)*E17/SQRT(E14*(E16+E17^2))</f>
        <v>2.7577345245675677</v>
      </c>
      <c r="F18" s="8"/>
      <c r="G18" s="8" t="e">
        <f ca="1">[1]!FTEXT(E18)</f>
        <v>#NAME?</v>
      </c>
      <c r="L18" t="s">
        <v>4219</v>
      </c>
      <c r="M18" s="627">
        <f>(M14-1)*M17/SQRT(M14*(M16+M17^2))</f>
        <v>2.73378035695653</v>
      </c>
      <c r="R18" t="s">
        <v>4219</v>
      </c>
      <c r="S18" s="627">
        <f>(S14-1)*S17/SQRT(S14*(S16+S17^2))</f>
        <v>2.7082456458057544</v>
      </c>
      <c r="X18" t="s">
        <v>4219</v>
      </c>
      <c r="Y18" s="627">
        <f>(Y14-1)*Y17/SQRT(Y14*(Y16+Y17^2))</f>
        <v>2.680931096775395</v>
      </c>
      <c r="AD18" t="s">
        <v>4219</v>
      </c>
      <c r="AE18" s="627">
        <f>(AE14-1)*AE17/SQRT(AE14*(AE16+AE17^2))</f>
        <v>2.6515991201297915</v>
      </c>
      <c r="AJ18" t="s">
        <v>4219</v>
      </c>
      <c r="AK18" s="627">
        <f>(AK14-1)*AK17/SQRT(AK14*(AK16+AK17^2))</f>
        <v>2.6199636398344377</v>
      </c>
    </row>
    <row r="19" spans="4:48">
      <c r="D19" t="s">
        <v>948</v>
      </c>
      <c r="E19" s="538" t="str">
        <f>IF(E11&gt;E18,"yes","no")</f>
        <v>no</v>
      </c>
      <c r="F19" s="42"/>
      <c r="G19" s="8" t="e">
        <f ca="1">[1]!FTEXT(E19)</f>
        <v>#NAME?</v>
      </c>
      <c r="L19" t="s">
        <v>948</v>
      </c>
      <c r="M19" s="538" t="str">
        <f>IF(M11&gt;M18,"yes","no")</f>
        <v>no</v>
      </c>
      <c r="R19" t="s">
        <v>948</v>
      </c>
      <c r="S19" s="538" t="str">
        <f>IF(S11&gt;S18,"yes","no")</f>
        <v>yes</v>
      </c>
      <c r="X19" t="s">
        <v>948</v>
      </c>
      <c r="Y19" s="538" t="str">
        <f>IF(Y11&gt;Y18,"yes","no")</f>
        <v>yes</v>
      </c>
      <c r="AD19" t="s">
        <v>948</v>
      </c>
      <c r="AE19" s="538" t="str">
        <f>IF(AE11&gt;AE18,"yes","no")</f>
        <v>yes</v>
      </c>
      <c r="AJ19" t="s">
        <v>948</v>
      </c>
      <c r="AK19" s="538" t="str">
        <f>IF(AK11&gt;AK18,"yes","no")</f>
        <v>no</v>
      </c>
    </row>
    <row r="21" spans="4:48">
      <c r="L21" t="s">
        <v>1122</v>
      </c>
      <c r="AN21" t="s">
        <v>4232</v>
      </c>
      <c r="AV21" t="s">
        <v>4233</v>
      </c>
    </row>
    <row r="23" spans="4:48">
      <c r="L23" s="1545" t="s">
        <v>4229</v>
      </c>
      <c r="M23" s="1545" t="s">
        <v>4230</v>
      </c>
      <c r="N23" s="1545" t="s">
        <v>1294</v>
      </c>
      <c r="O23" s="1545" t="s">
        <v>4219</v>
      </c>
      <c r="P23" s="1545" t="s">
        <v>948</v>
      </c>
      <c r="AN23" t="e">
        <f t="array" aca="1" ref="AN23:AT26" ca="1">[1]!ESD(A5:B15,TRUE)</f>
        <v>#NAME?</v>
      </c>
      <c r="AO23" s="1236" t="e">
        <f ca="1"/>
        <v>#NAME?</v>
      </c>
      <c r="AP23" s="1234" t="e">
        <f ca="1"/>
        <v>#NAME?</v>
      </c>
      <c r="AQ23" s="1234" t="e">
        <f ca="1"/>
        <v>#NAME?</v>
      </c>
      <c r="AR23" s="1234" t="e">
        <f ca="1"/>
        <v>#NAME?</v>
      </c>
      <c r="AS23" s="1234" t="e">
        <f ca="1"/>
        <v>#NAME?</v>
      </c>
      <c r="AT23" s="1237" t="e">
        <f ca="1"/>
        <v>#NAME?</v>
      </c>
      <c r="AV23" s="1235" t="e">
        <f t="array" aca="1" ref="AV23:AV31" ca="1">[1]!OUTLIERS(A5:B15)</f>
        <v>#NAME?</v>
      </c>
    </row>
    <row r="24" spans="4:48">
      <c r="L24" s="1548">
        <v>1</v>
      </c>
      <c r="M24" s="1234">
        <f>E6</f>
        <v>440</v>
      </c>
      <c r="N24" s="1234">
        <f>E11</f>
        <v>2.4975560369387382</v>
      </c>
      <c r="O24" s="1234">
        <f>E18</f>
        <v>2.7577345245675677</v>
      </c>
      <c r="P24" s="1531" t="str">
        <f>IF(N24&gt;O24,"yes","no")</f>
        <v>no</v>
      </c>
      <c r="AN24" t="e">
        <f ca="1"/>
        <v>#NAME?</v>
      </c>
      <c r="AO24" s="656" t="e">
        <f ca="1"/>
        <v>#NAME?</v>
      </c>
      <c r="AP24" s="8" t="e">
        <f ca="1"/>
        <v>#NAME?</v>
      </c>
      <c r="AQ24" s="8" t="e">
        <f ca="1"/>
        <v>#NAME?</v>
      </c>
      <c r="AR24" s="8" t="e">
        <f ca="1"/>
        <v>#NAME?</v>
      </c>
      <c r="AS24" s="8" t="e">
        <f ca="1"/>
        <v>#NAME?</v>
      </c>
      <c r="AT24" s="657" t="e">
        <f ca="1"/>
        <v>#NAME?</v>
      </c>
      <c r="AV24" s="627" t="e">
        <f ca="1"/>
        <v>#NAME?</v>
      </c>
    </row>
    <row r="25" spans="4:48">
      <c r="L25" s="664">
        <v>2</v>
      </c>
      <c r="M25" s="8">
        <f>M6</f>
        <v>410</v>
      </c>
      <c r="N25" s="8">
        <f>M11</f>
        <v>2.7299918787653361</v>
      </c>
      <c r="O25" s="8">
        <f>M18</f>
        <v>2.73378035695653</v>
      </c>
      <c r="P25" s="618" t="str">
        <f t="shared" ref="P25:P29" si="15">IF(N25&gt;O25,"yes","no")</f>
        <v>no</v>
      </c>
      <c r="AN25" t="e">
        <f ca="1"/>
        <v>#NAME?</v>
      </c>
      <c r="AO25" s="656" t="e">
        <f ca="1"/>
        <v>#NAME?</v>
      </c>
      <c r="AP25" s="8" t="e">
        <f ca="1"/>
        <v>#NAME?</v>
      </c>
      <c r="AQ25" s="8" t="e">
        <f ca="1"/>
        <v>#NAME?</v>
      </c>
      <c r="AR25" s="8" t="e">
        <f ca="1"/>
        <v>#NAME?</v>
      </c>
      <c r="AS25" s="8" t="e">
        <f ca="1"/>
        <v>#NAME?</v>
      </c>
      <c r="AT25" s="657" t="e">
        <f ca="1"/>
        <v>#NAME?</v>
      </c>
      <c r="AV25" s="627" t="e">
        <f ca="1"/>
        <v>#NAME?</v>
      </c>
    </row>
    <row r="26" spans="4:48">
      <c r="L26" s="664">
        <v>3</v>
      </c>
      <c r="M26" s="8">
        <f>S6</f>
        <v>350</v>
      </c>
      <c r="N26" s="8">
        <f>S11</f>
        <v>2.7149628485998814</v>
      </c>
      <c r="O26" s="8">
        <f>S18</f>
        <v>2.7082456458057544</v>
      </c>
      <c r="P26" s="618" t="str">
        <f t="shared" si="15"/>
        <v>yes</v>
      </c>
      <c r="AN26" t="e">
        <f ca="1"/>
        <v>#NAME?</v>
      </c>
      <c r="AO26" s="1244" t="e">
        <f ca="1"/>
        <v>#NAME?</v>
      </c>
      <c r="AP26" s="1247" t="e">
        <f ca="1"/>
        <v>#NAME?</v>
      </c>
      <c r="AQ26" s="1247" t="e">
        <f ca="1"/>
        <v>#NAME?</v>
      </c>
      <c r="AR26" s="1247" t="e">
        <f ca="1"/>
        <v>#NAME?</v>
      </c>
      <c r="AS26" s="1247" t="e">
        <f ca="1"/>
        <v>#NAME?</v>
      </c>
      <c r="AT26" s="1245" t="e">
        <f ca="1"/>
        <v>#NAME?</v>
      </c>
      <c r="AV26" s="627" t="e">
        <f ca="1"/>
        <v>#NAME?</v>
      </c>
    </row>
    <row r="27" spans="4:48">
      <c r="L27" s="664">
        <v>4</v>
      </c>
      <c r="M27" s="8">
        <f>Y5</f>
        <v>3</v>
      </c>
      <c r="N27" s="8">
        <f>Y11</f>
        <v>2.7214139024370452</v>
      </c>
      <c r="O27" s="8">
        <f>Y18</f>
        <v>2.680931096775395</v>
      </c>
      <c r="P27" s="618" t="str">
        <f t="shared" si="15"/>
        <v>yes</v>
      </c>
      <c r="AV27" s="627" t="e">
        <f ca="1"/>
        <v>#NAME?</v>
      </c>
    </row>
    <row r="28" spans="4:48">
      <c r="L28" s="664">
        <v>5</v>
      </c>
      <c r="M28" s="8">
        <f>AE5</f>
        <v>40</v>
      </c>
      <c r="N28" s="8">
        <f>AE11</f>
        <v>2.8385196197535949</v>
      </c>
      <c r="O28" s="8">
        <f>AE18</f>
        <v>2.6515991201297915</v>
      </c>
      <c r="P28" s="618" t="str">
        <f t="shared" si="15"/>
        <v>yes</v>
      </c>
      <c r="AV28" s="627" t="e">
        <f ca="1"/>
        <v>#NAME?</v>
      </c>
    </row>
    <row r="29" spans="4:48">
      <c r="L29" s="560">
        <v>6</v>
      </c>
      <c r="M29" s="1078">
        <f>AK6</f>
        <v>220</v>
      </c>
      <c r="N29" s="1078">
        <f>AK11</f>
        <v>1.7077657220825335</v>
      </c>
      <c r="O29" s="1078">
        <f>AK18</f>
        <v>2.6199636398344377</v>
      </c>
      <c r="P29" s="536" t="str">
        <f t="shared" si="15"/>
        <v>no</v>
      </c>
      <c r="AV29" s="627" t="e">
        <f ca="1"/>
        <v>#NAME?</v>
      </c>
    </row>
    <row r="30" spans="4:48">
      <c r="AV30" s="627" t="e">
        <f ca="1"/>
        <v>#NAME?</v>
      </c>
    </row>
    <row r="31" spans="4:48">
      <c r="AV31" s="544" t="e">
        <f ca="1"/>
        <v>#NAME?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sheetPr codeName="Sheet22"/>
  <dimension ref="A1:B39"/>
  <sheetViews>
    <sheetView workbookViewId="0">
      <selection activeCell="N22" sqref="N22"/>
    </sheetView>
  </sheetViews>
  <sheetFormatPr defaultRowHeight="14.4"/>
  <sheetData>
    <row r="1" spans="1:2">
      <c r="A1" s="1" t="s">
        <v>324</v>
      </c>
    </row>
    <row r="3" spans="1:2">
      <c r="A3" s="19" t="s">
        <v>28</v>
      </c>
      <c r="B3" s="19" t="s">
        <v>29</v>
      </c>
    </row>
    <row r="4" spans="1:2">
      <c r="A4">
        <v>0</v>
      </c>
      <c r="B4">
        <f>BINOMDIST(A4,20,0.25,FALSE)</f>
        <v>3.1712119389339963E-3</v>
      </c>
    </row>
    <row r="5" spans="1:2">
      <c r="A5">
        <f>A4+1</f>
        <v>1</v>
      </c>
      <c r="B5">
        <f>BINOMDIST(A5,20,0.25,FALSE)</f>
        <v>2.1141412926226615E-2</v>
      </c>
    </row>
    <row r="6" spans="1:2">
      <c r="A6">
        <f t="shared" ref="A6:A24" si="0">A5+1</f>
        <v>2</v>
      </c>
      <c r="B6">
        <f t="shared" ref="B6:B24" si="1">BINOMDIST(A6,20,0.25,FALSE)</f>
        <v>6.6947807599717662E-2</v>
      </c>
    </row>
    <row r="7" spans="1:2">
      <c r="A7">
        <f t="shared" si="0"/>
        <v>3</v>
      </c>
      <c r="B7">
        <f t="shared" si="1"/>
        <v>0.13389561519943524</v>
      </c>
    </row>
    <row r="8" spans="1:2">
      <c r="A8">
        <f t="shared" si="0"/>
        <v>4</v>
      </c>
      <c r="B8">
        <f t="shared" si="1"/>
        <v>0.18968545486586663</v>
      </c>
    </row>
    <row r="9" spans="1:2">
      <c r="A9">
        <f t="shared" si="0"/>
        <v>5</v>
      </c>
      <c r="B9">
        <f t="shared" si="1"/>
        <v>0.20233115185692441</v>
      </c>
    </row>
    <row r="10" spans="1:2">
      <c r="A10">
        <f t="shared" si="0"/>
        <v>6</v>
      </c>
      <c r="B10">
        <f t="shared" si="1"/>
        <v>0.1686092932141037</v>
      </c>
    </row>
    <row r="11" spans="1:2">
      <c r="A11">
        <f t="shared" si="0"/>
        <v>7</v>
      </c>
      <c r="B11">
        <f t="shared" si="1"/>
        <v>0.11240619547606913</v>
      </c>
    </row>
    <row r="12" spans="1:2">
      <c r="A12">
        <f t="shared" si="0"/>
        <v>8</v>
      </c>
      <c r="B12">
        <f t="shared" si="1"/>
        <v>6.0886689216204062E-2</v>
      </c>
    </row>
    <row r="13" spans="1:2">
      <c r="A13">
        <f t="shared" si="0"/>
        <v>9</v>
      </c>
      <c r="B13">
        <f t="shared" si="1"/>
        <v>2.7060750762757369E-2</v>
      </c>
    </row>
    <row r="14" spans="1:2">
      <c r="A14">
        <f t="shared" si="0"/>
        <v>10</v>
      </c>
      <c r="B14">
        <f t="shared" si="1"/>
        <v>9.9222752796777041E-3</v>
      </c>
    </row>
    <row r="15" spans="1:2">
      <c r="A15">
        <f t="shared" si="0"/>
        <v>11</v>
      </c>
      <c r="B15">
        <f t="shared" si="1"/>
        <v>3.0067500847508173E-3</v>
      </c>
    </row>
    <row r="16" spans="1:2">
      <c r="A16">
        <f t="shared" si="0"/>
        <v>12</v>
      </c>
      <c r="B16">
        <f t="shared" si="1"/>
        <v>7.5168752118770586E-4</v>
      </c>
    </row>
    <row r="17" spans="1:2">
      <c r="A17">
        <f t="shared" si="0"/>
        <v>13</v>
      </c>
      <c r="B17">
        <f t="shared" si="1"/>
        <v>1.541923120385034E-4</v>
      </c>
    </row>
    <row r="18" spans="1:2">
      <c r="A18">
        <f t="shared" si="0"/>
        <v>14</v>
      </c>
      <c r="B18">
        <f t="shared" si="1"/>
        <v>2.5698718673083962E-5</v>
      </c>
    </row>
    <row r="19" spans="1:2">
      <c r="A19">
        <f t="shared" si="0"/>
        <v>15</v>
      </c>
      <c r="B19">
        <f t="shared" si="1"/>
        <v>3.42649582307786E-6</v>
      </c>
    </row>
    <row r="20" spans="1:2">
      <c r="A20">
        <f t="shared" si="0"/>
        <v>16</v>
      </c>
      <c r="B20">
        <f t="shared" si="1"/>
        <v>3.5692664823727645E-7</v>
      </c>
    </row>
    <row r="21" spans="1:2">
      <c r="A21">
        <f t="shared" si="0"/>
        <v>17</v>
      </c>
      <c r="B21">
        <f t="shared" si="1"/>
        <v>2.7994246920570738E-8</v>
      </c>
    </row>
    <row r="22" spans="1:2">
      <c r="A22">
        <f t="shared" si="0"/>
        <v>18</v>
      </c>
      <c r="B22">
        <f t="shared" si="1"/>
        <v>1.5552359400317114E-9</v>
      </c>
    </row>
    <row r="23" spans="1:2">
      <c r="A23">
        <f t="shared" si="0"/>
        <v>19</v>
      </c>
      <c r="B23">
        <f t="shared" si="1"/>
        <v>5.4569682106375856E-11</v>
      </c>
    </row>
    <row r="24" spans="1:2">
      <c r="A24">
        <f t="shared" si="0"/>
        <v>20</v>
      </c>
      <c r="B24">
        <f t="shared" si="1"/>
        <v>9.0949470177292824E-13</v>
      </c>
    </row>
    <row r="28" spans="1:2">
      <c r="A28" s="19" t="s">
        <v>28</v>
      </c>
      <c r="B28" s="19" t="s">
        <v>30</v>
      </c>
    </row>
    <row r="29" spans="1:2">
      <c r="A29">
        <v>0</v>
      </c>
      <c r="B29" s="108">
        <f>BINOMDIST(A29,10,1/6,TRUE)</f>
        <v>0.16150558288984571</v>
      </c>
    </row>
    <row r="30" spans="1:2">
      <c r="A30">
        <f>A29+1</f>
        <v>1</v>
      </c>
      <c r="B30" s="108">
        <f t="shared" ref="B30:B39" si="2">BINOMDIST(A30,10,1/6,TRUE)</f>
        <v>0.48451674866953731</v>
      </c>
    </row>
    <row r="31" spans="1:2">
      <c r="A31">
        <f t="shared" ref="A31:A39" si="3">A30+1</f>
        <v>2</v>
      </c>
      <c r="B31" s="108">
        <f t="shared" si="2"/>
        <v>0.77522679787125948</v>
      </c>
    </row>
    <row r="32" spans="1:2">
      <c r="A32">
        <f t="shared" si="3"/>
        <v>3</v>
      </c>
      <c r="B32" s="108">
        <f t="shared" si="2"/>
        <v>0.93027215744551128</v>
      </c>
    </row>
    <row r="33" spans="1:2">
      <c r="A33">
        <f t="shared" si="3"/>
        <v>4</v>
      </c>
      <c r="B33" s="108">
        <f t="shared" si="2"/>
        <v>0.98453803329649947</v>
      </c>
    </row>
    <row r="34" spans="1:2">
      <c r="A34">
        <f t="shared" si="3"/>
        <v>5</v>
      </c>
      <c r="B34" s="108">
        <f t="shared" si="2"/>
        <v>0.99756184350073673</v>
      </c>
    </row>
    <row r="35" spans="1:2">
      <c r="A35">
        <f t="shared" si="3"/>
        <v>6</v>
      </c>
      <c r="B35" s="108">
        <f t="shared" si="2"/>
        <v>0.9997324785347762</v>
      </c>
    </row>
    <row r="36" spans="1:2">
      <c r="A36">
        <f t="shared" si="3"/>
        <v>7</v>
      </c>
      <c r="B36" s="108">
        <f t="shared" si="2"/>
        <v>0.99998055111009498</v>
      </c>
    </row>
    <row r="37" spans="1:2">
      <c r="A37">
        <f t="shared" si="3"/>
        <v>8</v>
      </c>
      <c r="B37" s="108">
        <f t="shared" si="2"/>
        <v>0.9999991565532439</v>
      </c>
    </row>
    <row r="38" spans="1:2">
      <c r="A38">
        <f t="shared" si="3"/>
        <v>9</v>
      </c>
      <c r="B38" s="108">
        <f t="shared" si="2"/>
        <v>0.99999998346182828</v>
      </c>
    </row>
    <row r="39" spans="1:2">
      <c r="A39">
        <f t="shared" si="3"/>
        <v>10</v>
      </c>
      <c r="B39" s="108">
        <f t="shared" si="2"/>
        <v>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sheetPr codeName="Sheet165"/>
  <dimension ref="A1:H14"/>
  <sheetViews>
    <sheetView workbookViewId="0"/>
  </sheetViews>
  <sheetFormatPr defaultRowHeight="14.4"/>
  <sheetData>
    <row r="1" spans="1:8">
      <c r="A1" s="1" t="s">
        <v>2115</v>
      </c>
    </row>
    <row r="2" spans="1:8">
      <c r="A2" s="1"/>
    </row>
    <row r="3" spans="1:8">
      <c r="A3" s="1" t="s">
        <v>3834</v>
      </c>
      <c r="D3" s="1" t="s">
        <v>3603</v>
      </c>
      <c r="G3" s="1" t="s">
        <v>3602</v>
      </c>
    </row>
    <row r="5" spans="1:8">
      <c r="A5" t="s">
        <v>28</v>
      </c>
      <c r="B5" s="542">
        <v>4</v>
      </c>
      <c r="D5" t="s">
        <v>28</v>
      </c>
      <c r="E5" s="542">
        <v>4</v>
      </c>
      <c r="G5" t="s">
        <v>106</v>
      </c>
      <c r="H5" s="542">
        <v>9</v>
      </c>
    </row>
    <row r="6" spans="1:8">
      <c r="A6" t="s">
        <v>106</v>
      </c>
      <c r="B6" s="627">
        <v>10</v>
      </c>
      <c r="D6" t="s">
        <v>106</v>
      </c>
      <c r="E6" s="627">
        <v>10</v>
      </c>
      <c r="G6" t="s">
        <v>325</v>
      </c>
      <c r="H6" s="627">
        <v>0.5</v>
      </c>
    </row>
    <row r="7" spans="1:8">
      <c r="A7" t="s">
        <v>325</v>
      </c>
      <c r="B7" s="627">
        <f>1/6</f>
        <v>0.16666666666666666</v>
      </c>
      <c r="D7" t="s">
        <v>325</v>
      </c>
      <c r="E7" s="627">
        <f>1/6</f>
        <v>0.16666666666666666</v>
      </c>
      <c r="G7" s="65" t="s">
        <v>157</v>
      </c>
      <c r="H7" s="627">
        <v>0.05</v>
      </c>
    </row>
    <row r="8" spans="1:8">
      <c r="A8" t="s">
        <v>1635</v>
      </c>
      <c r="B8" s="627">
        <f>COMBIN(B6,B5)</f>
        <v>209.99999999999997</v>
      </c>
      <c r="D8" t="s">
        <v>30</v>
      </c>
      <c r="E8" s="627">
        <f>BINOMDIST(E5,E6,E7,TRUE)</f>
        <v>0.98453803329649947</v>
      </c>
      <c r="G8" s="65" t="s">
        <v>1867</v>
      </c>
      <c r="H8" s="544">
        <f>CRITBINOM(H5,H6,1-H7)</f>
        <v>7</v>
      </c>
    </row>
    <row r="9" spans="1:8">
      <c r="A9" t="s">
        <v>29</v>
      </c>
      <c r="B9" s="544">
        <f>B8*B7^B5*(1-B7)^(B6-B5)</f>
        <v>5.4265875850988174E-2</v>
      </c>
      <c r="D9" t="s">
        <v>200</v>
      </c>
      <c r="E9" s="627">
        <f>1-E8</f>
        <v>1.5461966703500529E-2</v>
      </c>
    </row>
    <row r="10" spans="1:8">
      <c r="D10" s="65" t="s">
        <v>157</v>
      </c>
      <c r="E10" s="627">
        <v>0.05</v>
      </c>
      <c r="G10" t="s">
        <v>28</v>
      </c>
      <c r="H10" s="542">
        <f>H8</f>
        <v>7</v>
      </c>
    </row>
    <row r="11" spans="1:8">
      <c r="A11" t="s">
        <v>29</v>
      </c>
      <c r="B11" s="756">
        <f>BINOMDIST(B5,B6,B7,FALSE)</f>
        <v>5.426587585098816E-2</v>
      </c>
      <c r="D11" s="65" t="s">
        <v>948</v>
      </c>
      <c r="E11" s="538" t="str">
        <f>IF(E9&lt;E10,"yes","no")</f>
        <v>yes</v>
      </c>
      <c r="G11" t="s">
        <v>200</v>
      </c>
      <c r="H11" s="544">
        <f>BINOMDIST(H10,H5,H6,TRUE)</f>
        <v>0.98046875</v>
      </c>
    </row>
    <row r="13" spans="1:8">
      <c r="D13" t="s">
        <v>1867</v>
      </c>
      <c r="E13" s="756">
        <f>CRITBINOM(E6,E7,1-E10)</f>
        <v>4</v>
      </c>
      <c r="G13" t="s">
        <v>28</v>
      </c>
      <c r="H13" s="542">
        <v>6</v>
      </c>
    </row>
    <row r="14" spans="1:8">
      <c r="G14" t="s">
        <v>200</v>
      </c>
      <c r="H14" s="544">
        <f>BINOMDIST(H13,H5,H6,TRUE)</f>
        <v>0.91015625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sheetPr codeName="Sheet223"/>
  <dimension ref="A1:C31"/>
  <sheetViews>
    <sheetView workbookViewId="0"/>
  </sheetViews>
  <sheetFormatPr defaultRowHeight="14.4"/>
  <cols>
    <col min="1" max="1" width="9.109375" customWidth="1"/>
  </cols>
  <sheetData>
    <row r="1" spans="1:3">
      <c r="A1" s="1" t="s">
        <v>1868</v>
      </c>
    </row>
    <row r="3" spans="1:3">
      <c r="A3" t="s">
        <v>106</v>
      </c>
      <c r="B3" s="542">
        <v>20</v>
      </c>
    </row>
    <row r="4" spans="1:3">
      <c r="A4" t="s">
        <v>325</v>
      </c>
      <c r="B4" s="627">
        <v>0.25</v>
      </c>
    </row>
    <row r="5" spans="1:3">
      <c r="A5" t="s">
        <v>1869</v>
      </c>
      <c r="B5" s="627">
        <f>B3*B4</f>
        <v>5</v>
      </c>
    </row>
    <row r="6" spans="1:3">
      <c r="A6" t="s">
        <v>1870</v>
      </c>
      <c r="B6" s="627">
        <f>B5*(1-B4)</f>
        <v>3.75</v>
      </c>
    </row>
    <row r="7" spans="1:3">
      <c r="A7" t="s">
        <v>67</v>
      </c>
      <c r="B7" s="544">
        <f>SQRT(B6)</f>
        <v>1.9364916731037085</v>
      </c>
    </row>
    <row r="10" spans="1:3">
      <c r="A10" s="19" t="s">
        <v>28</v>
      </c>
      <c r="B10" s="19" t="s">
        <v>1871</v>
      </c>
      <c r="C10" t="s">
        <v>1872</v>
      </c>
    </row>
    <row r="11" spans="1:3">
      <c r="A11">
        <v>0</v>
      </c>
      <c r="B11">
        <f>BINOMDIST(A11,$B$3,$B$4,FALSE)</f>
        <v>3.1712119389339963E-3</v>
      </c>
      <c r="C11">
        <f>NORMDIST(A11,$B$5,$B$7,FALSE)</f>
        <v>7.3493031003682655E-3</v>
      </c>
    </row>
    <row r="12" spans="1:3">
      <c r="A12">
        <f>A11+1</f>
        <v>1</v>
      </c>
      <c r="B12">
        <f t="shared" ref="B12:B31" si="0">BINOMDIST(A12,$B$3,$B$4,FALSE)</f>
        <v>2.1141412926226615E-2</v>
      </c>
      <c r="C12">
        <f t="shared" ref="C12:C31" si="1">NORMDIST(A12,$B$5,$B$7,FALSE)</f>
        <v>2.4400545593852858E-2</v>
      </c>
    </row>
    <row r="13" spans="1:3">
      <c r="A13">
        <f t="shared" ref="A13:A31" si="2">A12+1</f>
        <v>2</v>
      </c>
      <c r="B13">
        <f t="shared" si="0"/>
        <v>6.6947807599717662E-2</v>
      </c>
      <c r="C13">
        <f t="shared" si="1"/>
        <v>6.2049895392207628E-2</v>
      </c>
    </row>
    <row r="14" spans="1:3">
      <c r="A14">
        <f t="shared" si="2"/>
        <v>3</v>
      </c>
      <c r="B14">
        <f t="shared" si="0"/>
        <v>0.13389561519943524</v>
      </c>
      <c r="C14">
        <f t="shared" si="1"/>
        <v>0.12085669349928452</v>
      </c>
    </row>
    <row r="15" spans="1:3">
      <c r="A15">
        <f t="shared" si="2"/>
        <v>4</v>
      </c>
      <c r="B15">
        <f t="shared" si="0"/>
        <v>0.18968545486586663</v>
      </c>
      <c r="C15">
        <f t="shared" si="1"/>
        <v>0.18029700023749379</v>
      </c>
    </row>
    <row r="16" spans="1:3">
      <c r="A16">
        <f t="shared" si="2"/>
        <v>5</v>
      </c>
      <c r="B16">
        <f t="shared" si="0"/>
        <v>0.20233115185692441</v>
      </c>
      <c r="C16">
        <f t="shared" si="1"/>
        <v>0.20601290774570111</v>
      </c>
    </row>
    <row r="17" spans="1:3">
      <c r="A17">
        <f t="shared" si="2"/>
        <v>6</v>
      </c>
      <c r="B17">
        <f t="shared" si="0"/>
        <v>0.1686092932141037</v>
      </c>
      <c r="C17">
        <f t="shared" si="1"/>
        <v>0.18029700023749379</v>
      </c>
    </row>
    <row r="18" spans="1:3">
      <c r="A18">
        <f t="shared" si="2"/>
        <v>7</v>
      </c>
      <c r="B18">
        <f t="shared" si="0"/>
        <v>0.11240619547606913</v>
      </c>
      <c r="C18">
        <f t="shared" si="1"/>
        <v>0.12085669349928452</v>
      </c>
    </row>
    <row r="19" spans="1:3">
      <c r="A19">
        <f t="shared" si="2"/>
        <v>8</v>
      </c>
      <c r="B19">
        <f t="shared" si="0"/>
        <v>6.0886689216204062E-2</v>
      </c>
      <c r="C19">
        <f t="shared" si="1"/>
        <v>6.2049895392207628E-2</v>
      </c>
    </row>
    <row r="20" spans="1:3">
      <c r="A20">
        <f t="shared" si="2"/>
        <v>9</v>
      </c>
      <c r="B20">
        <f t="shared" si="0"/>
        <v>2.7060750762757369E-2</v>
      </c>
      <c r="C20">
        <f t="shared" si="1"/>
        <v>2.4400545593852858E-2</v>
      </c>
    </row>
    <row r="21" spans="1:3">
      <c r="A21">
        <f t="shared" si="2"/>
        <v>10</v>
      </c>
      <c r="B21">
        <f t="shared" si="0"/>
        <v>9.9222752796777041E-3</v>
      </c>
      <c r="C21">
        <f t="shared" si="1"/>
        <v>7.3493031003682655E-3</v>
      </c>
    </row>
    <row r="22" spans="1:3">
      <c r="A22">
        <f t="shared" si="2"/>
        <v>11</v>
      </c>
      <c r="B22">
        <f t="shared" si="0"/>
        <v>3.0067500847508173E-3</v>
      </c>
      <c r="C22">
        <f t="shared" si="1"/>
        <v>1.6954341195802181E-3</v>
      </c>
    </row>
    <row r="23" spans="1:3">
      <c r="A23">
        <f t="shared" si="2"/>
        <v>12</v>
      </c>
      <c r="B23">
        <f t="shared" si="0"/>
        <v>7.5168752118770586E-4</v>
      </c>
      <c r="C23">
        <f t="shared" si="1"/>
        <v>2.9957379207605066E-4</v>
      </c>
    </row>
    <row r="24" spans="1:3">
      <c r="A24">
        <f t="shared" si="2"/>
        <v>13</v>
      </c>
      <c r="B24">
        <f t="shared" si="0"/>
        <v>1.541923120385034E-4</v>
      </c>
      <c r="C24">
        <f t="shared" si="1"/>
        <v>4.0542904000878473E-5</v>
      </c>
    </row>
    <row r="25" spans="1:3">
      <c r="A25">
        <f t="shared" si="2"/>
        <v>14</v>
      </c>
      <c r="B25">
        <f t="shared" si="0"/>
        <v>2.5698718673083962E-5</v>
      </c>
      <c r="C25">
        <f t="shared" si="1"/>
        <v>4.2025610143038761E-6</v>
      </c>
    </row>
    <row r="26" spans="1:3">
      <c r="A26">
        <f t="shared" si="2"/>
        <v>15</v>
      </c>
      <c r="B26">
        <f t="shared" si="0"/>
        <v>3.42649582307786E-6</v>
      </c>
      <c r="C26">
        <f t="shared" si="1"/>
        <v>3.3365784455993171E-7</v>
      </c>
    </row>
    <row r="27" spans="1:3">
      <c r="A27">
        <f t="shared" si="2"/>
        <v>16</v>
      </c>
      <c r="B27">
        <f t="shared" si="0"/>
        <v>3.5692664823727645E-7</v>
      </c>
      <c r="C27">
        <f t="shared" si="1"/>
        <v>2.0289754423084675E-8</v>
      </c>
    </row>
    <row r="28" spans="1:3">
      <c r="A28">
        <f t="shared" si="2"/>
        <v>17</v>
      </c>
      <c r="B28">
        <f t="shared" si="0"/>
        <v>2.7994246920570738E-8</v>
      </c>
      <c r="C28">
        <f t="shared" si="1"/>
        <v>9.4501864998485711E-10</v>
      </c>
    </row>
    <row r="29" spans="1:3">
      <c r="A29">
        <f t="shared" si="2"/>
        <v>18</v>
      </c>
      <c r="B29">
        <f t="shared" si="0"/>
        <v>1.5552359400317114E-9</v>
      </c>
      <c r="C29">
        <f t="shared" si="1"/>
        <v>3.3712589032589398E-11</v>
      </c>
    </row>
    <row r="30" spans="1:3">
      <c r="A30">
        <f t="shared" si="2"/>
        <v>19</v>
      </c>
      <c r="B30">
        <f t="shared" si="0"/>
        <v>5.4569682106375856E-11</v>
      </c>
      <c r="C30">
        <f t="shared" si="1"/>
        <v>9.2115342570611369E-13</v>
      </c>
    </row>
    <row r="31" spans="1:3">
      <c r="A31">
        <f t="shared" si="2"/>
        <v>20</v>
      </c>
      <c r="B31">
        <f t="shared" si="0"/>
        <v>9.0949470177292824E-13</v>
      </c>
      <c r="C31">
        <f t="shared" si="1"/>
        <v>1.9277911173987313E-14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sheetPr codeName="Sheet226"/>
  <dimension ref="A1:K26"/>
  <sheetViews>
    <sheetView workbookViewId="0"/>
  </sheetViews>
  <sheetFormatPr defaultRowHeight="14.4"/>
  <sheetData>
    <row r="1" spans="1:11">
      <c r="A1" s="1" t="s">
        <v>3914</v>
      </c>
    </row>
    <row r="2" spans="1:11">
      <c r="A2" s="1"/>
    </row>
    <row r="3" spans="1:11">
      <c r="A3" s="1" t="s">
        <v>3834</v>
      </c>
      <c r="D3" s="1" t="s">
        <v>3603</v>
      </c>
      <c r="G3" s="1" t="s">
        <v>3602</v>
      </c>
      <c r="J3" s="1" t="s">
        <v>3835</v>
      </c>
    </row>
    <row r="5" spans="1:11">
      <c r="A5" t="s">
        <v>106</v>
      </c>
      <c r="B5" s="542">
        <v>600</v>
      </c>
      <c r="D5" t="s">
        <v>106</v>
      </c>
      <c r="E5" s="542">
        <v>1100</v>
      </c>
      <c r="G5" s="65" t="s">
        <v>157</v>
      </c>
      <c r="H5" s="542">
        <v>0.05</v>
      </c>
      <c r="J5" t="s">
        <v>106</v>
      </c>
      <c r="K5" s="542">
        <v>200</v>
      </c>
    </row>
    <row r="6" spans="1:11">
      <c r="A6" t="s">
        <v>28</v>
      </c>
      <c r="B6" s="627">
        <v>325</v>
      </c>
      <c r="D6" t="s">
        <v>325</v>
      </c>
      <c r="E6" s="627">
        <v>0.5</v>
      </c>
      <c r="G6" t="s">
        <v>491</v>
      </c>
      <c r="H6" s="627">
        <f>NORMSINV(1-H5/2)</f>
        <v>1.9599639845400536</v>
      </c>
      <c r="J6" t="s">
        <v>1696</v>
      </c>
      <c r="K6" s="627">
        <v>0.5</v>
      </c>
    </row>
    <row r="7" spans="1:11">
      <c r="A7" t="s">
        <v>325</v>
      </c>
      <c r="B7" s="627">
        <v>0.5</v>
      </c>
      <c r="D7" t="s">
        <v>28</v>
      </c>
      <c r="E7" s="627">
        <v>0.53</v>
      </c>
      <c r="G7" t="s">
        <v>1880</v>
      </c>
      <c r="H7" s="627">
        <v>2.5000000000000001E-2</v>
      </c>
      <c r="J7" t="s">
        <v>1697</v>
      </c>
      <c r="K7" s="627">
        <v>0.6</v>
      </c>
    </row>
    <row r="8" spans="1:11">
      <c r="A8" s="65" t="s">
        <v>157</v>
      </c>
      <c r="B8" s="627">
        <v>0.05</v>
      </c>
      <c r="D8" t="s">
        <v>826</v>
      </c>
      <c r="E8" s="627">
        <f>SQRT(E7*(1-E7)/E5)</f>
        <v>1.5048406741397756E-2</v>
      </c>
      <c r="G8" t="s">
        <v>1881</v>
      </c>
      <c r="H8" s="627" t="s">
        <v>1882</v>
      </c>
      <c r="J8" t="s">
        <v>28</v>
      </c>
      <c r="K8" s="627">
        <f>AVERAGE(K6:K7)</f>
        <v>0.55000000000000004</v>
      </c>
    </row>
    <row r="9" spans="1:11">
      <c r="A9" s="65" t="s">
        <v>200</v>
      </c>
      <c r="B9" s="627">
        <f>BINOMDIST(B6,B5,B7,TRUE)</f>
        <v>0.98137588120019825</v>
      </c>
      <c r="D9" s="65" t="s">
        <v>157</v>
      </c>
      <c r="E9" s="627">
        <v>0.05</v>
      </c>
      <c r="G9" t="s">
        <v>106</v>
      </c>
      <c r="H9" s="544">
        <f>(H6*0.5/0.025)^2</f>
        <v>1536.5835282776493</v>
      </c>
      <c r="J9" t="s">
        <v>1907</v>
      </c>
      <c r="K9" s="627">
        <f>K7-K6</f>
        <v>9.9999999999999978E-2</v>
      </c>
    </row>
    <row r="10" spans="1:11">
      <c r="A10" s="65" t="s">
        <v>948</v>
      </c>
      <c r="B10" s="538" t="str">
        <f>IF(B9&gt;1-B8/2,"yes","no")</f>
        <v>yes</v>
      </c>
      <c r="D10" s="65" t="s">
        <v>200</v>
      </c>
      <c r="E10" s="627">
        <f>NORMDIST(E7,E6,E8,TRUE)</f>
        <v>0.97690027689698578</v>
      </c>
      <c r="J10" t="s">
        <v>826</v>
      </c>
      <c r="K10" s="627">
        <f>SQRT(2*(K8*(1-K8)/K5))</f>
        <v>4.9749371855330994E-2</v>
      </c>
    </row>
    <row r="11" spans="1:11">
      <c r="D11" s="65" t="s">
        <v>948</v>
      </c>
      <c r="E11" s="538" t="str">
        <f>IF(E10&gt;1-E9,"yes","no")</f>
        <v>yes</v>
      </c>
      <c r="G11" s="65" t="s">
        <v>157</v>
      </c>
      <c r="H11" s="542">
        <v>0.01</v>
      </c>
      <c r="J11" s="65" t="s">
        <v>157</v>
      </c>
      <c r="K11" s="627">
        <v>0.05</v>
      </c>
    </row>
    <row r="12" spans="1:11">
      <c r="A12" t="s">
        <v>1879</v>
      </c>
      <c r="G12" t="s">
        <v>491</v>
      </c>
      <c r="H12" s="627">
        <f>NORMSINV(1-H11/2)</f>
        <v>2.5758293035488999</v>
      </c>
      <c r="J12" s="65" t="s">
        <v>200</v>
      </c>
      <c r="K12" s="627">
        <f>NORMDIST(K9,0,K10,TRUE)</f>
        <v>0.97778840757499697</v>
      </c>
    </row>
    <row r="13" spans="1:11">
      <c r="G13" t="s">
        <v>1880</v>
      </c>
      <c r="H13" s="627">
        <v>2.5000000000000001E-2</v>
      </c>
      <c r="J13" s="65" t="s">
        <v>948</v>
      </c>
      <c r="K13" s="538" t="str">
        <f>IF(K12&gt;1-K11,"yes","no")</f>
        <v>yes</v>
      </c>
    </row>
    <row r="14" spans="1:11">
      <c r="A14" t="s">
        <v>106</v>
      </c>
      <c r="B14" s="542">
        <f>B5</f>
        <v>600</v>
      </c>
      <c r="D14" t="s">
        <v>63</v>
      </c>
      <c r="E14" s="542">
        <f>E7</f>
        <v>0.53</v>
      </c>
      <c r="G14" t="s">
        <v>1881</v>
      </c>
      <c r="H14" s="627" t="s">
        <v>1882</v>
      </c>
    </row>
    <row r="15" spans="1:11">
      <c r="A15" t="s">
        <v>325</v>
      </c>
      <c r="B15" s="627">
        <f>B7</f>
        <v>0.5</v>
      </c>
      <c r="D15" t="s">
        <v>826</v>
      </c>
      <c r="E15" s="627">
        <f>E8</f>
        <v>1.5048406741397756E-2</v>
      </c>
      <c r="G15" t="s">
        <v>106</v>
      </c>
      <c r="H15" s="544">
        <f>(H12*0.5/0.025)^2</f>
        <v>2653.9586404084839</v>
      </c>
      <c r="J15" t="s">
        <v>1867</v>
      </c>
      <c r="K15" s="756">
        <f>NORMINV(1-K11/2,0,K10)</f>
        <v>9.7506977089939328E-2</v>
      </c>
    </row>
    <row r="16" spans="1:11">
      <c r="A16" t="s">
        <v>28</v>
      </c>
      <c r="B16" s="627">
        <f>B6/B5</f>
        <v>0.54166666666666663</v>
      </c>
      <c r="D16" s="65" t="s">
        <v>157</v>
      </c>
      <c r="E16" s="627">
        <v>0.05</v>
      </c>
    </row>
    <row r="17" spans="1:5">
      <c r="A17" t="s">
        <v>826</v>
      </c>
      <c r="B17" s="627">
        <f>SQRT(B15*(1-B15)/B14)</f>
        <v>2.0412414523193152E-2</v>
      </c>
      <c r="D17" t="s">
        <v>491</v>
      </c>
      <c r="E17" s="627">
        <f>NORMSINV(1-E16/2)</f>
        <v>1.9599639845400536</v>
      </c>
    </row>
    <row r="18" spans="1:5">
      <c r="A18" s="65" t="s">
        <v>157</v>
      </c>
      <c r="B18" s="627">
        <v>0.05</v>
      </c>
      <c r="D18" t="s">
        <v>103</v>
      </c>
      <c r="E18" s="627">
        <f>E14-E8*E17</f>
        <v>0.50050566476215064</v>
      </c>
    </row>
    <row r="19" spans="1:5">
      <c r="A19" t="s">
        <v>200</v>
      </c>
      <c r="B19" s="627">
        <f>NORMDIST(B16,0.5,B17,TRUE)</f>
        <v>0.97938658333141804</v>
      </c>
      <c r="D19" t="s">
        <v>104</v>
      </c>
      <c r="E19" s="544">
        <f>E14+E15*E17</f>
        <v>0.55949433523784942</v>
      </c>
    </row>
    <row r="20" spans="1:5">
      <c r="A20" t="s">
        <v>948</v>
      </c>
      <c r="B20" s="538" t="str">
        <f>IF(B19&gt;1-B18/2,"yes","no")</f>
        <v>yes</v>
      </c>
    </row>
    <row r="21" spans="1:5">
      <c r="A21" s="65"/>
      <c r="D21" t="s">
        <v>63</v>
      </c>
      <c r="E21" s="542">
        <f>E14</f>
        <v>0.53</v>
      </c>
    </row>
    <row r="22" spans="1:5">
      <c r="D22" t="s">
        <v>826</v>
      </c>
      <c r="E22" s="627">
        <f>E15</f>
        <v>1.5048406741397756E-2</v>
      </c>
    </row>
    <row r="23" spans="1:5">
      <c r="D23" s="65" t="s">
        <v>157</v>
      </c>
      <c r="E23" s="627">
        <v>0.01</v>
      </c>
    </row>
    <row r="24" spans="1:5">
      <c r="D24" t="s">
        <v>491</v>
      </c>
      <c r="E24" s="627">
        <f>NORMSINV(1-E23/2)</f>
        <v>2.5758293035488999</v>
      </c>
    </row>
    <row r="25" spans="1:5">
      <c r="D25" t="s">
        <v>103</v>
      </c>
      <c r="E25" s="627">
        <f>E21-E15*E24</f>
        <v>0.49123787294378485</v>
      </c>
    </row>
    <row r="26" spans="1:5">
      <c r="D26" t="s">
        <v>104</v>
      </c>
      <c r="E26" s="544">
        <f>E21+E22*E24</f>
        <v>0.56876212705621521</v>
      </c>
    </row>
  </sheetData>
  <pageMargins left="0.7" right="0.7" top="0.75" bottom="0.75" header="0.3" footer="0.3"/>
  <pageSetup paperSize="9" orientation="portrait" horizontalDpi="300" verticalDpi="300" r:id="rId1"/>
  <ignoredErrors>
    <ignoredError sqref="K8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sheetPr codeName="Sheet345"/>
  <dimension ref="A1:I28"/>
  <sheetViews>
    <sheetView workbookViewId="0"/>
  </sheetViews>
  <sheetFormatPr defaultRowHeight="14.4"/>
  <cols>
    <col min="3" max="3" width="3.88671875" customWidth="1"/>
    <col min="4" max="4" width="34.33203125" customWidth="1"/>
    <col min="5" max="5" width="6.88671875" customWidth="1"/>
    <col min="8" max="8" width="4.44140625" customWidth="1"/>
    <col min="9" max="9" width="26.6640625" customWidth="1"/>
  </cols>
  <sheetData>
    <row r="1" spans="1:9">
      <c r="A1" s="1" t="s">
        <v>3837</v>
      </c>
    </row>
    <row r="3" spans="1:9">
      <c r="A3" t="s">
        <v>28</v>
      </c>
      <c r="B3" s="1235">
        <v>5</v>
      </c>
      <c r="F3" s="840" t="s">
        <v>28</v>
      </c>
      <c r="G3" s="840" t="s">
        <v>29</v>
      </c>
    </row>
    <row r="4" spans="1:9">
      <c r="A4" t="s">
        <v>169</v>
      </c>
      <c r="B4" s="627">
        <v>1</v>
      </c>
      <c r="F4">
        <v>0</v>
      </c>
      <c r="G4">
        <f t="shared" ref="G4:G9" si="0">NEGBINOMDIST(F4,1,0.2)</f>
        <v>0.2</v>
      </c>
      <c r="I4" t="e">
        <f ca="1">[1]!FTEXT(G4)</f>
        <v>#NAME?</v>
      </c>
    </row>
    <row r="5" spans="1:9">
      <c r="A5" t="s">
        <v>325</v>
      </c>
      <c r="B5" s="627">
        <v>0.2</v>
      </c>
      <c r="F5">
        <f>F4+1</f>
        <v>1</v>
      </c>
      <c r="G5">
        <f t="shared" si="0"/>
        <v>0.16</v>
      </c>
      <c r="I5" t="e">
        <f ca="1">[1]!FTEXT(G5)</f>
        <v>#NAME?</v>
      </c>
    </row>
    <row r="6" spans="1:9">
      <c r="A6" t="s">
        <v>29</v>
      </c>
      <c r="B6" s="627">
        <f>_xlfn.NEGBINOM.DIST(B3,B4,B5,FALSE)</f>
        <v>6.5535999999999997E-2</v>
      </c>
      <c r="D6" t="e">
        <f ca="1">[1]!FTEXT(B6)</f>
        <v>#NAME?</v>
      </c>
      <c r="F6">
        <f>F5+1</f>
        <v>2</v>
      </c>
      <c r="G6">
        <f t="shared" si="0"/>
        <v>0.128</v>
      </c>
      <c r="I6" t="e">
        <f ca="1">[1]!FTEXT(G6)</f>
        <v>#NAME?</v>
      </c>
    </row>
    <row r="7" spans="1:9">
      <c r="A7" t="s">
        <v>30</v>
      </c>
      <c r="B7" s="544">
        <f>_xlfn.NEGBINOM.DIST(B3,B4,B5,TRUE)</f>
        <v>0.73785599999999985</v>
      </c>
      <c r="D7" t="e">
        <f ca="1">[1]!FTEXT(B7)</f>
        <v>#NAME?</v>
      </c>
      <c r="F7">
        <f>F6+1</f>
        <v>3</v>
      </c>
      <c r="G7">
        <f t="shared" si="0"/>
        <v>0.10239999999999999</v>
      </c>
      <c r="I7" t="e">
        <f ca="1">[1]!FTEXT(G7)</f>
        <v>#NAME?</v>
      </c>
    </row>
    <row r="8" spans="1:9">
      <c r="F8">
        <f>F7+1</f>
        <v>4</v>
      </c>
      <c r="G8">
        <f t="shared" si="0"/>
        <v>8.1919999999999979E-2</v>
      </c>
      <c r="I8" t="e">
        <f ca="1">[1]!FTEXT(G8)</f>
        <v>#NAME?</v>
      </c>
    </row>
    <row r="9" spans="1:9">
      <c r="F9">
        <f>F8+1</f>
        <v>5</v>
      </c>
      <c r="G9">
        <f t="shared" si="0"/>
        <v>6.5535999999999997E-2</v>
      </c>
      <c r="I9" t="e">
        <f ca="1">[1]!FTEXT(G9)</f>
        <v>#NAME?</v>
      </c>
    </row>
    <row r="10" spans="1:9">
      <c r="F10" s="840" t="s">
        <v>2781</v>
      </c>
      <c r="G10" s="821">
        <f>SUM(G4:G9)</f>
        <v>0.73785600000000007</v>
      </c>
      <c r="I10" t="e">
        <f ca="1">[1]!FTEXT(G10)</f>
        <v>#NAME?</v>
      </c>
    </row>
    <row r="11" spans="1:9">
      <c r="A11" s="1" t="s">
        <v>3836</v>
      </c>
      <c r="F11" s="42"/>
      <c r="G11" s="8"/>
    </row>
    <row r="13" spans="1:9">
      <c r="A13" t="s">
        <v>28</v>
      </c>
      <c r="B13" s="1235">
        <v>3</v>
      </c>
      <c r="F13" s="840" t="s">
        <v>28</v>
      </c>
      <c r="G13" s="840" t="s">
        <v>29</v>
      </c>
    </row>
    <row r="14" spans="1:9">
      <c r="A14" t="s">
        <v>169</v>
      </c>
      <c r="B14" s="627">
        <v>12</v>
      </c>
      <c r="F14">
        <v>0</v>
      </c>
      <c r="G14">
        <f>NEGBINOMDIST(F14,12,0.7)</f>
        <v>1.3841287200999988E-2</v>
      </c>
      <c r="I14" t="e">
        <f ca="1">[1]!FTEXT(G14)</f>
        <v>#NAME?</v>
      </c>
    </row>
    <row r="15" spans="1:9">
      <c r="A15" t="s">
        <v>325</v>
      </c>
      <c r="B15" s="627">
        <v>0.7</v>
      </c>
      <c r="F15">
        <f>F14+1</f>
        <v>1</v>
      </c>
      <c r="G15">
        <f>NEGBINOMDIST(F15,12,0.7)</f>
        <v>4.9828633923599965E-2</v>
      </c>
      <c r="I15" t="e">
        <f ca="1">[1]!FTEXT(G15)</f>
        <v>#NAME?</v>
      </c>
    </row>
    <row r="16" spans="1:9">
      <c r="A16" t="s">
        <v>29</v>
      </c>
      <c r="B16" s="627">
        <f>_xlfn.NEGBINOM.DIST(B13,B14,B15,FALSE)</f>
        <v>0.13603217061142783</v>
      </c>
      <c r="D16" t="e">
        <f ca="1">[1]!FTEXT(B16)</f>
        <v>#NAME?</v>
      </c>
      <c r="F16">
        <f>F15+1</f>
        <v>2</v>
      </c>
      <c r="G16">
        <f>NEGBINOMDIST(F16,12,0.7)</f>
        <v>9.716583615101998E-2</v>
      </c>
      <c r="I16" t="e">
        <f ca="1">[1]!FTEXT(G16)</f>
        <v>#NAME?</v>
      </c>
    </row>
    <row r="17" spans="1:9">
      <c r="A17" t="s">
        <v>30</v>
      </c>
      <c r="B17" s="544">
        <f>_xlfn.NEGBINOM.DIST(B13,B14,B15,TRUE)</f>
        <v>0.29686792788704786</v>
      </c>
      <c r="D17" t="e">
        <f ca="1">[1]!FTEXT(B17)</f>
        <v>#NAME?</v>
      </c>
      <c r="F17">
        <f>F16+1</f>
        <v>3</v>
      </c>
      <c r="G17">
        <f>NEGBINOMDIST(F17,12,0.7)</f>
        <v>0.13603217061142783</v>
      </c>
      <c r="I17" t="e">
        <f ca="1">[1]!FTEXT(G17)</f>
        <v>#NAME?</v>
      </c>
    </row>
    <row r="18" spans="1:9">
      <c r="F18" s="840" t="s">
        <v>2781</v>
      </c>
      <c r="G18" s="821">
        <f>SUM(G14:G17)</f>
        <v>0.29686792788704774</v>
      </c>
      <c r="I18" t="e">
        <f ca="1">[1]!FTEXT(G18)</f>
        <v>#NAME?</v>
      </c>
    </row>
    <row r="19" spans="1:9">
      <c r="F19" s="42"/>
      <c r="G19" s="8"/>
    </row>
    <row r="20" spans="1:9">
      <c r="A20" s="1" t="s">
        <v>3841</v>
      </c>
      <c r="F20" s="42"/>
      <c r="G20" s="8"/>
    </row>
    <row r="22" spans="1:9">
      <c r="B22" s="756" t="e">
        <f ca="1">[1]!NEGBINOM_INV(0.95, B14, B15) + B14</f>
        <v>#NAME?</v>
      </c>
      <c r="D22" t="e">
        <f ca="1">[1]!FTEXT(B22)</f>
        <v>#NAME?</v>
      </c>
    </row>
    <row r="24" spans="1:9">
      <c r="A24" t="s">
        <v>28</v>
      </c>
      <c r="B24" s="1235">
        <v>10</v>
      </c>
    </row>
    <row r="25" spans="1:9">
      <c r="A25" t="s">
        <v>169</v>
      </c>
      <c r="B25" s="627">
        <v>12</v>
      </c>
    </row>
    <row r="26" spans="1:9">
      <c r="A26" t="s">
        <v>325</v>
      </c>
      <c r="B26" s="627">
        <v>0.7</v>
      </c>
    </row>
    <row r="27" spans="1:9">
      <c r="A27" t="s">
        <v>29</v>
      </c>
      <c r="B27" s="627">
        <f>_xlfn.NEGBINOM.DIST(B24,B25,B26,FALSE)</f>
        <v>2.8827978405625003E-2</v>
      </c>
    </row>
    <row r="28" spans="1:9">
      <c r="A28" t="s">
        <v>30</v>
      </c>
      <c r="B28" s="544">
        <f>_xlfn.NEGBINOM.DIST(B24,B25,B26,TRUE)</f>
        <v>0.961255211410591</v>
      </c>
    </row>
  </sheetData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>
  <sheetPr codeName="Sheet346"/>
  <dimension ref="A1:O55"/>
  <sheetViews>
    <sheetView workbookViewId="0">
      <selection activeCell="F1" sqref="F1"/>
    </sheetView>
  </sheetViews>
  <sheetFormatPr defaultRowHeight="14.4"/>
  <cols>
    <col min="13" max="13" width="9.109375" customWidth="1"/>
  </cols>
  <sheetData>
    <row r="1" spans="1:15">
      <c r="A1" s="1" t="s">
        <v>3843</v>
      </c>
    </row>
    <row r="2" spans="1:15">
      <c r="A2" s="1"/>
    </row>
    <row r="3" spans="1:15">
      <c r="A3" s="1"/>
      <c r="B3" t="s">
        <v>3834</v>
      </c>
      <c r="G3" t="s">
        <v>3603</v>
      </c>
      <c r="J3" t="s">
        <v>3602</v>
      </c>
      <c r="O3" t="s">
        <v>3835</v>
      </c>
    </row>
    <row r="4" spans="1:15">
      <c r="K4" s="19" t="s">
        <v>169</v>
      </c>
      <c r="L4" s="19" t="s">
        <v>325</v>
      </c>
    </row>
    <row r="5" spans="1:15">
      <c r="A5" t="s">
        <v>28</v>
      </c>
      <c r="B5" s="4">
        <v>2</v>
      </c>
      <c r="C5" s="6">
        <v>3</v>
      </c>
      <c r="F5" t="s">
        <v>28</v>
      </c>
      <c r="G5" s="1235">
        <v>0</v>
      </c>
      <c r="I5" t="s">
        <v>28</v>
      </c>
      <c r="J5" s="1235">
        <v>3</v>
      </c>
      <c r="K5">
        <v>0</v>
      </c>
      <c r="L5" s="1235">
        <f>HYPGEOMDIST($J$5,$J$6,K5,$J$7)</f>
        <v>0</v>
      </c>
      <c r="N5" t="s">
        <v>325</v>
      </c>
      <c r="O5" s="1235">
        <v>0.995</v>
      </c>
    </row>
    <row r="6" spans="1:15">
      <c r="A6" t="s">
        <v>106</v>
      </c>
      <c r="B6" s="656">
        <v>3</v>
      </c>
      <c r="C6" s="657">
        <v>3</v>
      </c>
      <c r="F6" t="s">
        <v>106</v>
      </c>
      <c r="G6" s="627">
        <v>200</v>
      </c>
      <c r="I6" t="s">
        <v>106</v>
      </c>
      <c r="J6" s="627">
        <v>100</v>
      </c>
      <c r="K6">
        <f>K5+1</f>
        <v>1</v>
      </c>
      <c r="L6" s="627">
        <f t="shared" ref="L6:L55" si="0">HYPGEOMDIST($J$5,$J$6,K6,$J$7)</f>
        <v>0</v>
      </c>
      <c r="N6" t="s">
        <v>106</v>
      </c>
      <c r="O6" s="627">
        <v>50</v>
      </c>
    </row>
    <row r="7" spans="1:15">
      <c r="A7" t="s">
        <v>169</v>
      </c>
      <c r="B7" s="656">
        <v>4</v>
      </c>
      <c r="C7" s="657">
        <v>4</v>
      </c>
      <c r="F7" t="s">
        <v>28</v>
      </c>
      <c r="G7" s="627">
        <v>200</v>
      </c>
      <c r="I7" t="s">
        <v>994</v>
      </c>
      <c r="J7" s="544">
        <v>500</v>
      </c>
      <c r="K7">
        <f t="shared" ref="K7:K19" si="1">K6+1</f>
        <v>2</v>
      </c>
      <c r="L7" s="627">
        <f t="shared" si="0"/>
        <v>0</v>
      </c>
      <c r="N7" t="s">
        <v>169</v>
      </c>
      <c r="O7" s="627">
        <v>20</v>
      </c>
    </row>
    <row r="8" spans="1:15">
      <c r="A8" t="s">
        <v>994</v>
      </c>
      <c r="B8" s="533">
        <v>12</v>
      </c>
      <c r="C8" s="541">
        <v>12</v>
      </c>
      <c r="F8" t="s">
        <v>994</v>
      </c>
      <c r="G8" s="544">
        <f>50000-2</f>
        <v>49998</v>
      </c>
      <c r="K8">
        <f t="shared" si="1"/>
        <v>3</v>
      </c>
      <c r="L8" s="627">
        <f t="shared" si="0"/>
        <v>7.8083878600574671E-3</v>
      </c>
      <c r="N8" t="s">
        <v>994</v>
      </c>
      <c r="O8" s="544">
        <v>3000</v>
      </c>
    </row>
    <row r="9" spans="1:15">
      <c r="A9" t="s">
        <v>325</v>
      </c>
      <c r="B9" s="848">
        <f>HYPGEOMDIST(B5,B6,B7,B8)</f>
        <v>0.21818181818181812</v>
      </c>
      <c r="C9" s="821">
        <f>HYPGEOMDIST(C5,C6,C7,C8)</f>
        <v>1.8181818181818195E-2</v>
      </c>
      <c r="D9" s="756">
        <f>B9+C9</f>
        <v>0.2363636363636363</v>
      </c>
      <c r="F9" t="s">
        <v>325</v>
      </c>
      <c r="G9" s="1235">
        <f>HYPGEOMDIST(G5,G6,G7,G8)</f>
        <v>0.44787585040029648</v>
      </c>
      <c r="K9">
        <f t="shared" si="1"/>
        <v>4</v>
      </c>
      <c r="L9" s="627">
        <f t="shared" si="0"/>
        <v>2.5137667155114576E-2</v>
      </c>
      <c r="N9" t="s">
        <v>28</v>
      </c>
      <c r="O9" s="756" t="e">
        <f ca="1">[1]!HYPGEOM_INV(O5,O6,O7,O8)</f>
        <v>#NAME?</v>
      </c>
    </row>
    <row r="10" spans="1:15">
      <c r="F10" t="s">
        <v>1929</v>
      </c>
      <c r="G10" s="544">
        <f>1-G9</f>
        <v>0.55212414959970357</v>
      </c>
      <c r="K10">
        <f t="shared" si="1"/>
        <v>5</v>
      </c>
      <c r="L10" s="627">
        <f t="shared" si="0"/>
        <v>5.0554078603279796E-2</v>
      </c>
    </row>
    <row r="11" spans="1:15">
      <c r="K11">
        <f t="shared" si="1"/>
        <v>6</v>
      </c>
      <c r="L11" s="627">
        <f t="shared" si="0"/>
        <v>8.1295043572142886E-2</v>
      </c>
      <c r="N11" t="s">
        <v>28</v>
      </c>
      <c r="O11" s="1235" t="e">
        <f ca="1">O9</f>
        <v>#NAME?</v>
      </c>
    </row>
    <row r="12" spans="1:15">
      <c r="K12">
        <f t="shared" si="1"/>
        <v>7</v>
      </c>
      <c r="L12" s="627">
        <f t="shared" si="0"/>
        <v>0.11433144032742164</v>
      </c>
      <c r="N12" t="s">
        <v>106</v>
      </c>
      <c r="O12" s="627">
        <f>O6</f>
        <v>50</v>
      </c>
    </row>
    <row r="13" spans="1:15">
      <c r="K13">
        <f t="shared" si="1"/>
        <v>8</v>
      </c>
      <c r="L13" s="627">
        <f t="shared" si="0"/>
        <v>0.14693793223418725</v>
      </c>
      <c r="N13" t="s">
        <v>169</v>
      </c>
      <c r="O13" s="627">
        <f>O7</f>
        <v>20</v>
      </c>
    </row>
    <row r="14" spans="1:15">
      <c r="K14">
        <f t="shared" si="1"/>
        <v>9</v>
      </c>
      <c r="L14" s="627">
        <f t="shared" si="0"/>
        <v>0.17695269278202436</v>
      </c>
      <c r="N14" t="s">
        <v>994</v>
      </c>
      <c r="O14" s="627">
        <f>O8</f>
        <v>3000</v>
      </c>
    </row>
    <row r="15" spans="1:15">
      <c r="K15">
        <f t="shared" si="1"/>
        <v>10</v>
      </c>
      <c r="L15" s="627">
        <f t="shared" si="0"/>
        <v>0.20284946452172697</v>
      </c>
      <c r="N15" t="s">
        <v>325</v>
      </c>
      <c r="O15" s="756" t="e">
        <f ca="1">_xlfn.HYPGEOM.DIST(O11,O12,O13,O14,TRUE)</f>
        <v>#NAME?</v>
      </c>
    </row>
    <row r="16" spans="1:15">
      <c r="K16">
        <f t="shared" si="1"/>
        <v>11</v>
      </c>
      <c r="L16" s="627">
        <f t="shared" si="0"/>
        <v>0.22370363141005778</v>
      </c>
    </row>
    <row r="17" spans="11:12">
      <c r="K17">
        <f t="shared" si="1"/>
        <v>12</v>
      </c>
      <c r="L17" s="627">
        <f t="shared" si="0"/>
        <v>0.23910517658552857</v>
      </c>
    </row>
    <row r="18" spans="11:12">
      <c r="K18">
        <f t="shared" si="1"/>
        <v>13</v>
      </c>
      <c r="L18" s="627">
        <f t="shared" si="0"/>
        <v>0.24905155995578712</v>
      </c>
    </row>
    <row r="19" spans="11:12">
      <c r="K19">
        <f t="shared" si="1"/>
        <v>14</v>
      </c>
      <c r="L19" s="627">
        <f t="shared" si="0"/>
        <v>0.25384011897677761</v>
      </c>
    </row>
    <row r="20" spans="11:12">
      <c r="K20">
        <f t="shared" ref="K20:K25" si="2">K19+1</f>
        <v>15</v>
      </c>
      <c r="L20" s="627">
        <f t="shared" si="0"/>
        <v>0.25397069516966692</v>
      </c>
    </row>
    <row r="21" spans="11:12">
      <c r="K21">
        <f t="shared" si="2"/>
        <v>16</v>
      </c>
      <c r="L21" s="627">
        <f t="shared" si="0"/>
        <v>0.25006345370551814</v>
      </c>
    </row>
    <row r="22" spans="11:12">
      <c r="K22">
        <f t="shared" si="2"/>
        <v>17</v>
      </c>
      <c r="L22" s="627">
        <f t="shared" si="0"/>
        <v>0.24279330902134066</v>
      </c>
    </row>
    <row r="23" spans="11:12">
      <c r="K23">
        <f t="shared" si="2"/>
        <v>18</v>
      </c>
      <c r="L23" s="627">
        <f t="shared" si="0"/>
        <v>0.23284029138444104</v>
      </c>
    </row>
    <row r="24" spans="11:12">
      <c r="K24">
        <f t="shared" si="2"/>
        <v>19</v>
      </c>
      <c r="L24" s="627">
        <f t="shared" si="0"/>
        <v>0.22085408862515374</v>
      </c>
    </row>
    <row r="25" spans="11:12">
      <c r="K25">
        <f t="shared" si="2"/>
        <v>20</v>
      </c>
      <c r="L25" s="627">
        <f t="shared" si="0"/>
        <v>0.20743052472070225</v>
      </c>
    </row>
    <row r="26" spans="11:12">
      <c r="K26">
        <f t="shared" ref="K26:K55" si="3">K25+1</f>
        <v>21</v>
      </c>
      <c r="L26" s="627">
        <f t="shared" si="0"/>
        <v>0.19309765165840359</v>
      </c>
    </row>
    <row r="27" spans="11:12">
      <c r="K27">
        <f t="shared" si="3"/>
        <v>22</v>
      </c>
      <c r="L27" s="627">
        <f t="shared" si="0"/>
        <v>0.17830926980960593</v>
      </c>
    </row>
    <row r="28" spans="11:12">
      <c r="K28">
        <f t="shared" si="3"/>
        <v>23</v>
      </c>
      <c r="L28" s="627">
        <f t="shared" si="0"/>
        <v>0.16344394679305183</v>
      </c>
    </row>
    <row r="29" spans="11:12">
      <c r="K29">
        <f t="shared" si="3"/>
        <v>24</v>
      </c>
      <c r="L29" s="627">
        <f t="shared" si="0"/>
        <v>0.14880790603500405</v>
      </c>
    </row>
    <row r="30" spans="11:12">
      <c r="K30">
        <f t="shared" si="3"/>
        <v>25</v>
      </c>
      <c r="L30" s="627">
        <f t="shared" si="0"/>
        <v>0.13464046119954756</v>
      </c>
    </row>
    <row r="31" spans="11:12">
      <c r="K31">
        <f t="shared" si="3"/>
        <v>26</v>
      </c>
      <c r="L31" s="627">
        <f t="shared" si="0"/>
        <v>0.12112095676605514</v>
      </c>
    </row>
    <row r="32" spans="11:12">
      <c r="K32">
        <f t="shared" si="3"/>
        <v>27</v>
      </c>
      <c r="L32" s="627">
        <f t="shared" si="0"/>
        <v>0.10837642571393073</v>
      </c>
    </row>
    <row r="33" spans="11:12">
      <c r="K33">
        <f t="shared" si="3"/>
        <v>28</v>
      </c>
      <c r="L33" s="627">
        <f t="shared" si="0"/>
        <v>9.6489387730762183E-2</v>
      </c>
    </row>
    <row r="34" spans="11:12">
      <c r="K34">
        <f t="shared" si="3"/>
        <v>29</v>
      </c>
      <c r="L34" s="627">
        <f t="shared" si="0"/>
        <v>8.5505385558347483E-2</v>
      </c>
    </row>
    <row r="35" spans="11:12">
      <c r="K35">
        <f t="shared" si="3"/>
        <v>30</v>
      </c>
      <c r="L35" s="627">
        <f t="shared" si="0"/>
        <v>7.5439995750936309E-2</v>
      </c>
    </row>
    <row r="36" spans="11:12">
      <c r="K36">
        <f t="shared" si="3"/>
        <v>31</v>
      </c>
      <c r="L36" s="627">
        <f t="shared" si="0"/>
        <v>6.6285157360796029E-2</v>
      </c>
    </row>
    <row r="37" spans="11:12">
      <c r="K37">
        <f t="shared" si="3"/>
        <v>32</v>
      </c>
      <c r="L37" s="627">
        <f t="shared" si="0"/>
        <v>5.8014742535322184E-2</v>
      </c>
    </row>
    <row r="38" spans="11:12">
      <c r="K38">
        <f t="shared" si="3"/>
        <v>33</v>
      </c>
      <c r="L38" s="627">
        <f t="shared" si="0"/>
        <v>5.0589351343301191E-2</v>
      </c>
    </row>
    <row r="39" spans="11:12">
      <c r="K39">
        <f t="shared" si="3"/>
        <v>34</v>
      </c>
      <c r="L39" s="627">
        <f t="shared" si="0"/>
        <v>4.3960353657437973E-2</v>
      </c>
    </row>
    <row r="40" spans="11:12">
      <c r="K40">
        <f t="shared" si="3"/>
        <v>35</v>
      </c>
      <c r="L40" s="627">
        <f t="shared" si="0"/>
        <v>3.8073227433329596E-2</v>
      </c>
    </row>
    <row r="41" spans="11:12">
      <c r="K41">
        <f t="shared" si="3"/>
        <v>36</v>
      </c>
      <c r="L41" s="627">
        <f t="shared" si="0"/>
        <v>3.2870258523085762E-2</v>
      </c>
    </row>
    <row r="42" spans="11:12">
      <c r="K42">
        <f t="shared" si="3"/>
        <v>37</v>
      </c>
      <c r="L42" s="627">
        <f t="shared" si="0"/>
        <v>2.8292674980031837E-2</v>
      </c>
    </row>
    <row r="43" spans="11:12">
      <c r="K43">
        <f t="shared" si="3"/>
        <v>38</v>
      </c>
      <c r="L43" s="627">
        <f t="shared" si="0"/>
        <v>2.4282290874562285E-2</v>
      </c>
    </row>
    <row r="44" spans="11:12">
      <c r="K44">
        <f t="shared" si="3"/>
        <v>39</v>
      </c>
      <c r="L44" s="627">
        <f t="shared" si="0"/>
        <v>2.0782732720021301E-2</v>
      </c>
    </row>
    <row r="45" spans="11:12">
      <c r="K45">
        <f t="shared" si="3"/>
        <v>40</v>
      </c>
      <c r="L45" s="627">
        <f t="shared" si="0"/>
        <v>1.7740317078238269E-2</v>
      </c>
    </row>
    <row r="46" spans="11:12">
      <c r="K46">
        <f t="shared" si="3"/>
        <v>41</v>
      </c>
      <c r="L46" s="627">
        <f t="shared" si="0"/>
        <v>1.5104641823536638E-2</v>
      </c>
    </row>
    <row r="47" spans="11:12">
      <c r="K47">
        <f t="shared" si="3"/>
        <v>42</v>
      </c>
      <c r="L47" s="627">
        <f t="shared" si="0"/>
        <v>1.2828946666948863E-2</v>
      </c>
    </row>
    <row r="48" spans="11:12">
      <c r="K48">
        <f t="shared" si="3"/>
        <v>43</v>
      </c>
      <c r="L48" s="627">
        <f t="shared" si="0"/>
        <v>1.0870291436192473E-2</v>
      </c>
    </row>
    <row r="49" spans="11:12">
      <c r="K49">
        <f t="shared" si="3"/>
        <v>44</v>
      </c>
      <c r="L49" s="627">
        <f t="shared" si="0"/>
        <v>9.1895936568975652E-3</v>
      </c>
    </row>
    <row r="50" spans="11:12">
      <c r="K50">
        <f t="shared" si="3"/>
        <v>45</v>
      </c>
      <c r="L50" s="627">
        <f t="shared" si="0"/>
        <v>7.7515604389713716E-3</v>
      </c>
    </row>
    <row r="51" spans="11:12">
      <c r="K51">
        <f t="shared" si="3"/>
        <v>46</v>
      </c>
      <c r="L51" s="627">
        <f t="shared" si="0"/>
        <v>6.5245436907222431E-3</v>
      </c>
    </row>
    <row r="52" spans="11:12">
      <c r="K52">
        <f t="shared" si="3"/>
        <v>47</v>
      </c>
      <c r="L52" s="627">
        <f t="shared" si="0"/>
        <v>5.4803423401395893E-3</v>
      </c>
    </row>
    <row r="53" spans="11:12">
      <c r="K53">
        <f t="shared" si="3"/>
        <v>48</v>
      </c>
      <c r="L53" s="627">
        <f t="shared" si="0"/>
        <v>4.5939705620949393E-3</v>
      </c>
    </row>
    <row r="54" spans="11:12">
      <c r="K54">
        <f t="shared" si="3"/>
        <v>49</v>
      </c>
      <c r="L54" s="627">
        <f t="shared" si="0"/>
        <v>3.8434069799750609E-3</v>
      </c>
    </row>
    <row r="55" spans="11:12">
      <c r="K55">
        <f t="shared" si="3"/>
        <v>50</v>
      </c>
      <c r="L55" s="544">
        <f t="shared" si="0"/>
        <v>3.2093363940915464E-3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sheetPr codeName="Sheet225"/>
  <dimension ref="A1:M53"/>
  <sheetViews>
    <sheetView workbookViewId="0"/>
  </sheetViews>
  <sheetFormatPr defaultRowHeight="14.4"/>
  <sheetData>
    <row r="1" spans="1:13">
      <c r="A1" s="1" t="s">
        <v>1877</v>
      </c>
    </row>
    <row r="2" spans="1:13">
      <c r="K2" s="1552" t="s">
        <v>337</v>
      </c>
      <c r="L2" s="1552"/>
      <c r="M2" s="1552"/>
    </row>
    <row r="3" spans="1:13">
      <c r="A3" t="s">
        <v>106</v>
      </c>
      <c r="B3" s="542">
        <v>500</v>
      </c>
      <c r="D3" t="s">
        <v>106</v>
      </c>
      <c r="E3" s="542">
        <v>500</v>
      </c>
      <c r="J3" s="19" t="s">
        <v>28</v>
      </c>
      <c r="K3" s="19">
        <v>2</v>
      </c>
      <c r="L3" s="19">
        <v>4</v>
      </c>
      <c r="M3">
        <v>6</v>
      </c>
    </row>
    <row r="4" spans="1:13">
      <c r="A4" s="65" t="s">
        <v>157</v>
      </c>
      <c r="B4" s="627">
        <v>37</v>
      </c>
      <c r="D4" s="65" t="s">
        <v>157</v>
      </c>
      <c r="E4" s="627">
        <v>37</v>
      </c>
      <c r="G4" s="19" t="s">
        <v>1874</v>
      </c>
      <c r="H4" s="756">
        <v>8</v>
      </c>
      <c r="J4" s="8">
        <v>0</v>
      </c>
      <c r="K4" s="1236">
        <f>_xlfn.BETA.DIST(J4,K$3,$H$4,FALSE)</f>
        <v>0</v>
      </c>
      <c r="L4" s="1152">
        <f>_xlfn.BETA.DIST(J4,L$3,$H$4,FALSE)</f>
        <v>0</v>
      </c>
      <c r="M4" s="1237">
        <f>_xlfn.BETA.DIST(J4,M$3,$H$4,FALSE)</f>
        <v>0</v>
      </c>
    </row>
    <row r="5" spans="1:13">
      <c r="A5" t="s">
        <v>1874</v>
      </c>
      <c r="B5" s="627">
        <f>B3-B4</f>
        <v>463</v>
      </c>
      <c r="D5" t="s">
        <v>1874</v>
      </c>
      <c r="E5" s="627">
        <f>E3-E4</f>
        <v>463</v>
      </c>
      <c r="J5" s="8">
        <f>J4+0.02</f>
        <v>0.02</v>
      </c>
      <c r="K5" s="656">
        <f t="shared" ref="K5:K53" si="0">_xlfn.BETA.DIST(J5,K$3,$H$4,FALSE)</f>
        <v>1.2501007678752769</v>
      </c>
      <c r="L5" s="8">
        <f t="shared" ref="L5:L53" si="1">_xlfn.BETA.DIST(J5,L$3,$H$4,FALSE)</f>
        <v>9.1674056310853628E-3</v>
      </c>
      <c r="M5" s="657">
        <f t="shared" ref="M5:M53" si="2">_xlfn.BETA.DIST(J5,M$3,$H$4,FALSE)</f>
        <v>2.8602305568986287E-5</v>
      </c>
    </row>
    <row r="6" spans="1:13">
      <c r="A6" t="s">
        <v>28</v>
      </c>
      <c r="B6" s="627">
        <v>0.1</v>
      </c>
      <c r="D6" t="s">
        <v>337</v>
      </c>
      <c r="E6" s="627">
        <v>0.05</v>
      </c>
      <c r="H6" s="65" t="s">
        <v>3975</v>
      </c>
      <c r="J6" s="8">
        <f t="shared" ref="J6:J23" si="3">J5+0.02</f>
        <v>0.04</v>
      </c>
      <c r="K6" s="656">
        <f t="shared" si="0"/>
        <v>2.1641687369515008</v>
      </c>
      <c r="L6" s="8">
        <f t="shared" si="1"/>
        <v>6.3482282950577423E-2</v>
      </c>
      <c r="M6" s="657">
        <f t="shared" si="2"/>
        <v>7.9225889122320581E-4</v>
      </c>
    </row>
    <row r="7" spans="1:13">
      <c r="A7" t="s">
        <v>30</v>
      </c>
      <c r="B7" s="544">
        <f>BETADIST(B6,B4,B5)</f>
        <v>0.98071606245988963</v>
      </c>
      <c r="D7" t="s">
        <v>103</v>
      </c>
      <c r="E7" s="627">
        <f>BETAINV(E6/2,E4,E5)</f>
        <v>5.2741687720732705E-2</v>
      </c>
      <c r="H7" s="65" t="s">
        <v>3976</v>
      </c>
      <c r="J7" s="8">
        <f t="shared" si="3"/>
        <v>0.06</v>
      </c>
      <c r="K7" s="656">
        <f t="shared" si="0"/>
        <v>2.8014232069122049</v>
      </c>
      <c r="L7" s="8">
        <f t="shared" si="1"/>
        <v>0.18489393165620557</v>
      </c>
      <c r="M7" s="657">
        <f t="shared" si="2"/>
        <v>5.191821600906252E-3</v>
      </c>
    </row>
    <row r="8" spans="1:13">
      <c r="D8" t="s">
        <v>104</v>
      </c>
      <c r="E8" s="544">
        <f>BETAINV(1-E6/2,E4,E5)</f>
        <v>9.8481588998096781E-2</v>
      </c>
      <c r="H8" s="65" t="s">
        <v>3977</v>
      </c>
      <c r="J8" s="8">
        <f t="shared" si="3"/>
        <v>0.08</v>
      </c>
      <c r="K8" s="656">
        <f t="shared" si="0"/>
        <v>3.2131964231221253</v>
      </c>
      <c r="L8" s="8">
        <f t="shared" si="1"/>
        <v>0.3770150469796627</v>
      </c>
      <c r="M8" s="657">
        <f t="shared" si="2"/>
        <v>1.882059114522475E-2</v>
      </c>
    </row>
    <row r="9" spans="1:13">
      <c r="J9" s="8">
        <f t="shared" si="3"/>
        <v>0.1</v>
      </c>
      <c r="K9" s="656">
        <f t="shared" si="0"/>
        <v>3.4437376800000008</v>
      </c>
      <c r="L9" s="8">
        <f t="shared" si="1"/>
        <v>0.63135190799999996</v>
      </c>
      <c r="M9" s="657">
        <f t="shared" si="2"/>
        <v>4.9245448824000025E-2</v>
      </c>
    </row>
    <row r="10" spans="1:13">
      <c r="J10" s="8">
        <f t="shared" si="3"/>
        <v>0.12000000000000001</v>
      </c>
      <c r="K10" s="656">
        <f t="shared" si="0"/>
        <v>3.5309571526361094</v>
      </c>
      <c r="L10" s="8">
        <f t="shared" si="1"/>
        <v>0.93217268829593336</v>
      </c>
      <c r="M10" s="657">
        <f t="shared" si="2"/>
        <v>0.10470163634939925</v>
      </c>
    </row>
    <row r="11" spans="1:13">
      <c r="J11" s="8">
        <f t="shared" si="3"/>
        <v>0.14000000000000001</v>
      </c>
      <c r="K11" s="656">
        <f t="shared" si="0"/>
        <v>3.5071124479469575</v>
      </c>
      <c r="L11" s="8">
        <f t="shared" si="1"/>
        <v>1.2602224062956064</v>
      </c>
      <c r="M11" s="657">
        <f t="shared" si="2"/>
        <v>0.19266280147447248</v>
      </c>
    </row>
    <row r="12" spans="1:13">
      <c r="J12" s="8">
        <f t="shared" si="3"/>
        <v>0.16</v>
      </c>
      <c r="K12" s="656">
        <f t="shared" si="0"/>
        <v>3.3994407923417098</v>
      </c>
      <c r="L12" s="8">
        <f t="shared" si="1"/>
        <v>1.5954708785390421</v>
      </c>
      <c r="M12" s="657">
        <f t="shared" si="2"/>
        <v>0.31858362502667564</v>
      </c>
    </row>
    <row r="13" spans="1:13">
      <c r="J13" s="8">
        <f t="shared" si="3"/>
        <v>0.18</v>
      </c>
      <c r="K13" s="656">
        <f t="shared" si="0"/>
        <v>3.2307396985571333</v>
      </c>
      <c r="L13" s="8">
        <f t="shared" si="1"/>
        <v>1.919059380942937</v>
      </c>
      <c r="M13" s="657">
        <f t="shared" si="2"/>
        <v>0.48498468675189865</v>
      </c>
    </row>
    <row r="14" spans="1:13">
      <c r="J14" s="8">
        <f t="shared" si="3"/>
        <v>0.19999999999999998</v>
      </c>
      <c r="K14" s="656">
        <f t="shared" si="0"/>
        <v>3.0198988800000013</v>
      </c>
      <c r="L14" s="8">
        <f t="shared" si="1"/>
        <v>2.2145925120000003</v>
      </c>
      <c r="M14" s="657">
        <f t="shared" si="2"/>
        <v>0.69095286374399956</v>
      </c>
    </row>
    <row r="15" spans="1:13">
      <c r="J15" s="8">
        <f t="shared" si="3"/>
        <v>0.21999999999999997</v>
      </c>
      <c r="K15" s="656">
        <f t="shared" si="0"/>
        <v>2.7823861066180617</v>
      </c>
      <c r="L15" s="8">
        <f t="shared" si="1"/>
        <v>2.468903938605759</v>
      </c>
      <c r="M15" s="657">
        <f t="shared" si="2"/>
        <v>0.93206061490244552</v>
      </c>
    </row>
    <row r="16" spans="1:13">
      <c r="J16" s="8">
        <f t="shared" si="3"/>
        <v>0.23999999999999996</v>
      </c>
      <c r="K16" s="656">
        <f t="shared" si="0"/>
        <v>2.5306896220028938</v>
      </c>
      <c r="L16" s="8">
        <f t="shared" si="1"/>
        <v>2.6724082408350553</v>
      </c>
      <c r="M16" s="657">
        <f t="shared" si="2"/>
        <v>1.2006595744423727</v>
      </c>
    </row>
    <row r="17" spans="10:13">
      <c r="J17" s="8">
        <f t="shared" si="3"/>
        <v>0.25999999999999995</v>
      </c>
      <c r="K17" s="656">
        <f t="shared" si="0"/>
        <v>2.2747196671100935</v>
      </c>
      <c r="L17" s="8">
        <f t="shared" si="1"/>
        <v>2.8191359074384419</v>
      </c>
      <c r="M17" s="657">
        <f t="shared" si="2"/>
        <v>1.4864739812741417</v>
      </c>
    </row>
    <row r="18" spans="10:13">
      <c r="J18" s="8">
        <f t="shared" si="3"/>
        <v>0.27999999999999997</v>
      </c>
      <c r="K18" s="656">
        <f t="shared" si="0"/>
        <v>2.0221715816644612</v>
      </c>
      <c r="L18" s="8">
        <f t="shared" si="1"/>
        <v>2.9065346200457185</v>
      </c>
      <c r="M18" s="657">
        <f t="shared" si="2"/>
        <v>1.7774040508503568</v>
      </c>
    </row>
    <row r="19" spans="10:13">
      <c r="J19" s="8">
        <f t="shared" si="3"/>
        <v>0.3</v>
      </c>
      <c r="K19" s="656">
        <f t="shared" si="0"/>
        <v>1.7788528799999999</v>
      </c>
      <c r="L19" s="8">
        <f t="shared" si="1"/>
        <v>2.9351072520000008</v>
      </c>
      <c r="M19" s="657">
        <f t="shared" si="2"/>
        <v>2.0604452909040001</v>
      </c>
    </row>
    <row r="20" spans="10:13">
      <c r="J20" s="8">
        <f t="shared" si="3"/>
        <v>0.32</v>
      </c>
      <c r="K20" s="656">
        <f t="shared" si="0"/>
        <v>1.5489766237667324</v>
      </c>
      <c r="L20" s="8">
        <f t="shared" si="1"/>
        <v>2.9079454483514131</v>
      </c>
      <c r="M20" s="657">
        <f t="shared" si="2"/>
        <v>2.3226341885072408</v>
      </c>
    </row>
    <row r="21" spans="10:13">
      <c r="J21" s="8">
        <f t="shared" si="3"/>
        <v>0.34</v>
      </c>
      <c r="K21" s="656">
        <f t="shared" si="0"/>
        <v>1.3354233396185085</v>
      </c>
      <c r="L21" s="8">
        <f t="shared" si="1"/>
        <v>2.8302071977648269</v>
      </c>
      <c r="M21" s="657">
        <f t="shared" si="2"/>
        <v>2.5519412260805892</v>
      </c>
    </row>
    <row r="22" spans="10:13">
      <c r="J22" s="8">
        <f t="shared" si="3"/>
        <v>0.36000000000000004</v>
      </c>
      <c r="K22" s="656">
        <f t="shared" si="0"/>
        <v>1.139973655678157</v>
      </c>
      <c r="L22" s="8">
        <f t="shared" si="1"/>
        <v>2.7085774058913001</v>
      </c>
      <c r="M22" s="657">
        <f t="shared" si="2"/>
        <v>2.7380467280673986</v>
      </c>
    </row>
    <row r="23" spans="10:13">
      <c r="J23" s="8">
        <f t="shared" si="3"/>
        <v>0.38000000000000006</v>
      </c>
      <c r="K23" s="656">
        <f t="shared" si="0"/>
        <v>0.96351375625850844</v>
      </c>
      <c r="L23" s="8">
        <f t="shared" si="1"/>
        <v>2.5507420840683586</v>
      </c>
      <c r="M23" s="657">
        <f t="shared" si="2"/>
        <v>2.8729518241278749</v>
      </c>
    </row>
    <row r="24" spans="10:13">
      <c r="J24" s="8">
        <f t="shared" ref="J24:J40" si="4">J23+0.02</f>
        <v>0.40000000000000008</v>
      </c>
      <c r="K24" s="656">
        <f t="shared" si="0"/>
        <v>0.80621567999999921</v>
      </c>
      <c r="L24" s="8">
        <f t="shared" si="1"/>
        <v>2.364899327999999</v>
      </c>
      <c r="M24" s="657">
        <f t="shared" si="2"/>
        <v>2.9513943613440006</v>
      </c>
    </row>
    <row r="25" spans="10:13">
      <c r="J25" s="8">
        <f t="shared" si="4"/>
        <v>0.4200000000000001</v>
      </c>
      <c r="K25" s="656">
        <f t="shared" si="0"/>
        <v>0.66769441226772375</v>
      </c>
      <c r="L25" s="8">
        <f t="shared" si="1"/>
        <v>2.159323729273821</v>
      </c>
      <c r="M25" s="657">
        <f t="shared" si="2"/>
        <v>2.9710567055824377</v>
      </c>
    </row>
    <row r="26" spans="10:13">
      <c r="J26" s="8">
        <f t="shared" si="4"/>
        <v>0.44000000000000011</v>
      </c>
      <c r="K26" s="656">
        <f t="shared" si="0"/>
        <v>0.54714364833300411</v>
      </c>
      <c r="L26" s="8">
        <f t="shared" si="1"/>
        <v>1.9419951891499443</v>
      </c>
      <c r="M26" s="657">
        <f t="shared" si="2"/>
        <v>2.9325680952315492</v>
      </c>
    </row>
    <row r="27" spans="10:13">
      <c r="J27" s="8">
        <f t="shared" si="4"/>
        <v>0.46000000000000013</v>
      </c>
      <c r="K27" s="656">
        <f t="shared" si="0"/>
        <v>0.44345202954669999</v>
      </c>
      <c r="L27" s="8">
        <f t="shared" si="1"/>
        <v>1.7202982399548332</v>
      </c>
      <c r="M27" s="657">
        <f t="shared" si="2"/>
        <v>2.8393178390806555</v>
      </c>
    </row>
    <row r="28" spans="10:13">
      <c r="J28" s="8">
        <f t="shared" si="4"/>
        <v>0.48000000000000015</v>
      </c>
      <c r="K28" s="656">
        <f t="shared" si="0"/>
        <v>0.35530158039367638</v>
      </c>
      <c r="L28" s="8">
        <f t="shared" si="1"/>
        <v>1.5007938755828891</v>
      </c>
      <c r="M28" s="657">
        <f t="shared" si="2"/>
        <v>2.6971066896875238</v>
      </c>
    </row>
    <row r="29" spans="10:13">
      <c r="J29" s="8">
        <f t="shared" si="4"/>
        <v>0.50000000000000011</v>
      </c>
      <c r="K29" s="656">
        <f t="shared" si="0"/>
        <v>0.2812499999999995</v>
      </c>
      <c r="L29" s="8">
        <f t="shared" si="1"/>
        <v>1.2890624999999998</v>
      </c>
      <c r="M29" s="657">
        <f t="shared" si="2"/>
        <v>2.5136718749999987</v>
      </c>
    </row>
    <row r="30" spans="10:13">
      <c r="J30" s="8">
        <f t="shared" si="4"/>
        <v>0.52000000000000013</v>
      </c>
      <c r="K30" s="656">
        <f t="shared" si="0"/>
        <v>0.21979838734663637</v>
      </c>
      <c r="L30" s="8">
        <f t="shared" si="1"/>
        <v>1.0896138722063931</v>
      </c>
      <c r="M30" s="657">
        <f t="shared" si="2"/>
        <v>2.2981264101479488</v>
      </c>
    </row>
    <row r="31" spans="10:13">
      <c r="J31" s="8">
        <f t="shared" si="4"/>
        <v>0.54000000000000015</v>
      </c>
      <c r="K31" s="656">
        <f t="shared" si="0"/>
        <v>0.16944590512558044</v>
      </c>
      <c r="L31" s="8">
        <f t="shared" si="1"/>
        <v>0.90585780880135458</v>
      </c>
      <c r="M31" s="657">
        <f t="shared" si="2"/>
        <v>2.0603554689625039</v>
      </c>
    </row>
    <row r="32" spans="10:13">
      <c r="J32" s="8">
        <f t="shared" si="4"/>
        <v>0.56000000000000016</v>
      </c>
      <c r="K32" s="656">
        <f t="shared" si="0"/>
        <v>0.12873281285652452</v>
      </c>
      <c r="L32" s="8">
        <f t="shared" si="1"/>
        <v>0.74012785204977882</v>
      </c>
      <c r="M32" s="657">
        <f t="shared" si="2"/>
        <v>1.8104119363419231</v>
      </c>
    </row>
    <row r="33" spans="10:13">
      <c r="J33" s="8">
        <f t="shared" si="4"/>
        <v>0.58000000000000018</v>
      </c>
      <c r="K33" s="656">
        <f t="shared" si="0"/>
        <v>9.6273225564364545E-2</v>
      </c>
      <c r="L33" s="8">
        <f t="shared" si="1"/>
        <v>0.59374907313062453</v>
      </c>
      <c r="M33" s="657">
        <f t="shared" si="2"/>
        <v>1.5579500679689087</v>
      </c>
    </row>
    <row r="34" spans="10:13">
      <c r="J34" s="8">
        <f t="shared" si="4"/>
        <v>0.6000000000000002</v>
      </c>
      <c r="K34" s="656">
        <f t="shared" si="0"/>
        <v>7.0778879999999905E-2</v>
      </c>
      <c r="L34" s="8">
        <f t="shared" si="1"/>
        <v>0.46714060799999885</v>
      </c>
      <c r="M34" s="657">
        <f t="shared" si="2"/>
        <v>1.3117308272639974</v>
      </c>
    </row>
    <row r="35" spans="10:13">
      <c r="J35" s="8">
        <f t="shared" si="4"/>
        <v>0.62000000000000022</v>
      </c>
      <c r="K35" s="656">
        <f t="shared" si="0"/>
        <v>5.1075116069068623E-2</v>
      </c>
      <c r="L35" s="8">
        <f t="shared" si="1"/>
        <v>0.35994336797741672</v>
      </c>
      <c r="M35" s="657">
        <f t="shared" si="2"/>
        <v>1.0792253990740479</v>
      </c>
    </row>
    <row r="36" spans="10:13">
      <c r="J36" s="8">
        <f t="shared" si="4"/>
        <v>0.64000000000000024</v>
      </c>
      <c r="K36" s="656">
        <f t="shared" si="0"/>
        <v>3.6110206815436661E-2</v>
      </c>
      <c r="L36" s="8">
        <f t="shared" si="1"/>
        <v>0.27116357971271926</v>
      </c>
      <c r="M36" s="657">
        <f t="shared" si="2"/>
        <v>0.86633509755257232</v>
      </c>
    </row>
    <row r="37" spans="10:13">
      <c r="J37" s="8">
        <f t="shared" si="4"/>
        <v>0.66000000000000025</v>
      </c>
      <c r="K37" s="656">
        <f t="shared" si="0"/>
        <v>2.4959095988428687E-2</v>
      </c>
      <c r="L37" s="8">
        <f t="shared" si="1"/>
        <v>0.19932334056359172</v>
      </c>
      <c r="M37" s="657">
        <f t="shared" si="2"/>
        <v>0.67723692776610411</v>
      </c>
    </row>
    <row r="38" spans="10:13">
      <c r="J38" s="8">
        <f t="shared" si="4"/>
        <v>0.68000000000000027</v>
      </c>
      <c r="K38" s="656">
        <f t="shared" si="0"/>
        <v>1.6822527904972719E-2</v>
      </c>
      <c r="L38" s="8">
        <f t="shared" si="1"/>
        <v>0.14261017655975544</v>
      </c>
      <c r="M38" s="657">
        <f t="shared" si="2"/>
        <v>0.51435497600160118</v>
      </c>
    </row>
    <row r="39" spans="10:13">
      <c r="J39" s="8">
        <f t="shared" si="4"/>
        <v>0.70000000000000029</v>
      </c>
      <c r="K39" s="656">
        <f t="shared" si="0"/>
        <v>1.1022479999999927E-2</v>
      </c>
      <c r="L39" s="8">
        <f t="shared" si="1"/>
        <v>9.9018611999999548E-2</v>
      </c>
      <c r="M39" s="657">
        <f t="shared" si="2"/>
        <v>0.37844913506399808</v>
      </c>
    </row>
    <row r="40" spans="10:13">
      <c r="J40" s="8">
        <f t="shared" si="4"/>
        <v>0.72000000000000031</v>
      </c>
      <c r="K40" s="656">
        <f t="shared" si="0"/>
        <v>6.9947341406207467E-3</v>
      </c>
      <c r="L40" s="8">
        <f t="shared" si="1"/>
        <v>6.6477953272459672E-2</v>
      </c>
      <c r="M40" s="657">
        <f t="shared" si="2"/>
        <v>0.2688049336162564</v>
      </c>
    </row>
    <row r="41" spans="10:13">
      <c r="J41" s="8">
        <f t="shared" ref="J41:J47" si="5">J40+0.02</f>
        <v>0.74000000000000032</v>
      </c>
      <c r="K41" s="656">
        <f t="shared" si="0"/>
        <v>4.2793484617727681E-3</v>
      </c>
      <c r="L41" s="8">
        <f t="shared" si="1"/>
        <v>4.29618056572241E-2</v>
      </c>
      <c r="M41" s="657">
        <f t="shared" si="2"/>
        <v>0.18350190126758836</v>
      </c>
    </row>
    <row r="42" spans="10:13">
      <c r="J42" s="8">
        <f t="shared" si="5"/>
        <v>0.76000000000000034</v>
      </c>
      <c r="K42" s="656">
        <f t="shared" si="0"/>
        <v>2.5097171632127786E-3</v>
      </c>
      <c r="L42" s="8">
        <f t="shared" si="1"/>
        <v>2.6576231613647888E-2</v>
      </c>
      <c r="M42" s="657">
        <f t="shared" si="2"/>
        <v>0.11973336476433558</v>
      </c>
    </row>
    <row r="43" spans="10:13">
      <c r="J43" s="8">
        <f t="shared" si="5"/>
        <v>0.78000000000000036</v>
      </c>
      <c r="K43" s="656">
        <f t="shared" si="0"/>
        <v>1.4008313899007857E-3</v>
      </c>
      <c r="L43" s="8">
        <f t="shared" si="1"/>
        <v>1.5624873322953373E-2</v>
      </c>
      <c r="M43" s="657">
        <f t="shared" si="2"/>
        <v>7.4148148851541695E-2</v>
      </c>
    </row>
    <row r="44" spans="10:13">
      <c r="J44" s="8">
        <f t="shared" si="5"/>
        <v>0.80000000000000038</v>
      </c>
      <c r="K44" s="656">
        <f t="shared" si="0"/>
        <v>7.3727999999999262E-4</v>
      </c>
      <c r="L44" s="8">
        <f t="shared" si="1"/>
        <v>8.6507519999998971E-3</v>
      </c>
      <c r="M44" s="657">
        <f t="shared" si="2"/>
        <v>4.31845539839995E-2</v>
      </c>
    </row>
    <row r="45" spans="10:13">
      <c r="J45" s="8">
        <f t="shared" si="5"/>
        <v>0.8200000000000004</v>
      </c>
      <c r="K45" s="656">
        <f t="shared" si="0"/>
        <v>3.614547068927951E-4</v>
      </c>
      <c r="L45" s="8">
        <f t="shared" si="1"/>
        <v>4.4557726567697837E-3</v>
      </c>
      <c r="M45" s="657">
        <f t="shared" si="2"/>
        <v>2.3369279968413637E-2</v>
      </c>
    </row>
    <row r="46" spans="10:13">
      <c r="J46" s="8">
        <f t="shared" si="5"/>
        <v>0.84000000000000041</v>
      </c>
      <c r="K46" s="656">
        <f t="shared" si="0"/>
        <v>1.6234976378879716E-4</v>
      </c>
      <c r="L46" s="8">
        <f t="shared" si="1"/>
        <v>2.1001565443718806E-3</v>
      </c>
      <c r="M46" s="657">
        <f t="shared" si="2"/>
        <v>1.1558589570128647E-2</v>
      </c>
    </row>
    <row r="47" spans="10:13">
      <c r="J47" s="8">
        <f t="shared" si="5"/>
        <v>0.86000000000000043</v>
      </c>
      <c r="K47" s="656">
        <f t="shared" si="0"/>
        <v>6.5272041676798685E-5</v>
      </c>
      <c r="L47" s="8">
        <f t="shared" si="1"/>
        <v>8.850453704429389E-4</v>
      </c>
      <c r="M47" s="657">
        <f t="shared" si="2"/>
        <v>5.1057205366408709E-3</v>
      </c>
    </row>
    <row r="48" spans="10:13">
      <c r="J48" s="8">
        <f t="shared" ref="J48:J53" si="6">J47+0.02</f>
        <v>0.88000000000000045</v>
      </c>
      <c r="K48" s="656">
        <f t="shared" si="0"/>
        <v>2.270303354879946E-5</v>
      </c>
      <c r="L48" s="8">
        <f t="shared" si="1"/>
        <v>3.2232253497015546E-4</v>
      </c>
      <c r="M48" s="657">
        <f t="shared" si="2"/>
        <v>1.9469312544309273E-3</v>
      </c>
    </row>
    <row r="49" spans="10:13">
      <c r="J49" s="8">
        <f t="shared" si="6"/>
        <v>0.90000000000000047</v>
      </c>
      <c r="K49" s="656">
        <f t="shared" si="0"/>
        <v>6.4799999999997965E-6</v>
      </c>
      <c r="L49" s="8">
        <f t="shared" si="1"/>
        <v>9.6227999999997019E-5</v>
      </c>
      <c r="M49" s="657">
        <f t="shared" si="2"/>
        <v>6.0796850399998223E-4</v>
      </c>
    </row>
    <row r="50" spans="10:13">
      <c r="J50" s="8">
        <f t="shared" si="6"/>
        <v>0.92000000000000048</v>
      </c>
      <c r="K50" s="656">
        <f t="shared" si="0"/>
        <v>1.389153484799946E-6</v>
      </c>
      <c r="L50" s="8">
        <f t="shared" si="1"/>
        <v>2.1555957674802381E-5</v>
      </c>
      <c r="M50" s="657">
        <f t="shared" si="2"/>
        <v>1.4231070809243114E-4</v>
      </c>
    </row>
    <row r="51" spans="10:13">
      <c r="J51" s="8">
        <f t="shared" si="6"/>
        <v>0.9400000000000005</v>
      </c>
      <c r="K51" s="656">
        <f t="shared" si="0"/>
        <v>1.8946068479998937E-7</v>
      </c>
      <c r="L51" s="8">
        <f t="shared" si="1"/>
        <v>3.0691367866366243E-6</v>
      </c>
      <c r="M51" s="657">
        <f t="shared" si="2"/>
        <v>2.1152736264442619E-5</v>
      </c>
    </row>
    <row r="52" spans="10:13">
      <c r="J52" s="8">
        <f t="shared" si="6"/>
        <v>0.96000000000000052</v>
      </c>
      <c r="K52" s="656">
        <f t="shared" si="0"/>
        <v>1.1324620799998985E-8</v>
      </c>
      <c r="L52" s="8">
        <f t="shared" si="1"/>
        <v>1.9134079303678326E-7</v>
      </c>
      <c r="M52" s="657">
        <f t="shared" si="2"/>
        <v>1.3754494639290579E-6</v>
      </c>
    </row>
    <row r="53" spans="10:13">
      <c r="J53" s="8">
        <f t="shared" si="6"/>
        <v>0.98000000000000054</v>
      </c>
      <c r="K53" s="533">
        <f t="shared" si="0"/>
        <v>9.0316799999982906E-11</v>
      </c>
      <c r="L53" s="1078">
        <f t="shared" si="1"/>
        <v>1.5902380031996985E-9</v>
      </c>
      <c r="M53" s="541">
        <f t="shared" si="2"/>
        <v>1.1912663710529423E-8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sheetPr codeName="Sheet167"/>
  <dimension ref="A1:H22"/>
  <sheetViews>
    <sheetView workbookViewId="0"/>
  </sheetViews>
  <sheetFormatPr defaultRowHeight="14.4"/>
  <cols>
    <col min="1" max="1" width="14.33203125" customWidth="1"/>
    <col min="3" max="3" width="3.5546875" customWidth="1"/>
    <col min="4" max="4" width="22.6640625" customWidth="1"/>
    <col min="5" max="5" width="18.5546875" customWidth="1"/>
  </cols>
  <sheetData>
    <row r="1" spans="1:4">
      <c r="A1" s="1" t="s">
        <v>1701</v>
      </c>
    </row>
    <row r="3" spans="1:4">
      <c r="A3" t="s">
        <v>1696</v>
      </c>
      <c r="B3" s="542">
        <v>4</v>
      </c>
    </row>
    <row r="4" spans="1:4">
      <c r="A4" t="s">
        <v>1697</v>
      </c>
      <c r="B4" s="627">
        <v>0</v>
      </c>
    </row>
    <row r="5" spans="1:4">
      <c r="A5" t="s">
        <v>1702</v>
      </c>
      <c r="B5" s="627">
        <v>6</v>
      </c>
    </row>
    <row r="6" spans="1:4">
      <c r="A6" t="s">
        <v>1704</v>
      </c>
      <c r="B6" s="627">
        <f>3/8</f>
        <v>0.375</v>
      </c>
    </row>
    <row r="7" spans="1:4">
      <c r="A7" t="s">
        <v>1705</v>
      </c>
      <c r="B7" s="627">
        <f>1/8</f>
        <v>0.125</v>
      </c>
    </row>
    <row r="8" spans="1:4">
      <c r="A8" t="s">
        <v>1706</v>
      </c>
      <c r="B8" s="627">
        <f>4/8</f>
        <v>0.5</v>
      </c>
    </row>
    <row r="9" spans="1:4">
      <c r="A9" t="s">
        <v>1703</v>
      </c>
      <c r="B9" s="627">
        <f>MULTINOMIAL(B3:B5)</f>
        <v>209.99999999999977</v>
      </c>
      <c r="D9" s="23" t="s">
        <v>1711</v>
      </c>
    </row>
    <row r="10" spans="1:4">
      <c r="A10" t="s">
        <v>1708</v>
      </c>
      <c r="B10" s="627">
        <f>B6^B3</f>
        <v>1.9775390625E-2</v>
      </c>
      <c r="D10" s="23" t="s">
        <v>1712</v>
      </c>
    </row>
    <row r="11" spans="1:4">
      <c r="A11" t="s">
        <v>1709</v>
      </c>
      <c r="B11" s="627">
        <f>B7^B4</f>
        <v>1</v>
      </c>
      <c r="D11" s="23" t="s">
        <v>1713</v>
      </c>
    </row>
    <row r="12" spans="1:4">
      <c r="A12" t="s">
        <v>1710</v>
      </c>
      <c r="B12" s="627">
        <f>B8^B5</f>
        <v>1.5625E-2</v>
      </c>
      <c r="D12" s="23" t="s">
        <v>1714</v>
      </c>
    </row>
    <row r="13" spans="1:4">
      <c r="A13" t="s">
        <v>1707</v>
      </c>
      <c r="B13" s="544">
        <f>B9*PRODUCT(B10:B12)</f>
        <v>6.4888000488281181E-2</v>
      </c>
      <c r="D13" s="23" t="s">
        <v>1715</v>
      </c>
    </row>
    <row r="16" spans="1:4">
      <c r="A16" t="s">
        <v>1723</v>
      </c>
    </row>
    <row r="18" spans="1:8">
      <c r="A18" t="s">
        <v>1707</v>
      </c>
      <c r="B18" s="655">
        <f>B9*EXP(SUMPRODUCT(B3:B5,LN(B6:B8)))</f>
        <v>6.4888000488281153E-2</v>
      </c>
      <c r="D18" s="23" t="s">
        <v>1716</v>
      </c>
      <c r="H18" t="e">
        <f ca="1">[1]!FTEXT(G18)</f>
        <v>#NAME?</v>
      </c>
    </row>
    <row r="20" spans="1:8">
      <c r="A20" t="s">
        <v>1707</v>
      </c>
      <c r="B20" s="756">
        <f t="array" ref="B20">PRODUCT(B9,B6:B8^B3:B5)</f>
        <v>6.4888000488281181E-2</v>
      </c>
      <c r="D20" t="e">
        <f ca="1">[1]!FTEXT(B20)</f>
        <v>#NAME?</v>
      </c>
    </row>
    <row r="22" spans="1:8">
      <c r="A22" t="s">
        <v>1707</v>
      </c>
      <c r="B22" s="655" t="e">
        <f ca="1">[1]!MULTINOMDIST(B3:B5,B6:B8)</f>
        <v>#NAME?</v>
      </c>
      <c r="D22" s="23" t="s">
        <v>1717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sheetPr codeName="Sheet189"/>
  <dimension ref="A1:I16"/>
  <sheetViews>
    <sheetView workbookViewId="0"/>
  </sheetViews>
  <sheetFormatPr defaultRowHeight="14.4"/>
  <sheetData>
    <row r="1" spans="1:9">
      <c r="A1" s="1" t="s">
        <v>1718</v>
      </c>
      <c r="F1" s="19" t="s">
        <v>28</v>
      </c>
      <c r="G1">
        <v>2</v>
      </c>
      <c r="H1">
        <v>3</v>
      </c>
      <c r="I1">
        <v>4</v>
      </c>
    </row>
    <row r="2" spans="1:9">
      <c r="F2">
        <v>0</v>
      </c>
      <c r="G2" s="1236">
        <f t="shared" ref="G2:I14" si="0">POISSON($F2,G$1,FALSE)</f>
        <v>0.1353352832366127</v>
      </c>
      <c r="H2" s="1152">
        <f t="shared" si="0"/>
        <v>4.9787068367863944E-2</v>
      </c>
      <c r="I2" s="1237">
        <f t="shared" si="0"/>
        <v>1.8315638888734179E-2</v>
      </c>
    </row>
    <row r="3" spans="1:9">
      <c r="A3" t="s">
        <v>325</v>
      </c>
      <c r="B3" s="542">
        <v>5.0000000000000001E-4</v>
      </c>
      <c r="F3">
        <f>F2+1</f>
        <v>1</v>
      </c>
      <c r="G3" s="656">
        <f t="shared" si="0"/>
        <v>0.27067056647322535</v>
      </c>
      <c r="H3" s="8">
        <f t="shared" si="0"/>
        <v>0.14936120510359185</v>
      </c>
      <c r="I3" s="657">
        <f t="shared" si="0"/>
        <v>7.3262555554936715E-2</v>
      </c>
    </row>
    <row r="4" spans="1:9">
      <c r="A4" t="s">
        <v>106</v>
      </c>
      <c r="B4" s="627">
        <v>4000</v>
      </c>
      <c r="F4">
        <f>F3+1</f>
        <v>2</v>
      </c>
      <c r="G4" s="656">
        <f t="shared" si="0"/>
        <v>0.27067056647322546</v>
      </c>
      <c r="H4" s="8">
        <f t="shared" si="0"/>
        <v>0.22404180765538775</v>
      </c>
      <c r="I4" s="657">
        <f t="shared" si="0"/>
        <v>0.14652511110987346</v>
      </c>
    </row>
    <row r="5" spans="1:9">
      <c r="A5" t="s">
        <v>28</v>
      </c>
      <c r="B5" s="544">
        <v>3</v>
      </c>
      <c r="F5">
        <f t="shared" ref="F5:F14" si="1">F4+1</f>
        <v>3</v>
      </c>
      <c r="G5" s="656">
        <f t="shared" si="0"/>
        <v>0.18044704431548364</v>
      </c>
      <c r="H5" s="8">
        <f t="shared" si="0"/>
        <v>0.22404180765538778</v>
      </c>
      <c r="I5" s="657">
        <f t="shared" si="0"/>
        <v>0.19536681481316462</v>
      </c>
    </row>
    <row r="6" spans="1:9">
      <c r="F6">
        <f t="shared" si="1"/>
        <v>4</v>
      </c>
      <c r="G6" s="656">
        <f t="shared" si="0"/>
        <v>9.022352215774182E-2</v>
      </c>
      <c r="H6" s="8">
        <f t="shared" si="0"/>
        <v>0.16803135574154085</v>
      </c>
      <c r="I6" s="657">
        <f t="shared" si="0"/>
        <v>0.19536681481316462</v>
      </c>
    </row>
    <row r="7" spans="1:9">
      <c r="A7" t="s">
        <v>1719</v>
      </c>
      <c r="F7">
        <f t="shared" si="1"/>
        <v>5</v>
      </c>
      <c r="G7" s="656">
        <f t="shared" si="0"/>
        <v>3.6089408863096716E-2</v>
      </c>
      <c r="H7" s="8">
        <f t="shared" si="0"/>
        <v>0.10081881344492449</v>
      </c>
      <c r="I7" s="657">
        <f t="shared" si="0"/>
        <v>0.1562934518505317</v>
      </c>
    </row>
    <row r="8" spans="1:9">
      <c r="F8">
        <f t="shared" si="1"/>
        <v>6</v>
      </c>
      <c r="G8" s="656">
        <f t="shared" si="0"/>
        <v>1.2029802954365572E-2</v>
      </c>
      <c r="H8" s="8">
        <f t="shared" si="0"/>
        <v>5.0409406722462261E-2</v>
      </c>
      <c r="I8" s="657">
        <f t="shared" si="0"/>
        <v>0.10419563456702115</v>
      </c>
    </row>
    <row r="9" spans="1:9">
      <c r="A9" t="s">
        <v>1720</v>
      </c>
      <c r="B9" s="542">
        <f>BINOMDIST(B5,B4,B3,TRUE)</f>
        <v>0.85716859294431169</v>
      </c>
      <c r="F9">
        <f t="shared" si="1"/>
        <v>7</v>
      </c>
      <c r="G9" s="656">
        <f t="shared" si="0"/>
        <v>3.4370865583901629E-3</v>
      </c>
      <c r="H9" s="8">
        <f t="shared" si="0"/>
        <v>2.1604031452483807E-2</v>
      </c>
      <c r="I9" s="657">
        <f t="shared" si="0"/>
        <v>5.9540362609726373E-2</v>
      </c>
    </row>
    <row r="10" spans="1:9">
      <c r="A10" t="s">
        <v>1721</v>
      </c>
      <c r="B10" s="544">
        <f>1-B9</f>
        <v>0.14283140705568831</v>
      </c>
      <c r="F10">
        <f t="shared" si="1"/>
        <v>8</v>
      </c>
      <c r="G10" s="656">
        <f t="shared" si="0"/>
        <v>8.5927163959754148E-4</v>
      </c>
      <c r="H10" s="8">
        <f t="shared" si="0"/>
        <v>8.1015117946814375E-3</v>
      </c>
      <c r="I10" s="657">
        <f t="shared" si="0"/>
        <v>2.9770181304863183E-2</v>
      </c>
    </row>
    <row r="11" spans="1:9">
      <c r="F11">
        <f t="shared" si="1"/>
        <v>9</v>
      </c>
      <c r="G11" s="656">
        <f t="shared" si="0"/>
        <v>1.9094925324389769E-4</v>
      </c>
      <c r="H11" s="8">
        <f t="shared" si="0"/>
        <v>2.7005039315604771E-3</v>
      </c>
      <c r="I11" s="657">
        <f t="shared" si="0"/>
        <v>1.3231191691050297E-2</v>
      </c>
    </row>
    <row r="12" spans="1:9">
      <c r="A12" t="s">
        <v>1722</v>
      </c>
      <c r="F12">
        <f t="shared" si="1"/>
        <v>10</v>
      </c>
      <c r="G12" s="656">
        <f t="shared" si="0"/>
        <v>3.8189850648779602E-5</v>
      </c>
      <c r="H12" s="8">
        <f t="shared" si="0"/>
        <v>8.1015117946814244E-4</v>
      </c>
      <c r="I12" s="657">
        <f t="shared" si="0"/>
        <v>5.2924766764201169E-3</v>
      </c>
    </row>
    <row r="13" spans="1:9">
      <c r="F13">
        <f t="shared" si="1"/>
        <v>11</v>
      </c>
      <c r="G13" s="656">
        <f t="shared" si="0"/>
        <v>6.9436092088690095E-6</v>
      </c>
      <c r="H13" s="8">
        <f t="shared" si="0"/>
        <v>2.2095032167312987E-4</v>
      </c>
      <c r="I13" s="657">
        <f t="shared" si="0"/>
        <v>1.9245369732436813E-3</v>
      </c>
    </row>
    <row r="14" spans="1:9">
      <c r="A14" s="65" t="s">
        <v>1449</v>
      </c>
      <c r="B14" s="542">
        <f>B3*B4</f>
        <v>2</v>
      </c>
      <c r="F14">
        <f t="shared" si="1"/>
        <v>12</v>
      </c>
      <c r="G14" s="533">
        <f t="shared" si="0"/>
        <v>1.1572682014781686E-6</v>
      </c>
      <c r="H14" s="1078">
        <f t="shared" si="0"/>
        <v>5.5237580418282596E-5</v>
      </c>
      <c r="I14" s="541">
        <f t="shared" si="0"/>
        <v>6.4151232441456022E-4</v>
      </c>
    </row>
    <row r="15" spans="1:9">
      <c r="A15" t="s">
        <v>1720</v>
      </c>
      <c r="B15" s="627">
        <f>POISSON(B5,B14,TRUE)</f>
        <v>0.85712346049854693</v>
      </c>
    </row>
    <row r="16" spans="1:9">
      <c r="A16" t="s">
        <v>1721</v>
      </c>
      <c r="B16" s="544">
        <f>1-B15</f>
        <v>0.14287653950145307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sheetPr codeName="Sheet199"/>
  <dimension ref="A1:G8"/>
  <sheetViews>
    <sheetView workbookViewId="0"/>
  </sheetViews>
  <sheetFormatPr defaultRowHeight="14.4"/>
  <cols>
    <col min="8" max="8" width="12" bestFit="1" customWidth="1"/>
    <col min="10" max="10" width="12" bestFit="1" customWidth="1"/>
  </cols>
  <sheetData>
    <row r="1" spans="1:7">
      <c r="A1" s="1" t="s">
        <v>1724</v>
      </c>
    </row>
    <row r="2" spans="1:7">
      <c r="D2" s="1552" t="s">
        <v>1725</v>
      </c>
      <c r="E2" s="1552"/>
      <c r="F2" s="1552"/>
      <c r="G2" s="1552"/>
    </row>
    <row r="3" spans="1:7">
      <c r="A3" t="s">
        <v>63</v>
      </c>
      <c r="B3" s="542">
        <v>100</v>
      </c>
      <c r="D3" s="553">
        <f>B3</f>
        <v>100</v>
      </c>
      <c r="E3" s="666">
        <f>D3</f>
        <v>100</v>
      </c>
      <c r="F3" s="666">
        <f>E3</f>
        <v>100</v>
      </c>
      <c r="G3" s="667">
        <f>F3</f>
        <v>100</v>
      </c>
    </row>
    <row r="4" spans="1:7">
      <c r="A4" t="s">
        <v>28</v>
      </c>
      <c r="B4" s="544">
        <v>120</v>
      </c>
      <c r="D4" s="533">
        <v>130</v>
      </c>
      <c r="E4" s="534">
        <v>125</v>
      </c>
      <c r="F4" s="534">
        <v>123</v>
      </c>
      <c r="G4" s="541">
        <v>124</v>
      </c>
    </row>
    <row r="6" spans="1:7">
      <c r="A6" t="s">
        <v>1720</v>
      </c>
      <c r="B6" s="655">
        <f>POISSON(B4,B3,TRUE)</f>
        <v>0.97733067092164738</v>
      </c>
      <c r="D6" s="658">
        <f>POISSON(D4,D3,TRUE)</f>
        <v>0.99829315962949849</v>
      </c>
      <c r="E6" s="697">
        <f>POISSON(E4,E3,TRUE)</f>
        <v>0.99320235101576038</v>
      </c>
      <c r="F6" s="697">
        <f>POISSON(F4,F3,TRUE)</f>
        <v>0.98875646350578461</v>
      </c>
      <c r="G6" s="698">
        <f>POISSON(G4,G3,TRUE)</f>
        <v>0.99122640101132675</v>
      </c>
    </row>
    <row r="8" spans="1:7">
      <c r="D8" t="s">
        <v>3838</v>
      </c>
      <c r="G8" s="756" t="e">
        <f ca="1">[1]!POISSON_INV(0.99,B3)</f>
        <v>#NAME?</v>
      </c>
    </row>
  </sheetData>
  <mergeCells count="1">
    <mergeCell ref="D2:G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sheetPr codeName="Sheet284"/>
  <dimension ref="A1:Z24"/>
  <sheetViews>
    <sheetView topLeftCell="B1" workbookViewId="0">
      <selection activeCell="U1" sqref="U1"/>
    </sheetView>
  </sheetViews>
  <sheetFormatPr defaultRowHeight="14.4"/>
  <sheetData>
    <row r="1" spans="1:26">
      <c r="A1" s="1" t="s">
        <v>3175</v>
      </c>
      <c r="B1" t="s">
        <v>3177</v>
      </c>
      <c r="K1" t="s">
        <v>3176</v>
      </c>
      <c r="U1" t="s">
        <v>3178</v>
      </c>
    </row>
    <row r="3" spans="1:26">
      <c r="B3">
        <v>0</v>
      </c>
      <c r="C3">
        <f t="shared" ref="C3:H3" si="0">B3+1</f>
        <v>1</v>
      </c>
      <c r="D3">
        <f t="shared" si="0"/>
        <v>2</v>
      </c>
      <c r="E3">
        <f t="shared" si="0"/>
        <v>3</v>
      </c>
      <c r="F3">
        <f t="shared" si="0"/>
        <v>4</v>
      </c>
      <c r="G3">
        <f t="shared" si="0"/>
        <v>5</v>
      </c>
      <c r="H3">
        <f t="shared" si="0"/>
        <v>6</v>
      </c>
      <c r="K3">
        <v>0</v>
      </c>
      <c r="L3">
        <f>K3+1</f>
        <v>1</v>
      </c>
      <c r="M3">
        <f t="shared" ref="M3:R3" si="1">L3+1</f>
        <v>2</v>
      </c>
      <c r="N3">
        <f t="shared" si="1"/>
        <v>3</v>
      </c>
      <c r="O3">
        <f t="shared" si="1"/>
        <v>4</v>
      </c>
      <c r="P3">
        <f t="shared" si="1"/>
        <v>5</v>
      </c>
      <c r="Q3">
        <f t="shared" si="1"/>
        <v>6</v>
      </c>
      <c r="R3">
        <f t="shared" si="1"/>
        <v>7</v>
      </c>
      <c r="U3">
        <v>1</v>
      </c>
      <c r="V3">
        <f>U3+1</f>
        <v>2</v>
      </c>
      <c r="W3">
        <f>V3+1</f>
        <v>3</v>
      </c>
      <c r="X3">
        <f>W3+1</f>
        <v>4</v>
      </c>
      <c r="Y3">
        <f>X3+1</f>
        <v>5</v>
      </c>
      <c r="Z3">
        <f>Y3+1</f>
        <v>6</v>
      </c>
    </row>
    <row r="4" spans="1:26">
      <c r="A4">
        <v>0</v>
      </c>
      <c r="B4" s="1067">
        <v>0</v>
      </c>
      <c r="C4" s="1152">
        <f>B4</f>
        <v>0</v>
      </c>
      <c r="D4" s="1152">
        <f>C4</f>
        <v>0</v>
      </c>
      <c r="E4" s="1152">
        <f>D4</f>
        <v>0</v>
      </c>
      <c r="F4" s="1152">
        <f>E4</f>
        <v>0</v>
      </c>
      <c r="G4" s="1152">
        <f>F4</f>
        <v>0</v>
      </c>
      <c r="H4" s="1071">
        <v>1</v>
      </c>
      <c r="J4">
        <v>0</v>
      </c>
      <c r="K4" s="1067">
        <v>0</v>
      </c>
      <c r="L4" s="1152">
        <f t="shared" ref="L4:Q4" si="2">K4</f>
        <v>0</v>
      </c>
      <c r="M4" s="1152">
        <f t="shared" si="2"/>
        <v>0</v>
      </c>
      <c r="N4" s="1152">
        <f t="shared" si="2"/>
        <v>0</v>
      </c>
      <c r="O4" s="1152">
        <f t="shared" si="2"/>
        <v>0</v>
      </c>
      <c r="P4" s="1152">
        <f t="shared" si="2"/>
        <v>0</v>
      </c>
      <c r="Q4" s="1152">
        <f t="shared" si="2"/>
        <v>0</v>
      </c>
      <c r="R4" s="1071">
        <v>1</v>
      </c>
      <c r="T4">
        <v>0</v>
      </c>
      <c r="U4" s="1067">
        <v>0</v>
      </c>
      <c r="V4" s="1152">
        <f>U4</f>
        <v>0</v>
      </c>
      <c r="W4" s="1152">
        <f>V4</f>
        <v>0</v>
      </c>
      <c r="X4" s="1152">
        <f>W4</f>
        <v>0</v>
      </c>
      <c r="Y4" s="1152">
        <f>X4</f>
        <v>0</v>
      </c>
      <c r="Z4" s="1071">
        <v>1</v>
      </c>
    </row>
    <row r="5" spans="1:26">
      <c r="A5">
        <f>A4+1</f>
        <v>1</v>
      </c>
      <c r="B5" s="656">
        <f t="shared" ref="B5:G5" si="3">0.5*C4+0.5*$B4</f>
        <v>0</v>
      </c>
      <c r="C5" s="8">
        <f t="shared" si="3"/>
        <v>0</v>
      </c>
      <c r="D5" s="8">
        <f t="shared" si="3"/>
        <v>0</v>
      </c>
      <c r="E5" s="8">
        <f t="shared" si="3"/>
        <v>0</v>
      </c>
      <c r="F5" s="8">
        <f t="shared" si="3"/>
        <v>0</v>
      </c>
      <c r="G5" s="8">
        <f t="shared" si="3"/>
        <v>0.5</v>
      </c>
      <c r="H5" s="657">
        <f>H4</f>
        <v>1</v>
      </c>
      <c r="J5">
        <f>J4+1</f>
        <v>1</v>
      </c>
      <c r="K5" s="656">
        <f>0.5*L4+0.5*$K4</f>
        <v>0</v>
      </c>
      <c r="L5" s="8">
        <f t="shared" ref="L5:Q5" si="4">0.5*M4+0.5*$K4</f>
        <v>0</v>
      </c>
      <c r="M5" s="8">
        <f t="shared" si="4"/>
        <v>0</v>
      </c>
      <c r="N5" s="8">
        <f t="shared" si="4"/>
        <v>0</v>
      </c>
      <c r="O5" s="8">
        <f t="shared" si="4"/>
        <v>0</v>
      </c>
      <c r="P5" s="8">
        <f t="shared" si="4"/>
        <v>0</v>
      </c>
      <c r="Q5" s="8">
        <f t="shared" si="4"/>
        <v>0.5</v>
      </c>
      <c r="R5" s="657">
        <f>R4</f>
        <v>1</v>
      </c>
      <c r="T5">
        <f>T4+1</f>
        <v>1</v>
      </c>
      <c r="U5" s="656">
        <f>0.5*V4+0.5*$U4</f>
        <v>0</v>
      </c>
      <c r="V5" s="8">
        <f>0.5*W4+0.5*$U4</f>
        <v>0</v>
      </c>
      <c r="W5" s="8">
        <f>0.5*X4+0.5*$U4</f>
        <v>0</v>
      </c>
      <c r="X5" s="8">
        <f>0.5*Y4+0.5*$U4</f>
        <v>0</v>
      </c>
      <c r="Y5" s="8">
        <f>0.5*Z4+0.5*$U4</f>
        <v>0.5</v>
      </c>
      <c r="Z5" s="657">
        <f>Z4</f>
        <v>1</v>
      </c>
    </row>
    <row r="6" spans="1:26">
      <c r="A6">
        <f t="shared" ref="A6:A23" si="5">A5+1</f>
        <v>2</v>
      </c>
      <c r="B6" s="656">
        <f t="shared" ref="B6:B24" si="6">0.5*C5+0.5*$B5</f>
        <v>0</v>
      </c>
      <c r="C6" s="8">
        <f t="shared" ref="C6:C24" si="7">0.5*D5+0.5*$B5</f>
        <v>0</v>
      </c>
      <c r="D6" s="8">
        <f t="shared" ref="D6:D24" si="8">0.5*E5+0.5*$B5</f>
        <v>0</v>
      </c>
      <c r="E6" s="8">
        <f t="shared" ref="E6:E24" si="9">0.5*F5+0.5*$B5</f>
        <v>0</v>
      </c>
      <c r="F6" s="8">
        <f t="shared" ref="F6:F24" si="10">0.5*G5+0.5*$B5</f>
        <v>0.25</v>
      </c>
      <c r="G6" s="8">
        <f t="shared" ref="G6:G24" si="11">0.5*H5+0.5*$B5</f>
        <v>0.5</v>
      </c>
      <c r="H6" s="657">
        <f t="shared" ref="H6:H24" si="12">H5</f>
        <v>1</v>
      </c>
      <c r="J6">
        <f t="shared" ref="J6:J23" si="13">J5+1</f>
        <v>2</v>
      </c>
      <c r="K6" s="656">
        <f t="shared" ref="K6:K23" si="14">0.5*L5+0.5*$K5</f>
        <v>0</v>
      </c>
      <c r="L6" s="8">
        <f t="shared" ref="L6:L23" si="15">0.5*M5+0.5*$K5</f>
        <v>0</v>
      </c>
      <c r="M6" s="8">
        <f t="shared" ref="M6:M23" si="16">0.5*N5+0.5*$K5</f>
        <v>0</v>
      </c>
      <c r="N6" s="8">
        <f t="shared" ref="N6:N23" si="17">0.5*O5+0.5*$K5</f>
        <v>0</v>
      </c>
      <c r="O6" s="8">
        <f t="shared" ref="O6:O23" si="18">0.5*P5+0.5*$K5</f>
        <v>0</v>
      </c>
      <c r="P6" s="8">
        <f t="shared" ref="P6:P23" si="19">0.5*Q5+0.5*$K5</f>
        <v>0.25</v>
      </c>
      <c r="Q6" s="8">
        <f t="shared" ref="Q6:Q23" si="20">0.5*R5+0.5*$K5</f>
        <v>0.5</v>
      </c>
      <c r="R6" s="657">
        <f t="shared" ref="R6:R24" si="21">R5</f>
        <v>1</v>
      </c>
      <c r="T6">
        <f t="shared" ref="T6:T23" si="22">T5+1</f>
        <v>2</v>
      </c>
      <c r="U6" s="656">
        <f t="shared" ref="U6:U23" si="23">0.5*V5+0.5*$U5</f>
        <v>0</v>
      </c>
      <c r="V6" s="8">
        <f t="shared" ref="V6:V23" si="24">0.5*W5+0.5*$U5</f>
        <v>0</v>
      </c>
      <c r="W6" s="8">
        <f t="shared" ref="W6:W23" si="25">0.5*X5+0.5*$U5</f>
        <v>0</v>
      </c>
      <c r="X6" s="8">
        <f t="shared" ref="X6:X23" si="26">0.5*Y5+0.5*$U5</f>
        <v>0.25</v>
      </c>
      <c r="Y6" s="8">
        <f t="shared" ref="Y6:Y23" si="27">0.5*Z5+0.5*$U5</f>
        <v>0.5</v>
      </c>
      <c r="Z6" s="657">
        <f t="shared" ref="Z6:Z23" si="28">Z5</f>
        <v>1</v>
      </c>
    </row>
    <row r="7" spans="1:26">
      <c r="A7">
        <f t="shared" si="5"/>
        <v>3</v>
      </c>
      <c r="B7" s="656">
        <f t="shared" si="6"/>
        <v>0</v>
      </c>
      <c r="C7" s="8">
        <f t="shared" si="7"/>
        <v>0</v>
      </c>
      <c r="D7" s="8">
        <f t="shared" si="8"/>
        <v>0</v>
      </c>
      <c r="E7" s="8">
        <f t="shared" si="9"/>
        <v>0.125</v>
      </c>
      <c r="F7" s="8">
        <f t="shared" si="10"/>
        <v>0.25</v>
      </c>
      <c r="G7" s="8">
        <f t="shared" si="11"/>
        <v>0.5</v>
      </c>
      <c r="H7" s="657">
        <f t="shared" si="12"/>
        <v>1</v>
      </c>
      <c r="J7">
        <f t="shared" si="13"/>
        <v>3</v>
      </c>
      <c r="K7" s="656">
        <f t="shared" si="14"/>
        <v>0</v>
      </c>
      <c r="L7" s="8">
        <f t="shared" si="15"/>
        <v>0</v>
      </c>
      <c r="M7" s="8">
        <f t="shared" si="16"/>
        <v>0</v>
      </c>
      <c r="N7" s="8">
        <f t="shared" si="17"/>
        <v>0</v>
      </c>
      <c r="O7" s="8">
        <f t="shared" si="18"/>
        <v>0.125</v>
      </c>
      <c r="P7" s="8">
        <f t="shared" si="19"/>
        <v>0.25</v>
      </c>
      <c r="Q7" s="8">
        <f t="shared" si="20"/>
        <v>0.5</v>
      </c>
      <c r="R7" s="657">
        <f t="shared" si="21"/>
        <v>1</v>
      </c>
      <c r="T7">
        <f t="shared" si="22"/>
        <v>3</v>
      </c>
      <c r="U7" s="656">
        <f t="shared" si="23"/>
        <v>0</v>
      </c>
      <c r="V7" s="8">
        <f t="shared" si="24"/>
        <v>0</v>
      </c>
      <c r="W7" s="8">
        <f t="shared" si="25"/>
        <v>0.125</v>
      </c>
      <c r="X7" s="8">
        <f t="shared" si="26"/>
        <v>0.25</v>
      </c>
      <c r="Y7" s="8">
        <f t="shared" si="27"/>
        <v>0.5</v>
      </c>
      <c r="Z7" s="657">
        <f t="shared" si="28"/>
        <v>1</v>
      </c>
    </row>
    <row r="8" spans="1:26">
      <c r="A8">
        <f t="shared" si="5"/>
        <v>4</v>
      </c>
      <c r="B8" s="656">
        <f t="shared" si="6"/>
        <v>0</v>
      </c>
      <c r="C8" s="8">
        <f t="shared" si="7"/>
        <v>0</v>
      </c>
      <c r="D8" s="8">
        <f t="shared" si="8"/>
        <v>6.25E-2</v>
      </c>
      <c r="E8" s="8">
        <f t="shared" si="9"/>
        <v>0.125</v>
      </c>
      <c r="F8" s="8">
        <f t="shared" si="10"/>
        <v>0.25</v>
      </c>
      <c r="G8" s="8">
        <f t="shared" si="11"/>
        <v>0.5</v>
      </c>
      <c r="H8" s="657">
        <f t="shared" si="12"/>
        <v>1</v>
      </c>
      <c r="J8">
        <f t="shared" si="13"/>
        <v>4</v>
      </c>
      <c r="K8" s="656">
        <f t="shared" si="14"/>
        <v>0</v>
      </c>
      <c r="L8" s="8">
        <f t="shared" si="15"/>
        <v>0</v>
      </c>
      <c r="M8" s="8">
        <f t="shared" si="16"/>
        <v>0</v>
      </c>
      <c r="N8" s="8">
        <f t="shared" si="17"/>
        <v>6.25E-2</v>
      </c>
      <c r="O8" s="8">
        <f t="shared" si="18"/>
        <v>0.125</v>
      </c>
      <c r="P8" s="8">
        <f t="shared" si="19"/>
        <v>0.25</v>
      </c>
      <c r="Q8" s="8">
        <f t="shared" si="20"/>
        <v>0.5</v>
      </c>
      <c r="R8" s="657">
        <f t="shared" si="21"/>
        <v>1</v>
      </c>
      <c r="T8">
        <f t="shared" si="22"/>
        <v>4</v>
      </c>
      <c r="U8" s="656">
        <f t="shared" si="23"/>
        <v>0</v>
      </c>
      <c r="V8" s="8">
        <f t="shared" si="24"/>
        <v>6.25E-2</v>
      </c>
      <c r="W8" s="8">
        <f t="shared" si="25"/>
        <v>0.125</v>
      </c>
      <c r="X8" s="8">
        <f t="shared" si="26"/>
        <v>0.25</v>
      </c>
      <c r="Y8" s="8">
        <f t="shared" si="27"/>
        <v>0.5</v>
      </c>
      <c r="Z8" s="657">
        <f t="shared" si="28"/>
        <v>1</v>
      </c>
    </row>
    <row r="9" spans="1:26">
      <c r="A9">
        <f t="shared" si="5"/>
        <v>5</v>
      </c>
      <c r="B9" s="656">
        <f t="shared" si="6"/>
        <v>0</v>
      </c>
      <c r="C9" s="8">
        <f t="shared" si="7"/>
        <v>3.125E-2</v>
      </c>
      <c r="D9" s="8">
        <f t="shared" si="8"/>
        <v>6.25E-2</v>
      </c>
      <c r="E9" s="8">
        <f t="shared" si="9"/>
        <v>0.125</v>
      </c>
      <c r="F9" s="8">
        <f t="shared" si="10"/>
        <v>0.25</v>
      </c>
      <c r="G9" s="8">
        <f t="shared" si="11"/>
        <v>0.5</v>
      </c>
      <c r="H9" s="657">
        <f t="shared" si="12"/>
        <v>1</v>
      </c>
      <c r="J9">
        <f t="shared" si="13"/>
        <v>5</v>
      </c>
      <c r="K9" s="656">
        <f t="shared" si="14"/>
        <v>0</v>
      </c>
      <c r="L9" s="8">
        <f t="shared" si="15"/>
        <v>0</v>
      </c>
      <c r="M9" s="8">
        <f t="shared" si="16"/>
        <v>3.125E-2</v>
      </c>
      <c r="N9" s="8">
        <f t="shared" si="17"/>
        <v>6.25E-2</v>
      </c>
      <c r="O9" s="8">
        <f t="shared" si="18"/>
        <v>0.125</v>
      </c>
      <c r="P9" s="8">
        <f t="shared" si="19"/>
        <v>0.25</v>
      </c>
      <c r="Q9" s="8">
        <f t="shared" si="20"/>
        <v>0.5</v>
      </c>
      <c r="R9" s="657">
        <f t="shared" si="21"/>
        <v>1</v>
      </c>
      <c r="T9">
        <f t="shared" si="22"/>
        <v>5</v>
      </c>
      <c r="U9" s="656">
        <f t="shared" si="23"/>
        <v>3.125E-2</v>
      </c>
      <c r="V9" s="8">
        <f t="shared" si="24"/>
        <v>6.25E-2</v>
      </c>
      <c r="W9" s="8">
        <f t="shared" si="25"/>
        <v>0.125</v>
      </c>
      <c r="X9" s="8">
        <f t="shared" si="26"/>
        <v>0.25</v>
      </c>
      <c r="Y9" s="8">
        <f t="shared" si="27"/>
        <v>0.5</v>
      </c>
      <c r="Z9" s="657">
        <f t="shared" si="28"/>
        <v>1</v>
      </c>
    </row>
    <row r="10" spans="1:26">
      <c r="A10">
        <f t="shared" si="5"/>
        <v>6</v>
      </c>
      <c r="B10" s="656">
        <f t="shared" si="6"/>
        <v>1.5625E-2</v>
      </c>
      <c r="C10" s="8">
        <f t="shared" si="7"/>
        <v>3.125E-2</v>
      </c>
      <c r="D10" s="8">
        <f t="shared" si="8"/>
        <v>6.25E-2</v>
      </c>
      <c r="E10" s="8">
        <f t="shared" si="9"/>
        <v>0.125</v>
      </c>
      <c r="F10" s="8">
        <f t="shared" si="10"/>
        <v>0.25</v>
      </c>
      <c r="G10" s="8">
        <f t="shared" si="11"/>
        <v>0.5</v>
      </c>
      <c r="H10" s="657">
        <f t="shared" si="12"/>
        <v>1</v>
      </c>
      <c r="J10">
        <f t="shared" si="13"/>
        <v>6</v>
      </c>
      <c r="K10" s="656">
        <f t="shared" si="14"/>
        <v>0</v>
      </c>
      <c r="L10" s="8">
        <f t="shared" si="15"/>
        <v>1.5625E-2</v>
      </c>
      <c r="M10" s="8">
        <f t="shared" si="16"/>
        <v>3.125E-2</v>
      </c>
      <c r="N10" s="8">
        <f t="shared" si="17"/>
        <v>6.25E-2</v>
      </c>
      <c r="O10" s="8">
        <f t="shared" si="18"/>
        <v>0.125</v>
      </c>
      <c r="P10" s="8">
        <f t="shared" si="19"/>
        <v>0.25</v>
      </c>
      <c r="Q10" s="8">
        <f t="shared" si="20"/>
        <v>0.5</v>
      </c>
      <c r="R10" s="657">
        <f t="shared" si="21"/>
        <v>1</v>
      </c>
      <c r="T10">
        <f t="shared" si="22"/>
        <v>6</v>
      </c>
      <c r="U10" s="656">
        <f t="shared" si="23"/>
        <v>4.6875E-2</v>
      </c>
      <c r="V10" s="8">
        <f t="shared" si="24"/>
        <v>7.8125E-2</v>
      </c>
      <c r="W10" s="8">
        <f t="shared" si="25"/>
        <v>0.140625</v>
      </c>
      <c r="X10" s="8">
        <f t="shared" si="26"/>
        <v>0.265625</v>
      </c>
      <c r="Y10" s="8">
        <f t="shared" si="27"/>
        <v>0.515625</v>
      </c>
      <c r="Z10" s="657">
        <f t="shared" si="28"/>
        <v>1</v>
      </c>
    </row>
    <row r="11" spans="1:26">
      <c r="A11">
        <f t="shared" si="5"/>
        <v>7</v>
      </c>
      <c r="B11" s="656">
        <f t="shared" si="6"/>
        <v>2.34375E-2</v>
      </c>
      <c r="C11" s="8">
        <f t="shared" si="7"/>
        <v>3.90625E-2</v>
      </c>
      <c r="D11" s="8">
        <f t="shared" si="8"/>
        <v>7.03125E-2</v>
      </c>
      <c r="E11" s="8">
        <f t="shared" si="9"/>
        <v>0.1328125</v>
      </c>
      <c r="F11" s="8">
        <f t="shared" si="10"/>
        <v>0.2578125</v>
      </c>
      <c r="G11" s="8">
        <f t="shared" si="11"/>
        <v>0.5078125</v>
      </c>
      <c r="H11" s="657">
        <f t="shared" si="12"/>
        <v>1</v>
      </c>
      <c r="J11">
        <f t="shared" si="13"/>
        <v>7</v>
      </c>
      <c r="K11" s="656">
        <f t="shared" si="14"/>
        <v>7.8125E-3</v>
      </c>
      <c r="L11" s="8">
        <f t="shared" si="15"/>
        <v>1.5625E-2</v>
      </c>
      <c r="M11" s="8">
        <f t="shared" si="16"/>
        <v>3.125E-2</v>
      </c>
      <c r="N11" s="8">
        <f t="shared" si="17"/>
        <v>6.25E-2</v>
      </c>
      <c r="O11" s="8">
        <f t="shared" si="18"/>
        <v>0.125</v>
      </c>
      <c r="P11" s="8">
        <f t="shared" si="19"/>
        <v>0.25</v>
      </c>
      <c r="Q11" s="8">
        <f t="shared" si="20"/>
        <v>0.5</v>
      </c>
      <c r="R11" s="657">
        <f t="shared" si="21"/>
        <v>1</v>
      </c>
      <c r="T11">
        <f t="shared" si="22"/>
        <v>7</v>
      </c>
      <c r="U11" s="656">
        <f t="shared" si="23"/>
        <v>6.25E-2</v>
      </c>
      <c r="V11" s="8">
        <f t="shared" si="24"/>
        <v>9.375E-2</v>
      </c>
      <c r="W11" s="8">
        <f t="shared" si="25"/>
        <v>0.15625</v>
      </c>
      <c r="X11" s="8">
        <f t="shared" si="26"/>
        <v>0.28125</v>
      </c>
      <c r="Y11" s="8">
        <f t="shared" si="27"/>
        <v>0.5234375</v>
      </c>
      <c r="Z11" s="657">
        <f t="shared" si="28"/>
        <v>1</v>
      </c>
    </row>
    <row r="12" spans="1:26">
      <c r="A12">
        <f t="shared" si="5"/>
        <v>8</v>
      </c>
      <c r="B12" s="656">
        <f t="shared" si="6"/>
        <v>3.125E-2</v>
      </c>
      <c r="C12" s="8">
        <f t="shared" si="7"/>
        <v>4.6875E-2</v>
      </c>
      <c r="D12" s="8">
        <f t="shared" si="8"/>
        <v>7.8125E-2</v>
      </c>
      <c r="E12" s="8">
        <f t="shared" si="9"/>
        <v>0.140625</v>
      </c>
      <c r="F12" s="8">
        <f t="shared" si="10"/>
        <v>0.265625</v>
      </c>
      <c r="G12" s="8">
        <f t="shared" si="11"/>
        <v>0.51171875</v>
      </c>
      <c r="H12" s="657">
        <f t="shared" si="12"/>
        <v>1</v>
      </c>
      <c r="J12">
        <f t="shared" si="13"/>
        <v>8</v>
      </c>
      <c r="K12" s="656">
        <f t="shared" si="14"/>
        <v>1.171875E-2</v>
      </c>
      <c r="L12" s="8">
        <f t="shared" si="15"/>
        <v>1.953125E-2</v>
      </c>
      <c r="M12" s="8">
        <f t="shared" si="16"/>
        <v>3.515625E-2</v>
      </c>
      <c r="N12" s="8">
        <f t="shared" si="17"/>
        <v>6.640625E-2</v>
      </c>
      <c r="O12" s="8">
        <f t="shared" si="18"/>
        <v>0.12890625</v>
      </c>
      <c r="P12" s="8">
        <f t="shared" si="19"/>
        <v>0.25390625</v>
      </c>
      <c r="Q12" s="8">
        <f t="shared" si="20"/>
        <v>0.50390625</v>
      </c>
      <c r="R12" s="657">
        <f t="shared" si="21"/>
        <v>1</v>
      </c>
      <c r="T12">
        <f t="shared" si="22"/>
        <v>8</v>
      </c>
      <c r="U12" s="656">
        <f t="shared" si="23"/>
        <v>7.8125E-2</v>
      </c>
      <c r="V12" s="8">
        <f t="shared" si="24"/>
        <v>0.109375</v>
      </c>
      <c r="W12" s="8">
        <f t="shared" si="25"/>
        <v>0.171875</v>
      </c>
      <c r="X12" s="8">
        <f t="shared" si="26"/>
        <v>0.29296875</v>
      </c>
      <c r="Y12" s="8">
        <f t="shared" si="27"/>
        <v>0.53125</v>
      </c>
      <c r="Z12" s="657">
        <f t="shared" si="28"/>
        <v>1</v>
      </c>
    </row>
    <row r="13" spans="1:26">
      <c r="A13">
        <f t="shared" si="5"/>
        <v>9</v>
      </c>
      <c r="B13" s="656">
        <f t="shared" si="6"/>
        <v>3.90625E-2</v>
      </c>
      <c r="C13" s="8">
        <f t="shared" si="7"/>
        <v>5.46875E-2</v>
      </c>
      <c r="D13" s="8">
        <f t="shared" si="8"/>
        <v>8.59375E-2</v>
      </c>
      <c r="E13" s="8">
        <f t="shared" si="9"/>
        <v>0.1484375</v>
      </c>
      <c r="F13" s="8">
        <f t="shared" si="10"/>
        <v>0.271484375</v>
      </c>
      <c r="G13" s="8">
        <f t="shared" si="11"/>
        <v>0.515625</v>
      </c>
      <c r="H13" s="657">
        <f t="shared" si="12"/>
        <v>1</v>
      </c>
      <c r="J13">
        <f t="shared" si="13"/>
        <v>9</v>
      </c>
      <c r="K13" s="656">
        <f t="shared" si="14"/>
        <v>1.5625E-2</v>
      </c>
      <c r="L13" s="8">
        <f t="shared" si="15"/>
        <v>2.34375E-2</v>
      </c>
      <c r="M13" s="8">
        <f t="shared" si="16"/>
        <v>3.90625E-2</v>
      </c>
      <c r="N13" s="8">
        <f t="shared" si="17"/>
        <v>7.03125E-2</v>
      </c>
      <c r="O13" s="8">
        <f t="shared" si="18"/>
        <v>0.1328125</v>
      </c>
      <c r="P13" s="8">
        <f t="shared" si="19"/>
        <v>0.2578125</v>
      </c>
      <c r="Q13" s="8">
        <f t="shared" si="20"/>
        <v>0.505859375</v>
      </c>
      <c r="R13" s="657">
        <f t="shared" si="21"/>
        <v>1</v>
      </c>
      <c r="T13">
        <f t="shared" si="22"/>
        <v>9</v>
      </c>
      <c r="U13" s="656">
        <f t="shared" si="23"/>
        <v>9.375E-2</v>
      </c>
      <c r="V13" s="8">
        <f t="shared" si="24"/>
        <v>0.125</v>
      </c>
      <c r="W13" s="8">
        <f t="shared" si="25"/>
        <v>0.185546875</v>
      </c>
      <c r="X13" s="8">
        <f t="shared" si="26"/>
        <v>0.3046875</v>
      </c>
      <c r="Y13" s="8">
        <f t="shared" si="27"/>
        <v>0.5390625</v>
      </c>
      <c r="Z13" s="657">
        <f t="shared" si="28"/>
        <v>1</v>
      </c>
    </row>
    <row r="14" spans="1:26">
      <c r="A14">
        <f t="shared" si="5"/>
        <v>10</v>
      </c>
      <c r="B14" s="656">
        <f t="shared" si="6"/>
        <v>4.6875E-2</v>
      </c>
      <c r="C14" s="8">
        <f t="shared" si="7"/>
        <v>6.25E-2</v>
      </c>
      <c r="D14" s="8">
        <f t="shared" si="8"/>
        <v>9.375E-2</v>
      </c>
      <c r="E14" s="8">
        <f t="shared" si="9"/>
        <v>0.1552734375</v>
      </c>
      <c r="F14" s="8">
        <f t="shared" si="10"/>
        <v>0.27734375</v>
      </c>
      <c r="G14" s="8">
        <f t="shared" si="11"/>
        <v>0.51953125</v>
      </c>
      <c r="H14" s="657">
        <f t="shared" si="12"/>
        <v>1</v>
      </c>
      <c r="J14">
        <f t="shared" si="13"/>
        <v>10</v>
      </c>
      <c r="K14" s="656">
        <f t="shared" si="14"/>
        <v>1.953125E-2</v>
      </c>
      <c r="L14" s="8">
        <f t="shared" si="15"/>
        <v>2.734375E-2</v>
      </c>
      <c r="M14" s="8">
        <f t="shared" si="16"/>
        <v>4.296875E-2</v>
      </c>
      <c r="N14" s="8">
        <f t="shared" si="17"/>
        <v>7.421875E-2</v>
      </c>
      <c r="O14" s="8">
        <f t="shared" si="18"/>
        <v>0.13671875</v>
      </c>
      <c r="P14" s="8">
        <f t="shared" si="19"/>
        <v>0.2607421875</v>
      </c>
      <c r="Q14" s="8">
        <f t="shared" si="20"/>
        <v>0.5078125</v>
      </c>
      <c r="R14" s="657">
        <f t="shared" si="21"/>
        <v>1</v>
      </c>
      <c r="T14">
        <f t="shared" si="22"/>
        <v>10</v>
      </c>
      <c r="U14" s="656">
        <f t="shared" si="23"/>
        <v>0.109375</v>
      </c>
      <c r="V14" s="8">
        <f t="shared" si="24"/>
        <v>0.1396484375</v>
      </c>
      <c r="W14" s="8">
        <f t="shared" si="25"/>
        <v>0.19921875</v>
      </c>
      <c r="X14" s="8">
        <f t="shared" si="26"/>
        <v>0.31640625</v>
      </c>
      <c r="Y14" s="8">
        <f t="shared" si="27"/>
        <v>0.546875</v>
      </c>
      <c r="Z14" s="657">
        <f t="shared" si="28"/>
        <v>1</v>
      </c>
    </row>
    <row r="15" spans="1:26">
      <c r="A15">
        <f t="shared" si="5"/>
        <v>11</v>
      </c>
      <c r="B15" s="656">
        <f t="shared" si="6"/>
        <v>5.46875E-2</v>
      </c>
      <c r="C15" s="8">
        <f t="shared" si="7"/>
        <v>7.03125E-2</v>
      </c>
      <c r="D15" s="8">
        <f t="shared" si="8"/>
        <v>0.10107421875</v>
      </c>
      <c r="E15" s="8">
        <f t="shared" si="9"/>
        <v>0.162109375</v>
      </c>
      <c r="F15" s="8">
        <f t="shared" si="10"/>
        <v>0.283203125</v>
      </c>
      <c r="G15" s="8">
        <f t="shared" si="11"/>
        <v>0.5234375</v>
      </c>
      <c r="H15" s="657">
        <f t="shared" si="12"/>
        <v>1</v>
      </c>
      <c r="J15">
        <f t="shared" si="13"/>
        <v>11</v>
      </c>
      <c r="K15" s="656">
        <f t="shared" si="14"/>
        <v>2.34375E-2</v>
      </c>
      <c r="L15" s="8">
        <f t="shared" si="15"/>
        <v>3.125E-2</v>
      </c>
      <c r="M15" s="8">
        <f t="shared" si="16"/>
        <v>4.6875E-2</v>
      </c>
      <c r="N15" s="8">
        <f t="shared" si="17"/>
        <v>7.8125E-2</v>
      </c>
      <c r="O15" s="8">
        <f t="shared" si="18"/>
        <v>0.14013671875</v>
      </c>
      <c r="P15" s="8">
        <f t="shared" si="19"/>
        <v>0.263671875</v>
      </c>
      <c r="Q15" s="8">
        <f t="shared" si="20"/>
        <v>0.509765625</v>
      </c>
      <c r="R15" s="657">
        <f t="shared" si="21"/>
        <v>1</v>
      </c>
      <c r="T15">
        <f t="shared" si="22"/>
        <v>11</v>
      </c>
      <c r="U15" s="656">
        <f t="shared" si="23"/>
        <v>0.12451171875</v>
      </c>
      <c r="V15" s="8">
        <f t="shared" si="24"/>
        <v>0.154296875</v>
      </c>
      <c r="W15" s="8">
        <f t="shared" si="25"/>
        <v>0.212890625</v>
      </c>
      <c r="X15" s="8">
        <f t="shared" si="26"/>
        <v>0.328125</v>
      </c>
      <c r="Y15" s="8">
        <f t="shared" si="27"/>
        <v>0.5546875</v>
      </c>
      <c r="Z15" s="657">
        <f t="shared" si="28"/>
        <v>1</v>
      </c>
    </row>
    <row r="16" spans="1:26">
      <c r="A16">
        <f t="shared" si="5"/>
        <v>12</v>
      </c>
      <c r="B16" s="656">
        <f t="shared" si="6"/>
        <v>6.25E-2</v>
      </c>
      <c r="C16" s="8">
        <f t="shared" si="7"/>
        <v>7.7880859375E-2</v>
      </c>
      <c r="D16" s="8">
        <f t="shared" si="8"/>
        <v>0.1083984375</v>
      </c>
      <c r="E16" s="8">
        <f t="shared" si="9"/>
        <v>0.1689453125</v>
      </c>
      <c r="F16" s="8">
        <f t="shared" si="10"/>
        <v>0.2890625</v>
      </c>
      <c r="G16" s="8">
        <f t="shared" si="11"/>
        <v>0.52734375</v>
      </c>
      <c r="H16" s="657">
        <f t="shared" si="12"/>
        <v>1</v>
      </c>
      <c r="J16">
        <f t="shared" si="13"/>
        <v>12</v>
      </c>
      <c r="K16" s="656">
        <f t="shared" si="14"/>
        <v>2.734375E-2</v>
      </c>
      <c r="L16" s="8">
        <f t="shared" si="15"/>
        <v>3.515625E-2</v>
      </c>
      <c r="M16" s="8">
        <f t="shared" si="16"/>
        <v>5.078125E-2</v>
      </c>
      <c r="N16" s="8">
        <f t="shared" si="17"/>
        <v>8.1787109375E-2</v>
      </c>
      <c r="O16" s="8">
        <f t="shared" si="18"/>
        <v>0.1435546875</v>
      </c>
      <c r="P16" s="8">
        <f t="shared" si="19"/>
        <v>0.2666015625</v>
      </c>
      <c r="Q16" s="8">
        <f t="shared" si="20"/>
        <v>0.51171875</v>
      </c>
      <c r="R16" s="657">
        <f t="shared" si="21"/>
        <v>1</v>
      </c>
      <c r="T16">
        <f t="shared" si="22"/>
        <v>12</v>
      </c>
      <c r="U16" s="656">
        <f t="shared" si="23"/>
        <v>0.139404296875</v>
      </c>
      <c r="V16" s="8">
        <f t="shared" si="24"/>
        <v>0.168701171875</v>
      </c>
      <c r="W16" s="8">
        <f t="shared" si="25"/>
        <v>0.226318359375</v>
      </c>
      <c r="X16" s="8">
        <f t="shared" si="26"/>
        <v>0.339599609375</v>
      </c>
      <c r="Y16" s="8">
        <f t="shared" si="27"/>
        <v>0.562255859375</v>
      </c>
      <c r="Z16" s="657">
        <f t="shared" si="28"/>
        <v>1</v>
      </c>
    </row>
    <row r="17" spans="1:26">
      <c r="A17">
        <f t="shared" si="5"/>
        <v>13</v>
      </c>
      <c r="B17" s="656">
        <f t="shared" si="6"/>
        <v>7.01904296875E-2</v>
      </c>
      <c r="C17" s="8">
        <f t="shared" si="7"/>
        <v>8.544921875E-2</v>
      </c>
      <c r="D17" s="8">
        <f t="shared" si="8"/>
        <v>0.11572265625</v>
      </c>
      <c r="E17" s="8">
        <f t="shared" si="9"/>
        <v>0.17578125</v>
      </c>
      <c r="F17" s="8">
        <f t="shared" si="10"/>
        <v>0.294921875</v>
      </c>
      <c r="G17" s="8">
        <f t="shared" si="11"/>
        <v>0.53125</v>
      </c>
      <c r="H17" s="657">
        <f t="shared" si="12"/>
        <v>1</v>
      </c>
      <c r="J17">
        <f t="shared" si="13"/>
        <v>13</v>
      </c>
      <c r="K17" s="656">
        <f t="shared" si="14"/>
        <v>3.125E-2</v>
      </c>
      <c r="L17" s="8">
        <f t="shared" si="15"/>
        <v>3.90625E-2</v>
      </c>
      <c r="M17" s="8">
        <f t="shared" si="16"/>
        <v>5.45654296875E-2</v>
      </c>
      <c r="N17" s="8">
        <f t="shared" si="17"/>
        <v>8.544921875E-2</v>
      </c>
      <c r="O17" s="8">
        <f t="shared" si="18"/>
        <v>0.14697265625</v>
      </c>
      <c r="P17" s="8">
        <f t="shared" si="19"/>
        <v>0.26953125</v>
      </c>
      <c r="Q17" s="8">
        <f t="shared" si="20"/>
        <v>0.513671875</v>
      </c>
      <c r="R17" s="657">
        <f t="shared" si="21"/>
        <v>1</v>
      </c>
      <c r="T17">
        <f t="shared" si="22"/>
        <v>13</v>
      </c>
      <c r="U17" s="656">
        <f t="shared" si="23"/>
        <v>0.154052734375</v>
      </c>
      <c r="V17" s="8">
        <f t="shared" si="24"/>
        <v>0.182861328125</v>
      </c>
      <c r="W17" s="8">
        <f t="shared" si="25"/>
        <v>0.239501953125</v>
      </c>
      <c r="X17" s="8">
        <f t="shared" si="26"/>
        <v>0.350830078125</v>
      </c>
      <c r="Y17" s="8">
        <f t="shared" si="27"/>
        <v>0.5697021484375</v>
      </c>
      <c r="Z17" s="657">
        <f t="shared" si="28"/>
        <v>1</v>
      </c>
    </row>
    <row r="18" spans="1:26">
      <c r="A18">
        <f t="shared" si="5"/>
        <v>14</v>
      </c>
      <c r="B18" s="656">
        <f t="shared" si="6"/>
        <v>7.781982421875E-2</v>
      </c>
      <c r="C18" s="8">
        <f t="shared" si="7"/>
        <v>9.295654296875E-2</v>
      </c>
      <c r="D18" s="8">
        <f t="shared" si="8"/>
        <v>0.12298583984375</v>
      </c>
      <c r="E18" s="8">
        <f t="shared" si="9"/>
        <v>0.18255615234375</v>
      </c>
      <c r="F18" s="8">
        <f t="shared" si="10"/>
        <v>0.30072021484375</v>
      </c>
      <c r="G18" s="8">
        <f t="shared" si="11"/>
        <v>0.53509521484375</v>
      </c>
      <c r="H18" s="657">
        <f t="shared" si="12"/>
        <v>1</v>
      </c>
      <c r="J18">
        <f t="shared" si="13"/>
        <v>14</v>
      </c>
      <c r="K18" s="656">
        <f t="shared" si="14"/>
        <v>3.515625E-2</v>
      </c>
      <c r="L18" s="8">
        <f t="shared" si="15"/>
        <v>4.290771484375E-2</v>
      </c>
      <c r="M18" s="8">
        <f t="shared" si="16"/>
        <v>5.8349609375E-2</v>
      </c>
      <c r="N18" s="8">
        <f t="shared" si="17"/>
        <v>8.9111328125E-2</v>
      </c>
      <c r="O18" s="8">
        <f t="shared" si="18"/>
        <v>0.150390625</v>
      </c>
      <c r="P18" s="8">
        <f t="shared" si="19"/>
        <v>0.2724609375</v>
      </c>
      <c r="Q18" s="8">
        <f t="shared" si="20"/>
        <v>0.515625</v>
      </c>
      <c r="R18" s="657">
        <f t="shared" si="21"/>
        <v>1</v>
      </c>
      <c r="T18">
        <f t="shared" si="22"/>
        <v>14</v>
      </c>
      <c r="U18" s="656">
        <f t="shared" si="23"/>
        <v>0.16845703125</v>
      </c>
      <c r="V18" s="8">
        <f t="shared" si="24"/>
        <v>0.19677734375</v>
      </c>
      <c r="W18" s="8">
        <f t="shared" si="25"/>
        <v>0.25244140625</v>
      </c>
      <c r="X18" s="8">
        <f t="shared" si="26"/>
        <v>0.36187744140625</v>
      </c>
      <c r="Y18" s="8">
        <f t="shared" si="27"/>
        <v>0.5770263671875</v>
      </c>
      <c r="Z18" s="657">
        <f t="shared" si="28"/>
        <v>1</v>
      </c>
    </row>
    <row r="19" spans="1:26">
      <c r="A19">
        <f t="shared" si="5"/>
        <v>15</v>
      </c>
      <c r="B19" s="656">
        <f t="shared" si="6"/>
        <v>8.538818359375E-2</v>
      </c>
      <c r="C19" s="8">
        <f t="shared" si="7"/>
        <v>0.10040283203125</v>
      </c>
      <c r="D19" s="8">
        <f t="shared" si="8"/>
        <v>0.13018798828125</v>
      </c>
      <c r="E19" s="8">
        <f t="shared" si="9"/>
        <v>0.18927001953125</v>
      </c>
      <c r="F19" s="8">
        <f t="shared" si="10"/>
        <v>0.30645751953125</v>
      </c>
      <c r="G19" s="8">
        <f t="shared" si="11"/>
        <v>0.538909912109375</v>
      </c>
      <c r="H19" s="657">
        <f t="shared" si="12"/>
        <v>1</v>
      </c>
      <c r="J19">
        <f t="shared" si="13"/>
        <v>15</v>
      </c>
      <c r="K19" s="656">
        <f t="shared" si="14"/>
        <v>3.9031982421875E-2</v>
      </c>
      <c r="L19" s="8">
        <f t="shared" si="15"/>
        <v>4.67529296875E-2</v>
      </c>
      <c r="M19" s="8">
        <f t="shared" si="16"/>
        <v>6.21337890625E-2</v>
      </c>
      <c r="N19" s="8">
        <f t="shared" si="17"/>
        <v>9.27734375E-2</v>
      </c>
      <c r="O19" s="8">
        <f t="shared" si="18"/>
        <v>0.15380859375</v>
      </c>
      <c r="P19" s="8">
        <f t="shared" si="19"/>
        <v>0.275390625</v>
      </c>
      <c r="Q19" s="8">
        <f t="shared" si="20"/>
        <v>0.517578125</v>
      </c>
      <c r="R19" s="657">
        <f t="shared" si="21"/>
        <v>1</v>
      </c>
      <c r="T19">
        <f t="shared" si="22"/>
        <v>15</v>
      </c>
      <c r="U19" s="656">
        <f t="shared" si="23"/>
        <v>0.1826171875</v>
      </c>
      <c r="V19" s="8">
        <f t="shared" si="24"/>
        <v>0.21044921875</v>
      </c>
      <c r="W19" s="8">
        <f t="shared" si="25"/>
        <v>0.265167236328125</v>
      </c>
      <c r="X19" s="8">
        <f t="shared" si="26"/>
        <v>0.37274169921875</v>
      </c>
      <c r="Y19" s="8">
        <f t="shared" si="27"/>
        <v>0.584228515625</v>
      </c>
      <c r="Z19" s="657">
        <f t="shared" si="28"/>
        <v>1</v>
      </c>
    </row>
    <row r="20" spans="1:26">
      <c r="A20">
        <f t="shared" si="5"/>
        <v>16</v>
      </c>
      <c r="B20" s="656">
        <f t="shared" si="6"/>
        <v>9.28955078125E-2</v>
      </c>
      <c r="C20" s="8">
        <f t="shared" si="7"/>
        <v>0.1077880859375</v>
      </c>
      <c r="D20" s="8">
        <f t="shared" si="8"/>
        <v>0.1373291015625</v>
      </c>
      <c r="E20" s="8">
        <f t="shared" si="9"/>
        <v>0.1959228515625</v>
      </c>
      <c r="F20" s="8">
        <f t="shared" si="10"/>
        <v>0.3121490478515625</v>
      </c>
      <c r="G20" s="8">
        <f t="shared" si="11"/>
        <v>0.542694091796875</v>
      </c>
      <c r="H20" s="657">
        <f t="shared" si="12"/>
        <v>1</v>
      </c>
      <c r="J20">
        <f t="shared" si="13"/>
        <v>16</v>
      </c>
      <c r="K20" s="656">
        <f t="shared" si="14"/>
        <v>4.28924560546875E-2</v>
      </c>
      <c r="L20" s="8">
        <f t="shared" si="15"/>
        <v>5.05828857421875E-2</v>
      </c>
      <c r="M20" s="8">
        <f t="shared" si="16"/>
        <v>6.59027099609375E-2</v>
      </c>
      <c r="N20" s="8">
        <f t="shared" si="17"/>
        <v>9.64202880859375E-2</v>
      </c>
      <c r="O20" s="8">
        <f t="shared" si="18"/>
        <v>0.1572113037109375</v>
      </c>
      <c r="P20" s="8">
        <f t="shared" si="19"/>
        <v>0.2783050537109375</v>
      </c>
      <c r="Q20" s="8">
        <f t="shared" si="20"/>
        <v>0.5195159912109375</v>
      </c>
      <c r="R20" s="657">
        <f t="shared" si="21"/>
        <v>1</v>
      </c>
      <c r="T20">
        <f t="shared" si="22"/>
        <v>16</v>
      </c>
      <c r="U20" s="656">
        <f t="shared" si="23"/>
        <v>0.196533203125</v>
      </c>
      <c r="V20" s="8">
        <f t="shared" si="24"/>
        <v>0.2238922119140625</v>
      </c>
      <c r="W20" s="8">
        <f t="shared" si="25"/>
        <v>0.277679443359375</v>
      </c>
      <c r="X20" s="8">
        <f t="shared" si="26"/>
        <v>0.3834228515625</v>
      </c>
      <c r="Y20" s="8">
        <f t="shared" si="27"/>
        <v>0.59130859375</v>
      </c>
      <c r="Z20" s="657">
        <f t="shared" si="28"/>
        <v>1</v>
      </c>
    </row>
    <row r="21" spans="1:26">
      <c r="A21">
        <f t="shared" si="5"/>
        <v>17</v>
      </c>
      <c r="B21" s="656">
        <f t="shared" si="6"/>
        <v>0.100341796875</v>
      </c>
      <c r="C21" s="8">
        <f t="shared" si="7"/>
        <v>0.1151123046875</v>
      </c>
      <c r="D21" s="8">
        <f t="shared" si="8"/>
        <v>0.1444091796875</v>
      </c>
      <c r="E21" s="8">
        <f t="shared" si="9"/>
        <v>0.20252227783203125</v>
      </c>
      <c r="F21" s="8">
        <f t="shared" si="10"/>
        <v>0.3177947998046875</v>
      </c>
      <c r="G21" s="8">
        <f t="shared" si="11"/>
        <v>0.54644775390625</v>
      </c>
      <c r="H21" s="657">
        <f t="shared" si="12"/>
        <v>1</v>
      </c>
      <c r="J21">
        <f t="shared" si="13"/>
        <v>17</v>
      </c>
      <c r="K21" s="656">
        <f t="shared" si="14"/>
        <v>4.67376708984375E-2</v>
      </c>
      <c r="L21" s="8">
        <f t="shared" si="15"/>
        <v>5.43975830078125E-2</v>
      </c>
      <c r="M21" s="8">
        <f t="shared" si="16"/>
        <v>6.96563720703125E-2</v>
      </c>
      <c r="N21" s="8">
        <f t="shared" si="17"/>
        <v>0.1000518798828125</v>
      </c>
      <c r="O21" s="8">
        <f t="shared" si="18"/>
        <v>0.1605987548828125</v>
      </c>
      <c r="P21" s="8">
        <f t="shared" si="19"/>
        <v>0.2812042236328125</v>
      </c>
      <c r="Q21" s="8">
        <f t="shared" si="20"/>
        <v>0.52144622802734375</v>
      </c>
      <c r="R21" s="657">
        <f t="shared" si="21"/>
        <v>1</v>
      </c>
      <c r="T21">
        <f t="shared" si="22"/>
        <v>17</v>
      </c>
      <c r="U21" s="656">
        <f t="shared" si="23"/>
        <v>0.21021270751953125</v>
      </c>
      <c r="V21" s="8">
        <f t="shared" si="24"/>
        <v>0.2371063232421875</v>
      </c>
      <c r="W21" s="8">
        <f t="shared" si="25"/>
        <v>0.28997802734375</v>
      </c>
      <c r="X21" s="8">
        <f t="shared" si="26"/>
        <v>0.3939208984375</v>
      </c>
      <c r="Y21" s="8">
        <f t="shared" si="27"/>
        <v>0.5982666015625</v>
      </c>
      <c r="Z21" s="657">
        <f t="shared" si="28"/>
        <v>1</v>
      </c>
    </row>
    <row r="22" spans="1:26">
      <c r="A22">
        <f t="shared" si="5"/>
        <v>18</v>
      </c>
      <c r="B22" s="656">
        <f t="shared" si="6"/>
        <v>0.10772705078125</v>
      </c>
      <c r="C22" s="8">
        <f t="shared" si="7"/>
        <v>0.12237548828125</v>
      </c>
      <c r="D22" s="8">
        <f t="shared" si="8"/>
        <v>0.15143203735351563</v>
      </c>
      <c r="E22" s="8">
        <f t="shared" si="9"/>
        <v>0.20906829833984375</v>
      </c>
      <c r="F22" s="8">
        <f t="shared" si="10"/>
        <v>0.323394775390625</v>
      </c>
      <c r="G22" s="8">
        <f t="shared" si="11"/>
        <v>0.5501708984375</v>
      </c>
      <c r="H22" s="657">
        <f t="shared" si="12"/>
        <v>1</v>
      </c>
      <c r="J22">
        <f t="shared" si="13"/>
        <v>18</v>
      </c>
      <c r="K22" s="656">
        <f t="shared" si="14"/>
        <v>5.0567626953125E-2</v>
      </c>
      <c r="L22" s="8">
        <f t="shared" si="15"/>
        <v>5.8197021484375E-2</v>
      </c>
      <c r="M22" s="8">
        <f t="shared" si="16"/>
        <v>7.3394775390625E-2</v>
      </c>
      <c r="N22" s="8">
        <f t="shared" si="17"/>
        <v>0.103668212890625</v>
      </c>
      <c r="O22" s="8">
        <f t="shared" si="18"/>
        <v>0.163970947265625</v>
      </c>
      <c r="P22" s="8">
        <f t="shared" si="19"/>
        <v>0.28409194946289063</v>
      </c>
      <c r="Q22" s="8">
        <f t="shared" si="20"/>
        <v>0.52336883544921875</v>
      </c>
      <c r="R22" s="657">
        <f t="shared" si="21"/>
        <v>1</v>
      </c>
      <c r="T22">
        <f t="shared" si="22"/>
        <v>18</v>
      </c>
      <c r="U22" s="656">
        <f t="shared" si="23"/>
        <v>0.22365951538085938</v>
      </c>
      <c r="V22" s="8">
        <f t="shared" si="24"/>
        <v>0.25009536743164063</v>
      </c>
      <c r="W22" s="8">
        <f t="shared" si="25"/>
        <v>0.30206680297851563</v>
      </c>
      <c r="X22" s="8">
        <f t="shared" si="26"/>
        <v>0.40423965454101563</v>
      </c>
      <c r="Y22" s="8">
        <f t="shared" si="27"/>
        <v>0.60510635375976563</v>
      </c>
      <c r="Z22" s="657">
        <f t="shared" si="28"/>
        <v>1</v>
      </c>
    </row>
    <row r="23" spans="1:26">
      <c r="A23">
        <f t="shared" si="5"/>
        <v>19</v>
      </c>
      <c r="B23" s="656">
        <f t="shared" si="6"/>
        <v>0.11505126953125</v>
      </c>
      <c r="C23" s="8">
        <f t="shared" si="7"/>
        <v>0.12957954406738281</v>
      </c>
      <c r="D23" s="8">
        <f t="shared" si="8"/>
        <v>0.15839767456054688</v>
      </c>
      <c r="E23" s="8">
        <f t="shared" si="9"/>
        <v>0.2155609130859375</v>
      </c>
      <c r="F23" s="8">
        <f t="shared" si="10"/>
        <v>0.328948974609375</v>
      </c>
      <c r="G23" s="8">
        <f t="shared" si="11"/>
        <v>0.553863525390625</v>
      </c>
      <c r="H23" s="657">
        <f t="shared" si="12"/>
        <v>1</v>
      </c>
      <c r="J23">
        <f t="shared" si="13"/>
        <v>19</v>
      </c>
      <c r="K23" s="656">
        <f t="shared" si="14"/>
        <v>5.438232421875E-2</v>
      </c>
      <c r="L23" s="8">
        <f t="shared" si="15"/>
        <v>6.1981201171875E-2</v>
      </c>
      <c r="M23" s="8">
        <f t="shared" si="16"/>
        <v>7.7117919921875E-2</v>
      </c>
      <c r="N23" s="8">
        <f t="shared" si="17"/>
        <v>0.107269287109375</v>
      </c>
      <c r="O23" s="8">
        <f t="shared" si="18"/>
        <v>0.16732978820800781</v>
      </c>
      <c r="P23" s="8">
        <f t="shared" si="19"/>
        <v>0.28696823120117188</v>
      </c>
      <c r="Q23" s="8">
        <f t="shared" si="20"/>
        <v>0.5252838134765625</v>
      </c>
      <c r="R23" s="657">
        <f t="shared" si="21"/>
        <v>1</v>
      </c>
      <c r="T23">
        <f t="shared" si="22"/>
        <v>19</v>
      </c>
      <c r="U23" s="533">
        <f t="shared" si="23"/>
        <v>0.23687744140625</v>
      </c>
      <c r="V23" s="1078">
        <f t="shared" si="24"/>
        <v>0.2628631591796875</v>
      </c>
      <c r="W23" s="1078">
        <f t="shared" si="25"/>
        <v>0.3139495849609375</v>
      </c>
      <c r="X23" s="1078">
        <f t="shared" si="26"/>
        <v>0.4143829345703125</v>
      </c>
      <c r="Y23" s="1078">
        <f t="shared" si="27"/>
        <v>0.61182975769042969</v>
      </c>
      <c r="Z23" s="541">
        <f t="shared" si="28"/>
        <v>1</v>
      </c>
    </row>
    <row r="24" spans="1:26">
      <c r="A24">
        <v>20</v>
      </c>
      <c r="B24" s="533">
        <f t="shared" si="6"/>
        <v>0.12231540679931641</v>
      </c>
      <c r="C24" s="1078">
        <f t="shared" si="7"/>
        <v>0.13672447204589844</v>
      </c>
      <c r="D24" s="1078">
        <f t="shared" si="8"/>
        <v>0.16530609130859375</v>
      </c>
      <c r="E24" s="1078">
        <f t="shared" si="9"/>
        <v>0.2220001220703125</v>
      </c>
      <c r="F24" s="1078">
        <f t="shared" si="10"/>
        <v>0.3344573974609375</v>
      </c>
      <c r="G24" s="1078">
        <f t="shared" si="11"/>
        <v>0.557525634765625</v>
      </c>
      <c r="H24" s="541">
        <f t="shared" si="12"/>
        <v>1</v>
      </c>
      <c r="J24">
        <v>20</v>
      </c>
      <c r="K24" s="533">
        <f t="shared" ref="K24:Q24" si="29">0.5*L23+0.5*$K23</f>
        <v>5.81817626953125E-2</v>
      </c>
      <c r="L24" s="1078">
        <f t="shared" si="29"/>
        <v>6.57501220703125E-2</v>
      </c>
      <c r="M24" s="1078">
        <f t="shared" si="29"/>
        <v>8.08258056640625E-2</v>
      </c>
      <c r="N24" s="1078">
        <f t="shared" si="29"/>
        <v>0.11085605621337891</v>
      </c>
      <c r="O24" s="1078">
        <f t="shared" si="29"/>
        <v>0.17067527770996094</v>
      </c>
      <c r="P24" s="1078">
        <f t="shared" si="29"/>
        <v>0.28983306884765625</v>
      </c>
      <c r="Q24" s="1078">
        <f t="shared" si="29"/>
        <v>0.527191162109375</v>
      </c>
      <c r="R24" s="541">
        <f t="shared" si="21"/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sheetPr codeName="Sheet347"/>
  <dimension ref="A1:Q35"/>
  <sheetViews>
    <sheetView workbookViewId="0">
      <selection activeCell="M1" sqref="M1"/>
    </sheetView>
  </sheetViews>
  <sheetFormatPr defaultRowHeight="14.4"/>
  <cols>
    <col min="2" max="2" width="9.109375" customWidth="1"/>
    <col min="13" max="13" width="6.33203125" customWidth="1"/>
  </cols>
  <sheetData>
    <row r="1" spans="1:15">
      <c r="A1" s="1" t="s">
        <v>3847</v>
      </c>
    </row>
    <row r="2" spans="1:15">
      <c r="A2" s="1"/>
    </row>
    <row r="3" spans="1:15">
      <c r="A3" s="25" t="s">
        <v>3848</v>
      </c>
      <c r="N3" t="s">
        <v>3852</v>
      </c>
    </row>
    <row r="5" spans="1:15">
      <c r="A5" t="s">
        <v>325</v>
      </c>
      <c r="B5" s="1235">
        <v>0.35</v>
      </c>
      <c r="N5" t="s">
        <v>325</v>
      </c>
      <c r="O5" s="1235">
        <v>0.35</v>
      </c>
    </row>
    <row r="6" spans="1:15">
      <c r="A6" t="s">
        <v>106</v>
      </c>
      <c r="B6" s="627">
        <v>24</v>
      </c>
      <c r="N6" t="s">
        <v>106</v>
      </c>
      <c r="O6" s="627">
        <v>24</v>
      </c>
    </row>
    <row r="7" spans="1:15">
      <c r="A7" s="65" t="s">
        <v>28</v>
      </c>
      <c r="B7" s="627">
        <v>13</v>
      </c>
      <c r="N7" s="65" t="s">
        <v>157</v>
      </c>
      <c r="O7" s="627">
        <v>0.05</v>
      </c>
    </row>
    <row r="8" spans="1:15">
      <c r="A8" s="65" t="s">
        <v>200</v>
      </c>
      <c r="B8" s="544">
        <f>1-BINOMDIST(B7,B6,B5,TRUE)</f>
        <v>1.6418510867853287E-2</v>
      </c>
      <c r="N8" s="65" t="s">
        <v>1867</v>
      </c>
      <c r="O8" s="544">
        <f>CRITBINOM(O6,O5,1-O7)</f>
        <v>12</v>
      </c>
    </row>
    <row r="10" spans="1:15">
      <c r="A10" s="19" t="s">
        <v>28</v>
      </c>
      <c r="B10" s="1360" t="s">
        <v>29</v>
      </c>
      <c r="C10" s="1360" t="s">
        <v>30</v>
      </c>
      <c r="M10" s="1360" t="s">
        <v>325</v>
      </c>
      <c r="N10" s="162" t="s">
        <v>1874</v>
      </c>
      <c r="O10" s="1269" t="s">
        <v>3488</v>
      </c>
    </row>
    <row r="11" spans="1:15">
      <c r="A11">
        <v>0</v>
      </c>
      <c r="B11" s="4">
        <f t="shared" ref="B11:B31" si="0">BINOMDIST(A11,$B$6,$B$5,FALSE)</f>
        <v>3.2353447101972727E-5</v>
      </c>
      <c r="C11" s="6">
        <f>B11</f>
        <v>3.2353447101972727E-5</v>
      </c>
      <c r="M11" s="1413">
        <v>0.35</v>
      </c>
      <c r="N11" s="4">
        <f t="shared" ref="N11:N22" si="1">BINOMDIST($O$8,$O$6,M11,TRUE)</f>
        <v>0.95774692520109506</v>
      </c>
      <c r="O11" s="6">
        <f t="shared" ref="O11:O22" si="2">1-N11</f>
        <v>4.2253074798904944E-2</v>
      </c>
    </row>
    <row r="12" spans="1:15">
      <c r="A12">
        <f>A11+1</f>
        <v>1</v>
      </c>
      <c r="B12" s="656">
        <f t="shared" si="0"/>
        <v>4.1810608562549434E-4</v>
      </c>
      <c r="C12" s="657">
        <f>B12+C11</f>
        <v>4.5045953272746707E-4</v>
      </c>
      <c r="M12" s="1413">
        <f t="shared" ref="M12:M22" si="3">M11+0.05</f>
        <v>0.39999999999999997</v>
      </c>
      <c r="N12" s="656">
        <f t="shared" si="1"/>
        <v>0.88573491768075618</v>
      </c>
      <c r="O12" s="657">
        <f t="shared" si="2"/>
        <v>0.11426508231924382</v>
      </c>
    </row>
    <row r="13" spans="1:15">
      <c r="A13">
        <f t="shared" ref="A13:A31" si="4">A12+1</f>
        <v>2</v>
      </c>
      <c r="B13" s="656">
        <f t="shared" si="0"/>
        <v>2.5890415302194068E-3</v>
      </c>
      <c r="C13" s="657">
        <f t="shared" ref="C13:C31" si="5">B13+C12</f>
        <v>3.0395010629468739E-3</v>
      </c>
      <c r="M13" s="1413">
        <f t="shared" si="3"/>
        <v>0.44999999999999996</v>
      </c>
      <c r="N13" s="656">
        <f t="shared" si="1"/>
        <v>0.75796651803436921</v>
      </c>
      <c r="O13" s="657">
        <f t="shared" si="2"/>
        <v>0.24203348196563079</v>
      </c>
    </row>
    <row r="14" spans="1:15">
      <c r="A14">
        <f t="shared" si="4"/>
        <v>3</v>
      </c>
      <c r="B14" s="656">
        <f t="shared" si="0"/>
        <v>1.0223394760353558E-2</v>
      </c>
      <c r="C14" s="657">
        <f t="shared" si="5"/>
        <v>1.3262895823300432E-2</v>
      </c>
      <c r="M14" s="1413">
        <f t="shared" si="3"/>
        <v>0.49999999999999994</v>
      </c>
      <c r="N14" s="656">
        <f t="shared" si="1"/>
        <v>0.58059012889862038</v>
      </c>
      <c r="O14" s="657">
        <f t="shared" si="2"/>
        <v>0.41940987110137962</v>
      </c>
    </row>
    <row r="15" spans="1:15">
      <c r="A15">
        <f t="shared" si="4"/>
        <v>4</v>
      </c>
      <c r="B15" s="656">
        <f t="shared" si="0"/>
        <v>2.8900750572537902E-2</v>
      </c>
      <c r="C15" s="657">
        <f t="shared" si="5"/>
        <v>4.2163646395838333E-2</v>
      </c>
      <c r="M15" s="1413">
        <f t="shared" si="3"/>
        <v>0.54999999999999993</v>
      </c>
      <c r="N15" s="656">
        <f t="shared" si="1"/>
        <v>0.38490122409641137</v>
      </c>
      <c r="O15" s="657">
        <f t="shared" si="2"/>
        <v>0.61509877590358863</v>
      </c>
    </row>
    <row r="16" spans="1:15">
      <c r="A16">
        <f t="shared" si="4"/>
        <v>5</v>
      </c>
      <c r="B16" s="656">
        <f t="shared" si="0"/>
        <v>6.2247770463927883E-2</v>
      </c>
      <c r="C16" s="657">
        <f t="shared" si="5"/>
        <v>0.10441141685976621</v>
      </c>
      <c r="M16" s="1413">
        <f t="shared" si="3"/>
        <v>0.6</v>
      </c>
      <c r="N16" s="656">
        <f t="shared" si="1"/>
        <v>0.21302179896054116</v>
      </c>
      <c r="O16" s="657">
        <f t="shared" si="2"/>
        <v>0.78697820103945881</v>
      </c>
    </row>
    <row r="17" spans="1:17">
      <c r="A17">
        <f t="shared" si="4"/>
        <v>6</v>
      </c>
      <c r="B17" s="656">
        <f t="shared" si="0"/>
        <v>0.10614042912438973</v>
      </c>
      <c r="C17" s="657">
        <f t="shared" si="5"/>
        <v>0.21055184598415594</v>
      </c>
      <c r="M17" s="1413">
        <f t="shared" si="3"/>
        <v>0.65</v>
      </c>
      <c r="N17" s="656">
        <f>BINOMDIST($O$8,$O$6,M17,TRUE)</f>
        <v>9.4229756993520764E-2</v>
      </c>
      <c r="O17" s="657">
        <f t="shared" si="2"/>
        <v>0.90577024300647924</v>
      </c>
    </row>
    <row r="18" spans="1:17">
      <c r="A18">
        <f t="shared" si="4"/>
        <v>7</v>
      </c>
      <c r="B18" s="656">
        <f t="shared" si="0"/>
        <v>0.14696367109530883</v>
      </c>
      <c r="C18" s="657">
        <f t="shared" si="5"/>
        <v>0.35751551707946477</v>
      </c>
      <c r="M18" s="1413">
        <f t="shared" si="3"/>
        <v>0.70000000000000007</v>
      </c>
      <c r="N18" s="656">
        <f t="shared" si="1"/>
        <v>3.1393654095974582E-2</v>
      </c>
      <c r="O18" s="657">
        <f t="shared" si="2"/>
        <v>0.96860634590402539</v>
      </c>
    </row>
    <row r="19" spans="1:17">
      <c r="A19">
        <f t="shared" si="4"/>
        <v>8</v>
      </c>
      <c r="B19" s="656">
        <f t="shared" si="0"/>
        <v>0.16816035442636298</v>
      </c>
      <c r="C19" s="657">
        <f t="shared" si="5"/>
        <v>0.52567587150582773</v>
      </c>
      <c r="M19" s="1413">
        <f t="shared" si="3"/>
        <v>0.75000000000000011</v>
      </c>
      <c r="N19" s="656">
        <f t="shared" si="1"/>
        <v>7.1996500078554794E-3</v>
      </c>
      <c r="O19" s="657">
        <f t="shared" si="2"/>
        <v>0.9928003499921445</v>
      </c>
    </row>
    <row r="20" spans="1:17">
      <c r="A20">
        <f t="shared" si="4"/>
        <v>9</v>
      </c>
      <c r="B20" s="656">
        <f t="shared" si="0"/>
        <v>0.16097401449361234</v>
      </c>
      <c r="C20" s="657">
        <f t="shared" si="5"/>
        <v>0.6866498859994401</v>
      </c>
      <c r="M20" s="1413">
        <f t="shared" si="3"/>
        <v>0.80000000000000016</v>
      </c>
      <c r="N20" s="656">
        <f t="shared" si="1"/>
        <v>9.779698322534044E-4</v>
      </c>
      <c r="O20" s="657">
        <f t="shared" si="2"/>
        <v>0.9990220301677466</v>
      </c>
    </row>
    <row r="21" spans="1:17">
      <c r="A21">
        <f t="shared" si="4"/>
        <v>10</v>
      </c>
      <c r="B21" s="656">
        <f t="shared" si="0"/>
        <v>0.13001747324484075</v>
      </c>
      <c r="C21" s="657">
        <f t="shared" si="5"/>
        <v>0.8166673592442808</v>
      </c>
      <c r="M21" s="1413">
        <f t="shared" si="3"/>
        <v>0.8500000000000002</v>
      </c>
      <c r="N21" s="656">
        <f t="shared" si="1"/>
        <v>5.9309792674177169E-5</v>
      </c>
      <c r="O21" s="657">
        <f t="shared" si="2"/>
        <v>0.99994069020732579</v>
      </c>
    </row>
    <row r="22" spans="1:17">
      <c r="A22">
        <f t="shared" si="4"/>
        <v>11</v>
      </c>
      <c r="B22" s="656">
        <f t="shared" si="0"/>
        <v>8.910288376219852E-2</v>
      </c>
      <c r="C22" s="657">
        <f t="shared" si="5"/>
        <v>0.90577024300647935</v>
      </c>
      <c r="M22" s="1413">
        <f t="shared" si="3"/>
        <v>0.90000000000000024</v>
      </c>
      <c r="N22" s="533">
        <f t="shared" si="1"/>
        <v>8.4944358910566843E-7</v>
      </c>
      <c r="O22" s="541">
        <f t="shared" si="2"/>
        <v>0.99999915055641087</v>
      </c>
    </row>
    <row r="23" spans="1:17">
      <c r="A23">
        <f t="shared" si="4"/>
        <v>12</v>
      </c>
      <c r="B23" s="656">
        <f t="shared" si="0"/>
        <v>5.1976682194615778E-2</v>
      </c>
      <c r="C23" s="1083">
        <f t="shared" si="5"/>
        <v>0.95774692520109517</v>
      </c>
    </row>
    <row r="24" spans="1:17">
      <c r="A24">
        <f t="shared" si="4"/>
        <v>13</v>
      </c>
      <c r="B24" s="656">
        <f t="shared" si="0"/>
        <v>2.5834563931051636E-2</v>
      </c>
      <c r="C24" s="657">
        <f t="shared" si="5"/>
        <v>0.98358148913214682</v>
      </c>
      <c r="M24" s="1416">
        <f>13/24</f>
        <v>0.54166666666666663</v>
      </c>
      <c r="O24" s="756" t="e">
        <f ca="1">[1]!BINOM_POWER(O5,M24,O6,1,O7)</f>
        <v>#NAME?</v>
      </c>
      <c r="Q24" t="e">
        <f ca="1">[1]!FTEXT(O24)</f>
        <v>#NAME?</v>
      </c>
    </row>
    <row r="25" spans="1:17">
      <c r="A25">
        <f t="shared" si="4"/>
        <v>14</v>
      </c>
      <c r="B25" s="656">
        <f t="shared" si="0"/>
        <v>1.0930007816983389E-2</v>
      </c>
      <c r="C25" s="657">
        <f t="shared" si="5"/>
        <v>0.99451149694913021</v>
      </c>
    </row>
    <row r="26" spans="1:17">
      <c r="A26">
        <f t="shared" si="4"/>
        <v>15</v>
      </c>
      <c r="B26" s="656">
        <f t="shared" si="0"/>
        <v>3.9235925496863416E-3</v>
      </c>
      <c r="C26" s="657">
        <f t="shared" si="5"/>
        <v>0.99843508949881654</v>
      </c>
    </row>
    <row r="27" spans="1:17">
      <c r="A27">
        <f t="shared" si="4"/>
        <v>16</v>
      </c>
      <c r="B27" s="656">
        <f t="shared" si="0"/>
        <v>1.1883958203376906E-3</v>
      </c>
      <c r="C27" s="657">
        <f t="shared" si="5"/>
        <v>0.99962348531915424</v>
      </c>
    </row>
    <row r="28" spans="1:17">
      <c r="A28">
        <f t="shared" si="4"/>
        <v>17</v>
      </c>
      <c r="B28" s="656">
        <f t="shared" si="0"/>
        <v>3.0113197257425589E-4</v>
      </c>
      <c r="C28" s="657">
        <f t="shared" si="5"/>
        <v>0.99992461729172855</v>
      </c>
    </row>
    <row r="29" spans="1:17">
      <c r="A29">
        <f t="shared" si="4"/>
        <v>18</v>
      </c>
      <c r="B29" s="656">
        <f t="shared" si="0"/>
        <v>6.3057549812557776E-5</v>
      </c>
      <c r="C29" s="657">
        <f t="shared" si="5"/>
        <v>0.99998767484154105</v>
      </c>
    </row>
    <row r="30" spans="1:17">
      <c r="A30">
        <f t="shared" si="4"/>
        <v>19</v>
      </c>
      <c r="B30" s="656">
        <f t="shared" si="0"/>
        <v>1.0722336405374225E-5</v>
      </c>
      <c r="C30" s="657">
        <f t="shared" si="5"/>
        <v>0.99999839717794647</v>
      </c>
    </row>
    <row r="31" spans="1:17">
      <c r="A31">
        <f t="shared" si="4"/>
        <v>20</v>
      </c>
      <c r="B31" s="656">
        <f t="shared" si="0"/>
        <v>1.4433914391849863E-6</v>
      </c>
      <c r="C31" s="657">
        <f t="shared" si="5"/>
        <v>0.99999984056938562</v>
      </c>
    </row>
    <row r="32" spans="1:17">
      <c r="A32">
        <f>A31+1</f>
        <v>21</v>
      </c>
      <c r="B32" s="656">
        <f>BINOMDIST(A32,$B$6,$B$5,FALSE)</f>
        <v>1.4804014760871705E-7</v>
      </c>
      <c r="C32" s="657">
        <f>B32+C31</f>
        <v>0.99999998860953321</v>
      </c>
    </row>
    <row r="33" spans="1:3">
      <c r="A33">
        <f>A32+1</f>
        <v>22</v>
      </c>
      <c r="B33" s="656">
        <f>BINOMDIST(A33,$B$6,$B$5,FALSE)</f>
        <v>1.0870080768472236E-8</v>
      </c>
      <c r="C33" s="657">
        <f>B33+C32</f>
        <v>0.99999999947961393</v>
      </c>
    </row>
    <row r="34" spans="1:3">
      <c r="A34">
        <f>A33+1</f>
        <v>23</v>
      </c>
      <c r="B34" s="656">
        <f>BINOMDIST(A34,$B$6,$B$5,FALSE)</f>
        <v>5.0896699250371378E-10</v>
      </c>
      <c r="C34" s="657">
        <f>B34+C33</f>
        <v>0.99999999998858091</v>
      </c>
    </row>
    <row r="35" spans="1:3">
      <c r="A35">
        <f>A34+1</f>
        <v>24</v>
      </c>
      <c r="B35" s="533">
        <f>BINOMDIST(A35,$B$6,$B$5,FALSE)</f>
        <v>1.1419131242070537E-11</v>
      </c>
      <c r="C35" s="541">
        <f>B35+C34</f>
        <v>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>
  <sheetPr codeName="Sheet348"/>
  <dimension ref="A1:E25"/>
  <sheetViews>
    <sheetView workbookViewId="0"/>
  </sheetViews>
  <sheetFormatPr defaultRowHeight="14.4"/>
  <cols>
    <col min="1" max="1" width="6.44140625" customWidth="1"/>
  </cols>
  <sheetData>
    <row r="1" spans="1:3">
      <c r="A1" s="1" t="s">
        <v>3847</v>
      </c>
    </row>
    <row r="3" spans="1:3">
      <c r="B3" t="s">
        <v>3855</v>
      </c>
    </row>
    <row r="5" spans="1:3">
      <c r="B5" t="s">
        <v>325</v>
      </c>
      <c r="C5" s="1235">
        <v>0.35</v>
      </c>
    </row>
    <row r="6" spans="1:3">
      <c r="B6" t="s">
        <v>106</v>
      </c>
      <c r="C6" s="627">
        <v>24</v>
      </c>
    </row>
    <row r="7" spans="1:3">
      <c r="B7" s="65" t="s">
        <v>157</v>
      </c>
      <c r="C7" s="627">
        <v>0.05</v>
      </c>
    </row>
    <row r="8" spans="1:3">
      <c r="B8" s="1414" t="s">
        <v>3856</v>
      </c>
      <c r="C8" s="627">
        <f>CRITBINOM(C6,C5,C7/2)</f>
        <v>4</v>
      </c>
    </row>
    <row r="9" spans="1:3">
      <c r="B9" s="1415" t="s">
        <v>3857</v>
      </c>
      <c r="C9" s="544">
        <f>CRITBINOM(C6,C5,1-C7/2)</f>
        <v>13</v>
      </c>
    </row>
    <row r="11" spans="1:3">
      <c r="A11" s="1360" t="s">
        <v>325</v>
      </c>
      <c r="B11" s="162" t="s">
        <v>1874</v>
      </c>
      <c r="C11" s="1269" t="s">
        <v>3488</v>
      </c>
    </row>
    <row r="12" spans="1:3">
      <c r="A12" s="1413">
        <v>0.35</v>
      </c>
      <c r="B12" s="1236">
        <f>BINOMDIST($C$9,$C$6,A12,TRUE)-BINOMDIST($C$8-1,$C$6,A12,TRUE)</f>
        <v>0.97031859330884629</v>
      </c>
      <c r="C12" s="1237">
        <f t="shared" ref="C12:C23" si="0">1-B12</f>
        <v>2.9681406691153711E-2</v>
      </c>
    </row>
    <row r="13" spans="1:3">
      <c r="A13" s="1413">
        <f t="shared" ref="A13:A23" si="1">A12+0.05</f>
        <v>0.39999999999999997</v>
      </c>
      <c r="B13" s="656">
        <f t="shared" ref="B13:B23" si="2">BINOMDIST($C$9,$C$6,A13,TRUE)-BINOMDIST($C$8-1,$C$6,A13,TRUE)</f>
        <v>0.94300486300263708</v>
      </c>
      <c r="C13" s="657">
        <f t="shared" si="0"/>
        <v>5.6995136997362916E-2</v>
      </c>
    </row>
    <row r="14" spans="1:3">
      <c r="A14" s="1413">
        <f t="shared" si="1"/>
        <v>0.44999999999999996</v>
      </c>
      <c r="B14" s="656">
        <f t="shared" si="2"/>
        <v>0.86509521921231303</v>
      </c>
      <c r="C14" s="657">
        <f t="shared" si="0"/>
        <v>0.13490478078768697</v>
      </c>
    </row>
    <row r="15" spans="1:3">
      <c r="A15" s="1413">
        <f t="shared" si="1"/>
        <v>0.49999999999999994</v>
      </c>
      <c r="B15" s="656">
        <f t="shared" si="2"/>
        <v>0.72923332452774037</v>
      </c>
      <c r="C15" s="657">
        <f t="shared" si="0"/>
        <v>0.27076667547225963</v>
      </c>
    </row>
    <row r="16" spans="1:3">
      <c r="A16" s="1413">
        <f t="shared" si="1"/>
        <v>0.54999999999999993</v>
      </c>
      <c r="B16" s="656">
        <f t="shared" si="2"/>
        <v>0.54606566938334167</v>
      </c>
      <c r="C16" s="657">
        <f t="shared" si="0"/>
        <v>0.45393433061665833</v>
      </c>
    </row>
    <row r="17" spans="1:5">
      <c r="A17" s="1413">
        <f t="shared" si="1"/>
        <v>0.6</v>
      </c>
      <c r="B17" s="656">
        <f t="shared" si="2"/>
        <v>0.34975976019008298</v>
      </c>
      <c r="C17" s="657">
        <f t="shared" si="0"/>
        <v>0.65024023980991696</v>
      </c>
    </row>
    <row r="18" spans="1:5">
      <c r="A18" s="1413">
        <f t="shared" si="1"/>
        <v>0.65</v>
      </c>
      <c r="B18" s="656">
        <f t="shared" si="2"/>
        <v>0.1833324813251046</v>
      </c>
      <c r="C18" s="657">
        <f t="shared" si="0"/>
        <v>0.8166675186748954</v>
      </c>
    </row>
    <row r="19" spans="1:5">
      <c r="A19" s="1413">
        <f t="shared" si="1"/>
        <v>0.70000000000000007</v>
      </c>
      <c r="B19" s="656">
        <f t="shared" si="2"/>
        <v>7.4236457377926307E-2</v>
      </c>
      <c r="C19" s="657">
        <f t="shared" si="0"/>
        <v>0.92576354262207372</v>
      </c>
    </row>
    <row r="20" spans="1:5">
      <c r="A20" s="1413">
        <f t="shared" si="1"/>
        <v>0.75000000000000011</v>
      </c>
      <c r="B20" s="656">
        <f t="shared" si="2"/>
        <v>2.1338241579346783E-2</v>
      </c>
      <c r="C20" s="657">
        <f t="shared" si="0"/>
        <v>0.97866175842065317</v>
      </c>
    </row>
    <row r="21" spans="1:5">
      <c r="A21" s="1413">
        <f t="shared" si="1"/>
        <v>0.80000000000000016</v>
      </c>
      <c r="B21" s="656">
        <f t="shared" si="2"/>
        <v>3.7883781270701988E-3</v>
      </c>
      <c r="C21" s="657">
        <f t="shared" si="0"/>
        <v>0.99621162187292978</v>
      </c>
    </row>
    <row r="22" spans="1:5">
      <c r="A22" s="1413">
        <f t="shared" si="1"/>
        <v>0.8500000000000002</v>
      </c>
      <c r="B22" s="656">
        <f t="shared" si="2"/>
        <v>3.2035728138071756E-4</v>
      </c>
      <c r="C22" s="657">
        <f t="shared" si="0"/>
        <v>0.99967964271861931</v>
      </c>
    </row>
    <row r="23" spans="1:5">
      <c r="A23" s="1413">
        <f t="shared" si="1"/>
        <v>0.90000000000000024</v>
      </c>
      <c r="B23" s="533">
        <f t="shared" si="2"/>
        <v>7.1943067252924792E-6</v>
      </c>
      <c r="C23" s="541">
        <f t="shared" si="0"/>
        <v>0.99999280569327476</v>
      </c>
    </row>
    <row r="25" spans="1:5">
      <c r="A25" s="1416">
        <f>13/24</f>
        <v>0.54166666666666663</v>
      </c>
      <c r="C25" s="756" t="e">
        <f ca="1">[1]!BINOM_POWER(C5,A25,C6,2,C7)</f>
        <v>#NAME?</v>
      </c>
      <c r="E25" t="e">
        <f ca="1">[1]!FTEXT(C25)</f>
        <v>#NAME?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sheetPr codeName="Sheet352"/>
  <dimension ref="A1:N17"/>
  <sheetViews>
    <sheetView workbookViewId="0"/>
  </sheetViews>
  <sheetFormatPr defaultRowHeight="14.4"/>
  <cols>
    <col min="2" max="2" width="9.109375" customWidth="1"/>
    <col min="3" max="3" width="3.5546875" customWidth="1"/>
    <col min="4" max="4" width="33.6640625" customWidth="1"/>
    <col min="8" max="8" width="4" customWidth="1"/>
    <col min="9" max="9" width="29.33203125" customWidth="1"/>
    <col min="13" max="13" width="4" customWidth="1"/>
    <col min="14" max="14" width="29.33203125" customWidth="1"/>
  </cols>
  <sheetData>
    <row r="1" spans="1:14">
      <c r="A1" s="1" t="s">
        <v>3891</v>
      </c>
    </row>
    <row r="3" spans="1:14">
      <c r="A3" t="s">
        <v>3892</v>
      </c>
      <c r="B3" s="1427">
        <v>0.35</v>
      </c>
      <c r="F3" t="s">
        <v>3892</v>
      </c>
      <c r="G3" s="1427">
        <v>0.35</v>
      </c>
      <c r="K3" t="s">
        <v>3892</v>
      </c>
      <c r="L3" s="1427">
        <v>0.35</v>
      </c>
    </row>
    <row r="4" spans="1:14">
      <c r="A4" t="s">
        <v>1704</v>
      </c>
      <c r="B4" s="1428">
        <v>0.8</v>
      </c>
      <c r="F4" t="s">
        <v>1704</v>
      </c>
      <c r="G4" s="1428">
        <v>0.8</v>
      </c>
      <c r="K4" t="s">
        <v>1704</v>
      </c>
      <c r="L4" s="1428">
        <v>0.8</v>
      </c>
    </row>
    <row r="5" spans="1:14">
      <c r="A5" s="65" t="s">
        <v>337</v>
      </c>
      <c r="B5" s="1428">
        <v>0.01</v>
      </c>
      <c r="F5" s="65" t="s">
        <v>337</v>
      </c>
      <c r="G5" s="1428">
        <v>0.01</v>
      </c>
      <c r="K5" s="65" t="s">
        <v>337</v>
      </c>
      <c r="L5" s="1428">
        <v>0.01</v>
      </c>
    </row>
    <row r="6" spans="1:14">
      <c r="A6" t="s">
        <v>351</v>
      </c>
      <c r="B6" s="1428">
        <f>CRITBINOM(B7,B3,1-B5)</f>
        <v>0</v>
      </c>
      <c r="D6" s="23" t="s">
        <v>3893</v>
      </c>
      <c r="F6" t="s">
        <v>351</v>
      </c>
      <c r="G6" s="1428">
        <f>CRITBINOM(G7,G3,1-G5)</f>
        <v>10</v>
      </c>
      <c r="I6" s="23" t="s">
        <v>3897</v>
      </c>
      <c r="K6" t="s">
        <v>351</v>
      </c>
      <c r="L6" s="1428">
        <f>CRITBINOM(L7,L3,1-L5)</f>
        <v>10</v>
      </c>
      <c r="N6" s="23" t="s">
        <v>3899</v>
      </c>
    </row>
    <row r="7" spans="1:14">
      <c r="A7" t="s">
        <v>106</v>
      </c>
      <c r="B7" s="1430"/>
      <c r="F7" t="s">
        <v>106</v>
      </c>
      <c r="G7" s="1430">
        <v>16.030061346032447</v>
      </c>
      <c r="I7" s="23"/>
      <c r="K7" t="s">
        <v>106</v>
      </c>
      <c r="L7" s="1430">
        <v>16</v>
      </c>
    </row>
    <row r="8" spans="1:14">
      <c r="A8" s="65" t="s">
        <v>3488</v>
      </c>
      <c r="B8" s="1429">
        <f>1-BINOMDIST(B6,B7,B4,TRUE)</f>
        <v>0</v>
      </c>
      <c r="D8" s="1431" t="s">
        <v>3894</v>
      </c>
      <c r="F8" s="65" t="s">
        <v>3488</v>
      </c>
      <c r="G8" s="1429">
        <f>1-BINOMDIST(G6,G7,G4,TRUE)</f>
        <v>0.91831211151851522</v>
      </c>
      <c r="I8" s="23" t="s">
        <v>3898</v>
      </c>
      <c r="K8" s="65" t="s">
        <v>3488</v>
      </c>
      <c r="L8" s="1429">
        <f>1-BINOMDIST(L6,L7,L4,TRUE)</f>
        <v>0.91831211151851522</v>
      </c>
      <c r="N8" s="1431" t="s">
        <v>3900</v>
      </c>
    </row>
    <row r="9" spans="1:14">
      <c r="B9" s="22"/>
    </row>
    <row r="11" spans="1:14">
      <c r="A11" t="s">
        <v>3078</v>
      </c>
    </row>
    <row r="13" spans="1:14">
      <c r="A13" t="s">
        <v>1805</v>
      </c>
      <c r="B13" t="e">
        <f ca="1">[1]!BINOM_SIZE(0.35,0.8,0.9,1,0.01)</f>
        <v>#NAME?</v>
      </c>
      <c r="D13" t="e">
        <f ca="1">[1]!FTEXT(B13)</f>
        <v>#NAME?</v>
      </c>
    </row>
    <row r="14" spans="1:14">
      <c r="A14" t="s">
        <v>1806</v>
      </c>
      <c r="B14" t="e">
        <f ca="1">[1]!BINOM_SIZE(0.35,0.8,0.9,2,0.01)</f>
        <v>#NAME?</v>
      </c>
      <c r="D14" t="e">
        <f ca="1">[1]!FTEXT(B14)</f>
        <v>#NAME?</v>
      </c>
    </row>
    <row r="16" spans="1:14">
      <c r="A16" t="s">
        <v>1805</v>
      </c>
      <c r="B16" t="e">
        <f ca="1">[1]!BINOM_POWER(0.35,0.8,B13,1,0.01)</f>
        <v>#NAME?</v>
      </c>
      <c r="D16" s="23" t="s">
        <v>3895</v>
      </c>
    </row>
    <row r="17" spans="1:4">
      <c r="A17" t="s">
        <v>1806</v>
      </c>
      <c r="B17" t="e">
        <f ca="1">[1]!BINOM_POWER(0.35,0.8,B14,2,0.01)</f>
        <v>#NAME?</v>
      </c>
      <c r="D17" s="23" t="s">
        <v>3896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sheetPr codeName="Sheet344"/>
  <dimension ref="A1:B7"/>
  <sheetViews>
    <sheetView workbookViewId="0"/>
  </sheetViews>
  <sheetFormatPr defaultRowHeight="14.4"/>
  <sheetData>
    <row r="1" spans="1:2">
      <c r="A1" s="1" t="s">
        <v>3824</v>
      </c>
    </row>
    <row r="3" spans="1:2">
      <c r="A3" s="65" t="s">
        <v>1449</v>
      </c>
      <c r="B3">
        <f>4</f>
        <v>4</v>
      </c>
    </row>
    <row r="4" spans="1:2">
      <c r="A4" s="65" t="s">
        <v>157</v>
      </c>
      <c r="B4">
        <v>10</v>
      </c>
    </row>
    <row r="5" spans="1:2">
      <c r="A5" s="65" t="s">
        <v>1874</v>
      </c>
      <c r="B5">
        <f>1/B3</f>
        <v>0.25</v>
      </c>
    </row>
    <row r="6" spans="1:2">
      <c r="A6" s="65" t="s">
        <v>28</v>
      </c>
      <c r="B6">
        <v>3</v>
      </c>
    </row>
    <row r="7" spans="1:2">
      <c r="A7" t="s">
        <v>3825</v>
      </c>
      <c r="B7">
        <f>GAMMADIST(B6,B4,B5,TRUE)</f>
        <v>0.75760783832948764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sheetPr codeName="Sheet343"/>
  <dimension ref="A1:B12"/>
  <sheetViews>
    <sheetView workbookViewId="0"/>
  </sheetViews>
  <sheetFormatPr defaultRowHeight="14.4"/>
  <cols>
    <col min="2" max="2" width="9.109375" customWidth="1"/>
  </cols>
  <sheetData>
    <row r="1" spans="1:2">
      <c r="A1" s="1" t="s">
        <v>3820</v>
      </c>
    </row>
    <row r="3" spans="1:2">
      <c r="A3" s="65" t="s">
        <v>1449</v>
      </c>
      <c r="B3" s="1235">
        <v>5</v>
      </c>
    </row>
    <row r="4" spans="1:2">
      <c r="A4" t="s">
        <v>28</v>
      </c>
      <c r="B4" s="627">
        <v>0.5</v>
      </c>
    </row>
    <row r="5" spans="1:2">
      <c r="A5" t="s">
        <v>3821</v>
      </c>
      <c r="B5" s="544">
        <f>1-EXPONDIST(B4,B3,TRUE)</f>
        <v>8.2084998623898842E-2</v>
      </c>
    </row>
    <row r="8" spans="1:2">
      <c r="A8" s="65" t="s">
        <v>1449</v>
      </c>
      <c r="B8" s="1235">
        <f>LN(0.9)/(-10000)</f>
        <v>1.0536051565782628E-5</v>
      </c>
    </row>
    <row r="9" spans="1:2">
      <c r="A9" s="493" t="s">
        <v>28</v>
      </c>
      <c r="B9" s="627">
        <v>40000</v>
      </c>
    </row>
    <row r="10" spans="1:2">
      <c r="A10" t="s">
        <v>3822</v>
      </c>
      <c r="B10" s="544">
        <f>1-EXPONDIST(B9,B8,TRUE)</f>
        <v>0.65610000000000002</v>
      </c>
    </row>
    <row r="12" spans="1:2">
      <c r="A12" t="s">
        <v>3823</v>
      </c>
      <c r="B12" s="756">
        <f>1/B8</f>
        <v>94912.215810299051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sheetPr codeName="Sheet342"/>
  <dimension ref="A1:J12"/>
  <sheetViews>
    <sheetView workbookViewId="0">
      <selection activeCell="Q19" sqref="Q19"/>
    </sheetView>
  </sheetViews>
  <sheetFormatPr defaultRowHeight="14.4"/>
  <cols>
    <col min="1" max="5" width="7.88671875" customWidth="1"/>
    <col min="9" max="9" width="3.6640625" customWidth="1"/>
    <col min="10" max="10" width="29.44140625" customWidth="1"/>
  </cols>
  <sheetData>
    <row r="1" spans="1:10">
      <c r="A1" s="1" t="s">
        <v>3809</v>
      </c>
    </row>
    <row r="3" spans="1:10">
      <c r="A3" s="1407">
        <v>2.7</v>
      </c>
      <c r="B3" s="1408">
        <v>5.9</v>
      </c>
      <c r="C3" s="1408">
        <v>8.1</v>
      </c>
      <c r="D3" s="1408">
        <v>9.1</v>
      </c>
      <c r="E3" s="1409">
        <v>5</v>
      </c>
      <c r="G3" t="s">
        <v>63</v>
      </c>
      <c r="H3" s="1412">
        <f>AVERAGE(A3:E10)</f>
        <v>6.2124999999999986</v>
      </c>
      <c r="J3" t="s">
        <v>3812</v>
      </c>
    </row>
    <row r="4" spans="1:10">
      <c r="A4" s="872">
        <v>8.1999999999999993</v>
      </c>
      <c r="B4" s="184">
        <v>2.1</v>
      </c>
      <c r="C4" s="184">
        <v>7.1</v>
      </c>
      <c r="D4" s="184">
        <v>4.5999999999999996</v>
      </c>
      <c r="E4" s="1410">
        <v>3.9</v>
      </c>
      <c r="G4" t="s">
        <v>67</v>
      </c>
      <c r="H4" s="544">
        <f>STDEV(A3:E10)</f>
        <v>2.8315246866806723</v>
      </c>
      <c r="J4" s="23" t="s">
        <v>3817</v>
      </c>
    </row>
    <row r="5" spans="1:10">
      <c r="A5" s="872">
        <v>8.4</v>
      </c>
      <c r="B5" s="184">
        <v>8.1</v>
      </c>
      <c r="C5" s="184">
        <v>8.1</v>
      </c>
      <c r="D5" s="184">
        <v>10</v>
      </c>
      <c r="E5" s="1410">
        <v>7.4</v>
      </c>
      <c r="J5" t="s">
        <v>2031</v>
      </c>
    </row>
    <row r="6" spans="1:10">
      <c r="A6" s="872">
        <v>1.9</v>
      </c>
      <c r="B6" s="184">
        <v>9.1</v>
      </c>
      <c r="C6" s="184">
        <v>2.6</v>
      </c>
      <c r="D6" s="184">
        <v>1.9</v>
      </c>
      <c r="E6" s="1410">
        <v>9.3000000000000007</v>
      </c>
      <c r="G6" t="s">
        <v>3810</v>
      </c>
      <c r="H6" s="1235">
        <f>2*H3</f>
        <v>12.424999999999997</v>
      </c>
      <c r="J6" t="s">
        <v>3813</v>
      </c>
    </row>
    <row r="7" spans="1:10">
      <c r="A7" s="872">
        <v>9.6999999999999993</v>
      </c>
      <c r="B7" s="184">
        <v>11</v>
      </c>
      <c r="C7" s="184">
        <v>2.7</v>
      </c>
      <c r="D7" s="184">
        <v>3.8</v>
      </c>
      <c r="E7" s="1410">
        <v>1.2</v>
      </c>
      <c r="G7" t="s">
        <v>3811</v>
      </c>
      <c r="H7" s="544">
        <f>H4*SQRT(12)</f>
        <v>9.8086892404329404</v>
      </c>
      <c r="J7" t="s">
        <v>3814</v>
      </c>
    </row>
    <row r="8" spans="1:10">
      <c r="A8" s="872">
        <v>7.8</v>
      </c>
      <c r="B8" s="184">
        <v>6</v>
      </c>
      <c r="C8" s="184">
        <v>5.4</v>
      </c>
      <c r="D8" s="184">
        <v>3</v>
      </c>
      <c r="E8" s="1410">
        <v>6.1</v>
      </c>
      <c r="J8" t="s">
        <v>2031</v>
      </c>
    </row>
    <row r="9" spans="1:10">
      <c r="A9" s="872">
        <v>7.7</v>
      </c>
      <c r="B9" s="184">
        <v>7.2</v>
      </c>
      <c r="C9" s="184">
        <v>7.6</v>
      </c>
      <c r="D9" s="184">
        <v>9.9</v>
      </c>
      <c r="E9" s="1410">
        <v>8.6999999999999993</v>
      </c>
      <c r="G9" t="s">
        <v>141</v>
      </c>
      <c r="H9" s="1235">
        <f>(H6-H7)/2</f>
        <v>1.3081553797835284</v>
      </c>
      <c r="J9" t="s">
        <v>3815</v>
      </c>
    </row>
    <row r="10" spans="1:10">
      <c r="A10" s="1137">
        <v>4.7</v>
      </c>
      <c r="B10" s="1356">
        <v>9.4</v>
      </c>
      <c r="C10" s="1356">
        <v>1.5</v>
      </c>
      <c r="D10" s="1356">
        <v>3.6</v>
      </c>
      <c r="E10" s="1411">
        <v>8</v>
      </c>
      <c r="G10" t="s">
        <v>142</v>
      </c>
      <c r="H10" s="544">
        <f>(H6+H7)/2</f>
        <v>11.116844620216469</v>
      </c>
      <c r="J10" t="s">
        <v>3816</v>
      </c>
    </row>
    <row r="12" spans="1:10">
      <c r="G12" t="s">
        <v>3818</v>
      </c>
      <c r="H12" s="756" t="e">
        <f ca="1">[1]!UNIFORM_DIST(5,H9,H10,TRUE)</f>
        <v>#NAME?</v>
      </c>
      <c r="J12" s="23" t="s">
        <v>3819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sheetPr codeName="Sheet224"/>
  <dimension ref="A1:C10"/>
  <sheetViews>
    <sheetView workbookViewId="0"/>
  </sheetViews>
  <sheetFormatPr defaultRowHeight="14.4"/>
  <sheetData>
    <row r="1" spans="1:3">
      <c r="A1" s="1" t="s">
        <v>1873</v>
      </c>
    </row>
    <row r="3" spans="1:3">
      <c r="A3" s="65" t="s">
        <v>157</v>
      </c>
      <c r="B3" s="542">
        <v>0.6</v>
      </c>
    </row>
    <row r="4" spans="1:3">
      <c r="A4" s="65" t="s">
        <v>1874</v>
      </c>
      <c r="B4" s="627">
        <v>1000</v>
      </c>
    </row>
    <row r="5" spans="1:3">
      <c r="A5" s="65" t="s">
        <v>28</v>
      </c>
      <c r="B5" s="627">
        <v>5000</v>
      </c>
    </row>
    <row r="6" spans="1:3">
      <c r="A6" s="65" t="s">
        <v>325</v>
      </c>
      <c r="B6" s="627">
        <f>WEIBULL(B5,B3,B4,TRUE)</f>
        <v>0.9276708322446483</v>
      </c>
    </row>
    <row r="7" spans="1:3">
      <c r="A7" s="65" t="s">
        <v>1875</v>
      </c>
      <c r="B7" s="544">
        <f>1-B6</f>
        <v>7.2329167755351698E-2</v>
      </c>
    </row>
    <row r="10" spans="1:3">
      <c r="A10" t="s">
        <v>1876</v>
      </c>
      <c r="C10" s="756">
        <f>1-EXP(-((B5/B4)^B3))</f>
        <v>0.9276708322446483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sheetPr codeName="Sheet23"/>
  <dimension ref="A1:G100"/>
  <sheetViews>
    <sheetView workbookViewId="0"/>
  </sheetViews>
  <sheetFormatPr defaultRowHeight="14.4"/>
  <cols>
    <col min="1" max="1" width="15.88671875" customWidth="1"/>
    <col min="2" max="2" width="6.6640625" customWidth="1"/>
  </cols>
  <sheetData>
    <row r="1" spans="1:6">
      <c r="A1" s="1" t="s">
        <v>167</v>
      </c>
    </row>
    <row r="2" spans="1:6">
      <c r="A2" s="1"/>
    </row>
    <row r="3" spans="1:6">
      <c r="A3" s="1" t="s">
        <v>168</v>
      </c>
    </row>
    <row r="4" spans="1:6">
      <c r="A4" s="1"/>
    </row>
    <row r="11" spans="1:6">
      <c r="A11" t="s">
        <v>169</v>
      </c>
      <c r="C11">
        <v>1</v>
      </c>
      <c r="D11">
        <v>5</v>
      </c>
      <c r="E11">
        <v>10</v>
      </c>
      <c r="F11">
        <v>30</v>
      </c>
    </row>
    <row r="12" spans="1:6">
      <c r="A12" t="s">
        <v>170</v>
      </c>
      <c r="C12">
        <f>(C11+1)/2</f>
        <v>1</v>
      </c>
      <c r="D12">
        <f>(D11+1)/2</f>
        <v>3</v>
      </c>
      <c r="E12">
        <f>(E11+1)/2</f>
        <v>5.5</v>
      </c>
      <c r="F12">
        <f>(F11+1)/2</f>
        <v>15.5</v>
      </c>
    </row>
    <row r="13" spans="1:6">
      <c r="A13" t="s">
        <v>171</v>
      </c>
      <c r="C13">
        <f>C11/2</f>
        <v>0.5</v>
      </c>
      <c r="D13">
        <f>D11/2</f>
        <v>2.5</v>
      </c>
      <c r="E13">
        <f>E11/2</f>
        <v>5</v>
      </c>
      <c r="F13">
        <f>F11/2</f>
        <v>15</v>
      </c>
    </row>
    <row r="14" spans="1:6">
      <c r="A14" t="s">
        <v>172</v>
      </c>
      <c r="C14">
        <f t="shared" ref="C14:F15" si="0">EXP(-1)/GAMMADIST(1,C12,1,FALSE)</f>
        <v>1</v>
      </c>
      <c r="D14">
        <f t="shared" si="0"/>
        <v>2</v>
      </c>
      <c r="E14">
        <f t="shared" si="0"/>
        <v>52.342777784553491</v>
      </c>
      <c r="F14">
        <f t="shared" si="0"/>
        <v>334838609873.55664</v>
      </c>
    </row>
    <row r="15" spans="1:6">
      <c r="A15" t="s">
        <v>173</v>
      </c>
      <c r="C15">
        <f t="shared" si="0"/>
        <v>1.7724538509055161</v>
      </c>
      <c r="D15">
        <f t="shared" si="0"/>
        <v>1.329340388179137</v>
      </c>
      <c r="E15">
        <f t="shared" si="0"/>
        <v>23.999999999999996</v>
      </c>
      <c r="F15">
        <f t="shared" si="0"/>
        <v>87178291200.000198</v>
      </c>
    </row>
    <row r="16" spans="1:6">
      <c r="A16" t="s">
        <v>174</v>
      </c>
      <c r="C16">
        <f>SQRT(PI()*C11)</f>
        <v>1.7724538509055159</v>
      </c>
      <c r="D16">
        <f>SQRT(PI()*D11)</f>
        <v>3.963327297606011</v>
      </c>
      <c r="E16">
        <f>SQRT(PI()*E11)</f>
        <v>5.604991216397929</v>
      </c>
      <c r="F16">
        <f>SQRT(PI()*F11)</f>
        <v>9.7081295627784954</v>
      </c>
    </row>
    <row r="17" spans="1:7">
      <c r="A17" t="s">
        <v>175</v>
      </c>
      <c r="C17">
        <f>C14/(C15*C16)</f>
        <v>0.31830988618379069</v>
      </c>
      <c r="D17">
        <f>D14/(D15*D16)</f>
        <v>0.3796066898224944</v>
      </c>
      <c r="E17">
        <f>E14/(E15*E16)</f>
        <v>0.38910838396603087</v>
      </c>
      <c r="F17">
        <f>F14/(F15*F16)</f>
        <v>0.39563218489409713</v>
      </c>
    </row>
    <row r="19" spans="1:7">
      <c r="B19" s="19" t="s">
        <v>28</v>
      </c>
      <c r="C19" s="19">
        <f>C12</f>
        <v>1</v>
      </c>
      <c r="D19">
        <f>D11</f>
        <v>5</v>
      </c>
      <c r="E19">
        <f>E11</f>
        <v>10</v>
      </c>
      <c r="F19">
        <f>F11</f>
        <v>30</v>
      </c>
      <c r="G19" s="19" t="s">
        <v>176</v>
      </c>
    </row>
    <row r="20" spans="1:7">
      <c r="B20" s="64">
        <v>-4</v>
      </c>
      <c r="C20">
        <f t="shared" ref="C20:E83" si="1">C$17/(1+$B20^2/C$11)^C$12</f>
        <v>1.8724110951987689E-2</v>
      </c>
      <c r="D20">
        <f>D$17/(1+$B20^2/D$11)^D$12</f>
        <v>5.1237270519179133E-3</v>
      </c>
      <c r="E20">
        <f>E$17/(1+$B20^2/E$11)^E$12</f>
        <v>2.0310339110412149E-3</v>
      </c>
      <c r="F20">
        <f t="shared" ref="F20:F83" si="2">F$17/(1+$B20^2/F$11)^F$12</f>
        <v>5.2471644019740755E-4</v>
      </c>
      <c r="G20">
        <f>NORMDIST(B20,0,1,FALSE)</f>
        <v>1.3383022576488537E-4</v>
      </c>
    </row>
    <row r="21" spans="1:7">
      <c r="B21" s="64">
        <f>B20+0.1</f>
        <v>-3.9</v>
      </c>
      <c r="C21">
        <f t="shared" si="1"/>
        <v>1.9636637025526878E-2</v>
      </c>
      <c r="D21">
        <f t="shared" si="1"/>
        <v>5.7483728547693983E-3</v>
      </c>
      <c r="E21">
        <f t="shared" si="1"/>
        <v>2.4066888019954893E-3</v>
      </c>
      <c r="F21">
        <f t="shared" si="2"/>
        <v>6.8633509016922641E-4</v>
      </c>
      <c r="G21">
        <f t="shared" ref="G21:G84" si="3">NORMDIST(B21,0,1,FALSE)</f>
        <v>1.9865547139277272E-4</v>
      </c>
    </row>
    <row r="22" spans="1:7">
      <c r="B22" s="64">
        <f t="shared" ref="B22:B59" si="4">B21+0.1</f>
        <v>-3.8</v>
      </c>
      <c r="C22">
        <f t="shared" si="1"/>
        <v>2.0615925270970899E-2</v>
      </c>
      <c r="D22">
        <f t="shared" si="1"/>
        <v>6.4588483643698387E-3</v>
      </c>
      <c r="E22">
        <f t="shared" si="1"/>
        <v>2.8543943946096055E-3</v>
      </c>
      <c r="F22">
        <f t="shared" si="2"/>
        <v>8.9572208725848576E-4</v>
      </c>
      <c r="G22">
        <f t="shared" si="3"/>
        <v>2.9194692579146027E-4</v>
      </c>
    </row>
    <row r="23" spans="1:7">
      <c r="B23" s="64">
        <f t="shared" si="4"/>
        <v>-3.6999999999999997</v>
      </c>
      <c r="C23">
        <f t="shared" si="1"/>
        <v>2.1668474212647431E-2</v>
      </c>
      <c r="D23">
        <f t="shared" si="1"/>
        <v>7.2680175325693973E-3</v>
      </c>
      <c r="E23">
        <f t="shared" si="1"/>
        <v>3.3881509779624024E-3</v>
      </c>
      <c r="F23">
        <f t="shared" si="2"/>
        <v>1.1661364480637605E-3</v>
      </c>
      <c r="G23">
        <f t="shared" si="3"/>
        <v>4.2478027055075219E-4</v>
      </c>
    </row>
    <row r="24" spans="1:7">
      <c r="B24" s="64">
        <f t="shared" si="4"/>
        <v>-3.5999999999999996</v>
      </c>
      <c r="C24">
        <f t="shared" si="1"/>
        <v>2.2801567778208506E-2</v>
      </c>
      <c r="D24">
        <f t="shared" si="1"/>
        <v>8.1907726871290592E-3</v>
      </c>
      <c r="E24">
        <f t="shared" si="1"/>
        <v>4.0246232150294705E-3</v>
      </c>
      <c r="F24">
        <f t="shared" si="2"/>
        <v>1.5141706922918094E-3</v>
      </c>
      <c r="G24">
        <f t="shared" si="3"/>
        <v>6.1190193011377298E-4</v>
      </c>
    </row>
    <row r="25" spans="1:7">
      <c r="B25" s="64">
        <f t="shared" si="4"/>
        <v>-3.4999999999999996</v>
      </c>
      <c r="C25">
        <f t="shared" si="1"/>
        <v>2.4023387636512513E-2</v>
      </c>
      <c r="D25">
        <f t="shared" si="1"/>
        <v>9.2443540925209264E-3</v>
      </c>
      <c r="E25">
        <f t="shared" si="1"/>
        <v>4.783607126701327E-3</v>
      </c>
      <c r="F25">
        <f t="shared" si="2"/>
        <v>1.9604555808020933E-3</v>
      </c>
      <c r="G25">
        <f t="shared" si="3"/>
        <v>8.7268269504576167E-4</v>
      </c>
    </row>
    <row r="26" spans="1:7">
      <c r="B26" s="64">
        <f t="shared" si="4"/>
        <v>-3.3999999999999995</v>
      </c>
      <c r="C26">
        <f t="shared" si="1"/>
        <v>2.5343143804441939E-2</v>
      </c>
      <c r="D26">
        <f t="shared" si="1"/>
        <v>1.0448714749395216E-2</v>
      </c>
      <c r="E26">
        <f t="shared" si="1"/>
        <v>5.6885611066299314E-3</v>
      </c>
      <c r="F26">
        <f t="shared" si="2"/>
        <v>2.5304642724106618E-3</v>
      </c>
      <c r="G26">
        <f t="shared" si="3"/>
        <v>1.232219168473021E-3</v>
      </c>
    </row>
    <row r="27" spans="1:7">
      <c r="B27" s="64">
        <f t="shared" si="4"/>
        <v>-3.2999999999999994</v>
      </c>
      <c r="C27">
        <f t="shared" si="1"/>
        <v>2.6771226760621599E-2</v>
      </c>
      <c r="D27">
        <f t="shared" si="1"/>
        <v>1.1826934151171177E-2</v>
      </c>
      <c r="E27">
        <f t="shared" si="1"/>
        <v>6.7672024406869426E-3</v>
      </c>
      <c r="F27">
        <f t="shared" si="2"/>
        <v>3.2554111678475797E-3</v>
      </c>
      <c r="G27">
        <f t="shared" si="3"/>
        <v>1.7225689390536843E-3</v>
      </c>
    </row>
    <row r="28" spans="1:7">
      <c r="B28" s="64">
        <f t="shared" si="4"/>
        <v>-3.1999999999999993</v>
      </c>
      <c r="C28">
        <f t="shared" si="1"/>
        <v>2.8319384891796338E-2</v>
      </c>
      <c r="D28">
        <f t="shared" si="1"/>
        <v>1.3405683736328894E-2</v>
      </c>
      <c r="E28">
        <f t="shared" si="1"/>
        <v>8.0521673723421717E-3</v>
      </c>
      <c r="F28">
        <f t="shared" si="2"/>
        <v>4.1732316830005254E-3</v>
      </c>
      <c r="G28">
        <f t="shared" si="3"/>
        <v>2.3840882014648486E-3</v>
      </c>
    </row>
    <row r="29" spans="1:7">
      <c r="B29" s="64">
        <f t="shared" si="4"/>
        <v>-3.0999999999999992</v>
      </c>
      <c r="C29">
        <f t="shared" si="1"/>
        <v>3.0000931779810634E-2</v>
      </c>
      <c r="D29">
        <f t="shared" si="1"/>
        <v>1.5215745044952832E-2</v>
      </c>
      <c r="E29">
        <f t="shared" si="1"/>
        <v>9.5817276708977366E-3</v>
      </c>
      <c r="F29">
        <f t="shared" si="2"/>
        <v>5.3296170578658137E-3</v>
      </c>
      <c r="G29">
        <f t="shared" si="3"/>
        <v>3.2668190561999273E-3</v>
      </c>
    </row>
    <row r="30" spans="1:7">
      <c r="B30" s="64">
        <f t="shared" si="4"/>
        <v>-2.9999999999999991</v>
      </c>
      <c r="C30">
        <f t="shared" si="1"/>
        <v>3.1830988618379089E-2</v>
      </c>
      <c r="D30">
        <f t="shared" si="1"/>
        <v>1.7292578800222981E-2</v>
      </c>
      <c r="E30">
        <f t="shared" si="1"/>
        <v>1.1400549464542539E-2</v>
      </c>
      <c r="F30">
        <f t="shared" si="2"/>
        <v>6.7790627460931081E-3</v>
      </c>
      <c r="G30">
        <f t="shared" si="3"/>
        <v>4.4318484119380188E-3</v>
      </c>
    </row>
    <row r="31" spans="1:7">
      <c r="B31" s="64">
        <f t="shared" si="4"/>
        <v>-2.899999999999999</v>
      </c>
      <c r="C31">
        <f t="shared" si="1"/>
        <v>3.3826767926013905E-2</v>
      </c>
      <c r="D31">
        <f t="shared" si="1"/>
        <v>1.9676938890598534E-2</v>
      </c>
      <c r="E31">
        <f t="shared" si="1"/>
        <v>1.3560470295244938E-2</v>
      </c>
      <c r="F31">
        <f t="shared" si="2"/>
        <v>8.5858698631407163E-3</v>
      </c>
      <c r="G31">
        <f t="shared" si="3"/>
        <v>5.9525324197758694E-3</v>
      </c>
    </row>
    <row r="32" spans="1:7">
      <c r="B32" s="64">
        <f t="shared" si="4"/>
        <v>-2.7999999999999989</v>
      </c>
      <c r="C32">
        <f t="shared" si="1"/>
        <v>3.6007905676899432E-2</v>
      </c>
      <c r="D32">
        <f t="shared" si="1"/>
        <v>2.2415519021677287E-2</v>
      </c>
      <c r="E32">
        <f t="shared" si="1"/>
        <v>1.6121257439422165E-2</v>
      </c>
      <c r="F32">
        <f t="shared" si="2"/>
        <v>1.0825016893845324E-2</v>
      </c>
      <c r="G32">
        <f t="shared" si="3"/>
        <v>7.9154515829799894E-3</v>
      </c>
    </row>
    <row r="33" spans="2:7">
      <c r="B33" s="64">
        <f t="shared" si="4"/>
        <v>-2.6999999999999988</v>
      </c>
      <c r="C33">
        <f t="shared" si="1"/>
        <v>3.8396849961856563E-2</v>
      </c>
      <c r="D33">
        <f t="shared" si="1"/>
        <v>2.5561611020544595E-2</v>
      </c>
      <c r="E33">
        <f t="shared" si="1"/>
        <v>1.9151294092491021E-2</v>
      </c>
      <c r="F33">
        <f t="shared" si="2"/>
        <v>1.3582794199685933E-2</v>
      </c>
      <c r="G33">
        <f t="shared" si="3"/>
        <v>1.0420934814422628E-2</v>
      </c>
    </row>
    <row r="34" spans="2:7">
      <c r="B34" s="64">
        <f t="shared" si="4"/>
        <v>-2.5999999999999988</v>
      </c>
      <c r="C34">
        <f t="shared" si="1"/>
        <v>4.1019315229869971E-2</v>
      </c>
      <c r="D34">
        <f t="shared" si="1"/>
        <v>2.9175741685939342E-2</v>
      </c>
      <c r="E34">
        <f t="shared" si="1"/>
        <v>2.2728119798465004E-2</v>
      </c>
      <c r="F34">
        <f t="shared" si="2"/>
        <v>1.6957068343387567E-2</v>
      </c>
      <c r="G34">
        <f t="shared" si="3"/>
        <v>1.3582969233685661E-2</v>
      </c>
    </row>
    <row r="35" spans="2:7">
      <c r="B35" s="64">
        <f t="shared" si="4"/>
        <v>-2.4999999999999987</v>
      </c>
      <c r="C35">
        <f t="shared" si="1"/>
        <v>4.3904811887419445E-2</v>
      </c>
      <c r="D35">
        <f t="shared" si="1"/>
        <v>3.3326238887022894E-2</v>
      </c>
      <c r="E35">
        <f t="shared" si="1"/>
        <v>2.6938727628244515E-2</v>
      </c>
      <c r="F35">
        <f t="shared" si="2"/>
        <v>2.105701922062168E-2</v>
      </c>
      <c r="G35">
        <f t="shared" si="3"/>
        <v>1.7528300493568599E-2</v>
      </c>
    </row>
    <row r="36" spans="2:7">
      <c r="B36" s="64">
        <f t="shared" si="4"/>
        <v>-2.3999999999999986</v>
      </c>
      <c r="C36">
        <f t="shared" si="1"/>
        <v>4.7087261269791569E-2</v>
      </c>
      <c r="D36">
        <f t="shared" si="1"/>
        <v>3.8089656526432016E-2</v>
      </c>
      <c r="E36">
        <f t="shared" si="1"/>
        <v>3.1879493750030623E-2</v>
      </c>
      <c r="F36">
        <f t="shared" si="2"/>
        <v>2.6002173732796927E-2</v>
      </c>
      <c r="G36">
        <f t="shared" si="3"/>
        <v>2.2394530294842969E-2</v>
      </c>
    </row>
    <row r="37" spans="2:7">
      <c r="B37" s="64">
        <f t="shared" si="4"/>
        <v>-2.2999999999999985</v>
      </c>
      <c r="C37">
        <f t="shared" si="1"/>
        <v>5.0605705275642454E-2</v>
      </c>
      <c r="D37">
        <f t="shared" si="1"/>
        <v>4.3550961350440079E-2</v>
      </c>
      <c r="E37">
        <f t="shared" si="1"/>
        <v>3.7655586709753462E-2</v>
      </c>
      <c r="F37">
        <f t="shared" si="2"/>
        <v>3.1920549432000254E-2</v>
      </c>
      <c r="G37">
        <f t="shared" si="3"/>
        <v>2.8327037741601276E-2</v>
      </c>
    </row>
    <row r="38" spans="2:7">
      <c r="B38" s="64">
        <f t="shared" si="4"/>
        <v>-2.1999999999999984</v>
      </c>
      <c r="C38">
        <f t="shared" si="1"/>
        <v>5.4505117497224503E-2</v>
      </c>
      <c r="D38">
        <f t="shared" si="1"/>
        <v>4.9803352151145203E-2</v>
      </c>
      <c r="E38">
        <f t="shared" si="1"/>
        <v>4.4379676614245793E-2</v>
      </c>
      <c r="F38">
        <f t="shared" si="2"/>
        <v>3.8945725132978802E-2</v>
      </c>
      <c r="G38">
        <f t="shared" si="3"/>
        <v>3.547459284623157E-2</v>
      </c>
    </row>
    <row r="39" spans="2:7">
      <c r="B39" s="64">
        <f t="shared" si="4"/>
        <v>-2.0999999999999983</v>
      </c>
      <c r="C39">
        <f t="shared" si="1"/>
        <v>5.8837317224360648E-2</v>
      </c>
      <c r="D39">
        <f t="shared" si="1"/>
        <v>5.6947544172170676E-2</v>
      </c>
      <c r="E39">
        <f t="shared" si="1"/>
        <v>5.216974260435512E-2</v>
      </c>
      <c r="F39">
        <f t="shared" si="2"/>
        <v>4.7212678193653324E-2</v>
      </c>
      <c r="G39">
        <f t="shared" si="3"/>
        <v>4.3983595980427351E-2</v>
      </c>
    </row>
    <row r="40" spans="2:7">
      <c r="B40" s="64">
        <f t="shared" si="4"/>
        <v>-1.9999999999999982</v>
      </c>
      <c r="C40">
        <f t="shared" si="1"/>
        <v>6.3661977236758233E-2</v>
      </c>
      <c r="D40">
        <f t="shared" si="1"/>
        <v>6.5090310326216635E-2</v>
      </c>
      <c r="E40">
        <f t="shared" si="1"/>
        <v>6.1145766321218327E-2</v>
      </c>
      <c r="F40">
        <f t="shared" si="2"/>
        <v>5.6852275047198066E-2</v>
      </c>
      <c r="G40">
        <f t="shared" si="3"/>
        <v>5.399096651318825E-2</v>
      </c>
    </row>
    <row r="41" spans="2:7">
      <c r="B41" s="64">
        <f t="shared" si="4"/>
        <v>-1.8999999999999981</v>
      </c>
      <c r="C41">
        <f t="shared" si="1"/>
        <v>6.9047697653750809E-2</v>
      </c>
      <c r="D41">
        <f t="shared" si="1"/>
        <v>7.4342030033196366E-2</v>
      </c>
      <c r="E41">
        <f t="shared" si="1"/>
        <v>7.1425107032802609E-2</v>
      </c>
      <c r="F41">
        <f t="shared" si="2"/>
        <v>6.7984376569213356E-2</v>
      </c>
      <c r="G41">
        <f t="shared" si="3"/>
        <v>6.5615814774676831E-2</v>
      </c>
    </row>
    <row r="42" spans="2:7">
      <c r="B42" s="64">
        <f t="shared" si="4"/>
        <v>-1.799999999999998</v>
      </c>
      <c r="C42">
        <f t="shared" si="1"/>
        <v>7.5073086364101704E-2</v>
      </c>
      <c r="D42">
        <f t="shared" si="1"/>
        <v>8.481296289690396E-2</v>
      </c>
      <c r="E42">
        <f t="shared" si="1"/>
        <v>8.3116389653879769E-2</v>
      </c>
      <c r="F42">
        <f t="shared" si="2"/>
        <v>8.0709624798490739E-2</v>
      </c>
      <c r="G42">
        <f t="shared" si="3"/>
        <v>7.8950158300894427E-2</v>
      </c>
    </row>
    <row r="43" spans="2:7">
      <c r="B43" s="64">
        <f t="shared" si="4"/>
        <v>-1.699999999999998</v>
      </c>
      <c r="C43">
        <f t="shared" si="1"/>
        <v>8.1827734237478481E-2</v>
      </c>
      <c r="D43">
        <f t="shared" si="1"/>
        <v>9.6607948713912054E-2</v>
      </c>
      <c r="E43">
        <f t="shared" si="1"/>
        <v>9.6311809633229564E-2</v>
      </c>
      <c r="F43">
        <f t="shared" si="2"/>
        <v>9.5100110953271741E-2</v>
      </c>
      <c r="G43">
        <f t="shared" si="3"/>
        <v>9.4049077376887252E-2</v>
      </c>
    </row>
    <row r="44" spans="2:7">
      <c r="B44" s="64">
        <f t="shared" si="4"/>
        <v>-1.5999999999999979</v>
      </c>
      <c r="C44">
        <f t="shared" si="1"/>
        <v>8.9412889377469468E-2</v>
      </c>
      <c r="D44">
        <f t="shared" si="1"/>
        <v>0.10981925265599124</v>
      </c>
      <c r="E44">
        <f t="shared" si="1"/>
        <v>0.11107787729698358</v>
      </c>
      <c r="F44">
        <f t="shared" si="2"/>
        <v>0.11118928083310917</v>
      </c>
      <c r="G44">
        <f t="shared" si="3"/>
        <v>0.11092083467945592</v>
      </c>
    </row>
    <row r="45" spans="2:7">
      <c r="B45" s="64">
        <f t="shared" si="4"/>
        <v>-1.4999999999999978</v>
      </c>
      <c r="C45">
        <f t="shared" si="1"/>
        <v>9.7941503441166561E-2</v>
      </c>
      <c r="D45">
        <f t="shared" si="1"/>
        <v>0.12451734464635547</v>
      </c>
      <c r="E45">
        <f t="shared" si="1"/>
        <v>0.12744479428709199</v>
      </c>
      <c r="F45">
        <f t="shared" si="2"/>
        <v>0.12896160173967205</v>
      </c>
      <c r="G45">
        <f t="shared" si="3"/>
        <v>0.12951759566589216</v>
      </c>
    </row>
    <row r="46" spans="2:7">
      <c r="B46" s="64">
        <f t="shared" si="4"/>
        <v>-1.3999999999999977</v>
      </c>
      <c r="C46">
        <f t="shared" si="1"/>
        <v>0.10753712371074033</v>
      </c>
      <c r="D46">
        <f t="shared" si="1"/>
        <v>0.140739547894915</v>
      </c>
      <c r="E46">
        <f t="shared" si="1"/>
        <v>0.14539487566000653</v>
      </c>
      <c r="F46">
        <f t="shared" si="2"/>
        <v>0.14834267891674183</v>
      </c>
      <c r="G46">
        <f t="shared" si="3"/>
        <v>0.14972746563574535</v>
      </c>
    </row>
    <row r="47" spans="2:7">
      <c r="B47" s="64">
        <f t="shared" si="4"/>
        <v>-1.2999999999999976</v>
      </c>
      <c r="C47">
        <f t="shared" si="1"/>
        <v>0.11833081270772916</v>
      </c>
      <c r="D47">
        <f t="shared" si="1"/>
        <v>0.15847673572898288</v>
      </c>
      <c r="E47">
        <f t="shared" si="1"/>
        <v>0.16485069296801974</v>
      </c>
      <c r="F47">
        <f t="shared" si="2"/>
        <v>0.16919064854071325</v>
      </c>
      <c r="G47">
        <f t="shared" si="3"/>
        <v>0.17136859204780791</v>
      </c>
    </row>
    <row r="48" spans="2:7">
      <c r="B48" s="64">
        <f t="shared" si="4"/>
        <v>-1.1999999999999975</v>
      </c>
      <c r="C48">
        <f t="shared" si="1"/>
        <v>0.13045487138679979</v>
      </c>
      <c r="D48">
        <f t="shared" si="1"/>
        <v>0.17765861346493592</v>
      </c>
      <c r="E48">
        <f t="shared" si="1"/>
        <v>0.18566389362670357</v>
      </c>
      <c r="F48">
        <f t="shared" si="2"/>
        <v>0.1912897649059872</v>
      </c>
      <c r="G48">
        <f t="shared" si="3"/>
        <v>0.19418605498321354</v>
      </c>
    </row>
    <row r="49" spans="2:7">
      <c r="B49" s="64">
        <f t="shared" si="4"/>
        <v>-1.0999999999999974</v>
      </c>
      <c r="C49">
        <f t="shared" si="1"/>
        <v>0.14403162270759795</v>
      </c>
      <c r="D49">
        <f t="shared" si="1"/>
        <v>0.19813859080334678</v>
      </c>
      <c r="E49">
        <f t="shared" si="1"/>
        <v>0.20760591316421437</v>
      </c>
      <c r="F49">
        <f t="shared" si="2"/>
        <v>0.21434711785664093</v>
      </c>
      <c r="G49">
        <f t="shared" si="3"/>
        <v>0.21785217703255116</v>
      </c>
    </row>
    <row r="50" spans="2:7">
      <c r="B50" s="64">
        <f t="shared" si="4"/>
        <v>-0.99999999999999745</v>
      </c>
      <c r="C50">
        <f t="shared" si="1"/>
        <v>0.15915494309189576</v>
      </c>
      <c r="D50">
        <f t="shared" si="1"/>
        <v>0.21967979735098106</v>
      </c>
      <c r="E50">
        <f t="shared" si="1"/>
        <v>0.2303619892291392</v>
      </c>
      <c r="F50">
        <f t="shared" si="2"/>
        <v>0.23799334232287989</v>
      </c>
      <c r="G50">
        <f t="shared" si="3"/>
        <v>0.24197072451914398</v>
      </c>
    </row>
    <row r="51" spans="2:7">
      <c r="B51" s="64">
        <f t="shared" si="4"/>
        <v>-0.89999999999999747</v>
      </c>
      <c r="C51">
        <f t="shared" si="1"/>
        <v>0.17586181557115552</v>
      </c>
      <c r="D51">
        <f t="shared" si="1"/>
        <v>0.24194434361359041</v>
      </c>
      <c r="E51">
        <f t="shared" si="1"/>
        <v>0.25352995055982802</v>
      </c>
      <c r="F51">
        <f t="shared" si="2"/>
        <v>0.26178800210082603</v>
      </c>
      <c r="G51">
        <f t="shared" si="3"/>
        <v>0.26608524989875543</v>
      </c>
    </row>
    <row r="52" spans="2:7">
      <c r="B52" s="64">
        <f t="shared" si="4"/>
        <v>-0.79999999999999749</v>
      </c>
      <c r="C52">
        <f t="shared" si="1"/>
        <v>0.19409139401450698</v>
      </c>
      <c r="D52">
        <f t="shared" si="1"/>
        <v>0.26448835680795801</v>
      </c>
      <c r="E52">
        <f t="shared" si="1"/>
        <v>0.27662513233825686</v>
      </c>
      <c r="F52">
        <f t="shared" si="2"/>
        <v>0.28523004321112261</v>
      </c>
      <c r="G52">
        <f t="shared" si="3"/>
        <v>0.28969155276148334</v>
      </c>
    </row>
    <row r="53" spans="2:7">
      <c r="B53" s="64">
        <f t="shared" si="4"/>
        <v>-0.69999999999999751</v>
      </c>
      <c r="C53">
        <f t="shared" si="1"/>
        <v>0.21363079609650434</v>
      </c>
      <c r="D53">
        <f t="shared" si="1"/>
        <v>0.28676545757669847</v>
      </c>
      <c r="E53">
        <f t="shared" si="1"/>
        <v>0.29909241773685297</v>
      </c>
      <c r="F53">
        <f t="shared" si="2"/>
        <v>0.30777333104241572</v>
      </c>
      <c r="G53">
        <f t="shared" si="3"/>
        <v>0.31225393336676183</v>
      </c>
    </row>
    <row r="54" spans="2:7">
      <c r="B54" s="64">
        <f t="shared" si="4"/>
        <v>-0.59999999999999754</v>
      </c>
      <c r="C54">
        <f t="shared" si="1"/>
        <v>0.23405138689984661</v>
      </c>
      <c r="D54">
        <f t="shared" si="1"/>
        <v>0.3081410097234204</v>
      </c>
      <c r="E54">
        <f t="shared" si="1"/>
        <v>0.32032581052912468</v>
      </c>
      <c r="F54">
        <f t="shared" si="2"/>
        <v>0.32884683826851979</v>
      </c>
      <c r="G54">
        <f t="shared" si="3"/>
        <v>0.33322460289180011</v>
      </c>
    </row>
    <row r="55" spans="2:7">
      <c r="B55" s="64">
        <f t="shared" si="4"/>
        <v>-0.49999999999999756</v>
      </c>
      <c r="C55">
        <f t="shared" si="1"/>
        <v>0.25464790894703304</v>
      </c>
      <c r="D55">
        <f t="shared" si="1"/>
        <v>0.3279185313227469</v>
      </c>
      <c r="E55">
        <f t="shared" si="1"/>
        <v>0.33969513635207821</v>
      </c>
      <c r="F55">
        <f t="shared" si="2"/>
        <v>0.34787857969720415</v>
      </c>
      <c r="G55">
        <f t="shared" si="3"/>
        <v>0.35206532676429991</v>
      </c>
    </row>
    <row r="56" spans="2:7">
      <c r="B56" s="64">
        <f t="shared" si="4"/>
        <v>-0.39999999999999758</v>
      </c>
      <c r="C56">
        <f t="shared" si="1"/>
        <v>0.27440507429637173</v>
      </c>
      <c r="D56">
        <f t="shared" si="1"/>
        <v>0.34537807575273377</v>
      </c>
      <c r="E56">
        <f t="shared" si="1"/>
        <v>0.35657853369790415</v>
      </c>
      <c r="F56">
        <f t="shared" si="2"/>
        <v>0.36432194852885696</v>
      </c>
      <c r="G56">
        <f t="shared" si="3"/>
        <v>0.36827014030332367</v>
      </c>
    </row>
    <row r="57" spans="2:7">
      <c r="B57" s="64">
        <f t="shared" si="4"/>
        <v>-0.2999999999999976</v>
      </c>
      <c r="C57">
        <f t="shared" si="1"/>
        <v>0.29202741851723957</v>
      </c>
      <c r="D57">
        <f t="shared" si="1"/>
        <v>0.3598243283490099</v>
      </c>
      <c r="E57">
        <f t="shared" si="1"/>
        <v>0.37039846155274542</v>
      </c>
      <c r="F57">
        <f t="shared" si="2"/>
        <v>0.37768275260924272</v>
      </c>
      <c r="G57">
        <f t="shared" si="3"/>
        <v>0.38138781546052442</v>
      </c>
    </row>
    <row r="58" spans="2:7">
      <c r="B58" s="64">
        <f t="shared" si="4"/>
        <v>-0.1999999999999976</v>
      </c>
      <c r="C58">
        <f t="shared" si="1"/>
        <v>0.30606719825364515</v>
      </c>
      <c r="D58">
        <f t="shared" si="1"/>
        <v>0.37063997771396967</v>
      </c>
      <c r="E58">
        <f t="shared" si="1"/>
        <v>0.38065818105444899</v>
      </c>
      <c r="F58">
        <f t="shared" si="2"/>
        <v>0.3875450315448134</v>
      </c>
      <c r="G58">
        <f t="shared" si="3"/>
        <v>0.3910426939754561</v>
      </c>
    </row>
    <row r="59" spans="2:7">
      <c r="B59" s="64">
        <f t="shared" si="4"/>
        <v>-9.9999999999997591E-2</v>
      </c>
      <c r="C59">
        <f t="shared" si="1"/>
        <v>0.31515830315226817</v>
      </c>
      <c r="D59">
        <f t="shared" si="1"/>
        <v>0.37733812996643123</v>
      </c>
      <c r="E59">
        <f t="shared" si="1"/>
        <v>0.38697522581518046</v>
      </c>
      <c r="F59">
        <f t="shared" si="2"/>
        <v>0.39359369563267887</v>
      </c>
      <c r="G59">
        <f t="shared" si="3"/>
        <v>0.39695254747701186</v>
      </c>
    </row>
    <row r="60" spans="2:7">
      <c r="B60" s="64">
        <v>0</v>
      </c>
      <c r="C60">
        <f t="shared" si="1"/>
        <v>0.31830988618379069</v>
      </c>
      <c r="D60">
        <f t="shared" si="1"/>
        <v>0.3796066898224944</v>
      </c>
      <c r="E60">
        <f t="shared" si="1"/>
        <v>0.38910838396603087</v>
      </c>
      <c r="F60">
        <f t="shared" si="2"/>
        <v>0.39563218489409713</v>
      </c>
      <c r="G60">
        <f t="shared" si="3"/>
        <v>0.3989422804014327</v>
      </c>
    </row>
    <row r="61" spans="2:7">
      <c r="B61" s="64">
        <f>B60+0.1</f>
        <v>0.1</v>
      </c>
      <c r="C61">
        <f t="shared" si="1"/>
        <v>0.315158303152268</v>
      </c>
      <c r="D61">
        <f t="shared" si="1"/>
        <v>0.37733812996643123</v>
      </c>
      <c r="E61">
        <f t="shared" si="1"/>
        <v>0.38697522581518046</v>
      </c>
      <c r="F61">
        <f t="shared" si="2"/>
        <v>0.39359369563267887</v>
      </c>
      <c r="G61">
        <f t="shared" si="3"/>
        <v>0.39695254747701181</v>
      </c>
    </row>
    <row r="62" spans="2:7">
      <c r="B62" s="64">
        <f t="shared" ref="B62:B76" si="5">B61+0.1</f>
        <v>0.2</v>
      </c>
      <c r="C62">
        <f t="shared" si="1"/>
        <v>0.30606719825364487</v>
      </c>
      <c r="D62">
        <f t="shared" si="1"/>
        <v>0.37063997771396939</v>
      </c>
      <c r="E62">
        <f t="shared" si="1"/>
        <v>0.38065818105444899</v>
      </c>
      <c r="F62">
        <f t="shared" si="2"/>
        <v>0.3875450315448134</v>
      </c>
      <c r="G62">
        <f t="shared" si="3"/>
        <v>0.39104269397545588</v>
      </c>
    </row>
    <row r="63" spans="2:7">
      <c r="B63" s="64">
        <f t="shared" si="5"/>
        <v>0.30000000000000004</v>
      </c>
      <c r="C63">
        <f t="shared" si="1"/>
        <v>0.29202741851723912</v>
      </c>
      <c r="D63">
        <f t="shared" si="1"/>
        <v>0.35982432834900968</v>
      </c>
      <c r="E63">
        <f t="shared" si="1"/>
        <v>0.37039846155274542</v>
      </c>
      <c r="F63">
        <f t="shared" si="2"/>
        <v>0.37768275260924272</v>
      </c>
      <c r="G63">
        <f t="shared" si="3"/>
        <v>0.38138781546052408</v>
      </c>
    </row>
    <row r="64" spans="2:7">
      <c r="B64" s="64">
        <f t="shared" si="5"/>
        <v>0.4</v>
      </c>
      <c r="C64">
        <f t="shared" si="1"/>
        <v>0.27440507429637123</v>
      </c>
      <c r="D64">
        <f t="shared" si="1"/>
        <v>0.34537807575273338</v>
      </c>
      <c r="E64">
        <f t="shared" si="1"/>
        <v>0.35657853369790371</v>
      </c>
      <c r="F64">
        <f t="shared" si="2"/>
        <v>0.3643219485288558</v>
      </c>
      <c r="G64">
        <f t="shared" si="3"/>
        <v>0.36827014030332333</v>
      </c>
    </row>
    <row r="65" spans="2:7">
      <c r="B65" s="64">
        <f t="shared" si="5"/>
        <v>0.5</v>
      </c>
      <c r="C65">
        <f t="shared" si="1"/>
        <v>0.25464790894703254</v>
      </c>
      <c r="D65">
        <f t="shared" si="1"/>
        <v>0.32791853132274645</v>
      </c>
      <c r="E65">
        <f t="shared" si="1"/>
        <v>0.33969513635207782</v>
      </c>
      <c r="F65">
        <f t="shared" si="2"/>
        <v>0.34787857969720415</v>
      </c>
      <c r="G65">
        <f t="shared" si="3"/>
        <v>0.35206532676429952</v>
      </c>
    </row>
    <row r="66" spans="2:7">
      <c r="B66" s="64">
        <f t="shared" si="5"/>
        <v>0.6</v>
      </c>
      <c r="C66">
        <f t="shared" si="1"/>
        <v>0.23405138689984611</v>
      </c>
      <c r="D66">
        <f t="shared" si="1"/>
        <v>0.30814100972341979</v>
      </c>
      <c r="E66">
        <f t="shared" si="1"/>
        <v>0.32032581052912429</v>
      </c>
      <c r="F66">
        <f t="shared" si="2"/>
        <v>0.32884683826851979</v>
      </c>
      <c r="G66">
        <f t="shared" si="3"/>
        <v>0.33322460289179967</v>
      </c>
    </row>
    <row r="67" spans="2:7">
      <c r="B67" s="64">
        <f t="shared" si="5"/>
        <v>0.7</v>
      </c>
      <c r="C67">
        <f t="shared" si="1"/>
        <v>0.21363079609650382</v>
      </c>
      <c r="D67">
        <f t="shared" si="1"/>
        <v>0.2867654575766978</v>
      </c>
      <c r="E67">
        <f t="shared" si="1"/>
        <v>0.29909241773685263</v>
      </c>
      <c r="F67">
        <f t="shared" si="2"/>
        <v>0.30777333104241572</v>
      </c>
      <c r="G67">
        <f t="shared" si="3"/>
        <v>0.31225393336676127</v>
      </c>
    </row>
    <row r="68" spans="2:7">
      <c r="B68" s="64">
        <f t="shared" si="5"/>
        <v>0.79999999999999993</v>
      </c>
      <c r="C68">
        <f t="shared" si="1"/>
        <v>0.19409139401450654</v>
      </c>
      <c r="D68">
        <f t="shared" si="1"/>
        <v>0.26448835680795757</v>
      </c>
      <c r="E68">
        <f t="shared" si="1"/>
        <v>0.2766251323382562</v>
      </c>
      <c r="F68">
        <f t="shared" si="2"/>
        <v>0.28523004321112166</v>
      </c>
      <c r="G68">
        <f t="shared" si="3"/>
        <v>0.28969155276148278</v>
      </c>
    </row>
    <row r="69" spans="2:7">
      <c r="B69" s="64">
        <f t="shared" si="5"/>
        <v>0.89999999999999991</v>
      </c>
      <c r="C69">
        <f t="shared" si="1"/>
        <v>0.1758618155711551</v>
      </c>
      <c r="D69">
        <f t="shared" si="1"/>
        <v>0.24194434361358985</v>
      </c>
      <c r="E69">
        <f t="shared" si="1"/>
        <v>0.25352995055982741</v>
      </c>
      <c r="F69">
        <f t="shared" si="2"/>
        <v>0.26178800210082603</v>
      </c>
      <c r="G69">
        <f t="shared" si="3"/>
        <v>0.26608524989875487</v>
      </c>
    </row>
    <row r="70" spans="2:7">
      <c r="B70" s="64">
        <f t="shared" si="5"/>
        <v>0.99999999999999989</v>
      </c>
      <c r="C70">
        <f t="shared" si="1"/>
        <v>0.15915494309189537</v>
      </c>
      <c r="D70">
        <f t="shared" si="1"/>
        <v>0.21967979735098056</v>
      </c>
      <c r="E70">
        <f t="shared" si="1"/>
        <v>0.23036198922913848</v>
      </c>
      <c r="F70">
        <f t="shared" si="2"/>
        <v>0.23799334232287989</v>
      </c>
      <c r="G70">
        <f t="shared" si="3"/>
        <v>0.24197072451914342</v>
      </c>
    </row>
    <row r="71" spans="2:7">
      <c r="B71" s="64">
        <f t="shared" si="5"/>
        <v>1.0999999999999999</v>
      </c>
      <c r="C71">
        <f t="shared" si="1"/>
        <v>0.14403162270759759</v>
      </c>
      <c r="D71">
        <f t="shared" si="1"/>
        <v>0.19813859080334623</v>
      </c>
      <c r="E71">
        <f t="shared" si="1"/>
        <v>0.20760591316421392</v>
      </c>
      <c r="F71">
        <f t="shared" si="2"/>
        <v>0.21434711785664021</v>
      </c>
      <c r="G71">
        <f t="shared" si="3"/>
        <v>0.21785217703255058</v>
      </c>
    </row>
    <row r="72" spans="2:7">
      <c r="B72" s="64">
        <f t="shared" si="5"/>
        <v>1.2</v>
      </c>
      <c r="C72">
        <f t="shared" si="1"/>
        <v>0.13045487138679945</v>
      </c>
      <c r="D72">
        <f t="shared" si="1"/>
        <v>0.17765861346493544</v>
      </c>
      <c r="E72">
        <f t="shared" si="1"/>
        <v>0.18566389362670316</v>
      </c>
      <c r="F72">
        <f t="shared" si="2"/>
        <v>0.19128976490598656</v>
      </c>
      <c r="G72">
        <f t="shared" si="3"/>
        <v>0.19418605498321295</v>
      </c>
    </row>
    <row r="73" spans="2:7">
      <c r="B73" s="64">
        <f t="shared" si="5"/>
        <v>1.3</v>
      </c>
      <c r="C73">
        <f t="shared" si="1"/>
        <v>0.11833081270772887</v>
      </c>
      <c r="D73">
        <f t="shared" si="1"/>
        <v>0.15847673572898241</v>
      </c>
      <c r="E73">
        <f t="shared" si="1"/>
        <v>0.16485069296801924</v>
      </c>
      <c r="F73">
        <f t="shared" si="2"/>
        <v>0.16919064854071267</v>
      </c>
      <c r="G73">
        <f t="shared" si="3"/>
        <v>0.17136859204780736</v>
      </c>
    </row>
    <row r="74" spans="2:7">
      <c r="B74" s="64">
        <f t="shared" si="5"/>
        <v>1.4000000000000001</v>
      </c>
      <c r="C74">
        <f t="shared" si="1"/>
        <v>0.10753712371074009</v>
      </c>
      <c r="D74">
        <f t="shared" si="1"/>
        <v>0.14073954789491452</v>
      </c>
      <c r="E74">
        <f t="shared" si="1"/>
        <v>0.14539487566000608</v>
      </c>
      <c r="F74">
        <f t="shared" si="2"/>
        <v>0.14834267891674133</v>
      </c>
      <c r="G74">
        <f t="shared" si="3"/>
        <v>0.14972746563574482</v>
      </c>
    </row>
    <row r="75" spans="2:7">
      <c r="B75" s="64">
        <f t="shared" si="5"/>
        <v>1.5000000000000002</v>
      </c>
      <c r="C75">
        <f t="shared" si="1"/>
        <v>9.7941503441166339E-2</v>
      </c>
      <c r="D75">
        <f t="shared" si="1"/>
        <v>0.12451734464635508</v>
      </c>
      <c r="E75">
        <f t="shared" si="1"/>
        <v>0.12744479428709157</v>
      </c>
      <c r="F75">
        <f t="shared" si="2"/>
        <v>0.12896160173967164</v>
      </c>
      <c r="G75">
        <f t="shared" si="3"/>
        <v>0.12951759566589166</v>
      </c>
    </row>
    <row r="76" spans="2:7">
      <c r="B76" s="64">
        <f t="shared" si="5"/>
        <v>1.6000000000000003</v>
      </c>
      <c r="C76">
        <f t="shared" si="1"/>
        <v>8.9412889377469273E-2</v>
      </c>
      <c r="D76">
        <f t="shared" si="1"/>
        <v>0.10981925265599091</v>
      </c>
      <c r="E76">
        <f t="shared" si="1"/>
        <v>0.11107787729698315</v>
      </c>
      <c r="F76">
        <f t="shared" si="2"/>
        <v>0.11118928083310881</v>
      </c>
      <c r="G76">
        <f t="shared" si="3"/>
        <v>0.11092083467945553</v>
      </c>
    </row>
    <row r="77" spans="2:7">
      <c r="B77" s="64">
        <f>B76+0.1</f>
        <v>1.7000000000000004</v>
      </c>
      <c r="C77">
        <f t="shared" si="1"/>
        <v>8.18277342374783E-2</v>
      </c>
      <c r="D77">
        <f t="shared" si="1"/>
        <v>9.6607948713911748E-2</v>
      </c>
      <c r="E77">
        <f t="shared" si="1"/>
        <v>9.6311809633229176E-2</v>
      </c>
      <c r="F77">
        <f t="shared" si="2"/>
        <v>9.5100110953271422E-2</v>
      </c>
      <c r="G77">
        <f t="shared" si="3"/>
        <v>9.4049077376886864E-2</v>
      </c>
    </row>
    <row r="78" spans="2:7">
      <c r="B78" s="64">
        <f>B77+0.1</f>
        <v>1.8000000000000005</v>
      </c>
      <c r="C78">
        <f t="shared" si="1"/>
        <v>7.5073086364101538E-2</v>
      </c>
      <c r="D78">
        <f t="shared" si="1"/>
        <v>8.4812962896903682E-2</v>
      </c>
      <c r="E78">
        <f t="shared" si="1"/>
        <v>8.3116389653879449E-2</v>
      </c>
      <c r="F78">
        <f t="shared" si="2"/>
        <v>8.070962479849049E-2</v>
      </c>
      <c r="G78">
        <f t="shared" si="3"/>
        <v>7.8950158300894094E-2</v>
      </c>
    </row>
    <row r="79" spans="2:7">
      <c r="B79" s="64">
        <f>B78+0.1</f>
        <v>1.9000000000000006</v>
      </c>
      <c r="C79">
        <f t="shared" si="1"/>
        <v>6.9047697653750656E-2</v>
      </c>
      <c r="D79">
        <f t="shared" si="1"/>
        <v>7.434203003319613E-2</v>
      </c>
      <c r="E79">
        <f t="shared" si="1"/>
        <v>7.1425107032802387E-2</v>
      </c>
      <c r="F79">
        <f t="shared" si="2"/>
        <v>6.7984376569213134E-2</v>
      </c>
      <c r="G79">
        <f t="shared" si="3"/>
        <v>6.5615814774676526E-2</v>
      </c>
    </row>
    <row r="80" spans="2:7">
      <c r="B80" s="64">
        <f t="shared" ref="B80:B87" si="6">B79+0.1</f>
        <v>2.0000000000000004</v>
      </c>
      <c r="C80">
        <f t="shared" si="1"/>
        <v>6.3661977236758122E-2</v>
      </c>
      <c r="D80">
        <f t="shared" si="1"/>
        <v>6.5090310326216427E-2</v>
      </c>
      <c r="E80">
        <f t="shared" si="1"/>
        <v>6.1145766321218126E-2</v>
      </c>
      <c r="F80">
        <f t="shared" si="2"/>
        <v>5.6852275047197899E-2</v>
      </c>
      <c r="G80">
        <f t="shared" si="3"/>
        <v>5.3990966513188007E-2</v>
      </c>
    </row>
    <row r="81" spans="2:7">
      <c r="B81" s="64">
        <f t="shared" si="6"/>
        <v>2.1000000000000005</v>
      </c>
      <c r="C81">
        <f t="shared" si="1"/>
        <v>5.8837317224360551E-2</v>
      </c>
      <c r="D81">
        <f t="shared" si="1"/>
        <v>5.6947544172170517E-2</v>
      </c>
      <c r="E81">
        <f t="shared" si="1"/>
        <v>5.2169742604354911E-2</v>
      </c>
      <c r="F81">
        <f t="shared" si="2"/>
        <v>4.7212678193653178E-2</v>
      </c>
      <c r="G81">
        <f t="shared" si="3"/>
        <v>4.3983595980427156E-2</v>
      </c>
    </row>
    <row r="82" spans="2:7">
      <c r="B82" s="64">
        <f t="shared" si="6"/>
        <v>2.2000000000000006</v>
      </c>
      <c r="C82">
        <f t="shared" si="1"/>
        <v>5.4505117497224413E-2</v>
      </c>
      <c r="D82">
        <f t="shared" si="1"/>
        <v>4.9803352151145064E-2</v>
      </c>
      <c r="E82">
        <f t="shared" si="1"/>
        <v>4.4379676614245626E-2</v>
      </c>
      <c r="F82">
        <f t="shared" si="2"/>
        <v>3.8945725132978684E-2</v>
      </c>
      <c r="G82">
        <f t="shared" si="3"/>
        <v>3.547459284623139E-2</v>
      </c>
    </row>
    <row r="83" spans="2:7">
      <c r="B83" s="64">
        <f t="shared" si="6"/>
        <v>2.3000000000000007</v>
      </c>
      <c r="C83">
        <f t="shared" si="1"/>
        <v>5.0605705275642371E-2</v>
      </c>
      <c r="D83">
        <f t="shared" si="1"/>
        <v>4.355096135043994E-2</v>
      </c>
      <c r="E83">
        <f t="shared" si="1"/>
        <v>3.7655586709753316E-2</v>
      </c>
      <c r="F83">
        <f t="shared" si="2"/>
        <v>3.1920549432000067E-2</v>
      </c>
      <c r="G83">
        <f t="shared" si="3"/>
        <v>2.832703774160112E-2</v>
      </c>
    </row>
    <row r="84" spans="2:7">
      <c r="B84" s="64">
        <f t="shared" si="6"/>
        <v>2.4000000000000008</v>
      </c>
      <c r="C84">
        <f t="shared" ref="C84:F100" si="7">C$17/(1+$B84^2/C$11)^C$12</f>
        <v>4.7087261269791493E-2</v>
      </c>
      <c r="D84">
        <f t="shared" si="7"/>
        <v>3.8089656526431905E-2</v>
      </c>
      <c r="E84">
        <f t="shared" si="7"/>
        <v>3.1879493750030491E-2</v>
      </c>
      <c r="F84">
        <f t="shared" si="7"/>
        <v>2.6002173732796788E-2</v>
      </c>
      <c r="G84">
        <f t="shared" si="3"/>
        <v>2.2394530294842851E-2</v>
      </c>
    </row>
    <row r="85" spans="2:7">
      <c r="B85" s="64">
        <f t="shared" si="6"/>
        <v>2.5000000000000009</v>
      </c>
      <c r="C85">
        <f t="shared" si="7"/>
        <v>4.3904811887419376E-2</v>
      </c>
      <c r="D85">
        <f t="shared" si="7"/>
        <v>3.332623888702279E-2</v>
      </c>
      <c r="E85">
        <f t="shared" si="7"/>
        <v>2.6938727628244407E-2</v>
      </c>
      <c r="F85">
        <f t="shared" si="7"/>
        <v>2.1057019220621555E-2</v>
      </c>
      <c r="G85">
        <f t="shared" ref="G85:G99" si="8">NORMDIST(B85,0,1,FALSE)</f>
        <v>1.7528300493568502E-2</v>
      </c>
    </row>
    <row r="86" spans="2:7">
      <c r="B86" s="64">
        <f t="shared" si="6"/>
        <v>2.600000000000001</v>
      </c>
      <c r="C86">
        <f t="shared" si="7"/>
        <v>4.1019315229869908E-2</v>
      </c>
      <c r="D86">
        <f t="shared" si="7"/>
        <v>2.9175741685939248E-2</v>
      </c>
      <c r="E86">
        <f t="shared" si="7"/>
        <v>2.2728119798464907E-2</v>
      </c>
      <c r="F86">
        <f t="shared" si="7"/>
        <v>1.6957068343387522E-2</v>
      </c>
      <c r="G86">
        <f t="shared" si="8"/>
        <v>1.3582969233685583E-2</v>
      </c>
    </row>
    <row r="87" spans="2:7">
      <c r="B87" s="64">
        <f t="shared" si="6"/>
        <v>2.7000000000000011</v>
      </c>
      <c r="C87">
        <f t="shared" si="7"/>
        <v>3.8396849961856508E-2</v>
      </c>
      <c r="D87">
        <f t="shared" si="7"/>
        <v>2.5561611020544526E-2</v>
      </c>
      <c r="E87">
        <f t="shared" si="7"/>
        <v>1.9151294092490952E-2</v>
      </c>
      <c r="F87">
        <f t="shared" si="7"/>
        <v>1.3582794199685897E-2</v>
      </c>
      <c r="G87">
        <f t="shared" si="8"/>
        <v>1.0420934814422567E-2</v>
      </c>
    </row>
    <row r="88" spans="2:7">
      <c r="B88" s="64">
        <f>B87+0.1</f>
        <v>2.8000000000000012</v>
      </c>
      <c r="C88">
        <f t="shared" si="7"/>
        <v>3.600790567689937E-2</v>
      </c>
      <c r="D88">
        <f t="shared" si="7"/>
        <v>2.2415519021677217E-2</v>
      </c>
      <c r="E88">
        <f t="shared" si="7"/>
        <v>1.6121257439422099E-2</v>
      </c>
      <c r="F88">
        <f t="shared" si="7"/>
        <v>1.0825016893845291E-2</v>
      </c>
      <c r="G88">
        <f t="shared" si="8"/>
        <v>7.9154515829799391E-3</v>
      </c>
    </row>
    <row r="89" spans="2:7">
      <c r="B89" s="64">
        <f>B88+0.1</f>
        <v>2.9000000000000012</v>
      </c>
      <c r="C89">
        <f t="shared" si="7"/>
        <v>3.3826767926013863E-2</v>
      </c>
      <c r="D89">
        <f t="shared" si="7"/>
        <v>1.9676938890598485E-2</v>
      </c>
      <c r="E89">
        <f t="shared" si="7"/>
        <v>1.3560470295244894E-2</v>
      </c>
      <c r="F89">
        <f t="shared" si="7"/>
        <v>8.5858698631406695E-3</v>
      </c>
      <c r="G89">
        <f t="shared" si="8"/>
        <v>5.9525324197758321E-3</v>
      </c>
    </row>
    <row r="90" spans="2:7">
      <c r="B90" s="64">
        <f>B89+0.1</f>
        <v>3.0000000000000013</v>
      </c>
      <c r="C90">
        <f t="shared" si="7"/>
        <v>3.1830988618379047E-2</v>
      </c>
      <c r="D90">
        <f t="shared" si="7"/>
        <v>1.7292578800222929E-2</v>
      </c>
      <c r="E90">
        <f t="shared" si="7"/>
        <v>1.1400549464542491E-2</v>
      </c>
      <c r="F90">
        <f t="shared" si="7"/>
        <v>6.7790627460930656E-3</v>
      </c>
      <c r="G90">
        <f t="shared" si="8"/>
        <v>4.431848411937991E-3</v>
      </c>
    </row>
    <row r="91" spans="2:7">
      <c r="B91" s="64">
        <f t="shared" ref="B91:B99" si="9">B90+0.1</f>
        <v>3.1000000000000014</v>
      </c>
      <c r="C91">
        <f t="shared" si="7"/>
        <v>3.0000931779810596E-2</v>
      </c>
      <c r="D91">
        <f t="shared" si="7"/>
        <v>1.5215745044952798E-2</v>
      </c>
      <c r="E91">
        <f t="shared" si="7"/>
        <v>9.5817276708977071E-3</v>
      </c>
      <c r="F91">
        <f t="shared" si="7"/>
        <v>5.3296170578657799E-3</v>
      </c>
      <c r="G91">
        <f t="shared" si="8"/>
        <v>3.2668190561999074E-3</v>
      </c>
    </row>
    <row r="92" spans="2:7">
      <c r="B92" s="64">
        <f t="shared" si="9"/>
        <v>3.2000000000000015</v>
      </c>
      <c r="C92">
        <f t="shared" si="7"/>
        <v>2.8319384891796303E-2</v>
      </c>
      <c r="D92">
        <f t="shared" si="7"/>
        <v>1.3405683736328861E-2</v>
      </c>
      <c r="E92">
        <f t="shared" si="7"/>
        <v>8.0521673723421387E-3</v>
      </c>
      <c r="F92">
        <f t="shared" si="7"/>
        <v>4.1732316830004924E-3</v>
      </c>
      <c r="G92">
        <f t="shared" si="8"/>
        <v>2.3840882014648317E-3</v>
      </c>
    </row>
    <row r="93" spans="2:7">
      <c r="B93" s="64">
        <f t="shared" si="9"/>
        <v>3.3000000000000016</v>
      </c>
      <c r="C93">
        <f t="shared" si="7"/>
        <v>2.6771226760621564E-2</v>
      </c>
      <c r="D93">
        <f t="shared" si="7"/>
        <v>1.1826934151171141E-2</v>
      </c>
      <c r="E93">
        <f t="shared" si="7"/>
        <v>6.7672024406869131E-3</v>
      </c>
      <c r="F93">
        <f t="shared" si="7"/>
        <v>3.2554111678475542E-3</v>
      </c>
      <c r="G93">
        <f t="shared" si="8"/>
        <v>1.7225689390536704E-3</v>
      </c>
    </row>
    <row r="94" spans="2:7">
      <c r="B94" s="64">
        <f t="shared" si="9"/>
        <v>3.4000000000000017</v>
      </c>
      <c r="C94">
        <f t="shared" si="7"/>
        <v>2.5343143804441911E-2</v>
      </c>
      <c r="D94">
        <f t="shared" si="7"/>
        <v>1.0448714749395191E-2</v>
      </c>
      <c r="E94">
        <f t="shared" si="7"/>
        <v>5.6885611066299115E-3</v>
      </c>
      <c r="F94">
        <f t="shared" si="7"/>
        <v>2.530464272410651E-3</v>
      </c>
      <c r="G94">
        <f t="shared" si="8"/>
        <v>1.2322191684730121E-3</v>
      </c>
    </row>
    <row r="95" spans="2:7">
      <c r="B95" s="64">
        <f t="shared" si="9"/>
        <v>3.5000000000000018</v>
      </c>
      <c r="C95">
        <f t="shared" si="7"/>
        <v>2.4023387636512482E-2</v>
      </c>
      <c r="D95">
        <f t="shared" si="7"/>
        <v>9.2443540925209022E-3</v>
      </c>
      <c r="E95">
        <f t="shared" si="7"/>
        <v>4.7836071267013062E-3</v>
      </c>
      <c r="F95">
        <f t="shared" si="7"/>
        <v>1.9604555808020829E-3</v>
      </c>
      <c r="G95">
        <f t="shared" si="8"/>
        <v>8.7268269504575473E-4</v>
      </c>
    </row>
    <row r="96" spans="2:7">
      <c r="B96" s="64">
        <f t="shared" si="9"/>
        <v>3.6000000000000019</v>
      </c>
      <c r="C96">
        <f t="shared" si="7"/>
        <v>2.2801567778208482E-2</v>
      </c>
      <c r="D96">
        <f t="shared" si="7"/>
        <v>8.1907726871290384E-3</v>
      </c>
      <c r="E96">
        <f t="shared" si="7"/>
        <v>4.0246232150294593E-3</v>
      </c>
      <c r="F96">
        <f t="shared" si="7"/>
        <v>1.5141706922918016E-3</v>
      </c>
      <c r="G96">
        <f t="shared" si="8"/>
        <v>6.119019301137681E-4</v>
      </c>
    </row>
    <row r="97" spans="2:7">
      <c r="B97" s="64">
        <f t="shared" si="9"/>
        <v>3.700000000000002</v>
      </c>
      <c r="C97">
        <f t="shared" si="7"/>
        <v>2.1668474212647407E-2</v>
      </c>
      <c r="D97">
        <f t="shared" si="7"/>
        <v>7.2680175325693791E-3</v>
      </c>
      <c r="E97">
        <f t="shared" si="7"/>
        <v>3.3881509779623872E-3</v>
      </c>
      <c r="F97">
        <f t="shared" si="7"/>
        <v>1.1661364480637553E-3</v>
      </c>
      <c r="G97">
        <f t="shared" si="8"/>
        <v>4.2478027055074878E-4</v>
      </c>
    </row>
    <row r="98" spans="2:7">
      <c r="B98" s="64">
        <f t="shared" si="9"/>
        <v>3.800000000000002</v>
      </c>
      <c r="C98">
        <f t="shared" si="7"/>
        <v>2.0615925270970878E-2</v>
      </c>
      <c r="D98">
        <f t="shared" si="7"/>
        <v>6.458848364369823E-3</v>
      </c>
      <c r="E98">
        <f t="shared" si="7"/>
        <v>2.8543943946095934E-3</v>
      </c>
      <c r="F98">
        <f t="shared" si="7"/>
        <v>8.9572208725848174E-4</v>
      </c>
      <c r="G98">
        <f t="shared" si="8"/>
        <v>2.9194692579145794E-4</v>
      </c>
    </row>
    <row r="99" spans="2:7">
      <c r="B99" s="64">
        <f t="shared" si="9"/>
        <v>3.9000000000000021</v>
      </c>
      <c r="C99">
        <f t="shared" si="7"/>
        <v>1.963663702552686E-2</v>
      </c>
      <c r="D99">
        <f t="shared" si="7"/>
        <v>5.7483728547693836E-3</v>
      </c>
      <c r="E99">
        <f t="shared" si="7"/>
        <v>2.4066888019954806E-3</v>
      </c>
      <c r="F99">
        <f t="shared" si="7"/>
        <v>6.8633509016922348E-4</v>
      </c>
      <c r="G99">
        <f t="shared" si="8"/>
        <v>1.9865547139277093E-4</v>
      </c>
    </row>
    <row r="100" spans="2:7">
      <c r="B100" s="64">
        <f>B99+0.1</f>
        <v>4.0000000000000018</v>
      </c>
      <c r="C100">
        <f t="shared" si="7"/>
        <v>1.8724110951987671E-2</v>
      </c>
      <c r="D100">
        <f t="shared" si="7"/>
        <v>5.1237270519179038E-3</v>
      </c>
      <c r="E100">
        <f t="shared" si="7"/>
        <v>2.0310339110412097E-3</v>
      </c>
      <c r="F100">
        <f t="shared" si="7"/>
        <v>5.2471644019740516E-4</v>
      </c>
      <c r="G100">
        <f>NORMDIST(B100,0,1,FALSE)</f>
        <v>1.3383022576488442E-4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sheetPr codeName="Sheet353"/>
  <dimension ref="A1:I10"/>
  <sheetViews>
    <sheetView zoomScaleNormal="100" workbookViewId="0"/>
  </sheetViews>
  <sheetFormatPr defaultRowHeight="14.4"/>
  <cols>
    <col min="1" max="1" width="18.6640625" customWidth="1"/>
  </cols>
  <sheetData>
    <row r="1" spans="1:9">
      <c r="A1" s="1" t="s">
        <v>3911</v>
      </c>
    </row>
    <row r="3" spans="1:9">
      <c r="A3" t="s">
        <v>28</v>
      </c>
      <c r="B3" s="1236">
        <f>G7</f>
        <v>2.1318467863266499</v>
      </c>
      <c r="C3" s="1237">
        <f>-B3</f>
        <v>-2.1318467863266499</v>
      </c>
      <c r="E3" s="65" t="s">
        <v>157</v>
      </c>
      <c r="F3" s="1236">
        <v>0.05</v>
      </c>
      <c r="G3" s="1152">
        <v>0.1</v>
      </c>
      <c r="H3" s="1152">
        <v>0.9</v>
      </c>
      <c r="I3" s="1237">
        <v>0.95</v>
      </c>
    </row>
    <row r="4" spans="1:9">
      <c r="A4" t="s">
        <v>186</v>
      </c>
      <c r="B4" s="533">
        <v>4</v>
      </c>
      <c r="C4" s="541">
        <v>4</v>
      </c>
      <c r="E4" t="s">
        <v>186</v>
      </c>
      <c r="F4" s="656">
        <v>4</v>
      </c>
      <c r="G4" s="8">
        <v>4</v>
      </c>
      <c r="H4" s="8">
        <v>4</v>
      </c>
      <c r="I4" s="657">
        <v>4</v>
      </c>
    </row>
    <row r="5" spans="1:9">
      <c r="A5" t="s">
        <v>3906</v>
      </c>
      <c r="B5" s="1236">
        <f>_xlfn.T.DIST(B3,B4,FALSE)</f>
        <v>5.6225096733005922E-2</v>
      </c>
      <c r="C5" s="1237">
        <f>_xlfn.T.DIST(C3,C4,FALSE)</f>
        <v>5.6225096733005922E-2</v>
      </c>
      <c r="E5" t="s">
        <v>3908</v>
      </c>
      <c r="F5" s="1236">
        <f>_xlfn.T.INV(F3,F4)</f>
        <v>-2.1318467863266499</v>
      </c>
      <c r="G5" s="1152">
        <f>_xlfn.T.INV(G3,G4)</f>
        <v>-1.5332062740589443</v>
      </c>
      <c r="H5" s="1152">
        <f>_xlfn.T.INV(H3,H4)</f>
        <v>1.5332062740589445</v>
      </c>
      <c r="I5" s="1237">
        <f>_xlfn.T.INV(I3,I4)</f>
        <v>2.131846786326649</v>
      </c>
    </row>
    <row r="6" spans="1:9">
      <c r="A6" t="s">
        <v>3904</v>
      </c>
      <c r="B6" s="656">
        <f>_xlfn.T.DIST(B3,B4,TRUE)</f>
        <v>0.95</v>
      </c>
      <c r="C6" s="657">
        <f>_xlfn.T.DIST(C3,C4,TRUE)</f>
        <v>0.05</v>
      </c>
      <c r="E6" t="s">
        <v>3909</v>
      </c>
      <c r="F6" s="533">
        <f>_xlfn.T.INV.2T(F3,F4)</f>
        <v>2.7764451051977934</v>
      </c>
      <c r="G6" s="1078">
        <f>_xlfn.T.INV.2T(G3,G4)</f>
        <v>2.1318467863266499</v>
      </c>
      <c r="H6" s="1078">
        <f>_xlfn.T.INV.2T(H3,H4)</f>
        <v>0.13383036711194346</v>
      </c>
      <c r="I6" s="541">
        <f>_xlfn.T.INV.2T(I3,I4)</f>
        <v>6.6728494700757035E-2</v>
      </c>
    </row>
    <row r="7" spans="1:9">
      <c r="A7" t="s">
        <v>3902</v>
      </c>
      <c r="B7" s="656">
        <f>_xlfn.T.DIST.RT(B3,B4)</f>
        <v>0.05</v>
      </c>
      <c r="C7" s="657">
        <f>_xlfn.T.DIST.RT(C3,C4)</f>
        <v>0.95</v>
      </c>
      <c r="E7" t="s">
        <v>3910</v>
      </c>
      <c r="F7" s="533">
        <f>TINV(F3,F4)</f>
        <v>2.7764451051977934</v>
      </c>
      <c r="G7" s="1078">
        <f>TINV(G3,G4)</f>
        <v>2.1318467863266499</v>
      </c>
      <c r="H7" s="1078">
        <f>TINV(H3,H4)</f>
        <v>0.13383036711194346</v>
      </c>
      <c r="I7" s="541">
        <f>TINV(I3,I4)</f>
        <v>6.6728494700757035E-2</v>
      </c>
    </row>
    <row r="8" spans="1:9">
      <c r="A8" t="s">
        <v>3903</v>
      </c>
      <c r="B8" s="533">
        <f>_xlfn.T.DIST.2T(B3,B4)</f>
        <v>0.1</v>
      </c>
      <c r="C8" s="541" t="e">
        <f>_xlfn.T.DIST.2T(C3,C4)</f>
        <v>#NUM!</v>
      </c>
    </row>
    <row r="9" spans="1:9">
      <c r="A9" t="s">
        <v>3905</v>
      </c>
      <c r="B9" s="1236">
        <f>TDIST(B3,B4,1)</f>
        <v>0.05</v>
      </c>
      <c r="C9" s="1237" t="e">
        <f>TDIST(C3,C4,1)</f>
        <v>#NUM!</v>
      </c>
    </row>
    <row r="10" spans="1:9">
      <c r="A10" t="s">
        <v>3907</v>
      </c>
      <c r="B10" s="533">
        <f>TDIST(B3,B4,2)</f>
        <v>0.1</v>
      </c>
      <c r="C10" s="541" t="e">
        <f>TDIST(C3,C4,2)</f>
        <v>#NUM!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sheetPr codeName="Sheet24"/>
  <dimension ref="A1:P38"/>
  <sheetViews>
    <sheetView workbookViewId="0"/>
  </sheetViews>
  <sheetFormatPr defaultRowHeight="14.4"/>
  <cols>
    <col min="1" max="1" width="8.33203125" customWidth="1"/>
    <col min="2" max="2" width="12.33203125" customWidth="1"/>
    <col min="3" max="3" width="6.88671875" customWidth="1"/>
    <col min="4" max="4" width="10.33203125" customWidth="1"/>
    <col min="6" max="6" width="3.44140625" customWidth="1"/>
    <col min="7" max="7" width="24.6640625" customWidth="1"/>
  </cols>
  <sheetData>
    <row r="1" spans="1:16">
      <c r="A1" s="1" t="s">
        <v>177</v>
      </c>
      <c r="B1" s="34"/>
      <c r="E1" s="45"/>
    </row>
    <row r="2" spans="1:16">
      <c r="A2" s="34"/>
      <c r="B2" s="34"/>
      <c r="E2" s="45"/>
    </row>
    <row r="3" spans="1:16">
      <c r="A3" s="796" t="s">
        <v>178</v>
      </c>
      <c r="B3" s="796" t="s">
        <v>179</v>
      </c>
      <c r="D3" s="66" t="s">
        <v>554</v>
      </c>
      <c r="E3" s="791">
        <f>COUNT(B4:B15)</f>
        <v>12</v>
      </c>
      <c r="G3" s="23" t="s">
        <v>180</v>
      </c>
      <c r="I3" t="s">
        <v>193</v>
      </c>
    </row>
    <row r="4" spans="1:16">
      <c r="A4" s="723">
        <v>1</v>
      </c>
      <c r="B4" s="795">
        <v>23</v>
      </c>
      <c r="D4" s="8" t="s">
        <v>63</v>
      </c>
      <c r="E4" s="793">
        <f>AVERAGE(B4:B15)</f>
        <v>4.666666666666667</v>
      </c>
      <c r="G4" s="23" t="s">
        <v>181</v>
      </c>
    </row>
    <row r="5" spans="1:16" ht="15" thickBot="1">
      <c r="A5" s="723">
        <f t="shared" ref="A5:A15" si="0">A4+1</f>
        <v>2</v>
      </c>
      <c r="B5" s="795">
        <v>15</v>
      </c>
      <c r="D5" s="8" t="s">
        <v>218</v>
      </c>
      <c r="E5" s="793">
        <f>STDEV(B4:B15)</f>
        <v>11.154561507483942</v>
      </c>
      <c r="G5" s="23" t="s">
        <v>3916</v>
      </c>
      <c r="I5" t="s">
        <v>194</v>
      </c>
      <c r="L5" t="s">
        <v>116</v>
      </c>
      <c r="M5">
        <v>0.05</v>
      </c>
    </row>
    <row r="6" spans="1:16" ht="15" thickTop="1">
      <c r="A6" s="723">
        <f t="shared" si="0"/>
        <v>3</v>
      </c>
      <c r="B6" s="795">
        <v>-5</v>
      </c>
      <c r="D6" s="8" t="s">
        <v>1469</v>
      </c>
      <c r="E6" s="792">
        <f>E5/SQRT(E3)</f>
        <v>3.220044544519046</v>
      </c>
      <c r="G6" s="23" t="s">
        <v>184</v>
      </c>
      <c r="I6" s="76" t="s">
        <v>88</v>
      </c>
      <c r="J6" s="76" t="s">
        <v>76</v>
      </c>
      <c r="K6" s="76" t="s">
        <v>182</v>
      </c>
      <c r="L6" s="76" t="s">
        <v>183</v>
      </c>
      <c r="M6" s="76" t="s">
        <v>195</v>
      </c>
      <c r="N6" s="76" t="s">
        <v>186</v>
      </c>
      <c r="O6" s="76" t="s">
        <v>196</v>
      </c>
      <c r="P6" s="76" t="s">
        <v>197</v>
      </c>
    </row>
    <row r="7" spans="1:16">
      <c r="A7" s="723">
        <f t="shared" si="0"/>
        <v>4</v>
      </c>
      <c r="B7" s="795">
        <v>7</v>
      </c>
      <c r="E7" s="45"/>
      <c r="I7">
        <f>COUNT(B4:B15)</f>
        <v>12</v>
      </c>
      <c r="J7" s="45">
        <f>AVERAGE(B4:B15)</f>
        <v>4.666666666666667</v>
      </c>
      <c r="K7">
        <f>STDEV(B4:B15)</f>
        <v>11.154561507483942</v>
      </c>
      <c r="L7">
        <f>K7/SQRT(I7)</f>
        <v>3.220044544519046</v>
      </c>
      <c r="M7">
        <f>(J7-M9)/L7</f>
        <v>1.4492553137533357</v>
      </c>
      <c r="N7">
        <f>I7-1</f>
        <v>11</v>
      </c>
      <c r="O7">
        <f>ABS(J7-M9)/K7</f>
        <v>0.41836397275999199</v>
      </c>
      <c r="P7">
        <f>SQRT(M7^2/(M7^2+N7))</f>
        <v>0.40040878906938115</v>
      </c>
    </row>
    <row r="8" spans="1:16">
      <c r="A8" s="723">
        <f t="shared" si="0"/>
        <v>5</v>
      </c>
      <c r="B8" s="795">
        <v>1</v>
      </c>
      <c r="D8" s="8" t="s">
        <v>1746</v>
      </c>
      <c r="E8" s="791">
        <v>0</v>
      </c>
      <c r="I8" s="5"/>
      <c r="J8" s="5"/>
      <c r="K8" s="5"/>
      <c r="L8" s="5"/>
      <c r="M8" s="5"/>
      <c r="N8" s="5"/>
      <c r="O8" s="5"/>
      <c r="P8" s="5"/>
    </row>
    <row r="9" spans="1:16" ht="15" thickBot="1">
      <c r="A9" s="723">
        <f t="shared" si="0"/>
        <v>6</v>
      </c>
      <c r="B9" s="795">
        <v>-10</v>
      </c>
      <c r="D9" s="537" t="s">
        <v>157</v>
      </c>
      <c r="E9" s="793">
        <v>0.05</v>
      </c>
      <c r="I9" t="s">
        <v>198</v>
      </c>
      <c r="L9" t="s">
        <v>185</v>
      </c>
      <c r="M9">
        <v>0</v>
      </c>
    </row>
    <row r="10" spans="1:16" ht="15" thickTop="1">
      <c r="A10" s="723">
        <f t="shared" si="0"/>
        <v>7</v>
      </c>
      <c r="B10" s="795">
        <v>12</v>
      </c>
      <c r="D10" s="8" t="s">
        <v>1178</v>
      </c>
      <c r="E10" s="793">
        <v>1</v>
      </c>
      <c r="I10" s="76" t="s">
        <v>199</v>
      </c>
      <c r="J10" s="76" t="s">
        <v>200</v>
      </c>
      <c r="K10" s="76" t="s">
        <v>201</v>
      </c>
      <c r="L10" s="76" t="s">
        <v>103</v>
      </c>
      <c r="M10" s="76" t="s">
        <v>104</v>
      </c>
      <c r="N10" s="76" t="s">
        <v>948</v>
      </c>
    </row>
    <row r="11" spans="1:16">
      <c r="A11" s="723">
        <f t="shared" si="0"/>
        <v>8</v>
      </c>
      <c r="B11" s="795">
        <v>-8</v>
      </c>
      <c r="D11" s="8" t="s">
        <v>186</v>
      </c>
      <c r="E11" s="793">
        <f>E3-1</f>
        <v>11</v>
      </c>
      <c r="G11" s="23" t="s">
        <v>187</v>
      </c>
      <c r="I11" t="s">
        <v>203</v>
      </c>
      <c r="J11">
        <f>TDIST(ABS(M7),N7,1)</f>
        <v>8.7584727794285583E-2</v>
      </c>
      <c r="K11">
        <f>TINV(M5*2,N7)</f>
        <v>1.7958848187040437</v>
      </c>
      <c r="N11" s="34" t="str">
        <f>IF(J11&lt;M5,"yes","no")</f>
        <v>no</v>
      </c>
    </row>
    <row r="12" spans="1:16">
      <c r="A12" s="723">
        <f t="shared" si="0"/>
        <v>9</v>
      </c>
      <c r="B12" s="795">
        <v>20</v>
      </c>
      <c r="D12" s="8" t="s">
        <v>188</v>
      </c>
      <c r="E12" s="793">
        <f>(E4-E8)/E6</f>
        <v>1.4492553137533357</v>
      </c>
      <c r="G12" s="23" t="s">
        <v>189</v>
      </c>
      <c r="I12" t="s">
        <v>204</v>
      </c>
      <c r="J12">
        <f>TDIST(ABS(M7),N7,2)</f>
        <v>0.17516945558857117</v>
      </c>
      <c r="K12">
        <f>TINV(M5,N7)</f>
        <v>2.2009851600916384</v>
      </c>
      <c r="L12">
        <f>J7-K12*L7</f>
        <v>-2.4206035906537924</v>
      </c>
      <c r="M12">
        <f>J7+K12*L7</f>
        <v>11.753936923987126</v>
      </c>
      <c r="N12" s="34" t="str">
        <f>IF(J12&lt;M5,"yes","no")</f>
        <v>no</v>
      </c>
    </row>
    <row r="13" spans="1:16">
      <c r="A13" s="723">
        <f t="shared" si="0"/>
        <v>10</v>
      </c>
      <c r="B13" s="795">
        <v>8</v>
      </c>
      <c r="D13" s="8" t="s">
        <v>190</v>
      </c>
      <c r="E13" s="793">
        <f>TDIST(ABS(E12),E11,E10)</f>
        <v>8.7584727794285583E-2</v>
      </c>
      <c r="G13" s="23" t="s">
        <v>3917</v>
      </c>
    </row>
    <row r="14" spans="1:16">
      <c r="A14" s="723">
        <f t="shared" si="0"/>
        <v>11</v>
      </c>
      <c r="B14" s="795">
        <v>-2</v>
      </c>
      <c r="D14" s="8" t="s">
        <v>191</v>
      </c>
      <c r="E14" s="793">
        <f>TINV(E9*2,E11)</f>
        <v>1.7958848187040437</v>
      </c>
      <c r="G14" s="23" t="s">
        <v>3918</v>
      </c>
    </row>
    <row r="15" spans="1:16">
      <c r="A15" s="797">
        <f t="shared" si="0"/>
        <v>12</v>
      </c>
      <c r="B15" s="798">
        <v>-5</v>
      </c>
      <c r="D15" s="8" t="s">
        <v>948</v>
      </c>
      <c r="E15" s="794" t="str">
        <f>IF(E13&lt;E9,"yes","no")</f>
        <v>no</v>
      </c>
      <c r="G15" s="23" t="s">
        <v>1878</v>
      </c>
    </row>
    <row r="16" spans="1:16">
      <c r="A16" s="34"/>
      <c r="B16" s="34"/>
      <c r="E16" s="45"/>
    </row>
    <row r="17" spans="1:9">
      <c r="A17" s="34"/>
      <c r="B17" s="34"/>
      <c r="E17" s="45"/>
      <c r="I17" s="68" t="s">
        <v>179</v>
      </c>
    </row>
    <row r="18" spans="1:9">
      <c r="A18" s="34"/>
      <c r="B18" s="34"/>
      <c r="D18" t="s">
        <v>192</v>
      </c>
      <c r="E18" s="791">
        <f>NORMDIST(E4,E8,E6,TRUE)</f>
        <v>0.92636685229592319</v>
      </c>
      <c r="H18" t="s">
        <v>160</v>
      </c>
      <c r="I18" s="77">
        <f>MIN(B4:B15)</f>
        <v>-10</v>
      </c>
    </row>
    <row r="19" spans="1:9">
      <c r="A19" s="34"/>
      <c r="B19" s="34"/>
      <c r="E19" s="792">
        <f>1-E18</f>
        <v>7.3633147704076807E-2</v>
      </c>
      <c r="H19" t="s">
        <v>161</v>
      </c>
      <c r="I19" s="77">
        <f>QUARTILE(B4:B15,1)-I18</f>
        <v>5</v>
      </c>
    </row>
    <row r="20" spans="1:9">
      <c r="H20" t="s">
        <v>162</v>
      </c>
      <c r="I20" s="77">
        <f>MEDIAN(B4:B15)-QUARTILE(B4:B15,1)</f>
        <v>9</v>
      </c>
    </row>
    <row r="21" spans="1:9">
      <c r="H21" t="s">
        <v>163</v>
      </c>
      <c r="I21" s="77">
        <f>QUARTILE(B4:B15,3)-MEDIAN(B4:B15)</f>
        <v>8.75</v>
      </c>
    </row>
    <row r="22" spans="1:9">
      <c r="H22" t="s">
        <v>164</v>
      </c>
      <c r="I22" s="77">
        <f>MAX(B4:B15)-QUARTILE(B4:B15,3)</f>
        <v>10.25</v>
      </c>
    </row>
    <row r="33" spans="8:9">
      <c r="I33" s="68" t="s">
        <v>179</v>
      </c>
    </row>
    <row r="34" spans="8:9">
      <c r="H34" t="s">
        <v>166</v>
      </c>
      <c r="I34">
        <f>QUARTILE(B4:B15,1)</f>
        <v>-5</v>
      </c>
    </row>
    <row r="35" spans="8:9">
      <c r="H35" t="s">
        <v>162</v>
      </c>
      <c r="I35" s="77">
        <f>MEDIAN(B4:B15)-QUARTILE(B4:B15,1)</f>
        <v>9</v>
      </c>
    </row>
    <row r="36" spans="8:9">
      <c r="H36" t="s">
        <v>163</v>
      </c>
      <c r="I36" s="77">
        <f>QUARTILE(B4:B15,3)-MEDIAN(B4:B15)</f>
        <v>8.75</v>
      </c>
    </row>
    <row r="37" spans="8:9">
      <c r="H37" t="s">
        <v>161</v>
      </c>
      <c r="I37" s="77">
        <f>QUARTILE(B4:B15,1)-MIN(B4:B15)</f>
        <v>5</v>
      </c>
    </row>
    <row r="38" spans="8:9">
      <c r="H38" t="s">
        <v>164</v>
      </c>
      <c r="I38" s="77">
        <f>MAX(B4:B15)-QUARTILE(B4:B15,3)</f>
        <v>10.25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sheetPr codeName="Sheet25"/>
  <dimension ref="A1:W77"/>
  <sheetViews>
    <sheetView workbookViewId="0"/>
  </sheetViews>
  <sheetFormatPr defaultRowHeight="14.4"/>
  <cols>
    <col min="6" max="6" width="24.6640625" customWidth="1"/>
  </cols>
  <sheetData>
    <row r="1" spans="1:23">
      <c r="A1" s="1" t="s">
        <v>177</v>
      </c>
      <c r="F1" s="1"/>
    </row>
    <row r="2" spans="1:23" ht="15" thickBot="1">
      <c r="W2" s="19" t="s">
        <v>213</v>
      </c>
    </row>
    <row r="3" spans="1:23">
      <c r="A3" s="1" t="s">
        <v>205</v>
      </c>
      <c r="F3" s="35" t="s">
        <v>206</v>
      </c>
      <c r="G3" s="35"/>
      <c r="I3" s="19" t="s">
        <v>109</v>
      </c>
      <c r="K3" s="27" t="s">
        <v>112</v>
      </c>
      <c r="L3" s="27" t="s">
        <v>108</v>
      </c>
    </row>
    <row r="4" spans="1:23">
      <c r="F4" s="28"/>
      <c r="G4" s="28"/>
      <c r="K4" s="84">
        <v>40</v>
      </c>
      <c r="L4" s="28">
        <v>2</v>
      </c>
      <c r="W4" s="45">
        <f t="shared" ref="W4:W13" si="0">A5</f>
        <v>63</v>
      </c>
    </row>
    <row r="5" spans="1:23">
      <c r="A5" s="78">
        <v>63</v>
      </c>
      <c r="B5" s="79">
        <v>58</v>
      </c>
      <c r="C5" s="79">
        <v>76</v>
      </c>
      <c r="D5" s="69">
        <v>59</v>
      </c>
      <c r="F5" s="28" t="s">
        <v>76</v>
      </c>
      <c r="G5" s="28">
        <v>68.400000000000006</v>
      </c>
      <c r="I5" s="77">
        <v>40</v>
      </c>
      <c r="K5" s="84">
        <v>45</v>
      </c>
      <c r="L5" s="28">
        <v>3</v>
      </c>
      <c r="W5" s="45">
        <f t="shared" si="0"/>
        <v>95</v>
      </c>
    </row>
    <row r="6" spans="1:23">
      <c r="A6" s="80">
        <v>95</v>
      </c>
      <c r="B6" s="81">
        <v>84</v>
      </c>
      <c r="C6" s="81">
        <v>83</v>
      </c>
      <c r="D6" s="72">
        <v>68</v>
      </c>
      <c r="F6" s="28" t="s">
        <v>77</v>
      </c>
      <c r="G6" s="28">
        <v>2.6201389667588599</v>
      </c>
      <c r="I6" s="77">
        <f>I5+5</f>
        <v>45</v>
      </c>
      <c r="K6" s="84">
        <v>50</v>
      </c>
      <c r="L6" s="28">
        <v>2</v>
      </c>
      <c r="W6" s="45">
        <f t="shared" si="0"/>
        <v>81</v>
      </c>
    </row>
    <row r="7" spans="1:23">
      <c r="A7" s="80">
        <v>81</v>
      </c>
      <c r="B7" s="81">
        <v>90</v>
      </c>
      <c r="C7" s="81">
        <v>87</v>
      </c>
      <c r="D7" s="72">
        <v>45</v>
      </c>
      <c r="F7" s="28" t="s">
        <v>78</v>
      </c>
      <c r="G7" s="28">
        <v>68</v>
      </c>
      <c r="I7" s="77">
        <f t="shared" ref="I7:I15" si="1">I6+5</f>
        <v>50</v>
      </c>
      <c r="K7" s="84">
        <v>55</v>
      </c>
      <c r="L7" s="28">
        <v>2</v>
      </c>
      <c r="W7" s="45">
        <f t="shared" si="0"/>
        <v>75</v>
      </c>
    </row>
    <row r="8" spans="1:23">
      <c r="A8" s="80">
        <v>75</v>
      </c>
      <c r="B8" s="81">
        <v>38</v>
      </c>
      <c r="C8" s="81">
        <v>54</v>
      </c>
      <c r="D8" s="72">
        <v>52</v>
      </c>
      <c r="F8" s="28" t="s">
        <v>79</v>
      </c>
      <c r="G8" s="28">
        <v>64</v>
      </c>
      <c r="I8" s="77">
        <f t="shared" si="1"/>
        <v>55</v>
      </c>
      <c r="K8" s="84">
        <v>60</v>
      </c>
      <c r="L8" s="28">
        <v>5</v>
      </c>
      <c r="W8" s="45">
        <f t="shared" si="0"/>
        <v>90</v>
      </c>
    </row>
    <row r="9" spans="1:23">
      <c r="A9" s="80">
        <v>90</v>
      </c>
      <c r="B9" s="81">
        <v>100</v>
      </c>
      <c r="C9" s="81">
        <v>45</v>
      </c>
      <c r="D9" s="72">
        <v>76</v>
      </c>
      <c r="F9" s="28" t="s">
        <v>80</v>
      </c>
      <c r="G9" s="28">
        <v>16.5712138422364</v>
      </c>
      <c r="I9" s="77">
        <f t="shared" si="1"/>
        <v>60</v>
      </c>
      <c r="K9" s="84">
        <v>65</v>
      </c>
      <c r="L9" s="28">
        <v>5</v>
      </c>
      <c r="W9" s="45">
        <f t="shared" si="0"/>
        <v>64</v>
      </c>
    </row>
    <row r="10" spans="1:23">
      <c r="A10" s="80">
        <v>64</v>
      </c>
      <c r="B10" s="81">
        <v>80</v>
      </c>
      <c r="C10" s="81">
        <v>58</v>
      </c>
      <c r="D10" s="72">
        <v>78</v>
      </c>
      <c r="F10" s="28" t="s">
        <v>81</v>
      </c>
      <c r="G10" s="28">
        <v>274.60512820512838</v>
      </c>
      <c r="I10" s="77">
        <f t="shared" si="1"/>
        <v>65</v>
      </c>
      <c r="K10" s="84">
        <v>70</v>
      </c>
      <c r="L10" s="28">
        <v>3</v>
      </c>
      <c r="W10" s="45">
        <f t="shared" si="0"/>
        <v>45</v>
      </c>
    </row>
    <row r="11" spans="1:23">
      <c r="A11" s="80">
        <v>45</v>
      </c>
      <c r="B11" s="81">
        <v>68</v>
      </c>
      <c r="C11" s="81">
        <v>64</v>
      </c>
      <c r="D11" s="72">
        <v>50</v>
      </c>
      <c r="F11" s="28" t="s">
        <v>82</v>
      </c>
      <c r="G11" s="28">
        <v>-0.80131844997494062</v>
      </c>
      <c r="I11" s="77">
        <f t="shared" si="1"/>
        <v>70</v>
      </c>
      <c r="K11" s="84">
        <v>75</v>
      </c>
      <c r="L11" s="28">
        <v>3</v>
      </c>
      <c r="W11" s="45">
        <f t="shared" si="0"/>
        <v>59</v>
      </c>
    </row>
    <row r="12" spans="1:23">
      <c r="A12" s="80">
        <v>59</v>
      </c>
      <c r="B12" s="81">
        <v>49</v>
      </c>
      <c r="C12" s="81">
        <v>63</v>
      </c>
      <c r="D12" s="72">
        <v>75</v>
      </c>
      <c r="F12" s="28" t="s">
        <v>83</v>
      </c>
      <c r="G12" s="28">
        <v>-8.8637603694432965E-2</v>
      </c>
      <c r="I12" s="77">
        <f t="shared" si="1"/>
        <v>75</v>
      </c>
      <c r="K12" s="84">
        <v>80</v>
      </c>
      <c r="L12" s="28">
        <v>4</v>
      </c>
      <c r="W12" s="45">
        <f t="shared" si="0"/>
        <v>72</v>
      </c>
    </row>
    <row r="13" spans="1:23">
      <c r="A13" s="80">
        <v>72</v>
      </c>
      <c r="B13" s="81">
        <v>68</v>
      </c>
      <c r="C13" s="81">
        <v>92</v>
      </c>
      <c r="D13" s="72">
        <v>64</v>
      </c>
      <c r="F13" s="28" t="s">
        <v>84</v>
      </c>
      <c r="G13" s="28">
        <v>65</v>
      </c>
      <c r="I13" s="77">
        <f t="shared" si="1"/>
        <v>80</v>
      </c>
      <c r="K13" s="84">
        <v>85</v>
      </c>
      <c r="L13" s="28">
        <v>3</v>
      </c>
      <c r="W13" s="45">
        <f t="shared" si="0"/>
        <v>35</v>
      </c>
    </row>
    <row r="14" spans="1:23">
      <c r="A14" s="82">
        <v>35</v>
      </c>
      <c r="B14" s="83">
        <v>60</v>
      </c>
      <c r="C14" s="83">
        <v>87</v>
      </c>
      <c r="D14" s="73">
        <v>86</v>
      </c>
      <c r="F14" s="28" t="s">
        <v>85</v>
      </c>
      <c r="G14" s="28">
        <v>35</v>
      </c>
      <c r="I14" s="77">
        <f t="shared" si="1"/>
        <v>85</v>
      </c>
      <c r="K14" s="84">
        <v>90</v>
      </c>
      <c r="L14" s="28">
        <v>5</v>
      </c>
      <c r="W14" s="45">
        <f t="shared" ref="W14:W23" si="2">B5</f>
        <v>58</v>
      </c>
    </row>
    <row r="15" spans="1:23" ht="15" thickBot="1">
      <c r="F15" s="28" t="s">
        <v>86</v>
      </c>
      <c r="G15" s="28">
        <v>100</v>
      </c>
      <c r="I15" s="77">
        <f t="shared" si="1"/>
        <v>90</v>
      </c>
      <c r="K15" s="31" t="s">
        <v>113</v>
      </c>
      <c r="L15" s="31">
        <v>3</v>
      </c>
      <c r="W15" s="45">
        <f t="shared" si="2"/>
        <v>84</v>
      </c>
    </row>
    <row r="16" spans="1:23">
      <c r="F16" s="28" t="s">
        <v>87</v>
      </c>
      <c r="G16" s="28">
        <v>2736</v>
      </c>
      <c r="I16" s="64"/>
      <c r="W16" s="45">
        <f t="shared" si="2"/>
        <v>90</v>
      </c>
    </row>
    <row r="17" spans="6:23">
      <c r="F17" s="28" t="s">
        <v>88</v>
      </c>
      <c r="G17" s="28">
        <v>40</v>
      </c>
      <c r="W17" s="45">
        <f t="shared" si="2"/>
        <v>38</v>
      </c>
    </row>
    <row r="18" spans="6:23" ht="15" thickBot="1">
      <c r="F18" s="31" t="s">
        <v>207</v>
      </c>
      <c r="G18" s="31">
        <v>5.2997312480528764</v>
      </c>
      <c r="W18" s="45">
        <f t="shared" si="2"/>
        <v>100</v>
      </c>
    </row>
    <row r="19" spans="6:23">
      <c r="H19" s="28"/>
      <c r="I19" s="28"/>
      <c r="W19" s="45">
        <f t="shared" si="2"/>
        <v>80</v>
      </c>
    </row>
    <row r="20" spans="6:23">
      <c r="K20" t="s">
        <v>160</v>
      </c>
      <c r="L20">
        <f>MIN(W4:W43)</f>
        <v>35</v>
      </c>
      <c r="W20" s="45">
        <f t="shared" si="2"/>
        <v>68</v>
      </c>
    </row>
    <row r="21" spans="6:23">
      <c r="F21" t="s">
        <v>95</v>
      </c>
      <c r="K21" t="s">
        <v>161</v>
      </c>
      <c r="L21">
        <f>QUARTILE(W4:W43,1)-L20</f>
        <v>23</v>
      </c>
      <c r="W21" s="45">
        <f t="shared" si="2"/>
        <v>49</v>
      </c>
    </row>
    <row r="22" spans="6:23">
      <c r="K22" t="s">
        <v>162</v>
      </c>
      <c r="L22">
        <f>MEDIAN(W4:W43)-QUARTILE(W4:W43,1)</f>
        <v>10</v>
      </c>
      <c r="W22" s="45">
        <f t="shared" si="2"/>
        <v>68</v>
      </c>
    </row>
    <row r="23" spans="6:23">
      <c r="F23" s="36"/>
      <c r="G23" s="36" t="s">
        <v>208</v>
      </c>
      <c r="K23" t="s">
        <v>163</v>
      </c>
      <c r="L23">
        <f>QUARTILE(W4:W43,3)-MEDIAN(W4:W43)</f>
        <v>13.5</v>
      </c>
      <c r="W23" s="45">
        <f t="shared" si="2"/>
        <v>60</v>
      </c>
    </row>
    <row r="24" spans="6:23">
      <c r="F24" t="s">
        <v>76</v>
      </c>
      <c r="G24">
        <f>AVERAGE(W4:W43)</f>
        <v>68.400000000000006</v>
      </c>
      <c r="K24" t="s">
        <v>164</v>
      </c>
      <c r="L24">
        <f>MAX(W4:W43)-QUARTILE(W4:W43,3)</f>
        <v>18.5</v>
      </c>
      <c r="W24" s="45">
        <f t="shared" ref="W24:W33" si="3">C5</f>
        <v>76</v>
      </c>
    </row>
    <row r="25" spans="6:23">
      <c r="F25" t="s">
        <v>77</v>
      </c>
      <c r="G25">
        <f>STDEV(W4:W43)/SQRT(COUNT(W4:W43))</f>
        <v>2.6201389667588639</v>
      </c>
      <c r="W25" s="45">
        <f t="shared" si="3"/>
        <v>83</v>
      </c>
    </row>
    <row r="26" spans="6:23">
      <c r="F26" t="s">
        <v>78</v>
      </c>
      <c r="G26">
        <f>MEDIAN(W4:W43)</f>
        <v>68</v>
      </c>
      <c r="W26" s="45">
        <f t="shared" si="3"/>
        <v>87</v>
      </c>
    </row>
    <row r="27" spans="6:23">
      <c r="F27" t="s">
        <v>79</v>
      </c>
      <c r="G27">
        <f>MODE(W4:W43)</f>
        <v>64</v>
      </c>
      <c r="W27" s="45">
        <f t="shared" si="3"/>
        <v>54</v>
      </c>
    </row>
    <row r="28" spans="6:23">
      <c r="F28" t="s">
        <v>80</v>
      </c>
      <c r="G28">
        <f>STDEV(W4:W43)</f>
        <v>16.571213842236432</v>
      </c>
      <c r="W28" s="45">
        <f t="shared" si="3"/>
        <v>45</v>
      </c>
    </row>
    <row r="29" spans="6:23">
      <c r="F29" t="s">
        <v>81</v>
      </c>
      <c r="G29">
        <f>VAR(W4:W43)</f>
        <v>274.60512820512838</v>
      </c>
      <c r="W29" s="45">
        <f t="shared" si="3"/>
        <v>58</v>
      </c>
    </row>
    <row r="30" spans="6:23">
      <c r="F30" t="s">
        <v>82</v>
      </c>
      <c r="G30">
        <f>KURT(W4:W43)</f>
        <v>-0.80131844997494062</v>
      </c>
      <c r="W30" s="45">
        <f t="shared" si="3"/>
        <v>64</v>
      </c>
    </row>
    <row r="31" spans="6:23">
      <c r="F31" t="s">
        <v>83</v>
      </c>
      <c r="G31">
        <f>SKEW(W4:W43)</f>
        <v>-8.8637603694432965E-2</v>
      </c>
      <c r="K31" t="s">
        <v>209</v>
      </c>
      <c r="W31" s="45">
        <f t="shared" si="3"/>
        <v>63</v>
      </c>
    </row>
    <row r="32" spans="6:23">
      <c r="F32" t="s">
        <v>84</v>
      </c>
      <c r="G32">
        <f>G33-G34</f>
        <v>65</v>
      </c>
      <c r="W32" s="45">
        <f t="shared" si="3"/>
        <v>92</v>
      </c>
    </row>
    <row r="33" spans="6:23">
      <c r="F33" t="s">
        <v>86</v>
      </c>
      <c r="G33">
        <f>MAX(W4:W43)</f>
        <v>100</v>
      </c>
      <c r="K33" t="s">
        <v>88</v>
      </c>
      <c r="L33">
        <f>COUNT(W4:W43)</f>
        <v>40</v>
      </c>
      <c r="M33">
        <f>2*L33</f>
        <v>80</v>
      </c>
      <c r="W33" s="45">
        <f t="shared" si="3"/>
        <v>87</v>
      </c>
    </row>
    <row r="34" spans="6:23">
      <c r="F34" t="s">
        <v>85</v>
      </c>
      <c r="G34">
        <f>MIN(W4:W43)</f>
        <v>35</v>
      </c>
      <c r="K34" t="s">
        <v>76</v>
      </c>
      <c r="L34">
        <f>AVERAGE(W4:W43)</f>
        <v>68.400000000000006</v>
      </c>
      <c r="W34" s="45">
        <f t="shared" ref="W34:W43" si="4">D5</f>
        <v>59</v>
      </c>
    </row>
    <row r="35" spans="6:23">
      <c r="F35" t="s">
        <v>87</v>
      </c>
      <c r="G35">
        <f>SUM(W4:W43)</f>
        <v>2736</v>
      </c>
      <c r="K35" t="s">
        <v>182</v>
      </c>
      <c r="L35">
        <f>STDEV(W4:W43)</f>
        <v>16.571213842236432</v>
      </c>
      <c r="W35" s="45">
        <f t="shared" si="4"/>
        <v>68</v>
      </c>
    </row>
    <row r="36" spans="6:23">
      <c r="F36" t="s">
        <v>88</v>
      </c>
      <c r="G36">
        <f>COUNT(W4:W43)</f>
        <v>40</v>
      </c>
      <c r="W36" s="45">
        <f t="shared" si="4"/>
        <v>45</v>
      </c>
    </row>
    <row r="37" spans="6:23">
      <c r="F37" t="s">
        <v>33</v>
      </c>
      <c r="G37">
        <f>GEOMEAN(W4:W43)</f>
        <v>66.306155808571404</v>
      </c>
      <c r="K37" t="s">
        <v>210</v>
      </c>
      <c r="L37" t="s">
        <v>211</v>
      </c>
      <c r="M37" t="s">
        <v>192</v>
      </c>
      <c r="N37" t="s">
        <v>212</v>
      </c>
      <c r="W37" s="45">
        <f t="shared" si="4"/>
        <v>52</v>
      </c>
    </row>
    <row r="38" spans="6:23">
      <c r="F38" t="s">
        <v>91</v>
      </c>
      <c r="G38">
        <f>HARMEAN(W4:W43)</f>
        <v>64.079689256084123</v>
      </c>
      <c r="K38">
        <v>1</v>
      </c>
      <c r="L38">
        <v>35</v>
      </c>
      <c r="M38">
        <f>NORMSINV(K38/M$33)</f>
        <v>-2.2414027276049446</v>
      </c>
      <c r="N38">
        <f>STANDARDIZE(L38,L$34,L$35)</f>
        <v>-2.0155433583791336</v>
      </c>
      <c r="W38" s="45">
        <f t="shared" si="4"/>
        <v>76</v>
      </c>
    </row>
    <row r="39" spans="6:23">
      <c r="F39" t="s">
        <v>92</v>
      </c>
      <c r="G39">
        <f>AVEDEV(W4:W43)</f>
        <v>13.789999999999997</v>
      </c>
      <c r="K39">
        <f>K38+2</f>
        <v>3</v>
      </c>
      <c r="L39">
        <v>38</v>
      </c>
      <c r="M39">
        <f t="shared" ref="M39:M77" si="5">NORMSINV(K39/M$33)</f>
        <v>-1.7804643416920256</v>
      </c>
      <c r="N39">
        <f t="shared" ref="N39:N77" si="6">STANDARDIZE(L39,L$34,L$35)</f>
        <v>-1.8345065297822056</v>
      </c>
      <c r="W39" s="45">
        <f t="shared" si="4"/>
        <v>78</v>
      </c>
    </row>
    <row r="40" spans="6:23">
      <c r="F40" t="s">
        <v>93</v>
      </c>
      <c r="G40" t="e">
        <f ca="1">[1]!MAD(W4:W43)</f>
        <v>#NAME?</v>
      </c>
      <c r="K40">
        <f t="shared" ref="K40:K77" si="7">K39+2</f>
        <v>5</v>
      </c>
      <c r="L40">
        <v>45</v>
      </c>
      <c r="M40">
        <f t="shared" si="5"/>
        <v>-1.5341205443525459</v>
      </c>
      <c r="N40">
        <f t="shared" si="6"/>
        <v>-1.4120872630560399</v>
      </c>
      <c r="W40" s="45">
        <f t="shared" si="4"/>
        <v>50</v>
      </c>
    </row>
    <row r="41" spans="6:23">
      <c r="F41" s="11" t="s">
        <v>94</v>
      </c>
      <c r="G41" s="11" t="e">
        <f ca="1">[1]!Iqr(W4:W43)</f>
        <v>#NAME?</v>
      </c>
      <c r="K41">
        <f t="shared" si="7"/>
        <v>7</v>
      </c>
      <c r="L41">
        <v>45</v>
      </c>
      <c r="M41">
        <f t="shared" si="5"/>
        <v>-1.3563117453352478</v>
      </c>
      <c r="N41">
        <f t="shared" si="6"/>
        <v>-1.4120872630560399</v>
      </c>
      <c r="W41" s="45">
        <f t="shared" si="4"/>
        <v>75</v>
      </c>
    </row>
    <row r="42" spans="6:23">
      <c r="K42">
        <f t="shared" si="7"/>
        <v>9</v>
      </c>
      <c r="L42">
        <v>45</v>
      </c>
      <c r="M42">
        <f t="shared" si="5"/>
        <v>-1.2133396224885178</v>
      </c>
      <c r="N42">
        <f t="shared" si="6"/>
        <v>-1.4120872630560399</v>
      </c>
      <c r="W42" s="45">
        <f t="shared" si="4"/>
        <v>64</v>
      </c>
    </row>
    <row r="43" spans="6:23">
      <c r="K43">
        <f t="shared" si="7"/>
        <v>11</v>
      </c>
      <c r="L43">
        <v>49</v>
      </c>
      <c r="M43">
        <f t="shared" si="5"/>
        <v>-1.091620367434168</v>
      </c>
      <c r="N43">
        <f t="shared" si="6"/>
        <v>-1.1707048249268024</v>
      </c>
      <c r="W43" s="45">
        <f t="shared" si="4"/>
        <v>86</v>
      </c>
    </row>
    <row r="44" spans="6:23">
      <c r="K44">
        <f t="shared" si="7"/>
        <v>13</v>
      </c>
      <c r="L44">
        <v>50</v>
      </c>
      <c r="M44">
        <f t="shared" si="5"/>
        <v>-0.98423496044632541</v>
      </c>
      <c r="N44">
        <f t="shared" si="6"/>
        <v>-1.110359215394493</v>
      </c>
    </row>
    <row r="45" spans="6:23">
      <c r="K45">
        <f t="shared" si="7"/>
        <v>15</v>
      </c>
      <c r="L45">
        <v>52</v>
      </c>
      <c r="M45">
        <f t="shared" si="5"/>
        <v>-0.88714655901887607</v>
      </c>
      <c r="N45">
        <f t="shared" si="6"/>
        <v>-0.98966799632987423</v>
      </c>
    </row>
    <row r="46" spans="6:23">
      <c r="K46">
        <f t="shared" si="7"/>
        <v>17</v>
      </c>
      <c r="L46">
        <v>54</v>
      </c>
      <c r="M46">
        <f t="shared" si="5"/>
        <v>-0.79777684612523825</v>
      </c>
      <c r="N46">
        <f t="shared" si="6"/>
        <v>-0.86897677726525546</v>
      </c>
    </row>
    <row r="47" spans="6:23">
      <c r="K47">
        <f t="shared" si="7"/>
        <v>19</v>
      </c>
      <c r="L47">
        <v>58</v>
      </c>
      <c r="M47">
        <f t="shared" si="5"/>
        <v>-0.71436744028018739</v>
      </c>
      <c r="N47">
        <f t="shared" si="6"/>
        <v>-0.62759433913601792</v>
      </c>
      <c r="P47" t="s">
        <v>193</v>
      </c>
    </row>
    <row r="48" spans="6:23">
      <c r="K48">
        <f t="shared" si="7"/>
        <v>21</v>
      </c>
      <c r="L48">
        <v>58</v>
      </c>
      <c r="M48">
        <f t="shared" si="5"/>
        <v>-0.63565701369758276</v>
      </c>
      <c r="N48">
        <f t="shared" si="6"/>
        <v>-0.62759433913601792</v>
      </c>
    </row>
    <row r="49" spans="11:23" ht="15" thickBot="1">
      <c r="K49">
        <f t="shared" si="7"/>
        <v>23</v>
      </c>
      <c r="L49">
        <v>59</v>
      </c>
      <c r="M49">
        <f t="shared" si="5"/>
        <v>-0.5607030318750833</v>
      </c>
      <c r="N49">
        <f t="shared" si="6"/>
        <v>-0.56724872960370853</v>
      </c>
      <c r="P49" t="s">
        <v>194</v>
      </c>
      <c r="S49" t="s">
        <v>116</v>
      </c>
      <c r="T49">
        <v>0.05</v>
      </c>
    </row>
    <row r="50" spans="11:23" ht="15" thickTop="1">
      <c r="K50">
        <f t="shared" si="7"/>
        <v>25</v>
      </c>
      <c r="L50">
        <v>59</v>
      </c>
      <c r="M50">
        <f t="shared" si="5"/>
        <v>-0.48877641111466941</v>
      </c>
      <c r="N50">
        <f t="shared" si="6"/>
        <v>-0.56724872960370853</v>
      </c>
      <c r="P50" s="76" t="s">
        <v>88</v>
      </c>
      <c r="Q50" s="76" t="s">
        <v>76</v>
      </c>
      <c r="R50" s="76" t="s">
        <v>182</v>
      </c>
      <c r="S50" s="76" t="s">
        <v>183</v>
      </c>
      <c r="T50" s="76" t="s">
        <v>195</v>
      </c>
      <c r="U50" s="76" t="s">
        <v>186</v>
      </c>
      <c r="V50" s="76" t="s">
        <v>196</v>
      </c>
      <c r="W50" s="76" t="s">
        <v>197</v>
      </c>
    </row>
    <row r="51" spans="11:23">
      <c r="K51">
        <f t="shared" si="7"/>
        <v>27</v>
      </c>
      <c r="L51">
        <v>60</v>
      </c>
      <c r="M51">
        <f t="shared" si="5"/>
        <v>-0.41929575304139605</v>
      </c>
      <c r="N51">
        <f t="shared" si="6"/>
        <v>-0.50690312007139915</v>
      </c>
      <c r="P51">
        <f>COUNT(A5:D14)</f>
        <v>40</v>
      </c>
      <c r="Q51">
        <f>AVERAGE(A5:D14)</f>
        <v>68.400000000000006</v>
      </c>
      <c r="R51">
        <f>STDEV(A5:D14)</f>
        <v>16.571213842236432</v>
      </c>
      <c r="S51">
        <f>R51/SQRT(P51)</f>
        <v>2.6201389667588639</v>
      </c>
      <c r="T51">
        <f>(Q51-T53)/S51</f>
        <v>-3.6639277999347044</v>
      </c>
      <c r="U51">
        <f>P51-1</f>
        <v>39</v>
      </c>
      <c r="V51">
        <f>ABS(Q51-T53)/R51</f>
        <v>0.57931785151016968</v>
      </c>
      <c r="W51">
        <f>SQRT(T51^2/(T51^2+U51))</f>
        <v>0.50603471310739712</v>
      </c>
    </row>
    <row r="52" spans="11:23">
      <c r="K52">
        <f t="shared" si="7"/>
        <v>29</v>
      </c>
      <c r="L52">
        <v>63</v>
      </c>
      <c r="M52">
        <f t="shared" si="5"/>
        <v>-0.35178434493515626</v>
      </c>
      <c r="N52">
        <f t="shared" si="6"/>
        <v>-0.32586629147447099</v>
      </c>
      <c r="P52" s="5"/>
      <c r="Q52" s="5"/>
      <c r="R52" s="5"/>
      <c r="S52" s="5"/>
      <c r="T52" s="5"/>
      <c r="U52" s="5"/>
      <c r="V52" s="5"/>
      <c r="W52" s="5"/>
    </row>
    <row r="53" spans="11:23" ht="15" thickBot="1">
      <c r="K53">
        <f t="shared" si="7"/>
        <v>31</v>
      </c>
      <c r="L53">
        <v>63</v>
      </c>
      <c r="M53">
        <f t="shared" si="5"/>
        <v>-0.28584087488116566</v>
      </c>
      <c r="N53">
        <f t="shared" si="6"/>
        <v>-0.32586629147447099</v>
      </c>
      <c r="P53" t="s">
        <v>198</v>
      </c>
      <c r="S53" t="s">
        <v>185</v>
      </c>
      <c r="T53">
        <v>78</v>
      </c>
    </row>
    <row r="54" spans="11:23" ht="15" thickTop="1">
      <c r="K54">
        <f t="shared" si="7"/>
        <v>33</v>
      </c>
      <c r="L54">
        <v>64</v>
      </c>
      <c r="M54">
        <f t="shared" si="5"/>
        <v>-0.22111871299757052</v>
      </c>
      <c r="N54">
        <f t="shared" si="6"/>
        <v>-0.26552068194216161</v>
      </c>
      <c r="P54" s="76" t="s">
        <v>199</v>
      </c>
      <c r="Q54" s="76" t="s">
        <v>200</v>
      </c>
      <c r="R54" s="76" t="s">
        <v>201</v>
      </c>
      <c r="S54" s="76" t="s">
        <v>103</v>
      </c>
      <c r="T54" s="76" t="s">
        <v>104</v>
      </c>
      <c r="U54" s="76" t="s">
        <v>948</v>
      </c>
    </row>
    <row r="55" spans="11:23">
      <c r="K55">
        <f t="shared" si="7"/>
        <v>35</v>
      </c>
      <c r="L55">
        <v>64</v>
      </c>
      <c r="M55">
        <f t="shared" si="5"/>
        <v>-0.1573106846101707</v>
      </c>
      <c r="N55">
        <f t="shared" si="6"/>
        <v>-0.26552068194216161</v>
      </c>
      <c r="P55" t="s">
        <v>203</v>
      </c>
      <c r="Q55">
        <f>TDIST(ABS(T51),U51,1)</f>
        <v>3.6855131038946804E-4</v>
      </c>
      <c r="R55">
        <f>TINV(T49*2,U51)</f>
        <v>1.6848751217112248</v>
      </c>
      <c r="U55" s="34" t="str">
        <f>IF(Q55&lt;T49,"yes","no")</f>
        <v>yes</v>
      </c>
    </row>
    <row r="56" spans="11:23">
      <c r="K56">
        <f t="shared" si="7"/>
        <v>37</v>
      </c>
      <c r="L56">
        <v>64</v>
      </c>
      <c r="M56">
        <f t="shared" si="5"/>
        <v>-9.4137414323536367E-2</v>
      </c>
      <c r="N56">
        <f t="shared" si="6"/>
        <v>-0.26552068194216161</v>
      </c>
      <c r="P56" t="s">
        <v>204</v>
      </c>
      <c r="Q56">
        <f>TDIST(ABS(T51),U51,2)</f>
        <v>7.3710262077893607E-4</v>
      </c>
      <c r="R56">
        <f>TINV(T49,U51)</f>
        <v>2.0226909200367595</v>
      </c>
      <c r="S56">
        <f>Q51-R56*S51</f>
        <v>63.100268702702351</v>
      </c>
      <c r="T56">
        <f>Q51+R56*S51</f>
        <v>73.69973129729766</v>
      </c>
      <c r="U56" s="34" t="str">
        <f>IF(Q56&lt;T49,"yes","no")</f>
        <v>yes</v>
      </c>
    </row>
    <row r="57" spans="11:23">
      <c r="K57">
        <f t="shared" si="7"/>
        <v>39</v>
      </c>
      <c r="L57">
        <v>68</v>
      </c>
      <c r="M57">
        <f t="shared" si="5"/>
        <v>-3.1337982021426625E-2</v>
      </c>
      <c r="N57">
        <f t="shared" si="6"/>
        <v>-2.4138243812924096E-2</v>
      </c>
    </row>
    <row r="58" spans="11:23">
      <c r="K58">
        <f t="shared" si="7"/>
        <v>41</v>
      </c>
      <c r="L58">
        <v>68</v>
      </c>
      <c r="M58">
        <f t="shared" si="5"/>
        <v>3.1337982021426479E-2</v>
      </c>
      <c r="N58">
        <f t="shared" si="6"/>
        <v>-2.4138243812924096E-2</v>
      </c>
    </row>
    <row r="59" spans="11:23">
      <c r="K59">
        <f t="shared" si="7"/>
        <v>43</v>
      </c>
      <c r="L59">
        <v>68</v>
      </c>
      <c r="M59">
        <f t="shared" si="5"/>
        <v>9.4137414323536367E-2</v>
      </c>
      <c r="N59">
        <f t="shared" si="6"/>
        <v>-2.4138243812924096E-2</v>
      </c>
      <c r="P59" s="1" t="s">
        <v>669</v>
      </c>
    </row>
    <row r="60" spans="11:23">
      <c r="K60">
        <f t="shared" si="7"/>
        <v>45</v>
      </c>
      <c r="L60">
        <v>72</v>
      </c>
      <c r="M60">
        <f t="shared" si="5"/>
        <v>0.1573106846101707</v>
      </c>
      <c r="N60">
        <f t="shared" si="6"/>
        <v>0.21724419431631342</v>
      </c>
    </row>
    <row r="61" spans="11:23">
      <c r="K61">
        <f t="shared" si="7"/>
        <v>47</v>
      </c>
      <c r="L61">
        <v>75</v>
      </c>
      <c r="M61">
        <f t="shared" si="5"/>
        <v>0.22111871299757052</v>
      </c>
      <c r="N61">
        <f t="shared" si="6"/>
        <v>0.39828102291324158</v>
      </c>
      <c r="P61" t="s">
        <v>169</v>
      </c>
      <c r="Q61" s="542" t="e">
        <f ca="1">[1]!CONFIDENCE_T(T49,R51,P51)</f>
        <v>#NAME?</v>
      </c>
      <c r="S61" s="542" t="e">
        <f ca="1">[1]!T_CONF(A5:D14,T49)</f>
        <v>#NAME?</v>
      </c>
    </row>
    <row r="62" spans="11:23">
      <c r="K62">
        <f t="shared" si="7"/>
        <v>49</v>
      </c>
      <c r="L62">
        <v>75</v>
      </c>
      <c r="M62">
        <f t="shared" si="5"/>
        <v>0.28584087488116572</v>
      </c>
      <c r="N62">
        <f t="shared" si="6"/>
        <v>0.39828102291324158</v>
      </c>
      <c r="P62" t="s">
        <v>103</v>
      </c>
      <c r="Q62" s="627" t="e">
        <f ca="1">Q51-Q61</f>
        <v>#NAME?</v>
      </c>
      <c r="S62" s="627" t="e">
        <f ca="1">[1]!T_lower(A5:D14,T49)</f>
        <v>#NAME?</v>
      </c>
    </row>
    <row r="63" spans="11:23">
      <c r="K63">
        <f t="shared" si="7"/>
        <v>51</v>
      </c>
      <c r="L63">
        <v>76</v>
      </c>
      <c r="M63">
        <f t="shared" si="5"/>
        <v>0.35178434493515615</v>
      </c>
      <c r="N63">
        <f t="shared" si="6"/>
        <v>0.45862663244555096</v>
      </c>
      <c r="P63" t="s">
        <v>104</v>
      </c>
      <c r="Q63" s="544" t="e">
        <f ca="1">Q51+Q61</f>
        <v>#NAME?</v>
      </c>
      <c r="S63" s="544" t="e">
        <f ca="1">[1]!T_upper(A5:D14,T49)</f>
        <v>#NAME?</v>
      </c>
    </row>
    <row r="64" spans="11:23">
      <c r="K64">
        <f t="shared" si="7"/>
        <v>53</v>
      </c>
      <c r="L64">
        <v>76</v>
      </c>
      <c r="M64">
        <f t="shared" si="5"/>
        <v>0.41929575304139605</v>
      </c>
      <c r="N64">
        <f t="shared" si="6"/>
        <v>0.45862663244555096</v>
      </c>
    </row>
    <row r="65" spans="11:14">
      <c r="K65">
        <f t="shared" si="7"/>
        <v>55</v>
      </c>
      <c r="L65">
        <v>78</v>
      </c>
      <c r="M65">
        <f t="shared" si="5"/>
        <v>0.48877641111466941</v>
      </c>
      <c r="N65">
        <f t="shared" si="6"/>
        <v>0.57931785151016968</v>
      </c>
    </row>
    <row r="66" spans="11:14">
      <c r="K66">
        <f t="shared" si="7"/>
        <v>57</v>
      </c>
      <c r="L66">
        <v>80</v>
      </c>
      <c r="M66">
        <f t="shared" si="5"/>
        <v>0.5607030318750833</v>
      </c>
      <c r="N66">
        <f t="shared" si="6"/>
        <v>0.70000907057478845</v>
      </c>
    </row>
    <row r="67" spans="11:14">
      <c r="K67">
        <f t="shared" si="7"/>
        <v>59</v>
      </c>
      <c r="L67">
        <v>81</v>
      </c>
      <c r="M67">
        <f t="shared" si="5"/>
        <v>0.63565701369758265</v>
      </c>
      <c r="N67">
        <f t="shared" si="6"/>
        <v>0.76035468010709784</v>
      </c>
    </row>
    <row r="68" spans="11:14">
      <c r="K68">
        <f t="shared" si="7"/>
        <v>61</v>
      </c>
      <c r="L68">
        <v>83</v>
      </c>
      <c r="M68">
        <f t="shared" si="5"/>
        <v>0.71436744028018784</v>
      </c>
      <c r="N68">
        <f t="shared" si="6"/>
        <v>0.88104589917171661</v>
      </c>
    </row>
    <row r="69" spans="11:14">
      <c r="K69">
        <f t="shared" si="7"/>
        <v>63</v>
      </c>
      <c r="L69">
        <v>84</v>
      </c>
      <c r="M69">
        <f t="shared" si="5"/>
        <v>0.79777684612523825</v>
      </c>
      <c r="N69">
        <f t="shared" si="6"/>
        <v>0.94139150870402599</v>
      </c>
    </row>
    <row r="70" spans="11:14">
      <c r="K70">
        <f t="shared" si="7"/>
        <v>65</v>
      </c>
      <c r="L70">
        <v>86</v>
      </c>
      <c r="M70">
        <f t="shared" si="5"/>
        <v>0.88714655901887607</v>
      </c>
      <c r="N70">
        <f t="shared" si="6"/>
        <v>1.0620827277686449</v>
      </c>
    </row>
    <row r="71" spans="11:14">
      <c r="K71">
        <f t="shared" si="7"/>
        <v>67</v>
      </c>
      <c r="L71">
        <v>87</v>
      </c>
      <c r="M71">
        <f t="shared" si="5"/>
        <v>0.98423496044632541</v>
      </c>
      <c r="N71">
        <f t="shared" si="6"/>
        <v>1.1224283373009543</v>
      </c>
    </row>
    <row r="72" spans="11:14">
      <c r="K72">
        <f t="shared" si="7"/>
        <v>69</v>
      </c>
      <c r="L72">
        <v>87</v>
      </c>
      <c r="M72">
        <f t="shared" si="5"/>
        <v>1.0916203674341685</v>
      </c>
      <c r="N72">
        <f t="shared" si="6"/>
        <v>1.1224283373009543</v>
      </c>
    </row>
    <row r="73" spans="11:14">
      <c r="K73">
        <f t="shared" si="7"/>
        <v>71</v>
      </c>
      <c r="L73">
        <v>90</v>
      </c>
      <c r="M73">
        <f t="shared" si="5"/>
        <v>1.213339622488518</v>
      </c>
      <c r="N73">
        <f t="shared" si="6"/>
        <v>1.3034651658978822</v>
      </c>
    </row>
    <row r="74" spans="11:14">
      <c r="K74">
        <f t="shared" si="7"/>
        <v>73</v>
      </c>
      <c r="L74">
        <v>90</v>
      </c>
      <c r="M74">
        <f t="shared" si="5"/>
        <v>1.3563117453352478</v>
      </c>
      <c r="N74">
        <f t="shared" si="6"/>
        <v>1.3034651658978822</v>
      </c>
    </row>
    <row r="75" spans="11:14">
      <c r="K75">
        <f t="shared" si="7"/>
        <v>75</v>
      </c>
      <c r="L75">
        <v>92</v>
      </c>
      <c r="M75">
        <f t="shared" si="5"/>
        <v>1.5341205443525465</v>
      </c>
      <c r="N75">
        <f t="shared" si="6"/>
        <v>1.424156384962501</v>
      </c>
    </row>
    <row r="76" spans="11:14">
      <c r="K76">
        <f t="shared" si="7"/>
        <v>77</v>
      </c>
      <c r="L76">
        <v>95</v>
      </c>
      <c r="M76">
        <f t="shared" si="5"/>
        <v>1.7804643416920258</v>
      </c>
      <c r="N76">
        <f t="shared" si="6"/>
        <v>1.6051932135594291</v>
      </c>
    </row>
    <row r="77" spans="11:14">
      <c r="K77">
        <f t="shared" si="7"/>
        <v>79</v>
      </c>
      <c r="L77">
        <v>100</v>
      </c>
      <c r="M77">
        <f t="shared" si="5"/>
        <v>2.2414027276049464</v>
      </c>
      <c r="N77">
        <f t="shared" si="6"/>
        <v>1.906921261220976</v>
      </c>
    </row>
  </sheetData>
  <sortState ref="K4:K14">
    <sortCondition ref="K19"/>
  </sortState>
  <pageMargins left="0.7" right="0.7" top="0.75" bottom="0.75" header="0.3" footer="0.3"/>
  <pageSetup paperSize="9" orientation="portrait" horizontalDpi="300" verticalDpi="300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>
  <sheetPr codeName="Sheet26"/>
  <dimension ref="A1:T46"/>
  <sheetViews>
    <sheetView workbookViewId="0"/>
  </sheetViews>
  <sheetFormatPr defaultRowHeight="14.4"/>
  <cols>
    <col min="16" max="16" width="28.88671875" customWidth="1"/>
    <col min="19" max="19" width="17.5546875" customWidth="1"/>
  </cols>
  <sheetData>
    <row r="1" spans="1:20">
      <c r="A1" s="1" t="s">
        <v>214</v>
      </c>
    </row>
    <row r="2" spans="1:20">
      <c r="S2" t="s">
        <v>215</v>
      </c>
      <c r="T2" s="542" t="e">
        <f ca="1">[1]!var_pooled(A4:A13,B4:B13)</f>
        <v>#NAME?</v>
      </c>
    </row>
    <row r="3" spans="1:20">
      <c r="A3" s="231" t="s">
        <v>216</v>
      </c>
      <c r="B3" s="231" t="s">
        <v>217</v>
      </c>
      <c r="S3" t="s">
        <v>1905</v>
      </c>
      <c r="T3" s="627">
        <f>TTEST(A4:A13,B4:B13,2,2)</f>
        <v>4.3052716529839448E-2</v>
      </c>
    </row>
    <row r="4" spans="1:20">
      <c r="A4" s="229">
        <v>13</v>
      </c>
      <c r="B4" s="229">
        <v>12</v>
      </c>
      <c r="L4" s="34" t="s">
        <v>216</v>
      </c>
      <c r="M4" s="34" t="s">
        <v>217</v>
      </c>
      <c r="N4" s="1326"/>
      <c r="S4" t="s">
        <v>1906</v>
      </c>
      <c r="T4" s="544">
        <f>TTEST(A4:A13,B4:B13,2,3)</f>
        <v>4.3456054667330164E-2</v>
      </c>
    </row>
    <row r="5" spans="1:20">
      <c r="A5" s="117">
        <v>17</v>
      </c>
      <c r="B5" s="117">
        <v>8</v>
      </c>
      <c r="K5" t="s">
        <v>160</v>
      </c>
      <c r="L5">
        <f>MIN(A4:A13)</f>
        <v>9</v>
      </c>
      <c r="M5">
        <f>MIN(B4:B13)</f>
        <v>4</v>
      </c>
    </row>
    <row r="6" spans="1:20">
      <c r="A6" s="117">
        <v>19</v>
      </c>
      <c r="B6" s="117">
        <v>6</v>
      </c>
      <c r="K6" t="s">
        <v>161</v>
      </c>
      <c r="L6">
        <f>QUARTILE(A4:A13,1)-L5</f>
        <v>3.25</v>
      </c>
      <c r="M6">
        <f>QUARTILE(B4:B13,1)-M5</f>
        <v>4.5</v>
      </c>
    </row>
    <row r="7" spans="1:20">
      <c r="A7" s="117">
        <v>11</v>
      </c>
      <c r="B7" s="117">
        <v>16</v>
      </c>
      <c r="K7" t="s">
        <v>162</v>
      </c>
      <c r="L7">
        <f>MEDIAN(A4:A13)-QUARTILE(A4:A13,1)</f>
        <v>3.25</v>
      </c>
      <c r="M7">
        <f>MEDIAN(B4:B13)-QUARTILE(B4:B13,1)</f>
        <v>3</v>
      </c>
    </row>
    <row r="8" spans="1:20">
      <c r="A8" s="117">
        <v>20</v>
      </c>
      <c r="B8" s="117">
        <v>12</v>
      </c>
      <c r="K8" t="s">
        <v>163</v>
      </c>
      <c r="L8">
        <f>QUARTILE(A4:A13,3)-MEDIAN(A4:A13)</f>
        <v>2.25</v>
      </c>
      <c r="M8">
        <f>QUARTILE(B4:B13,3)-MEDIAN(B4:B13)</f>
        <v>2</v>
      </c>
    </row>
    <row r="9" spans="1:20">
      <c r="A9" s="117">
        <v>15</v>
      </c>
      <c r="B9" s="117">
        <v>14</v>
      </c>
      <c r="K9" t="s">
        <v>164</v>
      </c>
      <c r="L9">
        <f>MAX(A4:A13)-QUARTILE(A4:A13,3)</f>
        <v>2.25</v>
      </c>
      <c r="M9">
        <f>MAX(B4:B13)-QUARTILE(B4:B13,3)</f>
        <v>4.5</v>
      </c>
    </row>
    <row r="10" spans="1:20">
      <c r="A10" s="117">
        <v>18</v>
      </c>
      <c r="B10" s="117">
        <v>10</v>
      </c>
    </row>
    <row r="11" spans="1:20">
      <c r="A11" s="117">
        <v>9</v>
      </c>
      <c r="B11" s="117">
        <v>18</v>
      </c>
    </row>
    <row r="12" spans="1:20">
      <c r="A12" s="117">
        <v>12</v>
      </c>
      <c r="B12" s="117">
        <v>4</v>
      </c>
    </row>
    <row r="13" spans="1:20">
      <c r="A13" s="230">
        <v>16</v>
      </c>
      <c r="B13" s="230">
        <v>11</v>
      </c>
    </row>
    <row r="14" spans="1:20">
      <c r="A14" s="34"/>
      <c r="B14" s="34"/>
    </row>
    <row r="15" spans="1:20">
      <c r="A15" s="34">
        <f>COUNT(A4:A13)</f>
        <v>10</v>
      </c>
      <c r="B15" s="34">
        <f>COUNT(B4:B13)</f>
        <v>10</v>
      </c>
      <c r="C15" t="s">
        <v>65</v>
      </c>
    </row>
    <row r="16" spans="1:20">
      <c r="A16" s="34">
        <f>AVERAGE(A4:A13)</f>
        <v>15</v>
      </c>
      <c r="B16" s="34">
        <f>AVERAGE(B4:B13)</f>
        <v>11.1</v>
      </c>
      <c r="C16" t="s">
        <v>63</v>
      </c>
    </row>
    <row r="17" spans="1:18">
      <c r="A17">
        <f>VAR(A4:A13)</f>
        <v>13.333333333333334</v>
      </c>
      <c r="B17">
        <f>VAR(B4:B13)</f>
        <v>18.766666666666676</v>
      </c>
      <c r="C17" t="s">
        <v>1533</v>
      </c>
    </row>
    <row r="18" spans="1:18">
      <c r="E18" t="s">
        <v>219</v>
      </c>
      <c r="P18" t="s">
        <v>220</v>
      </c>
    </row>
    <row r="19" spans="1:18" ht="15" thickBot="1"/>
    <row r="20" spans="1:18" ht="15" thickBot="1">
      <c r="E20" t="s">
        <v>194</v>
      </c>
      <c r="H20" t="s">
        <v>221</v>
      </c>
      <c r="I20">
        <v>0</v>
      </c>
      <c r="P20" s="27"/>
      <c r="Q20" s="27" t="s">
        <v>216</v>
      </c>
      <c r="R20" s="27" t="s">
        <v>217</v>
      </c>
    </row>
    <row r="21" spans="1:18" ht="15" thickTop="1">
      <c r="E21" s="1151" t="s">
        <v>222</v>
      </c>
      <c r="F21" s="1151" t="s">
        <v>88</v>
      </c>
      <c r="G21" s="1151" t="s">
        <v>76</v>
      </c>
      <c r="H21" s="1151" t="s">
        <v>223</v>
      </c>
      <c r="I21" s="1151" t="s">
        <v>196</v>
      </c>
      <c r="P21" s="28" t="s">
        <v>76</v>
      </c>
      <c r="Q21" s="28">
        <v>15</v>
      </c>
      <c r="R21" s="28">
        <v>11.1</v>
      </c>
    </row>
    <row r="22" spans="1:18">
      <c r="E22" t="str">
        <f>A3</f>
        <v>New</v>
      </c>
      <c r="F22">
        <f>COUNT(A4:A13)</f>
        <v>10</v>
      </c>
      <c r="G22">
        <f>AVERAGE(A4:A13)</f>
        <v>15</v>
      </c>
      <c r="H22">
        <f>VAR(A4:A13)</f>
        <v>13.333333333333334</v>
      </c>
      <c r="P22" s="28" t="s">
        <v>223</v>
      </c>
      <c r="Q22" s="28">
        <v>13.333333333333334</v>
      </c>
      <c r="R22" s="28">
        <v>18.766666666666676</v>
      </c>
    </row>
    <row r="23" spans="1:18">
      <c r="E23" t="str">
        <f>B3</f>
        <v>Old</v>
      </c>
      <c r="F23">
        <f>COUNT(B4:B13)</f>
        <v>10</v>
      </c>
      <c r="G23">
        <f>AVERAGE(B4:B13)</f>
        <v>11.1</v>
      </c>
      <c r="H23">
        <f>VAR(B4:B13)</f>
        <v>18.766666666666676</v>
      </c>
      <c r="P23" s="28" t="s">
        <v>224</v>
      </c>
      <c r="Q23" s="28">
        <v>10</v>
      </c>
      <c r="R23" s="28">
        <v>10</v>
      </c>
    </row>
    <row r="24" spans="1:18">
      <c r="E24" s="1152" t="s">
        <v>225</v>
      </c>
      <c r="F24" s="1152"/>
      <c r="G24" s="1152"/>
      <c r="H24" s="1152">
        <f>((F22-1)*H22+(F23-1)*H23)/(F22+F23-2)</f>
        <v>16.050000000000004</v>
      </c>
      <c r="I24" s="1152">
        <f>ABS(G22-G23-I20)/SQRT(H24)</f>
        <v>0.97348012378366977</v>
      </c>
      <c r="P24" s="28" t="s">
        <v>226</v>
      </c>
      <c r="Q24" s="28">
        <v>16.050000000000004</v>
      </c>
      <c r="R24" s="28"/>
    </row>
    <row r="25" spans="1:18">
      <c r="P25" s="28" t="s">
        <v>227</v>
      </c>
      <c r="Q25" s="28">
        <v>0</v>
      </c>
      <c r="R25" s="28"/>
    </row>
    <row r="26" spans="1:18" ht="15" thickBot="1">
      <c r="E26" t="s">
        <v>228</v>
      </c>
      <c r="I26" t="s">
        <v>116</v>
      </c>
      <c r="J26">
        <v>0.05</v>
      </c>
      <c r="P26" s="28" t="s">
        <v>186</v>
      </c>
      <c r="Q26" s="28">
        <v>18</v>
      </c>
      <c r="R26" s="28"/>
    </row>
    <row r="27" spans="1:18" ht="15" thickTop="1">
      <c r="E27" s="1151" t="s">
        <v>199</v>
      </c>
      <c r="F27" s="1151" t="s">
        <v>1469</v>
      </c>
      <c r="G27" s="1151" t="s">
        <v>264</v>
      </c>
      <c r="H27" s="1151" t="s">
        <v>186</v>
      </c>
      <c r="I27" s="1151" t="s">
        <v>200</v>
      </c>
      <c r="J27" s="1151" t="s">
        <v>201</v>
      </c>
      <c r="K27" s="1151" t="s">
        <v>103</v>
      </c>
      <c r="L27" s="1151" t="s">
        <v>104</v>
      </c>
      <c r="M27" s="1151" t="s">
        <v>948</v>
      </c>
      <c r="N27" s="1151" t="s">
        <v>1478</v>
      </c>
      <c r="P27" s="28" t="s">
        <v>229</v>
      </c>
      <c r="Q27" s="28">
        <v>2.1767677315251954</v>
      </c>
      <c r="R27" s="28"/>
    </row>
    <row r="28" spans="1:18">
      <c r="E28" t="s">
        <v>203</v>
      </c>
      <c r="F28">
        <f>SQRT(H24*(1/F22+1/F23))</f>
        <v>1.791647286716892</v>
      </c>
      <c r="G28">
        <f>(ABS(G22-G23-I20))/F28</f>
        <v>2.1767677315251954</v>
      </c>
      <c r="H28">
        <f>F22+F23-2</f>
        <v>18</v>
      </c>
      <c r="I28">
        <f>TDIST(G28,H28,1)</f>
        <v>2.1526358264919755E-2</v>
      </c>
      <c r="J28">
        <f>TINV(J26*2,H28)</f>
        <v>1.7340636066175394</v>
      </c>
      <c r="M28" s="1328" t="str">
        <f>IF(I28&lt;J26,"yes","no")</f>
        <v>yes</v>
      </c>
      <c r="N28">
        <f>SQRT(G28^2/(G28^2+H28))</f>
        <v>0.45649174169340528</v>
      </c>
      <c r="P28" s="28" t="s">
        <v>230</v>
      </c>
      <c r="Q28" s="28">
        <v>2.1526357640125757E-2</v>
      </c>
      <c r="R28" s="28"/>
    </row>
    <row r="29" spans="1:18">
      <c r="E29" t="s">
        <v>204</v>
      </c>
      <c r="F29">
        <f>F28</f>
        <v>1.791647286716892</v>
      </c>
      <c r="G29">
        <f>G28</f>
        <v>2.1767677315251954</v>
      </c>
      <c r="H29">
        <f>H28</f>
        <v>18</v>
      </c>
      <c r="I29">
        <f>TDIST(G29,H29,2)</f>
        <v>4.305271652983951E-2</v>
      </c>
      <c r="J29">
        <f>TINV(J26,H29)</f>
        <v>2.1009220402410378</v>
      </c>
      <c r="K29">
        <f>(G22-G23)-J29*F29</f>
        <v>0.13588872699842813</v>
      </c>
      <c r="L29">
        <f>(G22-G23)+J29*F29</f>
        <v>7.6641112730015726</v>
      </c>
      <c r="M29" s="1328" t="str">
        <f>IF(I29&lt;J26,"yes","no")</f>
        <v>yes</v>
      </c>
      <c r="N29">
        <f>N28</f>
        <v>0.45649174169340528</v>
      </c>
      <c r="P29" s="28" t="s">
        <v>231</v>
      </c>
      <c r="Q29" s="28">
        <v>1.7340635923093939</v>
      </c>
      <c r="R29" s="28"/>
    </row>
    <row r="30" spans="1:18">
      <c r="E30" s="1152"/>
      <c r="F30" s="1152"/>
      <c r="G30" s="1152"/>
      <c r="H30" s="1152"/>
      <c r="I30" s="1152"/>
      <c r="J30" s="1152"/>
      <c r="K30" s="1152"/>
      <c r="L30" s="1152"/>
      <c r="M30" s="1152"/>
      <c r="N30" s="1152"/>
      <c r="P30" s="28" t="s">
        <v>232</v>
      </c>
      <c r="Q30" s="28">
        <v>4.3052715280251515E-2</v>
      </c>
      <c r="R30" s="28"/>
    </row>
    <row r="31" spans="1:18" ht="15" thickBot="1">
      <c r="E31" t="s">
        <v>233</v>
      </c>
      <c r="I31" t="s">
        <v>116</v>
      </c>
      <c r="J31">
        <f>J26</f>
        <v>0.05</v>
      </c>
      <c r="P31" s="31" t="s">
        <v>234</v>
      </c>
      <c r="Q31" s="31">
        <v>2.1009220368611805</v>
      </c>
      <c r="R31" s="31"/>
    </row>
    <row r="32" spans="1:18" ht="15" thickTop="1">
      <c r="E32" s="1151" t="s">
        <v>199</v>
      </c>
      <c r="F32" s="1151" t="s">
        <v>1469</v>
      </c>
      <c r="G32" s="1151" t="s">
        <v>264</v>
      </c>
      <c r="H32" s="1151" t="s">
        <v>186</v>
      </c>
      <c r="I32" s="1151" t="s">
        <v>200</v>
      </c>
      <c r="J32" s="1151" t="s">
        <v>201</v>
      </c>
      <c r="K32" s="1151" t="s">
        <v>103</v>
      </c>
      <c r="L32" s="1151" t="s">
        <v>104</v>
      </c>
      <c r="M32" s="1151" t="s">
        <v>948</v>
      </c>
      <c r="N32" s="1151" t="s">
        <v>1478</v>
      </c>
    </row>
    <row r="33" spans="5:18">
      <c r="E33" t="s">
        <v>203</v>
      </c>
      <c r="F33">
        <f>SQRT(H22/F22+H23/F23)</f>
        <v>1.791647286716892</v>
      </c>
      <c r="G33">
        <f>(ABS(G22-G23-I20))/F33</f>
        <v>2.1767677315251954</v>
      </c>
      <c r="H33">
        <f>(H22/F22+H23/F23)^2/((H22/F22)^2/(F22-1)+(H23/F23)^2/(F23-1))</f>
        <v>17.498665531722185</v>
      </c>
      <c r="I33">
        <f>TTEST(A4:A13,B4:B13,1,3)</f>
        <v>2.1728027333665082E-2</v>
      </c>
      <c r="J33">
        <f>TINV(J31*2,ROUND(H33,0))</f>
        <v>1.7396067260750732</v>
      </c>
      <c r="M33" s="1328" t="str">
        <f>IF(I33&lt;J31,"yes","no")</f>
        <v>yes</v>
      </c>
      <c r="N33">
        <f>SQRT(G33^2/(G33^2+H33))</f>
        <v>0.46160888127315064</v>
      </c>
    </row>
    <row r="34" spans="5:18">
      <c r="E34" t="s">
        <v>204</v>
      </c>
      <c r="F34">
        <f>F33</f>
        <v>1.791647286716892</v>
      </c>
      <c r="G34">
        <f>G33</f>
        <v>2.1767677315251954</v>
      </c>
      <c r="H34">
        <f>H33</f>
        <v>17.498665531722185</v>
      </c>
      <c r="I34">
        <f>TTEST(A4:A13,B4:B13,2,3)</f>
        <v>4.3456054667330164E-2</v>
      </c>
      <c r="J34">
        <f>TINV(J31,ROUND(H34,0))</f>
        <v>2.109815577833317</v>
      </c>
      <c r="K34">
        <f>(G22-G23)-J34*F34</f>
        <v>0.1199546445019064</v>
      </c>
      <c r="L34">
        <f>(G22-G23)+J34*F34</f>
        <v>7.6800453554980948</v>
      </c>
      <c r="M34" s="1328" t="str">
        <f>IF(I34&lt;J31,"yes","no")</f>
        <v>yes</v>
      </c>
      <c r="N34">
        <f>N33</f>
        <v>0.46160888127315064</v>
      </c>
      <c r="P34" t="s">
        <v>235</v>
      </c>
    </row>
    <row r="35" spans="5:18" ht="15" thickBot="1">
      <c r="E35" s="1152"/>
      <c r="F35" s="1152"/>
      <c r="G35" s="1152"/>
      <c r="H35" s="1152"/>
      <c r="I35" s="1152"/>
      <c r="J35" s="1152"/>
      <c r="K35" s="1152"/>
      <c r="L35" s="1152"/>
      <c r="M35" s="1152"/>
      <c r="N35" s="1152"/>
    </row>
    <row r="36" spans="5:18">
      <c r="P36" s="27"/>
      <c r="Q36" s="27" t="s">
        <v>216</v>
      </c>
      <c r="R36" s="27" t="s">
        <v>217</v>
      </c>
    </row>
    <row r="37" spans="5:18">
      <c r="E37" t="s">
        <v>236</v>
      </c>
      <c r="P37" s="28" t="s">
        <v>76</v>
      </c>
      <c r="Q37" s="28">
        <v>15</v>
      </c>
      <c r="R37" s="28">
        <v>11.1</v>
      </c>
    </row>
    <row r="38" spans="5:18">
      <c r="P38" s="28" t="s">
        <v>223</v>
      </c>
      <c r="Q38" s="28">
        <v>13.333333333333334</v>
      </c>
      <c r="R38" s="28">
        <v>18.766666666666676</v>
      </c>
    </row>
    <row r="39" spans="5:18">
      <c r="E39" s="542">
        <f>TTEST(A4:A13,B4:B13,2,3)</f>
        <v>4.3456054667330164E-2</v>
      </c>
      <c r="G39" s="23" t="s">
        <v>237</v>
      </c>
      <c r="P39" s="28" t="s">
        <v>224</v>
      </c>
      <c r="Q39" s="28">
        <v>10</v>
      </c>
      <c r="R39" s="28">
        <v>10</v>
      </c>
    </row>
    <row r="40" spans="5:18">
      <c r="E40" s="544">
        <f>TTEST(A4:A13,B4:B13,2,2)</f>
        <v>4.3052716529839448E-2</v>
      </c>
      <c r="G40" s="23" t="s">
        <v>238</v>
      </c>
      <c r="P40" s="28" t="s">
        <v>227</v>
      </c>
      <c r="Q40" s="28">
        <v>0</v>
      </c>
      <c r="R40" s="28"/>
    </row>
    <row r="41" spans="5:18">
      <c r="P41" s="28" t="s">
        <v>186</v>
      </c>
      <c r="Q41" s="28">
        <v>17</v>
      </c>
      <c r="R41" s="28"/>
    </row>
    <row r="42" spans="5:18">
      <c r="E42" t="s">
        <v>3465</v>
      </c>
      <c r="P42" s="28" t="s">
        <v>229</v>
      </c>
      <c r="Q42" s="28">
        <v>2.1767677315251954</v>
      </c>
      <c r="R42" s="28"/>
    </row>
    <row r="43" spans="5:18">
      <c r="P43" s="28" t="s">
        <v>230</v>
      </c>
      <c r="Q43" s="28">
        <v>2.1940795132410238E-2</v>
      </c>
      <c r="R43" s="28"/>
    </row>
    <row r="44" spans="5:18">
      <c r="E44" s="1235" t="e">
        <f ca="1">[1]!var_pooled(A4:A13,B4:B13)</f>
        <v>#NAME?</v>
      </c>
      <c r="G44" s="23" t="s">
        <v>3466</v>
      </c>
      <c r="P44" s="28" t="s">
        <v>231</v>
      </c>
      <c r="Q44" s="28">
        <v>1.7396067156488346</v>
      </c>
      <c r="R44" s="28"/>
    </row>
    <row r="45" spans="5:18">
      <c r="E45" s="627" t="e">
        <f ca="1">[1]!stdev_pooled(A4:A13,B4:B13)</f>
        <v>#NAME?</v>
      </c>
      <c r="G45" s="23" t="s">
        <v>3467</v>
      </c>
      <c r="P45" s="28" t="s">
        <v>232</v>
      </c>
      <c r="Q45" s="28">
        <v>4.3881590264820476E-2</v>
      </c>
      <c r="R45" s="28"/>
    </row>
    <row r="46" spans="5:18" ht="15" thickBot="1">
      <c r="E46" s="544" t="e">
        <f ca="1">[1]!STDERR_POOLED(A4:A13,B4:B13)</f>
        <v>#NAME?</v>
      </c>
      <c r="G46" s="23" t="s">
        <v>3468</v>
      </c>
      <c r="P46" s="31" t="s">
        <v>234</v>
      </c>
      <c r="Q46" s="31">
        <v>2.1098155585926612</v>
      </c>
      <c r="R46" s="31"/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sheetPr codeName="Sheet27"/>
  <dimension ref="A1:BA53"/>
  <sheetViews>
    <sheetView workbookViewId="0"/>
  </sheetViews>
  <sheetFormatPr defaultRowHeight="14.4"/>
  <cols>
    <col min="3" max="3" width="5.6640625" customWidth="1"/>
    <col min="5" max="5" width="5.88671875" customWidth="1"/>
    <col min="6" max="6" width="28.44140625" customWidth="1"/>
    <col min="8" max="8" width="10.109375" customWidth="1"/>
    <col min="10" max="10" width="28.33203125" customWidth="1"/>
    <col min="12" max="13" width="9.88671875" customWidth="1"/>
    <col min="17" max="17" width="9.88671875" customWidth="1"/>
    <col min="24" max="48" width="3.109375" customWidth="1"/>
    <col min="49" max="49" width="6.109375" customWidth="1"/>
    <col min="52" max="52" width="3" customWidth="1"/>
    <col min="53" max="53" width="25.5546875" customWidth="1"/>
  </cols>
  <sheetData>
    <row r="1" spans="1:53">
      <c r="A1" s="1" t="s">
        <v>214</v>
      </c>
      <c r="X1" s="1" t="s">
        <v>401</v>
      </c>
    </row>
    <row r="2" spans="1:53" ht="15" thickBot="1"/>
    <row r="3" spans="1:53">
      <c r="A3" s="840" t="s">
        <v>239</v>
      </c>
      <c r="B3" s="840" t="s">
        <v>240</v>
      </c>
      <c r="C3" s="19"/>
      <c r="D3" s="19" t="s">
        <v>109</v>
      </c>
      <c r="F3" s="35" t="s">
        <v>239</v>
      </c>
      <c r="G3" s="35"/>
      <c r="J3" s="35" t="s">
        <v>240</v>
      </c>
      <c r="K3" s="35"/>
      <c r="N3" s="27" t="s">
        <v>109</v>
      </c>
      <c r="O3" s="27" t="s">
        <v>108</v>
      </c>
      <c r="X3" s="107" t="s">
        <v>28</v>
      </c>
      <c r="Y3">
        <v>23</v>
      </c>
      <c r="Z3">
        <v>15</v>
      </c>
      <c r="AA3">
        <v>16</v>
      </c>
      <c r="AB3">
        <v>25</v>
      </c>
      <c r="AC3">
        <v>20</v>
      </c>
      <c r="AD3">
        <v>17</v>
      </c>
      <c r="AE3">
        <v>18</v>
      </c>
      <c r="AF3">
        <v>14</v>
      </c>
      <c r="AG3">
        <v>12</v>
      </c>
      <c r="AH3">
        <v>19</v>
      </c>
      <c r="AI3">
        <v>21</v>
      </c>
      <c r="AJ3">
        <v>22</v>
      </c>
      <c r="AK3">
        <v>16</v>
      </c>
      <c r="AL3">
        <v>21</v>
      </c>
      <c r="AM3">
        <v>16</v>
      </c>
      <c r="AN3">
        <v>11</v>
      </c>
      <c r="AO3">
        <v>24</v>
      </c>
      <c r="AP3">
        <v>21</v>
      </c>
      <c r="AQ3">
        <v>18</v>
      </c>
      <c r="AR3">
        <v>15</v>
      </c>
      <c r="AS3">
        <v>19</v>
      </c>
      <c r="AT3">
        <v>22</v>
      </c>
      <c r="AU3">
        <v>13</v>
      </c>
      <c r="AV3">
        <v>24</v>
      </c>
      <c r="AX3" t="s">
        <v>396</v>
      </c>
      <c r="AY3">
        <f>CORREL(Y3:AV3,Y4:AV4)</f>
        <v>2.1402925123634755E-2</v>
      </c>
      <c r="BA3" s="23" t="s">
        <v>402</v>
      </c>
    </row>
    <row r="4" spans="1:53" ht="15.6">
      <c r="A4">
        <v>23</v>
      </c>
      <c r="B4">
        <v>16</v>
      </c>
      <c r="D4">
        <v>10</v>
      </c>
      <c r="F4" s="28"/>
      <c r="G4" s="28"/>
      <c r="J4" s="28"/>
      <c r="K4" s="28"/>
      <c r="N4" s="29">
        <v>10</v>
      </c>
      <c r="O4" s="28">
        <v>0</v>
      </c>
      <c r="X4" s="107" t="s">
        <v>400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X4" t="s">
        <v>397</v>
      </c>
      <c r="AY4">
        <f>SQRT((1-AY3^2)/AY6)</f>
        <v>0.21315187871521352</v>
      </c>
      <c r="BA4" s="23" t="s">
        <v>403</v>
      </c>
    </row>
    <row r="5" spans="1:53">
      <c r="A5">
        <v>15</v>
      </c>
      <c r="B5">
        <v>21</v>
      </c>
      <c r="D5">
        <f>D4+3</f>
        <v>13</v>
      </c>
      <c r="F5" s="28" t="s">
        <v>76</v>
      </c>
      <c r="G5" s="28">
        <v>18.5</v>
      </c>
      <c r="J5" s="28" t="s">
        <v>76</v>
      </c>
      <c r="K5" s="28">
        <v>18.333333333333332</v>
      </c>
      <c r="N5" s="29">
        <v>13</v>
      </c>
      <c r="O5" s="28">
        <v>1</v>
      </c>
      <c r="AX5" t="s">
        <v>398</v>
      </c>
      <c r="AY5">
        <f>(AY3-0)/AY4</f>
        <v>0.10041161847900307</v>
      </c>
      <c r="BA5" s="23" t="s">
        <v>404</v>
      </c>
    </row>
    <row r="6" spans="1:53">
      <c r="A6">
        <v>16</v>
      </c>
      <c r="B6">
        <v>16</v>
      </c>
      <c r="D6">
        <f>D5+3</f>
        <v>16</v>
      </c>
      <c r="F6" s="28" t="s">
        <v>77</v>
      </c>
      <c r="G6" s="28">
        <v>1.1247895426040888</v>
      </c>
      <c r="J6" s="28" t="s">
        <v>77</v>
      </c>
      <c r="K6" s="28">
        <v>1.2206141855225954</v>
      </c>
      <c r="N6" s="29">
        <v>16</v>
      </c>
      <c r="O6" s="28">
        <v>3</v>
      </c>
      <c r="AX6" t="s">
        <v>399</v>
      </c>
      <c r="AY6">
        <f>COUNT(Y3:AV3)-2</f>
        <v>22</v>
      </c>
      <c r="BA6" s="23" t="s">
        <v>405</v>
      </c>
    </row>
    <row r="7" spans="1:53">
      <c r="A7">
        <v>25</v>
      </c>
      <c r="B7">
        <v>11</v>
      </c>
      <c r="D7">
        <f>D6+3</f>
        <v>19</v>
      </c>
      <c r="F7" s="28" t="s">
        <v>78</v>
      </c>
      <c r="G7" s="28">
        <v>18.5</v>
      </c>
      <c r="J7" s="28" t="s">
        <v>78</v>
      </c>
      <c r="K7" s="28">
        <v>18.5</v>
      </c>
      <c r="N7" s="29">
        <v>19</v>
      </c>
      <c r="O7" s="28">
        <v>3</v>
      </c>
      <c r="AX7" t="s">
        <v>337</v>
      </c>
      <c r="AY7">
        <v>0.05</v>
      </c>
    </row>
    <row r="8" spans="1:53">
      <c r="A8">
        <v>20</v>
      </c>
      <c r="B8">
        <v>24</v>
      </c>
      <c r="D8">
        <f>D7+3</f>
        <v>22</v>
      </c>
      <c r="F8" s="28" t="s">
        <v>79</v>
      </c>
      <c r="G8" s="28" t="e">
        <v>#N/A</v>
      </c>
      <c r="J8" s="28" t="s">
        <v>79</v>
      </c>
      <c r="K8" s="28">
        <v>16</v>
      </c>
      <c r="N8" s="29">
        <v>22</v>
      </c>
      <c r="O8" s="28">
        <v>3</v>
      </c>
      <c r="AX8" t="s">
        <v>200</v>
      </c>
      <c r="AY8">
        <f>TDIST(AY5,AY6,2)</f>
        <v>0.9209269970296301</v>
      </c>
      <c r="BA8" s="23" t="s">
        <v>406</v>
      </c>
    </row>
    <row r="9" spans="1:53" ht="15" thickBot="1">
      <c r="A9">
        <v>17</v>
      </c>
      <c r="B9">
        <v>21</v>
      </c>
      <c r="F9" s="28" t="s">
        <v>80</v>
      </c>
      <c r="G9" s="28">
        <v>3.8963852712248799</v>
      </c>
      <c r="J9" s="28" t="s">
        <v>80</v>
      </c>
      <c r="K9" s="28">
        <v>4.2283315715288774</v>
      </c>
      <c r="N9" s="31" t="s">
        <v>113</v>
      </c>
      <c r="O9" s="31">
        <v>2</v>
      </c>
      <c r="AX9" t="s">
        <v>202</v>
      </c>
      <c r="AY9" s="19" t="str">
        <f>IF(AY8&lt;AY7,"yes","no")</f>
        <v>no</v>
      </c>
      <c r="BA9" s="23" t="s">
        <v>407</v>
      </c>
    </row>
    <row r="10" spans="1:53">
      <c r="A10">
        <v>18</v>
      </c>
      <c r="B10">
        <v>18</v>
      </c>
      <c r="F10" s="28" t="s">
        <v>81</v>
      </c>
      <c r="G10" s="28">
        <v>15.181818181818182</v>
      </c>
      <c r="J10" s="28" t="s">
        <v>81</v>
      </c>
      <c r="K10" s="28">
        <v>17.878787878787865</v>
      </c>
    </row>
    <row r="11" spans="1:53" ht="15.6">
      <c r="A11">
        <v>14</v>
      </c>
      <c r="B11">
        <v>15</v>
      </c>
      <c r="F11" s="28" t="s">
        <v>82</v>
      </c>
      <c r="G11" s="28">
        <v>-0.76628061242783874</v>
      </c>
      <c r="J11" s="28" t="s">
        <v>82</v>
      </c>
      <c r="K11" s="28">
        <v>-0.96305774202815364</v>
      </c>
      <c r="AX11" t="s">
        <v>241</v>
      </c>
    </row>
    <row r="12" spans="1:53">
      <c r="A12">
        <v>12</v>
      </c>
      <c r="B12">
        <v>19</v>
      </c>
      <c r="F12" s="28" t="s">
        <v>83</v>
      </c>
      <c r="G12" s="28">
        <v>1.2111523905001707E-17</v>
      </c>
      <c r="J12" s="28" t="s">
        <v>83</v>
      </c>
      <c r="K12" s="28">
        <v>-0.22671922756757223</v>
      </c>
    </row>
    <row r="13" spans="1:53">
      <c r="A13">
        <v>19</v>
      </c>
      <c r="B13">
        <v>22</v>
      </c>
      <c r="F13" s="28" t="s">
        <v>84</v>
      </c>
      <c r="G13" s="28">
        <v>13</v>
      </c>
      <c r="J13" s="28" t="s">
        <v>84</v>
      </c>
      <c r="K13" s="28">
        <v>13</v>
      </c>
    </row>
    <row r="14" spans="1:53" ht="15" thickBot="1">
      <c r="A14">
        <v>21</v>
      </c>
      <c r="B14">
        <v>13</v>
      </c>
      <c r="F14" s="28" t="s">
        <v>85</v>
      </c>
      <c r="G14" s="28">
        <v>12</v>
      </c>
      <c r="J14" s="28" t="s">
        <v>85</v>
      </c>
      <c r="K14" s="28">
        <v>11</v>
      </c>
    </row>
    <row r="15" spans="1:53">
      <c r="A15" s="1078">
        <v>22</v>
      </c>
      <c r="B15" s="1078">
        <v>24</v>
      </c>
      <c r="F15" s="28" t="s">
        <v>86</v>
      </c>
      <c r="G15" s="28">
        <v>25</v>
      </c>
      <c r="J15" s="28" t="s">
        <v>86</v>
      </c>
      <c r="K15" s="28">
        <v>24</v>
      </c>
      <c r="N15" s="27" t="s">
        <v>109</v>
      </c>
      <c r="O15" s="27" t="s">
        <v>108</v>
      </c>
    </row>
    <row r="16" spans="1:53">
      <c r="F16" s="28" t="s">
        <v>87</v>
      </c>
      <c r="G16" s="28">
        <v>222</v>
      </c>
      <c r="J16" s="28" t="s">
        <v>87</v>
      </c>
      <c r="K16" s="28">
        <v>220</v>
      </c>
      <c r="N16" s="29">
        <v>10</v>
      </c>
      <c r="O16" s="28">
        <v>0</v>
      </c>
    </row>
    <row r="17" spans="6:15" ht="15" thickBot="1">
      <c r="F17" s="31" t="s">
        <v>88</v>
      </c>
      <c r="G17" s="31">
        <v>12</v>
      </c>
      <c r="J17" s="31" t="s">
        <v>88</v>
      </c>
      <c r="K17" s="31">
        <v>12</v>
      </c>
      <c r="N17" s="29">
        <v>13</v>
      </c>
      <c r="O17" s="28">
        <v>2</v>
      </c>
    </row>
    <row r="18" spans="6:15">
      <c r="N18" s="29">
        <v>16</v>
      </c>
      <c r="O18" s="28">
        <v>3</v>
      </c>
    </row>
    <row r="19" spans="6:15">
      <c r="N19" s="29">
        <v>19</v>
      </c>
      <c r="O19" s="28">
        <v>2</v>
      </c>
    </row>
    <row r="20" spans="6:15">
      <c r="F20" t="s">
        <v>220</v>
      </c>
      <c r="J20" t="s">
        <v>235</v>
      </c>
      <c r="N20" s="29">
        <v>22</v>
      </c>
      <c r="O20" s="28">
        <v>3</v>
      </c>
    </row>
    <row r="21" spans="6:15" ht="15" thickBot="1">
      <c r="N21" s="31" t="s">
        <v>113</v>
      </c>
      <c r="O21" s="31">
        <v>2</v>
      </c>
    </row>
    <row r="22" spans="6:15">
      <c r="F22" s="27"/>
      <c r="G22" s="27" t="s">
        <v>239</v>
      </c>
      <c r="H22" s="27" t="s">
        <v>240</v>
      </c>
      <c r="J22" s="27"/>
      <c r="K22" s="27" t="s">
        <v>239</v>
      </c>
      <c r="L22" s="27" t="s">
        <v>240</v>
      </c>
      <c r="M22" s="91"/>
    </row>
    <row r="23" spans="6:15">
      <c r="F23" s="28" t="s">
        <v>76</v>
      </c>
      <c r="G23" s="28">
        <v>18.5</v>
      </c>
      <c r="H23" s="28">
        <v>18.333333333333332</v>
      </c>
      <c r="J23" s="28" t="s">
        <v>76</v>
      </c>
      <c r="K23" s="28">
        <v>18.5</v>
      </c>
      <c r="L23" s="28">
        <v>18.333333333333332</v>
      </c>
      <c r="M23" s="28"/>
    </row>
    <row r="24" spans="6:15">
      <c r="F24" s="28" t="s">
        <v>223</v>
      </c>
      <c r="G24" s="28">
        <v>15.181818181818182</v>
      </c>
      <c r="H24" s="28">
        <v>17.878787878787865</v>
      </c>
      <c r="J24" s="28" t="s">
        <v>223</v>
      </c>
      <c r="K24" s="28">
        <v>15.181818181818182</v>
      </c>
      <c r="L24" s="28">
        <v>17.878787878787865</v>
      </c>
      <c r="M24" s="28"/>
    </row>
    <row r="25" spans="6:15">
      <c r="F25" s="28" t="s">
        <v>224</v>
      </c>
      <c r="G25" s="28">
        <v>12</v>
      </c>
      <c r="H25" s="28">
        <v>12</v>
      </c>
      <c r="J25" s="28" t="s">
        <v>224</v>
      </c>
      <c r="K25" s="28">
        <v>12</v>
      </c>
      <c r="L25" s="28">
        <v>12</v>
      </c>
      <c r="M25" s="28"/>
    </row>
    <row r="26" spans="6:15">
      <c r="F26" s="28" t="s">
        <v>226</v>
      </c>
      <c r="G26" s="28">
        <v>16.530303030303024</v>
      </c>
      <c r="H26" s="28"/>
      <c r="J26" s="28" t="s">
        <v>227</v>
      </c>
      <c r="K26" s="28">
        <v>0</v>
      </c>
      <c r="L26" s="28"/>
      <c r="M26" s="28"/>
    </row>
    <row r="27" spans="6:15">
      <c r="F27" s="28" t="s">
        <v>227</v>
      </c>
      <c r="G27" s="28">
        <v>0</v>
      </c>
      <c r="H27" s="28"/>
      <c r="J27" s="28" t="s">
        <v>186</v>
      </c>
      <c r="K27" s="28">
        <v>22</v>
      </c>
      <c r="L27" s="28"/>
      <c r="M27" s="28"/>
    </row>
    <row r="28" spans="6:15">
      <c r="F28" s="28" t="s">
        <v>186</v>
      </c>
      <c r="G28" s="28">
        <v>22</v>
      </c>
      <c r="H28" s="28"/>
      <c r="J28" s="28" t="s">
        <v>229</v>
      </c>
      <c r="K28" s="28">
        <v>0.1004116184790038</v>
      </c>
      <c r="L28" s="28"/>
      <c r="M28" s="28"/>
    </row>
    <row r="29" spans="6:15">
      <c r="F29" s="28" t="s">
        <v>229</v>
      </c>
      <c r="G29" s="28">
        <v>0.1004116184790038</v>
      </c>
      <c r="H29" s="28"/>
      <c r="J29" s="28" t="s">
        <v>230</v>
      </c>
      <c r="K29" s="28">
        <v>0.46046349851742818</v>
      </c>
      <c r="L29" s="28"/>
      <c r="M29" s="28"/>
    </row>
    <row r="30" spans="6:15">
      <c r="F30" s="28" t="s">
        <v>230</v>
      </c>
      <c r="G30" s="28">
        <v>0.46046349851742818</v>
      </c>
      <c r="H30" s="28"/>
      <c r="J30" s="28" t="s">
        <v>231</v>
      </c>
      <c r="K30" s="28">
        <v>1.7171443354398259</v>
      </c>
      <c r="L30" s="28"/>
      <c r="M30" s="28"/>
    </row>
    <row r="31" spans="6:15">
      <c r="F31" s="28" t="s">
        <v>231</v>
      </c>
      <c r="G31" s="28">
        <v>1.7171443354398259</v>
      </c>
      <c r="H31" s="28"/>
      <c r="J31" s="28" t="s">
        <v>232</v>
      </c>
      <c r="K31" s="28">
        <v>0.92092699703485636</v>
      </c>
      <c r="L31" s="28"/>
      <c r="M31" s="28"/>
    </row>
    <row r="32" spans="6:15" ht="15" thickBot="1">
      <c r="F32" s="28" t="s">
        <v>232</v>
      </c>
      <c r="G32" s="28">
        <v>0.92092699703485636</v>
      </c>
      <c r="H32" s="28"/>
      <c r="J32" s="31" t="s">
        <v>234</v>
      </c>
      <c r="K32" s="31">
        <v>2.0738730583156064</v>
      </c>
      <c r="L32" s="31"/>
      <c r="M32" s="28"/>
    </row>
    <row r="33" spans="6:20" ht="15" thickBot="1">
      <c r="F33" s="31" t="s">
        <v>234</v>
      </c>
      <c r="G33" s="31">
        <v>2.0738730583156064</v>
      </c>
      <c r="H33" s="31"/>
    </row>
    <row r="36" spans="6:20" s="1" customFormat="1">
      <c r="J36" t="s">
        <v>219</v>
      </c>
      <c r="K36"/>
      <c r="L36"/>
      <c r="M36"/>
      <c r="N36"/>
      <c r="O36"/>
      <c r="P36"/>
      <c r="Q36"/>
      <c r="R36"/>
      <c r="S36"/>
      <c r="T36"/>
    </row>
    <row r="38" spans="6:20" ht="15" thickBot="1">
      <c r="J38" t="s">
        <v>194</v>
      </c>
      <c r="M38" t="s">
        <v>221</v>
      </c>
      <c r="N38">
        <v>0</v>
      </c>
    </row>
    <row r="39" spans="6:20" ht="15" thickTop="1">
      <c r="J39" s="1151" t="s">
        <v>222</v>
      </c>
      <c r="K39" s="1151" t="s">
        <v>88</v>
      </c>
      <c r="L39" s="1151" t="s">
        <v>76</v>
      </c>
      <c r="M39" s="1151" t="s">
        <v>223</v>
      </c>
      <c r="N39" s="1151" t="s">
        <v>196</v>
      </c>
    </row>
    <row r="40" spans="6:20">
      <c r="J40" t="str">
        <f>A3</f>
        <v>Control</v>
      </c>
      <c r="K40">
        <f>COUNT(A4:A15)</f>
        <v>12</v>
      </c>
      <c r="L40">
        <f>AVERAGE(A4:A15)</f>
        <v>18.5</v>
      </c>
      <c r="M40">
        <f>VAR(A4:A15)</f>
        <v>15.181818181818182</v>
      </c>
    </row>
    <row r="41" spans="6:20">
      <c r="J41" t="str">
        <f>B3</f>
        <v>Drug</v>
      </c>
      <c r="K41">
        <f>COUNT(B4:B15)</f>
        <v>12</v>
      </c>
      <c r="L41">
        <f>AVERAGE(B4:B15)</f>
        <v>18.333333333333332</v>
      </c>
      <c r="M41">
        <f>VAR(B4:B15)</f>
        <v>17.878787878787865</v>
      </c>
    </row>
    <row r="42" spans="6:20">
      <c r="J42" s="1152" t="s">
        <v>225</v>
      </c>
      <c r="K42" s="1152"/>
      <c r="L42" s="1152"/>
      <c r="M42" s="1152">
        <f>((K40-1)*M40+(K41-1)*M41)/(K40+K41-2)</f>
        <v>16.530303030303024</v>
      </c>
      <c r="N42" s="1152">
        <f>ABS(L40-L41-N38)/SQRT(M42)</f>
        <v>4.099287158676293E-2</v>
      </c>
    </row>
    <row r="44" spans="6:20" ht="15" thickBot="1">
      <c r="J44" t="s">
        <v>228</v>
      </c>
      <c r="N44" t="s">
        <v>116</v>
      </c>
      <c r="O44">
        <v>0.05</v>
      </c>
    </row>
    <row r="45" spans="6:20" ht="15" thickTop="1">
      <c r="J45" s="1151" t="s">
        <v>199</v>
      </c>
      <c r="K45" s="1151" t="s">
        <v>1469</v>
      </c>
      <c r="L45" s="1151" t="s">
        <v>264</v>
      </c>
      <c r="M45" s="1151" t="s">
        <v>186</v>
      </c>
      <c r="N45" s="1151" t="s">
        <v>200</v>
      </c>
      <c r="O45" s="1151" t="s">
        <v>201</v>
      </c>
      <c r="P45" s="1151" t="s">
        <v>103</v>
      </c>
      <c r="Q45" s="1151" t="s">
        <v>104</v>
      </c>
      <c r="R45" s="1151" t="s">
        <v>948</v>
      </c>
      <c r="S45" s="1151" t="s">
        <v>1478</v>
      </c>
    </row>
    <row r="46" spans="6:20">
      <c r="J46" t="s">
        <v>203</v>
      </c>
      <c r="K46">
        <f>SQRT(M42*(1/K40+1/K41))</f>
        <v>1.6598344812210957</v>
      </c>
      <c r="L46">
        <f>(ABS(L40-L41-N38))/K46</f>
        <v>0.1004116184790038</v>
      </c>
      <c r="M46">
        <f>K40+K41-2</f>
        <v>22</v>
      </c>
      <c r="N46">
        <f>TDIST(L46,M46,1)</f>
        <v>0.46046349851481477</v>
      </c>
      <c r="O46">
        <f>TINV(O44*2,M46)</f>
        <v>1.7171443743802424</v>
      </c>
      <c r="R46" s="1326" t="str">
        <f>IF(N46&lt;O44,"yes","no")</f>
        <v>no</v>
      </c>
      <c r="S46">
        <f>SQRT(L46^2/(L46^2+M46))</f>
        <v>2.1402925123634911E-2</v>
      </c>
    </row>
    <row r="47" spans="6:20">
      <c r="J47" t="s">
        <v>204</v>
      </c>
      <c r="K47">
        <f>K46</f>
        <v>1.6598344812210957</v>
      </c>
      <c r="L47">
        <f>L46</f>
        <v>0.1004116184790038</v>
      </c>
      <c r="M47">
        <f>M46</f>
        <v>22</v>
      </c>
      <c r="N47">
        <f>TDIST(L47,M47,2)</f>
        <v>0.92092699702962955</v>
      </c>
      <c r="O47">
        <f>TINV(O44,M47)</f>
        <v>2.0738730679040258</v>
      </c>
      <c r="P47">
        <f>(L40-L41)-O47*K47</f>
        <v>-3.2756193611162128</v>
      </c>
      <c r="Q47">
        <f>(L40-L41)+O47*K47</f>
        <v>3.6089526944495485</v>
      </c>
      <c r="R47" s="1326" t="str">
        <f>IF(N47&lt;O44,"yes","no")</f>
        <v>no</v>
      </c>
      <c r="S47">
        <f>S46</f>
        <v>2.1402925123634911E-2</v>
      </c>
    </row>
    <row r="48" spans="6:20">
      <c r="J48" s="1152"/>
      <c r="K48" s="1152"/>
      <c r="L48" s="1152"/>
      <c r="M48" s="1152"/>
      <c r="N48" s="1152"/>
      <c r="O48" s="1152"/>
      <c r="P48" s="1152"/>
      <c r="Q48" s="1152"/>
      <c r="R48" s="1152"/>
      <c r="S48" s="1152"/>
    </row>
    <row r="49" spans="10:19" ht="15" thickBot="1">
      <c r="J49" t="s">
        <v>233</v>
      </c>
      <c r="N49" t="s">
        <v>116</v>
      </c>
      <c r="O49">
        <f>O44</f>
        <v>0.05</v>
      </c>
    </row>
    <row r="50" spans="10:19" ht="15" thickTop="1">
      <c r="J50" s="1151" t="s">
        <v>199</v>
      </c>
      <c r="K50" s="1151" t="s">
        <v>1469</v>
      </c>
      <c r="L50" s="1151" t="s">
        <v>264</v>
      </c>
      <c r="M50" s="1151" t="s">
        <v>186</v>
      </c>
      <c r="N50" s="1151" t="s">
        <v>200</v>
      </c>
      <c r="O50" s="1151" t="s">
        <v>201</v>
      </c>
      <c r="P50" s="1151" t="s">
        <v>103</v>
      </c>
      <c r="Q50" s="1151" t="s">
        <v>104</v>
      </c>
      <c r="R50" s="1151" t="s">
        <v>948</v>
      </c>
      <c r="S50" s="1151" t="s">
        <v>1478</v>
      </c>
    </row>
    <row r="51" spans="10:19">
      <c r="J51" t="s">
        <v>203</v>
      </c>
      <c r="K51">
        <f>SQRT(M40/K40+M41/K41)</f>
        <v>1.6598344812210957</v>
      </c>
      <c r="L51">
        <f>(ABS(L40-L41-N38))/K51</f>
        <v>0.1004116184790038</v>
      </c>
      <c r="M51">
        <f>(M40/K40+M41/K41)^2/((M40/K40)^2/(K40-1)+(M41/K41)^2/(K41-1))</f>
        <v>21.854563754692446</v>
      </c>
      <c r="N51">
        <f>TTEST(A4:A15,B4:B15,1,3)</f>
        <v>0.46046650513337173</v>
      </c>
      <c r="O51">
        <f>TINV(O49*2,ROUND(M51,0))</f>
        <v>1.7171443743802424</v>
      </c>
      <c r="R51" s="1326" t="str">
        <f>IF(N51&lt;O49,"yes","no")</f>
        <v>no</v>
      </c>
      <c r="S51">
        <f>SQRT(L51^2/(L51^2+M51))</f>
        <v>2.1473989661303275E-2</v>
      </c>
    </row>
    <row r="52" spans="10:19">
      <c r="J52" t="s">
        <v>204</v>
      </c>
      <c r="K52">
        <f>K51</f>
        <v>1.6598344812210957</v>
      </c>
      <c r="L52">
        <f>L51</f>
        <v>0.1004116184790038</v>
      </c>
      <c r="M52">
        <f>M51</f>
        <v>21.854563754692446</v>
      </c>
      <c r="N52">
        <f>TTEST(A4:A15,B4:B15,2,3)</f>
        <v>0.92093301026674346</v>
      </c>
      <c r="O52">
        <f>TINV(O49,ROUND(M52,0))</f>
        <v>2.0738730679040258</v>
      </c>
      <c r="P52">
        <f>(L40-L41)-O52*K52</f>
        <v>-3.2756193611162128</v>
      </c>
      <c r="Q52">
        <f>(L40-L41)+O52*K52</f>
        <v>3.6089526944495485</v>
      </c>
      <c r="R52" s="1326" t="str">
        <f>IF(N52&lt;O49,"yes","no")</f>
        <v>no</v>
      </c>
      <c r="S52">
        <f>S51</f>
        <v>2.1473989661303275E-2</v>
      </c>
    </row>
    <row r="53" spans="10:19">
      <c r="J53" s="1152"/>
      <c r="K53" s="1152"/>
      <c r="L53" s="1152"/>
      <c r="M53" s="1152"/>
      <c r="N53" s="1152"/>
      <c r="O53" s="1152"/>
      <c r="P53" s="1152"/>
      <c r="Q53" s="1152"/>
      <c r="R53" s="1152"/>
      <c r="S53" s="1152"/>
    </row>
  </sheetData>
  <sortState ref="N16:N20">
    <sortCondition ref="N16"/>
  </sortState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sheetPr codeName="Sheet28"/>
  <dimension ref="A1:R55"/>
  <sheetViews>
    <sheetView workbookViewId="0"/>
  </sheetViews>
  <sheetFormatPr defaultRowHeight="14.4"/>
  <cols>
    <col min="16" max="16" width="28.88671875" customWidth="1"/>
    <col min="19" max="19" width="10.109375" customWidth="1"/>
  </cols>
  <sheetData>
    <row r="1" spans="1:15">
      <c r="A1" s="1" t="s">
        <v>214</v>
      </c>
    </row>
    <row r="3" spans="1:15">
      <c r="A3" s="34" t="s">
        <v>216</v>
      </c>
      <c r="B3" s="34" t="s">
        <v>217</v>
      </c>
      <c r="L3" s="46" t="s">
        <v>216</v>
      </c>
      <c r="M3" s="46" t="s">
        <v>217</v>
      </c>
      <c r="O3" s="1326"/>
    </row>
    <row r="4" spans="1:15">
      <c r="A4" s="85">
        <v>20</v>
      </c>
      <c r="B4" s="86">
        <v>12</v>
      </c>
      <c r="K4" t="s">
        <v>160</v>
      </c>
      <c r="L4">
        <f>MIN(A4:A13)</f>
        <v>2</v>
      </c>
      <c r="M4">
        <f>MIN(B4:B13)</f>
        <v>4</v>
      </c>
    </row>
    <row r="5" spans="1:15">
      <c r="A5" s="87">
        <v>32</v>
      </c>
      <c r="B5" s="88">
        <v>8</v>
      </c>
      <c r="K5" t="s">
        <v>161</v>
      </c>
      <c r="L5">
        <f>QUARTILE(A4:A13,1)-L4</f>
        <v>7.75</v>
      </c>
      <c r="M5">
        <f>QUARTILE(B4:B13,1)-M4</f>
        <v>4.5</v>
      </c>
    </row>
    <row r="6" spans="1:15">
      <c r="A6" s="87">
        <v>2</v>
      </c>
      <c r="B6" s="88">
        <v>6</v>
      </c>
      <c r="K6" t="s">
        <v>162</v>
      </c>
      <c r="L6">
        <f>MEDIAN(A4:A13)-QUARTILE(A4:A13,1)</f>
        <v>10.75</v>
      </c>
      <c r="M6">
        <f>MEDIAN(B4:B13)-QUARTILE(B4:B13,1)</f>
        <v>3</v>
      </c>
    </row>
    <row r="7" spans="1:15">
      <c r="A7" s="87">
        <v>25</v>
      </c>
      <c r="B7" s="88">
        <v>16</v>
      </c>
      <c r="K7" t="s">
        <v>163</v>
      </c>
      <c r="L7">
        <f>QUARTILE(A4:A13,3)-MEDIAN(A4:A13)</f>
        <v>6.75</v>
      </c>
      <c r="M7">
        <f>QUARTILE(B4:B13,3)-MEDIAN(B4:B13)</f>
        <v>2</v>
      </c>
    </row>
    <row r="8" spans="1:15">
      <c r="A8" s="87">
        <v>5</v>
      </c>
      <c r="B8" s="88">
        <v>12</v>
      </c>
      <c r="K8" t="s">
        <v>164</v>
      </c>
      <c r="L8">
        <f>MAX(A4:A13)-QUARTILE(A4:A13,3)</f>
        <v>12.75</v>
      </c>
      <c r="M8">
        <f>MAX(B4:B13)-QUARTILE(B4:B13,3)</f>
        <v>4.5</v>
      </c>
    </row>
    <row r="9" spans="1:15">
      <c r="A9" s="87">
        <v>18</v>
      </c>
      <c r="B9" s="88">
        <v>14</v>
      </c>
    </row>
    <row r="10" spans="1:15">
      <c r="A10" s="87">
        <v>21</v>
      </c>
      <c r="B10" s="88">
        <v>10</v>
      </c>
    </row>
    <row r="11" spans="1:15">
      <c r="A11" s="87">
        <v>7</v>
      </c>
      <c r="B11" s="88">
        <v>18</v>
      </c>
    </row>
    <row r="12" spans="1:15">
      <c r="A12" s="87">
        <v>28</v>
      </c>
      <c r="B12" s="88">
        <v>4</v>
      </c>
    </row>
    <row r="13" spans="1:15">
      <c r="A13" s="89">
        <v>40</v>
      </c>
      <c r="B13" s="90">
        <v>11</v>
      </c>
    </row>
    <row r="14" spans="1:15">
      <c r="A14" s="34"/>
      <c r="B14" s="34"/>
    </row>
    <row r="15" spans="1:15">
      <c r="A15" s="34">
        <f>COUNT(A4:A13)</f>
        <v>10</v>
      </c>
      <c r="B15" s="34">
        <f>COUNT(B4:B13)</f>
        <v>10</v>
      </c>
      <c r="C15" t="s">
        <v>65</v>
      </c>
    </row>
    <row r="16" spans="1:15">
      <c r="A16" s="34">
        <f>AVERAGE(A4:A13)</f>
        <v>19.8</v>
      </c>
      <c r="B16" s="34">
        <f>AVERAGE(B4:B13)</f>
        <v>11.1</v>
      </c>
      <c r="C16" t="s">
        <v>63</v>
      </c>
    </row>
    <row r="17" spans="1:18">
      <c r="A17">
        <f>VAR(A4:A13)</f>
        <v>150.62222222222221</v>
      </c>
      <c r="B17">
        <f>VAR(B4:B13)</f>
        <v>18.766666666666676</v>
      </c>
      <c r="C17" t="s">
        <v>1533</v>
      </c>
    </row>
    <row r="19" spans="1:18">
      <c r="E19" t="s">
        <v>219</v>
      </c>
      <c r="P19" t="s">
        <v>220</v>
      </c>
    </row>
    <row r="20" spans="1:18" ht="15" thickBot="1"/>
    <row r="21" spans="1:18" ht="15" thickBot="1">
      <c r="E21" t="s">
        <v>194</v>
      </c>
      <c r="H21" t="s">
        <v>221</v>
      </c>
      <c r="I21">
        <v>0</v>
      </c>
      <c r="P21" s="1419"/>
      <c r="Q21" s="1419" t="s">
        <v>216</v>
      </c>
      <c r="R21" s="1419" t="s">
        <v>217</v>
      </c>
    </row>
    <row r="22" spans="1:18" ht="15" thickTop="1">
      <c r="E22" s="1151" t="s">
        <v>222</v>
      </c>
      <c r="F22" s="1151" t="s">
        <v>88</v>
      </c>
      <c r="G22" s="1151" t="s">
        <v>76</v>
      </c>
      <c r="H22" s="1151" t="s">
        <v>223</v>
      </c>
      <c r="I22" s="1151" t="s">
        <v>196</v>
      </c>
      <c r="P22" s="28" t="s">
        <v>76</v>
      </c>
      <c r="Q22" s="28">
        <v>19.8</v>
      </c>
      <c r="R22" s="28">
        <v>11.1</v>
      </c>
    </row>
    <row r="23" spans="1:18">
      <c r="E23" t="str">
        <f>A3</f>
        <v>New</v>
      </c>
      <c r="F23">
        <f>COUNT(A4:A13)</f>
        <v>10</v>
      </c>
      <c r="G23">
        <f>AVERAGE(A4:A13)</f>
        <v>19.8</v>
      </c>
      <c r="H23">
        <f>VAR(A4:A13)</f>
        <v>150.62222222222221</v>
      </c>
      <c r="P23" s="28" t="s">
        <v>223</v>
      </c>
      <c r="Q23" s="28">
        <v>150.62222222222221</v>
      </c>
      <c r="R23" s="28">
        <v>18.766666666666676</v>
      </c>
    </row>
    <row r="24" spans="1:18">
      <c r="E24" t="str">
        <f>B3</f>
        <v>Old</v>
      </c>
      <c r="F24">
        <f>COUNT(B4:B13)</f>
        <v>10</v>
      </c>
      <c r="G24">
        <f>AVERAGE(B4:B13)</f>
        <v>11.1</v>
      </c>
      <c r="H24">
        <f>VAR(B4:B13)</f>
        <v>18.766666666666676</v>
      </c>
      <c r="P24" s="28" t="s">
        <v>224</v>
      </c>
      <c r="Q24" s="28">
        <v>10</v>
      </c>
      <c r="R24" s="28">
        <v>10</v>
      </c>
    </row>
    <row r="25" spans="1:18">
      <c r="E25" s="1152" t="s">
        <v>225</v>
      </c>
      <c r="F25" s="1152"/>
      <c r="G25" s="1152"/>
      <c r="H25" s="1152">
        <f>((F23-1)*H23+(F24-1)*H24)/(F23+F24-2)</f>
        <v>84.694444444444443</v>
      </c>
      <c r="I25" s="1152">
        <f>ABS(G23-G24-I21)/SQRT(H25)</f>
        <v>0.945348176499756</v>
      </c>
      <c r="P25" s="28" t="s">
        <v>226</v>
      </c>
      <c r="Q25" s="28">
        <v>84.694444444444443</v>
      </c>
      <c r="R25" s="28"/>
    </row>
    <row r="26" spans="1:18">
      <c r="P26" s="28" t="s">
        <v>227</v>
      </c>
      <c r="Q26" s="28">
        <v>0</v>
      </c>
      <c r="R26" s="28"/>
    </row>
    <row r="27" spans="1:18" ht="15" thickBot="1">
      <c r="E27" t="s">
        <v>228</v>
      </c>
      <c r="I27" t="s">
        <v>116</v>
      </c>
      <c r="J27">
        <v>0.05</v>
      </c>
      <c r="P27" s="28" t="s">
        <v>186</v>
      </c>
      <c r="Q27" s="28">
        <v>18</v>
      </c>
      <c r="R27" s="28"/>
    </row>
    <row r="28" spans="1:18" ht="15" thickTop="1">
      <c r="E28" s="1151" t="s">
        <v>199</v>
      </c>
      <c r="F28" s="1151" t="s">
        <v>1469</v>
      </c>
      <c r="G28" s="1151" t="s">
        <v>264</v>
      </c>
      <c r="H28" s="1151" t="s">
        <v>186</v>
      </c>
      <c r="I28" s="1151" t="s">
        <v>200</v>
      </c>
      <c r="J28" s="1151" t="s">
        <v>201</v>
      </c>
      <c r="K28" s="1151" t="s">
        <v>103</v>
      </c>
      <c r="L28" s="1151" t="s">
        <v>104</v>
      </c>
      <c r="M28" s="1151" t="s">
        <v>948</v>
      </c>
      <c r="N28" s="1151" t="s">
        <v>1478</v>
      </c>
      <c r="P28" s="28" t="s">
        <v>229</v>
      </c>
      <c r="Q28" s="28">
        <v>2.1138627850589233</v>
      </c>
      <c r="R28" s="28"/>
    </row>
    <row r="29" spans="1:18">
      <c r="E29" t="s">
        <v>203</v>
      </c>
      <c r="F29">
        <f>SQRT(H25*(1/F23+1/F24))</f>
        <v>4.1156881428126804</v>
      </c>
      <c r="G29">
        <f>(ABS(G23-G24-I21))/F29</f>
        <v>2.1138627850589233</v>
      </c>
      <c r="H29">
        <f>F23+F24-2</f>
        <v>18</v>
      </c>
      <c r="I29">
        <f>TDIST(G29,H29,1)</f>
        <v>2.4373360730381408E-2</v>
      </c>
      <c r="J29">
        <f>TINV(J27*2,H29)</f>
        <v>1.7340636066175394</v>
      </c>
      <c r="M29" s="1326" t="str">
        <f>IF(I29&lt;J27,"yes","no")</f>
        <v>yes</v>
      </c>
      <c r="N29">
        <f>SQRT(G29^2/(G29^2+H29))</f>
        <v>0.44595451590159751</v>
      </c>
      <c r="P29" s="28" t="s">
        <v>230</v>
      </c>
      <c r="Q29" s="28">
        <v>2.4373360730381408E-2</v>
      </c>
      <c r="R29" s="28"/>
    </row>
    <row r="30" spans="1:18">
      <c r="E30" t="s">
        <v>204</v>
      </c>
      <c r="F30">
        <f>F29</f>
        <v>4.1156881428126804</v>
      </c>
      <c r="G30">
        <f>G29</f>
        <v>2.1138627850589233</v>
      </c>
      <c r="H30">
        <f>H29</f>
        <v>18</v>
      </c>
      <c r="I30">
        <f>TDIST(G30,H30,2)</f>
        <v>4.8746721460762817E-2</v>
      </c>
      <c r="J30">
        <f>TINV(J27,H30)</f>
        <v>2.1009220402410378</v>
      </c>
      <c r="K30">
        <f>(G23-G24)-J30*F30</f>
        <v>5.3260070006137639E-2</v>
      </c>
      <c r="L30">
        <f>(G23-G24)+J30*F30</f>
        <v>17.346739929993866</v>
      </c>
      <c r="M30" s="1326" t="str">
        <f>IF(I30&lt;J27,"yes","no")</f>
        <v>yes</v>
      </c>
      <c r="N30">
        <f>N29</f>
        <v>0.44595451590159751</v>
      </c>
      <c r="P30" s="28" t="s">
        <v>231</v>
      </c>
      <c r="Q30" s="28">
        <v>1.7340636066175394</v>
      </c>
      <c r="R30" s="28"/>
    </row>
    <row r="31" spans="1:18">
      <c r="E31" s="1152"/>
      <c r="F31" s="1152"/>
      <c r="G31" s="1152"/>
      <c r="H31" s="1152"/>
      <c r="I31" s="1152"/>
      <c r="J31" s="1152"/>
      <c r="K31" s="1152"/>
      <c r="L31" s="1152"/>
      <c r="M31" s="1152"/>
      <c r="N31" s="1152"/>
      <c r="P31" s="28" t="s">
        <v>232</v>
      </c>
      <c r="Q31" s="28">
        <v>4.8746721460762817E-2</v>
      </c>
      <c r="R31" s="28"/>
    </row>
    <row r="32" spans="1:18" ht="15" thickBot="1">
      <c r="E32" t="s">
        <v>233</v>
      </c>
      <c r="I32" t="s">
        <v>116</v>
      </c>
      <c r="J32">
        <f>J27</f>
        <v>0.05</v>
      </c>
      <c r="P32" s="31" t="s">
        <v>234</v>
      </c>
      <c r="Q32" s="31">
        <v>2.1009220402410378</v>
      </c>
      <c r="R32" s="31"/>
    </row>
    <row r="33" spans="5:18" ht="15" thickTop="1">
      <c r="E33" s="1151" t="s">
        <v>199</v>
      </c>
      <c r="F33" s="1151" t="s">
        <v>1469</v>
      </c>
      <c r="G33" s="1151" t="s">
        <v>264</v>
      </c>
      <c r="H33" s="1151" t="s">
        <v>186</v>
      </c>
      <c r="I33" s="1151" t="s">
        <v>200</v>
      </c>
      <c r="J33" s="1151" t="s">
        <v>201</v>
      </c>
      <c r="K33" s="1151" t="s">
        <v>103</v>
      </c>
      <c r="L33" s="1151" t="s">
        <v>104</v>
      </c>
      <c r="M33" s="1151" t="s">
        <v>948</v>
      </c>
      <c r="N33" s="1151" t="s">
        <v>1478</v>
      </c>
    </row>
    <row r="34" spans="5:18">
      <c r="E34" t="s">
        <v>203</v>
      </c>
      <c r="F34">
        <f>SQRT(H23/F23+H24/F24)</f>
        <v>4.1156881428126804</v>
      </c>
      <c r="G34">
        <f>(ABS(G23-G24-I21))/F34</f>
        <v>2.1138627850589233</v>
      </c>
      <c r="H34">
        <f>(H23/F23+H24/F24)^2/((H23/F23)^2/(F23-1)+(H24/F24)^2/(F24-1))</f>
        <v>11.208414128343572</v>
      </c>
      <c r="I34">
        <f>TTEST(A4:A13,B4:B13,1,3)</f>
        <v>2.8864856882297056E-2</v>
      </c>
      <c r="J34">
        <f>TINV(J32*2,ROUND(H34,0))</f>
        <v>1.7958848187040437</v>
      </c>
      <c r="M34" s="1326" t="str">
        <f>IF(I34&lt;J32,"yes","no")</f>
        <v>yes</v>
      </c>
      <c r="N34">
        <f>SQRT(G34^2/(G34^2+H34))</f>
        <v>0.53388493780051027</v>
      </c>
    </row>
    <row r="35" spans="5:18">
      <c r="E35" t="s">
        <v>204</v>
      </c>
      <c r="F35">
        <f>F34</f>
        <v>4.1156881428126804</v>
      </c>
      <c r="G35">
        <f>G34</f>
        <v>2.1138627850589233</v>
      </c>
      <c r="H35">
        <f>H34</f>
        <v>11.208414128343572</v>
      </c>
      <c r="I35">
        <f>TTEST(A4:A13,B4:B13,2,3)</f>
        <v>5.7729713764594112E-2</v>
      </c>
      <c r="J35">
        <f>TINV(J32,ROUND(H35,0))</f>
        <v>2.2009851600916384</v>
      </c>
      <c r="K35">
        <f>(G23-G24)-J35*F35</f>
        <v>-0.35856852589582466</v>
      </c>
      <c r="L35">
        <f>(G23-G24)+J35*F35</f>
        <v>17.758568525895825</v>
      </c>
      <c r="M35" s="1326" t="str">
        <f>IF(I35&lt;J32,"yes","no")</f>
        <v>no</v>
      </c>
      <c r="N35">
        <f>N34</f>
        <v>0.53388493780051027</v>
      </c>
      <c r="P35" t="s">
        <v>235</v>
      </c>
    </row>
    <row r="36" spans="5:18" ht="15" thickBot="1">
      <c r="E36" s="1152"/>
      <c r="F36" s="1152"/>
      <c r="G36" s="1152"/>
      <c r="H36" s="1152"/>
      <c r="I36" s="1152"/>
      <c r="J36" s="1152"/>
      <c r="K36" s="1152"/>
      <c r="L36" s="1152"/>
      <c r="M36" s="1152"/>
      <c r="N36" s="1152"/>
    </row>
    <row r="37" spans="5:18">
      <c r="P37" s="1419"/>
      <c r="Q37" s="1419" t="s">
        <v>216</v>
      </c>
      <c r="R37" s="1419" t="s">
        <v>217</v>
      </c>
    </row>
    <row r="38" spans="5:18">
      <c r="E38" t="s">
        <v>236</v>
      </c>
      <c r="P38" s="28" t="s">
        <v>76</v>
      </c>
      <c r="Q38" s="28">
        <v>19.8</v>
      </c>
      <c r="R38" s="28">
        <v>11.1</v>
      </c>
    </row>
    <row r="39" spans="5:18">
      <c r="P39" s="28" t="s">
        <v>223</v>
      </c>
      <c r="Q39" s="28">
        <v>150.62222222222221</v>
      </c>
      <c r="R39" s="28">
        <v>18.766666666666676</v>
      </c>
    </row>
    <row r="40" spans="5:18">
      <c r="E40" s="542">
        <f>TTEST(A4:A13,B4:B13,2,3)</f>
        <v>5.7729713764594112E-2</v>
      </c>
      <c r="G40" s="23" t="s">
        <v>3929</v>
      </c>
      <c r="P40" s="28" t="s">
        <v>224</v>
      </c>
      <c r="Q40" s="28">
        <v>10</v>
      </c>
      <c r="R40" s="28">
        <v>10</v>
      </c>
    </row>
    <row r="41" spans="5:18">
      <c r="E41" s="544">
        <f>TTEST(A4:A13,B4:B13,2,2)</f>
        <v>4.8746721460762824E-2</v>
      </c>
      <c r="G41" s="23" t="s">
        <v>3930</v>
      </c>
      <c r="P41" s="28" t="s">
        <v>227</v>
      </c>
      <c r="Q41" s="28">
        <v>0</v>
      </c>
      <c r="R41" s="28"/>
    </row>
    <row r="42" spans="5:18">
      <c r="P42" s="28" t="s">
        <v>186</v>
      </c>
      <c r="Q42" s="28">
        <v>11</v>
      </c>
      <c r="R42" s="28"/>
    </row>
    <row r="43" spans="5:18">
      <c r="E43" t="s">
        <v>3471</v>
      </c>
      <c r="P43" s="28" t="s">
        <v>229</v>
      </c>
      <c r="Q43" s="28">
        <v>2.1138627850589233</v>
      </c>
      <c r="R43" s="28"/>
    </row>
    <row r="44" spans="5:18">
      <c r="P44" s="28" t="s">
        <v>230</v>
      </c>
      <c r="Q44" s="28">
        <v>2.9092986286339117E-2</v>
      </c>
      <c r="R44" s="28"/>
    </row>
    <row r="45" spans="5:18">
      <c r="E45" s="1235" t="e">
        <f ca="1">[1]!var_pooled(A4:A13,B4:B13)</f>
        <v>#NAME?</v>
      </c>
      <c r="G45" s="23" t="s">
        <v>3466</v>
      </c>
      <c r="P45" s="28" t="s">
        <v>231</v>
      </c>
      <c r="Q45" s="28">
        <v>1.7958848187040437</v>
      </c>
      <c r="R45" s="28"/>
    </row>
    <row r="46" spans="5:18">
      <c r="E46" s="627" t="e">
        <f ca="1">[1]!stdev_pooled(A4:A13,B4:B13)</f>
        <v>#NAME?</v>
      </c>
      <c r="G46" s="23" t="s">
        <v>3467</v>
      </c>
      <c r="P46" s="28" t="s">
        <v>232</v>
      </c>
      <c r="Q46" s="28">
        <v>5.8185972572678234E-2</v>
      </c>
      <c r="R46" s="28"/>
    </row>
    <row r="47" spans="5:18" ht="15" thickBot="1">
      <c r="E47" s="627" t="e">
        <f ca="1">[1]!STDERR_POOLED(A4:A13,B4:B13)</f>
        <v>#NAME?</v>
      </c>
      <c r="G47" s="23" t="s">
        <v>3468</v>
      </c>
      <c r="P47" s="31" t="s">
        <v>234</v>
      </c>
      <c r="Q47" s="31">
        <v>2.2009851600916384</v>
      </c>
      <c r="R47" s="31"/>
    </row>
    <row r="48" spans="5:18">
      <c r="E48" s="544" t="e">
        <f ca="1">[1]!DF_POOLED(A4:A13,B4:B13)</f>
        <v>#NAME?</v>
      </c>
      <c r="G48" s="23" t="s">
        <v>3932</v>
      </c>
    </row>
    <row r="50" spans="5:7">
      <c r="E50" t="s">
        <v>3470</v>
      </c>
    </row>
    <row r="52" spans="5:7">
      <c r="E52" s="1331" t="e">
        <f ca="1">[1]!var_pooled(A4:A13,B4:B12)</f>
        <v>#NAME?</v>
      </c>
      <c r="G52" s="23" t="s">
        <v>3472</v>
      </c>
    </row>
    <row r="53" spans="5:7">
      <c r="E53" s="1332" t="e">
        <f ca="1">[1]!stdev_pooled(A4:A13,B4:B12)</f>
        <v>#NAME?</v>
      </c>
      <c r="G53" s="23" t="s">
        <v>3473</v>
      </c>
    </row>
    <row r="54" spans="5:7">
      <c r="E54" s="627" t="e">
        <f ca="1">[1]!STDERR_POOLED(A4:A13,B4:B12)</f>
        <v>#NAME?</v>
      </c>
      <c r="G54" s="23" t="s">
        <v>3469</v>
      </c>
    </row>
    <row r="55" spans="5:7">
      <c r="E55" s="544" t="e">
        <f ca="1">[1]!DF_POOLED(A4:A13,B4:B12)</f>
        <v>#NAME?</v>
      </c>
      <c r="G55" s="23" t="s">
        <v>3931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sheetPr codeName="Sheet29"/>
  <dimension ref="A1:T54"/>
  <sheetViews>
    <sheetView workbookViewId="0"/>
  </sheetViews>
  <sheetFormatPr defaultRowHeight="14.4"/>
  <cols>
    <col min="4" max="4" width="10.44140625" customWidth="1"/>
    <col min="6" max="6" width="31.109375" customWidth="1"/>
    <col min="8" max="8" width="9.44140625" customWidth="1"/>
    <col min="11" max="11" width="6.6640625" customWidth="1"/>
    <col min="12" max="12" width="9.88671875" customWidth="1"/>
    <col min="13" max="20" width="9.109375" customWidth="1"/>
    <col min="21" max="24" width="6.6640625" customWidth="1"/>
    <col min="25" max="25" width="7.33203125" customWidth="1"/>
  </cols>
  <sheetData>
    <row r="1" spans="1:11">
      <c r="A1" s="1" t="s">
        <v>242</v>
      </c>
    </row>
    <row r="3" spans="1:11">
      <c r="A3" s="92" t="s">
        <v>243</v>
      </c>
      <c r="B3" s="92" t="s">
        <v>244</v>
      </c>
      <c r="C3" s="92" t="s">
        <v>245</v>
      </c>
      <c r="D3" s="92" t="s">
        <v>246</v>
      </c>
      <c r="F3" t="s">
        <v>247</v>
      </c>
      <c r="K3" s="92" t="s">
        <v>246</v>
      </c>
    </row>
    <row r="4" spans="1:11" ht="15" thickBot="1">
      <c r="A4" s="92">
        <v>1</v>
      </c>
      <c r="B4" s="92">
        <v>210</v>
      </c>
      <c r="C4" s="92">
        <v>197</v>
      </c>
      <c r="D4" s="92">
        <f>B4-C4</f>
        <v>13</v>
      </c>
      <c r="J4" t="s">
        <v>160</v>
      </c>
      <c r="K4">
        <f>MIN(D4:D18)</f>
        <v>1</v>
      </c>
    </row>
    <row r="5" spans="1:11">
      <c r="A5" s="92">
        <f>A4+1</f>
        <v>2</v>
      </c>
      <c r="B5" s="92">
        <v>205</v>
      </c>
      <c r="C5" s="92">
        <v>195</v>
      </c>
      <c r="D5" s="92">
        <f t="shared" ref="D5:D18" si="0">B5-C5</f>
        <v>10</v>
      </c>
      <c r="F5" s="27"/>
      <c r="G5" s="27" t="s">
        <v>244</v>
      </c>
      <c r="H5" s="27" t="s">
        <v>245</v>
      </c>
      <c r="J5" t="s">
        <v>161</v>
      </c>
      <c r="K5">
        <f>QUARTILE(D4:D18,1)-K4</f>
        <v>5.5</v>
      </c>
    </row>
    <row r="6" spans="1:11">
      <c r="A6" s="92">
        <f t="shared" ref="A6:A18" si="1">A5+1</f>
        <v>3</v>
      </c>
      <c r="B6" s="92">
        <v>193</v>
      </c>
      <c r="C6" s="92">
        <v>191</v>
      </c>
      <c r="D6" s="92">
        <f t="shared" si="0"/>
        <v>2</v>
      </c>
      <c r="F6" s="28" t="s">
        <v>76</v>
      </c>
      <c r="G6" s="28">
        <v>207.93333333333334</v>
      </c>
      <c r="H6" s="28">
        <v>197</v>
      </c>
      <c r="J6" t="s">
        <v>162</v>
      </c>
      <c r="K6">
        <f>MEDIAN(D4:D18)-QUARTILE(D4:D18,1)</f>
        <v>4.5</v>
      </c>
    </row>
    <row r="7" spans="1:11">
      <c r="A7" s="92">
        <f t="shared" si="1"/>
        <v>4</v>
      </c>
      <c r="B7" s="92">
        <v>182</v>
      </c>
      <c r="C7" s="92">
        <v>174</v>
      </c>
      <c r="D7" s="92">
        <f t="shared" si="0"/>
        <v>8</v>
      </c>
      <c r="F7" s="28" t="s">
        <v>223</v>
      </c>
      <c r="G7" s="28">
        <v>815.78095238095352</v>
      </c>
      <c r="H7" s="28">
        <v>595</v>
      </c>
      <c r="J7" t="s">
        <v>163</v>
      </c>
      <c r="K7">
        <f>QUARTILE(D4:D18,3)-MEDIAN(D4:D18)</f>
        <v>3.5</v>
      </c>
    </row>
    <row r="8" spans="1:11">
      <c r="A8" s="92">
        <f t="shared" si="1"/>
        <v>5</v>
      </c>
      <c r="B8" s="92">
        <v>259</v>
      </c>
      <c r="C8" s="92">
        <v>236</v>
      </c>
      <c r="D8" s="92">
        <f t="shared" si="0"/>
        <v>23</v>
      </c>
      <c r="F8" s="28" t="s">
        <v>224</v>
      </c>
      <c r="G8" s="28">
        <v>15</v>
      </c>
      <c r="H8" s="28">
        <v>15</v>
      </c>
      <c r="J8" t="s">
        <v>164</v>
      </c>
      <c r="K8">
        <f>MAX(D4:D18)-QUARTILE(D4:D18,3)</f>
        <v>8.5</v>
      </c>
    </row>
    <row r="9" spans="1:11">
      <c r="A9" s="92">
        <f t="shared" si="1"/>
        <v>6</v>
      </c>
      <c r="B9" s="92">
        <v>239</v>
      </c>
      <c r="C9" s="92">
        <v>226</v>
      </c>
      <c r="D9" s="92">
        <f t="shared" si="0"/>
        <v>13</v>
      </c>
      <c r="F9" s="28" t="s">
        <v>248</v>
      </c>
      <c r="G9" s="28">
        <v>0.98372040550231976</v>
      </c>
      <c r="H9" s="28"/>
    </row>
    <row r="10" spans="1:11">
      <c r="A10" s="92">
        <f t="shared" si="1"/>
        <v>7</v>
      </c>
      <c r="B10" s="92">
        <v>164</v>
      </c>
      <c r="C10" s="92">
        <v>157</v>
      </c>
      <c r="D10" s="92">
        <f t="shared" si="0"/>
        <v>7</v>
      </c>
      <c r="F10" s="28" t="s">
        <v>227</v>
      </c>
      <c r="G10" s="28">
        <v>0</v>
      </c>
      <c r="H10" s="28"/>
    </row>
    <row r="11" spans="1:11">
      <c r="A11" s="92">
        <f t="shared" si="1"/>
        <v>8</v>
      </c>
      <c r="B11" s="92">
        <v>197</v>
      </c>
      <c r="C11" s="92">
        <v>196</v>
      </c>
      <c r="D11" s="92">
        <f t="shared" si="0"/>
        <v>1</v>
      </c>
      <c r="F11" s="28" t="s">
        <v>186</v>
      </c>
      <c r="G11" s="28">
        <v>14</v>
      </c>
      <c r="H11" s="28"/>
    </row>
    <row r="12" spans="1:11">
      <c r="A12" s="92">
        <f t="shared" si="1"/>
        <v>9</v>
      </c>
      <c r="B12" s="92">
        <v>222</v>
      </c>
      <c r="C12" s="92">
        <v>201</v>
      </c>
      <c r="D12" s="92">
        <f t="shared" si="0"/>
        <v>21</v>
      </c>
      <c r="F12" s="28" t="s">
        <v>229</v>
      </c>
      <c r="G12" s="28">
        <v>6.6896995348736343</v>
      </c>
      <c r="H12" s="28"/>
    </row>
    <row r="13" spans="1:11">
      <c r="A13" s="92">
        <f t="shared" si="1"/>
        <v>10</v>
      </c>
      <c r="B13" s="92">
        <v>211</v>
      </c>
      <c r="C13" s="92">
        <v>196</v>
      </c>
      <c r="D13" s="92">
        <f t="shared" si="0"/>
        <v>15</v>
      </c>
      <c r="F13" s="28" t="s">
        <v>230</v>
      </c>
      <c r="G13" s="28">
        <v>5.1378281403488676E-6</v>
      </c>
      <c r="H13" s="28"/>
    </row>
    <row r="14" spans="1:11">
      <c r="A14" s="92">
        <f t="shared" si="1"/>
        <v>11</v>
      </c>
      <c r="B14" s="92">
        <v>187</v>
      </c>
      <c r="C14" s="92">
        <v>181</v>
      </c>
      <c r="D14" s="92">
        <f t="shared" si="0"/>
        <v>6</v>
      </c>
      <c r="F14" s="28" t="s">
        <v>231</v>
      </c>
      <c r="G14" s="28">
        <v>1.7613101150619617</v>
      </c>
      <c r="H14" s="28"/>
    </row>
    <row r="15" spans="1:11">
      <c r="A15" s="92">
        <f t="shared" si="1"/>
        <v>12</v>
      </c>
      <c r="B15" s="92">
        <v>175</v>
      </c>
      <c r="C15" s="92">
        <v>164</v>
      </c>
      <c r="D15" s="92">
        <f t="shared" si="0"/>
        <v>11</v>
      </c>
      <c r="F15" s="28" t="s">
        <v>232</v>
      </c>
      <c r="G15" s="28">
        <v>1.0275656280697735E-5</v>
      </c>
      <c r="H15" s="28"/>
    </row>
    <row r="16" spans="1:11" ht="15" thickBot="1">
      <c r="A16" s="92">
        <f t="shared" si="1"/>
        <v>13</v>
      </c>
      <c r="B16" s="92">
        <v>186</v>
      </c>
      <c r="C16" s="92">
        <v>181</v>
      </c>
      <c r="D16" s="92">
        <f t="shared" si="0"/>
        <v>5</v>
      </c>
      <c r="F16" s="31" t="s">
        <v>234</v>
      </c>
      <c r="G16" s="31">
        <v>2.1447866812820848</v>
      </c>
      <c r="H16" s="31"/>
    </row>
    <row r="17" spans="1:8">
      <c r="A17" s="92">
        <f t="shared" si="1"/>
        <v>14</v>
      </c>
      <c r="B17" s="92">
        <v>243</v>
      </c>
      <c r="C17" s="92">
        <v>229</v>
      </c>
      <c r="D17" s="92">
        <f t="shared" si="0"/>
        <v>14</v>
      </c>
      <c r="F17" s="28"/>
      <c r="G17" s="28"/>
      <c r="H17" s="28"/>
    </row>
    <row r="18" spans="1:8">
      <c r="A18" s="92">
        <f t="shared" si="1"/>
        <v>15</v>
      </c>
      <c r="B18" s="92">
        <v>246</v>
      </c>
      <c r="C18" s="92">
        <v>231</v>
      </c>
      <c r="D18" s="92">
        <f t="shared" si="0"/>
        <v>15</v>
      </c>
    </row>
    <row r="20" spans="1:8">
      <c r="A20" s="92" t="s">
        <v>63</v>
      </c>
      <c r="D20" s="92">
        <f>AVERAGE(D4:D18)</f>
        <v>10.933333333333334</v>
      </c>
    </row>
    <row r="21" spans="1:8">
      <c r="A21" s="92" t="s">
        <v>218</v>
      </c>
      <c r="D21" s="92">
        <f>STDEV(D4:D18)</f>
        <v>6.3298235889056711</v>
      </c>
    </row>
    <row r="23" spans="1:8">
      <c r="A23" t="s">
        <v>249</v>
      </c>
      <c r="D23">
        <f>COUNT(D4:D18)</f>
        <v>15</v>
      </c>
      <c r="F23" s="23" t="s">
        <v>250</v>
      </c>
    </row>
    <row r="24" spans="1:8">
      <c r="A24" t="s">
        <v>251</v>
      </c>
      <c r="D24">
        <f>D21/SQRT(D23)</f>
        <v>1.634353422950835</v>
      </c>
      <c r="F24" s="23" t="s">
        <v>252</v>
      </c>
    </row>
    <row r="25" spans="1:8">
      <c r="A25" t="s">
        <v>253</v>
      </c>
      <c r="D25">
        <f>(D20-0)/D24</f>
        <v>6.6896995348736343</v>
      </c>
      <c r="F25" s="23" t="s">
        <v>254</v>
      </c>
    </row>
    <row r="26" spans="1:8">
      <c r="A26" t="s">
        <v>255</v>
      </c>
      <c r="D26">
        <f>D23-1</f>
        <v>14</v>
      </c>
      <c r="F26" s="23" t="s">
        <v>256</v>
      </c>
    </row>
    <row r="28" spans="1:8">
      <c r="A28" t="s">
        <v>200</v>
      </c>
      <c r="D28">
        <f>TDIST(D25,D26,2)</f>
        <v>1.0275656281485417E-5</v>
      </c>
      <c r="F28" s="23" t="s">
        <v>257</v>
      </c>
    </row>
    <row r="29" spans="1:8">
      <c r="A29" t="s">
        <v>200</v>
      </c>
      <c r="D29">
        <f>TTEST(B4:B18,C4:C18,2,1)</f>
        <v>1.0275656281484968E-5</v>
      </c>
      <c r="F29" s="23" t="s">
        <v>258</v>
      </c>
    </row>
    <row r="30" spans="1:8">
      <c r="F30" s="23"/>
    </row>
    <row r="31" spans="1:8">
      <c r="A31" t="s">
        <v>201</v>
      </c>
      <c r="D31">
        <f>TINV(0.05,D26)</f>
        <v>2.1447866879178044</v>
      </c>
      <c r="F31" s="23" t="s">
        <v>259</v>
      </c>
    </row>
    <row r="34" spans="1:20">
      <c r="A34" t="s">
        <v>260</v>
      </c>
      <c r="F34" t="s">
        <v>220</v>
      </c>
      <c r="L34" t="s">
        <v>266</v>
      </c>
    </row>
    <row r="35" spans="1:20" ht="15" thickBot="1"/>
    <row r="36" spans="1:20" ht="15" thickBot="1">
      <c r="A36" s="92" t="s">
        <v>243</v>
      </c>
      <c r="B36" s="92" t="s">
        <v>244</v>
      </c>
      <c r="C36" s="92" t="s">
        <v>245</v>
      </c>
      <c r="F36" s="27"/>
      <c r="G36" s="27" t="s">
        <v>244</v>
      </c>
      <c r="H36" s="27" t="s">
        <v>245</v>
      </c>
      <c r="L36" t="s">
        <v>194</v>
      </c>
      <c r="O36" t="s">
        <v>116</v>
      </c>
      <c r="P36">
        <v>0.05</v>
      </c>
      <c r="R36" t="s">
        <v>221</v>
      </c>
      <c r="S36">
        <v>0</v>
      </c>
    </row>
    <row r="37" spans="1:20" ht="15" thickTop="1">
      <c r="A37" s="92">
        <v>1</v>
      </c>
      <c r="B37" s="92">
        <v>210</v>
      </c>
      <c r="C37" s="92">
        <v>197</v>
      </c>
      <c r="F37" s="28" t="s">
        <v>76</v>
      </c>
      <c r="G37" s="28">
        <v>207.93333333333334</v>
      </c>
      <c r="H37" s="28">
        <v>197</v>
      </c>
      <c r="L37" s="1151" t="s">
        <v>222</v>
      </c>
      <c r="M37" s="1151" t="s">
        <v>88</v>
      </c>
      <c r="N37" s="1151" t="s">
        <v>76</v>
      </c>
      <c r="O37" s="1151" t="s">
        <v>182</v>
      </c>
      <c r="P37" s="1151" t="s">
        <v>183</v>
      </c>
      <c r="Q37" s="1151" t="s">
        <v>195</v>
      </c>
      <c r="R37" s="1151" t="s">
        <v>186</v>
      </c>
      <c r="S37" s="1151" t="s">
        <v>196</v>
      </c>
      <c r="T37" s="1151" t="s">
        <v>197</v>
      </c>
    </row>
    <row r="38" spans="1:20">
      <c r="A38" s="92">
        <f>A37+1</f>
        <v>2</v>
      </c>
      <c r="B38" s="92">
        <v>205</v>
      </c>
      <c r="C38" s="92">
        <v>195</v>
      </c>
      <c r="F38" s="28" t="s">
        <v>223</v>
      </c>
      <c r="G38" s="28">
        <v>815.78095238095352</v>
      </c>
      <c r="H38" s="28">
        <v>595</v>
      </c>
      <c r="L38" t="str">
        <f>B3</f>
        <v>Before</v>
      </c>
      <c r="M38">
        <f>COUNT(B4:B18)</f>
        <v>15</v>
      </c>
      <c r="N38">
        <f>AVERAGE(B4:B18)</f>
        <v>207.93333333333334</v>
      </c>
      <c r="O38">
        <f>STDEV(B4:B18)</f>
        <v>28.561879356599654</v>
      </c>
    </row>
    <row r="39" spans="1:20">
      <c r="A39" s="92">
        <f t="shared" ref="A39:A51" si="2">A38+1</f>
        <v>3</v>
      </c>
      <c r="B39" s="92">
        <v>193</v>
      </c>
      <c r="C39" s="92">
        <v>191</v>
      </c>
      <c r="F39" s="28" t="s">
        <v>224</v>
      </c>
      <c r="G39" s="28">
        <v>15</v>
      </c>
      <c r="H39" s="28">
        <v>15</v>
      </c>
      <c r="L39" t="str">
        <f>C3</f>
        <v>After</v>
      </c>
      <c r="M39">
        <f>COUNT(C4:C18)</f>
        <v>15</v>
      </c>
      <c r="N39">
        <f>AVERAGE(C4:C18)</f>
        <v>197</v>
      </c>
      <c r="O39">
        <f>STDEV(C4:C18)</f>
        <v>24.392621835300936</v>
      </c>
    </row>
    <row r="40" spans="1:20">
      <c r="A40" s="92">
        <f t="shared" si="2"/>
        <v>4</v>
      </c>
      <c r="B40" s="92">
        <v>182</v>
      </c>
      <c r="C40" s="92">
        <v>174</v>
      </c>
      <c r="F40" s="28" t="s">
        <v>226</v>
      </c>
      <c r="G40" s="28">
        <v>705.39047619047676</v>
      </c>
      <c r="H40" s="28"/>
      <c r="L40" s="1152" t="s">
        <v>246</v>
      </c>
      <c r="M40" s="1152">
        <f>M39</f>
        <v>15</v>
      </c>
      <c r="N40" s="1152">
        <f>N38-N39</f>
        <v>10.933333333333337</v>
      </c>
      <c r="O40" s="1152">
        <f t="array" ref="O40">STDEV(B4:B18-C4:C18)</f>
        <v>6.3298235889056711</v>
      </c>
      <c r="P40" s="1152">
        <f>O40/SQRT(M40)</f>
        <v>1.634353422950835</v>
      </c>
      <c r="Q40" s="1152">
        <f>(N38-N39-S36)/P40</f>
        <v>6.689699534873637</v>
      </c>
      <c r="R40" s="1152">
        <f>M40-1</f>
        <v>14</v>
      </c>
      <c r="S40" s="1152">
        <f>ABS(N38-N39-S36)/O40</f>
        <v>1.7272729926464732</v>
      </c>
      <c r="T40" s="1152">
        <f>SQRT(Q40^2/(Q40^2+R40))</f>
        <v>0.87276031278909716</v>
      </c>
    </row>
    <row r="41" spans="1:20">
      <c r="A41" s="92">
        <f t="shared" si="2"/>
        <v>5</v>
      </c>
      <c r="B41" s="92">
        <v>259</v>
      </c>
      <c r="C41" s="92">
        <v>236</v>
      </c>
      <c r="F41" s="28" t="s">
        <v>227</v>
      </c>
      <c r="G41" s="28">
        <v>0</v>
      </c>
      <c r="H41" s="28"/>
    </row>
    <row r="42" spans="1:20" ht="15" thickBot="1">
      <c r="A42" s="92">
        <f t="shared" si="2"/>
        <v>6</v>
      </c>
      <c r="B42" s="92">
        <v>239</v>
      </c>
      <c r="C42" s="92">
        <v>226</v>
      </c>
      <c r="F42" s="28" t="s">
        <v>186</v>
      </c>
      <c r="G42" s="28">
        <v>28</v>
      </c>
      <c r="H42" s="28"/>
      <c r="L42" t="s">
        <v>198</v>
      </c>
    </row>
    <row r="43" spans="1:20" ht="15" thickTop="1">
      <c r="A43" s="92">
        <f t="shared" si="2"/>
        <v>7</v>
      </c>
      <c r="B43" s="92">
        <v>164</v>
      </c>
      <c r="C43" s="92">
        <v>157</v>
      </c>
      <c r="F43" s="28" t="s">
        <v>229</v>
      </c>
      <c r="G43" s="28">
        <v>1.12737506457454</v>
      </c>
      <c r="H43" s="28"/>
      <c r="L43" s="1151" t="s">
        <v>199</v>
      </c>
      <c r="M43" s="1151" t="s">
        <v>200</v>
      </c>
      <c r="N43" s="1151" t="s">
        <v>201</v>
      </c>
      <c r="O43" s="1151" t="s">
        <v>103</v>
      </c>
      <c r="P43" s="1151" t="s">
        <v>104</v>
      </c>
      <c r="Q43" s="1151" t="s">
        <v>948</v>
      </c>
    </row>
    <row r="44" spans="1:20">
      <c r="A44" s="92">
        <f t="shared" si="2"/>
        <v>8</v>
      </c>
      <c r="B44" s="92">
        <v>197</v>
      </c>
      <c r="C44" s="92">
        <v>196</v>
      </c>
      <c r="F44" s="28" t="s">
        <v>230</v>
      </c>
      <c r="G44" s="28">
        <v>0.13457631306470508</v>
      </c>
      <c r="H44" s="28"/>
      <c r="L44" t="s">
        <v>203</v>
      </c>
      <c r="M44">
        <f>TDIST(ABS(Q40),R40,1)</f>
        <v>5.1378281407426804E-6</v>
      </c>
      <c r="N44">
        <f>TINV(P36*2,R40)</f>
        <v>1.7613101357748921</v>
      </c>
      <c r="Q44" s="1359" t="str">
        <f>IF(M44&lt;P36,"yes","no")</f>
        <v>yes</v>
      </c>
    </row>
    <row r="45" spans="1:20">
      <c r="A45" s="92">
        <f t="shared" si="2"/>
        <v>9</v>
      </c>
      <c r="B45" s="92">
        <v>222</v>
      </c>
      <c r="C45" s="92">
        <v>201</v>
      </c>
      <c r="F45" s="28" t="s">
        <v>231</v>
      </c>
      <c r="G45" s="28">
        <v>1.7011309076118102</v>
      </c>
      <c r="H45" s="28"/>
      <c r="L45" t="s">
        <v>204</v>
      </c>
      <c r="M45">
        <f>TDIST(ABS(Q40),R40,2)</f>
        <v>1.0275656281485361E-5</v>
      </c>
      <c r="N45">
        <f>TINV(P36,R40)</f>
        <v>2.1447866879178044</v>
      </c>
      <c r="O45">
        <f>(N38-N39)-P40*N45</f>
        <v>7.4279938684354896</v>
      </c>
      <c r="P45">
        <f>(N38-N39)+P40*N45</f>
        <v>14.438672798231185</v>
      </c>
      <c r="Q45" s="1359" t="str">
        <f>IF(M45&lt;P36,"yes","no")</f>
        <v>yes</v>
      </c>
    </row>
    <row r="46" spans="1:20">
      <c r="A46" s="92">
        <f t="shared" si="2"/>
        <v>10</v>
      </c>
      <c r="B46" s="92">
        <v>211</v>
      </c>
      <c r="C46" s="92">
        <v>196</v>
      </c>
      <c r="F46" s="28" t="s">
        <v>232</v>
      </c>
      <c r="G46" s="28">
        <v>0.26915262612941016</v>
      </c>
      <c r="H46" s="28"/>
      <c r="L46" s="1152"/>
      <c r="M46" s="1152"/>
      <c r="N46" s="1152"/>
      <c r="O46" s="1152"/>
      <c r="P46" s="1152"/>
      <c r="Q46" s="1152"/>
    </row>
    <row r="47" spans="1:20" ht="15" thickBot="1">
      <c r="A47" s="92">
        <f t="shared" si="2"/>
        <v>11</v>
      </c>
      <c r="B47" s="92">
        <v>187</v>
      </c>
      <c r="C47" s="92">
        <v>181</v>
      </c>
      <c r="F47" s="31" t="s">
        <v>234</v>
      </c>
      <c r="G47" s="31">
        <v>2.0484071146628864</v>
      </c>
      <c r="H47" s="31"/>
    </row>
    <row r="48" spans="1:20">
      <c r="A48" s="92">
        <f t="shared" si="2"/>
        <v>12</v>
      </c>
      <c r="B48" s="92">
        <v>175</v>
      </c>
      <c r="C48" s="92">
        <v>164</v>
      </c>
    </row>
    <row r="49" spans="1:8">
      <c r="A49" s="92">
        <f t="shared" si="2"/>
        <v>13</v>
      </c>
      <c r="B49" s="92">
        <v>186</v>
      </c>
      <c r="C49" s="92">
        <v>181</v>
      </c>
    </row>
    <row r="50" spans="1:8">
      <c r="A50" s="92">
        <f t="shared" si="2"/>
        <v>14</v>
      </c>
      <c r="B50" s="92">
        <v>243</v>
      </c>
      <c r="C50" s="92">
        <v>229</v>
      </c>
      <c r="G50" s="19" t="s">
        <v>261</v>
      </c>
      <c r="H50" s="19" t="s">
        <v>262</v>
      </c>
    </row>
    <row r="51" spans="1:8">
      <c r="A51" s="92">
        <f t="shared" si="2"/>
        <v>15</v>
      </c>
      <c r="B51" s="92">
        <v>246</v>
      </c>
      <c r="C51" s="92">
        <v>231</v>
      </c>
      <c r="F51" t="s">
        <v>263</v>
      </c>
      <c r="G51" s="4">
        <f>D53</f>
        <v>10.933333333333337</v>
      </c>
      <c r="H51" s="6">
        <f>D20</f>
        <v>10.933333333333334</v>
      </c>
    </row>
    <row r="52" spans="1:8">
      <c r="F52" t="s">
        <v>80</v>
      </c>
      <c r="G52" s="7" t="e">
        <f ca="1">D54</f>
        <v>#NAME?</v>
      </c>
      <c r="H52" s="9">
        <f>D21</f>
        <v>6.3298235889056711</v>
      </c>
    </row>
    <row r="53" spans="1:8">
      <c r="A53" s="92" t="s">
        <v>63</v>
      </c>
      <c r="B53" s="92">
        <f>AVERAGE(B37:B51)</f>
        <v>207.93333333333334</v>
      </c>
      <c r="C53" s="92">
        <f>AVERAGE(C37:C51)</f>
        <v>197</v>
      </c>
      <c r="D53" s="92">
        <f>B53-C53</f>
        <v>10.933333333333337</v>
      </c>
      <c r="F53" t="s">
        <v>264</v>
      </c>
      <c r="G53" s="7">
        <f>G43</f>
        <v>1.12737506457454</v>
      </c>
      <c r="H53" s="9">
        <f>G12</f>
        <v>6.6896995348736343</v>
      </c>
    </row>
    <row r="54" spans="1:8">
      <c r="A54" s="92" t="s">
        <v>218</v>
      </c>
      <c r="B54" s="92">
        <f>STDEV(B37:B51)</f>
        <v>28.561879356599654</v>
      </c>
      <c r="C54" s="92">
        <f>STDEV(C37:C51)</f>
        <v>24.392621835300936</v>
      </c>
      <c r="D54" s="92" t="e">
        <f ca="1">[1]!stdev_pooled(B37:B51,C37:C51)</f>
        <v>#NAME?</v>
      </c>
      <c r="F54" t="s">
        <v>265</v>
      </c>
      <c r="G54" s="10">
        <f>G46</f>
        <v>0.26915262612941016</v>
      </c>
      <c r="H54" s="12">
        <f>G15</f>
        <v>1.0275656280697735E-5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sheetPr codeName="Sheet30"/>
  <dimension ref="A1:G16"/>
  <sheetViews>
    <sheetView workbookViewId="0"/>
  </sheetViews>
  <sheetFormatPr defaultRowHeight="14.4"/>
  <cols>
    <col min="2" max="2" width="11" customWidth="1"/>
    <col min="5" max="5" width="27.6640625" customWidth="1"/>
    <col min="6" max="6" width="11.44140625" customWidth="1"/>
  </cols>
  <sheetData>
    <row r="1" spans="1:7">
      <c r="A1" s="1" t="s">
        <v>177</v>
      </c>
      <c r="B1" s="92"/>
    </row>
    <row r="2" spans="1:7">
      <c r="A2" s="92"/>
      <c r="B2" s="92"/>
    </row>
    <row r="3" spans="1:7">
      <c r="A3" s="67" t="s">
        <v>178</v>
      </c>
      <c r="B3" s="68" t="s">
        <v>179</v>
      </c>
      <c r="C3" s="68" t="s">
        <v>267</v>
      </c>
      <c r="E3" t="s">
        <v>247</v>
      </c>
    </row>
    <row r="4" spans="1:7" ht="15" thickBot="1">
      <c r="A4" s="70">
        <v>1</v>
      </c>
      <c r="B4" s="71">
        <v>23</v>
      </c>
      <c r="C4" s="71">
        <v>0</v>
      </c>
    </row>
    <row r="5" spans="1:7">
      <c r="A5" s="70">
        <f t="shared" ref="A5:A15" si="0">A4+1</f>
        <v>2</v>
      </c>
      <c r="B5" s="71">
        <v>15</v>
      </c>
      <c r="C5" s="71">
        <f>C4</f>
        <v>0</v>
      </c>
      <c r="E5" s="27"/>
      <c r="F5" s="27" t="s">
        <v>179</v>
      </c>
      <c r="G5" s="27" t="s">
        <v>267</v>
      </c>
    </row>
    <row r="6" spans="1:7">
      <c r="A6" s="70">
        <f t="shared" si="0"/>
        <v>3</v>
      </c>
      <c r="B6" s="71">
        <v>-5</v>
      </c>
      <c r="C6" s="71">
        <f t="shared" ref="C6:C14" si="1">C5</f>
        <v>0</v>
      </c>
      <c r="E6" s="28" t="s">
        <v>76</v>
      </c>
      <c r="F6" s="28">
        <v>4.666666666666667</v>
      </c>
      <c r="G6" s="28">
        <v>0</v>
      </c>
    </row>
    <row r="7" spans="1:7">
      <c r="A7" s="70">
        <f t="shared" si="0"/>
        <v>4</v>
      </c>
      <c r="B7" s="71">
        <v>7</v>
      </c>
      <c r="C7" s="71">
        <f t="shared" si="1"/>
        <v>0</v>
      </c>
      <c r="E7" s="28" t="s">
        <v>223</v>
      </c>
      <c r="F7" s="28">
        <v>124.42424242424244</v>
      </c>
      <c r="G7" s="28">
        <v>0</v>
      </c>
    </row>
    <row r="8" spans="1:7">
      <c r="A8" s="70">
        <f t="shared" si="0"/>
        <v>5</v>
      </c>
      <c r="B8" s="71">
        <v>1</v>
      </c>
      <c r="C8" s="71">
        <f t="shared" si="1"/>
        <v>0</v>
      </c>
      <c r="E8" s="28" t="s">
        <v>224</v>
      </c>
      <c r="F8" s="28">
        <v>12</v>
      </c>
      <c r="G8" s="28">
        <v>12</v>
      </c>
    </row>
    <row r="9" spans="1:7">
      <c r="A9" s="70">
        <f t="shared" si="0"/>
        <v>6</v>
      </c>
      <c r="B9" s="71">
        <v>-10</v>
      </c>
      <c r="C9" s="71">
        <f t="shared" si="1"/>
        <v>0</v>
      </c>
      <c r="E9" s="28" t="s">
        <v>248</v>
      </c>
      <c r="F9" s="28" t="e">
        <v>#DIV/0!</v>
      </c>
      <c r="G9" s="28"/>
    </row>
    <row r="10" spans="1:7">
      <c r="A10" s="70">
        <f t="shared" si="0"/>
        <v>7</v>
      </c>
      <c r="B10" s="71">
        <v>12</v>
      </c>
      <c r="C10" s="71">
        <f t="shared" si="1"/>
        <v>0</v>
      </c>
      <c r="E10" s="28" t="s">
        <v>227</v>
      </c>
      <c r="F10" s="28">
        <v>0</v>
      </c>
      <c r="G10" s="28"/>
    </row>
    <row r="11" spans="1:7">
      <c r="A11" s="70">
        <f t="shared" si="0"/>
        <v>8</v>
      </c>
      <c r="B11" s="71">
        <v>-8</v>
      </c>
      <c r="C11" s="71">
        <f t="shared" si="1"/>
        <v>0</v>
      </c>
      <c r="E11" s="28" t="s">
        <v>186</v>
      </c>
      <c r="F11" s="28">
        <v>11</v>
      </c>
      <c r="G11" s="28"/>
    </row>
    <row r="12" spans="1:7">
      <c r="A12" s="70">
        <f t="shared" si="0"/>
        <v>9</v>
      </c>
      <c r="B12" s="71">
        <v>20</v>
      </c>
      <c r="C12" s="71">
        <f t="shared" si="1"/>
        <v>0</v>
      </c>
      <c r="E12" s="28" t="s">
        <v>229</v>
      </c>
      <c r="F12" s="28">
        <v>1.4492553137533359</v>
      </c>
      <c r="G12" s="28"/>
    </row>
    <row r="13" spans="1:7">
      <c r="A13" s="70">
        <f t="shared" si="0"/>
        <v>10</v>
      </c>
      <c r="B13" s="71">
        <v>8</v>
      </c>
      <c r="C13" s="71">
        <f t="shared" si="1"/>
        <v>0</v>
      </c>
      <c r="E13" s="28" t="s">
        <v>230</v>
      </c>
      <c r="F13" s="28">
        <v>8.758472781818466E-2</v>
      </c>
      <c r="G13" s="28"/>
    </row>
    <row r="14" spans="1:7">
      <c r="A14" s="70">
        <f t="shared" si="0"/>
        <v>11</v>
      </c>
      <c r="B14" s="71">
        <v>-2</v>
      </c>
      <c r="C14" s="71">
        <f t="shared" si="1"/>
        <v>0</v>
      </c>
      <c r="E14" s="28" t="s">
        <v>231</v>
      </c>
      <c r="F14" s="28">
        <v>1.7958848142321888</v>
      </c>
      <c r="G14" s="28"/>
    </row>
    <row r="15" spans="1:7">
      <c r="A15" s="74">
        <f t="shared" si="0"/>
        <v>12</v>
      </c>
      <c r="B15" s="75">
        <v>-5</v>
      </c>
      <c r="C15" s="75">
        <f>C14</f>
        <v>0</v>
      </c>
      <c r="E15" s="28" t="s">
        <v>232</v>
      </c>
      <c r="F15" s="28">
        <v>0.17516945563636932</v>
      </c>
      <c r="G15" s="28"/>
    </row>
    <row r="16" spans="1:7" ht="15" thickBot="1">
      <c r="E16" s="31" t="s">
        <v>234</v>
      </c>
      <c r="F16" s="31">
        <v>2.2009851587218421</v>
      </c>
      <c r="G16" s="31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sheetPr codeName="Sheet31"/>
  <dimension ref="A1:T66"/>
  <sheetViews>
    <sheetView workbookViewId="0"/>
  </sheetViews>
  <sheetFormatPr defaultRowHeight="14.4"/>
  <cols>
    <col min="1" max="1" width="16.33203125" customWidth="1"/>
    <col min="8" max="8" width="18.44140625" customWidth="1"/>
    <col min="17" max="18" width="10.5546875" customWidth="1"/>
    <col min="19" max="19" width="11.5546875" customWidth="1"/>
    <col min="20" max="20" width="10.88671875" customWidth="1"/>
  </cols>
  <sheetData>
    <row r="1" spans="1:20">
      <c r="A1" s="1" t="s">
        <v>327</v>
      </c>
      <c r="Q1" t="s">
        <v>3940</v>
      </c>
      <c r="R1" t="s">
        <v>3940</v>
      </c>
      <c r="S1" t="s">
        <v>3941</v>
      </c>
      <c r="T1" t="s">
        <v>3944</v>
      </c>
    </row>
    <row r="2" spans="1:20">
      <c r="A2" s="1"/>
      <c r="P2" t="s">
        <v>28</v>
      </c>
      <c r="Q2" s="1236">
        <f>Q9</f>
        <v>2.7326367934996632</v>
      </c>
      <c r="R2" s="1152">
        <f>R9</f>
        <v>15.507313055865453</v>
      </c>
      <c r="S2" s="1152">
        <f>S9</f>
        <v>2.7326367934996614</v>
      </c>
      <c r="T2" s="1237">
        <f>T9</f>
        <v>15.507313055865453</v>
      </c>
    </row>
    <row r="3" spans="1:20">
      <c r="A3" s="25" t="s">
        <v>328</v>
      </c>
      <c r="P3" t="s">
        <v>186</v>
      </c>
      <c r="Q3" s="656">
        <v>8</v>
      </c>
      <c r="R3" s="8">
        <v>8</v>
      </c>
      <c r="S3" s="8">
        <v>8</v>
      </c>
      <c r="T3" s="657">
        <v>8</v>
      </c>
    </row>
    <row r="4" spans="1:20">
      <c r="A4" s="1"/>
      <c r="P4" s="65" t="s">
        <v>346</v>
      </c>
      <c r="Q4" s="533">
        <f>CHIDIST(Q2,Q3)</f>
        <v>0.95</v>
      </c>
      <c r="R4" s="1078">
        <v>0.05</v>
      </c>
      <c r="S4" s="1078">
        <f>_xlfn.CHISQ.DIST(S2,S3,TRUE)</f>
        <v>4.9999999999999989E-2</v>
      </c>
      <c r="T4" s="541">
        <f>_xlfn.CHISQ.DIST.RT(T2,T3)</f>
        <v>5.0000000000000017E-2</v>
      </c>
    </row>
    <row r="6" spans="1:20">
      <c r="Q6" t="s">
        <v>3942</v>
      </c>
      <c r="R6" t="s">
        <v>3942</v>
      </c>
      <c r="S6" t="s">
        <v>3943</v>
      </c>
      <c r="T6" t="s">
        <v>3945</v>
      </c>
    </row>
    <row r="7" spans="1:20">
      <c r="P7" s="65" t="s">
        <v>157</v>
      </c>
      <c r="Q7" s="1236">
        <v>0.95</v>
      </c>
      <c r="R7" s="1152">
        <v>0.05</v>
      </c>
      <c r="S7" s="1152">
        <v>0.05</v>
      </c>
      <c r="T7" s="1237">
        <v>0.05</v>
      </c>
    </row>
    <row r="8" spans="1:20">
      <c r="P8" s="493" t="s">
        <v>186</v>
      </c>
      <c r="Q8" s="656">
        <v>8</v>
      </c>
      <c r="R8" s="8">
        <v>8</v>
      </c>
      <c r="S8" s="8">
        <v>8</v>
      </c>
      <c r="T8" s="657">
        <v>8</v>
      </c>
    </row>
    <row r="9" spans="1:20">
      <c r="P9" s="493" t="s">
        <v>28</v>
      </c>
      <c r="Q9" s="533">
        <f>CHIINV(Q7,Q8)</f>
        <v>2.7326367934996632</v>
      </c>
      <c r="R9" s="1078">
        <f>CHIINV(R7,R8)</f>
        <v>15.507313055865453</v>
      </c>
      <c r="S9" s="1078">
        <f>_xlfn.CHISQ.INV(S7,S8)</f>
        <v>2.7326367934996614</v>
      </c>
      <c r="T9" s="541">
        <f>_xlfn.CHISQ.INV.RT(T7,T8)</f>
        <v>15.507313055865453</v>
      </c>
    </row>
    <row r="10" spans="1:20">
      <c r="A10" t="s">
        <v>169</v>
      </c>
      <c r="C10">
        <v>1</v>
      </c>
      <c r="D10">
        <v>5</v>
      </c>
      <c r="E10">
        <v>10</v>
      </c>
      <c r="F10">
        <v>30</v>
      </c>
    </row>
    <row r="11" spans="1:20">
      <c r="A11" t="s">
        <v>171</v>
      </c>
      <c r="C11">
        <f>C10/2</f>
        <v>0.5</v>
      </c>
      <c r="D11">
        <f>D10/2</f>
        <v>2.5</v>
      </c>
      <c r="E11">
        <f>E10/2</f>
        <v>5</v>
      </c>
      <c r="F11">
        <f>F10/2</f>
        <v>15</v>
      </c>
      <c r="Q11" t="s">
        <v>3941</v>
      </c>
      <c r="R11" t="s">
        <v>3946</v>
      </c>
    </row>
    <row r="12" spans="1:20">
      <c r="A12" t="s">
        <v>173</v>
      </c>
      <c r="C12">
        <f>EXP(-1)/GAMMADIST(1,C11,1,FALSE)</f>
        <v>1.7724538509055161</v>
      </c>
      <c r="D12">
        <f>EXP(-1)/GAMMADIST(1,D11,1,FALSE)</f>
        <v>1.329340388179137</v>
      </c>
      <c r="E12">
        <f>EXP(-1)/GAMMADIST(1,E11,1,FALSE)</f>
        <v>23.999999999999996</v>
      </c>
      <c r="F12">
        <f>EXP(-1)/GAMMADIST(1,F11,1,FALSE)</f>
        <v>87178291200.000198</v>
      </c>
      <c r="P12" t="s">
        <v>28</v>
      </c>
      <c r="Q12" s="1236">
        <f>S2</f>
        <v>2.7326367934996614</v>
      </c>
      <c r="R12" s="1237">
        <f>Q12</f>
        <v>2.7326367934996614</v>
      </c>
    </row>
    <row r="13" spans="1:20">
      <c r="A13" t="s">
        <v>175</v>
      </c>
      <c r="C13">
        <f>2^(C11)*C12</f>
        <v>2.5066282746310007</v>
      </c>
      <c r="D13">
        <f>2^(D11)*D12</f>
        <v>7.5198848238930021</v>
      </c>
      <c r="E13">
        <f>2^(E11)*E12</f>
        <v>767.99999999999989</v>
      </c>
      <c r="F13">
        <f>2^(F11)*F12</f>
        <v>2856658246041606.5</v>
      </c>
      <c r="P13" t="s">
        <v>186</v>
      </c>
      <c r="Q13" s="656">
        <v>8</v>
      </c>
      <c r="R13" s="657">
        <v>8</v>
      </c>
    </row>
    <row r="14" spans="1:20">
      <c r="P14" t="s">
        <v>29</v>
      </c>
      <c r="Q14" s="656">
        <f>_xlfn.CHISQ.DIST(Q12,Q13,FALSE)</f>
        <v>5.4211317423840118E-2</v>
      </c>
      <c r="R14" s="657" t="e">
        <f ca="1">[1]!CHISQ_DIST(R12,R13,FALSE)</f>
        <v>#NAME?</v>
      </c>
    </row>
    <row r="15" spans="1:20">
      <c r="B15" s="19" t="s">
        <v>28</v>
      </c>
      <c r="C15" s="19">
        <f>C10</f>
        <v>1</v>
      </c>
      <c r="D15">
        <f>D10</f>
        <v>5</v>
      </c>
      <c r="E15">
        <f>E10</f>
        <v>10</v>
      </c>
      <c r="F15">
        <f>F10</f>
        <v>30</v>
      </c>
      <c r="P15" t="s">
        <v>30</v>
      </c>
      <c r="Q15" s="533">
        <f>_xlfn.CHISQ.DIST(Q12,Q13,TRUE)</f>
        <v>4.9999999999999989E-2</v>
      </c>
      <c r="R15" s="541" t="e">
        <f ca="1">[1]!CHISQ_DIST(R12,R13,TRUE)</f>
        <v>#NAME?</v>
      </c>
    </row>
    <row r="16" spans="1:20">
      <c r="B16" s="64">
        <v>0</v>
      </c>
      <c r="C16" t="e">
        <f>$B16^(C$11-1)/(EXP($B16/2)*C$13)</f>
        <v>#DIV/0!</v>
      </c>
      <c r="D16">
        <f t="shared" ref="D16:F31" si="0">$B16^(D$11-1)/(EXP($B16/2)*D$13)</f>
        <v>0</v>
      </c>
      <c r="E16">
        <f t="shared" si="0"/>
        <v>0</v>
      </c>
      <c r="F16">
        <f t="shared" si="0"/>
        <v>0</v>
      </c>
    </row>
    <row r="17" spans="2:6">
      <c r="B17" s="64">
        <f>B16+0.5</f>
        <v>0.5</v>
      </c>
      <c r="C17">
        <f t="shared" ref="C17:F57" si="1">$B17^(C$11-1)/(EXP($B17/2)*C$13)</f>
        <v>0.43939128946772238</v>
      </c>
      <c r="D17">
        <f t="shared" si="0"/>
        <v>3.661594078897687E-2</v>
      </c>
      <c r="E17">
        <f t="shared" si="0"/>
        <v>6.3378969976514082E-5</v>
      </c>
      <c r="F17">
        <f t="shared" si="0"/>
        <v>1.6639801960298342E-20</v>
      </c>
    </row>
    <row r="18" spans="2:6">
      <c r="B18" s="64">
        <f t="shared" ref="B18:B66" si="2">B17+0.5</f>
        <v>1</v>
      </c>
      <c r="C18">
        <f t="shared" si="1"/>
        <v>0.24197072451914331</v>
      </c>
      <c r="D18">
        <f t="shared" si="0"/>
        <v>8.065690817304777E-2</v>
      </c>
      <c r="E18">
        <f t="shared" si="0"/>
        <v>7.8975346316749158E-4</v>
      </c>
      <c r="F18">
        <f t="shared" si="0"/>
        <v>2.1232174361531921E-16</v>
      </c>
    </row>
    <row r="19" spans="2:6">
      <c r="B19" s="64">
        <f t="shared" si="2"/>
        <v>1.5</v>
      </c>
      <c r="C19">
        <f t="shared" si="1"/>
        <v>0.15386632280545529</v>
      </c>
      <c r="D19">
        <f t="shared" si="0"/>
        <v>0.11539974210409143</v>
      </c>
      <c r="E19">
        <f t="shared" si="0"/>
        <v>3.1137443662127436E-3</v>
      </c>
      <c r="F19">
        <f t="shared" si="0"/>
        <v>4.8272354070163344E-14</v>
      </c>
    </row>
    <row r="20" spans="2:6">
      <c r="B20" s="64">
        <f t="shared" si="2"/>
        <v>2</v>
      </c>
      <c r="C20">
        <f t="shared" si="1"/>
        <v>0.10377687435514865</v>
      </c>
      <c r="D20">
        <f t="shared" si="0"/>
        <v>0.1383691658068649</v>
      </c>
      <c r="E20">
        <f t="shared" si="0"/>
        <v>7.6641550244050498E-3</v>
      </c>
      <c r="F20">
        <f t="shared" si="0"/>
        <v>2.1099257401562919E-12</v>
      </c>
    </row>
    <row r="21" spans="2:6">
      <c r="B21" s="64">
        <f t="shared" si="2"/>
        <v>2.5</v>
      </c>
      <c r="C21">
        <f t="shared" si="1"/>
        <v>7.2288957067272508E-2</v>
      </c>
      <c r="D21">
        <f t="shared" si="0"/>
        <v>0.15060199389015105</v>
      </c>
      <c r="E21">
        <f t="shared" si="0"/>
        <v>1.4572387535613513E-2</v>
      </c>
      <c r="F21">
        <f t="shared" si="0"/>
        <v>3.7362311073962552E-11</v>
      </c>
    </row>
    <row r="22" spans="2:6">
      <c r="B22" s="64">
        <f t="shared" si="2"/>
        <v>3</v>
      </c>
      <c r="C22">
        <f t="shared" si="1"/>
        <v>5.1393443267923097E-2</v>
      </c>
      <c r="D22">
        <f t="shared" si="0"/>
        <v>0.15418032980376928</v>
      </c>
      <c r="E22">
        <f t="shared" si="0"/>
        <v>2.3533259078154716E-2</v>
      </c>
      <c r="F22">
        <f t="shared" si="0"/>
        <v>3.7359199002323759E-10</v>
      </c>
    </row>
    <row r="23" spans="2:6">
      <c r="B23" s="64">
        <f t="shared" si="2"/>
        <v>3.5</v>
      </c>
      <c r="C23">
        <f t="shared" si="1"/>
        <v>3.705618452374812E-2</v>
      </c>
      <c r="D23">
        <f t="shared" si="0"/>
        <v>0.15131275347197151</v>
      </c>
      <c r="E23">
        <f t="shared" si="0"/>
        <v>3.3954365089885967E-2</v>
      </c>
      <c r="F23">
        <f t="shared" si="0"/>
        <v>2.5181348906610033E-9</v>
      </c>
    </row>
    <row r="24" spans="2:6">
      <c r="B24" s="64">
        <f t="shared" si="2"/>
        <v>4</v>
      </c>
      <c r="C24">
        <f t="shared" si="1"/>
        <v>2.6995483256594024E-2</v>
      </c>
      <c r="D24">
        <f t="shared" si="0"/>
        <v>0.14397591070183474</v>
      </c>
      <c r="E24">
        <f t="shared" si="0"/>
        <v>4.5111761078870903E-2</v>
      </c>
      <c r="F24">
        <f t="shared" si="0"/>
        <v>1.2717232983276559E-8</v>
      </c>
    </row>
    <row r="25" spans="2:6">
      <c r="B25" s="64">
        <f t="shared" si="2"/>
        <v>4.5</v>
      </c>
      <c r="C25">
        <f t="shared" si="1"/>
        <v>1.9821714870604894E-2</v>
      </c>
      <c r="D25">
        <f t="shared" si="0"/>
        <v>0.13379657537658299</v>
      </c>
      <c r="E25">
        <f t="shared" si="0"/>
        <v>5.6276392606639976E-2</v>
      </c>
      <c r="F25">
        <f t="shared" si="0"/>
        <v>5.1517445644036793E-8</v>
      </c>
    </row>
    <row r="26" spans="2:6">
      <c r="B26" s="64">
        <f t="shared" si="2"/>
        <v>5</v>
      </c>
      <c r="C26">
        <f t="shared" si="1"/>
        <v>1.4644982561926485E-2</v>
      </c>
      <c r="D26">
        <f t="shared" si="0"/>
        <v>0.12204152134938735</v>
      </c>
      <c r="E26">
        <f t="shared" si="0"/>
        <v>6.6800942890542656E-2</v>
      </c>
      <c r="F26">
        <f t="shared" si="0"/>
        <v>1.7538222234784354E-7</v>
      </c>
    </row>
    <row r="27" spans="2:6">
      <c r="B27" s="64">
        <f t="shared" si="2"/>
        <v>5.5</v>
      </c>
      <c r="C27">
        <f t="shared" si="1"/>
        <v>1.087474033728314E-2</v>
      </c>
      <c r="D27">
        <f t="shared" si="0"/>
        <v>0.10965363173427169</v>
      </c>
      <c r="E27">
        <f t="shared" si="0"/>
        <v>7.616925585346726E-2</v>
      </c>
      <c r="F27">
        <f t="shared" si="0"/>
        <v>5.1869198914969111E-7</v>
      </c>
    </row>
    <row r="28" spans="2:6">
      <c r="B28" s="64">
        <f t="shared" si="2"/>
        <v>6</v>
      </c>
      <c r="C28">
        <f t="shared" si="1"/>
        <v>8.1086955549402439E-3</v>
      </c>
      <c r="D28">
        <f t="shared" si="0"/>
        <v>9.7304346659282934E-2</v>
      </c>
      <c r="E28">
        <f t="shared" si="0"/>
        <v>8.4015677870770411E-2</v>
      </c>
      <c r="F28">
        <f t="shared" si="0"/>
        <v>1.365764351001487E-6</v>
      </c>
    </row>
    <row r="29" spans="2:6">
      <c r="B29" s="64">
        <f t="shared" si="2"/>
        <v>6.5</v>
      </c>
      <c r="C29">
        <f t="shared" si="1"/>
        <v>6.0673119025767344E-3</v>
      </c>
      <c r="D29">
        <f t="shared" si="0"/>
        <v>8.544797596128903E-2</v>
      </c>
      <c r="E29">
        <f t="shared" si="0"/>
        <v>9.0122896311996464E-2</v>
      </c>
      <c r="F29">
        <f t="shared" si="0"/>
        <v>3.2619074885449244E-6</v>
      </c>
    </row>
    <row r="30" spans="2:6">
      <c r="B30" s="64">
        <f t="shared" si="2"/>
        <v>7</v>
      </c>
      <c r="C30">
        <f t="shared" si="1"/>
        <v>4.5533429216401732E-3</v>
      </c>
      <c r="D30">
        <f t="shared" si="0"/>
        <v>7.4371267720122813E-2</v>
      </c>
      <c r="E30">
        <f t="shared" si="0"/>
        <v>9.4406142704409821E-2</v>
      </c>
      <c r="F30">
        <f t="shared" si="0"/>
        <v>7.1694127937997707E-6</v>
      </c>
    </row>
    <row r="31" spans="2:6">
      <c r="B31" s="64">
        <f t="shared" si="2"/>
        <v>7.5</v>
      </c>
      <c r="C31">
        <f t="shared" si="1"/>
        <v>3.4259035101394828E-3</v>
      </c>
      <c r="D31">
        <f t="shared" si="0"/>
        <v>6.4235690815115279E-2</v>
      </c>
      <c r="E31">
        <f t="shared" si="0"/>
        <v>9.6890127275428159E-2</v>
      </c>
      <c r="F31">
        <f t="shared" si="0"/>
        <v>1.4668817092095687E-5</v>
      </c>
    </row>
    <row r="32" spans="2:6" ht="15" thickBot="1">
      <c r="B32" s="64">
        <f t="shared" si="2"/>
        <v>8</v>
      </c>
      <c r="C32">
        <f t="shared" si="1"/>
        <v>2.5833731692615066E-3</v>
      </c>
      <c r="D32">
        <f t="shared" si="1"/>
        <v>5.511196094424544E-2</v>
      </c>
      <c r="E32">
        <f t="shared" si="1"/>
        <v>9.7683407406582323E-2</v>
      </c>
      <c r="F32">
        <f t="shared" si="1"/>
        <v>2.8198343930310267E-5</v>
      </c>
    </row>
    <row r="33" spans="2:10">
      <c r="B33" s="64">
        <f t="shared" si="2"/>
        <v>8.5</v>
      </c>
      <c r="C33">
        <f t="shared" si="1"/>
        <v>1.9518617565225447E-3</v>
      </c>
      <c r="D33">
        <f t="shared" si="1"/>
        <v>4.7007337302917958E-2</v>
      </c>
      <c r="E33">
        <f t="shared" si="1"/>
        <v>9.6953375676556569E-2</v>
      </c>
      <c r="F33">
        <f t="shared" si="1"/>
        <v>5.1316275125678344E-5</v>
      </c>
      <c r="H33" s="27"/>
      <c r="I33" s="27" t="s">
        <v>329</v>
      </c>
      <c r="J33" s="27" t="s">
        <v>330</v>
      </c>
    </row>
    <row r="34" spans="2:10">
      <c r="B34" s="64">
        <f t="shared" si="2"/>
        <v>9</v>
      </c>
      <c r="C34">
        <f t="shared" si="1"/>
        <v>1.4772828039793355E-3</v>
      </c>
      <c r="D34">
        <f t="shared" si="1"/>
        <v>3.988663570744206E-2</v>
      </c>
      <c r="E34">
        <f t="shared" si="1"/>
        <v>9.4903810270062214E-2</v>
      </c>
      <c r="F34">
        <f t="shared" si="1"/>
        <v>8.8963462304390755E-5</v>
      </c>
      <c r="H34" s="28" t="s">
        <v>82</v>
      </c>
      <c r="I34" s="28">
        <f>3+12/5</f>
        <v>5.4</v>
      </c>
      <c r="J34" s="28">
        <f>3+ 12/10</f>
        <v>4.2</v>
      </c>
    </row>
    <row r="35" spans="2:10">
      <c r="B35" s="64">
        <f t="shared" si="2"/>
        <v>9.5</v>
      </c>
      <c r="C35">
        <f t="shared" si="1"/>
        <v>1.1198232344578794E-3</v>
      </c>
      <c r="D35">
        <f t="shared" si="1"/>
        <v>3.3688015636607886E-2</v>
      </c>
      <c r="E35">
        <f t="shared" si="1"/>
        <v>9.1755987187978866E-2</v>
      </c>
      <c r="F35">
        <f t="shared" si="1"/>
        <v>1.4769758627383015E-4</v>
      </c>
      <c r="H35" s="1434" t="s">
        <v>83</v>
      </c>
      <c r="I35" s="1434">
        <f>2^1.5/SQRT(5)</f>
        <v>1.2649110640673515</v>
      </c>
      <c r="J35" s="1434">
        <f>2^1.5/SQRT(10)</f>
        <v>0.89442719099991574</v>
      </c>
    </row>
    <row r="36" spans="2:10">
      <c r="B36" s="64">
        <f t="shared" si="2"/>
        <v>10</v>
      </c>
      <c r="C36">
        <f t="shared" si="1"/>
        <v>8.5003666025203423E-4</v>
      </c>
      <c r="D36">
        <f t="shared" si="1"/>
        <v>2.8334555341734478E-2</v>
      </c>
      <c r="E36">
        <f t="shared" si="1"/>
        <v>8.773368488392537E-2</v>
      </c>
      <c r="F36">
        <f t="shared" si="1"/>
        <v>2.3586815148161517E-4</v>
      </c>
    </row>
    <row r="37" spans="2:10">
      <c r="B37" s="64">
        <f t="shared" si="2"/>
        <v>10.5</v>
      </c>
      <c r="C37">
        <f t="shared" si="1"/>
        <v>6.4605484281517439E-4</v>
      </c>
      <c r="D37">
        <f t="shared" si="1"/>
        <v>2.3742515473457661E-2</v>
      </c>
      <c r="E37">
        <f t="shared" si="1"/>
        <v>8.3051971499934485E-2</v>
      </c>
      <c r="F37">
        <f t="shared" si="1"/>
        <v>3.6370215133629049E-4</v>
      </c>
    </row>
    <row r="38" spans="2:10">
      <c r="B38" s="64">
        <f t="shared" si="2"/>
        <v>11</v>
      </c>
      <c r="C38">
        <f t="shared" si="1"/>
        <v>4.9157985005762153E-4</v>
      </c>
      <c r="D38">
        <f t="shared" si="1"/>
        <v>1.9827053952324078E-2</v>
      </c>
      <c r="E38">
        <f t="shared" si="1"/>
        <v>7.7909401862698457E-2</v>
      </c>
      <c r="F38">
        <f t="shared" si="1"/>
        <v>5.4327491774697504E-4</v>
      </c>
    </row>
    <row r="39" spans="2:10">
      <c r="B39" s="64">
        <f t="shared" si="2"/>
        <v>11.5</v>
      </c>
      <c r="C39">
        <f t="shared" si="1"/>
        <v>3.744276176879148E-4</v>
      </c>
      <c r="D39">
        <f t="shared" si="1"/>
        <v>1.650601747974224E-2</v>
      </c>
      <c r="E39">
        <f t="shared" si="1"/>
        <v>7.2483118560877427E-2</v>
      </c>
      <c r="F39">
        <f t="shared" si="1"/>
        <v>7.8834842985415631E-4</v>
      </c>
    </row>
    <row r="40" spans="2:10">
      <c r="B40" s="64">
        <f t="shared" si="2"/>
        <v>12</v>
      </c>
      <c r="C40">
        <f t="shared" si="1"/>
        <v>2.85464791675855E-4</v>
      </c>
      <c r="D40">
        <f t="shared" si="1"/>
        <v>1.3702310000441044E-2</v>
      </c>
      <c r="E40">
        <f t="shared" si="1"/>
        <v>6.6926308769991699E-2</v>
      </c>
      <c r="F40">
        <f t="shared" si="1"/>
        <v>1.1140694526804355E-3</v>
      </c>
    </row>
    <row r="41" spans="2:10">
      <c r="B41" s="64">
        <f t="shared" si="2"/>
        <v>12.5</v>
      </c>
      <c r="C41">
        <f t="shared" si="1"/>
        <v>2.17828423035271E-4</v>
      </c>
      <c r="D41">
        <f t="shared" si="1"/>
        <v>1.1345230366420366E-2</v>
      </c>
      <c r="E41">
        <f t="shared" si="1"/>
        <v>6.1367484290685968E-2</v>
      </c>
      <c r="F41">
        <f t="shared" si="1"/>
        <v>1.5365311998272934E-3</v>
      </c>
    </row>
    <row r="42" spans="2:10">
      <c r="B42" s="64">
        <f t="shared" si="2"/>
        <v>13</v>
      </c>
      <c r="C42">
        <f t="shared" si="1"/>
        <v>1.6635055620285903E-4</v>
      </c>
      <c r="D42">
        <f t="shared" si="1"/>
        <v>9.3710813327610581E-3</v>
      </c>
      <c r="E42">
        <f t="shared" si="1"/>
        <v>5.5911102591969346E-2</v>
      </c>
      <c r="F42">
        <f t="shared" si="1"/>
        <v>2.072213567712318E-3</v>
      </c>
    </row>
    <row r="43" spans="2:10">
      <c r="B43" s="64">
        <f t="shared" si="2"/>
        <v>13.5</v>
      </c>
      <c r="C43">
        <f t="shared" si="1"/>
        <v>1.271321608565569E-4</v>
      </c>
      <c r="D43">
        <f t="shared" si="1"/>
        <v>7.7232787720358312E-3</v>
      </c>
      <c r="E43">
        <f t="shared" si="1"/>
        <v>5.0639114302806203E-2</v>
      </c>
      <c r="F43">
        <f t="shared" si="1"/>
        <v>2.7373272388784143E-3</v>
      </c>
    </row>
    <row r="44" spans="2:10">
      <c r="B44" s="64">
        <f t="shared" si="2"/>
        <v>14</v>
      </c>
      <c r="C44">
        <f t="shared" si="1"/>
        <v>9.7226505045914372E-5</v>
      </c>
      <c r="D44">
        <f t="shared" si="1"/>
        <v>6.3521316629997363E-3</v>
      </c>
      <c r="E44">
        <f t="shared" si="1"/>
        <v>4.561309581867487E-2</v>
      </c>
      <c r="F44">
        <f t="shared" si="1"/>
        <v>3.5470951554621008E-3</v>
      </c>
    </row>
    <row r="45" spans="2:10">
      <c r="B45" s="64">
        <f t="shared" si="2"/>
        <v>14.5</v>
      </c>
      <c r="C45">
        <f t="shared" si="1"/>
        <v>7.4403106875490743E-5</v>
      </c>
      <c r="D45">
        <f t="shared" si="1"/>
        <v>5.214417740190643E-3</v>
      </c>
      <c r="E45">
        <f t="shared" si="1"/>
        <v>4.0876696933182535E-2</v>
      </c>
      <c r="F45">
        <f t="shared" si="1"/>
        <v>4.5150103526663413E-3</v>
      </c>
    </row>
    <row r="46" spans="2:10">
      <c r="B46" s="64">
        <f t="shared" si="2"/>
        <v>15</v>
      </c>
      <c r="C46">
        <f t="shared" si="1"/>
        <v>5.6971259661427418E-5</v>
      </c>
      <c r="D46">
        <f t="shared" si="1"/>
        <v>4.2728444746070555E-3</v>
      </c>
      <c r="E46">
        <f t="shared" si="1"/>
        <v>3.6458198227518335E-2</v>
      </c>
      <c r="F46">
        <f t="shared" si="1"/>
        <v>5.6521115628370153E-3</v>
      </c>
    </row>
    <row r="47" spans="2:10">
      <c r="B47" s="64">
        <f t="shared" si="2"/>
        <v>15.5</v>
      </c>
      <c r="C47">
        <f t="shared" si="1"/>
        <v>4.3647762144189506E-5</v>
      </c>
      <c r="D47">
        <f t="shared" si="1"/>
        <v>3.4954582850471741E-3</v>
      </c>
      <c r="E47">
        <f t="shared" si="1"/>
        <v>3.2373029119059205E-2</v>
      </c>
      <c r="F47">
        <f t="shared" si="1"/>
        <v>6.9663173144708474E-3</v>
      </c>
    </row>
    <row r="48" spans="2:10">
      <c r="B48" s="64">
        <f t="shared" si="2"/>
        <v>16</v>
      </c>
      <c r="C48">
        <f t="shared" si="1"/>
        <v>3.3457556441221335E-5</v>
      </c>
      <c r="D48">
        <f t="shared" si="1"/>
        <v>2.8550448163175528E-3</v>
      </c>
      <c r="E48">
        <f t="shared" si="1"/>
        <v>2.8626144247681014E-2</v>
      </c>
      <c r="F48">
        <f t="shared" si="1"/>
        <v>8.461855697926424E-3</v>
      </c>
    </row>
    <row r="49" spans="2:6">
      <c r="B49" s="64">
        <f t="shared" si="2"/>
        <v>16.5</v>
      </c>
      <c r="C49">
        <f t="shared" si="1"/>
        <v>2.5658934493672183E-5</v>
      </c>
      <c r="D49">
        <f t="shared" si="1"/>
        <v>2.328548305300751E-3</v>
      </c>
      <c r="E49">
        <f t="shared" si="1"/>
        <v>2.5214193484191967E-2</v>
      </c>
      <c r="F49">
        <f t="shared" si="1"/>
        <v>1.0138821013405646E-2</v>
      </c>
    </row>
    <row r="50" spans="2:6">
      <c r="B50" s="64">
        <f t="shared" si="2"/>
        <v>17</v>
      </c>
      <c r="C50">
        <f t="shared" si="1"/>
        <v>1.9687134527509615E-5</v>
      </c>
      <c r="D50">
        <f t="shared" si="1"/>
        <v>1.8965272928167607E-3</v>
      </c>
      <c r="E50">
        <f t="shared" si="1"/>
        <v>2.2127450062679709E-2</v>
      </c>
      <c r="F50">
        <f t="shared" si="1"/>
        <v>1.1992880770764573E-2</v>
      </c>
    </row>
    <row r="51" spans="2:6">
      <c r="B51" s="64">
        <f t="shared" si="2"/>
        <v>17.5</v>
      </c>
      <c r="C51">
        <f t="shared" si="1"/>
        <v>1.5111734848619759E-5</v>
      </c>
      <c r="D51">
        <f t="shared" si="1"/>
        <v>1.5426562657966016E-3</v>
      </c>
      <c r="E51">
        <f t="shared" si="1"/>
        <v>1.9351483235825539E-2</v>
      </c>
      <c r="F51">
        <f t="shared" si="1"/>
        <v>1.401514766618263E-2</v>
      </c>
    </row>
    <row r="52" spans="2:6">
      <c r="B52" s="64">
        <f t="shared" si="2"/>
        <v>18</v>
      </c>
      <c r="C52">
        <f t="shared" si="1"/>
        <v>1.1604420995562321E-5</v>
      </c>
      <c r="D52">
        <f t="shared" si="1"/>
        <v>1.2532774675207297E-3</v>
      </c>
      <c r="E52">
        <f t="shared" si="1"/>
        <v>1.686857759609801E-2</v>
      </c>
      <c r="F52">
        <f t="shared" si="1"/>
        <v>1.6192221917503927E-2</v>
      </c>
    </row>
    <row r="53" spans="2:6">
      <c r="B53" s="64">
        <f t="shared" si="2"/>
        <v>18.5</v>
      </c>
      <c r="C53">
        <f t="shared" si="1"/>
        <v>8.9145668075170811E-6</v>
      </c>
      <c r="D53">
        <f t="shared" si="1"/>
        <v>1.0170034966242405E-3</v>
      </c>
      <c r="E53">
        <f t="shared" si="1"/>
        <v>1.4658911941653285E-2</v>
      </c>
      <c r="F53">
        <f t="shared" si="1"/>
        <v>1.8506400348280421E-2</v>
      </c>
    </row>
    <row r="54" spans="2:6">
      <c r="B54" s="64">
        <f t="shared" si="2"/>
        <v>19</v>
      </c>
      <c r="C54">
        <f t="shared" si="1"/>
        <v>6.8507116348430993E-6</v>
      </c>
      <c r="D54">
        <f t="shared" si="1"/>
        <v>8.2436896672611931E-4</v>
      </c>
      <c r="E54">
        <f t="shared" si="1"/>
        <v>1.2701517347389361E-2</v>
      </c>
      <c r="F54">
        <f t="shared" si="1"/>
        <v>2.0936040426336948E-2</v>
      </c>
    </row>
    <row r="55" spans="2:6">
      <c r="B55" s="64">
        <f t="shared" si="2"/>
        <v>19.5</v>
      </c>
      <c r="C55">
        <f t="shared" si="1"/>
        <v>5.2664936100556295E-6</v>
      </c>
      <c r="D55">
        <f t="shared" si="1"/>
        <v>6.6752806507455113E-4</v>
      </c>
      <c r="E55">
        <f t="shared" si="1"/>
        <v>1.0975037854508863E-2</v>
      </c>
      <c r="F55">
        <f t="shared" si="1"/>
        <v>2.3456060519275412E-2</v>
      </c>
    </row>
    <row r="56" spans="2:6">
      <c r="B56" s="64">
        <f t="shared" si="2"/>
        <v>20</v>
      </c>
      <c r="C56">
        <f t="shared" si="1"/>
        <v>4.049955478044558E-6</v>
      </c>
      <c r="D56">
        <f t="shared" si="1"/>
        <v>5.3999406373927451E-4</v>
      </c>
      <c r="E56">
        <f t="shared" si="1"/>
        <v>9.4583187005176789E-3</v>
      </c>
      <c r="F56">
        <f t="shared" si="1"/>
        <v>2.6038552223013031E-2</v>
      </c>
    </row>
    <row r="57" spans="2:6">
      <c r="B57" s="64">
        <f t="shared" si="2"/>
        <v>20.5</v>
      </c>
      <c r="C57">
        <f t="shared" si="1"/>
        <v>3.1154063142276254E-6</v>
      </c>
      <c r="D57">
        <f t="shared" si="1"/>
        <v>4.364165011847201E-4</v>
      </c>
      <c r="E57">
        <f t="shared" si="1"/>
        <v>8.1308469206181136E-3</v>
      </c>
      <c r="F57">
        <f t="shared" si="1"/>
        <v>2.8653476908645181E-2</v>
      </c>
    </row>
    <row r="58" spans="2:6">
      <c r="B58" s="64">
        <f t="shared" si="2"/>
        <v>21</v>
      </c>
      <c r="C58">
        <f t="shared" ref="C58:F66" si="3">$B58^(C$11-1)/(EXP($B58/2)*C$13)</f>
        <v>2.3972225728510397E-6</v>
      </c>
      <c r="D58">
        <f t="shared" si="3"/>
        <v>3.5239171820910289E-4</v>
      </c>
      <c r="E58">
        <f t="shared" si="3"/>
        <v>6.9730679765471074E-3</v>
      </c>
      <c r="F58">
        <f t="shared" si="3"/>
        <v>3.1269416648032858E-2</v>
      </c>
    </row>
    <row r="59" spans="2:6">
      <c r="B59" s="64">
        <f t="shared" si="2"/>
        <v>21.5</v>
      </c>
      <c r="C59">
        <f t="shared" si="3"/>
        <v>1.8451222900996885E-6</v>
      </c>
      <c r="D59">
        <f t="shared" si="3"/>
        <v>2.843025928661937E-4</v>
      </c>
      <c r="E59">
        <f t="shared" si="3"/>
        <v>5.9666002114390753E-3</v>
      </c>
      <c r="F59">
        <f t="shared" si="3"/>
        <v>3.3854349339468265E-2</v>
      </c>
    </row>
    <row r="60" spans="2:6">
      <c r="B60" s="64">
        <f t="shared" si="2"/>
        <v>22</v>
      </c>
      <c r="C60">
        <f t="shared" si="3"/>
        <v>1.4205594857744214E-6</v>
      </c>
      <c r="D60">
        <f t="shared" si="3"/>
        <v>2.2918359703827341E-4</v>
      </c>
      <c r="E60">
        <f t="shared" si="3"/>
        <v>5.0943666931247238E-3</v>
      </c>
      <c r="F60">
        <f t="shared" si="3"/>
        <v>3.6376418993475629E-2</v>
      </c>
    </row>
    <row r="61" spans="2:6">
      <c r="B61" s="64">
        <f t="shared" si="2"/>
        <v>22.5</v>
      </c>
      <c r="C61">
        <f t="shared" si="3"/>
        <v>1.0939711911524848E-6</v>
      </c>
      <c r="D61">
        <f t="shared" si="3"/>
        <v>1.8460763850698179E-4</v>
      </c>
      <c r="E61">
        <f t="shared" si="3"/>
        <v>4.3406616164315629E-3</v>
      </c>
      <c r="F61">
        <f t="shared" si="3"/>
        <v>3.880467452378384E-2</v>
      </c>
    </row>
    <row r="62" spans="2:6">
      <c r="B62" s="64">
        <f t="shared" si="2"/>
        <v>23</v>
      </c>
      <c r="C62">
        <f t="shared" si="3"/>
        <v>8.4267402248654239E-7</v>
      </c>
      <c r="D62">
        <f t="shared" si="3"/>
        <v>1.4859151929846027E-4</v>
      </c>
      <c r="E62">
        <f t="shared" si="3"/>
        <v>3.691166045227106E-3</v>
      </c>
      <c r="F62">
        <f t="shared" si="3"/>
        <v>4.1109753749477083E-2</v>
      </c>
    </row>
    <row r="63" spans="2:6">
      <c r="B63" s="64">
        <f t="shared" si="2"/>
        <v>23.5</v>
      </c>
      <c r="C63">
        <f t="shared" si="3"/>
        <v>6.4925600080124926E-7</v>
      </c>
      <c r="D63">
        <f t="shared" si="3"/>
        <v>1.195172088141633E-4</v>
      </c>
      <c r="E63">
        <f t="shared" si="3"/>
        <v>3.1329254933363622E-3</v>
      </c>
      <c r="F63">
        <f t="shared" si="3"/>
        <v>4.3264493364934244E-2</v>
      </c>
    </row>
    <row r="64" spans="2:6">
      <c r="B64" s="64">
        <f t="shared" si="2"/>
        <v>24</v>
      </c>
      <c r="C64">
        <f t="shared" si="3"/>
        <v>5.0034626491685239E-7</v>
      </c>
      <c r="D64">
        <f t="shared" si="3"/>
        <v>9.6066482864035687E-5</v>
      </c>
      <c r="E64">
        <f t="shared" si="3"/>
        <v>2.6542997366377869E-3</v>
      </c>
      <c r="F64">
        <f t="shared" si="3"/>
        <v>4.5244450091649076E-2</v>
      </c>
    </row>
    <row r="65" spans="2:6">
      <c r="B65" s="64">
        <f t="shared" si="2"/>
        <v>24.5</v>
      </c>
      <c r="C65">
        <f t="shared" si="3"/>
        <v>3.8567334124177013E-7</v>
      </c>
      <c r="D65">
        <f t="shared" si="3"/>
        <v>7.7166807693457539E-5</v>
      </c>
      <c r="E65">
        <f t="shared" si="3"/>
        <v>2.2448933534556241E-3</v>
      </c>
      <c r="F65">
        <f t="shared" si="3"/>
        <v>4.7028322827086293E-2</v>
      </c>
    </row>
    <row r="66" spans="2:6">
      <c r="B66" s="64">
        <f t="shared" si="2"/>
        <v>25</v>
      </c>
      <c r="C66">
        <f t="shared" si="3"/>
        <v>2.9734390294685955E-7</v>
      </c>
      <c r="D66">
        <f t="shared" si="3"/>
        <v>6.1946646447262371E-5</v>
      </c>
      <c r="E66">
        <f t="shared" si="3"/>
        <v>1.8954738220614987E-3</v>
      </c>
      <c r="F66">
        <f t="shared" si="3"/>
        <v>4.859827011828978E-2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>
  <sheetPr codeName="Sheet32"/>
  <dimension ref="A1:I20"/>
  <sheetViews>
    <sheetView topLeftCell="A4" workbookViewId="0">
      <selection activeCell="Q27" sqref="Q27"/>
    </sheetView>
  </sheetViews>
  <sheetFormatPr defaultRowHeight="14.4"/>
  <cols>
    <col min="1" max="1" width="14.44140625" customWidth="1"/>
    <col min="2" max="2" width="9" customWidth="1"/>
    <col min="3" max="3" width="3.5546875" customWidth="1"/>
    <col min="4" max="4" width="33.33203125" customWidth="1"/>
    <col min="5" max="5" width="10" customWidth="1"/>
    <col min="6" max="6" width="16.6640625" customWidth="1"/>
    <col min="8" max="8" width="3.88671875" customWidth="1"/>
    <col min="9" max="9" width="23" customWidth="1"/>
  </cols>
  <sheetData>
    <row r="1" spans="1:9">
      <c r="A1" s="1" t="s">
        <v>334</v>
      </c>
    </row>
    <row r="2" spans="1:9">
      <c r="A2" s="1"/>
    </row>
    <row r="3" spans="1:9">
      <c r="A3" s="1" t="s">
        <v>3834</v>
      </c>
      <c r="F3" s="1" t="s">
        <v>3603</v>
      </c>
    </row>
    <row r="4" spans="1:9">
      <c r="F4" s="1"/>
    </row>
    <row r="5" spans="1:9">
      <c r="A5" t="s">
        <v>106</v>
      </c>
      <c r="B5" s="1235">
        <v>30</v>
      </c>
      <c r="C5" s="8"/>
      <c r="D5" s="8"/>
      <c r="F5" t="s">
        <v>106</v>
      </c>
      <c r="G5" s="542">
        <v>25</v>
      </c>
      <c r="I5" t="e">
        <f ca="1">[1]!FTEXT(G5)</f>
        <v>#NAME?</v>
      </c>
    </row>
    <row r="6" spans="1:9">
      <c r="A6" t="s">
        <v>186</v>
      </c>
      <c r="B6" s="627">
        <f>B5-1</f>
        <v>29</v>
      </c>
      <c r="C6" s="8"/>
      <c r="D6" s="8" t="s">
        <v>3947</v>
      </c>
      <c r="F6" t="s">
        <v>186</v>
      </c>
      <c r="G6" s="627">
        <f>G5-1</f>
        <v>24</v>
      </c>
      <c r="I6" t="e">
        <f ca="1">[1]!FTEXT(G6)</f>
        <v>#NAME?</v>
      </c>
    </row>
    <row r="7" spans="1:9">
      <c r="A7" t="s">
        <v>338</v>
      </c>
      <c r="B7" s="627">
        <v>1.1000000000000001</v>
      </c>
      <c r="C7" s="8"/>
      <c r="D7" s="8"/>
      <c r="F7" t="s">
        <v>338</v>
      </c>
      <c r="G7" s="627">
        <v>1.2</v>
      </c>
    </row>
    <row r="8" spans="1:9">
      <c r="A8" t="s">
        <v>335</v>
      </c>
      <c r="B8" s="627">
        <f>B7^2</f>
        <v>1.2100000000000002</v>
      </c>
      <c r="C8" s="8"/>
      <c r="D8" s="8" t="s">
        <v>3948</v>
      </c>
      <c r="F8" t="s">
        <v>335</v>
      </c>
      <c r="G8" s="627">
        <f>G7^2</f>
        <v>1.44</v>
      </c>
      <c r="I8" t="e">
        <f ca="1">[1]!FTEXT(G8)</f>
        <v>#NAME?</v>
      </c>
    </row>
    <row r="9" spans="1:9">
      <c r="A9" s="65" t="s">
        <v>157</v>
      </c>
      <c r="B9" s="627">
        <v>0.05</v>
      </c>
      <c r="C9" s="8"/>
      <c r="D9" s="8"/>
      <c r="F9" t="s">
        <v>340</v>
      </c>
      <c r="G9" s="627">
        <v>1.5</v>
      </c>
    </row>
    <row r="10" spans="1:9">
      <c r="A10" t="s">
        <v>3949</v>
      </c>
      <c r="B10" s="627">
        <f>CHIINV(1-B9/2,B6)</f>
        <v>16.047071695364892</v>
      </c>
      <c r="C10" s="8"/>
      <c r="D10" s="1160" t="s">
        <v>3951</v>
      </c>
      <c r="F10" t="s">
        <v>336</v>
      </c>
      <c r="G10" s="627">
        <f>G9^2</f>
        <v>2.25</v>
      </c>
      <c r="I10" t="e">
        <f ca="1">[1]!FTEXT(G10)</f>
        <v>#NAME?</v>
      </c>
    </row>
    <row r="11" spans="1:9">
      <c r="A11" t="s">
        <v>3950</v>
      </c>
      <c r="B11" s="627">
        <f>CHIINV(B9/2,B6)</f>
        <v>45.722285804174533</v>
      </c>
      <c r="C11" s="8"/>
      <c r="D11" s="1160" t="s">
        <v>3952</v>
      </c>
      <c r="F11" s="65" t="s">
        <v>157</v>
      </c>
      <c r="G11" s="627">
        <v>0.05</v>
      </c>
    </row>
    <row r="12" spans="1:9">
      <c r="A12" t="s">
        <v>103</v>
      </c>
      <c r="B12" s="627">
        <f>B8/B6*B10</f>
        <v>0.6695502328066042</v>
      </c>
      <c r="C12" s="8"/>
      <c r="D12" s="1160" t="e">
        <f ca="1">[1]!FTEXT(B12)</f>
        <v>#NAME?</v>
      </c>
      <c r="F12" t="s">
        <v>28</v>
      </c>
      <c r="G12" s="627">
        <f>G6*G10/G8</f>
        <v>37.5</v>
      </c>
      <c r="I12" t="e">
        <f ca="1">[1]!FTEXT(G12)</f>
        <v>#NAME?</v>
      </c>
    </row>
    <row r="13" spans="1:9">
      <c r="A13" t="s">
        <v>104</v>
      </c>
      <c r="B13" s="627">
        <f>B8/B6*B11</f>
        <v>1.9077229594155583</v>
      </c>
      <c r="C13" s="8"/>
      <c r="D13" s="1160" t="e">
        <f ca="1">[1]!FTEXT(B13)</f>
        <v>#NAME?</v>
      </c>
      <c r="F13" t="s">
        <v>200</v>
      </c>
      <c r="G13" s="627">
        <f>CHIDIST(G12,G6)</f>
        <v>3.898179833314705E-2</v>
      </c>
      <c r="I13" s="23" t="s">
        <v>3954</v>
      </c>
    </row>
    <row r="14" spans="1:9">
      <c r="A14" t="s">
        <v>948</v>
      </c>
      <c r="B14" s="538" t="str">
        <f>IF(AND(B12&lt;B8,B8&lt;B13),"no","yes")</f>
        <v>no</v>
      </c>
      <c r="D14" s="1160" t="e">
        <f ca="1">[1]!FTEXT(B14)</f>
        <v>#NAME?</v>
      </c>
      <c r="F14" t="s">
        <v>948</v>
      </c>
      <c r="G14" s="699" t="str">
        <f>IF(G13&lt;G11,"yes","no")</f>
        <v>yes</v>
      </c>
      <c r="I14" t="s">
        <v>3953</v>
      </c>
    </row>
    <row r="15" spans="1:9">
      <c r="F15" t="s">
        <v>347</v>
      </c>
      <c r="G15" s="544">
        <f>CHIINV(G11,G6)</f>
        <v>36.415028501807313</v>
      </c>
      <c r="I15" s="23" t="s">
        <v>3955</v>
      </c>
    </row>
    <row r="17" spans="6:9">
      <c r="F17" t="s">
        <v>1910</v>
      </c>
    </row>
    <row r="19" spans="6:9">
      <c r="F19" t="s">
        <v>3949</v>
      </c>
      <c r="G19" s="542">
        <f>CHIINV(1-G11/2,G6)</f>
        <v>12.401150217444435</v>
      </c>
      <c r="I19" t="e">
        <f ca="1">[1]!FTEXT(G19)</f>
        <v>#NAME?</v>
      </c>
    </row>
    <row r="20" spans="6:9">
      <c r="F20" t="s">
        <v>3950</v>
      </c>
      <c r="G20" s="544">
        <f>CHIINV(G11/2,G6)</f>
        <v>39.364077026603915</v>
      </c>
      <c r="I20" t="e">
        <f ca="1">[1]!FTEXT(G20)</f>
        <v>#NAME?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sheetPr codeName="Sheet233"/>
  <dimension ref="A1:D10"/>
  <sheetViews>
    <sheetView workbookViewId="0">
      <selection activeCell="I19" sqref="I19"/>
    </sheetView>
  </sheetViews>
  <sheetFormatPr defaultRowHeight="14.4"/>
  <cols>
    <col min="3" max="3" width="4" customWidth="1"/>
    <col min="4" max="4" width="27.88671875" customWidth="1"/>
  </cols>
  <sheetData>
    <row r="1" spans="1:4">
      <c r="A1" s="1" t="s">
        <v>332</v>
      </c>
    </row>
    <row r="3" spans="1:4">
      <c r="A3" t="s">
        <v>106</v>
      </c>
      <c r="B3" s="542">
        <v>10</v>
      </c>
    </row>
    <row r="4" spans="1:4">
      <c r="A4" t="s">
        <v>325</v>
      </c>
      <c r="B4" s="627">
        <v>0.5</v>
      </c>
    </row>
    <row r="5" spans="1:4">
      <c r="A5" t="s">
        <v>28</v>
      </c>
      <c r="B5" s="627">
        <v>9</v>
      </c>
    </row>
    <row r="6" spans="1:4" ht="16.2">
      <c r="A6" t="s">
        <v>1916</v>
      </c>
      <c r="B6" s="627">
        <f>(B5-B3*B4)^2/(B3*B4*(1-B4))</f>
        <v>6.4</v>
      </c>
      <c r="D6" t="e">
        <f ca="1">[1]!FTEXT(B6)</f>
        <v>#NAME?</v>
      </c>
    </row>
    <row r="7" spans="1:4">
      <c r="A7" s="65" t="s">
        <v>157</v>
      </c>
      <c r="B7" s="627">
        <v>0.05</v>
      </c>
    </row>
    <row r="8" spans="1:4">
      <c r="A8" s="65" t="s">
        <v>186</v>
      </c>
      <c r="B8" s="627">
        <v>1</v>
      </c>
    </row>
    <row r="9" spans="1:4">
      <c r="A9" t="s">
        <v>200</v>
      </c>
      <c r="B9" s="627">
        <f>CHIDIST(B6,B8)</f>
        <v>1.1412036386001658E-2</v>
      </c>
      <c r="D9" s="23" t="s">
        <v>3961</v>
      </c>
    </row>
    <row r="10" spans="1:4">
      <c r="A10" t="s">
        <v>948</v>
      </c>
      <c r="B10" s="538" t="str">
        <f>IF(B9&lt;B7,"yes","no")</f>
        <v>yes</v>
      </c>
      <c r="D10" t="e">
        <f ca="1">[1]!FTEXT(B10)</f>
        <v>#NAME?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sheetPr codeName="Sheet33"/>
  <dimension ref="A1:M12"/>
  <sheetViews>
    <sheetView workbookViewId="0">
      <selection activeCell="M17" sqref="M17"/>
    </sheetView>
  </sheetViews>
  <sheetFormatPr defaultRowHeight="14.4"/>
  <cols>
    <col min="1" max="1" width="12.109375" customWidth="1"/>
    <col min="2" max="7" width="6.109375" customWidth="1"/>
    <col min="8" max="8" width="7.109375" customWidth="1"/>
    <col min="9" max="9" width="5.109375" customWidth="1"/>
    <col min="12" max="12" width="3.109375" customWidth="1"/>
    <col min="13" max="13" width="24" customWidth="1"/>
  </cols>
  <sheetData>
    <row r="1" spans="1:13">
      <c r="A1" s="1" t="s">
        <v>332</v>
      </c>
    </row>
    <row r="3" spans="1:13">
      <c r="A3" t="s">
        <v>353</v>
      </c>
      <c r="B3" s="107">
        <v>1</v>
      </c>
      <c r="C3" s="107">
        <f>B3+1</f>
        <v>2</v>
      </c>
      <c r="D3" s="107">
        <f>C3+1</f>
        <v>3</v>
      </c>
      <c r="E3" s="107">
        <f>D3+1</f>
        <v>4</v>
      </c>
      <c r="F3" s="107">
        <f>E3+1</f>
        <v>5</v>
      </c>
      <c r="G3" s="107">
        <f>F3+1</f>
        <v>6</v>
      </c>
      <c r="H3" s="107" t="s">
        <v>12</v>
      </c>
      <c r="J3" t="s">
        <v>157</v>
      </c>
      <c r="K3" s="542">
        <v>0.05</v>
      </c>
    </row>
    <row r="4" spans="1:13">
      <c r="A4" t="s">
        <v>354</v>
      </c>
      <c r="B4" s="85">
        <v>5</v>
      </c>
      <c r="C4" s="115">
        <v>14</v>
      </c>
      <c r="D4" s="115">
        <v>7</v>
      </c>
      <c r="E4" s="115">
        <v>18</v>
      </c>
      <c r="F4" s="115">
        <v>7</v>
      </c>
      <c r="G4" s="86">
        <v>9</v>
      </c>
      <c r="H4" s="107">
        <f>SUM(B4:G4)</f>
        <v>60</v>
      </c>
      <c r="J4" t="s">
        <v>186</v>
      </c>
      <c r="K4" s="627">
        <f>COUNT(B3:G3)-1</f>
        <v>5</v>
      </c>
    </row>
    <row r="5" spans="1:13">
      <c r="A5" t="s">
        <v>355</v>
      </c>
      <c r="B5" s="89">
        <f t="shared" ref="B5:G5" si="0">$H$4/6</f>
        <v>10</v>
      </c>
      <c r="C5" s="119">
        <f t="shared" si="0"/>
        <v>10</v>
      </c>
      <c r="D5" s="119">
        <f t="shared" si="0"/>
        <v>10</v>
      </c>
      <c r="E5" s="119">
        <f t="shared" si="0"/>
        <v>10</v>
      </c>
      <c r="F5" s="119">
        <f t="shared" si="0"/>
        <v>10</v>
      </c>
      <c r="G5" s="90">
        <f t="shared" si="0"/>
        <v>10</v>
      </c>
      <c r="H5" s="107">
        <f>SUM(B5:G5)</f>
        <v>60</v>
      </c>
      <c r="J5" s="65" t="s">
        <v>346</v>
      </c>
      <c r="K5" s="627">
        <f>H7</f>
        <v>12.4</v>
      </c>
      <c r="M5" t="e">
        <f ca="1">[1]!FTEXT(K5)</f>
        <v>#NAME?</v>
      </c>
    </row>
    <row r="6" spans="1:13">
      <c r="J6" s="65" t="s">
        <v>347</v>
      </c>
      <c r="K6" s="627">
        <f>CHIINV(K3,K4)</f>
        <v>11.070497693516353</v>
      </c>
      <c r="M6" s="23" t="s">
        <v>3962</v>
      </c>
    </row>
    <row r="7" spans="1:13">
      <c r="A7" s="65" t="s">
        <v>345</v>
      </c>
      <c r="B7" s="105">
        <f t="shared" ref="B7:G7" si="1">(B4-B5)^2/B5</f>
        <v>2.5</v>
      </c>
      <c r="C7" s="121">
        <f t="shared" si="1"/>
        <v>1.6</v>
      </c>
      <c r="D7" s="121">
        <f t="shared" si="1"/>
        <v>0.9</v>
      </c>
      <c r="E7" s="121">
        <f t="shared" si="1"/>
        <v>6.4</v>
      </c>
      <c r="F7" s="121">
        <f t="shared" si="1"/>
        <v>0.9</v>
      </c>
      <c r="G7" s="106">
        <f t="shared" si="1"/>
        <v>0.1</v>
      </c>
      <c r="H7" s="107">
        <f>SUM(B7:G7)</f>
        <v>12.4</v>
      </c>
      <c r="J7" t="s">
        <v>200</v>
      </c>
      <c r="K7" s="627">
        <f>CHIDIST(K5,K4)</f>
        <v>2.9699459203520202E-2</v>
      </c>
      <c r="M7" s="23" t="s">
        <v>3963</v>
      </c>
    </row>
    <row r="8" spans="1:13">
      <c r="J8" t="s">
        <v>948</v>
      </c>
      <c r="K8" s="538" t="str">
        <f>IF(K7&lt;K3,"yes","no")</f>
        <v>yes</v>
      </c>
      <c r="M8" t="e">
        <f ca="1">[1]!FTEXT(K8)</f>
        <v>#NAME?</v>
      </c>
    </row>
    <row r="10" spans="1:13">
      <c r="J10" t="s">
        <v>200</v>
      </c>
      <c r="K10" s="756">
        <f>_xlfn.CHISQ.TEST(B4:G4,B5:G5)</f>
        <v>2.9699459203520202E-2</v>
      </c>
      <c r="M10" t="e">
        <f ca="1">[1]!FTEXT(K10)</f>
        <v>#NAME?</v>
      </c>
    </row>
    <row r="12" spans="1:13">
      <c r="J12" t="s">
        <v>200</v>
      </c>
      <c r="K12" s="756" t="e">
        <f ca="1">[1]!FIT_TEST(B4:G4,B5:G5)</f>
        <v>#NAME?</v>
      </c>
      <c r="M12" t="e">
        <f ca="1">[1]!FTEXT(K12)</f>
        <v>#NAME?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sheetPr codeName="Sheet34"/>
  <dimension ref="A1:G22"/>
  <sheetViews>
    <sheetView workbookViewId="0"/>
  </sheetViews>
  <sheetFormatPr defaultRowHeight="14.4"/>
  <cols>
    <col min="1" max="1" width="8.44140625" customWidth="1"/>
    <col min="2" max="3" width="11.5546875" customWidth="1"/>
    <col min="4" max="4" width="6.33203125" customWidth="1"/>
    <col min="5" max="5" width="11.5546875" customWidth="1"/>
    <col min="7" max="7" width="12.33203125" customWidth="1"/>
  </cols>
  <sheetData>
    <row r="1" spans="1:7">
      <c r="A1" s="1" t="s">
        <v>332</v>
      </c>
    </row>
    <row r="2" spans="1:7">
      <c r="A2" s="1"/>
    </row>
    <row r="3" spans="1:7" s="112" customFormat="1" ht="28.8">
      <c r="A3" s="111" t="s">
        <v>341</v>
      </c>
      <c r="B3" s="112" t="s">
        <v>333</v>
      </c>
      <c r="C3" s="112" t="s">
        <v>26</v>
      </c>
      <c r="E3" s="112" t="s">
        <v>343</v>
      </c>
      <c r="G3" s="120" t="s">
        <v>345</v>
      </c>
    </row>
    <row r="4" spans="1:7">
      <c r="A4" s="114">
        <v>1</v>
      </c>
      <c r="B4" s="115">
        <v>7</v>
      </c>
      <c r="C4" s="86">
        <v>24</v>
      </c>
      <c r="E4" s="48">
        <f t="shared" ref="E4:E11" si="0">C4*B$12/C$12</f>
        <v>6.4390243902439028</v>
      </c>
      <c r="G4" s="48">
        <f>(B4-E4)^2/E4</f>
        <v>4.8872875092387219E-2</v>
      </c>
    </row>
    <row r="5" spans="1:7">
      <c r="A5" s="116">
        <f>A4+1</f>
        <v>2</v>
      </c>
      <c r="B5" s="117">
        <v>11</v>
      </c>
      <c r="C5" s="88">
        <v>27</v>
      </c>
      <c r="E5" s="40">
        <f t="shared" si="0"/>
        <v>7.2439024390243905</v>
      </c>
      <c r="G5" s="40">
        <f t="shared" ref="G5:G11" si="1">(B5-E5)^2/E5</f>
        <v>1.9476061427280935</v>
      </c>
    </row>
    <row r="6" spans="1:7">
      <c r="A6" s="116">
        <f t="shared" ref="A6:A11" si="2">A5+1</f>
        <v>3</v>
      </c>
      <c r="B6" s="117">
        <v>5</v>
      </c>
      <c r="C6" s="88">
        <v>20</v>
      </c>
      <c r="E6" s="40">
        <f t="shared" si="0"/>
        <v>5.3658536585365857</v>
      </c>
      <c r="G6" s="40">
        <f t="shared" si="1"/>
        <v>2.4944567627494502E-2</v>
      </c>
    </row>
    <row r="7" spans="1:7">
      <c r="A7" s="116">
        <f t="shared" si="2"/>
        <v>4</v>
      </c>
      <c r="B7" s="117">
        <v>6</v>
      </c>
      <c r="C7" s="88">
        <v>22</v>
      </c>
      <c r="E7" s="40">
        <f t="shared" si="0"/>
        <v>5.9024390243902438</v>
      </c>
      <c r="G7" s="40">
        <f t="shared" si="1"/>
        <v>1.6125781092521697E-3</v>
      </c>
    </row>
    <row r="8" spans="1:7">
      <c r="A8" s="116">
        <f t="shared" si="2"/>
        <v>5</v>
      </c>
      <c r="B8" s="117">
        <v>9</v>
      </c>
      <c r="C8" s="88">
        <v>35</v>
      </c>
      <c r="E8" s="40">
        <f t="shared" si="0"/>
        <v>9.3902439024390247</v>
      </c>
      <c r="G8" s="40">
        <f t="shared" si="1"/>
        <v>1.6217928413050392E-2</v>
      </c>
    </row>
    <row r="9" spans="1:7">
      <c r="A9" s="116">
        <f t="shared" si="2"/>
        <v>6</v>
      </c>
      <c r="B9" s="117">
        <v>4</v>
      </c>
      <c r="C9" s="88">
        <v>17</v>
      </c>
      <c r="E9" s="40">
        <f t="shared" si="0"/>
        <v>4.5609756097560972</v>
      </c>
      <c r="G9" s="40">
        <f t="shared" si="1"/>
        <v>6.8997000130429018E-2</v>
      </c>
    </row>
    <row r="10" spans="1:7">
      <c r="A10" s="116">
        <f t="shared" si="2"/>
        <v>7</v>
      </c>
      <c r="B10" s="117">
        <v>5</v>
      </c>
      <c r="C10" s="88">
        <v>32</v>
      </c>
      <c r="E10" s="40">
        <f t="shared" si="0"/>
        <v>8.5853658536585371</v>
      </c>
      <c r="G10" s="40">
        <f t="shared" si="1"/>
        <v>1.497297671840355</v>
      </c>
    </row>
    <row r="11" spans="1:7">
      <c r="A11" s="118">
        <f t="shared" si="2"/>
        <v>8</v>
      </c>
      <c r="B11" s="119">
        <v>8</v>
      </c>
      <c r="C11" s="90">
        <v>28</v>
      </c>
      <c r="E11" s="41">
        <f t="shared" si="0"/>
        <v>7.5121951219512191</v>
      </c>
      <c r="G11" s="41">
        <f t="shared" si="1"/>
        <v>3.1675641431739052E-2</v>
      </c>
    </row>
    <row r="12" spans="1:7">
      <c r="A12" s="107" t="s">
        <v>12</v>
      </c>
      <c r="B12" s="107">
        <f>SUM(B4:B11)</f>
        <v>55</v>
      </c>
      <c r="C12" s="107">
        <f>SUM(C4:C11)</f>
        <v>205</v>
      </c>
      <c r="E12">
        <f>SUM(E4:E11)</f>
        <v>55</v>
      </c>
      <c r="G12">
        <f>SUM(G4:G11)</f>
        <v>3.6372244053728013</v>
      </c>
    </row>
    <row r="14" spans="1:7">
      <c r="A14" t="s">
        <v>157</v>
      </c>
      <c r="B14" s="542">
        <v>0.05</v>
      </c>
    </row>
    <row r="15" spans="1:7">
      <c r="A15" t="s">
        <v>200</v>
      </c>
      <c r="B15" s="627">
        <f>CHITEST(B4:B11,E4:E11)</f>
        <v>0.82048434243635704</v>
      </c>
      <c r="E15" s="23" t="s">
        <v>344</v>
      </c>
    </row>
    <row r="16" spans="1:7">
      <c r="A16" t="s">
        <v>948</v>
      </c>
      <c r="B16" s="538" t="str">
        <f>IF(B15&lt;B14,"yes","no")</f>
        <v>no</v>
      </c>
      <c r="E16" s="23" t="s">
        <v>1919</v>
      </c>
    </row>
    <row r="17" spans="1:5">
      <c r="E17" s="23"/>
    </row>
    <row r="18" spans="1:5">
      <c r="A18" s="65" t="s">
        <v>346</v>
      </c>
      <c r="B18" s="542">
        <f>G12</f>
        <v>3.6372244053728013</v>
      </c>
      <c r="E18" s="23" t="s">
        <v>1917</v>
      </c>
    </row>
    <row r="19" spans="1:5">
      <c r="A19" s="65" t="s">
        <v>347</v>
      </c>
      <c r="B19" s="627">
        <f>CHIINV(B14,B20)</f>
        <v>14.067140449340167</v>
      </c>
      <c r="E19" s="23" t="s">
        <v>1920</v>
      </c>
    </row>
    <row r="20" spans="1:5">
      <c r="A20" s="493" t="s">
        <v>186</v>
      </c>
      <c r="B20" s="627">
        <f>COUNT(B4:B11)-1</f>
        <v>7</v>
      </c>
      <c r="E20" s="23" t="s">
        <v>1918</v>
      </c>
    </row>
    <row r="21" spans="1:5">
      <c r="A21" s="493" t="s">
        <v>200</v>
      </c>
      <c r="B21" s="627">
        <f>CHIDIST(B18,B20)</f>
        <v>0.82048434243635704</v>
      </c>
      <c r="E21" s="23" t="s">
        <v>1921</v>
      </c>
    </row>
    <row r="22" spans="1:5">
      <c r="A22" s="493" t="s">
        <v>948</v>
      </c>
      <c r="B22" s="538" t="str">
        <f>IF(B18&gt;B19,"yes","no")</f>
        <v>no</v>
      </c>
      <c r="E22" s="23" t="s">
        <v>1922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sheetPr codeName="Sheet35"/>
  <dimension ref="A1:F21"/>
  <sheetViews>
    <sheetView workbookViewId="0"/>
  </sheetViews>
  <sheetFormatPr defaultRowHeight="14.4"/>
  <cols>
    <col min="1" max="1" width="8.6640625" customWidth="1"/>
    <col min="2" max="2" width="7.88671875" customWidth="1"/>
    <col min="3" max="3" width="12" customWidth="1"/>
    <col min="5" max="5" width="3.88671875" customWidth="1"/>
    <col min="6" max="6" width="10.88671875" customWidth="1"/>
  </cols>
  <sheetData>
    <row r="1" spans="1:6">
      <c r="A1" s="1" t="s">
        <v>332</v>
      </c>
    </row>
    <row r="3" spans="1:6">
      <c r="A3" s="107" t="s">
        <v>348</v>
      </c>
      <c r="B3" s="107" t="s">
        <v>88</v>
      </c>
      <c r="C3" s="107" t="s">
        <v>349</v>
      </c>
      <c r="D3" s="19" t="s">
        <v>350</v>
      </c>
      <c r="E3" s="19"/>
      <c r="F3" s="19" t="s">
        <v>345</v>
      </c>
    </row>
    <row r="4" spans="1:6">
      <c r="A4" s="85">
        <v>0</v>
      </c>
      <c r="B4" s="115">
        <v>8</v>
      </c>
      <c r="C4" s="115">
        <f>A4*B4</f>
        <v>0</v>
      </c>
      <c r="D4" s="6">
        <f>POISSON(A4,$B$14,FALSE)*B$12</f>
        <v>9.3775390439976967</v>
      </c>
      <c r="F4" s="48">
        <f t="shared" ref="F4:F11" si="0">(B4-D4)^2/D4</f>
        <v>0.20235733584630589</v>
      </c>
    </row>
    <row r="5" spans="1:6">
      <c r="A5" s="87">
        <f>A4+1</f>
        <v>1</v>
      </c>
      <c r="B5" s="117">
        <v>33</v>
      </c>
      <c r="C5" s="117">
        <f t="shared" ref="C5:C11" si="1">A5*B5</f>
        <v>33</v>
      </c>
      <c r="D5" s="9">
        <f t="shared" ref="D5:D11" si="2">POISSON(A5,$B$14,FALSE)*B$12</f>
        <v>28.695269474632951</v>
      </c>
      <c r="F5" s="40">
        <f t="shared" si="0"/>
        <v>0.64577560118082489</v>
      </c>
    </row>
    <row r="6" spans="1:6">
      <c r="A6" s="87">
        <f t="shared" ref="A6:A11" si="3">A5+1</f>
        <v>2</v>
      </c>
      <c r="B6" s="117">
        <v>43</v>
      </c>
      <c r="C6" s="117">
        <f t="shared" si="1"/>
        <v>86</v>
      </c>
      <c r="D6" s="9">
        <f t="shared" si="2"/>
        <v>43.903762296188425</v>
      </c>
      <c r="F6" s="40">
        <f t="shared" si="0"/>
        <v>1.8604015813074991E-2</v>
      </c>
    </row>
    <row r="7" spans="1:6">
      <c r="A7" s="87">
        <f t="shared" si="3"/>
        <v>3</v>
      </c>
      <c r="B7" s="117">
        <v>40</v>
      </c>
      <c r="C7" s="117">
        <f t="shared" si="1"/>
        <v>120</v>
      </c>
      <c r="D7" s="9">
        <f t="shared" si="2"/>
        <v>44.781837542112193</v>
      </c>
      <c r="F7" s="40">
        <f t="shared" si="0"/>
        <v>0.51060812896859686</v>
      </c>
    </row>
    <row r="8" spans="1:6">
      <c r="A8" s="87">
        <f t="shared" si="3"/>
        <v>4</v>
      </c>
      <c r="B8" s="117">
        <v>34</v>
      </c>
      <c r="C8" s="117">
        <f t="shared" si="1"/>
        <v>136</v>
      </c>
      <c r="D8" s="9">
        <f t="shared" si="2"/>
        <v>34.258105719715836</v>
      </c>
      <c r="F8" s="40">
        <f t="shared" si="0"/>
        <v>1.944607302431496E-3</v>
      </c>
    </row>
    <row r="9" spans="1:6">
      <c r="A9" s="87">
        <f t="shared" si="3"/>
        <v>5</v>
      </c>
      <c r="B9" s="117">
        <v>22</v>
      </c>
      <c r="C9" s="117">
        <f t="shared" si="1"/>
        <v>110</v>
      </c>
      <c r="D9" s="9">
        <f t="shared" si="2"/>
        <v>20.965960700466091</v>
      </c>
      <c r="F9" s="40">
        <f t="shared" si="0"/>
        <v>5.0998725422432299E-2</v>
      </c>
    </row>
    <row r="10" spans="1:6">
      <c r="A10" s="87">
        <f t="shared" si="3"/>
        <v>6</v>
      </c>
      <c r="B10" s="117">
        <v>13</v>
      </c>
      <c r="C10" s="117">
        <f t="shared" si="1"/>
        <v>78</v>
      </c>
      <c r="D10" s="9">
        <f t="shared" si="2"/>
        <v>10.692639957237709</v>
      </c>
      <c r="F10" s="40">
        <f t="shared" si="0"/>
        <v>0.49790420216406084</v>
      </c>
    </row>
    <row r="11" spans="1:6">
      <c r="A11" s="89">
        <f t="shared" si="3"/>
        <v>7</v>
      </c>
      <c r="B11" s="119">
        <v>7</v>
      </c>
      <c r="C11" s="119">
        <f t="shared" si="1"/>
        <v>49</v>
      </c>
      <c r="D11" s="12">
        <f t="shared" si="2"/>
        <v>4.674211181306771</v>
      </c>
      <c r="F11" s="41">
        <f t="shared" si="0"/>
        <v>1.1572634224982037</v>
      </c>
    </row>
    <row r="12" spans="1:6">
      <c r="A12" s="107" t="s">
        <v>12</v>
      </c>
      <c r="B12" s="107">
        <f>SUM(B4:B11)</f>
        <v>200</v>
      </c>
      <c r="C12" s="107">
        <f>SUM(C4:C11)</f>
        <v>612</v>
      </c>
      <c r="F12">
        <f>SUM(F4:F11)</f>
        <v>3.0854560391959307</v>
      </c>
    </row>
    <row r="14" spans="1:6">
      <c r="A14" s="65" t="s">
        <v>352</v>
      </c>
      <c r="B14" s="756">
        <f>C12/B12</f>
        <v>3.06</v>
      </c>
    </row>
    <row r="16" spans="1:6">
      <c r="A16" t="s">
        <v>157</v>
      </c>
      <c r="B16" s="542">
        <v>0.05</v>
      </c>
    </row>
    <row r="17" spans="1:6">
      <c r="A17" t="s">
        <v>186</v>
      </c>
      <c r="B17" s="627">
        <f>COUNT(A4:A11)-2</f>
        <v>6</v>
      </c>
    </row>
    <row r="18" spans="1:6">
      <c r="A18" s="65" t="s">
        <v>346</v>
      </c>
      <c r="B18" s="627">
        <f>F12</f>
        <v>3.0854560391959307</v>
      </c>
    </row>
    <row r="19" spans="1:6">
      <c r="A19" s="65" t="s">
        <v>347</v>
      </c>
      <c r="B19" s="627">
        <f>CHIINV(B16,B17)</f>
        <v>12.591587243743978</v>
      </c>
    </row>
    <row r="20" spans="1:6">
      <c r="A20" t="s">
        <v>200</v>
      </c>
      <c r="B20" s="627">
        <f>CHIDIST(B18,B17)</f>
        <v>0.79804732744566542</v>
      </c>
      <c r="D20" s="756" t="e">
        <f ca="1">[1]!FIT_TEST(B4:B11,D4:D11,1)</f>
        <v>#NAME?</v>
      </c>
      <c r="F20" t="e">
        <f ca="1">[1]!FTEXT(D20)</f>
        <v>#NAME?</v>
      </c>
    </row>
    <row r="21" spans="1:6">
      <c r="A21" t="s">
        <v>948</v>
      </c>
      <c r="B21" s="538" t="str">
        <f>IF(B20&lt;B16,"yes","no")</f>
        <v>no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sheetPr codeName="Sheet36"/>
  <dimension ref="A1:X30"/>
  <sheetViews>
    <sheetView workbookViewId="0"/>
  </sheetViews>
  <sheetFormatPr defaultRowHeight="14.4"/>
  <cols>
    <col min="1" max="1" width="12.33203125" customWidth="1"/>
    <col min="6" max="6" width="4.5546875" customWidth="1"/>
    <col min="7" max="7" width="12.33203125" customWidth="1"/>
    <col min="13" max="13" width="12.33203125" customWidth="1"/>
    <col min="17" max="17" width="6.5546875" customWidth="1"/>
    <col min="18" max="18" width="6.6640625" customWidth="1"/>
    <col min="19" max="19" width="14.6640625" customWidth="1"/>
  </cols>
  <sheetData>
    <row r="1" spans="1:24">
      <c r="A1" s="1" t="s">
        <v>356</v>
      </c>
      <c r="M1" s="1" t="s">
        <v>2116</v>
      </c>
    </row>
    <row r="2" spans="1:24">
      <c r="A2" s="1"/>
    </row>
    <row r="3" spans="1:24">
      <c r="A3" s="1" t="s">
        <v>357</v>
      </c>
      <c r="G3" s="1" t="s">
        <v>358</v>
      </c>
      <c r="M3" t="s">
        <v>358</v>
      </c>
      <c r="S3" t="s">
        <v>331</v>
      </c>
    </row>
    <row r="5" spans="1:24" ht="15" thickBot="1">
      <c r="B5" s="107" t="s">
        <v>375</v>
      </c>
      <c r="C5" s="107" t="s">
        <v>374</v>
      </c>
      <c r="D5" s="107" t="s">
        <v>376</v>
      </c>
      <c r="E5" s="107" t="s">
        <v>12</v>
      </c>
      <c r="H5" s="107" t="s">
        <v>375</v>
      </c>
      <c r="I5" s="107" t="s">
        <v>374</v>
      </c>
      <c r="J5" s="107" t="s">
        <v>376</v>
      </c>
      <c r="K5" s="107" t="s">
        <v>12</v>
      </c>
      <c r="N5" t="str">
        <f>B5</f>
        <v>Univ</v>
      </c>
      <c r="O5" t="str">
        <f>C5</f>
        <v>High Sch</v>
      </c>
      <c r="P5" t="str">
        <f>D5</f>
        <v>None</v>
      </c>
      <c r="Q5" t="s">
        <v>12</v>
      </c>
      <c r="S5" t="s">
        <v>194</v>
      </c>
      <c r="U5" t="s">
        <v>116</v>
      </c>
      <c r="V5">
        <v>0.05</v>
      </c>
    </row>
    <row r="6" spans="1:24" ht="15" thickTop="1">
      <c r="A6" t="s">
        <v>371</v>
      </c>
      <c r="B6" s="85">
        <v>20</v>
      </c>
      <c r="C6" s="115">
        <v>15</v>
      </c>
      <c r="D6" s="86">
        <v>10</v>
      </c>
      <c r="E6" s="107">
        <f>SUM(B6:D6)</f>
        <v>45</v>
      </c>
      <c r="G6" t="str">
        <f>A6</f>
        <v>Wealthy</v>
      </c>
      <c r="H6" s="85">
        <f t="shared" ref="H6:J8" si="0">H$9*$K6/$K$9</f>
        <v>17.485714285714284</v>
      </c>
      <c r="I6" s="115">
        <f t="shared" si="0"/>
        <v>13.885714285714286</v>
      </c>
      <c r="J6" s="86">
        <f t="shared" si="0"/>
        <v>13.628571428571428</v>
      </c>
      <c r="K6" s="107">
        <f>E6</f>
        <v>45</v>
      </c>
      <c r="M6" t="str">
        <f>A6</f>
        <v>Wealthy</v>
      </c>
      <c r="N6" s="128">
        <f t="array" ref="N6:P8">MMULT(Q6:Q8,N9:P9)/Q9</f>
        <v>17.485714285714284</v>
      </c>
      <c r="O6" s="129">
        <v>13.885714285714286</v>
      </c>
      <c r="P6" s="130">
        <v>13.628571428571428</v>
      </c>
      <c r="Q6">
        <f>SUM(A6:D6)</f>
        <v>45</v>
      </c>
      <c r="S6" s="76" t="s">
        <v>88</v>
      </c>
      <c r="T6" s="76" t="s">
        <v>390</v>
      </c>
      <c r="U6" s="76" t="s">
        <v>391</v>
      </c>
      <c r="V6" s="76" t="s">
        <v>186</v>
      </c>
    </row>
    <row r="7" spans="1:24">
      <c r="A7" t="s">
        <v>372</v>
      </c>
      <c r="B7" s="87">
        <v>40</v>
      </c>
      <c r="C7" s="117">
        <v>25</v>
      </c>
      <c r="D7" s="88">
        <v>20</v>
      </c>
      <c r="E7" s="107">
        <f>SUM(B7:D7)</f>
        <v>85</v>
      </c>
      <c r="G7" t="str">
        <f>A7</f>
        <v>Middle Class</v>
      </c>
      <c r="H7" s="87">
        <f t="shared" si="0"/>
        <v>33.028571428571432</v>
      </c>
      <c r="I7" s="117">
        <f t="shared" si="0"/>
        <v>26.228571428571428</v>
      </c>
      <c r="J7" s="88">
        <f t="shared" si="0"/>
        <v>25.742857142857144</v>
      </c>
      <c r="K7" s="107">
        <f>E7</f>
        <v>85</v>
      </c>
      <c r="M7" t="str">
        <f>A7</f>
        <v>Middle Class</v>
      </c>
      <c r="N7" s="131">
        <v>33.028571428571432</v>
      </c>
      <c r="O7" s="8">
        <v>26.228571428571428</v>
      </c>
      <c r="P7" s="132">
        <v>25.742857142857144</v>
      </c>
      <c r="Q7">
        <f>SUM(A7:D7)</f>
        <v>85</v>
      </c>
      <c r="S7">
        <f>Q9</f>
        <v>175</v>
      </c>
      <c r="T7">
        <f>COUNT(B6:B8)</f>
        <v>3</v>
      </c>
      <c r="U7">
        <f>COUNT(B6:D6)</f>
        <v>3</v>
      </c>
      <c r="V7">
        <f>(T7-1)*(U7-1)</f>
        <v>4</v>
      </c>
    </row>
    <row r="8" spans="1:24">
      <c r="A8" t="s">
        <v>373</v>
      </c>
      <c r="B8" s="89">
        <v>8</v>
      </c>
      <c r="C8" s="119">
        <v>14</v>
      </c>
      <c r="D8" s="90">
        <v>23</v>
      </c>
      <c r="E8" s="107">
        <f>SUM(B8:D8)</f>
        <v>45</v>
      </c>
      <c r="G8" t="str">
        <f>A8</f>
        <v>Poor</v>
      </c>
      <c r="H8" s="89">
        <f t="shared" si="0"/>
        <v>17.485714285714284</v>
      </c>
      <c r="I8" s="119">
        <f t="shared" si="0"/>
        <v>13.885714285714286</v>
      </c>
      <c r="J8" s="90">
        <f t="shared" si="0"/>
        <v>13.628571428571428</v>
      </c>
      <c r="K8" s="107">
        <f>E8</f>
        <v>45</v>
      </c>
      <c r="M8" t="str">
        <f>A8</f>
        <v>Poor</v>
      </c>
      <c r="N8" s="133">
        <v>17.485714285714284</v>
      </c>
      <c r="O8" s="134">
        <v>13.885714285714286</v>
      </c>
      <c r="P8" s="135">
        <v>13.628571428571428</v>
      </c>
      <c r="Q8">
        <f>SUM(A8:D8)</f>
        <v>45</v>
      </c>
    </row>
    <row r="9" spans="1:24" ht="15" thickBot="1">
      <c r="A9" t="s">
        <v>12</v>
      </c>
      <c r="B9" s="107">
        <f>SUM(B6:B8)</f>
        <v>68</v>
      </c>
      <c r="C9" s="107">
        <f>SUM(C6:C8)</f>
        <v>54</v>
      </c>
      <c r="D9" s="107">
        <f>SUM(D6:D8)</f>
        <v>53</v>
      </c>
      <c r="E9" s="107">
        <f>SUM(B9:D9)</f>
        <v>175</v>
      </c>
      <c r="G9" t="str">
        <f>A9</f>
        <v>Total</v>
      </c>
      <c r="H9" s="107">
        <f>B9</f>
        <v>68</v>
      </c>
      <c r="I9" s="107">
        <f>C9</f>
        <v>54</v>
      </c>
      <c r="J9" s="107">
        <f>D9</f>
        <v>53</v>
      </c>
      <c r="K9" s="107">
        <f>E9</f>
        <v>175</v>
      </c>
      <c r="M9" t="s">
        <v>12</v>
      </c>
      <c r="N9">
        <f>SUM(B5:B8)</f>
        <v>68</v>
      </c>
      <c r="O9">
        <f>SUM(C5:C8)</f>
        <v>54</v>
      </c>
      <c r="P9">
        <f>SUM(D5:D8)</f>
        <v>53</v>
      </c>
      <c r="Q9">
        <f>SUM(Q6:Q8)</f>
        <v>175</v>
      </c>
      <c r="S9" t="s">
        <v>392</v>
      </c>
    </row>
    <row r="10" spans="1:24" ht="15" thickTop="1">
      <c r="S10" s="76" t="s">
        <v>199</v>
      </c>
      <c r="T10" s="76" t="s">
        <v>339</v>
      </c>
      <c r="U10" s="76" t="s">
        <v>200</v>
      </c>
      <c r="V10" s="76" t="s">
        <v>351</v>
      </c>
      <c r="W10" s="76" t="s">
        <v>948</v>
      </c>
      <c r="X10" s="76" t="s">
        <v>394</v>
      </c>
    </row>
    <row r="11" spans="1:24">
      <c r="A11" s="1" t="s">
        <v>331</v>
      </c>
      <c r="G11" s="1" t="s">
        <v>377</v>
      </c>
      <c r="S11" t="s">
        <v>393</v>
      </c>
      <c r="T11" t="e">
        <f ca="1">[1]!CHI_STAT2(B6:D8,N6:P8)</f>
        <v>#NAME?</v>
      </c>
      <c r="U11" t="e">
        <f ca="1">CHIDIST(T11,V7)</f>
        <v>#NAME?</v>
      </c>
      <c r="V11">
        <f>CHIINV(V5,V7)</f>
        <v>9.4877290367811575</v>
      </c>
      <c r="W11" s="807" t="e">
        <f ca="1">IF(V11&lt;T11,"yes","no")</f>
        <v>#NAME?</v>
      </c>
      <c r="X11" t="e">
        <f ca="1">SQRT(T11/(S7*(MIN(T7,U7)-1)))</f>
        <v>#NAME?</v>
      </c>
    </row>
    <row r="12" spans="1:24">
      <c r="S12" t="s">
        <v>395</v>
      </c>
      <c r="T12" t="e">
        <f ca="1">[1]!CHI_MAX2(B6:D8,N6:P8)</f>
        <v>#NAME?</v>
      </c>
      <c r="U12" t="e">
        <f ca="1">CHIDIST(T12,V7)</f>
        <v>#NAME?</v>
      </c>
      <c r="V12">
        <f>CHIINV(V5,V7)</f>
        <v>9.4877290367811575</v>
      </c>
      <c r="W12" s="807" t="e">
        <f ca="1">IF(V12&lt;T12,"yes","no")</f>
        <v>#NAME?</v>
      </c>
      <c r="X12" t="e">
        <f ca="1">SQRT(T12/(S7*(MIN(T7,U7)-1)))</f>
        <v>#NAME?</v>
      </c>
    </row>
    <row r="13" spans="1:24">
      <c r="A13" t="s">
        <v>157</v>
      </c>
      <c r="B13" s="542">
        <v>0.05</v>
      </c>
      <c r="H13" s="107" t="str">
        <f>B5</f>
        <v>Univ</v>
      </c>
      <c r="I13" s="107" t="str">
        <f>C5</f>
        <v>High Sch</v>
      </c>
      <c r="J13" s="107" t="str">
        <f>D5</f>
        <v>None</v>
      </c>
      <c r="K13" s="107" t="str">
        <f>E5</f>
        <v>Total</v>
      </c>
      <c r="S13" s="136"/>
      <c r="T13" s="136"/>
      <c r="U13" s="136"/>
      <c r="V13" s="136"/>
      <c r="W13" s="136"/>
      <c r="X13" s="136"/>
    </row>
    <row r="14" spans="1:24">
      <c r="A14" t="s">
        <v>186</v>
      </c>
      <c r="B14" s="627">
        <f>(COUNT(H6:J6)-1)*(COUNT(H6:H8)-1)</f>
        <v>4</v>
      </c>
      <c r="G14" t="str">
        <f>A6</f>
        <v>Wealthy</v>
      </c>
      <c r="H14" s="85">
        <f t="array" ref="H14:J16">MMULT(K14:K16,H17:J17)/K17</f>
        <v>17.485714285714284</v>
      </c>
      <c r="I14" s="115">
        <v>13.885714285714286</v>
      </c>
      <c r="J14" s="86">
        <v>13.628571428571428</v>
      </c>
      <c r="K14" s="107">
        <f>E6</f>
        <v>45</v>
      </c>
    </row>
    <row r="15" spans="1:24">
      <c r="A15" t="s">
        <v>200</v>
      </c>
      <c r="B15" s="544">
        <f>CHITEST(B6:D8,H6:J8)</f>
        <v>3.2732287902881591E-3</v>
      </c>
      <c r="G15" t="str">
        <f>A7</f>
        <v>Middle Class</v>
      </c>
      <c r="H15" s="87">
        <v>33.028571428571432</v>
      </c>
      <c r="I15" s="117">
        <v>26.228571428571428</v>
      </c>
      <c r="J15" s="88">
        <v>25.742857142857144</v>
      </c>
      <c r="K15" s="107">
        <f>E7</f>
        <v>85</v>
      </c>
    </row>
    <row r="16" spans="1:24">
      <c r="G16" t="str">
        <f>A8</f>
        <v>Poor</v>
      </c>
      <c r="H16" s="89">
        <v>17.485714285714284</v>
      </c>
      <c r="I16" s="119">
        <v>13.885714285714286</v>
      </c>
      <c r="J16" s="90">
        <v>13.628571428571428</v>
      </c>
      <c r="K16" s="107">
        <f>E8</f>
        <v>45</v>
      </c>
      <c r="S16" t="s">
        <v>1939</v>
      </c>
    </row>
    <row r="17" spans="1:21">
      <c r="A17" t="s">
        <v>1923</v>
      </c>
      <c r="G17" t="str">
        <f>A9</f>
        <v>Total</v>
      </c>
      <c r="H17" s="107">
        <f>B9</f>
        <v>68</v>
      </c>
      <c r="I17" s="107">
        <f>C9</f>
        <v>54</v>
      </c>
      <c r="J17" s="107">
        <f>D9</f>
        <v>53</v>
      </c>
      <c r="K17" s="107">
        <f>E9</f>
        <v>175</v>
      </c>
    </row>
    <row r="18" spans="1:21" ht="15" thickBot="1">
      <c r="S18" t="s">
        <v>392</v>
      </c>
    </row>
    <row r="19" spans="1:21" ht="15" thickTop="1">
      <c r="A19" t="s">
        <v>370</v>
      </c>
      <c r="S19" s="1151" t="s">
        <v>199</v>
      </c>
      <c r="T19" s="1151" t="s">
        <v>339</v>
      </c>
      <c r="U19" s="1151" t="s">
        <v>200</v>
      </c>
    </row>
    <row r="20" spans="1:21">
      <c r="S20" s="1152" t="s">
        <v>393</v>
      </c>
      <c r="T20" s="1152" t="e">
        <f ca="1">[1]!chi_stat(B6:D8)</f>
        <v>#NAME?</v>
      </c>
      <c r="U20" s="1152" t="e">
        <f ca="1">[1]!CHI_TESt(B6:D8)</f>
        <v>#NAME?</v>
      </c>
    </row>
    <row r="21" spans="1:21">
      <c r="B21" s="19" t="str">
        <f>B5</f>
        <v>Univ</v>
      </c>
      <c r="C21" s="19" t="str">
        <f>C5</f>
        <v>High Sch</v>
      </c>
      <c r="D21" s="19" t="str">
        <f>D5</f>
        <v>None</v>
      </c>
      <c r="S21" s="1078" t="s">
        <v>395</v>
      </c>
      <c r="T21" s="1078" t="e">
        <f ca="1">[1]!CHI_MAX(B6:D8)</f>
        <v>#NAME?</v>
      </c>
      <c r="U21" s="1078" t="e">
        <f ca="1">[1]!CHI_MAX_TEST(B6:D8)</f>
        <v>#NAME?</v>
      </c>
    </row>
    <row r="22" spans="1:21">
      <c r="A22" t="str">
        <f>A6</f>
        <v>Wealthy</v>
      </c>
      <c r="B22" s="553">
        <f t="shared" ref="B22:D24" si="1">(B6-H6)^2/H6</f>
        <v>0.36153127917833849</v>
      </c>
      <c r="C22" s="666">
        <f t="shared" si="1"/>
        <v>8.9417989417989355E-2</v>
      </c>
      <c r="D22" s="667">
        <f t="shared" si="1"/>
        <v>0.96609763402216209</v>
      </c>
    </row>
    <row r="23" spans="1:21">
      <c r="A23" t="str">
        <f>A7</f>
        <v>Middle Class</v>
      </c>
      <c r="B23" s="656">
        <f t="shared" si="1"/>
        <v>1.4714780029658905</v>
      </c>
      <c r="C23" s="8">
        <f t="shared" si="1"/>
        <v>5.7547463429816301E-2</v>
      </c>
      <c r="D23" s="657">
        <f t="shared" si="1"/>
        <v>1.2811479308704619</v>
      </c>
    </row>
    <row r="24" spans="1:21">
      <c r="A24" t="str">
        <f>A8</f>
        <v>Poor</v>
      </c>
      <c r="B24" s="533">
        <f t="shared" si="1"/>
        <v>5.1458450046685327</v>
      </c>
      <c r="C24" s="534">
        <f t="shared" si="1"/>
        <v>9.4062316284537837E-4</v>
      </c>
      <c r="D24" s="541">
        <f t="shared" si="1"/>
        <v>6.4440850554058118</v>
      </c>
    </row>
    <row r="26" spans="1:21">
      <c r="A26" t="s">
        <v>157</v>
      </c>
      <c r="B26" s="542">
        <v>0.05</v>
      </c>
    </row>
    <row r="27" spans="1:21">
      <c r="A27" s="65" t="s">
        <v>346</v>
      </c>
      <c r="B27" s="627">
        <f>SUM(B22:D24)</f>
        <v>15.818090983121849</v>
      </c>
    </row>
    <row r="28" spans="1:21">
      <c r="A28" t="s">
        <v>186</v>
      </c>
      <c r="B28" s="627">
        <f>B14</f>
        <v>4</v>
      </c>
    </row>
    <row r="29" spans="1:21">
      <c r="A29" t="s">
        <v>200</v>
      </c>
      <c r="B29" s="627">
        <f>CHIDIST(B27,B28)</f>
        <v>3.2732287902881591E-3</v>
      </c>
    </row>
    <row r="30" spans="1:21">
      <c r="A30" s="65" t="s">
        <v>347</v>
      </c>
      <c r="B30" s="544">
        <f>CHIINV(B26,B28)</f>
        <v>9.4877290367811575</v>
      </c>
    </row>
  </sheetData>
  <pageMargins left="0.7" right="0.7" top="0.75" bottom="0.75" header="0.3" footer="0.3"/>
  <pageSetup paperSize="9"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>
  <sheetPr codeName="Sheet37"/>
  <dimension ref="A1:N24"/>
  <sheetViews>
    <sheetView topLeftCell="A2" workbookViewId="0">
      <selection activeCell="D17" sqref="D17"/>
    </sheetView>
  </sheetViews>
  <sheetFormatPr defaultRowHeight="14.4"/>
  <cols>
    <col min="1" max="1" width="11.33203125" customWidth="1"/>
    <col min="2" max="4" width="9.109375" customWidth="1"/>
    <col min="5" max="5" width="5.6640625" customWidth="1"/>
    <col min="6" max="6" width="10.6640625" customWidth="1"/>
    <col min="10" max="10" width="6.109375" customWidth="1"/>
    <col min="11" max="11" width="9.6640625" customWidth="1"/>
    <col min="13" max="13" width="9.109375" customWidth="1"/>
    <col min="16" max="16" width="12" customWidth="1"/>
    <col min="21" max="21" width="14.6640625" customWidth="1"/>
  </cols>
  <sheetData>
    <row r="1" spans="1:14">
      <c r="A1" s="1" t="s">
        <v>356</v>
      </c>
    </row>
    <row r="2" spans="1:14">
      <c r="A2" s="122"/>
    </row>
    <row r="3" spans="1:14">
      <c r="A3" s="123" t="s">
        <v>357</v>
      </c>
      <c r="F3" s="1" t="s">
        <v>358</v>
      </c>
      <c r="K3" s="1" t="s">
        <v>359</v>
      </c>
    </row>
    <row r="5" spans="1:14">
      <c r="B5" s="19" t="s">
        <v>360</v>
      </c>
      <c r="C5" s="19" t="s">
        <v>361</v>
      </c>
      <c r="D5" s="19" t="s">
        <v>12</v>
      </c>
      <c r="G5" s="19" t="s">
        <v>360</v>
      </c>
      <c r="H5" s="19" t="s">
        <v>361</v>
      </c>
      <c r="I5" s="19" t="s">
        <v>12</v>
      </c>
      <c r="L5" s="19" t="s">
        <v>360</v>
      </c>
      <c r="M5" s="19" t="s">
        <v>361</v>
      </c>
      <c r="N5" s="19" t="s">
        <v>12</v>
      </c>
    </row>
    <row r="6" spans="1:14">
      <c r="A6" t="s">
        <v>362</v>
      </c>
      <c r="B6" s="4">
        <v>31</v>
      </c>
      <c r="C6" s="6">
        <v>57</v>
      </c>
      <c r="D6">
        <f>SUM(B6:C6)</f>
        <v>88</v>
      </c>
      <c r="F6" t="s">
        <v>362</v>
      </c>
      <c r="G6" s="4">
        <f>I6*G8/I8</f>
        <v>24.64</v>
      </c>
      <c r="H6" s="6">
        <f>I6*H8/I8</f>
        <v>63.36</v>
      </c>
      <c r="I6">
        <f>D6</f>
        <v>88</v>
      </c>
      <c r="K6" t="s">
        <v>362</v>
      </c>
      <c r="L6" s="4">
        <f t="array" ref="L6:M7">MMULT(N6:N7,L8:M8)/N8</f>
        <v>24.64</v>
      </c>
      <c r="M6" s="6">
        <v>63.36</v>
      </c>
      <c r="N6">
        <f>D6</f>
        <v>88</v>
      </c>
    </row>
    <row r="7" spans="1:14">
      <c r="A7" t="s">
        <v>363</v>
      </c>
      <c r="B7" s="10">
        <v>11</v>
      </c>
      <c r="C7" s="12">
        <v>51</v>
      </c>
      <c r="D7">
        <f>SUM(B7:C7)</f>
        <v>62</v>
      </c>
      <c r="F7" t="s">
        <v>363</v>
      </c>
      <c r="G7" s="10">
        <f>I7*G8/I8</f>
        <v>17.36</v>
      </c>
      <c r="H7" s="12">
        <f>I7*H8/I8</f>
        <v>44.64</v>
      </c>
      <c r="I7">
        <f>D7</f>
        <v>62</v>
      </c>
      <c r="K7" t="s">
        <v>363</v>
      </c>
      <c r="L7" s="10">
        <v>17.36</v>
      </c>
      <c r="M7" s="12">
        <v>44.64</v>
      </c>
      <c r="N7">
        <f>D7</f>
        <v>62</v>
      </c>
    </row>
    <row r="8" spans="1:14">
      <c r="A8" t="s">
        <v>12</v>
      </c>
      <c r="B8">
        <f>SUM(B6:B7)</f>
        <v>42</v>
      </c>
      <c r="C8">
        <f>SUM(C6:C7)</f>
        <v>108</v>
      </c>
      <c r="D8">
        <f>SUM(D6:D7)</f>
        <v>150</v>
      </c>
      <c r="F8" t="s">
        <v>12</v>
      </c>
      <c r="G8">
        <f>B8</f>
        <v>42</v>
      </c>
      <c r="H8">
        <f>C8</f>
        <v>108</v>
      </c>
      <c r="I8">
        <f>D8</f>
        <v>150</v>
      </c>
      <c r="K8" t="s">
        <v>12</v>
      </c>
      <c r="L8">
        <f>B8</f>
        <v>42</v>
      </c>
      <c r="M8">
        <f>C8</f>
        <v>108</v>
      </c>
      <c r="N8">
        <f>D8</f>
        <v>150</v>
      </c>
    </row>
    <row r="10" spans="1:14">
      <c r="A10" s="1" t="s">
        <v>356</v>
      </c>
      <c r="F10" s="1" t="s">
        <v>364</v>
      </c>
    </row>
    <row r="12" spans="1:14">
      <c r="A12" t="s">
        <v>365</v>
      </c>
      <c r="F12" t="s">
        <v>366</v>
      </c>
    </row>
    <row r="14" spans="1:14">
      <c r="B14" s="19" t="s">
        <v>360</v>
      </c>
      <c r="C14" s="19" t="s">
        <v>361</v>
      </c>
      <c r="D14" s="19" t="s">
        <v>12</v>
      </c>
      <c r="G14" s="19" t="s">
        <v>360</v>
      </c>
      <c r="H14" s="19" t="s">
        <v>361</v>
      </c>
      <c r="I14" s="19" t="s">
        <v>12</v>
      </c>
    </row>
    <row r="15" spans="1:14">
      <c r="A15" t="s">
        <v>362</v>
      </c>
      <c r="B15" s="4">
        <f>(B6-G6)^2/G6</f>
        <v>1.6416233766233761</v>
      </c>
      <c r="C15" s="6">
        <f>(C6-H6)^2/H6</f>
        <v>0.6384090909090907</v>
      </c>
      <c r="D15">
        <f>SUM(B15:C15)</f>
        <v>2.2800324675324668</v>
      </c>
      <c r="F15" t="s">
        <v>362</v>
      </c>
      <c r="G15" s="4">
        <f>B6*LN(B6/G6)</f>
        <v>7.1180980404146457</v>
      </c>
      <c r="H15" s="6">
        <f>C6*LN(C6/H6)</f>
        <v>-6.0295443412823531</v>
      </c>
      <c r="I15">
        <f>SUM(G15:H15)</f>
        <v>1.0885536991322926</v>
      </c>
    </row>
    <row r="16" spans="1:14">
      <c r="A16" t="s">
        <v>363</v>
      </c>
      <c r="B16" s="10">
        <f>(B7-G7)^2/G7</f>
        <v>2.3300460829493082</v>
      </c>
      <c r="C16" s="12">
        <f>(C7-H7)^2/H7</f>
        <v>0.90612903225806429</v>
      </c>
      <c r="D16">
        <f>SUM(B16:C16)</f>
        <v>3.2361751152073723</v>
      </c>
      <c r="F16" t="s">
        <v>363</v>
      </c>
      <c r="G16" s="10">
        <f>B7*LN(B7/G7)</f>
        <v>-5.0190078007721697</v>
      </c>
      <c r="H16" s="12">
        <f>C7*LN(C7/H7)</f>
        <v>6.7929610472147877</v>
      </c>
      <c r="I16">
        <f>SUM(G16:H16)</f>
        <v>1.773953246442618</v>
      </c>
    </row>
    <row r="17" spans="1:9">
      <c r="C17" s="19" t="s">
        <v>369</v>
      </c>
      <c r="D17">
        <f>SUM(D15:D16)</f>
        <v>5.5162075827398391</v>
      </c>
      <c r="H17" s="19" t="s">
        <v>369</v>
      </c>
      <c r="I17">
        <f>2*SUM(I15:I16)</f>
        <v>5.7250138911498212</v>
      </c>
    </row>
    <row r="19" spans="1:9">
      <c r="A19" t="s">
        <v>157</v>
      </c>
      <c r="B19" s="479">
        <v>0.05</v>
      </c>
      <c r="F19" t="s">
        <v>157</v>
      </c>
      <c r="G19" s="479">
        <f>B19</f>
        <v>0.05</v>
      </c>
    </row>
    <row r="20" spans="1:9">
      <c r="A20" t="s">
        <v>186</v>
      </c>
      <c r="B20" s="376">
        <f>(COUNT(B6:C6)-1)*(COUNT(B6:B7)-1)</f>
        <v>1</v>
      </c>
      <c r="F20" t="s">
        <v>186</v>
      </c>
      <c r="G20" s="376">
        <f>B20</f>
        <v>1</v>
      </c>
    </row>
    <row r="21" spans="1:9">
      <c r="A21" s="66" t="s">
        <v>346</v>
      </c>
      <c r="B21" s="376">
        <f>D17</f>
        <v>5.5162075827398391</v>
      </c>
      <c r="F21" s="66" t="s">
        <v>346</v>
      </c>
      <c r="G21" s="376">
        <f>I17</f>
        <v>5.7250138911498212</v>
      </c>
    </row>
    <row r="22" spans="1:9">
      <c r="A22" s="66" t="s">
        <v>200</v>
      </c>
      <c r="B22" s="376">
        <f>CHIDIST(B21,B20)</f>
        <v>1.8841061611125618E-2</v>
      </c>
      <c r="F22" s="66" t="s">
        <v>200</v>
      </c>
      <c r="G22" s="376">
        <f>CHIDIST(G21,G20)</f>
        <v>1.6724904294501547E-2</v>
      </c>
    </row>
    <row r="23" spans="1:9">
      <c r="A23" s="66" t="s">
        <v>347</v>
      </c>
      <c r="B23" s="376">
        <f>CHIINV(B19,B20)</f>
        <v>3.8414588206941236</v>
      </c>
      <c r="F23" s="66" t="s">
        <v>347</v>
      </c>
      <c r="G23" s="376">
        <f>CHIINV(G19,G20)</f>
        <v>3.8414588206941236</v>
      </c>
    </row>
    <row r="24" spans="1:9">
      <c r="A24" s="66" t="s">
        <v>948</v>
      </c>
      <c r="B24" s="266" t="str">
        <f>IF(B22&lt;B19,"yes","no")</f>
        <v>yes</v>
      </c>
      <c r="F24" s="66" t="s">
        <v>948</v>
      </c>
      <c r="G24" s="266" t="str">
        <f>IF(G22&lt;G19,"yes","no")</f>
        <v>yes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sheetPr codeName="Sheet38"/>
  <dimension ref="A1:H7"/>
  <sheetViews>
    <sheetView workbookViewId="0"/>
  </sheetViews>
  <sheetFormatPr defaultRowHeight="14.4"/>
  <cols>
    <col min="1" max="1" width="9.88671875" customWidth="1"/>
    <col min="4" max="4" width="9.109375" customWidth="1"/>
    <col min="6" max="6" width="10" customWidth="1"/>
    <col min="7" max="7" width="9.5546875" customWidth="1"/>
    <col min="12" max="12" width="10.109375" customWidth="1"/>
  </cols>
  <sheetData>
    <row r="1" spans="1:8">
      <c r="A1" s="1" t="s">
        <v>389</v>
      </c>
    </row>
    <row r="2" spans="1:8">
      <c r="A2" s="1"/>
    </row>
    <row r="3" spans="1:8">
      <c r="A3" s="1" t="s">
        <v>378</v>
      </c>
      <c r="F3" s="1" t="s">
        <v>379</v>
      </c>
    </row>
    <row r="4" spans="1:8">
      <c r="B4" s="19" t="s">
        <v>360</v>
      </c>
      <c r="C4" s="19" t="s">
        <v>361</v>
      </c>
      <c r="G4" s="19" t="s">
        <v>380</v>
      </c>
      <c r="H4" s="19" t="s">
        <v>381</v>
      </c>
    </row>
    <row r="5" spans="1:8">
      <c r="A5" t="s">
        <v>362</v>
      </c>
      <c r="B5" s="4">
        <v>31</v>
      </c>
      <c r="C5" s="6">
        <v>57</v>
      </c>
      <c r="D5">
        <f>SUM(B5:C5)</f>
        <v>88</v>
      </c>
      <c r="F5" t="s">
        <v>360</v>
      </c>
      <c r="G5" s="124">
        <f>B6/B7</f>
        <v>0.26190476190476192</v>
      </c>
      <c r="H5" s="57">
        <f>B6/B5</f>
        <v>0.35483870967741937</v>
      </c>
    </row>
    <row r="6" spans="1:8">
      <c r="A6" t="s">
        <v>363</v>
      </c>
      <c r="B6" s="10">
        <v>11</v>
      </c>
      <c r="C6" s="12">
        <v>51</v>
      </c>
      <c r="D6">
        <f>SUM(B6:C6)</f>
        <v>62</v>
      </c>
      <c r="F6" t="s">
        <v>361</v>
      </c>
      <c r="G6" s="125">
        <f>C6/C7</f>
        <v>0.47222222222222221</v>
      </c>
      <c r="H6" s="63">
        <f>C6/C5</f>
        <v>0.89473684210526316</v>
      </c>
    </row>
    <row r="7" spans="1:8">
      <c r="B7">
        <f>SUM(B5:B6)</f>
        <v>42</v>
      </c>
      <c r="C7">
        <f>SUM(C5:C6)</f>
        <v>108</v>
      </c>
      <c r="D7">
        <f>SUM(D5:D6)</f>
        <v>150</v>
      </c>
      <c r="F7" t="s">
        <v>382</v>
      </c>
      <c r="G7" s="22">
        <f>G6/G5</f>
        <v>1.803030303030303</v>
      </c>
      <c r="H7" s="22">
        <f>H6/H5</f>
        <v>2.5215311004784686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sheetPr codeName="Sheet298"/>
  <dimension ref="A1:S41"/>
  <sheetViews>
    <sheetView topLeftCell="A3" zoomScaleNormal="100" workbookViewId="0">
      <selection activeCell="W24" sqref="W24"/>
    </sheetView>
  </sheetViews>
  <sheetFormatPr defaultRowHeight="14.4"/>
  <cols>
    <col min="3" max="3" width="6.33203125" customWidth="1"/>
    <col min="5" max="7" width="7.109375" customWidth="1"/>
    <col min="8" max="8" width="5.6640625" customWidth="1"/>
    <col min="12" max="12" width="6.44140625" customWidth="1"/>
    <col min="13" max="13" width="6.109375" customWidth="1"/>
    <col min="18" max="18" width="6.44140625" customWidth="1"/>
  </cols>
  <sheetData>
    <row r="1" spans="1:19">
      <c r="A1" s="1" t="s">
        <v>3323</v>
      </c>
    </row>
    <row r="2" spans="1:19">
      <c r="A2" s="1"/>
    </row>
    <row r="3" spans="1:19">
      <c r="A3" s="1230" t="s">
        <v>23</v>
      </c>
      <c r="B3" s="1230" t="s">
        <v>3324</v>
      </c>
      <c r="D3" t="s">
        <v>3325</v>
      </c>
      <c r="I3" t="s">
        <v>358</v>
      </c>
      <c r="N3" t="s">
        <v>331</v>
      </c>
    </row>
    <row r="4" spans="1:19">
      <c r="A4" s="1231" t="s">
        <v>371</v>
      </c>
      <c r="B4" s="1231" t="s">
        <v>375</v>
      </c>
    </row>
    <row r="5" spans="1:19" ht="15" thickBot="1">
      <c r="A5" s="1231" t="s">
        <v>371</v>
      </c>
      <c r="B5" s="1231" t="s">
        <v>375</v>
      </c>
      <c r="E5" t="e">
        <f t="array" aca="1" ref="E5:F5" ca="1">TRANSPOSE([1]!SortUnique(B4:B41))</f>
        <v>#NAME?</v>
      </c>
      <c r="F5" t="e">
        <f ca="1"/>
        <v>#NAME?</v>
      </c>
      <c r="G5" s="19" t="s">
        <v>12</v>
      </c>
      <c r="I5" t="str">
        <f>IF(D5="","",D5)</f>
        <v/>
      </c>
      <c r="J5" t="e">
        <f ca="1">IF(E5="","",E5)</f>
        <v>#NAME?</v>
      </c>
      <c r="K5" t="e">
        <f ca="1">IF(F5="","",F5)</f>
        <v>#NAME?</v>
      </c>
      <c r="L5" s="19" t="s">
        <v>12</v>
      </c>
      <c r="N5" t="s">
        <v>194</v>
      </c>
      <c r="P5" t="s">
        <v>116</v>
      </c>
      <c r="Q5">
        <v>0.05</v>
      </c>
    </row>
    <row r="6" spans="1:19" ht="15" thickTop="1">
      <c r="A6" s="1231" t="s">
        <v>371</v>
      </c>
      <c r="B6" s="1231" t="s">
        <v>375</v>
      </c>
      <c r="D6" t="e">
        <f t="array" aca="1" ref="D6:D8" ca="1">[1]!SortUnique(A4:A41)</f>
        <v>#NAME?</v>
      </c>
      <c r="E6" s="1232">
        <f t="array" ref="E6" ca="1">COUNTIFS($A$4:$A$41,$D6,$B$4:$B$41,E$5)</f>
        <v>0</v>
      </c>
      <c r="F6" s="1233">
        <f t="array" ref="F6" ca="1">COUNTIFS($A$4:$A$41,$D6,$B$4:$B$41,F$5)</f>
        <v>0</v>
      </c>
      <c r="G6">
        <f t="array" ref="G6" ca="1">SUM(E6:F6)</f>
        <v>0</v>
      </c>
      <c r="I6" t="e">
        <f ca="1">IF(D6="","",D6)</f>
        <v>#NAME?</v>
      </c>
      <c r="J6" s="1232" t="e">
        <f t="array" aca="1" ref="J6:K8" ca="1">MMULT(L6:L8,J9:K9)/L9</f>
        <v>#DIV/0!</v>
      </c>
      <c r="K6" s="1233" t="e">
        <f ca="1"/>
        <v>#DIV/0!</v>
      </c>
      <c r="L6">
        <f ca="1">SUM(E6:F6)</f>
        <v>0</v>
      </c>
      <c r="N6" s="1151" t="s">
        <v>88</v>
      </c>
      <c r="O6" s="1151" t="s">
        <v>390</v>
      </c>
      <c r="P6" s="1151" t="s">
        <v>391</v>
      </c>
      <c r="Q6" s="1151" t="s">
        <v>186</v>
      </c>
    </row>
    <row r="7" spans="1:19">
      <c r="A7" s="1231" t="s">
        <v>371</v>
      </c>
      <c r="B7" s="1231" t="s">
        <v>375</v>
      </c>
      <c r="D7" t="e">
        <f ca="1"/>
        <v>#NAME?</v>
      </c>
      <c r="E7" s="625">
        <f t="array" ref="E7" ca="1">COUNTIFS($A$4:$A$41,$D7,$B$4:$B$41,E$5)</f>
        <v>0</v>
      </c>
      <c r="F7" s="132">
        <f t="array" ref="F7" ca="1">COUNTIFS($A$4:$A$41,$D7,$B$4:$B$41,F$5)</f>
        <v>0</v>
      </c>
      <c r="G7">
        <f t="array" ref="G7" ca="1">SUM(E7:F7)</f>
        <v>0</v>
      </c>
      <c r="I7" t="e">
        <f ca="1">IF(D7="","",D7)</f>
        <v>#NAME?</v>
      </c>
      <c r="J7" s="625" t="e">
        <f ca="1"/>
        <v>#DIV/0!</v>
      </c>
      <c r="K7" s="132" t="e">
        <f ca="1"/>
        <v>#DIV/0!</v>
      </c>
      <c r="L7">
        <f ca="1">SUM(E7:F7)</f>
        <v>0</v>
      </c>
      <c r="N7">
        <f ca="1">L9</f>
        <v>0</v>
      </c>
      <c r="O7">
        <f ca="1">COUNT(E6:E8)</f>
        <v>3</v>
      </c>
      <c r="P7">
        <f ca="1">COUNT(E6:F6)</f>
        <v>2</v>
      </c>
      <c r="Q7">
        <f ca="1">(O7-1)*(P7-1)</f>
        <v>2</v>
      </c>
    </row>
    <row r="8" spans="1:19">
      <c r="A8" s="1231" t="s">
        <v>371</v>
      </c>
      <c r="B8" s="1231" t="s">
        <v>375</v>
      </c>
      <c r="D8" t="e">
        <f ca="1"/>
        <v>#NAME?</v>
      </c>
      <c r="E8" s="1075">
        <f t="array" ref="E8" ca="1">COUNTIFS($A$4:$A$41,$D8,$B$4:$B$41,E$5)</f>
        <v>0</v>
      </c>
      <c r="F8" s="1077">
        <f t="array" ref="F8" ca="1">COUNTIFS($A$4:$A$41,$D8,$B$4:$B$41,F$5)</f>
        <v>0</v>
      </c>
      <c r="G8">
        <f t="array" ref="G8" ca="1">SUM(E8:F8)</f>
        <v>0</v>
      </c>
      <c r="I8" t="e">
        <f ca="1">IF(D8="","",D8)</f>
        <v>#NAME?</v>
      </c>
      <c r="J8" s="1075" t="e">
        <f ca="1"/>
        <v>#DIV/0!</v>
      </c>
      <c r="K8" s="1077" t="e">
        <f ca="1"/>
        <v>#DIV/0!</v>
      </c>
      <c r="L8">
        <f ca="1">SUM(E8:F8)</f>
        <v>0</v>
      </c>
    </row>
    <row r="9" spans="1:19" ht="15" thickBot="1">
      <c r="A9" s="1231" t="s">
        <v>371</v>
      </c>
      <c r="B9" s="1231" t="s">
        <v>375</v>
      </c>
      <c r="E9">
        <f t="array" ref="E9" ca="1">SUM(E6:E8)</f>
        <v>0</v>
      </c>
      <c r="F9">
        <f t="array" ref="F9" ca="1">SUM(F6:F8)</f>
        <v>0</v>
      </c>
      <c r="G9">
        <f t="array" ref="G9" ca="1">SUM(G6:G8)</f>
        <v>0</v>
      </c>
      <c r="I9" t="s">
        <v>12</v>
      </c>
      <c r="J9">
        <f ca="1">SUM(E6:E8)</f>
        <v>0</v>
      </c>
      <c r="K9">
        <f ca="1">SUM(F6:F8)</f>
        <v>0</v>
      </c>
      <c r="L9">
        <f ca="1">SUM(L6:L8)</f>
        <v>0</v>
      </c>
      <c r="N9" t="s">
        <v>392</v>
      </c>
    </row>
    <row r="10" spans="1:19" ht="15" thickTop="1">
      <c r="A10" s="1231" t="s">
        <v>371</v>
      </c>
      <c r="B10" s="1231" t="s">
        <v>376</v>
      </c>
      <c r="N10" s="1151" t="s">
        <v>199</v>
      </c>
      <c r="O10" s="1151" t="s">
        <v>339</v>
      </c>
      <c r="P10" s="1151" t="s">
        <v>200</v>
      </c>
      <c r="Q10" s="1151" t="s">
        <v>351</v>
      </c>
      <c r="R10" s="1151" t="s">
        <v>948</v>
      </c>
      <c r="S10" s="1151" t="s">
        <v>394</v>
      </c>
    </row>
    <row r="11" spans="1:19">
      <c r="A11" s="1231" t="s">
        <v>371</v>
      </c>
      <c r="B11" s="1231" t="s">
        <v>376</v>
      </c>
      <c r="N11" t="s">
        <v>393</v>
      </c>
      <c r="O11" t="e">
        <f ca="1">[1]!CHI_STAT2(E6:F8,J6:K8)</f>
        <v>#NAME?</v>
      </c>
      <c r="P11" t="e">
        <f ca="1">CHIDIST(O11,Q7)</f>
        <v>#NAME?</v>
      </c>
      <c r="Q11">
        <f ca="1">CHIINV(Q5,Q7)</f>
        <v>5.9914645471914136</v>
      </c>
      <c r="R11" s="1231" t="e">
        <f ca="1">IF(Q11&lt;O11,"yes","no")</f>
        <v>#NAME?</v>
      </c>
      <c r="S11" t="e">
        <f ca="1">SQRT(O11/(N7*(MIN(O7,P7)-1)))</f>
        <v>#NAME?</v>
      </c>
    </row>
    <row r="12" spans="1:19">
      <c r="A12" s="1231" t="s">
        <v>371</v>
      </c>
      <c r="B12" s="1231" t="s">
        <v>376</v>
      </c>
      <c r="N12" t="s">
        <v>395</v>
      </c>
      <c r="O12" t="e">
        <f ca="1">[1]!CHI_MAX2(E6:F8,J6:K8)</f>
        <v>#NAME?</v>
      </c>
      <c r="P12" t="e">
        <f ca="1">CHIDIST(O12,Q7)</f>
        <v>#NAME?</v>
      </c>
      <c r="Q12">
        <f ca="1">CHIINV(Q5,Q7)</f>
        <v>5.9914645471914136</v>
      </c>
      <c r="R12" s="1231" t="e">
        <f ca="1">IF(Q12&lt;O12,"yes","no")</f>
        <v>#NAME?</v>
      </c>
      <c r="S12" t="e">
        <f ca="1">SQRT(O12/(N7*(MIN(O7,P7)-1)))</f>
        <v>#NAME?</v>
      </c>
    </row>
    <row r="13" spans="1:19">
      <c r="A13" s="1231" t="s">
        <v>371</v>
      </c>
      <c r="B13" s="1231" t="s">
        <v>376</v>
      </c>
      <c r="N13" s="1234"/>
      <c r="O13" s="1234"/>
      <c r="P13" s="1234"/>
      <c r="Q13" s="1234"/>
      <c r="R13" s="1234"/>
      <c r="S13" s="1234"/>
    </row>
    <row r="14" spans="1:19">
      <c r="A14" s="1231" t="s">
        <v>371</v>
      </c>
      <c r="B14" s="1231" t="s">
        <v>376</v>
      </c>
    </row>
    <row r="15" spans="1:19">
      <c r="A15" s="1231" t="s">
        <v>1554</v>
      </c>
      <c r="B15" s="1231" t="s">
        <v>375</v>
      </c>
    </row>
    <row r="16" spans="1:19">
      <c r="A16" s="1231" t="s">
        <v>1554</v>
      </c>
      <c r="B16" s="1231" t="s">
        <v>375</v>
      </c>
    </row>
    <row r="17" spans="1:2">
      <c r="A17" s="1231" t="s">
        <v>1554</v>
      </c>
      <c r="B17" s="1231" t="s">
        <v>375</v>
      </c>
    </row>
    <row r="18" spans="1:2">
      <c r="A18" s="1231" t="s">
        <v>1554</v>
      </c>
      <c r="B18" s="1231" t="s">
        <v>375</v>
      </c>
    </row>
    <row r="19" spans="1:2">
      <c r="A19" s="1231" t="s">
        <v>1554</v>
      </c>
      <c r="B19" s="1231" t="s">
        <v>375</v>
      </c>
    </row>
    <row r="20" spans="1:2">
      <c r="A20" s="1231" t="s">
        <v>1554</v>
      </c>
      <c r="B20" s="1231" t="s">
        <v>375</v>
      </c>
    </row>
    <row r="21" spans="1:2">
      <c r="A21" s="1231" t="s">
        <v>1554</v>
      </c>
      <c r="B21" s="1231" t="s">
        <v>375</v>
      </c>
    </row>
    <row r="22" spans="1:2">
      <c r="A22" s="1231" t="s">
        <v>1554</v>
      </c>
      <c r="B22" s="1231" t="s">
        <v>375</v>
      </c>
    </row>
    <row r="23" spans="1:2">
      <c r="A23" s="1231" t="s">
        <v>1554</v>
      </c>
      <c r="B23" s="1231" t="s">
        <v>375</v>
      </c>
    </row>
    <row r="24" spans="1:2">
      <c r="A24" s="1231" t="s">
        <v>1554</v>
      </c>
      <c r="B24" s="1231" t="s">
        <v>376</v>
      </c>
    </row>
    <row r="25" spans="1:2">
      <c r="A25" s="1231" t="s">
        <v>1554</v>
      </c>
      <c r="B25" s="1231" t="s">
        <v>376</v>
      </c>
    </row>
    <row r="26" spans="1:2">
      <c r="A26" s="1231" t="s">
        <v>1554</v>
      </c>
      <c r="B26" s="1231" t="s">
        <v>376</v>
      </c>
    </row>
    <row r="27" spans="1:2">
      <c r="A27" s="1231" t="s">
        <v>1554</v>
      </c>
      <c r="B27" s="1231" t="s">
        <v>376</v>
      </c>
    </row>
    <row r="28" spans="1:2">
      <c r="A28" s="1231" t="s">
        <v>1554</v>
      </c>
      <c r="B28" s="1231" t="s">
        <v>376</v>
      </c>
    </row>
    <row r="29" spans="1:2">
      <c r="A29" s="1231" t="s">
        <v>1554</v>
      </c>
      <c r="B29" s="1231" t="s">
        <v>376</v>
      </c>
    </row>
    <row r="30" spans="1:2">
      <c r="A30" s="1231" t="s">
        <v>1554</v>
      </c>
      <c r="B30" s="1231" t="s">
        <v>376</v>
      </c>
    </row>
    <row r="31" spans="1:2">
      <c r="A31" s="1231" t="s">
        <v>373</v>
      </c>
      <c r="B31" s="1231" t="s">
        <v>375</v>
      </c>
    </row>
    <row r="32" spans="1:2">
      <c r="A32" s="1231" t="s">
        <v>373</v>
      </c>
      <c r="B32" s="1231" t="s">
        <v>375</v>
      </c>
    </row>
    <row r="33" spans="1:2">
      <c r="A33" s="1231" t="s">
        <v>373</v>
      </c>
      <c r="B33" s="1231" t="s">
        <v>375</v>
      </c>
    </row>
    <row r="34" spans="1:2">
      <c r="A34" s="1231" t="s">
        <v>373</v>
      </c>
      <c r="B34" s="1231" t="s">
        <v>375</v>
      </c>
    </row>
    <row r="35" spans="1:2">
      <c r="A35" s="1231" t="s">
        <v>373</v>
      </c>
      <c r="B35" s="1231" t="s">
        <v>375</v>
      </c>
    </row>
    <row r="36" spans="1:2">
      <c r="A36" s="1231" t="s">
        <v>373</v>
      </c>
      <c r="B36" s="1231" t="s">
        <v>376</v>
      </c>
    </row>
    <row r="37" spans="1:2">
      <c r="A37" s="1231" t="s">
        <v>373</v>
      </c>
      <c r="B37" s="1231" t="s">
        <v>376</v>
      </c>
    </row>
    <row r="38" spans="1:2">
      <c r="A38" s="1231" t="s">
        <v>373</v>
      </c>
      <c r="B38" s="1231" t="s">
        <v>376</v>
      </c>
    </row>
    <row r="39" spans="1:2">
      <c r="A39" s="1231" t="s">
        <v>373</v>
      </c>
      <c r="B39" s="1231" t="s">
        <v>376</v>
      </c>
    </row>
    <row r="40" spans="1:2">
      <c r="A40" s="1231" t="s">
        <v>373</v>
      </c>
      <c r="B40" s="1231" t="s">
        <v>376</v>
      </c>
    </row>
    <row r="41" spans="1:2">
      <c r="A41" s="1219" t="s">
        <v>373</v>
      </c>
      <c r="B41" s="1219" t="s">
        <v>376</v>
      </c>
    </row>
  </sheetData>
  <pageMargins left="0.7" right="0.7" top="0.75" bottom="0.75" header="0.3" footer="0.3"/>
  <pageSetup paperSize="9"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>
  <sheetPr codeName="Sheet208"/>
  <dimension ref="A1:Q21"/>
  <sheetViews>
    <sheetView workbookViewId="0"/>
  </sheetViews>
  <sheetFormatPr defaultRowHeight="14.4"/>
  <cols>
    <col min="1" max="1" width="10.88671875" customWidth="1"/>
    <col min="6" max="6" width="10.33203125" customWidth="1"/>
    <col min="10" max="10" width="9.109375" customWidth="1"/>
    <col min="11" max="11" width="8.109375" customWidth="1"/>
    <col min="12" max="12" width="9.5546875" customWidth="1"/>
    <col min="13" max="13" width="9.6640625" customWidth="1"/>
    <col min="14" max="14" width="5.88671875" customWidth="1"/>
    <col min="15" max="15" width="12" bestFit="1" customWidth="1"/>
    <col min="16" max="16" width="3.44140625" customWidth="1"/>
    <col min="17" max="17" width="20.44140625" customWidth="1"/>
  </cols>
  <sheetData>
    <row r="1" spans="1:15">
      <c r="A1" s="1" t="s">
        <v>1803</v>
      </c>
    </row>
    <row r="3" spans="1:15">
      <c r="A3" s="123" t="s">
        <v>357</v>
      </c>
      <c r="F3" s="1" t="s">
        <v>358</v>
      </c>
      <c r="K3" s="1" t="s">
        <v>1804</v>
      </c>
    </row>
    <row r="5" spans="1:15">
      <c r="B5" s="19" t="s">
        <v>360</v>
      </c>
      <c r="C5" s="19" t="s">
        <v>361</v>
      </c>
      <c r="D5" s="19" t="s">
        <v>12</v>
      </c>
      <c r="G5" s="19" t="s">
        <v>360</v>
      </c>
      <c r="H5" s="19" t="s">
        <v>361</v>
      </c>
      <c r="I5" s="19" t="s">
        <v>12</v>
      </c>
      <c r="K5" s="1435" t="s">
        <v>554</v>
      </c>
      <c r="L5" s="1435" t="s">
        <v>1707</v>
      </c>
      <c r="M5" s="1435" t="s">
        <v>2948</v>
      </c>
      <c r="N5" s="42"/>
      <c r="O5" s="1435" t="s">
        <v>2948</v>
      </c>
    </row>
    <row r="6" spans="1:15">
      <c r="A6" t="s">
        <v>362</v>
      </c>
      <c r="B6" s="4">
        <v>2</v>
      </c>
      <c r="C6" s="6">
        <v>7</v>
      </c>
      <c r="D6">
        <f>SUM(B6:C6)</f>
        <v>9</v>
      </c>
      <c r="F6" t="s">
        <v>362</v>
      </c>
      <c r="G6" s="4">
        <f>I6*G8/I8</f>
        <v>4.7142857142857144</v>
      </c>
      <c r="H6" s="6">
        <f>I6*H8/I8</f>
        <v>4.2857142857142856</v>
      </c>
      <c r="I6">
        <f>D6</f>
        <v>9</v>
      </c>
      <c r="K6" s="1432">
        <v>0</v>
      </c>
      <c r="L6">
        <f>HYPGEOMDIST(K6,$B$8,$D$6,$D$8)</f>
        <v>3.4021705848331273E-5</v>
      </c>
      <c r="M6">
        <f>L6</f>
        <v>3.4021705848331273E-5</v>
      </c>
      <c r="O6">
        <f>_xlfn.HYPGEOM.DIST(K6,$B$8,$D$6,$D$8,TRUE)</f>
        <v>3.4021705848331273E-5</v>
      </c>
    </row>
    <row r="7" spans="1:15">
      <c r="A7" t="s">
        <v>363</v>
      </c>
      <c r="B7" s="10">
        <v>9</v>
      </c>
      <c r="C7" s="12">
        <v>3</v>
      </c>
      <c r="D7">
        <f>SUM(B7:C7)</f>
        <v>12</v>
      </c>
      <c r="F7" t="s">
        <v>363</v>
      </c>
      <c r="G7" s="10">
        <f>I7*G8/I8</f>
        <v>6.2857142857142856</v>
      </c>
      <c r="H7" s="12">
        <f>I7*H8/I8</f>
        <v>5.7142857142857144</v>
      </c>
      <c r="I7">
        <f>D7</f>
        <v>12</v>
      </c>
      <c r="K7" s="1432">
        <f>K6+1</f>
        <v>1</v>
      </c>
      <c r="L7">
        <f>HYPGEOMDIST(K7,$B$8,$D$6,$D$8)</f>
        <v>1.6840744394923967E-3</v>
      </c>
      <c r="M7">
        <f>L7+M6</f>
        <v>1.7180961453407281E-3</v>
      </c>
      <c r="O7">
        <f t="shared" ref="O7:O15" si="0">_xlfn.HYPGEOM.DIST(K7,$B$8,$D$6,$D$8,TRUE)</f>
        <v>1.7180961453407279E-3</v>
      </c>
    </row>
    <row r="8" spans="1:15">
      <c r="A8" t="s">
        <v>12</v>
      </c>
      <c r="B8">
        <f>SUM(B6:B7)</f>
        <v>11</v>
      </c>
      <c r="C8">
        <f>SUM(C6:C7)</f>
        <v>10</v>
      </c>
      <c r="D8">
        <f>SUM(D6:D7)</f>
        <v>21</v>
      </c>
      <c r="F8" t="s">
        <v>12</v>
      </c>
      <c r="G8">
        <f>B8</f>
        <v>11</v>
      </c>
      <c r="H8">
        <f>C8</f>
        <v>10</v>
      </c>
      <c r="I8">
        <f>D8</f>
        <v>21</v>
      </c>
      <c r="K8" s="1432">
        <f t="shared" ref="K8:K14" si="1">K7+1</f>
        <v>2</v>
      </c>
      <c r="L8">
        <f t="shared" ref="L8:L15" si="2">HYPGEOMDIST(K8,$B$8,$D$6,$D$8)</f>
        <v>2.2454325859898601E-2</v>
      </c>
      <c r="M8">
        <f t="shared" ref="M8:M15" si="3">L8+M7</f>
        <v>2.4172422005239329E-2</v>
      </c>
      <c r="O8">
        <f t="shared" si="0"/>
        <v>2.4172422005239325E-2</v>
      </c>
    </row>
    <row r="9" spans="1:15">
      <c r="K9" s="1432">
        <f t="shared" si="1"/>
        <v>3</v>
      </c>
      <c r="L9">
        <f t="shared" si="2"/>
        <v>0.11788521076446791</v>
      </c>
      <c r="M9">
        <f t="shared" si="3"/>
        <v>0.14205763276970723</v>
      </c>
      <c r="O9">
        <f t="shared" si="0"/>
        <v>0.14205763276970729</v>
      </c>
    </row>
    <row r="10" spans="1:15">
      <c r="A10" s="1" t="s">
        <v>356</v>
      </c>
      <c r="K10" s="1432">
        <f t="shared" si="1"/>
        <v>4</v>
      </c>
      <c r="L10">
        <f t="shared" si="2"/>
        <v>0.28292450583472312</v>
      </c>
      <c r="M10">
        <f t="shared" si="3"/>
        <v>0.42498213860443035</v>
      </c>
      <c r="O10">
        <f t="shared" si="0"/>
        <v>0.42498213860443051</v>
      </c>
    </row>
    <row r="11" spans="1:15">
      <c r="K11" s="1432">
        <f t="shared" si="1"/>
        <v>5</v>
      </c>
      <c r="L11">
        <f>HYPGEOMDIST(K11,$B$8,$D$6,$D$8)</f>
        <v>0.33007859014050955</v>
      </c>
      <c r="M11">
        <f t="shared" si="3"/>
        <v>0.7550607287449399</v>
      </c>
      <c r="O11">
        <f t="shared" si="0"/>
        <v>0.75506072874493957</v>
      </c>
    </row>
    <row r="12" spans="1:15">
      <c r="B12" s="19" t="s">
        <v>360</v>
      </c>
      <c r="C12" s="19" t="s">
        <v>361</v>
      </c>
      <c r="D12" s="19" t="s">
        <v>12</v>
      </c>
      <c r="F12" t="s">
        <v>157</v>
      </c>
      <c r="G12" s="479">
        <v>0.05</v>
      </c>
      <c r="K12" s="1432">
        <f t="shared" si="1"/>
        <v>6</v>
      </c>
      <c r="L12">
        <f t="shared" si="2"/>
        <v>0.18861633722314811</v>
      </c>
      <c r="M12">
        <f t="shared" si="3"/>
        <v>0.94367706596808798</v>
      </c>
      <c r="O12">
        <f t="shared" si="0"/>
        <v>0.94367706596808765</v>
      </c>
    </row>
    <row r="13" spans="1:15">
      <c r="A13" t="s">
        <v>362</v>
      </c>
      <c r="B13" s="4">
        <f>(B6-G6)^2/G6</f>
        <v>1.5627705627705628</v>
      </c>
      <c r="C13" s="6">
        <f>(C6-H6)^2/H6</f>
        <v>1.7190476190476194</v>
      </c>
      <c r="D13">
        <f>SUM(B13:C13)</f>
        <v>3.2818181818181822</v>
      </c>
      <c r="F13" t="s">
        <v>186</v>
      </c>
      <c r="G13" s="376">
        <f>(COUNT(B6:C6)-1)*(COUNT(B6:B7)-1)</f>
        <v>1</v>
      </c>
      <c r="K13" s="1432">
        <f t="shared" si="1"/>
        <v>7</v>
      </c>
      <c r="L13">
        <f t="shared" si="2"/>
        <v>5.0522233184771913E-2</v>
      </c>
      <c r="M13">
        <f t="shared" si="3"/>
        <v>0.99419929915285987</v>
      </c>
      <c r="O13">
        <f t="shared" si="0"/>
        <v>0.99419929915285954</v>
      </c>
    </row>
    <row r="14" spans="1:15">
      <c r="A14" t="s">
        <v>363</v>
      </c>
      <c r="B14" s="10">
        <f>(B7-G7)^2/G7</f>
        <v>1.1720779220779223</v>
      </c>
      <c r="C14" s="12">
        <f>(C7-H7)^2/H7</f>
        <v>1.2892857142857144</v>
      </c>
      <c r="D14">
        <f>SUM(B14:C14)</f>
        <v>2.4613636363636369</v>
      </c>
      <c r="F14" s="66" t="s">
        <v>346</v>
      </c>
      <c r="G14" s="376">
        <f>D15</f>
        <v>5.7431818181818191</v>
      </c>
      <c r="K14" s="1432">
        <f t="shared" si="1"/>
        <v>8</v>
      </c>
      <c r="L14">
        <f t="shared" si="2"/>
        <v>5.6135814649746546E-3</v>
      </c>
      <c r="M14">
        <f t="shared" si="3"/>
        <v>0.99981288061783458</v>
      </c>
      <c r="O14">
        <f t="shared" si="0"/>
        <v>0.99981288061783413</v>
      </c>
    </row>
    <row r="15" spans="1:15">
      <c r="C15" s="19" t="s">
        <v>369</v>
      </c>
      <c r="D15">
        <f>SUM(D13:D14)</f>
        <v>5.7431818181818191</v>
      </c>
      <c r="F15" s="66" t="s">
        <v>200</v>
      </c>
      <c r="G15" s="376">
        <f>CHIDIST(G14,G13)</f>
        <v>1.6552780261048484E-2</v>
      </c>
      <c r="K15" s="1433">
        <f>K14+1</f>
        <v>9</v>
      </c>
      <c r="L15" s="11">
        <f t="shared" si="2"/>
        <v>1.8711938216582169E-4</v>
      </c>
      <c r="M15" s="11">
        <f t="shared" si="3"/>
        <v>1.0000000000000004</v>
      </c>
      <c r="N15" s="8"/>
      <c r="O15" s="11">
        <f t="shared" si="0"/>
        <v>1</v>
      </c>
    </row>
    <row r="16" spans="1:15">
      <c r="F16" s="66" t="s">
        <v>347</v>
      </c>
      <c r="G16" s="376">
        <f>CHIINV(G12,G13)</f>
        <v>3.8414588206941236</v>
      </c>
    </row>
    <row r="17" spans="6:17">
      <c r="F17" s="66" t="s">
        <v>948</v>
      </c>
      <c r="G17" s="266" t="str">
        <f>IF(G15&lt;G12,"yes","no")</f>
        <v>yes</v>
      </c>
      <c r="K17" t="s">
        <v>1805</v>
      </c>
      <c r="L17" s="1235">
        <f>SUM(L6:L8)</f>
        <v>2.4172422005239329E-2</v>
      </c>
      <c r="O17" s="542" t="e">
        <f ca="1">[1]!FISHERTEST(B6:C7,1)</f>
        <v>#NAME?</v>
      </c>
      <c r="Q17" s="23" t="s">
        <v>1807</v>
      </c>
    </row>
    <row r="18" spans="6:17">
      <c r="K18" t="s">
        <v>1806</v>
      </c>
      <c r="L18" s="544">
        <f>L17+SUM(L14:L15)</f>
        <v>2.9973122852379804E-2</v>
      </c>
      <c r="O18" s="544" t="e">
        <f ca="1">[1]!FISHERTEST(B6:C7,2)</f>
        <v>#NAME?</v>
      </c>
      <c r="Q18" s="23" t="s">
        <v>1808</v>
      </c>
    </row>
    <row r="20" spans="6:17">
      <c r="K20" t="s">
        <v>1805</v>
      </c>
      <c r="L20" s="1235">
        <f>MIN(M8,1-M7)</f>
        <v>2.4172422005239329E-2</v>
      </c>
    </row>
    <row r="21" spans="6:17">
      <c r="K21" t="s">
        <v>1806</v>
      </c>
      <c r="L21" s="544">
        <f>L20+1-M13</f>
        <v>2.9973122852379408E-2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sheetPr codeName="Sheet170"/>
  <dimension ref="A1:K31"/>
  <sheetViews>
    <sheetView workbookViewId="0">
      <selection activeCell="P25" sqref="P25"/>
    </sheetView>
  </sheetViews>
  <sheetFormatPr defaultRowHeight="14.4"/>
  <cols>
    <col min="4" max="4" width="19.109375" customWidth="1"/>
    <col min="5" max="6" width="10.6640625" customWidth="1"/>
    <col min="7" max="7" width="4.5546875" customWidth="1"/>
    <col min="8" max="8" width="24.44140625" customWidth="1"/>
    <col min="9" max="9" width="8.88671875" customWidth="1"/>
  </cols>
  <sheetData>
    <row r="1" spans="1:11">
      <c r="A1" s="1" t="s">
        <v>853</v>
      </c>
    </row>
    <row r="3" spans="1:11">
      <c r="A3" s="303" t="s">
        <v>139</v>
      </c>
      <c r="B3" s="303" t="s">
        <v>140</v>
      </c>
      <c r="D3" t="s">
        <v>860</v>
      </c>
      <c r="J3" t="s">
        <v>3307</v>
      </c>
      <c r="K3" s="756">
        <f>FTEST(A4:A18,B4:B18)</f>
        <v>0.27866115843593686</v>
      </c>
    </row>
    <row r="4" spans="1:11" ht="15" thickBot="1">
      <c r="A4" s="284">
        <v>4.7</v>
      </c>
      <c r="B4" s="284">
        <v>3.7</v>
      </c>
    </row>
    <row r="5" spans="1:11">
      <c r="A5" s="284">
        <v>3.7</v>
      </c>
      <c r="B5" s="284">
        <v>4.0999999999999996</v>
      </c>
      <c r="D5" s="27"/>
      <c r="E5" s="27" t="s">
        <v>139</v>
      </c>
      <c r="F5" s="27" t="s">
        <v>140</v>
      </c>
      <c r="J5" t="s">
        <v>3968</v>
      </c>
      <c r="K5" s="756">
        <f>_xlfn.F.TEST(A4:A18,B4:B18)</f>
        <v>0.27866115843593686</v>
      </c>
    </row>
    <row r="6" spans="1:11">
      <c r="A6" s="284">
        <v>3.2</v>
      </c>
      <c r="B6" s="284">
        <v>3.5</v>
      </c>
      <c r="D6" s="28" t="s">
        <v>76</v>
      </c>
      <c r="E6" s="304">
        <f>AVERAGE(A4:A18)</f>
        <v>4.0666666666666664</v>
      </c>
      <c r="F6" s="304">
        <f>AVERAGE(B4:B18)</f>
        <v>4.379999999999999</v>
      </c>
    </row>
    <row r="7" spans="1:11">
      <c r="A7" s="284">
        <v>3.1</v>
      </c>
      <c r="B7" s="284">
        <v>5.5</v>
      </c>
      <c r="D7" s="28" t="s">
        <v>223</v>
      </c>
      <c r="E7" s="28">
        <f>VAR(A4:A18)</f>
        <v>0.78424242424242674</v>
      </c>
      <c r="F7" s="28">
        <f>VAR(B4:B18)</f>
        <v>0.42457142857143787</v>
      </c>
    </row>
    <row r="8" spans="1:11">
      <c r="A8" s="284">
        <v>3.9</v>
      </c>
      <c r="B8" s="284">
        <v>4.0999999999999996</v>
      </c>
      <c r="D8" s="28" t="s">
        <v>224</v>
      </c>
      <c r="E8" s="28">
        <f>COUNT(A4:A18)</f>
        <v>12</v>
      </c>
      <c r="F8" s="28">
        <f>COUNT(B4:B18)</f>
        <v>15</v>
      </c>
    </row>
    <row r="9" spans="1:11">
      <c r="A9" s="284">
        <v>4.8</v>
      </c>
      <c r="B9" s="284">
        <v>4.7</v>
      </c>
      <c r="D9" s="28" t="s">
        <v>186</v>
      </c>
      <c r="E9" s="28">
        <f>E8-1</f>
        <v>11</v>
      </c>
      <c r="F9" s="28">
        <f>F8-1</f>
        <v>14</v>
      </c>
    </row>
    <row r="10" spans="1:11">
      <c r="A10" s="284">
        <v>3.1</v>
      </c>
      <c r="B10" s="284">
        <v>4.9000000000000004</v>
      </c>
      <c r="D10" s="28" t="s">
        <v>388</v>
      </c>
      <c r="E10" s="28">
        <f>E7/F7</f>
        <v>1.8471389534646254</v>
      </c>
      <c r="F10" s="28"/>
      <c r="H10" s="306" t="s">
        <v>858</v>
      </c>
    </row>
    <row r="11" spans="1:11">
      <c r="A11" s="284">
        <v>5.0999999999999996</v>
      </c>
      <c r="B11" s="284">
        <v>3.5</v>
      </c>
      <c r="D11" s="28" t="s">
        <v>337</v>
      </c>
      <c r="E11">
        <v>0.05</v>
      </c>
    </row>
    <row r="12" spans="1:11">
      <c r="A12" s="284">
        <v>4.9000000000000004</v>
      </c>
      <c r="B12" s="284">
        <v>3.9</v>
      </c>
      <c r="D12" s="28" t="s">
        <v>200</v>
      </c>
      <c r="E12" s="28">
        <f>2*FDIST(E10,E9,F9)</f>
        <v>0.27866115843595135</v>
      </c>
      <c r="F12" s="28"/>
      <c r="H12" s="23" t="s">
        <v>3967</v>
      </c>
    </row>
    <row r="13" spans="1:11">
      <c r="A13" s="284">
        <v>5.3</v>
      </c>
      <c r="B13" s="284">
        <v>3.7</v>
      </c>
      <c r="D13" s="28" t="s">
        <v>647</v>
      </c>
      <c r="E13">
        <f>FINV(E11/2,E9,F9)</f>
        <v>3.0945897908988029</v>
      </c>
      <c r="H13" s="23" t="s">
        <v>3966</v>
      </c>
    </row>
    <row r="14" spans="1:11" ht="15" thickBot="1">
      <c r="A14" s="284">
        <v>2.8</v>
      </c>
      <c r="B14" s="284">
        <v>4.8</v>
      </c>
      <c r="D14" s="31" t="s">
        <v>948</v>
      </c>
      <c r="E14" s="305" t="str">
        <f>IF(E12&lt;E11,"yes","no")</f>
        <v>no</v>
      </c>
      <c r="F14" s="31"/>
      <c r="H14" s="23" t="s">
        <v>859</v>
      </c>
    </row>
    <row r="15" spans="1:11">
      <c r="A15" s="284">
        <v>4.2</v>
      </c>
      <c r="B15" s="284">
        <v>5</v>
      </c>
    </row>
    <row r="16" spans="1:11">
      <c r="A16" s="284"/>
      <c r="B16" s="284">
        <v>5.3</v>
      </c>
    </row>
    <row r="17" spans="1:6">
      <c r="A17" s="284"/>
      <c r="B17" s="284">
        <v>4.4000000000000004</v>
      </c>
    </row>
    <row r="18" spans="1:6">
      <c r="A18" s="286"/>
      <c r="B18" s="286">
        <v>4.5999999999999996</v>
      </c>
    </row>
    <row r="20" spans="1:6">
      <c r="D20" s="1" t="s">
        <v>857</v>
      </c>
    </row>
    <row r="22" spans="1:6">
      <c r="D22" t="s">
        <v>854</v>
      </c>
    </row>
    <row r="23" spans="1:6" ht="15" thickBot="1"/>
    <row r="24" spans="1:6">
      <c r="D24" s="27"/>
      <c r="E24" s="27" t="s">
        <v>139</v>
      </c>
      <c r="F24" s="27" t="s">
        <v>140</v>
      </c>
    </row>
    <row r="25" spans="1:6">
      <c r="D25" s="28" t="s">
        <v>76</v>
      </c>
      <c r="E25" s="28">
        <v>4.0666666666666664</v>
      </c>
      <c r="F25" s="28">
        <v>4.379999999999999</v>
      </c>
    </row>
    <row r="26" spans="1:6">
      <c r="D26" s="28" t="s">
        <v>223</v>
      </c>
      <c r="E26" s="28">
        <v>0.78424242424242674</v>
      </c>
      <c r="F26" s="28">
        <v>0.42457142857143787</v>
      </c>
    </row>
    <row r="27" spans="1:6">
      <c r="D27" s="28" t="s">
        <v>224</v>
      </c>
      <c r="E27" s="28">
        <v>12</v>
      </c>
      <c r="F27" s="28">
        <v>15</v>
      </c>
    </row>
    <row r="28" spans="1:6">
      <c r="D28" s="28" t="s">
        <v>186</v>
      </c>
      <c r="E28" s="28">
        <v>11</v>
      </c>
      <c r="F28" s="28">
        <v>14</v>
      </c>
    </row>
    <row r="29" spans="1:6">
      <c r="D29" s="28" t="s">
        <v>388</v>
      </c>
      <c r="E29" s="28">
        <v>1.8471389534646254</v>
      </c>
      <c r="F29" s="28"/>
    </row>
    <row r="30" spans="1:6">
      <c r="D30" s="28" t="s">
        <v>855</v>
      </c>
      <c r="E30" s="28">
        <v>0.13933057921797568</v>
      </c>
      <c r="F30" s="28"/>
    </row>
    <row r="31" spans="1:6" ht="15" thickBot="1">
      <c r="D31" s="31" t="s">
        <v>856</v>
      </c>
      <c r="E31" s="31">
        <v>2.5654974067604943</v>
      </c>
      <c r="F31" s="31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sheetPr codeName="Sheet17"/>
  <dimension ref="A1:H25"/>
  <sheetViews>
    <sheetView workbookViewId="0"/>
  </sheetViews>
  <sheetFormatPr defaultRowHeight="14.4"/>
  <cols>
    <col min="1" max="1" width="7.5546875" customWidth="1"/>
    <col min="2" max="2" width="6.33203125" customWidth="1"/>
    <col min="5" max="5" width="6.33203125" customWidth="1"/>
  </cols>
  <sheetData>
    <row r="1" spans="1:8">
      <c r="A1" s="1" t="s">
        <v>616</v>
      </c>
    </row>
    <row r="2" spans="1:8" ht="15" thickBot="1">
      <c r="B2" s="1"/>
    </row>
    <row r="3" spans="1:8">
      <c r="B3" s="687" t="s">
        <v>211</v>
      </c>
      <c r="C3" s="687" t="s">
        <v>1913</v>
      </c>
      <c r="D3" s="42"/>
      <c r="E3" s="687" t="s">
        <v>109</v>
      </c>
      <c r="G3" s="805" t="s">
        <v>112</v>
      </c>
      <c r="H3" s="805" t="s">
        <v>108</v>
      </c>
    </row>
    <row r="4" spans="1:8">
      <c r="B4" s="64">
        <v>4</v>
      </c>
      <c r="C4">
        <f t="shared" ref="C4:C23" si="0">STANDARDIZE(B4,$B$24,$B$25)</f>
        <v>-1.4186864564316524</v>
      </c>
      <c r="E4">
        <v>-2</v>
      </c>
      <c r="G4" s="29">
        <v>-2</v>
      </c>
      <c r="H4" s="28">
        <v>0</v>
      </c>
    </row>
    <row r="5" spans="1:8">
      <c r="B5" s="64">
        <v>4.7</v>
      </c>
      <c r="C5">
        <f t="shared" si="0"/>
        <v>-1.1389454650225939</v>
      </c>
      <c r="E5">
        <f>E4+0.5</f>
        <v>-1.5</v>
      </c>
      <c r="G5" s="29">
        <v>-1.5</v>
      </c>
      <c r="H5" s="28">
        <v>0</v>
      </c>
    </row>
    <row r="6" spans="1:8">
      <c r="B6" s="64">
        <v>4.9000000000000004</v>
      </c>
      <c r="C6">
        <f t="shared" si="0"/>
        <v>-1.0590194674771487</v>
      </c>
      <c r="E6">
        <f t="shared" ref="E6:E12" si="1">E5+0.5</f>
        <v>-1</v>
      </c>
      <c r="G6" s="29">
        <v>-1</v>
      </c>
      <c r="H6" s="28">
        <v>5</v>
      </c>
    </row>
    <row r="7" spans="1:8">
      <c r="B7" s="64">
        <v>5</v>
      </c>
      <c r="C7">
        <f t="shared" si="0"/>
        <v>-1.0190564687044261</v>
      </c>
      <c r="E7">
        <f t="shared" si="1"/>
        <v>-0.5</v>
      </c>
      <c r="G7" s="29">
        <v>-0.5</v>
      </c>
      <c r="H7" s="28">
        <v>3</v>
      </c>
    </row>
    <row r="8" spans="1:8">
      <c r="B8" s="64">
        <v>5</v>
      </c>
      <c r="C8">
        <f t="shared" si="0"/>
        <v>-1.0190564687044261</v>
      </c>
      <c r="E8">
        <f t="shared" si="1"/>
        <v>0</v>
      </c>
      <c r="G8" s="29">
        <v>0</v>
      </c>
      <c r="H8" s="28">
        <v>3</v>
      </c>
    </row>
    <row r="9" spans="1:8">
      <c r="B9" s="64">
        <v>5.4</v>
      </c>
      <c r="C9">
        <f t="shared" si="0"/>
        <v>-0.85920447361353558</v>
      </c>
      <c r="E9">
        <f t="shared" si="1"/>
        <v>0.5</v>
      </c>
      <c r="G9" s="29">
        <v>0.5</v>
      </c>
      <c r="H9" s="28">
        <v>2</v>
      </c>
    </row>
    <row r="10" spans="1:8">
      <c r="B10" s="64">
        <v>5.5</v>
      </c>
      <c r="C10">
        <f t="shared" si="0"/>
        <v>-0.81924147484081311</v>
      </c>
      <c r="E10">
        <f t="shared" si="1"/>
        <v>1</v>
      </c>
      <c r="G10" s="29">
        <v>1</v>
      </c>
      <c r="H10" s="28">
        <v>2</v>
      </c>
    </row>
    <row r="11" spans="1:8">
      <c r="B11" s="64">
        <v>6.1</v>
      </c>
      <c r="C11">
        <f t="shared" si="0"/>
        <v>-0.57946348220447752</v>
      </c>
      <c r="E11">
        <f t="shared" si="1"/>
        <v>1.5</v>
      </c>
      <c r="G11" s="29">
        <v>1.5</v>
      </c>
      <c r="H11" s="28">
        <v>4</v>
      </c>
    </row>
    <row r="12" spans="1:8">
      <c r="B12" s="64">
        <v>6.3</v>
      </c>
      <c r="C12">
        <f t="shared" si="0"/>
        <v>-0.4995374846590323</v>
      </c>
      <c r="E12" s="806">
        <f t="shared" si="1"/>
        <v>2</v>
      </c>
      <c r="G12" s="29">
        <v>2</v>
      </c>
      <c r="H12" s="28">
        <v>1</v>
      </c>
    </row>
    <row r="13" spans="1:8" ht="15" thickBot="1">
      <c r="B13" s="64">
        <v>6.8</v>
      </c>
      <c r="C13">
        <f t="shared" si="0"/>
        <v>-0.29972249079541924</v>
      </c>
      <c r="G13" s="31" t="s">
        <v>113</v>
      </c>
      <c r="H13" s="31">
        <v>0</v>
      </c>
    </row>
    <row r="14" spans="1:8">
      <c r="B14" s="64">
        <v>7.1</v>
      </c>
      <c r="C14">
        <f t="shared" si="0"/>
        <v>-0.17983349447725147</v>
      </c>
    </row>
    <row r="15" spans="1:8">
      <c r="B15" s="64">
        <v>8</v>
      </c>
      <c r="C15">
        <f t="shared" si="0"/>
        <v>0.17983349447725216</v>
      </c>
    </row>
    <row r="16" spans="1:8">
      <c r="B16" s="64">
        <v>8.8000000000000007</v>
      </c>
      <c r="C16">
        <f t="shared" si="0"/>
        <v>0.49953748465903336</v>
      </c>
    </row>
    <row r="17" spans="1:4">
      <c r="B17" s="64">
        <v>9.6999999999999993</v>
      </c>
      <c r="C17">
        <f t="shared" si="0"/>
        <v>0.85920447361353625</v>
      </c>
    </row>
    <row r="18" spans="1:4">
      <c r="B18" s="64">
        <v>9.8000000000000007</v>
      </c>
      <c r="C18">
        <f t="shared" si="0"/>
        <v>0.89916747238625949</v>
      </c>
    </row>
    <row r="19" spans="1:4">
      <c r="B19" s="64">
        <v>10.1</v>
      </c>
      <c r="C19">
        <f t="shared" si="0"/>
        <v>1.0190564687044268</v>
      </c>
    </row>
    <row r="20" spans="1:4">
      <c r="B20" s="64">
        <v>10.6</v>
      </c>
      <c r="C20">
        <f t="shared" si="0"/>
        <v>1.2188714625680399</v>
      </c>
    </row>
    <row r="21" spans="1:4">
      <c r="B21" s="64">
        <v>10.7</v>
      </c>
      <c r="C21">
        <f t="shared" si="0"/>
        <v>1.2588344613407625</v>
      </c>
    </row>
    <row r="22" spans="1:4">
      <c r="B22" s="64">
        <v>10.8</v>
      </c>
      <c r="C22">
        <f t="shared" si="0"/>
        <v>1.2987974601134855</v>
      </c>
    </row>
    <row r="23" spans="1:4">
      <c r="B23" s="806">
        <v>11.7</v>
      </c>
      <c r="C23" s="806">
        <f t="shared" si="0"/>
        <v>1.6584644490679885</v>
      </c>
    </row>
    <row r="24" spans="1:4">
      <c r="A24" t="s">
        <v>63</v>
      </c>
      <c r="B24" s="64">
        <f>AVERAGE(B4:B23)</f>
        <v>7.5499999999999989</v>
      </c>
    </row>
    <row r="25" spans="1:4">
      <c r="A25" t="s">
        <v>218</v>
      </c>
      <c r="B25" s="806">
        <f>STDEV(B4:B23)</f>
        <v>2.502314717889905</v>
      </c>
      <c r="C25" s="534"/>
      <c r="D25" s="8"/>
    </row>
  </sheetData>
  <sortState ref="G4:G12">
    <sortCondition ref="G4"/>
  </sortState>
  <pageMargins left="0.7" right="0.7" top="0.75" bottom="0.75" header="0.3" footer="0.3"/>
  <pageSetup paperSize="9" orientation="portrait" horizontalDpi="300" verticalDpi="30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>
  <sheetPr codeName="Sheet19"/>
  <dimension ref="A1:F17"/>
  <sheetViews>
    <sheetView workbookViewId="0"/>
  </sheetViews>
  <sheetFormatPr defaultRowHeight="14.4"/>
  <cols>
    <col min="1" max="1" width="7.6640625" customWidth="1"/>
    <col min="2" max="2" width="6.5546875" customWidth="1"/>
  </cols>
  <sheetData>
    <row r="1" spans="1:6">
      <c r="A1" s="1" t="s">
        <v>556</v>
      </c>
    </row>
    <row r="3" spans="1:6">
      <c r="A3" s="182" t="s">
        <v>211</v>
      </c>
      <c r="C3" t="s">
        <v>209</v>
      </c>
    </row>
    <row r="4" spans="1:6">
      <c r="A4">
        <v>-5.2</v>
      </c>
    </row>
    <row r="5" spans="1:6">
      <c r="A5">
        <v>-3.9</v>
      </c>
      <c r="C5" t="s">
        <v>88</v>
      </c>
      <c r="D5">
        <f>COUNT(A4:A11)</f>
        <v>8</v>
      </c>
      <c r="E5">
        <f>2*D5</f>
        <v>16</v>
      </c>
    </row>
    <row r="6" spans="1:6">
      <c r="A6">
        <v>-2.1</v>
      </c>
      <c r="C6" t="s">
        <v>76</v>
      </c>
      <c r="D6">
        <f>AVERAGE(A4:A11)</f>
        <v>0.375</v>
      </c>
    </row>
    <row r="7" spans="1:6">
      <c r="A7">
        <v>0.2</v>
      </c>
      <c r="C7" t="s">
        <v>182</v>
      </c>
      <c r="D7">
        <f>STDEV(A4:A11)</f>
        <v>3.8945933218831903</v>
      </c>
    </row>
    <row r="8" spans="1:6">
      <c r="A8">
        <v>1.1000000000000001</v>
      </c>
    </row>
    <row r="9" spans="1:6">
      <c r="A9">
        <v>2.7</v>
      </c>
      <c r="C9" s="687" t="s">
        <v>210</v>
      </c>
      <c r="D9" s="687" t="s">
        <v>211</v>
      </c>
      <c r="E9" s="687" t="s">
        <v>555</v>
      </c>
      <c r="F9" s="687" t="s">
        <v>212</v>
      </c>
    </row>
    <row r="10" spans="1:6">
      <c r="A10">
        <v>4.9000000000000004</v>
      </c>
      <c r="C10">
        <v>1</v>
      </c>
      <c r="D10">
        <v>-5.2</v>
      </c>
      <c r="E10">
        <f>NORMSINV(C10/E$5)</f>
        <v>-1.5341205443525459</v>
      </c>
      <c r="F10">
        <f>STANDARDIZE(D10,D$6,D$7)</f>
        <v>-1.4314716683446338</v>
      </c>
    </row>
    <row r="11" spans="1:6">
      <c r="A11" s="11">
        <v>5.3</v>
      </c>
      <c r="C11">
        <f>C10+2</f>
        <v>3</v>
      </c>
      <c r="D11">
        <v>-3.9</v>
      </c>
      <c r="E11">
        <f t="shared" ref="E11:E17" si="0">NORMSINV(C11/E$5)</f>
        <v>-0.88714655901887607</v>
      </c>
      <c r="F11">
        <f t="shared" ref="F11:F17" si="1">STANDARDIZE(D11,D$6,D$7)</f>
        <v>-1.0976755842463337</v>
      </c>
    </row>
    <row r="12" spans="1:6">
      <c r="C12">
        <f t="shared" ref="C12:C17" si="2">C11+2</f>
        <v>5</v>
      </c>
      <c r="D12">
        <v>-2.1</v>
      </c>
      <c r="E12">
        <f t="shared" si="0"/>
        <v>-0.48877641111466941</v>
      </c>
      <c r="F12">
        <f t="shared" si="1"/>
        <v>-0.63549639087945631</v>
      </c>
    </row>
    <row r="13" spans="1:6">
      <c r="C13">
        <f t="shared" si="2"/>
        <v>7</v>
      </c>
      <c r="D13">
        <v>0.2</v>
      </c>
      <c r="E13">
        <f t="shared" si="0"/>
        <v>-0.1573106846101707</v>
      </c>
      <c r="F13">
        <f t="shared" si="1"/>
        <v>-4.4934088244001955E-2</v>
      </c>
    </row>
    <row r="14" spans="1:6">
      <c r="C14">
        <f t="shared" si="2"/>
        <v>9</v>
      </c>
      <c r="D14">
        <v>1.1000000000000001</v>
      </c>
      <c r="E14">
        <f t="shared" si="0"/>
        <v>0.1573106846101707</v>
      </c>
      <c r="F14">
        <f t="shared" si="1"/>
        <v>0.18615550843943671</v>
      </c>
    </row>
    <row r="15" spans="1:6">
      <c r="C15">
        <f t="shared" si="2"/>
        <v>11</v>
      </c>
      <c r="D15">
        <v>2.7</v>
      </c>
      <c r="E15">
        <f t="shared" si="0"/>
        <v>0.48877641111466941</v>
      </c>
      <c r="F15">
        <f t="shared" si="1"/>
        <v>0.59698145809888326</v>
      </c>
    </row>
    <row r="16" spans="1:6">
      <c r="C16">
        <f t="shared" si="2"/>
        <v>13</v>
      </c>
      <c r="D16">
        <v>4.9000000000000004</v>
      </c>
      <c r="E16">
        <f t="shared" si="0"/>
        <v>0.88714655901887607</v>
      </c>
      <c r="F16">
        <f t="shared" si="1"/>
        <v>1.1618671388806221</v>
      </c>
    </row>
    <row r="17" spans="3:6">
      <c r="C17" s="534">
        <f t="shared" si="2"/>
        <v>15</v>
      </c>
      <c r="D17" s="534">
        <v>5.3</v>
      </c>
      <c r="E17" s="534">
        <f t="shared" si="0"/>
        <v>1.5341205443525465</v>
      </c>
      <c r="F17" s="534">
        <f t="shared" si="1"/>
        <v>1.2645736262954836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sheetPr codeName="Sheet18"/>
  <dimension ref="A1:F29"/>
  <sheetViews>
    <sheetView zoomScaleNormal="100" workbookViewId="0"/>
  </sheetViews>
  <sheetFormatPr defaultRowHeight="14.4"/>
  <cols>
    <col min="2" max="2" width="7.44140625" customWidth="1"/>
  </cols>
  <sheetData>
    <row r="1" spans="1:6">
      <c r="A1" s="1" t="s">
        <v>1914</v>
      </c>
    </row>
    <row r="3" spans="1:6">
      <c r="A3" s="687" t="s">
        <v>211</v>
      </c>
      <c r="C3" t="s">
        <v>209</v>
      </c>
    </row>
    <row r="4" spans="1:6">
      <c r="A4" s="64">
        <v>4</v>
      </c>
    </row>
    <row r="5" spans="1:6">
      <c r="A5" s="64">
        <v>4.7</v>
      </c>
      <c r="C5" t="s">
        <v>88</v>
      </c>
      <c r="D5">
        <f>COUNT(A4:A23)</f>
        <v>20</v>
      </c>
      <c r="E5">
        <f>2*D5</f>
        <v>40</v>
      </c>
    </row>
    <row r="6" spans="1:6">
      <c r="A6" s="64">
        <v>4.9000000000000004</v>
      </c>
      <c r="C6" t="s">
        <v>76</v>
      </c>
      <c r="D6" s="64">
        <f>AVERAGE(A4:A23)</f>
        <v>7.5499999999999989</v>
      </c>
    </row>
    <row r="7" spans="1:6">
      <c r="A7" s="64">
        <v>5</v>
      </c>
      <c r="C7" t="s">
        <v>182</v>
      </c>
      <c r="D7">
        <f>STDEV(A4:A23)</f>
        <v>2.502314717889905</v>
      </c>
    </row>
    <row r="8" spans="1:6">
      <c r="A8" s="64">
        <v>5</v>
      </c>
    </row>
    <row r="9" spans="1:6">
      <c r="A9" s="64">
        <v>5.4</v>
      </c>
      <c r="C9" t="s">
        <v>210</v>
      </c>
      <c r="D9" t="s">
        <v>211</v>
      </c>
      <c r="E9" t="s">
        <v>555</v>
      </c>
      <c r="F9" t="s">
        <v>212</v>
      </c>
    </row>
    <row r="10" spans="1:6">
      <c r="A10" s="64">
        <v>5.5</v>
      </c>
      <c r="C10">
        <v>1</v>
      </c>
      <c r="D10">
        <v>4</v>
      </c>
      <c r="E10">
        <f>NORMSINV(C10/E$5)</f>
        <v>-1.9599639845400538</v>
      </c>
      <c r="F10">
        <f>STANDARDIZE(D10,D$6,D$7)</f>
        <v>-1.4186864564316524</v>
      </c>
    </row>
    <row r="11" spans="1:6">
      <c r="A11" s="64">
        <v>6.1</v>
      </c>
      <c r="C11">
        <f>C10+2</f>
        <v>3</v>
      </c>
      <c r="D11">
        <v>4.7</v>
      </c>
      <c r="E11">
        <f t="shared" ref="E11:E29" si="0">NORMSINV(C11/E$5)</f>
        <v>-1.4395314709384572</v>
      </c>
      <c r="F11">
        <f t="shared" ref="F11:F29" si="1">STANDARDIZE(D11,D$6,D$7)</f>
        <v>-1.1389454650225939</v>
      </c>
    </row>
    <row r="12" spans="1:6">
      <c r="A12" s="64">
        <v>6.3</v>
      </c>
      <c r="C12">
        <f t="shared" ref="C12:C29" si="2">C11+2</f>
        <v>5</v>
      </c>
      <c r="D12">
        <v>4.9000000000000004</v>
      </c>
      <c r="E12">
        <f t="shared" si="0"/>
        <v>-1.1503493803760083</v>
      </c>
      <c r="F12">
        <f t="shared" si="1"/>
        <v>-1.0590194674771487</v>
      </c>
    </row>
    <row r="13" spans="1:6">
      <c r="A13" s="64">
        <v>6.8</v>
      </c>
      <c r="C13">
        <f t="shared" si="2"/>
        <v>7</v>
      </c>
      <c r="D13">
        <v>5</v>
      </c>
      <c r="E13">
        <f t="shared" si="0"/>
        <v>-0.93458929107347943</v>
      </c>
      <c r="F13">
        <f t="shared" si="1"/>
        <v>-1.0190564687044261</v>
      </c>
    </row>
    <row r="14" spans="1:6">
      <c r="A14" s="64">
        <v>7.1</v>
      </c>
      <c r="C14">
        <f t="shared" si="2"/>
        <v>9</v>
      </c>
      <c r="D14">
        <v>5</v>
      </c>
      <c r="E14">
        <f t="shared" si="0"/>
        <v>-0.75541502636046909</v>
      </c>
      <c r="F14">
        <f t="shared" si="1"/>
        <v>-1.0190564687044261</v>
      </c>
    </row>
    <row r="15" spans="1:6">
      <c r="A15" s="64">
        <v>8</v>
      </c>
      <c r="C15">
        <f t="shared" si="2"/>
        <v>11</v>
      </c>
      <c r="D15">
        <v>5.4</v>
      </c>
      <c r="E15">
        <f t="shared" si="0"/>
        <v>-0.59776012604247841</v>
      </c>
      <c r="F15">
        <f t="shared" si="1"/>
        <v>-0.85920447361353558</v>
      </c>
    </row>
    <row r="16" spans="1:6">
      <c r="A16" s="64">
        <v>8.8000000000000007</v>
      </c>
      <c r="C16">
        <f t="shared" si="2"/>
        <v>13</v>
      </c>
      <c r="D16">
        <v>5.5</v>
      </c>
      <c r="E16">
        <f t="shared" si="0"/>
        <v>-0.45376219016987951</v>
      </c>
      <c r="F16">
        <f t="shared" si="1"/>
        <v>-0.81924147484081311</v>
      </c>
    </row>
    <row r="17" spans="1:6">
      <c r="A17" s="64">
        <v>9.6999999999999993</v>
      </c>
      <c r="C17">
        <f t="shared" si="2"/>
        <v>15</v>
      </c>
      <c r="D17">
        <v>6.1</v>
      </c>
      <c r="E17">
        <f t="shared" si="0"/>
        <v>-0.3186393639643752</v>
      </c>
      <c r="F17">
        <f t="shared" si="1"/>
        <v>-0.57946348220447752</v>
      </c>
    </row>
    <row r="18" spans="1:6">
      <c r="A18" s="64">
        <v>9.8000000000000007</v>
      </c>
      <c r="C18">
        <f t="shared" si="2"/>
        <v>17</v>
      </c>
      <c r="D18">
        <v>6.3</v>
      </c>
      <c r="E18">
        <f t="shared" si="0"/>
        <v>-0.18911842627279254</v>
      </c>
      <c r="F18">
        <f t="shared" si="1"/>
        <v>-0.4995374846590323</v>
      </c>
    </row>
    <row r="19" spans="1:6">
      <c r="A19" s="64">
        <v>10.1</v>
      </c>
      <c r="C19">
        <f t="shared" si="2"/>
        <v>19</v>
      </c>
      <c r="D19">
        <v>6.8</v>
      </c>
      <c r="E19">
        <f t="shared" si="0"/>
        <v>-6.2706777943213846E-2</v>
      </c>
      <c r="F19">
        <f t="shared" si="1"/>
        <v>-0.29972249079541924</v>
      </c>
    </row>
    <row r="20" spans="1:6">
      <c r="A20" s="64">
        <v>10.6</v>
      </c>
      <c r="C20">
        <f t="shared" si="2"/>
        <v>21</v>
      </c>
      <c r="D20">
        <v>7.1</v>
      </c>
      <c r="E20">
        <f t="shared" si="0"/>
        <v>6.2706777943213846E-2</v>
      </c>
      <c r="F20">
        <f t="shared" si="1"/>
        <v>-0.17983349447725147</v>
      </c>
    </row>
    <row r="21" spans="1:6">
      <c r="A21" s="64">
        <v>10.7</v>
      </c>
      <c r="C21">
        <f t="shared" si="2"/>
        <v>23</v>
      </c>
      <c r="D21">
        <v>8</v>
      </c>
      <c r="E21">
        <f t="shared" si="0"/>
        <v>0.18911842627279243</v>
      </c>
      <c r="F21">
        <f t="shared" si="1"/>
        <v>0.17983349447725216</v>
      </c>
    </row>
    <row r="22" spans="1:6">
      <c r="A22" s="64">
        <v>10.8</v>
      </c>
      <c r="C22">
        <f t="shared" si="2"/>
        <v>25</v>
      </c>
      <c r="D22">
        <v>8.8000000000000007</v>
      </c>
      <c r="E22">
        <f t="shared" si="0"/>
        <v>0.3186393639643752</v>
      </c>
      <c r="F22">
        <f t="shared" si="1"/>
        <v>0.49953748465903336</v>
      </c>
    </row>
    <row r="23" spans="1:6">
      <c r="A23" s="806">
        <v>11.7</v>
      </c>
      <c r="C23">
        <f t="shared" si="2"/>
        <v>27</v>
      </c>
      <c r="D23">
        <v>9.6999999999999993</v>
      </c>
      <c r="E23">
        <f t="shared" si="0"/>
        <v>0.45376219016987968</v>
      </c>
      <c r="F23">
        <f t="shared" si="1"/>
        <v>0.85920447361353625</v>
      </c>
    </row>
    <row r="24" spans="1:6">
      <c r="C24">
        <f t="shared" si="2"/>
        <v>29</v>
      </c>
      <c r="D24">
        <v>9.8000000000000007</v>
      </c>
      <c r="E24">
        <f t="shared" si="0"/>
        <v>0.59776012604247841</v>
      </c>
      <c r="F24">
        <f t="shared" si="1"/>
        <v>0.89916747238625949</v>
      </c>
    </row>
    <row r="25" spans="1:6">
      <c r="C25">
        <f t="shared" si="2"/>
        <v>31</v>
      </c>
      <c r="D25">
        <v>10.1</v>
      </c>
      <c r="E25">
        <f t="shared" si="0"/>
        <v>0.75541502636046909</v>
      </c>
      <c r="F25">
        <f t="shared" si="1"/>
        <v>1.0190564687044268</v>
      </c>
    </row>
    <row r="26" spans="1:6">
      <c r="C26">
        <f t="shared" si="2"/>
        <v>33</v>
      </c>
      <c r="D26">
        <v>10.6</v>
      </c>
      <c r="E26">
        <f t="shared" si="0"/>
        <v>0.9345892910734801</v>
      </c>
      <c r="F26">
        <f t="shared" si="1"/>
        <v>1.2188714625680399</v>
      </c>
    </row>
    <row r="27" spans="1:6">
      <c r="C27">
        <f t="shared" si="2"/>
        <v>35</v>
      </c>
      <c r="D27">
        <v>10.7</v>
      </c>
      <c r="E27">
        <f t="shared" si="0"/>
        <v>1.1503493803760083</v>
      </c>
      <c r="F27">
        <f t="shared" si="1"/>
        <v>1.2588344613407625</v>
      </c>
    </row>
    <row r="28" spans="1:6">
      <c r="C28">
        <f t="shared" si="2"/>
        <v>37</v>
      </c>
      <c r="D28">
        <v>10.8</v>
      </c>
      <c r="E28">
        <f t="shared" si="0"/>
        <v>1.4395314709384563</v>
      </c>
      <c r="F28">
        <f t="shared" si="1"/>
        <v>1.2987974601134855</v>
      </c>
    </row>
    <row r="29" spans="1:6">
      <c r="C29">
        <f t="shared" si="2"/>
        <v>39</v>
      </c>
      <c r="D29">
        <v>11.7</v>
      </c>
      <c r="E29">
        <f t="shared" si="0"/>
        <v>1.9599639845400536</v>
      </c>
      <c r="F29">
        <f t="shared" si="1"/>
        <v>1.6584644490679885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sheetPr codeName="Sheet232"/>
  <dimension ref="A1:D23"/>
  <sheetViews>
    <sheetView workbookViewId="0">
      <selection activeCell="A3" sqref="A3:A23"/>
    </sheetView>
  </sheetViews>
  <sheetFormatPr defaultRowHeight="14.4"/>
  <cols>
    <col min="2" max="2" width="5.44140625" customWidth="1"/>
  </cols>
  <sheetData>
    <row r="1" spans="1:4">
      <c r="A1" s="1" t="s">
        <v>1915</v>
      </c>
    </row>
    <row r="3" spans="1:4">
      <c r="A3" s="687" t="s">
        <v>211</v>
      </c>
      <c r="D3" s="687" t="s">
        <v>211</v>
      </c>
    </row>
    <row r="4" spans="1:4">
      <c r="A4" s="64">
        <v>4</v>
      </c>
      <c r="C4" t="s">
        <v>160</v>
      </c>
      <c r="D4" s="64">
        <f>MIN(A4:A23)</f>
        <v>4</v>
      </c>
    </row>
    <row r="5" spans="1:4">
      <c r="A5" s="64">
        <v>4.7</v>
      </c>
      <c r="C5" t="s">
        <v>161</v>
      </c>
      <c r="D5" s="64">
        <f>QUARTILE(A4:A23,1)-D4</f>
        <v>1.3000000000000007</v>
      </c>
    </row>
    <row r="6" spans="1:4">
      <c r="A6" s="64">
        <v>4.9000000000000004</v>
      </c>
      <c r="C6" t="s">
        <v>162</v>
      </c>
      <c r="D6" s="64">
        <f>MEDIAN(A4:A23)-QUARTILE(A4:A23,1)</f>
        <v>1.6499999999999986</v>
      </c>
    </row>
    <row r="7" spans="1:4">
      <c r="A7" s="64">
        <v>5</v>
      </c>
      <c r="C7" t="s">
        <v>163</v>
      </c>
      <c r="D7" s="64">
        <f>QUARTILE(A4:A23,3)-MEDIAN(A4:A23)</f>
        <v>2.9250000000000007</v>
      </c>
    </row>
    <row r="8" spans="1:4">
      <c r="A8" s="64">
        <v>5</v>
      </c>
      <c r="C8" t="s">
        <v>164</v>
      </c>
      <c r="D8" s="64">
        <f>MAX(A4:A23)-QUARTILE(A4:A23,3)</f>
        <v>1.8249999999999993</v>
      </c>
    </row>
    <row r="9" spans="1:4">
      <c r="A9" s="64">
        <v>5.4</v>
      </c>
    </row>
    <row r="10" spans="1:4">
      <c r="A10" s="64">
        <v>5.5</v>
      </c>
    </row>
    <row r="11" spans="1:4">
      <c r="A11" s="64">
        <v>6.1</v>
      </c>
      <c r="C11" t="s">
        <v>561</v>
      </c>
    </row>
    <row r="12" spans="1:4">
      <c r="A12" s="64">
        <v>6.3</v>
      </c>
    </row>
    <row r="13" spans="1:4">
      <c r="A13" s="64">
        <v>6.8</v>
      </c>
      <c r="C13" t="s">
        <v>557</v>
      </c>
      <c r="D13" s="183">
        <f>SKEW(A4:A23)</f>
        <v>0.23011951213947515</v>
      </c>
    </row>
    <row r="14" spans="1:4">
      <c r="A14" s="64">
        <v>7.1</v>
      </c>
      <c r="C14" t="s">
        <v>559</v>
      </c>
      <c r="D14" s="41">
        <f>KURT(A4:A23)</f>
        <v>-1.5311509783670325</v>
      </c>
    </row>
    <row r="15" spans="1:4">
      <c r="A15" s="64">
        <v>8</v>
      </c>
    </row>
    <row r="16" spans="1:4">
      <c r="A16" s="64">
        <v>8.8000000000000007</v>
      </c>
      <c r="C16" t="s">
        <v>558</v>
      </c>
      <c r="D16" s="183">
        <f>SQRT(6/COUNT(A4:A23))</f>
        <v>0.54772255750516607</v>
      </c>
    </row>
    <row r="17" spans="1:4">
      <c r="A17" s="64">
        <v>9.6999999999999993</v>
      </c>
      <c r="C17" t="s">
        <v>560</v>
      </c>
      <c r="D17" s="41">
        <f>SQRT(24/COUNT(A4:A23))</f>
        <v>1.0954451150103321</v>
      </c>
    </row>
    <row r="18" spans="1:4">
      <c r="A18" s="64">
        <v>9.8000000000000007</v>
      </c>
    </row>
    <row r="19" spans="1:4">
      <c r="A19" s="64">
        <v>10.1</v>
      </c>
    </row>
    <row r="20" spans="1:4">
      <c r="A20" s="64">
        <v>10.6</v>
      </c>
    </row>
    <row r="21" spans="1:4">
      <c r="A21" s="64">
        <v>10.7</v>
      </c>
    </row>
    <row r="22" spans="1:4">
      <c r="A22" s="64">
        <v>10.8</v>
      </c>
    </row>
    <row r="23" spans="1:4">
      <c r="A23" s="806">
        <v>11.7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sheetPr codeName="Sheet63"/>
  <dimension ref="A1:AB47"/>
  <sheetViews>
    <sheetView workbookViewId="0"/>
  </sheetViews>
  <sheetFormatPr defaultRowHeight="14.4"/>
  <cols>
    <col min="17" max="17" width="13.33203125" customWidth="1"/>
    <col min="18" max="28" width="6.5546875" customWidth="1"/>
  </cols>
  <sheetData>
    <row r="1" spans="1:28">
      <c r="A1" s="1" t="s">
        <v>618</v>
      </c>
    </row>
    <row r="3" spans="1:28">
      <c r="A3">
        <v>35</v>
      </c>
      <c r="C3" t="s">
        <v>209</v>
      </c>
      <c r="Q3" t="s">
        <v>213</v>
      </c>
      <c r="R3">
        <v>35</v>
      </c>
      <c r="S3">
        <v>64</v>
      </c>
      <c r="T3">
        <v>70</v>
      </c>
      <c r="U3">
        <v>93</v>
      </c>
      <c r="V3">
        <v>95</v>
      </c>
      <c r="W3">
        <v>100</v>
      </c>
      <c r="X3">
        <v>110</v>
      </c>
      <c r="Y3">
        <v>115</v>
      </c>
      <c r="Z3">
        <v>140</v>
      </c>
      <c r="AA3">
        <v>200</v>
      </c>
      <c r="AB3">
        <v>240</v>
      </c>
    </row>
    <row r="4" spans="1:28">
      <c r="A4">
        <v>64</v>
      </c>
      <c r="Q4" t="s">
        <v>619</v>
      </c>
      <c r="R4" s="102">
        <f>LOG(R3)</f>
        <v>1.5440680443502757</v>
      </c>
      <c r="S4" s="102">
        <f t="shared" ref="S4:AB4" si="0">LOG(S3)</f>
        <v>1.8061799739838871</v>
      </c>
      <c r="T4" s="102">
        <f t="shared" si="0"/>
        <v>1.8450980400142569</v>
      </c>
      <c r="U4" s="102">
        <f t="shared" si="0"/>
        <v>1.968482948553935</v>
      </c>
      <c r="V4" s="102">
        <f t="shared" si="0"/>
        <v>1.9777236052888478</v>
      </c>
      <c r="W4" s="102">
        <f t="shared" si="0"/>
        <v>2</v>
      </c>
      <c r="X4" s="102">
        <f t="shared" si="0"/>
        <v>2.0413926851582249</v>
      </c>
      <c r="Y4" s="102">
        <f t="shared" si="0"/>
        <v>2.0606978403536118</v>
      </c>
      <c r="Z4" s="102">
        <f t="shared" si="0"/>
        <v>2.1461280356782382</v>
      </c>
      <c r="AA4" s="102">
        <f t="shared" si="0"/>
        <v>2.3010299956639813</v>
      </c>
      <c r="AB4" s="102">
        <f t="shared" si="0"/>
        <v>2.3802112417116059</v>
      </c>
    </row>
    <row r="5" spans="1:28">
      <c r="A5">
        <v>70</v>
      </c>
      <c r="C5" t="s">
        <v>88</v>
      </c>
      <c r="D5">
        <f>COUNT(A3:A13)</f>
        <v>11</v>
      </c>
      <c r="E5">
        <f>2*D5</f>
        <v>22</v>
      </c>
    </row>
    <row r="6" spans="1:28">
      <c r="A6">
        <v>93</v>
      </c>
      <c r="C6" t="s">
        <v>76</v>
      </c>
      <c r="D6">
        <f>AVERAGE(A3:A13)</f>
        <v>114.72727272727273</v>
      </c>
    </row>
    <row r="7" spans="1:28">
      <c r="A7">
        <v>95</v>
      </c>
      <c r="C7" t="s">
        <v>182</v>
      </c>
      <c r="D7">
        <f>STDEV(A3:A13)</f>
        <v>59.694373116887512</v>
      </c>
    </row>
    <row r="8" spans="1:28">
      <c r="A8">
        <v>100</v>
      </c>
    </row>
    <row r="9" spans="1:28">
      <c r="A9">
        <v>110</v>
      </c>
      <c r="C9" t="s">
        <v>210</v>
      </c>
      <c r="D9" t="s">
        <v>211</v>
      </c>
      <c r="E9" t="s">
        <v>555</v>
      </c>
      <c r="F9" t="s">
        <v>212</v>
      </c>
    </row>
    <row r="10" spans="1:28">
      <c r="A10">
        <v>115</v>
      </c>
      <c r="C10">
        <v>1</v>
      </c>
      <c r="D10">
        <v>35</v>
      </c>
      <c r="E10">
        <f t="shared" ref="E10:E20" si="1">NORMSINV(C10/E$5)</f>
        <v>-1.6906216295848977</v>
      </c>
      <c r="F10">
        <f t="shared" ref="F10:F20" si="2">STANDARDIZE(D10,D$6,D$7)</f>
        <v>-1.3355910878092114</v>
      </c>
    </row>
    <row r="11" spans="1:28">
      <c r="A11">
        <v>140</v>
      </c>
      <c r="C11">
        <f>C10+2</f>
        <v>3</v>
      </c>
      <c r="D11">
        <v>64</v>
      </c>
      <c r="E11">
        <f t="shared" si="1"/>
        <v>-1.096803562093513</v>
      </c>
      <c r="F11">
        <f t="shared" si="2"/>
        <v>-0.84978315507131119</v>
      </c>
    </row>
    <row r="12" spans="1:28">
      <c r="A12">
        <v>200</v>
      </c>
      <c r="C12">
        <f t="shared" ref="C12:C20" si="3">C11+2</f>
        <v>5</v>
      </c>
      <c r="D12">
        <v>70</v>
      </c>
      <c r="E12">
        <f t="shared" si="1"/>
        <v>-0.74785859476330196</v>
      </c>
      <c r="F12">
        <f t="shared" si="2"/>
        <v>-0.74927116898760782</v>
      </c>
    </row>
    <row r="13" spans="1:28">
      <c r="A13">
        <v>240</v>
      </c>
      <c r="C13">
        <f t="shared" si="3"/>
        <v>7</v>
      </c>
      <c r="D13">
        <v>93</v>
      </c>
      <c r="E13">
        <f t="shared" si="1"/>
        <v>-0.47278912099226744</v>
      </c>
      <c r="F13">
        <f t="shared" si="2"/>
        <v>-0.36397522233341117</v>
      </c>
    </row>
    <row r="14" spans="1:28">
      <c r="C14">
        <f t="shared" si="3"/>
        <v>9</v>
      </c>
      <c r="D14">
        <v>95</v>
      </c>
      <c r="E14">
        <f t="shared" si="1"/>
        <v>-0.22988411757923208</v>
      </c>
      <c r="F14">
        <f t="shared" si="2"/>
        <v>-0.33047122697217668</v>
      </c>
    </row>
    <row r="15" spans="1:28">
      <c r="C15">
        <f t="shared" si="3"/>
        <v>11</v>
      </c>
      <c r="D15">
        <v>100</v>
      </c>
      <c r="E15">
        <f t="shared" si="1"/>
        <v>0</v>
      </c>
      <c r="F15">
        <f t="shared" si="2"/>
        <v>-0.24671123856909044</v>
      </c>
    </row>
    <row r="16" spans="1:28">
      <c r="C16">
        <f t="shared" si="3"/>
        <v>13</v>
      </c>
      <c r="D16">
        <v>110</v>
      </c>
      <c r="E16">
        <f t="shared" si="1"/>
        <v>0.22988411757923222</v>
      </c>
      <c r="F16">
        <f t="shared" si="2"/>
        <v>-7.9191261762917992E-2</v>
      </c>
    </row>
    <row r="17" spans="1:6">
      <c r="C17">
        <f t="shared" si="3"/>
        <v>15</v>
      </c>
      <c r="D17">
        <v>115</v>
      </c>
      <c r="E17">
        <f t="shared" si="1"/>
        <v>0.47278912099226728</v>
      </c>
      <c r="F17">
        <f t="shared" si="2"/>
        <v>4.5687266401682313E-3</v>
      </c>
    </row>
    <row r="18" spans="1:6">
      <c r="C18">
        <f t="shared" si="3"/>
        <v>17</v>
      </c>
      <c r="D18">
        <v>140</v>
      </c>
      <c r="E18">
        <f t="shared" si="1"/>
        <v>0.74785859476330196</v>
      </c>
      <c r="F18">
        <f t="shared" si="2"/>
        <v>0.42336866865559936</v>
      </c>
    </row>
    <row r="19" spans="1:6">
      <c r="C19">
        <f t="shared" si="3"/>
        <v>19</v>
      </c>
      <c r="D19">
        <v>200</v>
      </c>
      <c r="E19">
        <f t="shared" si="1"/>
        <v>1.096803562093513</v>
      </c>
      <c r="F19">
        <f t="shared" si="2"/>
        <v>1.4284885294926339</v>
      </c>
    </row>
    <row r="20" spans="1:6">
      <c r="C20">
        <f t="shared" si="3"/>
        <v>21</v>
      </c>
      <c r="D20">
        <v>240</v>
      </c>
      <c r="E20">
        <f t="shared" si="1"/>
        <v>1.6906216295848984</v>
      </c>
      <c r="F20">
        <f t="shared" si="2"/>
        <v>2.0985684367173238</v>
      </c>
    </row>
    <row r="22" spans="1:6">
      <c r="A22" t="s">
        <v>619</v>
      </c>
    </row>
    <row r="24" spans="1:6">
      <c r="A24">
        <f t="shared" ref="A24:A34" si="4">LOG(A3)</f>
        <v>1.5440680443502757</v>
      </c>
      <c r="C24" t="s">
        <v>209</v>
      </c>
    </row>
    <row r="25" spans="1:6">
      <c r="A25">
        <f t="shared" si="4"/>
        <v>1.8061799739838871</v>
      </c>
    </row>
    <row r="26" spans="1:6">
      <c r="A26">
        <f t="shared" si="4"/>
        <v>1.8450980400142569</v>
      </c>
      <c r="C26" t="s">
        <v>88</v>
      </c>
      <c r="D26">
        <f>COUNT(A24:A34)</f>
        <v>11</v>
      </c>
      <c r="E26">
        <f>2*D26</f>
        <v>22</v>
      </c>
    </row>
    <row r="27" spans="1:6">
      <c r="A27">
        <f t="shared" si="4"/>
        <v>1.968482948553935</v>
      </c>
      <c r="C27" t="s">
        <v>76</v>
      </c>
      <c r="D27">
        <f>AVERAGE(A24:A34)</f>
        <v>2.0064556737051693</v>
      </c>
    </row>
    <row r="28" spans="1:6">
      <c r="A28">
        <f t="shared" si="4"/>
        <v>1.9777236052888478</v>
      </c>
      <c r="C28" t="s">
        <v>182</v>
      </c>
      <c r="D28">
        <f>STDEV(A24:A34)</f>
        <v>0.23073719441128815</v>
      </c>
    </row>
    <row r="29" spans="1:6">
      <c r="A29">
        <f t="shared" si="4"/>
        <v>2</v>
      </c>
    </row>
    <row r="30" spans="1:6">
      <c r="A30">
        <f t="shared" si="4"/>
        <v>2.0413926851582249</v>
      </c>
      <c r="C30" t="s">
        <v>210</v>
      </c>
      <c r="D30" t="s">
        <v>211</v>
      </c>
      <c r="E30" t="s">
        <v>555</v>
      </c>
      <c r="F30" t="s">
        <v>212</v>
      </c>
    </row>
    <row r="31" spans="1:6">
      <c r="A31">
        <f t="shared" si="4"/>
        <v>2.0606978403536118</v>
      </c>
      <c r="C31">
        <v>1</v>
      </c>
      <c r="D31">
        <v>1.5440680443502757</v>
      </c>
      <c r="E31">
        <f t="shared" ref="E31:E41" si="5">NORMSINV(C31/E$26)</f>
        <v>-1.6906216295848977</v>
      </c>
      <c r="F31">
        <f t="shared" ref="F31:F41" si="6">STANDARDIZE(D31,D$27,D$28)</f>
        <v>-2.003957925095897</v>
      </c>
    </row>
    <row r="32" spans="1:6">
      <c r="A32">
        <f t="shared" si="4"/>
        <v>2.1461280356782382</v>
      </c>
      <c r="C32">
        <f>C31+2</f>
        <v>3</v>
      </c>
      <c r="D32">
        <v>1.8061799739838871</v>
      </c>
      <c r="E32">
        <f t="shared" si="5"/>
        <v>-1.096803562093513</v>
      </c>
      <c r="F32">
        <f t="shared" si="6"/>
        <v>-0.8679818623619544</v>
      </c>
    </row>
    <row r="33" spans="1:6">
      <c r="A33">
        <f t="shared" si="4"/>
        <v>2.3010299956639813</v>
      </c>
      <c r="C33">
        <f t="shared" ref="C33:C41" si="7">C32+2</f>
        <v>5</v>
      </c>
      <c r="D33">
        <v>1.8450980400142569</v>
      </c>
      <c r="E33">
        <f t="shared" si="5"/>
        <v>-0.74785859476330196</v>
      </c>
      <c r="F33">
        <f t="shared" si="6"/>
        <v>-0.69931349430943079</v>
      </c>
    </row>
    <row r="34" spans="1:6">
      <c r="A34">
        <f t="shared" si="4"/>
        <v>2.3802112417116059</v>
      </c>
      <c r="C34">
        <f t="shared" si="7"/>
        <v>7</v>
      </c>
      <c r="D34">
        <v>1.968482948553935</v>
      </c>
      <c r="E34">
        <f t="shared" si="5"/>
        <v>-0.47278912099226744</v>
      </c>
      <c r="F34">
        <f t="shared" si="6"/>
        <v>-0.16457132214040904</v>
      </c>
    </row>
    <row r="35" spans="1:6">
      <c r="C35">
        <f t="shared" si="7"/>
        <v>9</v>
      </c>
      <c r="D35">
        <v>1.9777236052888478</v>
      </c>
      <c r="E35">
        <f t="shared" si="5"/>
        <v>-0.22988411757923208</v>
      </c>
      <c r="F35">
        <f t="shared" si="6"/>
        <v>-0.12452291660054893</v>
      </c>
    </row>
    <row r="36" spans="1:6">
      <c r="C36">
        <f t="shared" si="7"/>
        <v>11</v>
      </c>
      <c r="D36">
        <v>2</v>
      </c>
      <c r="E36">
        <f t="shared" si="5"/>
        <v>0</v>
      </c>
      <c r="F36">
        <f t="shared" si="6"/>
        <v>-2.7978470144965416E-2</v>
      </c>
    </row>
    <row r="37" spans="1:6">
      <c r="C37">
        <f t="shared" si="7"/>
        <v>13</v>
      </c>
      <c r="D37">
        <v>2.0413926851582249</v>
      </c>
      <c r="E37">
        <f t="shared" si="5"/>
        <v>0.22988411757923222</v>
      </c>
      <c r="F37">
        <f t="shared" si="6"/>
        <v>0.15141473632890121</v>
      </c>
    </row>
    <row r="38" spans="1:6">
      <c r="C38">
        <f t="shared" si="7"/>
        <v>15</v>
      </c>
      <c r="D38">
        <v>2.0606978403536118</v>
      </c>
      <c r="E38">
        <f t="shared" si="5"/>
        <v>0.47278912099226728</v>
      </c>
      <c r="F38">
        <f t="shared" si="6"/>
        <v>0.23508202388799115</v>
      </c>
    </row>
    <row r="39" spans="1:6">
      <c r="C39">
        <f t="shared" si="7"/>
        <v>17</v>
      </c>
      <c r="D39">
        <v>2.1461280356782382</v>
      </c>
      <c r="E39">
        <f t="shared" si="5"/>
        <v>0.74785859476330196</v>
      </c>
      <c r="F39">
        <f t="shared" si="6"/>
        <v>0.60533093647703551</v>
      </c>
    </row>
    <row r="40" spans="1:6">
      <c r="C40">
        <f t="shared" si="7"/>
        <v>19</v>
      </c>
      <c r="D40">
        <v>2.3010299956639813</v>
      </c>
      <c r="E40">
        <f t="shared" si="5"/>
        <v>1.096803562093513</v>
      </c>
      <c r="F40">
        <f t="shared" si="6"/>
        <v>1.276665960641501</v>
      </c>
    </row>
    <row r="41" spans="1:6">
      <c r="C41">
        <f t="shared" si="7"/>
        <v>21</v>
      </c>
      <c r="D41">
        <v>2.3802112417116059</v>
      </c>
      <c r="E41">
        <f t="shared" si="5"/>
        <v>1.6906216295848984</v>
      </c>
      <c r="F41">
        <f t="shared" si="6"/>
        <v>1.6198323333177864</v>
      </c>
    </row>
    <row r="43" spans="1:6">
      <c r="A43" t="s">
        <v>620</v>
      </c>
    </row>
    <row r="45" spans="1:6">
      <c r="B45" s="19" t="s">
        <v>244</v>
      </c>
      <c r="C45" s="19" t="s">
        <v>245</v>
      </c>
    </row>
    <row r="46" spans="1:6">
      <c r="A46" t="s">
        <v>83</v>
      </c>
      <c r="B46" s="194">
        <f>SKEW(A3:A13)</f>
        <v>1.0653312240538844</v>
      </c>
      <c r="C46" s="195">
        <f>SKEW(A24:A34)</f>
        <v>-0.30318873984434541</v>
      </c>
    </row>
    <row r="47" spans="1:6">
      <c r="A47" t="s">
        <v>82</v>
      </c>
      <c r="B47" s="163">
        <f>KURT(A3:A13)</f>
        <v>0.90122471790304015</v>
      </c>
      <c r="C47" s="165">
        <f>KURT(A24:A34)</f>
        <v>0.71251751779173755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sheetPr codeName="Sheet53"/>
  <dimension ref="A1:K15"/>
  <sheetViews>
    <sheetView workbookViewId="0">
      <selection activeCell="D4" sqref="D4"/>
    </sheetView>
  </sheetViews>
  <sheetFormatPr defaultRowHeight="14.4"/>
  <cols>
    <col min="1" max="2" width="6.5546875" customWidth="1"/>
    <col min="3" max="3" width="4.6640625" customWidth="1"/>
    <col min="7" max="7" width="4.44140625" customWidth="1"/>
    <col min="8" max="8" width="7" customWidth="1"/>
    <col min="12" max="12" width="5.5546875" customWidth="1"/>
  </cols>
  <sheetData>
    <row r="1" spans="1:11">
      <c r="A1" s="1" t="s">
        <v>607</v>
      </c>
    </row>
    <row r="3" spans="1:11" ht="16.2">
      <c r="A3" s="19" t="s">
        <v>608</v>
      </c>
      <c r="B3" s="19" t="s">
        <v>132</v>
      </c>
      <c r="D3" s="19" t="s">
        <v>609</v>
      </c>
      <c r="E3" s="19" t="s">
        <v>610</v>
      </c>
      <c r="F3" s="19" t="s">
        <v>611</v>
      </c>
      <c r="H3" s="19" t="s">
        <v>608</v>
      </c>
      <c r="I3" s="19" t="s">
        <v>612</v>
      </c>
      <c r="J3" s="19" t="s">
        <v>611</v>
      </c>
      <c r="K3" s="19" t="s">
        <v>585</v>
      </c>
    </row>
    <row r="4" spans="1:11">
      <c r="A4" s="194">
        <v>0</v>
      </c>
      <c r="B4" s="195">
        <v>4</v>
      </c>
      <c r="D4" s="194">
        <f>NORMDIST(A4,4,2.5,TRUE)</f>
        <v>5.4799291699557967E-2</v>
      </c>
      <c r="E4" s="196">
        <f>D4</f>
        <v>5.4799291699557967E-2</v>
      </c>
      <c r="F4" s="195">
        <f t="shared" ref="F4:F13" si="0">$B$14*E4</f>
        <v>4.9319362529602166</v>
      </c>
      <c r="H4">
        <v>1</v>
      </c>
      <c r="I4" s="194">
        <f>B4+B5</f>
        <v>9</v>
      </c>
      <c r="J4" s="196">
        <f>F4+F5</f>
        <v>10.356270319953744</v>
      </c>
      <c r="K4" s="195">
        <f t="shared" ref="K4:K11" si="1">(I4-J4)^2/J4</f>
        <v>0.17761888440119886</v>
      </c>
    </row>
    <row r="5" spans="1:11">
      <c r="A5" s="7">
        <f t="shared" ref="A5:A12" si="2">A4+1</f>
        <v>1</v>
      </c>
      <c r="B5" s="9">
        <v>5</v>
      </c>
      <c r="D5" s="7">
        <f t="shared" ref="D5:D12" si="3">NORMDIST(A5,4,2.5,TRUE)</f>
        <v>0.11506967022170828</v>
      </c>
      <c r="E5" s="8">
        <f t="shared" ref="E5:E13" si="4">D5-D4</f>
        <v>6.0270378522150309E-2</v>
      </c>
      <c r="F5" s="9">
        <f t="shared" si="0"/>
        <v>5.424334066993528</v>
      </c>
      <c r="H5">
        <f t="shared" ref="H5:H10" si="5">H4+1</f>
        <v>2</v>
      </c>
      <c r="I5" s="7">
        <f t="shared" ref="I5:I10" si="6">B6</f>
        <v>10</v>
      </c>
      <c r="J5" s="8">
        <f t="shared" ref="J5:J10" si="7">F6</f>
        <v>8.7107155525519495</v>
      </c>
      <c r="K5" s="9">
        <f t="shared" si="1"/>
        <v>0.19082868409638742</v>
      </c>
    </row>
    <row r="6" spans="1:11">
      <c r="A6" s="7">
        <f t="shared" si="2"/>
        <v>2</v>
      </c>
      <c r="B6" s="9">
        <v>10</v>
      </c>
      <c r="D6" s="7">
        <f t="shared" si="3"/>
        <v>0.21185539858339661</v>
      </c>
      <c r="E6" s="8">
        <f t="shared" si="4"/>
        <v>9.6785728361688333E-2</v>
      </c>
      <c r="F6" s="9">
        <f t="shared" si="0"/>
        <v>8.7107155525519495</v>
      </c>
      <c r="H6">
        <f t="shared" si="5"/>
        <v>3</v>
      </c>
      <c r="I6" s="7">
        <f t="shared" si="6"/>
        <v>13</v>
      </c>
      <c r="J6" s="8">
        <f t="shared" si="7"/>
        <v>11.945057382565123</v>
      </c>
      <c r="K6" s="9">
        <f t="shared" si="1"/>
        <v>9.3168570935852665E-2</v>
      </c>
    </row>
    <row r="7" spans="1:11">
      <c r="A7" s="7">
        <f t="shared" si="2"/>
        <v>3</v>
      </c>
      <c r="B7" s="9">
        <v>13</v>
      </c>
      <c r="D7" s="7">
        <f t="shared" si="3"/>
        <v>0.34457825838967576</v>
      </c>
      <c r="E7" s="8">
        <f t="shared" si="4"/>
        <v>0.13272285980627915</v>
      </c>
      <c r="F7" s="9">
        <f t="shared" si="0"/>
        <v>11.945057382565123</v>
      </c>
      <c r="H7">
        <f t="shared" si="5"/>
        <v>4</v>
      </c>
      <c r="I7" s="7">
        <f t="shared" si="6"/>
        <v>18</v>
      </c>
      <c r="J7" s="8">
        <f t="shared" si="7"/>
        <v>13.987956744929182</v>
      </c>
      <c r="K7" s="9">
        <f t="shared" si="1"/>
        <v>1.1507392662187375</v>
      </c>
    </row>
    <row r="8" spans="1:11">
      <c r="A8" s="7">
        <f t="shared" si="2"/>
        <v>4</v>
      </c>
      <c r="B8" s="9">
        <v>18</v>
      </c>
      <c r="D8" s="7">
        <f t="shared" si="3"/>
        <v>0.5</v>
      </c>
      <c r="E8" s="8">
        <f t="shared" si="4"/>
        <v>0.15542174161032424</v>
      </c>
      <c r="F8" s="9">
        <f t="shared" si="0"/>
        <v>13.987956744929182</v>
      </c>
      <c r="H8">
        <f t="shared" si="5"/>
        <v>5</v>
      </c>
      <c r="I8" s="7">
        <f t="shared" si="6"/>
        <v>16</v>
      </c>
      <c r="J8" s="8">
        <f t="shared" si="7"/>
        <v>13.987956744929186</v>
      </c>
      <c r="K8" s="9">
        <f t="shared" si="1"/>
        <v>0.28941453952833573</v>
      </c>
    </row>
    <row r="9" spans="1:11">
      <c r="A9" s="7">
        <f t="shared" si="2"/>
        <v>5</v>
      </c>
      <c r="B9" s="9">
        <v>16</v>
      </c>
      <c r="D9" s="7">
        <f t="shared" si="3"/>
        <v>0.65542174161032429</v>
      </c>
      <c r="E9" s="8">
        <f t="shared" si="4"/>
        <v>0.15542174161032429</v>
      </c>
      <c r="F9" s="9">
        <f t="shared" si="0"/>
        <v>13.987956744929186</v>
      </c>
      <c r="H9">
        <f t="shared" si="5"/>
        <v>6</v>
      </c>
      <c r="I9" s="7">
        <f t="shared" si="6"/>
        <v>9</v>
      </c>
      <c r="J9" s="8">
        <f t="shared" si="7"/>
        <v>11.945057382565116</v>
      </c>
      <c r="K9" s="9">
        <f t="shared" si="1"/>
        <v>0.72610475687298437</v>
      </c>
    </row>
    <row r="10" spans="1:11">
      <c r="A10" s="7">
        <f t="shared" si="2"/>
        <v>6</v>
      </c>
      <c r="B10" s="9">
        <v>9</v>
      </c>
      <c r="D10" s="7">
        <f t="shared" si="3"/>
        <v>0.78814460141660336</v>
      </c>
      <c r="E10" s="8">
        <f t="shared" si="4"/>
        <v>0.13272285980627907</v>
      </c>
      <c r="F10" s="9">
        <f t="shared" si="0"/>
        <v>11.945057382565116</v>
      </c>
      <c r="H10">
        <f t="shared" si="5"/>
        <v>7</v>
      </c>
      <c r="I10" s="7">
        <f t="shared" si="6"/>
        <v>9</v>
      </c>
      <c r="J10" s="8">
        <f t="shared" si="7"/>
        <v>8.7107155525519566</v>
      </c>
      <c r="K10" s="9">
        <f t="shared" si="1"/>
        <v>9.6071891029437459E-3</v>
      </c>
    </row>
    <row r="11" spans="1:11">
      <c r="A11" s="7">
        <f t="shared" si="2"/>
        <v>7</v>
      </c>
      <c r="B11" s="9">
        <v>9</v>
      </c>
      <c r="D11" s="7">
        <f t="shared" si="3"/>
        <v>0.88493032977829178</v>
      </c>
      <c r="E11" s="8">
        <f t="shared" si="4"/>
        <v>9.6785728361688417E-2</v>
      </c>
      <c r="F11" s="9">
        <f t="shared" si="0"/>
        <v>8.7107155525519566</v>
      </c>
      <c r="H11" s="19" t="s">
        <v>613</v>
      </c>
      <c r="I11" s="163">
        <f>B12+B13</f>
        <v>6</v>
      </c>
      <c r="J11" s="164">
        <f>F12+F13</f>
        <v>10.35627031995374</v>
      </c>
      <c r="K11" s="165">
        <f t="shared" si="1"/>
        <v>1.8324252374859438</v>
      </c>
    </row>
    <row r="12" spans="1:11">
      <c r="A12" s="7">
        <f t="shared" si="2"/>
        <v>8</v>
      </c>
      <c r="B12" s="9">
        <v>4</v>
      </c>
      <c r="D12" s="7">
        <f t="shared" si="3"/>
        <v>0.94520070830044201</v>
      </c>
      <c r="E12" s="8">
        <f t="shared" si="4"/>
        <v>6.0270378522150225E-2</v>
      </c>
      <c r="F12" s="9">
        <f t="shared" si="0"/>
        <v>5.4243340669935201</v>
      </c>
      <c r="H12" s="19"/>
      <c r="I12">
        <f>SUM(I4:I11)</f>
        <v>90</v>
      </c>
      <c r="J12">
        <f>SUM(J4:J11)</f>
        <v>90</v>
      </c>
      <c r="K12">
        <f>SUM(K4:K11)</f>
        <v>4.4699071286423839</v>
      </c>
    </row>
    <row r="13" spans="1:11">
      <c r="A13" s="197" t="s">
        <v>614</v>
      </c>
      <c r="B13" s="165">
        <v>2</v>
      </c>
      <c r="D13" s="163">
        <v>1</v>
      </c>
      <c r="E13" s="164">
        <f t="shared" si="4"/>
        <v>5.4799291699557995E-2</v>
      </c>
      <c r="F13" s="165">
        <f t="shared" si="0"/>
        <v>4.9319362529602193</v>
      </c>
    </row>
    <row r="14" spans="1:11">
      <c r="B14">
        <f>SUM(B4:B13)</f>
        <v>90</v>
      </c>
      <c r="F14" s="198">
        <f>SUM(F4:F13)</f>
        <v>90</v>
      </c>
      <c r="J14" s="126" t="s">
        <v>186</v>
      </c>
      <c r="K14">
        <f>COUNT(J4:J11)-1</f>
        <v>7</v>
      </c>
    </row>
    <row r="15" spans="1:11" ht="16.2">
      <c r="J15" t="s">
        <v>3969</v>
      </c>
      <c r="K15">
        <f>CHIINV(0.05,K14)</f>
        <v>14.067140449340167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sheetPr codeName="Sheet61"/>
  <dimension ref="A1:O18"/>
  <sheetViews>
    <sheetView workbookViewId="0"/>
  </sheetViews>
  <sheetFormatPr defaultRowHeight="14.4"/>
  <cols>
    <col min="1" max="2" width="6.109375" customWidth="1"/>
    <col min="3" max="3" width="4.44140625" customWidth="1"/>
    <col min="4" max="6" width="9.109375" customWidth="1"/>
    <col min="7" max="7" width="4.6640625" customWidth="1"/>
    <col min="11" max="11" width="4.33203125" customWidth="1"/>
  </cols>
  <sheetData>
    <row r="1" spans="1:15">
      <c r="A1" s="1" t="s">
        <v>607</v>
      </c>
    </row>
    <row r="3" spans="1:15" ht="16.2">
      <c r="A3" s="19" t="s">
        <v>608</v>
      </c>
      <c r="B3" s="19" t="s">
        <v>132</v>
      </c>
      <c r="D3" s="19" t="s">
        <v>615</v>
      </c>
      <c r="E3" s="19" t="s">
        <v>101</v>
      </c>
      <c r="F3" s="19" t="s">
        <v>102</v>
      </c>
      <c r="H3" s="19" t="s">
        <v>609</v>
      </c>
      <c r="I3" s="19" t="s">
        <v>610</v>
      </c>
      <c r="J3" s="19" t="s">
        <v>611</v>
      </c>
      <c r="L3" s="19" t="s">
        <v>608</v>
      </c>
      <c r="M3" s="19" t="s">
        <v>612</v>
      </c>
      <c r="N3" s="19" t="s">
        <v>611</v>
      </c>
      <c r="O3" s="19" t="s">
        <v>585</v>
      </c>
    </row>
    <row r="4" spans="1:15">
      <c r="A4" s="194">
        <v>0</v>
      </c>
      <c r="B4" s="195">
        <f>'Norm Chi-sq 1'!B4</f>
        <v>4</v>
      </c>
      <c r="D4" s="1236">
        <f>-1</f>
        <v>-1</v>
      </c>
      <c r="E4" s="1152">
        <f>B4*D4</f>
        <v>-4</v>
      </c>
      <c r="F4" s="1237">
        <f>D4^2*B4</f>
        <v>4</v>
      </c>
      <c r="H4" s="194">
        <f t="shared" ref="H4:H12" si="0">NORMDIST(A4,F$16,F$18,TRUE)</f>
        <v>4.4442860449331094E-2</v>
      </c>
      <c r="I4" s="196">
        <f>H4</f>
        <v>4.4442860449331094E-2</v>
      </c>
      <c r="J4" s="195">
        <f t="shared" ref="J4:J13" si="1">$B$14*I4</f>
        <v>3.9998574404397984</v>
      </c>
      <c r="L4">
        <v>1</v>
      </c>
      <c r="M4" s="194">
        <f>B4+B5</f>
        <v>9</v>
      </c>
      <c r="N4" s="196">
        <f>J4+J5</f>
        <v>9.558702803718905</v>
      </c>
      <c r="O4" s="195">
        <f t="shared" ref="O4:O11" si="2">(M4-N4)^2/N4</f>
        <v>3.2655981600549486E-2</v>
      </c>
    </row>
    <row r="5" spans="1:15">
      <c r="A5" s="7">
        <f t="shared" ref="A5:A12" si="3">A4+1</f>
        <v>1</v>
      </c>
      <c r="B5" s="9">
        <f>'Norm Chi-sq 1'!B5</f>
        <v>5</v>
      </c>
      <c r="D5" s="7">
        <f>AVERAGE(A4:A5)</f>
        <v>0.5</v>
      </c>
      <c r="E5" s="8">
        <f t="shared" ref="E5:E13" si="4">B5*D5</f>
        <v>2.5</v>
      </c>
      <c r="F5" s="657">
        <f t="shared" ref="F5:F13" si="5">D5^2*B5</f>
        <v>1.25</v>
      </c>
      <c r="H5" s="7">
        <f t="shared" si="0"/>
        <v>0.10620780893021005</v>
      </c>
      <c r="I5" s="8">
        <f t="shared" ref="I5:I13" si="6">H5-H4</f>
        <v>6.1764948480878955E-2</v>
      </c>
      <c r="J5" s="9">
        <f t="shared" si="1"/>
        <v>5.5588453632791062</v>
      </c>
      <c r="L5">
        <f t="shared" ref="L5:L10" si="7">L4+1</f>
        <v>2</v>
      </c>
      <c r="M5" s="7">
        <f t="shared" ref="M5:M10" si="8">B6</f>
        <v>10</v>
      </c>
      <c r="N5" s="8">
        <f t="shared" ref="N5:N10" si="9">J6</f>
        <v>9.7018898614229627</v>
      </c>
      <c r="O5" s="9">
        <f t="shared" si="2"/>
        <v>9.1600354149336816E-3</v>
      </c>
    </row>
    <row r="6" spans="1:15">
      <c r="A6" s="7">
        <f t="shared" si="3"/>
        <v>2</v>
      </c>
      <c r="B6" s="9">
        <f>'Norm Chi-sq 1'!B6</f>
        <v>10</v>
      </c>
      <c r="D6" s="7">
        <f t="shared" ref="D6:D12" si="10">AVERAGE(A5:A6)</f>
        <v>1.5</v>
      </c>
      <c r="E6" s="8">
        <f t="shared" si="4"/>
        <v>15</v>
      </c>
      <c r="F6" s="657">
        <f t="shared" si="5"/>
        <v>22.5</v>
      </c>
      <c r="H6" s="7">
        <f t="shared" si="0"/>
        <v>0.21400658516824297</v>
      </c>
      <c r="I6" s="8">
        <f t="shared" si="6"/>
        <v>0.10779877623803293</v>
      </c>
      <c r="J6" s="9">
        <f t="shared" si="1"/>
        <v>9.7018898614229627</v>
      </c>
      <c r="L6">
        <f t="shared" si="7"/>
        <v>3</v>
      </c>
      <c r="M6" s="7">
        <f t="shared" si="8"/>
        <v>13</v>
      </c>
      <c r="N6" s="8">
        <f t="shared" si="9"/>
        <v>13.822556240855871</v>
      </c>
      <c r="O6" s="9">
        <f t="shared" si="2"/>
        <v>4.8948888872746413E-2</v>
      </c>
    </row>
    <row r="7" spans="1:15">
      <c r="A7" s="7">
        <f t="shared" si="3"/>
        <v>3</v>
      </c>
      <c r="B7" s="9">
        <f>'Norm Chi-sq 1'!B7</f>
        <v>13</v>
      </c>
      <c r="D7" s="7">
        <f t="shared" si="10"/>
        <v>2.5</v>
      </c>
      <c r="E7" s="8">
        <f t="shared" si="4"/>
        <v>32.5</v>
      </c>
      <c r="F7" s="657">
        <f t="shared" si="5"/>
        <v>81.25</v>
      </c>
      <c r="H7" s="7">
        <f t="shared" si="0"/>
        <v>0.36759054339997488</v>
      </c>
      <c r="I7" s="8">
        <f t="shared" si="6"/>
        <v>0.1535839582317319</v>
      </c>
      <c r="J7" s="9">
        <f t="shared" si="1"/>
        <v>13.822556240855871</v>
      </c>
      <c r="L7">
        <f t="shared" si="7"/>
        <v>4</v>
      </c>
      <c r="M7" s="7">
        <f t="shared" si="8"/>
        <v>18</v>
      </c>
      <c r="N7" s="8">
        <f t="shared" si="9"/>
        <v>16.076509852251498</v>
      </c>
      <c r="O7" s="9">
        <f t="shared" si="2"/>
        <v>0.23013790819575189</v>
      </c>
    </row>
    <row r="8" spans="1:15">
      <c r="A8" s="7">
        <f t="shared" si="3"/>
        <v>4</v>
      </c>
      <c r="B8" s="9">
        <f>'Norm Chi-sq 1'!B8</f>
        <v>18</v>
      </c>
      <c r="D8" s="7">
        <f t="shared" si="10"/>
        <v>3.5</v>
      </c>
      <c r="E8" s="8">
        <f t="shared" si="4"/>
        <v>63</v>
      </c>
      <c r="F8" s="657">
        <f t="shared" si="5"/>
        <v>220.5</v>
      </c>
      <c r="H8" s="7">
        <f t="shared" si="0"/>
        <v>0.54621843064721376</v>
      </c>
      <c r="I8" s="8">
        <f t="shared" si="6"/>
        <v>0.17862788724723888</v>
      </c>
      <c r="J8" s="9">
        <f t="shared" si="1"/>
        <v>16.076509852251498</v>
      </c>
      <c r="L8">
        <f t="shared" si="7"/>
        <v>5</v>
      </c>
      <c r="M8" s="7">
        <f t="shared" si="8"/>
        <v>16</v>
      </c>
      <c r="N8" s="8">
        <f t="shared" si="9"/>
        <v>15.264104584977735</v>
      </c>
      <c r="O8" s="9">
        <f t="shared" si="2"/>
        <v>3.5478141468170576E-2</v>
      </c>
    </row>
    <row r="9" spans="1:15">
      <c r="A9" s="7">
        <f t="shared" si="3"/>
        <v>5</v>
      </c>
      <c r="B9" s="9">
        <f>'Norm Chi-sq 1'!B9</f>
        <v>16</v>
      </c>
      <c r="D9" s="7">
        <f t="shared" si="10"/>
        <v>4.5</v>
      </c>
      <c r="E9" s="8">
        <f t="shared" si="4"/>
        <v>72</v>
      </c>
      <c r="F9" s="657">
        <f t="shared" si="5"/>
        <v>324</v>
      </c>
      <c r="H9" s="7">
        <f t="shared" si="0"/>
        <v>0.71581959270252193</v>
      </c>
      <c r="I9" s="8">
        <f t="shared" si="6"/>
        <v>0.16960116205530817</v>
      </c>
      <c r="J9" s="9">
        <f t="shared" si="1"/>
        <v>15.264104584977735</v>
      </c>
      <c r="L9">
        <f t="shared" si="7"/>
        <v>6</v>
      </c>
      <c r="M9" s="7">
        <f t="shared" si="8"/>
        <v>9</v>
      </c>
      <c r="N9" s="8">
        <f t="shared" si="9"/>
        <v>11.831107738133534</v>
      </c>
      <c r="O9" s="9">
        <f t="shared" si="2"/>
        <v>0.67746581320406796</v>
      </c>
    </row>
    <row r="10" spans="1:15">
      <c r="A10" s="7">
        <f t="shared" si="3"/>
        <v>6</v>
      </c>
      <c r="B10" s="9">
        <f>'Norm Chi-sq 1'!B10</f>
        <v>9</v>
      </c>
      <c r="D10" s="7">
        <f t="shared" si="10"/>
        <v>5.5</v>
      </c>
      <c r="E10" s="8">
        <f t="shared" si="4"/>
        <v>49.5</v>
      </c>
      <c r="F10" s="657">
        <f t="shared" si="5"/>
        <v>272.25</v>
      </c>
      <c r="H10" s="7">
        <f t="shared" si="0"/>
        <v>0.84727634534845009</v>
      </c>
      <c r="I10" s="8">
        <f t="shared" si="6"/>
        <v>0.13145675264592815</v>
      </c>
      <c r="J10" s="9">
        <f t="shared" si="1"/>
        <v>11.831107738133534</v>
      </c>
      <c r="L10">
        <f t="shared" si="7"/>
        <v>7</v>
      </c>
      <c r="M10" s="7">
        <f t="shared" si="8"/>
        <v>9</v>
      </c>
      <c r="N10" s="8">
        <f t="shared" si="9"/>
        <v>7.4859335957311774</v>
      </c>
      <c r="O10" s="9">
        <f t="shared" si="2"/>
        <v>0.30622727909886238</v>
      </c>
    </row>
    <row r="11" spans="1:15">
      <c r="A11" s="7">
        <f t="shared" si="3"/>
        <v>7</v>
      </c>
      <c r="B11" s="9">
        <f>'Norm Chi-sq 1'!B11</f>
        <v>9</v>
      </c>
      <c r="D11" s="7">
        <f t="shared" si="10"/>
        <v>6.5</v>
      </c>
      <c r="E11" s="8">
        <f t="shared" si="4"/>
        <v>58.5</v>
      </c>
      <c r="F11" s="657">
        <f t="shared" si="5"/>
        <v>380.25</v>
      </c>
      <c r="H11" s="7">
        <f t="shared" si="0"/>
        <v>0.93045338530101873</v>
      </c>
      <c r="I11" s="8">
        <f t="shared" si="6"/>
        <v>8.3177039952568643E-2</v>
      </c>
      <c r="J11" s="9">
        <f t="shared" si="1"/>
        <v>7.4859335957311774</v>
      </c>
      <c r="L11" s="19" t="s">
        <v>613</v>
      </c>
      <c r="M11" s="163">
        <f>B12+B13</f>
        <v>6</v>
      </c>
      <c r="N11" s="164">
        <f>J12+J13</f>
        <v>6.2591953229083144</v>
      </c>
      <c r="O11" s="165">
        <f t="shared" si="2"/>
        <v>1.0733362988635633E-2</v>
      </c>
    </row>
    <row r="12" spans="1:15">
      <c r="A12" s="7">
        <f t="shared" si="3"/>
        <v>8</v>
      </c>
      <c r="B12" s="9">
        <f>'Norm Chi-sq 1'!B12</f>
        <v>4</v>
      </c>
      <c r="D12" s="7">
        <f t="shared" si="10"/>
        <v>7.5</v>
      </c>
      <c r="E12" s="8">
        <f t="shared" si="4"/>
        <v>30</v>
      </c>
      <c r="F12" s="657">
        <f t="shared" si="5"/>
        <v>225</v>
      </c>
      <c r="H12" s="7">
        <f t="shared" si="0"/>
        <v>0.97341457011969679</v>
      </c>
      <c r="I12" s="8">
        <f t="shared" si="6"/>
        <v>4.2961184818678055E-2</v>
      </c>
      <c r="J12" s="9">
        <f t="shared" si="1"/>
        <v>3.8665066336810252</v>
      </c>
      <c r="L12" s="19"/>
      <c r="M12">
        <f>SUM(M4:M11)</f>
        <v>90</v>
      </c>
      <c r="N12">
        <f>SUM(N4:N11)</f>
        <v>90</v>
      </c>
      <c r="O12">
        <f>SUM(O4:O11)</f>
        <v>1.3508074108437182</v>
      </c>
    </row>
    <row r="13" spans="1:15">
      <c r="A13" s="197" t="s">
        <v>614</v>
      </c>
      <c r="B13" s="165">
        <f>'Norm Chi-sq 1'!B13</f>
        <v>2</v>
      </c>
      <c r="D13" s="533">
        <v>9</v>
      </c>
      <c r="E13" s="1078">
        <f t="shared" si="4"/>
        <v>18</v>
      </c>
      <c r="F13" s="541">
        <f t="shared" si="5"/>
        <v>162</v>
      </c>
      <c r="H13" s="163">
        <v>1</v>
      </c>
      <c r="I13" s="164">
        <f t="shared" si="6"/>
        <v>2.6585429880303213E-2</v>
      </c>
      <c r="J13" s="165">
        <f t="shared" si="1"/>
        <v>2.3926886892272892</v>
      </c>
    </row>
    <row r="14" spans="1:15">
      <c r="B14">
        <f>SUM(B4:B13)</f>
        <v>90</v>
      </c>
      <c r="E14">
        <f>SUM(E4:E13)</f>
        <v>337</v>
      </c>
      <c r="F14">
        <f>SUM(F4:F13)</f>
        <v>1693</v>
      </c>
      <c r="N14" s="126" t="s">
        <v>186</v>
      </c>
      <c r="O14">
        <f>COUNT(N4:N11)-3</f>
        <v>5</v>
      </c>
    </row>
    <row r="15" spans="1:15" ht="16.2">
      <c r="N15" t="s">
        <v>3969</v>
      </c>
      <c r="O15">
        <f>CHIINV(0.05,O14)</f>
        <v>11.070497693516353</v>
      </c>
    </row>
    <row r="16" spans="1:15">
      <c r="E16" s="19" t="s">
        <v>63</v>
      </c>
      <c r="F16">
        <f>E14/B14</f>
        <v>3.7444444444444445</v>
      </c>
    </row>
    <row r="17" spans="5:6">
      <c r="E17" s="19" t="s">
        <v>66</v>
      </c>
      <c r="F17">
        <f>(F14-B14*F16^2)/(B14-1)</f>
        <v>4.844069912609239</v>
      </c>
    </row>
    <row r="18" spans="5:6">
      <c r="E18" s="19" t="s">
        <v>67</v>
      </c>
      <c r="F18">
        <f>SQRT(F17)</f>
        <v>2.2009247857683003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>
  <sheetPr codeName="Sheet70"/>
  <dimension ref="A1:AG22"/>
  <sheetViews>
    <sheetView workbookViewId="0">
      <selection activeCell="I18" sqref="I18"/>
    </sheetView>
  </sheetViews>
  <sheetFormatPr defaultRowHeight="14.4"/>
  <cols>
    <col min="1" max="1" width="6.33203125" customWidth="1"/>
    <col min="2" max="2" width="6.6640625" customWidth="1"/>
    <col min="3" max="3" width="7.6640625" customWidth="1"/>
    <col min="4" max="4" width="7.109375" customWidth="1"/>
    <col min="5" max="6" width="10.6640625" customWidth="1"/>
    <col min="7" max="7" width="10" bestFit="1" customWidth="1"/>
    <col min="8" max="8" width="3.5546875" customWidth="1"/>
    <col min="9" max="10" width="7.44140625" customWidth="1"/>
    <col min="11" max="11" width="8.5546875" customWidth="1"/>
    <col min="12" max="12" width="3.44140625" customWidth="1"/>
    <col min="13" max="13" width="10.5546875" customWidth="1"/>
    <col min="14" max="14" width="9.109375" customWidth="1"/>
    <col min="15" max="15" width="3.33203125" customWidth="1"/>
    <col min="16" max="16" width="32" customWidth="1"/>
    <col min="17" max="17" width="8.44140625" customWidth="1"/>
    <col min="20" max="20" width="10.88671875" customWidth="1"/>
    <col min="23" max="33" width="6" customWidth="1"/>
  </cols>
  <sheetData>
    <row r="1" spans="1:33">
      <c r="A1" s="1" t="s">
        <v>581</v>
      </c>
      <c r="B1" s="1"/>
      <c r="I1" t="s">
        <v>599</v>
      </c>
      <c r="R1" t="s">
        <v>2117</v>
      </c>
    </row>
    <row r="3" spans="1:33" ht="17.25" customHeight="1">
      <c r="A3" s="182" t="s">
        <v>28</v>
      </c>
      <c r="B3" s="182" t="s">
        <v>132</v>
      </c>
      <c r="C3" s="182" t="s">
        <v>582</v>
      </c>
      <c r="D3" s="181" t="s">
        <v>583</v>
      </c>
      <c r="E3" s="181" t="s">
        <v>584</v>
      </c>
      <c r="F3" s="181" t="s">
        <v>30</v>
      </c>
      <c r="G3" s="181" t="s">
        <v>246</v>
      </c>
      <c r="H3" s="19"/>
      <c r="I3" s="182" t="s">
        <v>105</v>
      </c>
      <c r="J3" s="182" t="s">
        <v>100</v>
      </c>
      <c r="K3" s="182" t="s">
        <v>591</v>
      </c>
      <c r="R3" s="19" t="s">
        <v>354</v>
      </c>
      <c r="S3" s="109" t="s">
        <v>355</v>
      </c>
      <c r="T3" s="109" t="s">
        <v>585</v>
      </c>
      <c r="W3" s="186" t="s">
        <v>28</v>
      </c>
      <c r="X3" s="179">
        <v>100</v>
      </c>
      <c r="Y3" s="179">
        <f t="shared" ref="Y3:AG3" si="0">X3+100</f>
        <v>200</v>
      </c>
      <c r="Z3" s="179">
        <f t="shared" si="0"/>
        <v>300</v>
      </c>
      <c r="AA3" s="179">
        <f t="shared" si="0"/>
        <v>400</v>
      </c>
      <c r="AB3" s="179">
        <f t="shared" si="0"/>
        <v>500</v>
      </c>
      <c r="AC3" s="179">
        <f t="shared" si="0"/>
        <v>600</v>
      </c>
      <c r="AD3" s="179">
        <f t="shared" si="0"/>
        <v>700</v>
      </c>
      <c r="AE3" s="179">
        <f t="shared" si="0"/>
        <v>800</v>
      </c>
      <c r="AF3" s="179">
        <f t="shared" si="0"/>
        <v>900</v>
      </c>
      <c r="AG3" s="180">
        <f t="shared" si="0"/>
        <v>1000</v>
      </c>
    </row>
    <row r="4" spans="1:33">
      <c r="A4">
        <v>100</v>
      </c>
      <c r="B4">
        <v>8</v>
      </c>
      <c r="C4">
        <f>B4</f>
        <v>8</v>
      </c>
      <c r="D4">
        <f>C4/B$14</f>
        <v>8.0000000000000002E-3</v>
      </c>
      <c r="E4">
        <f t="shared" ref="E4:E12" si="1">STANDARDIZE(A4,N$5,N$10)</f>
        <v>-2.4579294796607574</v>
      </c>
      <c r="F4">
        <f>NORMSDIST(E4)</f>
        <v>6.9870305651949282E-3</v>
      </c>
      <c r="G4">
        <f>ABS(F4-D4)</f>
        <v>1.012969434805072E-3</v>
      </c>
      <c r="I4">
        <f>A4/2</f>
        <v>50</v>
      </c>
      <c r="J4">
        <f>C4</f>
        <v>8</v>
      </c>
      <c r="K4">
        <f t="shared" ref="K4:K13" si="2">I4^2</f>
        <v>2500</v>
      </c>
      <c r="M4" t="s">
        <v>586</v>
      </c>
      <c r="N4" s="48">
        <f>J14</f>
        <v>1000</v>
      </c>
      <c r="P4" s="23" t="s">
        <v>594</v>
      </c>
      <c r="Q4" s="23"/>
      <c r="R4" s="926">
        <f t="shared" ref="R4:R13" si="3">B4</f>
        <v>8</v>
      </c>
      <c r="S4" s="5">
        <f>F4*A$13</f>
        <v>6.987030565194928</v>
      </c>
      <c r="T4" s="927">
        <f>((R4-S4)^2)/S4</f>
        <v>0.14685882168037717</v>
      </c>
      <c r="W4" s="187" t="s">
        <v>132</v>
      </c>
      <c r="X4" s="11">
        <v>8</v>
      </c>
      <c r="Y4" s="11">
        <v>25</v>
      </c>
      <c r="Z4" s="11">
        <v>88</v>
      </c>
      <c r="AA4" s="11">
        <v>172</v>
      </c>
      <c r="AB4" s="11">
        <v>243</v>
      </c>
      <c r="AC4" s="11">
        <v>252</v>
      </c>
      <c r="AD4" s="11">
        <v>144</v>
      </c>
      <c r="AE4" s="11">
        <v>49</v>
      </c>
      <c r="AF4" s="11">
        <v>13</v>
      </c>
      <c r="AG4" s="12">
        <v>6</v>
      </c>
    </row>
    <row r="5" spans="1:33">
      <c r="A5">
        <f>A4+100</f>
        <v>200</v>
      </c>
      <c r="B5">
        <v>25</v>
      </c>
      <c r="C5">
        <f>C4+B5</f>
        <v>33</v>
      </c>
      <c r="D5">
        <f t="shared" ref="D5:D12" si="4">C5/B$14</f>
        <v>3.3000000000000002E-2</v>
      </c>
      <c r="E5">
        <f t="shared" si="1"/>
        <v>-1.8134802191309309</v>
      </c>
      <c r="F5">
        <f t="shared" ref="F5:F12" si="5">NORMSDIST(E5)</f>
        <v>3.4878893404836887E-2</v>
      </c>
      <c r="G5">
        <f t="shared" ref="G5:G13" si="6">ABS(F5-D5)</f>
        <v>1.8788934048368858E-3</v>
      </c>
      <c r="I5">
        <f>I4+100</f>
        <v>150</v>
      </c>
      <c r="J5">
        <f t="shared" ref="J5:J13" si="7">C5-C4</f>
        <v>25</v>
      </c>
      <c r="K5">
        <f t="shared" si="2"/>
        <v>22500</v>
      </c>
      <c r="M5" t="s">
        <v>63</v>
      </c>
      <c r="N5" s="627">
        <f>SUMPRODUCT(I4:I13,J4:J13)/B14</f>
        <v>481.4</v>
      </c>
      <c r="P5" s="23" t="s">
        <v>3721</v>
      </c>
      <c r="Q5" s="23"/>
      <c r="R5" s="656">
        <f t="shared" si="3"/>
        <v>25</v>
      </c>
      <c r="S5" s="8">
        <f t="shared" ref="S5:S13" si="8">(F5-F4)*A$13</f>
        <v>27.891862839641959</v>
      </c>
      <c r="T5" s="657">
        <f t="shared" ref="T5:T13" si="9">((R5-S5)^2)/S5</f>
        <v>0.29983191626111583</v>
      </c>
    </row>
    <row r="6" spans="1:33">
      <c r="A6">
        <f t="shared" ref="A6:A13" si="10">A5+100</f>
        <v>300</v>
      </c>
      <c r="B6">
        <v>88</v>
      </c>
      <c r="C6">
        <f t="shared" ref="C6:C13" si="11">C5+B6</f>
        <v>121</v>
      </c>
      <c r="D6">
        <f t="shared" si="4"/>
        <v>0.121</v>
      </c>
      <c r="E6">
        <f t="shared" si="1"/>
        <v>-1.1690309586011047</v>
      </c>
      <c r="F6">
        <f t="shared" si="5"/>
        <v>0.12119557921966108</v>
      </c>
      <c r="G6">
        <f t="shared" si="6"/>
        <v>1.9557921966108227E-4</v>
      </c>
      <c r="I6">
        <f t="shared" ref="I6:I13" si="12">I5+100</f>
        <v>250</v>
      </c>
      <c r="J6">
        <f t="shared" si="7"/>
        <v>88</v>
      </c>
      <c r="K6">
        <f t="shared" si="2"/>
        <v>62500</v>
      </c>
      <c r="M6" t="s">
        <v>107</v>
      </c>
      <c r="N6" s="627">
        <f>N5^2</f>
        <v>231745.96</v>
      </c>
      <c r="P6" s="23" t="s">
        <v>595</v>
      </c>
      <c r="Q6" s="23"/>
      <c r="R6" s="656">
        <f t="shared" si="3"/>
        <v>88</v>
      </c>
      <c r="S6" s="8">
        <f t="shared" si="8"/>
        <v>86.316685814824183</v>
      </c>
      <c r="T6" s="657">
        <f t="shared" si="9"/>
        <v>3.2827333664002735E-2</v>
      </c>
    </row>
    <row r="7" spans="1:33">
      <c r="A7">
        <f t="shared" si="10"/>
        <v>400</v>
      </c>
      <c r="B7">
        <v>172</v>
      </c>
      <c r="C7">
        <f t="shared" si="11"/>
        <v>293</v>
      </c>
      <c r="D7">
        <f t="shared" si="4"/>
        <v>0.29299999999999998</v>
      </c>
      <c r="E7">
        <f t="shared" si="1"/>
        <v>-0.52458169807127841</v>
      </c>
      <c r="F7">
        <f t="shared" si="5"/>
        <v>0.29993700618043095</v>
      </c>
      <c r="G7">
        <f t="shared" si="6"/>
        <v>6.9370061804309713E-3</v>
      </c>
      <c r="I7">
        <f t="shared" si="12"/>
        <v>350</v>
      </c>
      <c r="J7">
        <f t="shared" si="7"/>
        <v>172</v>
      </c>
      <c r="K7">
        <f t="shared" si="2"/>
        <v>122500</v>
      </c>
      <c r="M7" t="s">
        <v>587</v>
      </c>
      <c r="N7" s="627">
        <f>SUMPRODUCT(J4:J13,K4:K13)/B14</f>
        <v>255800</v>
      </c>
      <c r="P7" s="23" t="s">
        <v>3722</v>
      </c>
      <c r="Q7" s="23"/>
      <c r="R7" s="656">
        <f t="shared" si="3"/>
        <v>172</v>
      </c>
      <c r="S7" s="8">
        <f t="shared" si="8"/>
        <v>178.7414269607699</v>
      </c>
      <c r="T7" s="657">
        <f t="shared" si="9"/>
        <v>0.25426023636574158</v>
      </c>
    </row>
    <row r="8" spans="1:33">
      <c r="A8">
        <f t="shared" si="10"/>
        <v>500</v>
      </c>
      <c r="B8">
        <v>243</v>
      </c>
      <c r="C8">
        <f t="shared" si="11"/>
        <v>536</v>
      </c>
      <c r="D8">
        <f t="shared" si="4"/>
        <v>0.53600000000000003</v>
      </c>
      <c r="E8">
        <f t="shared" si="1"/>
        <v>0.11986756245854784</v>
      </c>
      <c r="F8">
        <f t="shared" si="5"/>
        <v>0.54770596971443952</v>
      </c>
      <c r="G8">
        <f t="shared" si="6"/>
        <v>1.170596971443949E-2</v>
      </c>
      <c r="I8">
        <f t="shared" si="12"/>
        <v>450</v>
      </c>
      <c r="J8">
        <f t="shared" si="7"/>
        <v>243</v>
      </c>
      <c r="K8">
        <f t="shared" si="2"/>
        <v>202500</v>
      </c>
      <c r="M8" t="s">
        <v>64</v>
      </c>
      <c r="N8" s="627">
        <f>N7-N6</f>
        <v>24054.040000000008</v>
      </c>
      <c r="P8" s="23" t="s">
        <v>596</v>
      </c>
      <c r="Q8" s="23"/>
      <c r="R8" s="656">
        <f t="shared" si="3"/>
        <v>243</v>
      </c>
      <c r="S8" s="8">
        <f t="shared" si="8"/>
        <v>247.76896353400858</v>
      </c>
      <c r="T8" s="657">
        <f t="shared" si="9"/>
        <v>9.1791210910005236E-2</v>
      </c>
    </row>
    <row r="9" spans="1:33">
      <c r="A9">
        <f t="shared" si="10"/>
        <v>600</v>
      </c>
      <c r="B9">
        <v>252</v>
      </c>
      <c r="C9">
        <f t="shared" si="11"/>
        <v>788</v>
      </c>
      <c r="D9">
        <f t="shared" si="4"/>
        <v>0.78800000000000003</v>
      </c>
      <c r="E9">
        <f t="shared" si="1"/>
        <v>0.76431682298837411</v>
      </c>
      <c r="F9">
        <f t="shared" si="5"/>
        <v>0.77766076874891288</v>
      </c>
      <c r="G9">
        <f t="shared" si="6"/>
        <v>1.0339231251087155E-2</v>
      </c>
      <c r="I9">
        <f t="shared" si="12"/>
        <v>550</v>
      </c>
      <c r="J9">
        <f t="shared" si="7"/>
        <v>252</v>
      </c>
      <c r="K9">
        <f t="shared" si="2"/>
        <v>302500</v>
      </c>
      <c r="M9" t="s">
        <v>66</v>
      </c>
      <c r="N9" s="627">
        <f>N8*J14/(J14-1)</f>
        <v>24078.118118118127</v>
      </c>
      <c r="P9" s="23" t="s">
        <v>598</v>
      </c>
      <c r="Q9" s="23"/>
      <c r="R9" s="656">
        <f t="shared" si="3"/>
        <v>252</v>
      </c>
      <c r="S9" s="8">
        <f t="shared" si="8"/>
        <v>229.95479903447335</v>
      </c>
      <c r="T9" s="657">
        <f t="shared" si="9"/>
        <v>2.1134191921674153</v>
      </c>
    </row>
    <row r="10" spans="1:33">
      <c r="A10">
        <f t="shared" si="10"/>
        <v>700</v>
      </c>
      <c r="B10">
        <v>144</v>
      </c>
      <c r="C10">
        <f t="shared" si="11"/>
        <v>932</v>
      </c>
      <c r="D10">
        <f t="shared" si="4"/>
        <v>0.93200000000000005</v>
      </c>
      <c r="E10">
        <f t="shared" si="1"/>
        <v>1.4087660835182003</v>
      </c>
      <c r="F10">
        <f t="shared" si="5"/>
        <v>0.92054782644261324</v>
      </c>
      <c r="G10">
        <f t="shared" si="6"/>
        <v>1.1452173557386813E-2</v>
      </c>
      <c r="I10">
        <f t="shared" si="12"/>
        <v>650</v>
      </c>
      <c r="J10">
        <f t="shared" si="7"/>
        <v>144</v>
      </c>
      <c r="K10">
        <f t="shared" si="2"/>
        <v>422500</v>
      </c>
      <c r="M10" t="s">
        <v>67</v>
      </c>
      <c r="N10" s="544">
        <f>SQRT(N9)</f>
        <v>155.17125416171041</v>
      </c>
      <c r="P10" s="23" t="s">
        <v>597</v>
      </c>
      <c r="Q10" s="23"/>
      <c r="R10" s="656">
        <f t="shared" si="3"/>
        <v>144</v>
      </c>
      <c r="S10" s="8">
        <f t="shared" si="8"/>
        <v>142.88705769370037</v>
      </c>
      <c r="T10" s="657">
        <f t="shared" si="9"/>
        <v>8.6686687873911462E-3</v>
      </c>
    </row>
    <row r="11" spans="1:33">
      <c r="A11">
        <f t="shared" si="10"/>
        <v>800</v>
      </c>
      <c r="B11">
        <v>49</v>
      </c>
      <c r="C11">
        <f t="shared" si="11"/>
        <v>981</v>
      </c>
      <c r="D11">
        <f t="shared" si="4"/>
        <v>0.98099999999999998</v>
      </c>
      <c r="E11">
        <f t="shared" si="1"/>
        <v>2.0532153440480267</v>
      </c>
      <c r="F11">
        <f t="shared" si="5"/>
        <v>0.97997415154193446</v>
      </c>
      <c r="G11">
        <f t="shared" si="6"/>
        <v>1.0258484580655258E-3</v>
      </c>
      <c r="I11">
        <f t="shared" si="12"/>
        <v>750</v>
      </c>
      <c r="J11">
        <f t="shared" si="7"/>
        <v>49</v>
      </c>
      <c r="K11">
        <f t="shared" si="2"/>
        <v>562500</v>
      </c>
      <c r="R11" s="656">
        <f t="shared" si="3"/>
        <v>49</v>
      </c>
      <c r="S11" s="8">
        <f t="shared" si="8"/>
        <v>59.426325099321218</v>
      </c>
      <c r="T11" s="657">
        <f t="shared" si="9"/>
        <v>1.8292945911605309</v>
      </c>
    </row>
    <row r="12" spans="1:33">
      <c r="A12">
        <f t="shared" si="10"/>
        <v>900</v>
      </c>
      <c r="B12">
        <v>13</v>
      </c>
      <c r="C12">
        <f t="shared" si="11"/>
        <v>994</v>
      </c>
      <c r="D12">
        <f t="shared" si="4"/>
        <v>0.99399999999999999</v>
      </c>
      <c r="E12">
        <f t="shared" si="1"/>
        <v>2.6976646045778527</v>
      </c>
      <c r="F12">
        <f t="shared" si="5"/>
        <v>0.99650861232488752</v>
      </c>
      <c r="G12">
        <f t="shared" si="6"/>
        <v>2.5086123248875269E-3</v>
      </c>
      <c r="I12">
        <f t="shared" si="12"/>
        <v>850</v>
      </c>
      <c r="J12">
        <f t="shared" si="7"/>
        <v>13</v>
      </c>
      <c r="K12">
        <f t="shared" si="2"/>
        <v>722500</v>
      </c>
      <c r="R12" s="656">
        <f t="shared" si="3"/>
        <v>13</v>
      </c>
      <c r="S12" s="8">
        <f t="shared" si="8"/>
        <v>16.534460782953065</v>
      </c>
      <c r="T12" s="657">
        <f t="shared" si="9"/>
        <v>0.75553797551794377</v>
      </c>
    </row>
    <row r="13" spans="1:33">
      <c r="A13" s="11">
        <f t="shared" si="10"/>
        <v>1000</v>
      </c>
      <c r="B13" s="11">
        <v>6</v>
      </c>
      <c r="C13" s="11">
        <f t="shared" si="11"/>
        <v>1000</v>
      </c>
      <c r="D13" s="11">
        <f>C13/A$13</f>
        <v>1</v>
      </c>
      <c r="E13" s="11"/>
      <c r="F13" s="11">
        <v>1</v>
      </c>
      <c r="G13" s="11">
        <f t="shared" si="6"/>
        <v>0</v>
      </c>
      <c r="I13" s="11">
        <f t="shared" si="12"/>
        <v>950</v>
      </c>
      <c r="J13" s="11">
        <f t="shared" si="7"/>
        <v>6</v>
      </c>
      <c r="K13" s="11">
        <f t="shared" si="2"/>
        <v>902500</v>
      </c>
      <c r="R13" s="533">
        <f t="shared" si="3"/>
        <v>6</v>
      </c>
      <c r="S13" s="534">
        <f t="shared" si="8"/>
        <v>3.4913876751124784</v>
      </c>
      <c r="T13" s="541">
        <f t="shared" si="9"/>
        <v>1.8024740825651329</v>
      </c>
    </row>
    <row r="14" spans="1:33">
      <c r="B14">
        <f>SUM(B4:B13)</f>
        <v>1000</v>
      </c>
      <c r="J14">
        <f>SUM(J4:J13)</f>
        <v>1000</v>
      </c>
    </row>
    <row r="15" spans="1:33" ht="15.6">
      <c r="F15" s="19" t="s">
        <v>592</v>
      </c>
      <c r="G15" s="1235">
        <f>MAX(G4:G13)</f>
        <v>1.170596971443949E-2</v>
      </c>
      <c r="S15" s="19" t="s">
        <v>195</v>
      </c>
      <c r="T15" s="929">
        <f>SUM(T4:T13)</f>
        <v>7.3349640290796572</v>
      </c>
    </row>
    <row r="16" spans="1:33" ht="15.6">
      <c r="A16" s="19"/>
      <c r="B16" s="19"/>
      <c r="F16" s="19" t="s">
        <v>593</v>
      </c>
      <c r="G16" s="544">
        <f>'KS Table'!C30/SQRT(B14)</f>
        <v>4.3006976178289961E-2</v>
      </c>
      <c r="S16" s="19" t="s">
        <v>589</v>
      </c>
      <c r="T16" s="544">
        <f>CHIDIST(T15,COUNT(R4:R13)-1)</f>
        <v>0.60228847645753647</v>
      </c>
    </row>
    <row r="18" spans="6:20">
      <c r="F18" s="19" t="s">
        <v>3581</v>
      </c>
      <c r="G18" s="1235" t="e">
        <f ca="1">[1]!KSCRIT(B14,0.05)</f>
        <v>#NAME?</v>
      </c>
      <c r="I18" s="23" t="s">
        <v>3707</v>
      </c>
      <c r="S18" s="19" t="s">
        <v>195</v>
      </c>
      <c r="T18" s="929">
        <f>SUM(T4:T12)</f>
        <v>5.5324899465145245</v>
      </c>
    </row>
    <row r="19" spans="6:20">
      <c r="F19" s="19" t="s">
        <v>200</v>
      </c>
      <c r="G19" s="544" t="e">
        <f ca="1">[1]!KSPROB(G15,B14)</f>
        <v>#NAME?</v>
      </c>
      <c r="I19" s="23" t="s">
        <v>3708</v>
      </c>
      <c r="S19" s="19" t="s">
        <v>589</v>
      </c>
      <c r="T19" s="544">
        <f>CHIDIST(T18,COUNT(R4:R12)-1)</f>
        <v>0.69943778324870076</v>
      </c>
    </row>
    <row r="21" spans="6:20">
      <c r="F21" s="19" t="s">
        <v>3581</v>
      </c>
      <c r="G21" s="1235" t="e">
        <f ca="1">[1]!KINV(0.05)/SQRT(B14)</f>
        <v>#NAME?</v>
      </c>
      <c r="I21" s="23" t="s">
        <v>3709</v>
      </c>
    </row>
    <row r="22" spans="6:20">
      <c r="F22" s="19" t="s">
        <v>200</v>
      </c>
      <c r="G22" s="544" t="e">
        <f ca="1">[1]!KSDIST(G15,B14)</f>
        <v>#NAME?</v>
      </c>
      <c r="I22" s="23" t="s">
        <v>3710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sheetPr codeName="Sheet71"/>
  <dimension ref="A1:W50"/>
  <sheetViews>
    <sheetView topLeftCell="A11" workbookViewId="0">
      <selection activeCell="I23" sqref="I23"/>
    </sheetView>
  </sheetViews>
  <sheetFormatPr defaultRowHeight="14.4"/>
  <cols>
    <col min="1" max="1" width="6.5546875" customWidth="1"/>
    <col min="2" max="3" width="6.33203125" customWidth="1"/>
    <col min="4" max="4" width="7" customWidth="1"/>
    <col min="8" max="8" width="10.5546875" customWidth="1"/>
    <col min="18" max="18" width="10.33203125" customWidth="1"/>
    <col min="20" max="20" width="12" bestFit="1" customWidth="1"/>
    <col min="21" max="21" width="9.109375" customWidth="1"/>
    <col min="22" max="22" width="3" customWidth="1"/>
    <col min="23" max="23" width="18.33203125" customWidth="1"/>
  </cols>
  <sheetData>
    <row r="1" spans="1:18">
      <c r="A1" s="1" t="s">
        <v>3676</v>
      </c>
    </row>
    <row r="3" spans="1:18" ht="15.6">
      <c r="B3" s="1358" t="s">
        <v>28</v>
      </c>
      <c r="C3" s="1358" t="s">
        <v>132</v>
      </c>
      <c r="D3" s="1358" t="s">
        <v>582</v>
      </c>
      <c r="E3" s="1353" t="s">
        <v>583</v>
      </c>
      <c r="F3" s="1353" t="s">
        <v>584</v>
      </c>
      <c r="G3" s="1353" t="s">
        <v>30</v>
      </c>
      <c r="H3" s="1358" t="s">
        <v>246</v>
      </c>
      <c r="L3" s="1358" t="s">
        <v>28</v>
      </c>
      <c r="M3" s="1358" t="s">
        <v>132</v>
      </c>
      <c r="N3" s="1358" t="s">
        <v>582</v>
      </c>
      <c r="O3" s="1353" t="s">
        <v>583</v>
      </c>
      <c r="P3" s="1353" t="s">
        <v>584</v>
      </c>
      <c r="Q3" s="1353" t="s">
        <v>30</v>
      </c>
      <c r="R3" s="1358" t="s">
        <v>246</v>
      </c>
    </row>
    <row r="4" spans="1:18">
      <c r="B4" s="184">
        <v>1.2</v>
      </c>
      <c r="C4" s="77">
        <v>1</v>
      </c>
      <c r="D4">
        <f>C4</f>
        <v>1</v>
      </c>
      <c r="E4">
        <f>D4/B$21</f>
        <v>6.6666666666666666E-2</v>
      </c>
      <c r="F4">
        <f>STANDARDIZE(B4,B$19,B$20)</f>
        <v>-1.0799190997164931</v>
      </c>
      <c r="G4">
        <f>NORMSDIST(F4)</f>
        <v>0.14008910360685203</v>
      </c>
      <c r="H4">
        <f>ABS(G4-E4)</f>
        <v>7.3422436940185368E-2</v>
      </c>
      <c r="L4" s="184">
        <v>1.2</v>
      </c>
      <c r="M4" s="77">
        <v>1</v>
      </c>
      <c r="N4">
        <f>M4</f>
        <v>1</v>
      </c>
      <c r="O4">
        <f>N4/L$21</f>
        <v>6.6666666666666666E-2</v>
      </c>
      <c r="P4">
        <f>STANDARDIZE(L4,L$19,L$20)</f>
        <v>-0.88381932340813718</v>
      </c>
      <c r="Q4">
        <f>NORMSDIST(P4)</f>
        <v>0.18839687673989083</v>
      </c>
      <c r="R4">
        <f>ABS(Q4-O4)</f>
        <v>0.12173021007322417</v>
      </c>
    </row>
    <row r="5" spans="1:18">
      <c r="B5" s="184">
        <v>1.6</v>
      </c>
      <c r="C5" s="77">
        <v>1</v>
      </c>
      <c r="D5">
        <f t="shared" ref="D5:D18" si="0">D4+C5</f>
        <v>2</v>
      </c>
      <c r="E5">
        <f t="shared" ref="E5:E18" si="1">D5/B$21</f>
        <v>0.13333333333333333</v>
      </c>
      <c r="F5">
        <f t="shared" ref="F5:F18" si="2">STANDARDIZE(B5,B$19,B$20)</f>
        <v>-0.87806506238630733</v>
      </c>
      <c r="G5">
        <f t="shared" ref="G5:G18" si="3">NORMSDIST(F5)</f>
        <v>0.18995420579836306</v>
      </c>
      <c r="H5">
        <f t="shared" ref="H5:H18" si="4">ABS(G5-E5)</f>
        <v>5.6620872465029726E-2</v>
      </c>
      <c r="L5" s="184">
        <v>1.3</v>
      </c>
      <c r="M5" s="77">
        <v>1</v>
      </c>
      <c r="N5">
        <f t="shared" ref="N5:N18" si="5">N4+M5</f>
        <v>2</v>
      </c>
      <c r="O5">
        <f t="shared" ref="O5:O18" si="6">N5/L$21</f>
        <v>0.13333333333333333</v>
      </c>
      <c r="P5">
        <f t="shared" ref="P5:P18" si="7">STANDARDIZE(L5,L$19,L$20)</f>
        <v>-0.83014608514448507</v>
      </c>
      <c r="Q5">
        <f t="shared" ref="Q5:Q18" si="8">NORMSDIST(P5)</f>
        <v>0.2032280968675306</v>
      </c>
      <c r="R5">
        <f t="shared" ref="R5:R18" si="9">ABS(Q5-O5)</f>
        <v>6.9894763534197268E-2</v>
      </c>
    </row>
    <row r="6" spans="1:18">
      <c r="B6" s="184">
        <v>1.7</v>
      </c>
      <c r="C6" s="77">
        <v>1</v>
      </c>
      <c r="D6">
        <f t="shared" si="0"/>
        <v>3</v>
      </c>
      <c r="E6">
        <f t="shared" si="1"/>
        <v>0.2</v>
      </c>
      <c r="F6">
        <f t="shared" si="2"/>
        <v>-0.82760155305376093</v>
      </c>
      <c r="G6">
        <f t="shared" si="3"/>
        <v>0.20394809422089374</v>
      </c>
      <c r="H6">
        <f t="shared" si="4"/>
        <v>3.9480942208937331E-3</v>
      </c>
      <c r="L6" s="184">
        <v>1.7</v>
      </c>
      <c r="M6" s="77">
        <v>1</v>
      </c>
      <c r="N6">
        <f t="shared" si="5"/>
        <v>3</v>
      </c>
      <c r="O6">
        <f t="shared" si="6"/>
        <v>0.2</v>
      </c>
      <c r="P6">
        <f t="shared" si="7"/>
        <v>-0.61545313208987695</v>
      </c>
      <c r="Q6">
        <f t="shared" si="8"/>
        <v>0.2691277559934363</v>
      </c>
      <c r="R6">
        <f t="shared" si="9"/>
        <v>6.9127755993436291E-2</v>
      </c>
    </row>
    <row r="7" spans="1:18">
      <c r="B7" s="184">
        <v>1.8</v>
      </c>
      <c r="C7" s="77">
        <v>1</v>
      </c>
      <c r="D7">
        <f t="shared" si="0"/>
        <v>4</v>
      </c>
      <c r="E7">
        <f t="shared" si="1"/>
        <v>0.26666666666666666</v>
      </c>
      <c r="F7">
        <f t="shared" si="2"/>
        <v>-0.77713804372121453</v>
      </c>
      <c r="G7">
        <f t="shared" si="3"/>
        <v>0.21853866539260436</v>
      </c>
      <c r="H7">
        <f t="shared" si="4"/>
        <v>4.8128001274062304E-2</v>
      </c>
      <c r="L7" s="184">
        <v>1.8</v>
      </c>
      <c r="M7" s="77">
        <v>1</v>
      </c>
      <c r="N7">
        <f t="shared" si="5"/>
        <v>4</v>
      </c>
      <c r="O7">
        <f t="shared" si="6"/>
        <v>0.26666666666666666</v>
      </c>
      <c r="P7">
        <f t="shared" si="7"/>
        <v>-0.56177989382622484</v>
      </c>
      <c r="Q7">
        <f t="shared" si="8"/>
        <v>0.28713299629852873</v>
      </c>
      <c r="R7">
        <f t="shared" si="9"/>
        <v>2.0466329631862068E-2</v>
      </c>
    </row>
    <row r="8" spans="1:18">
      <c r="B8" s="184">
        <v>1.9</v>
      </c>
      <c r="C8" s="77">
        <v>1</v>
      </c>
      <c r="D8">
        <f t="shared" si="0"/>
        <v>5</v>
      </c>
      <c r="E8">
        <f t="shared" si="1"/>
        <v>0.33333333333333331</v>
      </c>
      <c r="F8">
        <f t="shared" si="2"/>
        <v>-0.72667453438866825</v>
      </c>
      <c r="G8">
        <f t="shared" si="3"/>
        <v>0.23371267850970143</v>
      </c>
      <c r="H8">
        <f t="shared" si="4"/>
        <v>9.9620654823631888E-2</v>
      </c>
      <c r="L8" s="184">
        <v>1.9</v>
      </c>
      <c r="M8" s="77">
        <v>1</v>
      </c>
      <c r="N8">
        <f t="shared" si="5"/>
        <v>5</v>
      </c>
      <c r="O8">
        <f t="shared" si="6"/>
        <v>0.33333333333333331</v>
      </c>
      <c r="P8">
        <f t="shared" si="7"/>
        <v>-0.50810665556257284</v>
      </c>
      <c r="Q8">
        <f t="shared" si="8"/>
        <v>0.30568927398990603</v>
      </c>
      <c r="R8">
        <f t="shared" si="9"/>
        <v>2.7644059343427285E-2</v>
      </c>
    </row>
    <row r="9" spans="1:18">
      <c r="B9" s="184">
        <v>2</v>
      </c>
      <c r="C9" s="77">
        <v>1</v>
      </c>
      <c r="D9">
        <f t="shared" si="0"/>
        <v>6</v>
      </c>
      <c r="E9">
        <f t="shared" si="1"/>
        <v>0.4</v>
      </c>
      <c r="F9">
        <f t="shared" si="2"/>
        <v>-0.67621102505612174</v>
      </c>
      <c r="G9">
        <f t="shared" si="3"/>
        <v>0.24945333683886511</v>
      </c>
      <c r="H9">
        <f t="shared" si="4"/>
        <v>0.15054666316113491</v>
      </c>
      <c r="L9" s="184">
        <v>2</v>
      </c>
      <c r="M9" s="77">
        <v>1</v>
      </c>
      <c r="N9">
        <f t="shared" si="5"/>
        <v>6</v>
      </c>
      <c r="O9">
        <f t="shared" si="6"/>
        <v>0.4</v>
      </c>
      <c r="P9">
        <f t="shared" si="7"/>
        <v>-0.45443341729892073</v>
      </c>
      <c r="Q9">
        <f t="shared" si="8"/>
        <v>0.32475845238498868</v>
      </c>
      <c r="R9">
        <f t="shared" si="9"/>
        <v>7.5241547615011339E-2</v>
      </c>
    </row>
    <row r="10" spans="1:18">
      <c r="B10" s="184">
        <v>2.2000000000000002</v>
      </c>
      <c r="C10" s="77">
        <v>1</v>
      </c>
      <c r="D10">
        <f t="shared" si="0"/>
        <v>7</v>
      </c>
      <c r="E10">
        <f t="shared" si="1"/>
        <v>0.46666666666666667</v>
      </c>
      <c r="F10">
        <f t="shared" si="2"/>
        <v>-0.57528400639102895</v>
      </c>
      <c r="G10">
        <f t="shared" si="3"/>
        <v>0.2825496181705533</v>
      </c>
      <c r="H10">
        <f t="shared" si="4"/>
        <v>0.18411704849611338</v>
      </c>
      <c r="L10" s="184">
        <v>2.1</v>
      </c>
      <c r="M10" s="77">
        <v>1</v>
      </c>
      <c r="N10">
        <f t="shared" si="5"/>
        <v>7</v>
      </c>
      <c r="O10">
        <f t="shared" si="6"/>
        <v>0.46666666666666667</v>
      </c>
      <c r="P10">
        <f t="shared" si="7"/>
        <v>-0.40076017903526862</v>
      </c>
      <c r="Q10">
        <f t="shared" si="8"/>
        <v>0.34429834973495732</v>
      </c>
      <c r="R10">
        <f t="shared" si="9"/>
        <v>0.12236831693170935</v>
      </c>
    </row>
    <row r="11" spans="1:18">
      <c r="B11" s="184">
        <v>2.6</v>
      </c>
      <c r="C11" s="77">
        <v>1</v>
      </c>
      <c r="D11">
        <f t="shared" si="0"/>
        <v>8</v>
      </c>
      <c r="E11">
        <f t="shared" si="1"/>
        <v>0.53333333333333333</v>
      </c>
      <c r="F11">
        <f t="shared" si="2"/>
        <v>-0.37342996906084341</v>
      </c>
      <c r="G11">
        <f t="shared" si="3"/>
        <v>0.35441422898988673</v>
      </c>
      <c r="H11">
        <f t="shared" si="4"/>
        <v>0.1789191043434466</v>
      </c>
      <c r="L11" s="184">
        <v>2.2000000000000002</v>
      </c>
      <c r="M11" s="77">
        <v>1</v>
      </c>
      <c r="N11">
        <f t="shared" si="5"/>
        <v>8</v>
      </c>
      <c r="O11">
        <f t="shared" si="6"/>
        <v>0.53333333333333333</v>
      </c>
      <c r="P11">
        <f t="shared" si="7"/>
        <v>-0.3470869407716165</v>
      </c>
      <c r="Q11">
        <f t="shared" si="8"/>
        <v>0.3642630020671262</v>
      </c>
      <c r="R11">
        <f t="shared" si="9"/>
        <v>0.16907033126620713</v>
      </c>
    </row>
    <row r="12" spans="1:18">
      <c r="B12" s="184">
        <v>3</v>
      </c>
      <c r="C12" s="77">
        <v>1</v>
      </c>
      <c r="D12">
        <f t="shared" si="0"/>
        <v>9</v>
      </c>
      <c r="E12">
        <f t="shared" si="1"/>
        <v>0.6</v>
      </c>
      <c r="F12">
        <f t="shared" si="2"/>
        <v>-0.17157593173065788</v>
      </c>
      <c r="G12">
        <f t="shared" si="3"/>
        <v>0.43188546526133176</v>
      </c>
      <c r="H12">
        <f t="shared" si="4"/>
        <v>0.16811453473866822</v>
      </c>
      <c r="L12" s="184">
        <v>2.2999999999999998</v>
      </c>
      <c r="M12" s="77">
        <v>1</v>
      </c>
      <c r="N12">
        <f t="shared" si="5"/>
        <v>9</v>
      </c>
      <c r="O12">
        <f t="shared" si="6"/>
        <v>0.6</v>
      </c>
      <c r="P12">
        <f t="shared" si="7"/>
        <v>-0.29341370250796467</v>
      </c>
      <c r="Q12">
        <f t="shared" si="8"/>
        <v>0.38460297652230363</v>
      </c>
      <c r="R12">
        <f t="shared" si="9"/>
        <v>0.21539702347769635</v>
      </c>
    </row>
    <row r="13" spans="1:18">
      <c r="B13" s="184">
        <v>3.5</v>
      </c>
      <c r="C13" s="77">
        <v>1</v>
      </c>
      <c r="D13">
        <f t="shared" si="0"/>
        <v>10</v>
      </c>
      <c r="E13">
        <f t="shared" si="1"/>
        <v>0.66666666666666663</v>
      </c>
      <c r="F13">
        <f t="shared" si="2"/>
        <v>8.0741614932074074E-2</v>
      </c>
      <c r="G13">
        <f t="shared" si="3"/>
        <v>0.53217627954696556</v>
      </c>
      <c r="H13">
        <f t="shared" si="4"/>
        <v>0.13449038711970107</v>
      </c>
      <c r="L13" s="184">
        <v>2.4</v>
      </c>
      <c r="M13" s="77">
        <v>1</v>
      </c>
      <c r="N13">
        <f t="shared" si="5"/>
        <v>10</v>
      </c>
      <c r="O13">
        <f t="shared" si="6"/>
        <v>0.66666666666666663</v>
      </c>
      <c r="P13">
        <f t="shared" si="7"/>
        <v>-0.23974046424431256</v>
      </c>
      <c r="Q13">
        <f t="shared" si="8"/>
        <v>0.40526573180539044</v>
      </c>
      <c r="R13">
        <f t="shared" si="9"/>
        <v>0.26140093486127619</v>
      </c>
    </row>
    <row r="14" spans="1:18">
      <c r="B14" s="184">
        <v>4</v>
      </c>
      <c r="C14" s="77">
        <v>1</v>
      </c>
      <c r="D14">
        <f t="shared" si="0"/>
        <v>11</v>
      </c>
      <c r="E14">
        <f t="shared" si="1"/>
        <v>0.73333333333333328</v>
      </c>
      <c r="F14">
        <f t="shared" si="2"/>
        <v>0.33305916159480603</v>
      </c>
      <c r="G14">
        <f t="shared" si="3"/>
        <v>0.63045518727576932</v>
      </c>
      <c r="H14">
        <f t="shared" si="4"/>
        <v>0.10287814605756396</v>
      </c>
      <c r="L14" s="184">
        <v>2.5</v>
      </c>
      <c r="M14" s="77">
        <v>1</v>
      </c>
      <c r="N14">
        <f t="shared" si="5"/>
        <v>11</v>
      </c>
      <c r="O14">
        <f t="shared" si="6"/>
        <v>0.73333333333333328</v>
      </c>
      <c r="P14">
        <f t="shared" si="7"/>
        <v>-0.18606722598066044</v>
      </c>
      <c r="Q14">
        <f t="shared" si="8"/>
        <v>0.4261960214736657</v>
      </c>
      <c r="R14">
        <f t="shared" si="9"/>
        <v>0.30713731185966758</v>
      </c>
    </row>
    <row r="15" spans="1:18">
      <c r="B15" s="184">
        <v>4.8</v>
      </c>
      <c r="C15" s="77">
        <v>1</v>
      </c>
      <c r="D15">
        <f t="shared" si="0"/>
        <v>12</v>
      </c>
      <c r="E15">
        <f t="shared" si="1"/>
        <v>0.8</v>
      </c>
      <c r="F15">
        <f t="shared" si="2"/>
        <v>0.73676723625517704</v>
      </c>
      <c r="G15">
        <f t="shared" si="3"/>
        <v>0.76936804459332753</v>
      </c>
      <c r="H15">
        <f t="shared" si="4"/>
        <v>3.0631955406672517E-2</v>
      </c>
      <c r="L15" s="184">
        <v>2.6</v>
      </c>
      <c r="M15" s="77">
        <v>1</v>
      </c>
      <c r="N15">
        <f t="shared" si="5"/>
        <v>12</v>
      </c>
      <c r="O15">
        <f t="shared" si="6"/>
        <v>0.8</v>
      </c>
      <c r="P15">
        <f t="shared" si="7"/>
        <v>-0.13239398771700836</v>
      </c>
      <c r="Q15">
        <f t="shared" si="8"/>
        <v>0.4473363349620828</v>
      </c>
      <c r="R15">
        <f t="shared" si="9"/>
        <v>0.35266366503791724</v>
      </c>
    </row>
    <row r="16" spans="1:18">
      <c r="B16" s="184">
        <v>5.6</v>
      </c>
      <c r="C16" s="77">
        <v>1</v>
      </c>
      <c r="D16">
        <f t="shared" si="0"/>
        <v>13</v>
      </c>
      <c r="E16">
        <f t="shared" si="1"/>
        <v>0.8666666666666667</v>
      </c>
      <c r="F16">
        <f t="shared" si="2"/>
        <v>1.1404753109155481</v>
      </c>
      <c r="G16">
        <f t="shared" si="3"/>
        <v>0.87295583357995654</v>
      </c>
      <c r="H16">
        <f t="shared" si="4"/>
        <v>6.2891669132898453E-3</v>
      </c>
      <c r="L16" s="184">
        <v>5</v>
      </c>
      <c r="M16" s="77">
        <v>1</v>
      </c>
      <c r="N16">
        <f t="shared" si="5"/>
        <v>13</v>
      </c>
      <c r="O16">
        <f t="shared" si="6"/>
        <v>0.8666666666666667</v>
      </c>
      <c r="P16">
        <f t="shared" si="7"/>
        <v>1.155763730610641</v>
      </c>
      <c r="Q16">
        <f t="shared" si="8"/>
        <v>0.87611109391482533</v>
      </c>
      <c r="R16">
        <f t="shared" si="9"/>
        <v>9.4444272481586378E-3</v>
      </c>
    </row>
    <row r="17" spans="1:23">
      <c r="B17" s="184">
        <v>6.6</v>
      </c>
      <c r="C17" s="77">
        <v>1</v>
      </c>
      <c r="D17">
        <f t="shared" si="0"/>
        <v>14</v>
      </c>
      <c r="E17">
        <f t="shared" si="1"/>
        <v>0.93333333333333335</v>
      </c>
      <c r="F17">
        <f t="shared" si="2"/>
        <v>1.6451104042410121</v>
      </c>
      <c r="G17">
        <f t="shared" si="3"/>
        <v>0.95002647729801615</v>
      </c>
      <c r="H17">
        <f t="shared" si="4"/>
        <v>1.6693143964682799E-2</v>
      </c>
      <c r="L17" s="184">
        <v>6.1</v>
      </c>
      <c r="M17" s="77">
        <v>1</v>
      </c>
      <c r="N17">
        <f t="shared" si="5"/>
        <v>14</v>
      </c>
      <c r="O17">
        <f t="shared" si="6"/>
        <v>0.93333333333333335</v>
      </c>
      <c r="P17">
        <f t="shared" si="7"/>
        <v>1.7461693515108132</v>
      </c>
      <c r="Q17">
        <f t="shared" si="8"/>
        <v>0.95960923561878086</v>
      </c>
      <c r="R17">
        <f t="shared" si="9"/>
        <v>2.6275902285447517E-2</v>
      </c>
    </row>
    <row r="18" spans="1:23">
      <c r="B18" s="1356">
        <v>7.6</v>
      </c>
      <c r="C18" s="1357">
        <v>1</v>
      </c>
      <c r="D18" s="1062">
        <f t="shared" si="0"/>
        <v>15</v>
      </c>
      <c r="E18" s="1062">
        <f t="shared" si="1"/>
        <v>1</v>
      </c>
      <c r="F18" s="1062">
        <f t="shared" si="2"/>
        <v>2.1497454975664763</v>
      </c>
      <c r="G18" s="1062">
        <f t="shared" si="3"/>
        <v>0.98421232427284167</v>
      </c>
      <c r="H18" s="1062">
        <f t="shared" si="4"/>
        <v>1.5787675727158335E-2</v>
      </c>
      <c r="L18" s="1356">
        <v>7.6</v>
      </c>
      <c r="M18" s="1357">
        <v>1</v>
      </c>
      <c r="N18" s="1062">
        <f t="shared" si="5"/>
        <v>15</v>
      </c>
      <c r="O18" s="1062">
        <f t="shared" si="6"/>
        <v>1</v>
      </c>
      <c r="P18" s="1062">
        <f t="shared" si="7"/>
        <v>2.5512679254655941</v>
      </c>
      <c r="Q18" s="1062">
        <f t="shared" si="8"/>
        <v>0.99463341102839564</v>
      </c>
      <c r="R18" s="1062">
        <f t="shared" si="9"/>
        <v>5.366588971604358E-3</v>
      </c>
    </row>
    <row r="19" spans="1:23">
      <c r="A19" t="s">
        <v>63</v>
      </c>
      <c r="B19" s="64">
        <f>AVERAGE(B4:B18)</f>
        <v>3.3400000000000003</v>
      </c>
      <c r="K19" t="s">
        <v>63</v>
      </c>
      <c r="L19" s="64">
        <f>AVERAGE(L4:L18)</f>
        <v>2.8466666666666667</v>
      </c>
    </row>
    <row r="20" spans="1:23" ht="15.6">
      <c r="A20" t="s">
        <v>67</v>
      </c>
      <c r="B20">
        <f>STDEV(B4:B18)</f>
        <v>1.9816299207614778</v>
      </c>
      <c r="G20" s="19" t="s">
        <v>3970</v>
      </c>
      <c r="H20" s="1235">
        <f>MAX(H4:H18)</f>
        <v>0.18411704849611338</v>
      </c>
      <c r="K20" t="s">
        <v>67</v>
      </c>
      <c r="L20">
        <f>STDEV(L4:L18)</f>
        <v>1.8631258935557984</v>
      </c>
      <c r="Q20" s="19" t="s">
        <v>3970</v>
      </c>
      <c r="R20" s="1235">
        <f>MAX(R4:R18)</f>
        <v>0.35266366503791724</v>
      </c>
      <c r="T20" s="19" t="s">
        <v>386</v>
      </c>
      <c r="U20" s="756">
        <v>0.35</v>
      </c>
    </row>
    <row r="21" spans="1:23" ht="15.6">
      <c r="A21" t="s">
        <v>554</v>
      </c>
      <c r="B21" s="1357">
        <f>COUNT(B4:B18)</f>
        <v>15</v>
      </c>
      <c r="G21" s="19" t="s">
        <v>593</v>
      </c>
      <c r="H21" s="1349" t="e">
        <f ca="1">[1]!KSCRIT(B21,0.05)</f>
        <v>#NAME?</v>
      </c>
      <c r="K21" t="s">
        <v>554</v>
      </c>
      <c r="L21" s="1357">
        <f>COUNT(L4:L18)</f>
        <v>15</v>
      </c>
      <c r="Q21" s="19" t="s">
        <v>593</v>
      </c>
      <c r="R21" s="1349" t="e">
        <f ca="1">[1]!KSCRIT(L21,0.05)</f>
        <v>#NAME?</v>
      </c>
      <c r="U21" s="102"/>
    </row>
    <row r="23" spans="1:23">
      <c r="G23" s="19" t="s">
        <v>3581</v>
      </c>
      <c r="H23" s="1235" t="e">
        <f ca="1">[1]!KSCRIT(B21,0.05)</f>
        <v>#NAME?</v>
      </c>
      <c r="Q23" s="19" t="s">
        <v>3581</v>
      </c>
      <c r="R23" s="1235" t="e">
        <f ca="1">[1]!KSCRIT(L21,0.05)</f>
        <v>#NAME?</v>
      </c>
      <c r="T23" s="19" t="s">
        <v>3581</v>
      </c>
      <c r="U23" s="48" t="e">
        <f ca="1">[1]!KSCRIT(L21,0.05)</f>
        <v>#NAME?</v>
      </c>
      <c r="W23" s="23" t="s">
        <v>3706</v>
      </c>
    </row>
    <row r="24" spans="1:23">
      <c r="G24" s="19" t="s">
        <v>200</v>
      </c>
      <c r="H24" s="544" t="e">
        <f ca="1">[1]!KSPROB(H20,B21)</f>
        <v>#NAME?</v>
      </c>
      <c r="Q24" s="19" t="s">
        <v>200</v>
      </c>
      <c r="R24" s="544" t="e">
        <f ca="1">[1]!KSPROB(R20,L21)</f>
        <v>#NAME?</v>
      </c>
      <c r="T24" s="19" t="s">
        <v>200</v>
      </c>
      <c r="U24" s="544" t="e">
        <f ca="1">[1]!KSPROB(U20,L21)</f>
        <v>#NAME?</v>
      </c>
      <c r="W24" s="23" t="s">
        <v>3705</v>
      </c>
    </row>
    <row r="27" spans="1:23">
      <c r="A27" t="s">
        <v>556</v>
      </c>
      <c r="O27" t="s">
        <v>209</v>
      </c>
    </row>
    <row r="29" spans="1:23">
      <c r="A29" t="s">
        <v>209</v>
      </c>
      <c r="O29" t="s">
        <v>88</v>
      </c>
      <c r="P29">
        <f>COUNT(L4:L18)</f>
        <v>15</v>
      </c>
      <c r="Q29">
        <f>2*P29</f>
        <v>30</v>
      </c>
    </row>
    <row r="30" spans="1:23">
      <c r="O30" t="s">
        <v>76</v>
      </c>
      <c r="P30" s="64">
        <f>AVERAGE(L4:L18)</f>
        <v>2.8466666666666667</v>
      </c>
    </row>
    <row r="31" spans="1:23">
      <c r="A31" t="s">
        <v>88</v>
      </c>
      <c r="B31">
        <f>COUNT(B4:B18)</f>
        <v>15</v>
      </c>
      <c r="C31">
        <f>2*B31</f>
        <v>30</v>
      </c>
      <c r="O31" t="s">
        <v>182</v>
      </c>
      <c r="P31">
        <f>STDEV(L4:L18)</f>
        <v>1.8631258935557984</v>
      </c>
    </row>
    <row r="32" spans="1:23">
      <c r="A32" t="s">
        <v>76</v>
      </c>
      <c r="B32" s="64">
        <f>AVERAGE(B4:B18)</f>
        <v>3.3400000000000003</v>
      </c>
    </row>
    <row r="33" spans="1:18">
      <c r="A33" t="s">
        <v>182</v>
      </c>
      <c r="B33">
        <f>STDEV(B4:B18)</f>
        <v>1.9816299207614778</v>
      </c>
      <c r="O33" t="s">
        <v>210</v>
      </c>
      <c r="P33" t="s">
        <v>211</v>
      </c>
      <c r="Q33" t="s">
        <v>555</v>
      </c>
      <c r="R33" t="s">
        <v>212</v>
      </c>
    </row>
    <row r="34" spans="1:18">
      <c r="O34">
        <v>1</v>
      </c>
      <c r="P34" t="e">
        <f t="array" aca="1" ref="P34:P48" ca="1">[1]!QSORT(L4:L18)</f>
        <v>#NAME?</v>
      </c>
      <c r="Q34">
        <f>NORMSINV(O34/Q$29)</f>
        <v>-1.8339146358159142</v>
      </c>
      <c r="R34" t="e">
        <f ca="1">STANDARDIZE(P34,P$30,P$31)</f>
        <v>#NAME?</v>
      </c>
    </row>
    <row r="35" spans="1:18">
      <c r="A35" t="s">
        <v>210</v>
      </c>
      <c r="B35" t="s">
        <v>211</v>
      </c>
      <c r="C35" t="s">
        <v>555</v>
      </c>
      <c r="D35" t="s">
        <v>212</v>
      </c>
      <c r="O35">
        <f>O34+2</f>
        <v>3</v>
      </c>
      <c r="P35" t="e">
        <f ca="1"/>
        <v>#NAME?</v>
      </c>
      <c r="Q35">
        <f t="shared" ref="Q35:Q48" si="10">NORMSINV(O35/Q$29)</f>
        <v>-1.2815515655446006</v>
      </c>
      <c r="R35" t="e">
        <f t="shared" ref="R35:R48" ca="1" si="11">STANDARDIZE(P35,P$30,P$31)</f>
        <v>#NAME?</v>
      </c>
    </row>
    <row r="36" spans="1:18">
      <c r="A36">
        <v>1</v>
      </c>
      <c r="B36" t="e">
        <f t="array" aca="1" ref="B36:B50" ca="1">[1]!QSORT(B4:B18)</f>
        <v>#NAME?</v>
      </c>
      <c r="C36">
        <f>NORMSINV(A36/C$31)</f>
        <v>-1.8339146358159142</v>
      </c>
      <c r="D36" t="e">
        <f ca="1">STANDARDIZE(B36,B$32,B$33)</f>
        <v>#NAME?</v>
      </c>
      <c r="O36">
        <f t="shared" ref="O36:O48" si="12">O35+2</f>
        <v>5</v>
      </c>
      <c r="P36" t="e">
        <f ca="1"/>
        <v>#NAME?</v>
      </c>
      <c r="Q36">
        <f t="shared" si="10"/>
        <v>-0.96742156610170071</v>
      </c>
      <c r="R36" t="e">
        <f t="shared" ca="1" si="11"/>
        <v>#NAME?</v>
      </c>
    </row>
    <row r="37" spans="1:18">
      <c r="A37">
        <f>A36+2</f>
        <v>3</v>
      </c>
      <c r="B37" t="e">
        <f ca="1"/>
        <v>#NAME?</v>
      </c>
      <c r="C37">
        <f t="shared" ref="C37:C50" si="13">NORMSINV(A37/C$31)</f>
        <v>-1.2815515655446006</v>
      </c>
      <c r="D37" t="e">
        <f t="shared" ref="D37:D50" ca="1" si="14">STANDARDIZE(B37,B$32,B$33)</f>
        <v>#NAME?</v>
      </c>
      <c r="O37">
        <f t="shared" si="12"/>
        <v>7</v>
      </c>
      <c r="P37" t="e">
        <f ca="1"/>
        <v>#NAME?</v>
      </c>
      <c r="Q37">
        <f t="shared" si="10"/>
        <v>-0.72791329088164469</v>
      </c>
      <c r="R37" t="e">
        <f t="shared" ca="1" si="11"/>
        <v>#NAME?</v>
      </c>
    </row>
    <row r="38" spans="1:18">
      <c r="A38">
        <f t="shared" ref="A38:A50" si="15">A37+2</f>
        <v>5</v>
      </c>
      <c r="B38" t="e">
        <f ca="1"/>
        <v>#NAME?</v>
      </c>
      <c r="C38">
        <f t="shared" si="13"/>
        <v>-0.96742156610170071</v>
      </c>
      <c r="D38" t="e">
        <f t="shared" ca="1" si="14"/>
        <v>#NAME?</v>
      </c>
      <c r="O38">
        <f t="shared" si="12"/>
        <v>9</v>
      </c>
      <c r="P38" t="e">
        <f ca="1"/>
        <v>#NAME?</v>
      </c>
      <c r="Q38">
        <f t="shared" si="10"/>
        <v>-0.52440051270804089</v>
      </c>
      <c r="R38" t="e">
        <f t="shared" ca="1" si="11"/>
        <v>#NAME?</v>
      </c>
    </row>
    <row r="39" spans="1:18">
      <c r="A39">
        <f t="shared" si="15"/>
        <v>7</v>
      </c>
      <c r="B39" t="e">
        <f ca="1"/>
        <v>#NAME?</v>
      </c>
      <c r="C39">
        <f t="shared" si="13"/>
        <v>-0.72791329088164469</v>
      </c>
      <c r="D39" t="e">
        <f t="shared" ca="1" si="14"/>
        <v>#NAME?</v>
      </c>
      <c r="O39">
        <f t="shared" si="12"/>
        <v>11</v>
      </c>
      <c r="P39" t="e">
        <f ca="1"/>
        <v>#NAME?</v>
      </c>
      <c r="Q39">
        <f t="shared" si="10"/>
        <v>-0.34069482708779553</v>
      </c>
      <c r="R39" t="e">
        <f t="shared" ca="1" si="11"/>
        <v>#NAME?</v>
      </c>
    </row>
    <row r="40" spans="1:18">
      <c r="A40">
        <f t="shared" si="15"/>
        <v>9</v>
      </c>
      <c r="B40" t="e">
        <f ca="1"/>
        <v>#NAME?</v>
      </c>
      <c r="C40">
        <f t="shared" si="13"/>
        <v>-0.52440051270804089</v>
      </c>
      <c r="D40" t="e">
        <f t="shared" ca="1" si="14"/>
        <v>#NAME?</v>
      </c>
      <c r="O40">
        <f t="shared" si="12"/>
        <v>13</v>
      </c>
      <c r="P40" t="e">
        <f ca="1"/>
        <v>#NAME?</v>
      </c>
      <c r="Q40">
        <f t="shared" si="10"/>
        <v>-0.16789400478810546</v>
      </c>
      <c r="R40" t="e">
        <f t="shared" ca="1" si="11"/>
        <v>#NAME?</v>
      </c>
    </row>
    <row r="41" spans="1:18">
      <c r="A41">
        <f t="shared" si="15"/>
        <v>11</v>
      </c>
      <c r="B41" t="e">
        <f ca="1"/>
        <v>#NAME?</v>
      </c>
      <c r="C41">
        <f t="shared" si="13"/>
        <v>-0.34069482708779553</v>
      </c>
      <c r="D41" t="e">
        <f t="shared" ca="1" si="14"/>
        <v>#NAME?</v>
      </c>
      <c r="O41">
        <f t="shared" si="12"/>
        <v>15</v>
      </c>
      <c r="P41" t="e">
        <f ca="1"/>
        <v>#NAME?</v>
      </c>
      <c r="Q41">
        <f t="shared" si="10"/>
        <v>0</v>
      </c>
      <c r="R41" t="e">
        <f t="shared" ca="1" si="11"/>
        <v>#NAME?</v>
      </c>
    </row>
    <row r="42" spans="1:18">
      <c r="A42">
        <f t="shared" si="15"/>
        <v>13</v>
      </c>
      <c r="B42" t="e">
        <f ca="1"/>
        <v>#NAME?</v>
      </c>
      <c r="C42">
        <f t="shared" si="13"/>
        <v>-0.16789400478810546</v>
      </c>
      <c r="D42" t="e">
        <f t="shared" ca="1" si="14"/>
        <v>#NAME?</v>
      </c>
      <c r="O42">
        <f t="shared" si="12"/>
        <v>17</v>
      </c>
      <c r="P42" t="e">
        <f ca="1"/>
        <v>#NAME?</v>
      </c>
      <c r="Q42">
        <f t="shared" si="10"/>
        <v>0.16789400478810546</v>
      </c>
      <c r="R42" t="e">
        <f t="shared" ca="1" si="11"/>
        <v>#NAME?</v>
      </c>
    </row>
    <row r="43" spans="1:18">
      <c r="A43">
        <f t="shared" si="15"/>
        <v>15</v>
      </c>
      <c r="B43" t="e">
        <f ca="1"/>
        <v>#NAME?</v>
      </c>
      <c r="C43">
        <f t="shared" si="13"/>
        <v>0</v>
      </c>
      <c r="D43" t="e">
        <f t="shared" ca="1" si="14"/>
        <v>#NAME?</v>
      </c>
      <c r="O43">
        <f t="shared" si="12"/>
        <v>19</v>
      </c>
      <c r="P43" t="e">
        <f ca="1"/>
        <v>#NAME?</v>
      </c>
      <c r="Q43">
        <f t="shared" si="10"/>
        <v>0.34069482708779542</v>
      </c>
      <c r="R43" t="e">
        <f t="shared" ca="1" si="11"/>
        <v>#NAME?</v>
      </c>
    </row>
    <row r="44" spans="1:18">
      <c r="A44">
        <f t="shared" si="15"/>
        <v>17</v>
      </c>
      <c r="B44" t="e">
        <f ca="1"/>
        <v>#NAME?</v>
      </c>
      <c r="C44">
        <f t="shared" si="13"/>
        <v>0.16789400478810546</v>
      </c>
      <c r="D44" t="e">
        <f t="shared" ca="1" si="14"/>
        <v>#NAME?</v>
      </c>
      <c r="O44">
        <f t="shared" si="12"/>
        <v>21</v>
      </c>
      <c r="P44" t="e">
        <f ca="1"/>
        <v>#NAME?</v>
      </c>
      <c r="Q44">
        <f t="shared" si="10"/>
        <v>0.52440051270804078</v>
      </c>
      <c r="R44" t="e">
        <f t="shared" ca="1" si="11"/>
        <v>#NAME?</v>
      </c>
    </row>
    <row r="45" spans="1:18">
      <c r="A45">
        <f t="shared" si="15"/>
        <v>19</v>
      </c>
      <c r="B45" t="e">
        <f ca="1"/>
        <v>#NAME?</v>
      </c>
      <c r="C45">
        <f t="shared" si="13"/>
        <v>0.34069482708779542</v>
      </c>
      <c r="D45" t="e">
        <f t="shared" ca="1" si="14"/>
        <v>#NAME?</v>
      </c>
      <c r="O45">
        <f t="shared" si="12"/>
        <v>23</v>
      </c>
      <c r="P45" t="e">
        <f ca="1"/>
        <v>#NAME?</v>
      </c>
      <c r="Q45">
        <f t="shared" si="10"/>
        <v>0.72791329088164458</v>
      </c>
      <c r="R45" t="e">
        <f t="shared" ca="1" si="11"/>
        <v>#NAME?</v>
      </c>
    </row>
    <row r="46" spans="1:18">
      <c r="A46">
        <f t="shared" si="15"/>
        <v>21</v>
      </c>
      <c r="B46" t="e">
        <f ca="1"/>
        <v>#NAME?</v>
      </c>
      <c r="C46">
        <f t="shared" si="13"/>
        <v>0.52440051270804078</v>
      </c>
      <c r="D46" t="e">
        <f t="shared" ca="1" si="14"/>
        <v>#NAME?</v>
      </c>
      <c r="O46">
        <f t="shared" si="12"/>
        <v>25</v>
      </c>
      <c r="P46" t="e">
        <f ca="1"/>
        <v>#NAME?</v>
      </c>
      <c r="Q46">
        <f t="shared" si="10"/>
        <v>0.96742156610170071</v>
      </c>
      <c r="R46" t="e">
        <f t="shared" ca="1" si="11"/>
        <v>#NAME?</v>
      </c>
    </row>
    <row r="47" spans="1:18">
      <c r="A47">
        <f t="shared" si="15"/>
        <v>23</v>
      </c>
      <c r="B47" t="e">
        <f ca="1"/>
        <v>#NAME?</v>
      </c>
      <c r="C47">
        <f t="shared" si="13"/>
        <v>0.72791329088164458</v>
      </c>
      <c r="D47" t="e">
        <f t="shared" ca="1" si="14"/>
        <v>#NAME?</v>
      </c>
      <c r="O47">
        <f t="shared" si="12"/>
        <v>27</v>
      </c>
      <c r="P47" t="e">
        <f ca="1"/>
        <v>#NAME?</v>
      </c>
      <c r="Q47">
        <f t="shared" si="10"/>
        <v>1.2815515655446006</v>
      </c>
      <c r="R47" t="e">
        <f t="shared" ca="1" si="11"/>
        <v>#NAME?</v>
      </c>
    </row>
    <row r="48" spans="1:18">
      <c r="A48">
        <f t="shared" si="15"/>
        <v>25</v>
      </c>
      <c r="B48" t="e">
        <f ca="1"/>
        <v>#NAME?</v>
      </c>
      <c r="C48">
        <f t="shared" si="13"/>
        <v>0.96742156610170071</v>
      </c>
      <c r="D48" t="e">
        <f t="shared" ca="1" si="14"/>
        <v>#NAME?</v>
      </c>
      <c r="O48">
        <f t="shared" si="12"/>
        <v>29</v>
      </c>
      <c r="P48" t="e">
        <f ca="1"/>
        <v>#NAME?</v>
      </c>
      <c r="Q48">
        <f t="shared" si="10"/>
        <v>1.8339146358159142</v>
      </c>
      <c r="R48" t="e">
        <f t="shared" ca="1" si="11"/>
        <v>#NAME?</v>
      </c>
    </row>
    <row r="49" spans="1:4">
      <c r="A49">
        <f t="shared" si="15"/>
        <v>27</v>
      </c>
      <c r="B49" t="e">
        <f ca="1"/>
        <v>#NAME?</v>
      </c>
      <c r="C49">
        <f t="shared" si="13"/>
        <v>1.2815515655446006</v>
      </c>
      <c r="D49" t="e">
        <f t="shared" ca="1" si="14"/>
        <v>#NAME?</v>
      </c>
    </row>
    <row r="50" spans="1:4">
      <c r="A50">
        <f t="shared" si="15"/>
        <v>29</v>
      </c>
      <c r="B50" t="e">
        <f ca="1"/>
        <v>#NAME?</v>
      </c>
      <c r="C50">
        <f t="shared" si="13"/>
        <v>1.8339146358159142</v>
      </c>
      <c r="D50" t="e">
        <f t="shared" ca="1" si="14"/>
        <v>#NAME?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sheetPr codeName="Sheet332"/>
  <dimension ref="A1:S25"/>
  <sheetViews>
    <sheetView workbookViewId="0">
      <selection activeCell="G21" sqref="G21"/>
    </sheetView>
  </sheetViews>
  <sheetFormatPr defaultRowHeight="14.4"/>
  <cols>
    <col min="2" max="3" width="8.44140625" customWidth="1"/>
    <col min="4" max="4" width="4.44140625" customWidth="1"/>
    <col min="8" max="9" width="9.109375" customWidth="1"/>
    <col min="16" max="16" width="5" customWidth="1"/>
  </cols>
  <sheetData>
    <row r="1" spans="1:19">
      <c r="A1" s="1" t="s">
        <v>3568</v>
      </c>
      <c r="F1" t="s">
        <v>337</v>
      </c>
      <c r="G1" s="756">
        <v>0.05</v>
      </c>
      <c r="R1" t="s">
        <v>337</v>
      </c>
      <c r="S1" s="756">
        <v>0.05</v>
      </c>
    </row>
    <row r="3" spans="1:19">
      <c r="A3" s="1334" t="s">
        <v>22</v>
      </c>
      <c r="B3" s="840" t="s">
        <v>725</v>
      </c>
      <c r="C3" s="840" t="s">
        <v>726</v>
      </c>
      <c r="E3" s="1334" t="s">
        <v>3579</v>
      </c>
      <c r="F3" s="1334" t="s">
        <v>3580</v>
      </c>
      <c r="G3" s="1334" t="s">
        <v>1468</v>
      </c>
      <c r="J3" s="1334" t="s">
        <v>2904</v>
      </c>
      <c r="K3" s="1334" t="s">
        <v>2861</v>
      </c>
      <c r="M3" s="1334" t="s">
        <v>131</v>
      </c>
      <c r="N3" s="1334" t="s">
        <v>2904</v>
      </c>
      <c r="O3" s="1334" t="s">
        <v>2861</v>
      </c>
      <c r="Q3" s="1334" t="s">
        <v>3582</v>
      </c>
      <c r="R3" s="1334" t="s">
        <v>3583</v>
      </c>
      <c r="S3" s="1334" t="s">
        <v>1468</v>
      </c>
    </row>
    <row r="4" spans="1:19">
      <c r="A4" s="1335" t="s">
        <v>3570</v>
      </c>
      <c r="B4">
        <v>4</v>
      </c>
      <c r="C4">
        <v>7</v>
      </c>
      <c r="E4">
        <f>B4/B$14</f>
        <v>0.05</v>
      </c>
      <c r="F4">
        <f>C4/C14</f>
        <v>0.11290322580645161</v>
      </c>
      <c r="G4">
        <f>ABS(E4-F4)</f>
        <v>6.2903225806451607E-2</v>
      </c>
      <c r="J4">
        <v>3</v>
      </c>
      <c r="K4">
        <v>2</v>
      </c>
      <c r="M4" t="e">
        <f t="array" aca="1" ref="M4:M10" ca="1">[1]!SortUnique(J4:K11)</f>
        <v>#NAME?</v>
      </c>
      <c r="N4">
        <f ca="1">COUNTIF(J$4:J$11,$M4)</f>
        <v>0</v>
      </c>
      <c r="O4">
        <f ca="1">COUNTIF(K$4:K$11,$M4)</f>
        <v>0</v>
      </c>
      <c r="Q4" t="e">
        <f ca="1">N4/N$11</f>
        <v>#DIV/0!</v>
      </c>
      <c r="R4" t="e">
        <f ca="1">O4/O$11</f>
        <v>#DIV/0!</v>
      </c>
      <c r="S4" t="e">
        <f t="shared" ref="S4:S10" ca="1" si="0">ABS(Q4-R4)</f>
        <v>#DIV/0!</v>
      </c>
    </row>
    <row r="5" spans="1:19">
      <c r="A5" s="1335" t="s">
        <v>3569</v>
      </c>
      <c r="B5">
        <v>11</v>
      </c>
      <c r="C5">
        <v>4</v>
      </c>
      <c r="E5">
        <f>B5/B$14+E4</f>
        <v>0.1875</v>
      </c>
      <c r="F5">
        <f>C5/C$14+F4</f>
        <v>0.17741935483870969</v>
      </c>
      <c r="G5">
        <f t="shared" ref="G5:G13" si="1">ABS(E5-F5)</f>
        <v>1.0080645161290314E-2</v>
      </c>
      <c r="J5">
        <v>2</v>
      </c>
      <c r="K5">
        <v>8</v>
      </c>
      <c r="M5" t="e">
        <f ca="1"/>
        <v>#NAME?</v>
      </c>
      <c r="N5">
        <f t="shared" ref="N5:N10" ca="1" si="2">COUNTIF(J$4:J$11,$M5)</f>
        <v>0</v>
      </c>
      <c r="O5">
        <f t="shared" ref="O5:O10" ca="1" si="3">COUNTIF(K$4:K$11,$M5)</f>
        <v>0</v>
      </c>
      <c r="Q5" t="e">
        <f t="shared" ref="Q5:R10" ca="1" si="4">N5/N$11+Q4</f>
        <v>#DIV/0!</v>
      </c>
      <c r="R5" t="e">
        <f t="shared" ca="1" si="4"/>
        <v>#DIV/0!</v>
      </c>
      <c r="S5" t="e">
        <f t="shared" ca="1" si="0"/>
        <v>#DIV/0!</v>
      </c>
    </row>
    <row r="6" spans="1:19">
      <c r="A6" s="1335" t="s">
        <v>3571</v>
      </c>
      <c r="B6">
        <v>5</v>
      </c>
      <c r="C6">
        <v>1</v>
      </c>
      <c r="E6">
        <f t="shared" ref="E6:E13" si="5">B6/B$14+E5</f>
        <v>0.25</v>
      </c>
      <c r="F6">
        <f t="shared" ref="F6:F13" si="6">C6/C$14+F5</f>
        <v>0.19354838709677419</v>
      </c>
      <c r="G6">
        <f t="shared" si="1"/>
        <v>5.6451612903225812E-2</v>
      </c>
      <c r="J6">
        <v>3</v>
      </c>
      <c r="K6">
        <v>2</v>
      </c>
      <c r="M6" t="e">
        <f ca="1"/>
        <v>#NAME?</v>
      </c>
      <c r="N6">
        <f t="shared" ca="1" si="2"/>
        <v>0</v>
      </c>
      <c r="O6">
        <f t="shared" ca="1" si="3"/>
        <v>0</v>
      </c>
      <c r="Q6" t="e">
        <f t="shared" ca="1" si="4"/>
        <v>#DIV/0!</v>
      </c>
      <c r="R6" t="e">
        <f t="shared" ca="1" si="4"/>
        <v>#DIV/0!</v>
      </c>
      <c r="S6" t="e">
        <f t="shared" ca="1" si="0"/>
        <v>#DIV/0!</v>
      </c>
    </row>
    <row r="7" spans="1:19">
      <c r="A7" s="1335" t="s">
        <v>3572</v>
      </c>
      <c r="B7">
        <v>7</v>
      </c>
      <c r="C7">
        <v>11</v>
      </c>
      <c r="E7">
        <f t="shared" si="5"/>
        <v>0.33750000000000002</v>
      </c>
      <c r="F7">
        <f t="shared" si="6"/>
        <v>0.37096774193548387</v>
      </c>
      <c r="G7">
        <f t="shared" si="1"/>
        <v>3.3467741935483852E-2</v>
      </c>
      <c r="J7">
        <v>5</v>
      </c>
      <c r="K7">
        <v>4</v>
      </c>
      <c r="M7" t="e">
        <f ca="1"/>
        <v>#NAME?</v>
      </c>
      <c r="N7">
        <f t="shared" ca="1" si="2"/>
        <v>0</v>
      </c>
      <c r="O7">
        <f t="shared" ca="1" si="3"/>
        <v>0</v>
      </c>
      <c r="Q7" t="e">
        <f t="shared" ca="1" si="4"/>
        <v>#DIV/0!</v>
      </c>
      <c r="R7" t="e">
        <f t="shared" ca="1" si="4"/>
        <v>#DIV/0!</v>
      </c>
      <c r="S7" t="e">
        <f t="shared" ca="1" si="0"/>
        <v>#DIV/0!</v>
      </c>
    </row>
    <row r="8" spans="1:19">
      <c r="A8" s="1335" t="s">
        <v>3573</v>
      </c>
      <c r="B8">
        <v>0</v>
      </c>
      <c r="C8">
        <v>12</v>
      </c>
      <c r="E8">
        <f t="shared" si="5"/>
        <v>0.33750000000000002</v>
      </c>
      <c r="F8">
        <f t="shared" si="6"/>
        <v>0.56451612903225801</v>
      </c>
      <c r="G8">
        <f t="shared" si="1"/>
        <v>0.22701612903225799</v>
      </c>
      <c r="J8">
        <v>8</v>
      </c>
      <c r="K8">
        <v>4</v>
      </c>
      <c r="M8" t="e">
        <f ca="1"/>
        <v>#NAME?</v>
      </c>
      <c r="N8">
        <f t="shared" ca="1" si="2"/>
        <v>0</v>
      </c>
      <c r="O8">
        <f t="shared" ca="1" si="3"/>
        <v>0</v>
      </c>
      <c r="Q8" t="e">
        <f t="shared" ca="1" si="4"/>
        <v>#DIV/0!</v>
      </c>
      <c r="R8" t="e">
        <f t="shared" ca="1" si="4"/>
        <v>#DIV/0!</v>
      </c>
      <c r="S8" t="e">
        <f t="shared" ca="1" si="0"/>
        <v>#DIV/0!</v>
      </c>
    </row>
    <row r="9" spans="1:19">
      <c r="A9" s="1335" t="s">
        <v>3574</v>
      </c>
      <c r="B9">
        <v>5</v>
      </c>
      <c r="C9">
        <v>4</v>
      </c>
      <c r="E9">
        <f t="shared" si="5"/>
        <v>0.4</v>
      </c>
      <c r="F9">
        <f t="shared" si="6"/>
        <v>0.62903225806451601</v>
      </c>
      <c r="G9">
        <f t="shared" si="1"/>
        <v>0.22903225806451599</v>
      </c>
      <c r="J9">
        <v>9</v>
      </c>
      <c r="K9">
        <v>3</v>
      </c>
      <c r="M9" t="e">
        <f ca="1"/>
        <v>#NAME?</v>
      </c>
      <c r="N9">
        <f t="shared" ca="1" si="2"/>
        <v>0</v>
      </c>
      <c r="O9">
        <f t="shared" ca="1" si="3"/>
        <v>0</v>
      </c>
      <c r="Q9" t="e">
        <f t="shared" ca="1" si="4"/>
        <v>#DIV/0!</v>
      </c>
      <c r="R9" t="e">
        <f t="shared" ca="1" si="4"/>
        <v>#DIV/0!</v>
      </c>
      <c r="S9" t="e">
        <f t="shared" ca="1" si="0"/>
        <v>#DIV/0!</v>
      </c>
    </row>
    <row r="10" spans="1:19">
      <c r="A10" s="1335" t="s">
        <v>3578</v>
      </c>
      <c r="B10">
        <v>9</v>
      </c>
      <c r="C10">
        <v>2</v>
      </c>
      <c r="E10">
        <f t="shared" si="5"/>
        <v>0.51250000000000007</v>
      </c>
      <c r="F10">
        <f t="shared" si="6"/>
        <v>0.66129032258064502</v>
      </c>
      <c r="G10">
        <f t="shared" si="1"/>
        <v>0.14879032258064495</v>
      </c>
      <c r="J10">
        <v>8</v>
      </c>
      <c r="K10">
        <v>6</v>
      </c>
      <c r="M10" s="1078" t="e">
        <f ca="1"/>
        <v>#NAME?</v>
      </c>
      <c r="N10" s="1078">
        <f t="shared" ca="1" si="2"/>
        <v>0</v>
      </c>
      <c r="O10" s="1078">
        <f t="shared" ca="1" si="3"/>
        <v>0</v>
      </c>
      <c r="Q10" s="1078" t="e">
        <f t="shared" ca="1" si="4"/>
        <v>#DIV/0!</v>
      </c>
      <c r="R10" s="1078" t="e">
        <f t="shared" ca="1" si="4"/>
        <v>#DIV/0!</v>
      </c>
      <c r="S10" s="1078" t="e">
        <f t="shared" ca="1" si="0"/>
        <v>#DIV/0!</v>
      </c>
    </row>
    <row r="11" spans="1:19">
      <c r="A11" s="1335" t="s">
        <v>3575</v>
      </c>
      <c r="B11">
        <v>13</v>
      </c>
      <c r="C11">
        <v>4</v>
      </c>
      <c r="E11">
        <f t="shared" si="5"/>
        <v>0.67500000000000004</v>
      </c>
      <c r="F11">
        <f t="shared" si="6"/>
        <v>0.72580645161290303</v>
      </c>
      <c r="G11">
        <f t="shared" si="1"/>
        <v>5.0806451612902981E-2</v>
      </c>
      <c r="J11" s="1078">
        <v>8</v>
      </c>
      <c r="K11" s="1078"/>
      <c r="N11">
        <f ca="1">SUM(N4:N10)</f>
        <v>0</v>
      </c>
      <c r="O11">
        <f ca="1">SUM(O4:O10)</f>
        <v>0</v>
      </c>
      <c r="R11" t="s">
        <v>3585</v>
      </c>
      <c r="S11" s="66" t="e">
        <f ca="1">MAX(S1:S10)</f>
        <v>#DIV/0!</v>
      </c>
    </row>
    <row r="12" spans="1:19">
      <c r="A12" s="1335" t="s">
        <v>3576</v>
      </c>
      <c r="B12">
        <v>20</v>
      </c>
      <c r="C12">
        <v>8</v>
      </c>
      <c r="E12">
        <f t="shared" si="5"/>
        <v>0.92500000000000004</v>
      </c>
      <c r="F12">
        <f t="shared" si="6"/>
        <v>0.85483870967741915</v>
      </c>
      <c r="G12">
        <f t="shared" si="1"/>
        <v>7.0161290322580894E-2</v>
      </c>
      <c r="R12" t="s">
        <v>3581</v>
      </c>
      <c r="S12" s="66" t="e">
        <f ca="1">[1]!kSINV(S1,N11,O11)</f>
        <v>#NAME?</v>
      </c>
    </row>
    <row r="13" spans="1:19">
      <c r="A13" s="1219" t="s">
        <v>3577</v>
      </c>
      <c r="B13" s="1078">
        <v>6</v>
      </c>
      <c r="C13" s="1078">
        <v>9</v>
      </c>
      <c r="E13" s="1078">
        <f t="shared" si="5"/>
        <v>1</v>
      </c>
      <c r="F13" s="1078">
        <f t="shared" si="6"/>
        <v>0.99999999999999978</v>
      </c>
      <c r="G13" s="1078">
        <f t="shared" si="1"/>
        <v>2.2204460492503131E-16</v>
      </c>
      <c r="R13" s="1078" t="s">
        <v>948</v>
      </c>
      <c r="S13" s="1247" t="e">
        <f ca="1">IF(S11&gt;S12,"yes","no")</f>
        <v>#DIV/0!</v>
      </c>
    </row>
    <row r="14" spans="1:19">
      <c r="B14">
        <f>SUM(B4:B13)</f>
        <v>80</v>
      </c>
      <c r="C14">
        <f>SUM(C4:C13)</f>
        <v>62</v>
      </c>
      <c r="F14" t="s">
        <v>3585</v>
      </c>
      <c r="G14" s="66">
        <f>MAX(G4:G13)</f>
        <v>0.22903225806451599</v>
      </c>
    </row>
    <row r="15" spans="1:19">
      <c r="F15" t="s">
        <v>3581</v>
      </c>
      <c r="G15" s="66" t="e">
        <f ca="1">[1]!kSINV(G1,B14,C14)</f>
        <v>#NAME?</v>
      </c>
      <c r="R15" t="s">
        <v>200</v>
      </c>
      <c r="S15" s="756" t="e">
        <f ca="1">[1]!KSDIST(S11,N11,O11)</f>
        <v>#NAME?</v>
      </c>
    </row>
    <row r="16" spans="1:19">
      <c r="F16" s="1078" t="s">
        <v>948</v>
      </c>
      <c r="G16" s="1247" t="e">
        <f ca="1">IF(G14&gt;G15,"yes","no")</f>
        <v>#NAME?</v>
      </c>
    </row>
    <row r="18" spans="6:19">
      <c r="F18" t="s">
        <v>200</v>
      </c>
      <c r="G18" s="756" t="e">
        <f ca="1">[1]!KSDIST(G14,B14,C14)</f>
        <v>#NAME?</v>
      </c>
      <c r="R18" t="e">
        <f t="array" aca="1" ref="R18:S22" ca="1">[1]!KS2TEST(J4:J11,K4:K10,TRUE)</f>
        <v>#NAME?</v>
      </c>
      <c r="S18" s="1235" t="e">
        <f ca="1"/>
        <v>#NAME?</v>
      </c>
    </row>
    <row r="19" spans="6:19">
      <c r="R19" t="e">
        <f ca="1"/>
        <v>#NAME?</v>
      </c>
      <c r="S19" s="627" t="e">
        <f ca="1"/>
        <v>#NAME?</v>
      </c>
    </row>
    <row r="20" spans="6:19">
      <c r="R20" t="e">
        <f ca="1"/>
        <v>#NAME?</v>
      </c>
      <c r="S20" s="627" t="e">
        <f ca="1"/>
        <v>#NAME?</v>
      </c>
    </row>
    <row r="21" spans="6:19">
      <c r="F21" t="e">
        <f t="array" aca="1" ref="F21:G25" ca="1">[1]!KS2TEST(B4:C13,,TRUE)</f>
        <v>#NAME?</v>
      </c>
      <c r="G21" s="1235" t="e">
        <f ca="1"/>
        <v>#NAME?</v>
      </c>
      <c r="R21" t="e">
        <f ca="1"/>
        <v>#NAME?</v>
      </c>
      <c r="S21" s="627" t="e">
        <f ca="1"/>
        <v>#NAME?</v>
      </c>
    </row>
    <row r="22" spans="6:19">
      <c r="F22" t="e">
        <f ca="1"/>
        <v>#NAME?</v>
      </c>
      <c r="G22" s="627" t="e">
        <f ca="1"/>
        <v>#NAME?</v>
      </c>
      <c r="R22" t="e">
        <f ca="1"/>
        <v>#NAME?</v>
      </c>
      <c r="S22" s="544" t="e">
        <f ca="1"/>
        <v>#NAME?</v>
      </c>
    </row>
    <row r="23" spans="6:19">
      <c r="F23" t="e">
        <f ca="1"/>
        <v>#NAME?</v>
      </c>
      <c r="G23" s="627" t="e">
        <f ca="1"/>
        <v>#NAME?</v>
      </c>
    </row>
    <row r="24" spans="6:19">
      <c r="F24" t="e">
        <f ca="1"/>
        <v>#NAME?</v>
      </c>
      <c r="G24" s="627" t="e">
        <f ca="1"/>
        <v>#NAME?</v>
      </c>
    </row>
    <row r="25" spans="6:19">
      <c r="F25" t="e">
        <f ca="1"/>
        <v>#NAME?</v>
      </c>
      <c r="G25" s="544" t="e">
        <f ca="1"/>
        <v>#NAME?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sheetPr codeName="Sheet337"/>
  <dimension ref="A1:G24"/>
  <sheetViews>
    <sheetView workbookViewId="0"/>
  </sheetViews>
  <sheetFormatPr defaultRowHeight="14.4"/>
  <sheetData>
    <row r="1" spans="1:7">
      <c r="A1" s="1" t="s">
        <v>3675</v>
      </c>
    </row>
    <row r="3" spans="1:7" ht="15.6">
      <c r="B3" s="1358" t="s">
        <v>28</v>
      </c>
      <c r="C3" s="1358" t="s">
        <v>132</v>
      </c>
      <c r="D3" s="1358" t="s">
        <v>582</v>
      </c>
      <c r="E3" s="1353" t="s">
        <v>583</v>
      </c>
      <c r="F3" s="1353" t="s">
        <v>30</v>
      </c>
      <c r="G3" s="1353" t="s">
        <v>246</v>
      </c>
    </row>
    <row r="4" spans="1:7">
      <c r="B4" s="184">
        <v>0.7</v>
      </c>
      <c r="C4" s="77">
        <v>1</v>
      </c>
      <c r="D4">
        <f>C4</f>
        <v>1</v>
      </c>
      <c r="E4">
        <f>D4/B$21</f>
        <v>6.6666666666666666E-2</v>
      </c>
      <c r="F4">
        <f>EXPONDIST(B4,$B$20,TRUE)</f>
        <v>0.15932801011668971</v>
      </c>
      <c r="G4">
        <f t="shared" ref="G4:G18" si="0">ABS(F4-E4)</f>
        <v>9.266134345002304E-2</v>
      </c>
    </row>
    <row r="5" spans="1:7">
      <c r="B5" s="184">
        <v>0.8</v>
      </c>
      <c r="C5" s="77">
        <v>1</v>
      </c>
      <c r="D5">
        <f t="shared" ref="D5:D18" si="1">D4+C5</f>
        <v>2</v>
      </c>
      <c r="E5">
        <f t="shared" ref="E5:E18" si="2">D5/B$21</f>
        <v>0.13333333333333333</v>
      </c>
      <c r="F5">
        <f t="shared" ref="F5:F18" si="3">EXPONDIST(B5,$B$20,TRUE)</f>
        <v>0.1799148539252895</v>
      </c>
      <c r="G5">
        <f t="shared" si="0"/>
        <v>4.6581520591956166E-2</v>
      </c>
    </row>
    <row r="6" spans="1:7">
      <c r="B6" s="184">
        <v>1.1000000000000001</v>
      </c>
      <c r="C6" s="77">
        <v>1</v>
      </c>
      <c r="D6">
        <f t="shared" si="1"/>
        <v>3</v>
      </c>
      <c r="E6">
        <f t="shared" si="2"/>
        <v>0.2</v>
      </c>
      <c r="F6">
        <f t="shared" si="3"/>
        <v>0.23869961330312628</v>
      </c>
      <c r="G6">
        <f t="shared" si="0"/>
        <v>3.8699613303126268E-2</v>
      </c>
    </row>
    <row r="7" spans="1:7">
      <c r="B7" s="184">
        <v>2</v>
      </c>
      <c r="C7" s="77">
        <v>1</v>
      </c>
      <c r="D7">
        <f t="shared" si="1"/>
        <v>4</v>
      </c>
      <c r="E7">
        <f t="shared" si="2"/>
        <v>0.26666666666666666</v>
      </c>
      <c r="F7">
        <f t="shared" si="3"/>
        <v>0.3909578297496123</v>
      </c>
      <c r="G7">
        <f t="shared" si="0"/>
        <v>0.12429116308294563</v>
      </c>
    </row>
    <row r="8" spans="1:7">
      <c r="B8" s="184">
        <v>3.9</v>
      </c>
      <c r="C8" s="77">
        <v>1</v>
      </c>
      <c r="D8">
        <f t="shared" si="1"/>
        <v>5</v>
      </c>
      <c r="E8">
        <f t="shared" si="2"/>
        <v>0.33333333333333331</v>
      </c>
      <c r="F8">
        <f t="shared" si="3"/>
        <v>0.61975600825144772</v>
      </c>
      <c r="G8">
        <f t="shared" si="0"/>
        <v>0.28642267491811441</v>
      </c>
    </row>
    <row r="9" spans="1:7">
      <c r="B9" s="184">
        <v>4.2</v>
      </c>
      <c r="C9" s="77">
        <v>1</v>
      </c>
      <c r="D9">
        <f t="shared" si="1"/>
        <v>6</v>
      </c>
      <c r="E9">
        <f t="shared" si="2"/>
        <v>0.4</v>
      </c>
      <c r="F9">
        <f t="shared" si="3"/>
        <v>0.64701238725891541</v>
      </c>
      <c r="G9">
        <f t="shared" si="0"/>
        <v>0.24701238725891539</v>
      </c>
    </row>
    <row r="10" spans="1:7">
      <c r="B10" s="184">
        <v>4.3</v>
      </c>
      <c r="C10" s="77">
        <v>1</v>
      </c>
      <c r="D10">
        <f t="shared" si="1"/>
        <v>7</v>
      </c>
      <c r="E10">
        <f t="shared" si="2"/>
        <v>0.46666666666666667</v>
      </c>
      <c r="F10">
        <f t="shared" si="3"/>
        <v>0.65565654447757082</v>
      </c>
      <c r="G10">
        <f t="shared" si="0"/>
        <v>0.18898987781090415</v>
      </c>
    </row>
    <row r="11" spans="1:7">
      <c r="B11" s="184">
        <v>4.9000000000000004</v>
      </c>
      <c r="C11" s="77">
        <v>1</v>
      </c>
      <c r="D11">
        <f t="shared" si="1"/>
        <v>8</v>
      </c>
      <c r="E11">
        <f t="shared" si="2"/>
        <v>0.53333333333333333</v>
      </c>
      <c r="F11">
        <f t="shared" si="3"/>
        <v>0.70325320119279311</v>
      </c>
      <c r="G11">
        <f t="shared" si="0"/>
        <v>0.16991986785945978</v>
      </c>
    </row>
    <row r="12" spans="1:7">
      <c r="B12" s="184">
        <v>5.0999999999999996</v>
      </c>
      <c r="C12" s="77">
        <v>1</v>
      </c>
      <c r="D12">
        <f t="shared" si="1"/>
        <v>9</v>
      </c>
      <c r="E12">
        <f t="shared" si="2"/>
        <v>0.6</v>
      </c>
      <c r="F12">
        <f t="shared" si="3"/>
        <v>0.71760904697801808</v>
      </c>
      <c r="G12">
        <f t="shared" si="0"/>
        <v>0.11760904697801811</v>
      </c>
    </row>
    <row r="13" spans="1:7">
      <c r="B13" s="184">
        <v>5.2</v>
      </c>
      <c r="C13" s="77">
        <v>1</v>
      </c>
      <c r="D13">
        <f t="shared" si="1"/>
        <v>10</v>
      </c>
      <c r="E13">
        <f t="shared" si="2"/>
        <v>0.66666666666666663</v>
      </c>
      <c r="F13">
        <f t="shared" si="3"/>
        <v>0.72452439388238221</v>
      </c>
      <c r="G13">
        <f t="shared" si="0"/>
        <v>5.7857727215715582E-2</v>
      </c>
    </row>
    <row r="14" spans="1:7">
      <c r="B14" s="184">
        <v>5.3</v>
      </c>
      <c r="C14" s="77">
        <v>1</v>
      </c>
      <c r="D14">
        <f t="shared" si="1"/>
        <v>11</v>
      </c>
      <c r="E14">
        <f t="shared" si="2"/>
        <v>0.73333333333333328</v>
      </c>
      <c r="F14">
        <f t="shared" si="3"/>
        <v>0.7312703939210059</v>
      </c>
      <c r="G14">
        <f t="shared" si="0"/>
        <v>2.0629394123273803E-3</v>
      </c>
    </row>
    <row r="15" spans="1:7">
      <c r="B15" s="184">
        <v>5.5</v>
      </c>
      <c r="C15" s="77">
        <v>1</v>
      </c>
      <c r="D15">
        <f t="shared" si="1"/>
        <v>12</v>
      </c>
      <c r="E15">
        <f t="shared" si="2"/>
        <v>0.8</v>
      </c>
      <c r="F15">
        <f t="shared" si="3"/>
        <v>0.74427084008689937</v>
      </c>
      <c r="G15">
        <f t="shared" si="0"/>
        <v>5.5729159913100679E-2</v>
      </c>
    </row>
    <row r="16" spans="1:7">
      <c r="B16" s="184">
        <v>5.7</v>
      </c>
      <c r="C16" s="77">
        <v>1</v>
      </c>
      <c r="D16">
        <f t="shared" si="1"/>
        <v>13</v>
      </c>
      <c r="E16">
        <f t="shared" si="2"/>
        <v>0.8666666666666667</v>
      </c>
      <c r="F16">
        <f t="shared" si="3"/>
        <v>0.75664235815298897</v>
      </c>
      <c r="G16">
        <f t="shared" si="0"/>
        <v>0.11002430851367773</v>
      </c>
    </row>
    <row r="17" spans="1:7">
      <c r="B17" s="184">
        <v>5.8</v>
      </c>
      <c r="C17" s="77">
        <v>1</v>
      </c>
      <c r="D17">
        <f t="shared" si="1"/>
        <v>14</v>
      </c>
      <c r="E17">
        <f t="shared" si="2"/>
        <v>0.93333333333333335</v>
      </c>
      <c r="F17">
        <f t="shared" si="3"/>
        <v>0.76260183559796602</v>
      </c>
      <c r="G17">
        <f t="shared" si="0"/>
        <v>0.17073149773536733</v>
      </c>
    </row>
    <row r="18" spans="1:7">
      <c r="B18" s="1356">
        <v>6</v>
      </c>
      <c r="C18" s="1357">
        <v>1</v>
      </c>
      <c r="D18" s="1062">
        <f t="shared" si="1"/>
        <v>15</v>
      </c>
      <c r="E18" s="1062">
        <f t="shared" si="2"/>
        <v>1</v>
      </c>
      <c r="F18" s="1062">
        <f t="shared" si="3"/>
        <v>0.77408654731701398</v>
      </c>
      <c r="G18" s="1062">
        <f t="shared" si="0"/>
        <v>0.22591345268298602</v>
      </c>
    </row>
    <row r="19" spans="1:7">
      <c r="A19" t="s">
        <v>63</v>
      </c>
      <c r="B19" s="64">
        <f>AVERAGE(B4:B18)</f>
        <v>4.0333333333333332</v>
      </c>
    </row>
    <row r="20" spans="1:7" ht="15.6">
      <c r="A20" t="s">
        <v>3650</v>
      </c>
      <c r="B20">
        <f>1/B19</f>
        <v>0.24793388429752067</v>
      </c>
      <c r="F20" s="19" t="s">
        <v>590</v>
      </c>
      <c r="G20" s="1235">
        <f>MAX(G4:G18)</f>
        <v>0.28642267491811441</v>
      </c>
    </row>
    <row r="21" spans="1:7" ht="15.6">
      <c r="A21" t="s">
        <v>554</v>
      </c>
      <c r="B21" s="1062">
        <f>COUNT(B4:B18)</f>
        <v>15</v>
      </c>
      <c r="F21" s="19" t="s">
        <v>588</v>
      </c>
      <c r="G21" s="1349" t="e">
        <f ca="1">[1]!KSCRIT(B21,0.05)</f>
        <v>#NAME?</v>
      </c>
    </row>
    <row r="23" spans="1:7">
      <c r="F23" s="19" t="s">
        <v>3581</v>
      </c>
      <c r="G23" s="1235" t="e">
        <f ca="1">[1]!KSCRIT(B21,0.05)</f>
        <v>#NAME?</v>
      </c>
    </row>
    <row r="24" spans="1:7">
      <c r="F24" s="19" t="s">
        <v>200</v>
      </c>
      <c r="G24" s="544" t="e">
        <f ca="1">[1]!KSPROB(G20,B21)</f>
        <v>#NAME?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sheetPr codeName="Sheet69"/>
  <dimension ref="A1:Y20"/>
  <sheetViews>
    <sheetView workbookViewId="0"/>
  </sheetViews>
  <sheetFormatPr defaultRowHeight="14.4"/>
  <cols>
    <col min="6" max="6" width="6.44140625" customWidth="1"/>
    <col min="7" max="7" width="9.109375" customWidth="1"/>
    <col min="26" max="27" width="9.109375" customWidth="1"/>
  </cols>
  <sheetData>
    <row r="1" spans="1:25">
      <c r="A1" s="1" t="s">
        <v>3971</v>
      </c>
      <c r="D1" s="1"/>
      <c r="L1" t="s">
        <v>2686</v>
      </c>
      <c r="R1" t="s">
        <v>2676</v>
      </c>
    </row>
    <row r="3" spans="1:25">
      <c r="A3" s="822" t="s">
        <v>22</v>
      </c>
      <c r="B3" s="822" t="s">
        <v>580</v>
      </c>
      <c r="D3" t="s">
        <v>106</v>
      </c>
      <c r="E3" s="756">
        <f ca="1">COUNT(B4:B15)</f>
        <v>0</v>
      </c>
      <c r="L3" s="1019" t="s">
        <v>2662</v>
      </c>
      <c r="M3" s="1019" t="s">
        <v>22</v>
      </c>
      <c r="N3" s="1019" t="s">
        <v>580</v>
      </c>
      <c r="O3" s="1019" t="s">
        <v>2095</v>
      </c>
      <c r="R3" s="1024" t="s">
        <v>2662</v>
      </c>
      <c r="S3" s="1024" t="s">
        <v>22</v>
      </c>
      <c r="T3" s="1024" t="s">
        <v>580</v>
      </c>
      <c r="U3" s="1024" t="s">
        <v>2683</v>
      </c>
      <c r="V3" s="1024" t="s">
        <v>2687</v>
      </c>
      <c r="X3" s="232" t="s">
        <v>106</v>
      </c>
      <c r="Y3" s="929">
        <f>R15</f>
        <v>12</v>
      </c>
    </row>
    <row r="4" spans="1:25">
      <c r="A4" s="109">
        <v>65</v>
      </c>
      <c r="B4" s="109" t="e">
        <f t="array" aca="1" ref="B4:B15" ca="1">[1]!QSORT(A4:A15)</f>
        <v>#NAME?</v>
      </c>
      <c r="H4" s="19" t="s">
        <v>2014</v>
      </c>
      <c r="I4" s="19" t="s">
        <v>2028</v>
      </c>
      <c r="L4" s="1020">
        <v>1</v>
      </c>
      <c r="M4" s="1020">
        <v>65</v>
      </c>
      <c r="N4" s="1020" t="e">
        <f t="array" aca="1" ref="N4:N15" ca="1">[1]!QSORT(M4:M15)</f>
        <v>#NAME?</v>
      </c>
      <c r="O4" t="e">
        <f ca="1">[1]!swcoeff(L$15,L4)</f>
        <v>#NAME?</v>
      </c>
      <c r="R4" s="1025">
        <v>1</v>
      </c>
      <c r="S4" s="1025">
        <v>65</v>
      </c>
      <c r="T4" s="1025" t="e">
        <f t="array" aca="1" ref="T4:T15" ca="1">[1]!QSORT(S4:S15)</f>
        <v>#NAME?</v>
      </c>
      <c r="U4" s="1025">
        <f>NORMSINV((R4-0.375)/(Y$3+0.25))</f>
        <v>-1.6350392668017106</v>
      </c>
      <c r="V4">
        <f>-V15</f>
        <v>-0.54743363806786371</v>
      </c>
      <c r="X4" t="s">
        <v>2684</v>
      </c>
      <c r="Y4" s="627">
        <f>1/SQRT(Y3)</f>
        <v>0.28867513459481292</v>
      </c>
    </row>
    <row r="5" spans="1:25">
      <c r="A5" s="109">
        <v>61</v>
      </c>
      <c r="B5" s="109" t="e">
        <f ca="1"/>
        <v>#NAME?</v>
      </c>
      <c r="D5" t="s">
        <v>302</v>
      </c>
      <c r="E5" s="183">
        <f>'SW Table'!L6</f>
        <v>0.54749999999999999</v>
      </c>
      <c r="G5" t="s">
        <v>572</v>
      </c>
      <c r="H5" s="864" t="e">
        <f ca="1">B15-B4</f>
        <v>#NAME?</v>
      </c>
      <c r="I5" s="866" t="e">
        <f t="shared" ref="I5:I10" ca="1" si="0">E5*H5</f>
        <v>#NAME?</v>
      </c>
      <c r="L5" s="1020">
        <f>L4+1</f>
        <v>2</v>
      </c>
      <c r="M5" s="1020">
        <v>61</v>
      </c>
      <c r="N5" s="1020" t="e">
        <f ca="1"/>
        <v>#NAME?</v>
      </c>
      <c r="O5" t="e">
        <f ca="1">[1]!swcoeff(L$15,L5)</f>
        <v>#NAME?</v>
      </c>
      <c r="R5" s="1025">
        <f>R4+1</f>
        <v>2</v>
      </c>
      <c r="S5" s="1025">
        <v>61</v>
      </c>
      <c r="T5" s="1025" t="e">
        <f ca="1"/>
        <v>#NAME?</v>
      </c>
      <c r="U5" s="1025">
        <f t="shared" ref="U5:U15" si="1">NORMSINV((R5-0.375)/(Y$3+0.25))</f>
        <v>-1.1139372153566887</v>
      </c>
      <c r="V5">
        <f>-V14</f>
        <v>-0.33257798186090087</v>
      </c>
      <c r="X5" t="s">
        <v>994</v>
      </c>
      <c r="Y5" s="627">
        <f>SUMSQ(U4:U15)</f>
        <v>9.8723679971015823</v>
      </c>
    </row>
    <row r="6" spans="1:25">
      <c r="A6" s="109">
        <v>63</v>
      </c>
      <c r="B6" s="109" t="e">
        <f ca="1"/>
        <v>#NAME?</v>
      </c>
      <c r="D6" t="s">
        <v>303</v>
      </c>
      <c r="E6" s="40">
        <f>'SW Table'!L7</f>
        <v>0.33250000000000002</v>
      </c>
      <c r="G6" t="s">
        <v>573</v>
      </c>
      <c r="H6" s="656" t="e">
        <f ca="1">B14-B5</f>
        <v>#NAME?</v>
      </c>
      <c r="I6" s="657" t="e">
        <f t="shared" ca="1" si="0"/>
        <v>#NAME?</v>
      </c>
      <c r="L6" s="1020">
        <f t="shared" ref="L6:L15" si="2">L5+1</f>
        <v>3</v>
      </c>
      <c r="M6" s="1020">
        <v>63</v>
      </c>
      <c r="N6" s="1020" t="e">
        <f ca="1"/>
        <v>#NAME?</v>
      </c>
      <c r="O6" t="e">
        <f ca="1">[1]!swcoeff(L$15,L6)</f>
        <v>#NAME?</v>
      </c>
      <c r="R6" s="1025">
        <f t="shared" ref="R6:R15" si="3">R5+1</f>
        <v>3</v>
      </c>
      <c r="S6" s="1025">
        <v>63</v>
      </c>
      <c r="T6" s="1025" t="e">
        <f ca="1"/>
        <v>#NAME?</v>
      </c>
      <c r="U6" s="1025">
        <f t="shared" si="1"/>
        <v>-0.79163860774337469</v>
      </c>
      <c r="V6">
        <f>U6/SQRT(Y$6)</f>
        <v>-0.23454341818808444</v>
      </c>
      <c r="X6" s="65" t="s">
        <v>2685</v>
      </c>
      <c r="Y6" s="544">
        <f>(Y5-2*U15^2-2*U14^2)/(1-2*V15^2-2*V14^2)</f>
        <v>11.392195580707302</v>
      </c>
    </row>
    <row r="7" spans="1:25">
      <c r="A7" s="109">
        <v>86</v>
      </c>
      <c r="B7" s="109" t="e">
        <f ca="1"/>
        <v>#NAME?</v>
      </c>
      <c r="D7" t="s">
        <v>304</v>
      </c>
      <c r="E7" s="40">
        <f>'SW Table'!L8</f>
        <v>0.23469999999999999</v>
      </c>
      <c r="G7" t="s">
        <v>574</v>
      </c>
      <c r="H7" s="656" t="e">
        <f ca="1">B13-B6</f>
        <v>#NAME?</v>
      </c>
      <c r="I7" s="657" t="e">
        <f t="shared" ca="1" si="0"/>
        <v>#NAME?</v>
      </c>
      <c r="L7" s="1020">
        <f t="shared" si="2"/>
        <v>4</v>
      </c>
      <c r="M7" s="1020">
        <v>86</v>
      </c>
      <c r="N7" s="1020" t="e">
        <f ca="1"/>
        <v>#NAME?</v>
      </c>
      <c r="O7" t="e">
        <f ca="1">[1]!swcoeff(L$15,L7)</f>
        <v>#NAME?</v>
      </c>
      <c r="R7" s="1025">
        <f t="shared" si="3"/>
        <v>4</v>
      </c>
      <c r="S7" s="1025">
        <v>86</v>
      </c>
      <c r="T7" s="1025" t="e">
        <f ca="1"/>
        <v>#NAME?</v>
      </c>
      <c r="U7" s="1025">
        <f t="shared" si="1"/>
        <v>-0.53617626636580651</v>
      </c>
      <c r="V7">
        <f t="shared" ref="V7:V12" si="4">U7/SQRT(Y$6)</f>
        <v>-0.15885609043656901</v>
      </c>
      <c r="X7" s="65"/>
    </row>
    <row r="8" spans="1:25">
      <c r="A8" s="109">
        <v>70</v>
      </c>
      <c r="B8" s="109" t="e">
        <f ca="1"/>
        <v>#NAME?</v>
      </c>
      <c r="D8" t="s">
        <v>305</v>
      </c>
      <c r="E8" s="40">
        <f>'SW Table'!L9</f>
        <v>0.15859999999999999</v>
      </c>
      <c r="G8" t="s">
        <v>575</v>
      </c>
      <c r="H8" s="656" t="e">
        <f ca="1">B12-B7</f>
        <v>#NAME?</v>
      </c>
      <c r="I8" s="657" t="e">
        <f t="shared" ca="1" si="0"/>
        <v>#NAME?</v>
      </c>
      <c r="L8" s="1020">
        <f t="shared" si="2"/>
        <v>5</v>
      </c>
      <c r="M8" s="1020">
        <v>70</v>
      </c>
      <c r="N8" s="1020" t="e">
        <f ca="1"/>
        <v>#NAME?</v>
      </c>
      <c r="O8" t="e">
        <f ca="1">[1]!swcoeff(L$15,L8)</f>
        <v>#NAME?</v>
      </c>
      <c r="R8" s="1025">
        <f t="shared" si="3"/>
        <v>5</v>
      </c>
      <c r="S8" s="1025">
        <v>70</v>
      </c>
      <c r="T8" s="1025" t="e">
        <f ca="1"/>
        <v>#NAME?</v>
      </c>
      <c r="U8" s="1025">
        <f t="shared" si="1"/>
        <v>-0.31191905482032528</v>
      </c>
      <c r="V8">
        <f t="shared" si="4"/>
        <v>-9.2414089712096747E-2</v>
      </c>
    </row>
    <row r="9" spans="1:25">
      <c r="A9" s="109">
        <v>55</v>
      </c>
      <c r="B9" s="109" t="e">
        <f ca="1"/>
        <v>#NAME?</v>
      </c>
      <c r="D9" t="s">
        <v>306</v>
      </c>
      <c r="E9" s="40">
        <f>'SW Table'!L10</f>
        <v>9.2200000000000004E-2</v>
      </c>
      <c r="G9" t="s">
        <v>576</v>
      </c>
      <c r="H9" s="656" t="e">
        <f ca="1">B11-B8</f>
        <v>#NAME?</v>
      </c>
      <c r="I9" s="657" t="e">
        <f t="shared" ca="1" si="0"/>
        <v>#NAME?</v>
      </c>
      <c r="L9" s="1020">
        <f t="shared" si="2"/>
        <v>6</v>
      </c>
      <c r="M9" s="1020">
        <v>55</v>
      </c>
      <c r="N9" s="1020" t="e">
        <f ca="1"/>
        <v>#NAME?</v>
      </c>
      <c r="O9" t="e">
        <f ca="1">[1]!swcoeff(L$15,L9)</f>
        <v>#NAME?</v>
      </c>
      <c r="R9" s="1025">
        <f t="shared" si="3"/>
        <v>6</v>
      </c>
      <c r="S9" s="1025">
        <v>55</v>
      </c>
      <c r="T9" s="1025" t="e">
        <f ca="1"/>
        <v>#NAME?</v>
      </c>
      <c r="U9" s="1025">
        <f t="shared" si="1"/>
        <v>-0.10249050769145145</v>
      </c>
      <c r="V9">
        <f t="shared" si="4"/>
        <v>-3.036546445645022E-2</v>
      </c>
      <c r="X9" t="s">
        <v>1513</v>
      </c>
      <c r="Y9" s="929" t="e">
        <f ca="1">CORREL(T4:T15,V4:V15)^2</f>
        <v>#NAME?</v>
      </c>
    </row>
    <row r="10" spans="1:25">
      <c r="A10" s="109">
        <v>74</v>
      </c>
      <c r="B10" s="109" t="e">
        <f ca="1"/>
        <v>#NAME?</v>
      </c>
      <c r="D10" t="s">
        <v>307</v>
      </c>
      <c r="E10" s="41">
        <f>'SW Table'!L11</f>
        <v>3.0300000000000001E-2</v>
      </c>
      <c r="G10" t="s">
        <v>577</v>
      </c>
      <c r="H10" s="10" t="e">
        <f ca="1">B10-B9</f>
        <v>#NAME?</v>
      </c>
      <c r="I10" s="12" t="e">
        <f t="shared" ca="1" si="0"/>
        <v>#NAME?</v>
      </c>
      <c r="L10" s="1020">
        <f t="shared" si="2"/>
        <v>7</v>
      </c>
      <c r="M10" s="1020">
        <v>74</v>
      </c>
      <c r="N10" s="1020" t="e">
        <f ca="1"/>
        <v>#NAME?</v>
      </c>
      <c r="O10" t="e">
        <f ca="1">[1]!swcoeff(L$15,L10)</f>
        <v>#NAME?</v>
      </c>
      <c r="R10" s="1025">
        <f t="shared" si="3"/>
        <v>7</v>
      </c>
      <c r="S10" s="1025">
        <v>74</v>
      </c>
      <c r="T10" s="1025" t="e">
        <f ca="1"/>
        <v>#NAME?</v>
      </c>
      <c r="U10" s="1025">
        <f t="shared" si="1"/>
        <v>0.10249050769145157</v>
      </c>
      <c r="V10">
        <f t="shared" si="4"/>
        <v>3.0365464456450258E-2</v>
      </c>
      <c r="X10" s="65" t="s">
        <v>63</v>
      </c>
      <c r="Y10" s="627">
        <f>0.0038915*LN(Y3)^3-0.083751*LN(Y3)^2-0.31082*LN(Y3)-1.5861</f>
        <v>-2.8158910709843643</v>
      </c>
    </row>
    <row r="11" spans="1:25">
      <c r="A11" s="109">
        <v>35</v>
      </c>
      <c r="B11" s="109" t="e">
        <f ca="1"/>
        <v>#NAME?</v>
      </c>
      <c r="I11" s="66" t="e">
        <f ca="1">SUM(I5:I10)</f>
        <v>#NAME?</v>
      </c>
      <c r="L11" s="1020">
        <f t="shared" si="2"/>
        <v>8</v>
      </c>
      <c r="M11" s="1020">
        <v>35</v>
      </c>
      <c r="N11" s="1020" t="e">
        <f ca="1"/>
        <v>#NAME?</v>
      </c>
      <c r="O11" t="e">
        <f ca="1">[1]!swcoeff(L$15,L11)</f>
        <v>#NAME?</v>
      </c>
      <c r="R11" s="1025">
        <f t="shared" si="3"/>
        <v>8</v>
      </c>
      <c r="S11" s="1025">
        <v>35</v>
      </c>
      <c r="T11" s="1025" t="e">
        <f ca="1"/>
        <v>#NAME?</v>
      </c>
      <c r="U11" s="1025">
        <f t="shared" si="1"/>
        <v>0.31191905482032528</v>
      </c>
      <c r="V11">
        <f t="shared" si="4"/>
        <v>9.2414089712096747E-2</v>
      </c>
      <c r="X11" s="493" t="s">
        <v>67</v>
      </c>
      <c r="Y11" s="627">
        <f>EXP(0.0030301*LN(Y3)^2-0.082676*LN(Y3)-0.4803)</f>
        <v>0.51322958557291287</v>
      </c>
    </row>
    <row r="12" spans="1:25">
      <c r="A12" s="109">
        <v>72</v>
      </c>
      <c r="B12" s="109" t="e">
        <f ca="1"/>
        <v>#NAME?</v>
      </c>
      <c r="L12" s="1020">
        <f t="shared" si="2"/>
        <v>9</v>
      </c>
      <c r="M12" s="1020">
        <v>72</v>
      </c>
      <c r="N12" s="1020" t="e">
        <f ca="1"/>
        <v>#NAME?</v>
      </c>
      <c r="O12" t="e">
        <f ca="1">[1]!swcoeff(L$15,L12)</f>
        <v>#NAME?</v>
      </c>
      <c r="R12" s="1025">
        <f t="shared" si="3"/>
        <v>9</v>
      </c>
      <c r="S12" s="1025">
        <v>72</v>
      </c>
      <c r="T12" s="1025" t="e">
        <f ca="1"/>
        <v>#NAME?</v>
      </c>
      <c r="U12" s="1025">
        <f t="shared" si="1"/>
        <v>0.53617626636580651</v>
      </c>
      <c r="V12">
        <f t="shared" si="4"/>
        <v>0.15885609043656901</v>
      </c>
      <c r="X12" s="493" t="s">
        <v>127</v>
      </c>
      <c r="Y12" s="627" t="e">
        <f ca="1">STANDARDIZE(LN(1-Y9),Y10,Y11)</f>
        <v>#NAME?</v>
      </c>
    </row>
    <row r="13" spans="1:25">
      <c r="A13" s="109">
        <v>68</v>
      </c>
      <c r="B13" s="109" t="e">
        <f ca="1"/>
        <v>#NAME?</v>
      </c>
      <c r="D13" t="s">
        <v>578</v>
      </c>
      <c r="E13" s="853" t="e">
        <f ca="1">DEVSQ(B4:B15)</f>
        <v>#NAME?</v>
      </c>
      <c r="L13" s="1020">
        <f t="shared" si="2"/>
        <v>10</v>
      </c>
      <c r="M13" s="1020">
        <v>68</v>
      </c>
      <c r="N13" s="1020" t="e">
        <f ca="1"/>
        <v>#NAME?</v>
      </c>
      <c r="O13" t="e">
        <f ca="1">[1]!swcoeff(L$15,L13)</f>
        <v>#NAME?</v>
      </c>
      <c r="R13" s="1025">
        <f t="shared" si="3"/>
        <v>10</v>
      </c>
      <c r="S13" s="1025">
        <v>68</v>
      </c>
      <c r="T13" s="1025" t="e">
        <f ca="1"/>
        <v>#NAME?</v>
      </c>
      <c r="U13" s="1025">
        <f t="shared" si="1"/>
        <v>0.79163860774337469</v>
      </c>
      <c r="V13">
        <f>U13/SQRT(Y$6)</f>
        <v>0.23454341818808444</v>
      </c>
      <c r="X13" t="s">
        <v>200</v>
      </c>
      <c r="Y13" s="627" t="e">
        <f ca="1">1-NORMSDIST(Y12)</f>
        <v>#NAME?</v>
      </c>
    </row>
    <row r="14" spans="1:25">
      <c r="A14" s="109">
        <v>45</v>
      </c>
      <c r="B14" s="109" t="e">
        <f ca="1"/>
        <v>#NAME?</v>
      </c>
      <c r="D14" t="s">
        <v>142</v>
      </c>
      <c r="E14" s="627" t="e">
        <f ca="1">I11</f>
        <v>#NAME?</v>
      </c>
      <c r="L14" s="1020">
        <f t="shared" si="2"/>
        <v>11</v>
      </c>
      <c r="M14" s="1020">
        <v>45</v>
      </c>
      <c r="N14" s="1020" t="e">
        <f ca="1"/>
        <v>#NAME?</v>
      </c>
      <c r="O14" t="e">
        <f ca="1">[1]!swcoeff(L$15,L14)</f>
        <v>#NAME?</v>
      </c>
      <c r="R14" s="1025">
        <f t="shared" si="3"/>
        <v>11</v>
      </c>
      <c r="S14" s="1025">
        <v>45</v>
      </c>
      <c r="T14" s="1025" t="e">
        <f ca="1"/>
        <v>#NAME?</v>
      </c>
      <c r="U14" s="1025">
        <f t="shared" si="1"/>
        <v>1.1139372153566887</v>
      </c>
      <c r="V14">
        <f>-3.582633*Y4^5+5.682633*Y4^4-1.752461*Y4^3-0.293762*Y4^2+0.042981*Y4+U14/SQRT(Y5)</f>
        <v>0.33257798186090087</v>
      </c>
      <c r="X14" t="s">
        <v>337</v>
      </c>
      <c r="Y14" s="627">
        <v>0.05</v>
      </c>
    </row>
    <row r="15" spans="1:25" ht="16.2">
      <c r="A15" s="847">
        <v>58</v>
      </c>
      <c r="B15" s="847" t="e">
        <f ca="1"/>
        <v>#NAME?</v>
      </c>
      <c r="D15" t="s">
        <v>579</v>
      </c>
      <c r="E15" s="627" t="e">
        <f ca="1">E14^2/E13</f>
        <v>#NAME?</v>
      </c>
      <c r="L15" s="1021">
        <f t="shared" si="2"/>
        <v>12</v>
      </c>
      <c r="M15" s="1021">
        <v>58</v>
      </c>
      <c r="N15" s="1021" t="e">
        <f ca="1"/>
        <v>#NAME?</v>
      </c>
      <c r="O15" s="534" t="e">
        <f ca="1">[1]!swcoeff(L$15,L15)</f>
        <v>#NAME?</v>
      </c>
      <c r="R15" s="1026">
        <f t="shared" si="3"/>
        <v>12</v>
      </c>
      <c r="S15" s="1026">
        <v>58</v>
      </c>
      <c r="T15" s="1026" t="e">
        <f ca="1"/>
        <v>#NAME?</v>
      </c>
      <c r="U15" s="1026">
        <f t="shared" si="1"/>
        <v>1.6350392668017109</v>
      </c>
      <c r="V15" s="534">
        <f>-2.70605*Y4^5+4.434685*Y4^4-2.07119*Y4^3-0.147981*Y4^2+0.221157*Y4+U15/SQRT(Y5)</f>
        <v>0.54743363806786371</v>
      </c>
      <c r="X15" t="s">
        <v>202</v>
      </c>
      <c r="Y15" s="538" t="e">
        <f ca="1">IF(Y13&lt;=Y14,"yes","no")</f>
        <v>#NAME?</v>
      </c>
    </row>
    <row r="16" spans="1:25">
      <c r="D16">
        <v>0.5</v>
      </c>
      <c r="E16" s="627">
        <f>'SW Table'!F44</f>
        <v>0.94299999999999995</v>
      </c>
      <c r="U16" s="1025"/>
    </row>
    <row r="17" spans="4:22">
      <c r="D17">
        <v>0.9</v>
      </c>
      <c r="E17" s="627">
        <f>'SW Table'!G44</f>
        <v>0.97299999999999998</v>
      </c>
      <c r="L17" t="s">
        <v>1513</v>
      </c>
      <c r="M17" s="929" t="e">
        <f ca="1">[1]!Shapiro(M4:M15)</f>
        <v>#NAME?</v>
      </c>
      <c r="P17" s="23"/>
      <c r="V17" s="8"/>
    </row>
    <row r="18" spans="4:22">
      <c r="D18" t="s">
        <v>200</v>
      </c>
      <c r="E18" s="544" t="e">
        <f ca="1">D17-(D17-D16)*(E17-E15)/(E17-E16)</f>
        <v>#NAME?</v>
      </c>
      <c r="L18" t="s">
        <v>200</v>
      </c>
      <c r="M18" s="627" t="e">
        <f ca="1">[1]!swtest(M4:M15)</f>
        <v>#NAME?</v>
      </c>
    </row>
    <row r="19" spans="4:22">
      <c r="L19" t="s">
        <v>337</v>
      </c>
      <c r="M19" s="627">
        <v>0.05</v>
      </c>
    </row>
    <row r="20" spans="4:22">
      <c r="L20" t="s">
        <v>202</v>
      </c>
      <c r="M20" s="538" t="e">
        <f ca="1">IF(M18&lt;=M19,"yes","no")</f>
        <v>#NAME?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>
  <sheetPr codeName="Sheet72"/>
  <dimension ref="A1:R47"/>
  <sheetViews>
    <sheetView workbookViewId="0"/>
  </sheetViews>
  <sheetFormatPr defaultRowHeight="14.4"/>
  <cols>
    <col min="5" max="5" width="6.44140625" customWidth="1"/>
    <col min="10" max="10" width="10.88671875" customWidth="1"/>
  </cols>
  <sheetData>
    <row r="1" spans="1:18">
      <c r="A1" s="1" t="s">
        <v>3971</v>
      </c>
      <c r="C1" s="1"/>
      <c r="O1" s="1" t="s">
        <v>2580</v>
      </c>
    </row>
    <row r="3" spans="1:18">
      <c r="A3" s="822" t="s">
        <v>211</v>
      </c>
      <c r="C3" t="s">
        <v>106</v>
      </c>
      <c r="D3" s="756">
        <f>COUNT(A4:A18)</f>
        <v>15</v>
      </c>
      <c r="J3" t="s">
        <v>2677</v>
      </c>
      <c r="O3" s="961" t="s">
        <v>211</v>
      </c>
      <c r="Q3" t="s">
        <v>2677</v>
      </c>
    </row>
    <row r="4" spans="1:18">
      <c r="A4" s="192">
        <v>1.2</v>
      </c>
      <c r="G4" s="19" t="s">
        <v>2014</v>
      </c>
      <c r="H4" s="19" t="s">
        <v>2028</v>
      </c>
      <c r="O4" s="192">
        <v>7.6</v>
      </c>
    </row>
    <row r="5" spans="1:18">
      <c r="A5" s="192">
        <v>1.6</v>
      </c>
      <c r="C5" t="s">
        <v>302</v>
      </c>
      <c r="D5" s="189">
        <f>'SW Table'!O6</f>
        <v>0.51500000000000001</v>
      </c>
      <c r="F5" t="s">
        <v>600</v>
      </c>
      <c r="G5" s="871">
        <f>A18-A4</f>
        <v>6.3999999999999995</v>
      </c>
      <c r="H5" s="866">
        <f t="shared" ref="H5:H10" si="0">D5*G5</f>
        <v>3.2959999999999998</v>
      </c>
      <c r="J5" t="s">
        <v>2104</v>
      </c>
      <c r="K5" s="929" t="e">
        <f ca="1">[1]!Shapiro(A4:A18,FALSE)</f>
        <v>#NAME?</v>
      </c>
      <c r="O5" s="192">
        <v>1.6</v>
      </c>
      <c r="Q5" t="s">
        <v>2104</v>
      </c>
      <c r="R5" s="929" t="e">
        <f ca="1">[1]!Shapiro(O4:O18, FALSE)</f>
        <v>#NAME?</v>
      </c>
    </row>
    <row r="6" spans="1:18">
      <c r="A6" s="192">
        <v>1.7</v>
      </c>
      <c r="C6" t="s">
        <v>303</v>
      </c>
      <c r="D6" s="190">
        <f>'SW Table'!O7</f>
        <v>0.3306</v>
      </c>
      <c r="F6" t="s">
        <v>601</v>
      </c>
      <c r="G6" s="872">
        <f>A17-A5</f>
        <v>5</v>
      </c>
      <c r="H6" s="657">
        <f t="shared" si="0"/>
        <v>1.653</v>
      </c>
      <c r="J6" t="s">
        <v>2105</v>
      </c>
      <c r="K6" s="627" t="e">
        <f ca="1">[1]!swtest(A4:A18,FALSE)</f>
        <v>#NAME?</v>
      </c>
      <c r="O6" s="192">
        <v>1.8</v>
      </c>
      <c r="Q6" t="s">
        <v>2105</v>
      </c>
      <c r="R6" s="544" t="e">
        <f ca="1">[1]!swtest(O4:O18,FALSE)</f>
        <v>#NAME?</v>
      </c>
    </row>
    <row r="7" spans="1:18">
      <c r="A7" s="192">
        <v>1.8</v>
      </c>
      <c r="C7" t="s">
        <v>304</v>
      </c>
      <c r="D7" s="190">
        <f>'SW Table'!O8</f>
        <v>0.2495</v>
      </c>
      <c r="F7" t="s">
        <v>602</v>
      </c>
      <c r="G7" s="872">
        <f>A16-A6</f>
        <v>3.8999999999999995</v>
      </c>
      <c r="H7" s="657">
        <f t="shared" si="0"/>
        <v>0.97304999999999986</v>
      </c>
      <c r="J7" t="s">
        <v>2111</v>
      </c>
      <c r="K7" s="544" t="e">
        <f ca="1">[1]!SWPROB(D3,D16)</f>
        <v>#NAME?</v>
      </c>
      <c r="O7" s="192">
        <v>4</v>
      </c>
    </row>
    <row r="8" spans="1:18">
      <c r="A8" s="192">
        <v>1.9</v>
      </c>
      <c r="C8" t="s">
        <v>305</v>
      </c>
      <c r="D8" s="190">
        <f>'SW Table'!O9</f>
        <v>0.18779999999999999</v>
      </c>
      <c r="F8" t="s">
        <v>603</v>
      </c>
      <c r="G8" s="872">
        <f>A15-A7</f>
        <v>3</v>
      </c>
      <c r="H8" s="657">
        <f t="shared" si="0"/>
        <v>0.56340000000000001</v>
      </c>
      <c r="O8" s="192">
        <v>1.9</v>
      </c>
    </row>
    <row r="9" spans="1:18">
      <c r="A9" s="192">
        <v>2</v>
      </c>
      <c r="C9" t="s">
        <v>306</v>
      </c>
      <c r="D9" s="190">
        <f>'SW Table'!O10</f>
        <v>0.1353</v>
      </c>
      <c r="F9" t="s">
        <v>604</v>
      </c>
      <c r="G9" s="872">
        <f>A14-A8</f>
        <v>2.1</v>
      </c>
      <c r="H9" s="657">
        <f t="shared" si="0"/>
        <v>0.28412999999999999</v>
      </c>
      <c r="O9" s="192">
        <v>2</v>
      </c>
    </row>
    <row r="10" spans="1:18">
      <c r="A10" s="192">
        <v>2.2000000000000002</v>
      </c>
      <c r="C10" t="s">
        <v>307</v>
      </c>
      <c r="D10" s="190">
        <f>'SW Table'!O11</f>
        <v>8.7999999999999995E-2</v>
      </c>
      <c r="F10" t="s">
        <v>605</v>
      </c>
      <c r="G10" s="872">
        <f>A13-A9</f>
        <v>1.5</v>
      </c>
      <c r="H10" s="657">
        <f t="shared" si="0"/>
        <v>0.13200000000000001</v>
      </c>
      <c r="O10" s="192">
        <v>2.6</v>
      </c>
    </row>
    <row r="11" spans="1:18">
      <c r="A11" s="192">
        <v>2.6</v>
      </c>
      <c r="C11" t="s">
        <v>308</v>
      </c>
      <c r="D11" s="191">
        <f>'SW Table'!O12</f>
        <v>4.3299999999999998E-2</v>
      </c>
      <c r="F11" t="s">
        <v>606</v>
      </c>
      <c r="G11" s="51">
        <f>A12-A10</f>
        <v>0.79999999999999982</v>
      </c>
      <c r="H11" s="12">
        <f>D11*G11</f>
        <v>3.463999999999999E-2</v>
      </c>
      <c r="O11" s="192">
        <v>2.2000000000000002</v>
      </c>
    </row>
    <row r="12" spans="1:18">
      <c r="A12" s="192">
        <v>3</v>
      </c>
      <c r="H12" s="66">
        <f>SUM(H5:H11)</f>
        <v>6.9362199999999987</v>
      </c>
      <c r="O12" s="192">
        <v>3</v>
      </c>
    </row>
    <row r="13" spans="1:18">
      <c r="A13" s="192">
        <v>3.5</v>
      </c>
      <c r="O13" s="192">
        <v>3.5</v>
      </c>
    </row>
    <row r="14" spans="1:18">
      <c r="A14" s="192">
        <v>4</v>
      </c>
      <c r="C14" t="s">
        <v>578</v>
      </c>
      <c r="D14" s="929">
        <f>DEVSQ(A4:A18)</f>
        <v>54.975999999999999</v>
      </c>
      <c r="O14" s="192">
        <v>1.7</v>
      </c>
    </row>
    <row r="15" spans="1:18">
      <c r="A15" s="192">
        <v>4.8</v>
      </c>
      <c r="C15" t="s">
        <v>142</v>
      </c>
      <c r="D15" s="627">
        <f>H12</f>
        <v>6.9362199999999987</v>
      </c>
      <c r="O15" s="192">
        <v>4.8</v>
      </c>
    </row>
    <row r="16" spans="1:18" ht="16.2">
      <c r="A16" s="192">
        <v>5.6</v>
      </c>
      <c r="C16" t="s">
        <v>579</v>
      </c>
      <c r="D16" s="627">
        <f>D15^2/D14</f>
        <v>0.87513001834254922</v>
      </c>
      <c r="O16" s="192">
        <v>5.6</v>
      </c>
    </row>
    <row r="17" spans="1:15">
      <c r="A17" s="192">
        <v>6.6</v>
      </c>
      <c r="C17">
        <v>0.02</v>
      </c>
      <c r="D17" s="627">
        <f>'SW Table'!C47</f>
        <v>0.85499999999999998</v>
      </c>
      <c r="O17" s="192">
        <v>6.6</v>
      </c>
    </row>
    <row r="18" spans="1:15">
      <c r="A18" s="870">
        <v>7.6</v>
      </c>
      <c r="C18">
        <v>0.05</v>
      </c>
      <c r="D18" s="627">
        <f>'SW Table'!D47</f>
        <v>0.88100000000000001</v>
      </c>
      <c r="O18" s="870">
        <v>1.2</v>
      </c>
    </row>
    <row r="19" spans="1:15">
      <c r="C19" t="s">
        <v>200</v>
      </c>
      <c r="D19" s="627">
        <f>C18-(C18-C17)*(D18-D16)/(D18-D17)</f>
        <v>4.3226944241402949E-2</v>
      </c>
    </row>
    <row r="20" spans="1:15">
      <c r="C20" t="s">
        <v>337</v>
      </c>
      <c r="D20" s="627">
        <v>0.05</v>
      </c>
    </row>
    <row r="21" spans="1:15">
      <c r="C21" t="s">
        <v>202</v>
      </c>
      <c r="D21" s="538" t="str">
        <f>IF(D19&lt;=D20,"yes","no")</f>
        <v>yes</v>
      </c>
    </row>
    <row r="24" spans="1:15">
      <c r="A24" t="s">
        <v>2688</v>
      </c>
      <c r="I24" t="s">
        <v>2689</v>
      </c>
    </row>
    <row r="26" spans="1:15">
      <c r="A26" s="1019" t="s">
        <v>2662</v>
      </c>
      <c r="B26" s="1019" t="s">
        <v>211</v>
      </c>
      <c r="C26" s="1019" t="s">
        <v>580</v>
      </c>
      <c r="D26" s="1019" t="s">
        <v>2095</v>
      </c>
      <c r="J26" t="s">
        <v>2690</v>
      </c>
    </row>
    <row r="27" spans="1:15">
      <c r="A27" s="1020">
        <v>1</v>
      </c>
      <c r="B27" s="284">
        <f>A4</f>
        <v>1.2</v>
      </c>
      <c r="C27" s="1020" t="e">
        <f t="array" aca="1" ref="C27:C41" ca="1">[1]!QSORT(B27:B41)</f>
        <v>#NAME?</v>
      </c>
      <c r="D27" t="e">
        <f ca="1">[1]!swcoeff(A$41,A27)</f>
        <v>#NAME?</v>
      </c>
      <c r="J27" s="929" t="e">
        <f t="shared" ref="J27:J41" ca="1" si="1">C27*D27</f>
        <v>#NAME?</v>
      </c>
    </row>
    <row r="28" spans="1:15">
      <c r="A28" s="1020">
        <f>A27+1</f>
        <v>2</v>
      </c>
      <c r="B28" s="284">
        <f t="shared" ref="B28:B41" si="2">A5</f>
        <v>1.6</v>
      </c>
      <c r="C28" s="1020" t="e">
        <f ca="1"/>
        <v>#NAME?</v>
      </c>
      <c r="D28" t="e">
        <f ca="1">[1]!swcoeff(A$41,A28)</f>
        <v>#NAME?</v>
      </c>
      <c r="J28" s="627" t="e">
        <f t="shared" ca="1" si="1"/>
        <v>#NAME?</v>
      </c>
    </row>
    <row r="29" spans="1:15">
      <c r="A29" s="1020">
        <f t="shared" ref="A29:A38" si="3">A28+1</f>
        <v>3</v>
      </c>
      <c r="B29" s="284">
        <f t="shared" si="2"/>
        <v>1.7</v>
      </c>
      <c r="C29" s="1020" t="e">
        <f ca="1"/>
        <v>#NAME?</v>
      </c>
      <c r="D29" t="e">
        <f ca="1">[1]!swcoeff(A$41,A29)</f>
        <v>#NAME?</v>
      </c>
      <c r="J29" s="627" t="e">
        <f t="shared" ca="1" si="1"/>
        <v>#NAME?</v>
      </c>
    </row>
    <row r="30" spans="1:15">
      <c r="A30" s="1020">
        <f t="shared" si="3"/>
        <v>4</v>
      </c>
      <c r="B30" s="284">
        <f t="shared" si="2"/>
        <v>1.8</v>
      </c>
      <c r="C30" s="1020" t="e">
        <f ca="1"/>
        <v>#NAME?</v>
      </c>
      <c r="D30" t="e">
        <f ca="1">[1]!swcoeff(A$41,A30)</f>
        <v>#NAME?</v>
      </c>
      <c r="J30" s="627" t="e">
        <f t="shared" ca="1" si="1"/>
        <v>#NAME?</v>
      </c>
    </row>
    <row r="31" spans="1:15">
      <c r="A31" s="1020">
        <f t="shared" si="3"/>
        <v>5</v>
      </c>
      <c r="B31" s="284">
        <f t="shared" si="2"/>
        <v>1.9</v>
      </c>
      <c r="C31" s="1020" t="e">
        <f ca="1"/>
        <v>#NAME?</v>
      </c>
      <c r="D31" t="e">
        <f ca="1">[1]!swcoeff(A$41,A31)</f>
        <v>#NAME?</v>
      </c>
      <c r="J31" s="627" t="e">
        <f t="shared" ca="1" si="1"/>
        <v>#NAME?</v>
      </c>
    </row>
    <row r="32" spans="1:15">
      <c r="A32" s="1020">
        <f t="shared" si="3"/>
        <v>6</v>
      </c>
      <c r="B32" s="284">
        <f t="shared" si="2"/>
        <v>2</v>
      </c>
      <c r="C32" s="1020" t="e">
        <f ca="1"/>
        <v>#NAME?</v>
      </c>
      <c r="D32" t="e">
        <f ca="1">[1]!swcoeff(A$41,A32)</f>
        <v>#NAME?</v>
      </c>
      <c r="J32" s="627" t="e">
        <f t="shared" ca="1" si="1"/>
        <v>#NAME?</v>
      </c>
    </row>
    <row r="33" spans="1:10">
      <c r="A33" s="1020">
        <f t="shared" si="3"/>
        <v>7</v>
      </c>
      <c r="B33" s="284">
        <f t="shared" si="2"/>
        <v>2.2000000000000002</v>
      </c>
      <c r="C33" s="1020" t="e">
        <f ca="1"/>
        <v>#NAME?</v>
      </c>
      <c r="D33" t="e">
        <f ca="1">[1]!swcoeff(A$41,A33)</f>
        <v>#NAME?</v>
      </c>
      <c r="J33" s="627" t="e">
        <f t="shared" ca="1" si="1"/>
        <v>#NAME?</v>
      </c>
    </row>
    <row r="34" spans="1:10">
      <c r="A34" s="1020">
        <f t="shared" si="3"/>
        <v>8</v>
      </c>
      <c r="B34" s="284">
        <f t="shared" si="2"/>
        <v>2.6</v>
      </c>
      <c r="C34" s="1020" t="e">
        <f ca="1"/>
        <v>#NAME?</v>
      </c>
      <c r="D34" t="e">
        <f ca="1">[1]!swcoeff(A$41,A34)</f>
        <v>#NAME?</v>
      </c>
      <c r="J34" s="627" t="e">
        <f t="shared" ca="1" si="1"/>
        <v>#NAME?</v>
      </c>
    </row>
    <row r="35" spans="1:10">
      <c r="A35" s="1020">
        <f t="shared" si="3"/>
        <v>9</v>
      </c>
      <c r="B35" s="284">
        <f t="shared" si="2"/>
        <v>3</v>
      </c>
      <c r="C35" s="1020" t="e">
        <f ca="1"/>
        <v>#NAME?</v>
      </c>
      <c r="D35" t="e">
        <f ca="1">[1]!swcoeff(A$41,A35)</f>
        <v>#NAME?</v>
      </c>
      <c r="J35" s="627" t="e">
        <f t="shared" ca="1" si="1"/>
        <v>#NAME?</v>
      </c>
    </row>
    <row r="36" spans="1:10">
      <c r="A36" s="1020">
        <f t="shared" si="3"/>
        <v>10</v>
      </c>
      <c r="B36" s="284">
        <f t="shared" si="2"/>
        <v>3.5</v>
      </c>
      <c r="C36" s="1020" t="e">
        <f ca="1"/>
        <v>#NAME?</v>
      </c>
      <c r="D36" t="e">
        <f ca="1">[1]!swcoeff(A$41,A36)</f>
        <v>#NAME?</v>
      </c>
      <c r="J36" s="627" t="e">
        <f t="shared" ca="1" si="1"/>
        <v>#NAME?</v>
      </c>
    </row>
    <row r="37" spans="1:10">
      <c r="A37" s="1020">
        <f t="shared" si="3"/>
        <v>11</v>
      </c>
      <c r="B37" s="284">
        <f t="shared" si="2"/>
        <v>4</v>
      </c>
      <c r="C37" s="1020" t="e">
        <f ca="1"/>
        <v>#NAME?</v>
      </c>
      <c r="D37" t="e">
        <f ca="1">[1]!swcoeff(A$41,A37)</f>
        <v>#NAME?</v>
      </c>
      <c r="J37" s="627" t="e">
        <f t="shared" ca="1" si="1"/>
        <v>#NAME?</v>
      </c>
    </row>
    <row r="38" spans="1:10">
      <c r="A38" s="1022">
        <f t="shared" si="3"/>
        <v>12</v>
      </c>
      <c r="B38" s="192">
        <f t="shared" si="2"/>
        <v>4.8</v>
      </c>
      <c r="C38" s="1022" t="e">
        <f ca="1"/>
        <v>#NAME?</v>
      </c>
      <c r="D38" t="e">
        <f ca="1">[1]!swcoeff(A$41,A38)</f>
        <v>#NAME?</v>
      </c>
      <c r="J38" s="627" t="e">
        <f t="shared" ca="1" si="1"/>
        <v>#NAME?</v>
      </c>
    </row>
    <row r="39" spans="1:10">
      <c r="A39" s="1022">
        <f>A38+1</f>
        <v>13</v>
      </c>
      <c r="B39" s="192">
        <f t="shared" si="2"/>
        <v>5.6</v>
      </c>
      <c r="C39" s="1022" t="e">
        <f ca="1"/>
        <v>#NAME?</v>
      </c>
      <c r="D39" t="e">
        <f ca="1">[1]!swcoeff(A$41,A39)</f>
        <v>#NAME?</v>
      </c>
      <c r="J39" s="627" t="e">
        <f t="shared" ca="1" si="1"/>
        <v>#NAME?</v>
      </c>
    </row>
    <row r="40" spans="1:10">
      <c r="A40" s="1022">
        <f>A39+1</f>
        <v>14</v>
      </c>
      <c r="B40" s="192">
        <f t="shared" si="2"/>
        <v>6.6</v>
      </c>
      <c r="C40" s="1022" t="e">
        <f ca="1"/>
        <v>#NAME?</v>
      </c>
      <c r="D40" t="e">
        <f ca="1">[1]!swcoeff(A$41,A40)</f>
        <v>#NAME?</v>
      </c>
      <c r="J40" s="627" t="e">
        <f t="shared" ca="1" si="1"/>
        <v>#NAME?</v>
      </c>
    </row>
    <row r="41" spans="1:10">
      <c r="A41" s="1021">
        <f>A40+1</f>
        <v>15</v>
      </c>
      <c r="B41" s="1021">
        <f t="shared" si="2"/>
        <v>7.6</v>
      </c>
      <c r="C41" s="1021" t="e">
        <f ca="1"/>
        <v>#NAME?</v>
      </c>
      <c r="D41" s="534" t="e">
        <f ca="1">[1]!swcoeff(A$41,A41)</f>
        <v>#NAME?</v>
      </c>
      <c r="J41" s="544" t="e">
        <f t="shared" ca="1" si="1"/>
        <v>#NAME?</v>
      </c>
    </row>
    <row r="42" spans="1:10">
      <c r="A42" s="1022"/>
      <c r="B42" s="284"/>
      <c r="C42" s="1022"/>
      <c r="D42" s="8"/>
      <c r="I42" t="s">
        <v>1500</v>
      </c>
      <c r="J42" t="e">
        <f ca="1">SUM(J27:J41)^2</f>
        <v>#NAME?</v>
      </c>
    </row>
    <row r="43" spans="1:10">
      <c r="I43" t="s">
        <v>1502</v>
      </c>
      <c r="J43">
        <f>DEVSQ(B27:B41)</f>
        <v>54.975999999999999</v>
      </c>
    </row>
    <row r="44" spans="1:10">
      <c r="A44" t="s">
        <v>1513</v>
      </c>
      <c r="B44" s="929" t="e">
        <f ca="1">CORREL(C27:C41,D27:D41)^2</f>
        <v>#NAME?</v>
      </c>
      <c r="D44" s="756" t="e">
        <f ca="1">[1]!Shapiro(B27:B41)</f>
        <v>#NAME?</v>
      </c>
      <c r="E44" s="23" t="s">
        <v>2678</v>
      </c>
      <c r="I44" t="s">
        <v>1513</v>
      </c>
      <c r="J44" s="756" t="e">
        <f ca="1">J42/J43</f>
        <v>#NAME?</v>
      </c>
    </row>
    <row r="45" spans="1:10">
      <c r="A45" t="s">
        <v>200</v>
      </c>
      <c r="B45" s="627" t="e">
        <f ca="1">[1]!swtest(B27:B41)</f>
        <v>#NAME?</v>
      </c>
    </row>
    <row r="46" spans="1:10">
      <c r="A46" t="s">
        <v>337</v>
      </c>
      <c r="B46" s="627">
        <v>0.05</v>
      </c>
    </row>
    <row r="47" spans="1:10">
      <c r="A47" t="s">
        <v>202</v>
      </c>
      <c r="B47" s="538" t="e">
        <f ca="1">IF(B45&lt;=B46,"yes","no")</f>
        <v>#NAME?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sheetPr codeName="Sheet242"/>
  <dimension ref="A1:T62"/>
  <sheetViews>
    <sheetView workbookViewId="0">
      <selection activeCell="U25" sqref="U25"/>
    </sheetView>
  </sheetViews>
  <sheetFormatPr defaultRowHeight="14.4"/>
  <cols>
    <col min="6" max="6" width="3.5546875" customWidth="1"/>
    <col min="12" max="12" width="3.5546875" customWidth="1"/>
  </cols>
  <sheetData>
    <row r="1" spans="1:20">
      <c r="A1" s="1" t="s">
        <v>3971</v>
      </c>
    </row>
    <row r="2" spans="1:20">
      <c r="G2" t="s">
        <v>2682</v>
      </c>
      <c r="M2" t="s">
        <v>699</v>
      </c>
      <c r="S2" s="1025" t="s">
        <v>211</v>
      </c>
      <c r="T2" s="1025" t="s">
        <v>2095</v>
      </c>
    </row>
    <row r="3" spans="1:20">
      <c r="A3" s="926">
        <v>8.4922377693316964</v>
      </c>
      <c r="B3" s="5">
        <v>8.1450105174162886</v>
      </c>
      <c r="C3" s="5">
        <v>3.539420519589588</v>
      </c>
      <c r="D3" s="5">
        <v>9.7523650912542141</v>
      </c>
      <c r="E3" s="927">
        <v>5.5249126109432565</v>
      </c>
      <c r="G3" s="926" t="e">
        <f t="array" aca="1" ref="G3:K14" ca="1">[1]!QSORT(A3:E14)</f>
        <v>#NAME?</v>
      </c>
      <c r="H3" s="5" t="e">
        <f ca="1"/>
        <v>#NAME?</v>
      </c>
      <c r="I3" s="5" t="e">
        <f ca="1"/>
        <v>#NAME?</v>
      </c>
      <c r="J3" s="5" t="e">
        <f ca="1"/>
        <v>#NAME?</v>
      </c>
      <c r="K3" s="927" t="e">
        <f ca="1"/>
        <v>#NAME?</v>
      </c>
      <c r="M3" s="926" t="e">
        <f ca="1">[1]!swcoeff($G$3:$K$14,G3)</f>
        <v>#NAME?</v>
      </c>
      <c r="N3" s="5" t="e">
        <f ca="1">[1]!swcoeff($G$3:$K$14,H3)</f>
        <v>#NAME?</v>
      </c>
      <c r="O3" s="5" t="e">
        <f ca="1">[1]!swcoeff($G$3:$K$14,I3)</f>
        <v>#NAME?</v>
      </c>
      <c r="P3" s="5" t="e">
        <f ca="1">[1]!swcoeff($G$3:$K$14,J3)</f>
        <v>#NAME?</v>
      </c>
      <c r="Q3" s="927" t="e">
        <f ca="1">[1]!swcoeff($G$3:$K$14,K3)</f>
        <v>#NAME?</v>
      </c>
      <c r="S3" s="929" t="e">
        <f t="array" aca="1" ref="S3:S62" ca="1">[1]!QSORT(A3:E14)</f>
        <v>#NAME?</v>
      </c>
      <c r="T3" s="929" t="e">
        <f ca="1">[1]!swcoeff(COUNT(S$3:S$62),ROW(S3)-ROW(S$3)+1)</f>
        <v>#NAME?</v>
      </c>
    </row>
    <row r="4" spans="1:20">
      <c r="A4" s="656">
        <v>6.2106962658196636</v>
      </c>
      <c r="B4" s="8">
        <v>5.4379833683016674</v>
      </c>
      <c r="C4" s="8">
        <v>3.9967154745588429E-2</v>
      </c>
      <c r="D4" s="8">
        <v>2.9373192731705253</v>
      </c>
      <c r="E4" s="657">
        <v>5.1962569330620525</v>
      </c>
      <c r="G4" s="656" t="e">
        <f ca="1"/>
        <v>#NAME?</v>
      </c>
      <c r="H4" s="8" t="e">
        <f ca="1"/>
        <v>#NAME?</v>
      </c>
      <c r="I4" s="8" t="e">
        <f ca="1"/>
        <v>#NAME?</v>
      </c>
      <c r="J4" s="8" t="e">
        <f ca="1"/>
        <v>#NAME?</v>
      </c>
      <c r="K4" s="657" t="e">
        <f ca="1"/>
        <v>#NAME?</v>
      </c>
      <c r="M4" s="656" t="e">
        <f ca="1">[1]!swcoeff($G$3:$K$14,G4)</f>
        <v>#NAME?</v>
      </c>
      <c r="N4" s="8" t="e">
        <f ca="1">[1]!swcoeff($G$3:$K$14,H4)</f>
        <v>#NAME?</v>
      </c>
      <c r="O4" s="8" t="e">
        <f ca="1">[1]!swcoeff($G$3:$K$14,I4)</f>
        <v>#NAME?</v>
      </c>
      <c r="P4" s="8" t="e">
        <f ca="1">[1]!swcoeff($G$3:$K$14,J4)</f>
        <v>#NAME?</v>
      </c>
      <c r="Q4" s="657" t="e">
        <f ca="1">[1]!swcoeff($G$3:$K$14,K4)</f>
        <v>#NAME?</v>
      </c>
      <c r="S4" s="627" t="e">
        <f ca="1"/>
        <v>#NAME?</v>
      </c>
      <c r="T4" s="627" t="e">
        <f ca="1">[1]!swcoeff(COUNT(S$3:S$62),ROW(S4)-ROW(S$3)+1)</f>
        <v>#NAME?</v>
      </c>
    </row>
    <row r="5" spans="1:20">
      <c r="A5" s="656">
        <v>7.9798122586520721</v>
      </c>
      <c r="B5" s="8">
        <v>0.69688819978291716</v>
      </c>
      <c r="C5" s="8">
        <v>8.5026264594764029</v>
      </c>
      <c r="D5" s="8">
        <v>7.7327562520013347</v>
      </c>
      <c r="E5" s="657">
        <v>1.8664950703863368</v>
      </c>
      <c r="G5" s="656" t="e">
        <f ca="1"/>
        <v>#NAME?</v>
      </c>
      <c r="H5" s="8" t="e">
        <f ca="1"/>
        <v>#NAME?</v>
      </c>
      <c r="I5" s="8" t="e">
        <f ca="1"/>
        <v>#NAME?</v>
      </c>
      <c r="J5" s="8" t="e">
        <f ca="1"/>
        <v>#NAME?</v>
      </c>
      <c r="K5" s="657" t="e">
        <f ca="1"/>
        <v>#NAME?</v>
      </c>
      <c r="M5" s="656" t="e">
        <f ca="1">[1]!swcoeff($G$3:$K$14,G5)</f>
        <v>#NAME?</v>
      </c>
      <c r="N5" s="8" t="e">
        <f ca="1">[1]!swcoeff($G$3:$K$14,H5)</f>
        <v>#NAME?</v>
      </c>
      <c r="O5" s="8" t="e">
        <f ca="1">[1]!swcoeff($G$3:$K$14,I5)</f>
        <v>#NAME?</v>
      </c>
      <c r="P5" s="8" t="e">
        <f ca="1">[1]!swcoeff($G$3:$K$14,J5)</f>
        <v>#NAME?</v>
      </c>
      <c r="Q5" s="657" t="e">
        <f ca="1">[1]!swcoeff($G$3:$K$14,K5)</f>
        <v>#NAME?</v>
      </c>
      <c r="S5" s="627" t="e">
        <f ca="1"/>
        <v>#NAME?</v>
      </c>
      <c r="T5" s="627" t="e">
        <f ca="1">[1]!swcoeff(COUNT(S$3:S$62),ROW(S5)-ROW(S$3)+1)</f>
        <v>#NAME?</v>
      </c>
    </row>
    <row r="6" spans="1:20">
      <c r="A6" s="656">
        <v>4.0754988108121246</v>
      </c>
      <c r="B6" s="8">
        <v>2.958657355861213</v>
      </c>
      <c r="C6" s="8">
        <v>8.6870703312754252</v>
      </c>
      <c r="D6" s="8">
        <v>3.3216043809734073</v>
      </c>
      <c r="E6" s="657">
        <v>0.7009516364142806</v>
      </c>
      <c r="G6" s="656" t="e">
        <f ca="1"/>
        <v>#NAME?</v>
      </c>
      <c r="H6" s="8" t="e">
        <f ca="1"/>
        <v>#NAME?</v>
      </c>
      <c r="I6" s="8" t="e">
        <f ca="1"/>
        <v>#NAME?</v>
      </c>
      <c r="J6" s="8" t="e">
        <f ca="1"/>
        <v>#NAME?</v>
      </c>
      <c r="K6" s="657" t="e">
        <f ca="1"/>
        <v>#NAME?</v>
      </c>
      <c r="M6" s="656" t="e">
        <f ca="1">[1]!swcoeff($G$3:$K$14,G6)</f>
        <v>#NAME?</v>
      </c>
      <c r="N6" s="8" t="e">
        <f ca="1">[1]!swcoeff($G$3:$K$14,H6)</f>
        <v>#NAME?</v>
      </c>
      <c r="O6" s="8" t="e">
        <f ca="1">[1]!swcoeff($G$3:$K$14,I6)</f>
        <v>#NAME?</v>
      </c>
      <c r="P6" s="8" t="e">
        <f ca="1">[1]!swcoeff($G$3:$K$14,J6)</f>
        <v>#NAME?</v>
      </c>
      <c r="Q6" s="657" t="e">
        <f ca="1">[1]!swcoeff($G$3:$K$14,K6)</f>
        <v>#NAME?</v>
      </c>
      <c r="S6" s="627" t="e">
        <f ca="1"/>
        <v>#NAME?</v>
      </c>
      <c r="T6" s="627" t="e">
        <f ca="1">[1]!swcoeff(COUNT(S$3:S$62),ROW(S6)-ROW(S$3)+1)</f>
        <v>#NAME?</v>
      </c>
    </row>
    <row r="7" spans="1:20">
      <c r="A7" s="656">
        <v>9.6155765567075289</v>
      </c>
      <c r="B7" s="8">
        <v>9.7960249046247032</v>
      </c>
      <c r="C7" s="8">
        <v>6.1175948069449211</v>
      </c>
      <c r="D7" s="8">
        <v>2.3249947726383962</v>
      </c>
      <c r="E7" s="657">
        <v>5.8490040774692229</v>
      </c>
      <c r="G7" s="656" t="e">
        <f ca="1"/>
        <v>#NAME?</v>
      </c>
      <c r="H7" s="8" t="e">
        <f ca="1"/>
        <v>#NAME?</v>
      </c>
      <c r="I7" s="8" t="e">
        <f ca="1"/>
        <v>#NAME?</v>
      </c>
      <c r="J7" s="8" t="e">
        <f ca="1"/>
        <v>#NAME?</v>
      </c>
      <c r="K7" s="657" t="e">
        <f ca="1"/>
        <v>#NAME?</v>
      </c>
      <c r="M7" s="656" t="e">
        <f ca="1">[1]!swcoeff($G$3:$K$14,G7)</f>
        <v>#NAME?</v>
      </c>
      <c r="N7" s="8" t="e">
        <f ca="1">[1]!swcoeff($G$3:$K$14,H7)</f>
        <v>#NAME?</v>
      </c>
      <c r="O7" s="8" t="e">
        <f ca="1">[1]!swcoeff($G$3:$K$14,I7)</f>
        <v>#NAME?</v>
      </c>
      <c r="P7" s="8" t="e">
        <f ca="1">[1]!swcoeff($G$3:$K$14,J7)</f>
        <v>#NAME?</v>
      </c>
      <c r="Q7" s="657" t="e">
        <f ca="1">[1]!swcoeff($G$3:$K$14,K7)</f>
        <v>#NAME?</v>
      </c>
      <c r="S7" s="627" t="e">
        <f ca="1"/>
        <v>#NAME?</v>
      </c>
      <c r="T7" s="627" t="e">
        <f ca="1">[1]!swcoeff(COUNT(S$3:S$62),ROW(S7)-ROW(S$3)+1)</f>
        <v>#NAME?</v>
      </c>
    </row>
    <row r="8" spans="1:20">
      <c r="A8" s="656">
        <v>8.722007923503778</v>
      </c>
      <c r="B8" s="8">
        <v>9.8253870894335069</v>
      </c>
      <c r="C8" s="8">
        <v>4.317177824423295</v>
      </c>
      <c r="D8" s="8">
        <v>3.3540912361714339</v>
      </c>
      <c r="E8" s="657">
        <v>7.6090535575503342</v>
      </c>
      <c r="G8" s="656" t="e">
        <f ca="1"/>
        <v>#NAME?</v>
      </c>
      <c r="H8" s="8" t="e">
        <f ca="1"/>
        <v>#NAME?</v>
      </c>
      <c r="I8" s="8" t="e">
        <f ca="1"/>
        <v>#NAME?</v>
      </c>
      <c r="J8" s="8" t="e">
        <f ca="1"/>
        <v>#NAME?</v>
      </c>
      <c r="K8" s="657" t="e">
        <f ca="1"/>
        <v>#NAME?</v>
      </c>
      <c r="M8" s="656" t="e">
        <f ca="1">[1]!swcoeff($G$3:$K$14,G8)</f>
        <v>#NAME?</v>
      </c>
      <c r="N8" s="8" t="e">
        <f ca="1">[1]!swcoeff($G$3:$K$14,H8)</f>
        <v>#NAME?</v>
      </c>
      <c r="O8" s="8" t="e">
        <f ca="1">[1]!swcoeff($G$3:$K$14,I8)</f>
        <v>#NAME?</v>
      </c>
      <c r="P8" s="8" t="e">
        <f ca="1">[1]!swcoeff($G$3:$K$14,J8)</f>
        <v>#NAME?</v>
      </c>
      <c r="Q8" s="657" t="e">
        <f ca="1">[1]!swcoeff($G$3:$K$14,K8)</f>
        <v>#NAME?</v>
      </c>
      <c r="S8" s="627" t="e">
        <f ca="1"/>
        <v>#NAME?</v>
      </c>
      <c r="T8" s="627" t="e">
        <f ca="1">[1]!swcoeff(COUNT(S$3:S$62),ROW(S8)-ROW(S$3)+1)</f>
        <v>#NAME?</v>
      </c>
    </row>
    <row r="9" spans="1:20">
      <c r="A9" s="656">
        <v>1.1968857743394818</v>
      </c>
      <c r="B9" s="8">
        <v>5.7666368492506228</v>
      </c>
      <c r="C9" s="8">
        <v>1.6615082716212748</v>
      </c>
      <c r="D9" s="8">
        <v>4.1386181977472392</v>
      </c>
      <c r="E9" s="657">
        <v>7.2904177928907528</v>
      </c>
      <c r="G9" s="656" t="e">
        <f ca="1"/>
        <v>#NAME?</v>
      </c>
      <c r="H9" s="8" t="e">
        <f ca="1"/>
        <v>#NAME?</v>
      </c>
      <c r="I9" s="8" t="e">
        <f ca="1"/>
        <v>#NAME?</v>
      </c>
      <c r="J9" s="8" t="e">
        <f ca="1"/>
        <v>#NAME?</v>
      </c>
      <c r="K9" s="657" t="e">
        <f ca="1"/>
        <v>#NAME?</v>
      </c>
      <c r="M9" s="656" t="e">
        <f ca="1">[1]!swcoeff($G$3:$K$14,G9)</f>
        <v>#NAME?</v>
      </c>
      <c r="N9" s="8" t="e">
        <f ca="1">[1]!swcoeff($G$3:$K$14,H9)</f>
        <v>#NAME?</v>
      </c>
      <c r="O9" s="8" t="e">
        <f ca="1">[1]!swcoeff($G$3:$K$14,I9)</f>
        <v>#NAME?</v>
      </c>
      <c r="P9" s="8" t="e">
        <f ca="1">[1]!swcoeff($G$3:$K$14,J9)</f>
        <v>#NAME?</v>
      </c>
      <c r="Q9" s="657" t="e">
        <f ca="1">[1]!swcoeff($G$3:$K$14,K9)</f>
        <v>#NAME?</v>
      </c>
      <c r="S9" s="627" t="e">
        <f ca="1"/>
        <v>#NAME?</v>
      </c>
      <c r="T9" s="627" t="e">
        <f ca="1">[1]!swcoeff(COUNT(S$3:S$62),ROW(S9)-ROW(S$3)+1)</f>
        <v>#NAME?</v>
      </c>
    </row>
    <row r="10" spans="1:20">
      <c r="A10" s="656">
        <v>4.0959572071492554</v>
      </c>
      <c r="B10" s="8">
        <v>3.0440767331371434</v>
      </c>
      <c r="C10" s="8">
        <v>6.4735279685765317</v>
      </c>
      <c r="D10" s="8">
        <v>4.461341517973799</v>
      </c>
      <c r="E10" s="657">
        <v>2.1808557316006985</v>
      </c>
      <c r="G10" s="656" t="e">
        <f ca="1"/>
        <v>#NAME?</v>
      </c>
      <c r="H10" s="8" t="e">
        <f ca="1"/>
        <v>#NAME?</v>
      </c>
      <c r="I10" s="8" t="e">
        <f ca="1"/>
        <v>#NAME?</v>
      </c>
      <c r="J10" s="8" t="e">
        <f ca="1"/>
        <v>#NAME?</v>
      </c>
      <c r="K10" s="657" t="e">
        <f ca="1"/>
        <v>#NAME?</v>
      </c>
      <c r="M10" s="656" t="e">
        <f ca="1">[1]!swcoeff($G$3:$K$14,G10)</f>
        <v>#NAME?</v>
      </c>
      <c r="N10" s="8" t="e">
        <f ca="1">[1]!swcoeff($G$3:$K$14,H10)</f>
        <v>#NAME?</v>
      </c>
      <c r="O10" s="8" t="e">
        <f ca="1">[1]!swcoeff($G$3:$K$14,I10)</f>
        <v>#NAME?</v>
      </c>
      <c r="P10" s="8" t="e">
        <f ca="1">[1]!swcoeff($G$3:$K$14,J10)</f>
        <v>#NAME?</v>
      </c>
      <c r="Q10" s="657" t="e">
        <f ca="1">[1]!swcoeff($G$3:$K$14,K10)</f>
        <v>#NAME?</v>
      </c>
      <c r="S10" s="627" t="e">
        <f ca="1"/>
        <v>#NAME?</v>
      </c>
      <c r="T10" s="627" t="e">
        <f ca="1">[1]!swcoeff(COUNT(S$3:S$62),ROW(S10)-ROW(S$3)+1)</f>
        <v>#NAME?</v>
      </c>
    </row>
    <row r="11" spans="1:20">
      <c r="A11" s="656">
        <v>6.5437336708753886</v>
      </c>
      <c r="B11" s="8">
        <v>1.4176671462803938</v>
      </c>
      <c r="C11" s="8">
        <v>4.1482044465393955</v>
      </c>
      <c r="D11" s="8">
        <v>9.2563448253712313</v>
      </c>
      <c r="E11" s="657">
        <v>1.1030204573941278</v>
      </c>
      <c r="G11" s="656" t="e">
        <f ca="1"/>
        <v>#NAME?</v>
      </c>
      <c r="H11" s="8" t="e">
        <f ca="1"/>
        <v>#NAME?</v>
      </c>
      <c r="I11" s="8" t="e">
        <f ca="1"/>
        <v>#NAME?</v>
      </c>
      <c r="J11" s="8" t="e">
        <f ca="1"/>
        <v>#NAME?</v>
      </c>
      <c r="K11" s="657" t="e">
        <f ca="1"/>
        <v>#NAME?</v>
      </c>
      <c r="M11" s="656" t="e">
        <f ca="1">[1]!swcoeff($G$3:$K$14,G11)</f>
        <v>#NAME?</v>
      </c>
      <c r="N11" s="8" t="e">
        <f ca="1">[1]!swcoeff($G$3:$K$14,H11)</f>
        <v>#NAME?</v>
      </c>
      <c r="O11" s="8" t="e">
        <f ca="1">[1]!swcoeff($G$3:$K$14,I11)</f>
        <v>#NAME?</v>
      </c>
      <c r="P11" s="8" t="e">
        <f ca="1">[1]!swcoeff($G$3:$K$14,J11)</f>
        <v>#NAME?</v>
      </c>
      <c r="Q11" s="657" t="e">
        <f ca="1">[1]!swcoeff($G$3:$K$14,K11)</f>
        <v>#NAME?</v>
      </c>
      <c r="S11" s="627" t="e">
        <f ca="1"/>
        <v>#NAME?</v>
      </c>
      <c r="T11" s="627" t="e">
        <f ca="1">[1]!swcoeff(COUNT(S$3:S$62),ROW(S11)-ROW(S$3)+1)</f>
        <v>#NAME?</v>
      </c>
    </row>
    <row r="12" spans="1:20">
      <c r="A12" s="656">
        <v>0.21365848719560543</v>
      </c>
      <c r="B12" s="8">
        <v>8.6327529653695958</v>
      </c>
      <c r="C12" s="8">
        <v>4.899529907523327</v>
      </c>
      <c r="D12" s="8">
        <v>0.32671133568747546</v>
      </c>
      <c r="E12" s="657">
        <v>4.9028360182533355</v>
      </c>
      <c r="G12" s="656" t="e">
        <f ca="1"/>
        <v>#NAME?</v>
      </c>
      <c r="H12" s="8" t="e">
        <f ca="1"/>
        <v>#NAME?</v>
      </c>
      <c r="I12" s="8" t="e">
        <f ca="1"/>
        <v>#NAME?</v>
      </c>
      <c r="J12" s="8" t="e">
        <f ca="1"/>
        <v>#NAME?</v>
      </c>
      <c r="K12" s="657" t="e">
        <f ca="1"/>
        <v>#NAME?</v>
      </c>
      <c r="M12" s="656" t="e">
        <f ca="1">[1]!swcoeff($G$3:$K$14,G12)</f>
        <v>#NAME?</v>
      </c>
      <c r="N12" s="8" t="e">
        <f ca="1">[1]!swcoeff($G$3:$K$14,H12)</f>
        <v>#NAME?</v>
      </c>
      <c r="O12" s="8" t="e">
        <f ca="1">[1]!swcoeff($G$3:$K$14,I12)</f>
        <v>#NAME?</v>
      </c>
      <c r="P12" s="8" t="e">
        <f ca="1">[1]!swcoeff($G$3:$K$14,J12)</f>
        <v>#NAME?</v>
      </c>
      <c r="Q12" s="657" t="e">
        <f ca="1">[1]!swcoeff($G$3:$K$14,K12)</f>
        <v>#NAME?</v>
      </c>
      <c r="S12" s="627" t="e">
        <f ca="1"/>
        <v>#NAME?</v>
      </c>
      <c r="T12" s="627" t="e">
        <f ca="1">[1]!swcoeff(COUNT(S$3:S$62),ROW(S12)-ROW(S$3)+1)</f>
        <v>#NAME?</v>
      </c>
    </row>
    <row r="13" spans="1:20">
      <c r="A13" s="656">
        <v>6.4705979551964266</v>
      </c>
      <c r="B13" s="8">
        <v>9.6673079922825966</v>
      </c>
      <c r="C13" s="8">
        <v>5.8290295249808972</v>
      </c>
      <c r="D13" s="8">
        <v>6.7032393775960069</v>
      </c>
      <c r="E13" s="657">
        <v>9.2365577500628184</v>
      </c>
      <c r="G13" s="656" t="e">
        <f ca="1"/>
        <v>#NAME?</v>
      </c>
      <c r="H13" s="8" t="e">
        <f ca="1"/>
        <v>#NAME?</v>
      </c>
      <c r="I13" s="8" t="e">
        <f ca="1"/>
        <v>#NAME?</v>
      </c>
      <c r="J13" s="8" t="e">
        <f ca="1"/>
        <v>#NAME?</v>
      </c>
      <c r="K13" s="657" t="e">
        <f ca="1"/>
        <v>#NAME?</v>
      </c>
      <c r="M13" s="656" t="e">
        <f ca="1">[1]!swcoeff($G$3:$K$14,G13)</f>
        <v>#NAME?</v>
      </c>
      <c r="N13" s="8" t="e">
        <f ca="1">[1]!swcoeff($G$3:$K$14,H13)</f>
        <v>#NAME?</v>
      </c>
      <c r="O13" s="8" t="e">
        <f ca="1">[1]!swcoeff($G$3:$K$14,I13)</f>
        <v>#NAME?</v>
      </c>
      <c r="P13" s="8" t="e">
        <f ca="1">[1]!swcoeff($G$3:$K$14,J13)</f>
        <v>#NAME?</v>
      </c>
      <c r="Q13" s="657" t="e">
        <f ca="1">[1]!swcoeff($G$3:$K$14,K13)</f>
        <v>#NAME?</v>
      </c>
      <c r="S13" s="627" t="e">
        <f ca="1"/>
        <v>#NAME?</v>
      </c>
      <c r="T13" s="627" t="e">
        <f ca="1">[1]!swcoeff(COUNT(S$3:S$62),ROW(S13)-ROW(S$3)+1)</f>
        <v>#NAME?</v>
      </c>
    </row>
    <row r="14" spans="1:20">
      <c r="A14" s="533">
        <v>7.0283997114847727</v>
      </c>
      <c r="B14" s="534">
        <v>0.64210956074050918</v>
      </c>
      <c r="C14" s="534">
        <v>2.8450760284336107</v>
      </c>
      <c r="D14" s="534">
        <v>8.127618546471659</v>
      </c>
      <c r="E14" s="541">
        <v>7.5003870575851135</v>
      </c>
      <c r="G14" s="533" t="e">
        <f ca="1"/>
        <v>#NAME?</v>
      </c>
      <c r="H14" s="534" t="e">
        <f ca="1"/>
        <v>#NAME?</v>
      </c>
      <c r="I14" s="534" t="e">
        <f ca="1"/>
        <v>#NAME?</v>
      </c>
      <c r="J14" s="534" t="e">
        <f ca="1"/>
        <v>#NAME?</v>
      </c>
      <c r="K14" s="541" t="e">
        <f ca="1"/>
        <v>#NAME?</v>
      </c>
      <c r="M14" s="533" t="e">
        <f ca="1">[1]!swcoeff($G$3:$K$14,G14)</f>
        <v>#NAME?</v>
      </c>
      <c r="N14" s="534" t="e">
        <f ca="1">[1]!swcoeff($G$3:$K$14,H14)</f>
        <v>#NAME?</v>
      </c>
      <c r="O14" s="534" t="e">
        <f ca="1">[1]!swcoeff($G$3:$K$14,I14)</f>
        <v>#NAME?</v>
      </c>
      <c r="P14" s="534" t="e">
        <f ca="1">[1]!swcoeff($G$3:$K$14,J14)</f>
        <v>#NAME?</v>
      </c>
      <c r="Q14" s="541" t="e">
        <f ca="1">[1]!swcoeff($G$3:$K$14,K14)</f>
        <v>#NAME?</v>
      </c>
      <c r="S14" s="627" t="e">
        <f ca="1"/>
        <v>#NAME?</v>
      </c>
      <c r="T14" s="627" t="e">
        <f ca="1">[1]!swcoeff(COUNT(S$3:S$62),ROW(S14)-ROW(S$3)+1)</f>
        <v>#NAME?</v>
      </c>
    </row>
    <row r="15" spans="1:20">
      <c r="S15" s="627" t="e">
        <f ca="1"/>
        <v>#NAME?</v>
      </c>
      <c r="T15" s="627" t="e">
        <f ca="1">[1]!swcoeff(COUNT(S$3:S$62),ROW(S15)-ROW(S$3)+1)</f>
        <v>#NAME?</v>
      </c>
    </row>
    <row r="16" spans="1:20">
      <c r="S16" s="627" t="e">
        <f ca="1"/>
        <v>#NAME?</v>
      </c>
      <c r="T16" s="627" t="e">
        <f ca="1">[1]!swcoeff(COUNT(S$3:S$62),ROW(S16)-ROW(S$3)+1)</f>
        <v>#NAME?</v>
      </c>
    </row>
    <row r="17" spans="1:20">
      <c r="A17" t="s">
        <v>1513</v>
      </c>
      <c r="B17" s="929" t="e">
        <f ca="1">[1]!Shapiro(A3:E14)</f>
        <v>#NAME?</v>
      </c>
      <c r="C17" s="23" t="s">
        <v>2681</v>
      </c>
      <c r="S17" s="627" t="e">
        <f ca="1"/>
        <v>#NAME?</v>
      </c>
      <c r="T17" s="627" t="e">
        <f ca="1">[1]!swcoeff(COUNT(S$3:S$62),ROW(S17)-ROW(S$3)+1)</f>
        <v>#NAME?</v>
      </c>
    </row>
    <row r="18" spans="1:20">
      <c r="A18" t="s">
        <v>200</v>
      </c>
      <c r="B18" s="627" t="e">
        <f ca="1">[1]!swtest(A3:E14)</f>
        <v>#NAME?</v>
      </c>
      <c r="C18" s="23" t="s">
        <v>2680</v>
      </c>
      <c r="S18" s="627" t="e">
        <f ca="1"/>
        <v>#NAME?</v>
      </c>
      <c r="T18" s="627" t="e">
        <f ca="1">[1]!swcoeff(COUNT(S$3:S$62),ROW(S18)-ROW(S$3)+1)</f>
        <v>#NAME?</v>
      </c>
    </row>
    <row r="19" spans="1:20">
      <c r="A19" t="s">
        <v>337</v>
      </c>
      <c r="B19" s="627">
        <v>0.05</v>
      </c>
      <c r="S19" s="627" t="e">
        <f ca="1"/>
        <v>#NAME?</v>
      </c>
      <c r="T19" s="627" t="e">
        <f ca="1">[1]!swcoeff(COUNT(S$3:S$62),ROW(S19)-ROW(S$3)+1)</f>
        <v>#NAME?</v>
      </c>
    </row>
    <row r="20" spans="1:20">
      <c r="A20" t="s">
        <v>202</v>
      </c>
      <c r="B20" s="538" t="e">
        <f ca="1">IF(B18&lt;=B19,"yes","no")</f>
        <v>#NAME?</v>
      </c>
      <c r="C20" s="23" t="s">
        <v>2679</v>
      </c>
      <c r="S20" s="627" t="e">
        <f ca="1"/>
        <v>#NAME?</v>
      </c>
      <c r="T20" s="627" t="e">
        <f ca="1">[1]!swcoeff(COUNT(S$3:S$62),ROW(S20)-ROW(S$3)+1)</f>
        <v>#NAME?</v>
      </c>
    </row>
    <row r="21" spans="1:20">
      <c r="S21" s="627" t="e">
        <f ca="1"/>
        <v>#NAME?</v>
      </c>
      <c r="T21" s="627" t="e">
        <f ca="1">[1]!swcoeff(COUNT(S$3:S$62),ROW(S21)-ROW(S$3)+1)</f>
        <v>#NAME?</v>
      </c>
    </row>
    <row r="22" spans="1:20">
      <c r="S22" s="627" t="e">
        <f ca="1"/>
        <v>#NAME?</v>
      </c>
      <c r="T22" s="627" t="e">
        <f ca="1">[1]!swcoeff(COUNT(S$3:S$62),ROW(S22)-ROW(S$3)+1)</f>
        <v>#NAME?</v>
      </c>
    </row>
    <row r="23" spans="1:20">
      <c r="S23" s="627" t="e">
        <f ca="1"/>
        <v>#NAME?</v>
      </c>
      <c r="T23" s="627" t="e">
        <f ca="1">[1]!swcoeff(COUNT(S$3:S$62),ROW(S23)-ROW(S$3)+1)</f>
        <v>#NAME?</v>
      </c>
    </row>
    <row r="24" spans="1:20">
      <c r="S24" s="627" t="e">
        <f ca="1"/>
        <v>#NAME?</v>
      </c>
      <c r="T24" s="627" t="e">
        <f ca="1">[1]!swcoeff(COUNT(S$3:S$62),ROW(S24)-ROW(S$3)+1)</f>
        <v>#NAME?</v>
      </c>
    </row>
    <row r="25" spans="1:20">
      <c r="S25" s="627" t="e">
        <f ca="1"/>
        <v>#NAME?</v>
      </c>
      <c r="T25" s="627" t="e">
        <f ca="1">[1]!swcoeff(COUNT(S$3:S$62),ROW(S25)-ROW(S$3)+1)</f>
        <v>#NAME?</v>
      </c>
    </row>
    <row r="26" spans="1:20">
      <c r="S26" s="627" t="e">
        <f ca="1"/>
        <v>#NAME?</v>
      </c>
      <c r="T26" s="627" t="e">
        <f ca="1">[1]!swcoeff(COUNT(S$3:S$62),ROW(S26)-ROW(S$3)+1)</f>
        <v>#NAME?</v>
      </c>
    </row>
    <row r="27" spans="1:20">
      <c r="S27" s="627" t="e">
        <f ca="1"/>
        <v>#NAME?</v>
      </c>
      <c r="T27" s="627" t="e">
        <f ca="1">[1]!swcoeff(COUNT(S$3:S$62),ROW(S27)-ROW(S$3)+1)</f>
        <v>#NAME?</v>
      </c>
    </row>
    <row r="28" spans="1:20">
      <c r="S28" s="627" t="e">
        <f ca="1"/>
        <v>#NAME?</v>
      </c>
      <c r="T28" s="627" t="e">
        <f ca="1">[1]!swcoeff(COUNT(S$3:S$62),ROW(S28)-ROW(S$3)+1)</f>
        <v>#NAME?</v>
      </c>
    </row>
    <row r="29" spans="1:20">
      <c r="S29" s="627" t="e">
        <f ca="1"/>
        <v>#NAME?</v>
      </c>
      <c r="T29" s="627" t="e">
        <f ca="1">[1]!swcoeff(COUNT(S$3:S$62),ROW(S29)-ROW(S$3)+1)</f>
        <v>#NAME?</v>
      </c>
    </row>
    <row r="30" spans="1:20">
      <c r="S30" s="627" t="e">
        <f ca="1"/>
        <v>#NAME?</v>
      </c>
      <c r="T30" s="627" t="e">
        <f ca="1">[1]!swcoeff(COUNT(S$3:S$62),ROW(S30)-ROW(S$3)+1)</f>
        <v>#NAME?</v>
      </c>
    </row>
    <row r="31" spans="1:20">
      <c r="S31" s="627" t="e">
        <f ca="1"/>
        <v>#NAME?</v>
      </c>
      <c r="T31" s="627" t="e">
        <f ca="1">[1]!swcoeff(COUNT(S$3:S$62),ROW(S31)-ROW(S$3)+1)</f>
        <v>#NAME?</v>
      </c>
    </row>
    <row r="32" spans="1:20">
      <c r="S32" s="627" t="e">
        <f ca="1"/>
        <v>#NAME?</v>
      </c>
      <c r="T32" s="627" t="e">
        <f ca="1">[1]!swcoeff(COUNT(S$3:S$62),ROW(S32)-ROW(S$3)+1)</f>
        <v>#NAME?</v>
      </c>
    </row>
    <row r="33" spans="19:20">
      <c r="S33" s="627" t="e">
        <f ca="1"/>
        <v>#NAME?</v>
      </c>
      <c r="T33" s="627" t="e">
        <f ca="1">[1]!swcoeff(COUNT(S$3:S$62),ROW(S33)-ROW(S$3)+1)</f>
        <v>#NAME?</v>
      </c>
    </row>
    <row r="34" spans="19:20">
      <c r="S34" s="627" t="e">
        <f ca="1"/>
        <v>#NAME?</v>
      </c>
      <c r="T34" s="627" t="e">
        <f ca="1">[1]!swcoeff(COUNT(S$3:S$62),ROW(S34)-ROW(S$3)+1)</f>
        <v>#NAME?</v>
      </c>
    </row>
    <row r="35" spans="19:20">
      <c r="S35" s="627" t="e">
        <f ca="1"/>
        <v>#NAME?</v>
      </c>
      <c r="T35" s="627" t="e">
        <f ca="1">[1]!swcoeff(COUNT(S$3:S$62),ROW(S35)-ROW(S$3)+1)</f>
        <v>#NAME?</v>
      </c>
    </row>
    <row r="36" spans="19:20">
      <c r="S36" s="627" t="e">
        <f ca="1"/>
        <v>#NAME?</v>
      </c>
      <c r="T36" s="627" t="e">
        <f ca="1">[1]!swcoeff(COUNT(S$3:S$62),ROW(S36)-ROW(S$3)+1)</f>
        <v>#NAME?</v>
      </c>
    </row>
    <row r="37" spans="19:20">
      <c r="S37" s="627" t="e">
        <f ca="1"/>
        <v>#NAME?</v>
      </c>
      <c r="T37" s="627" t="e">
        <f ca="1">[1]!swcoeff(COUNT(S$3:S$62),ROW(S37)-ROW(S$3)+1)</f>
        <v>#NAME?</v>
      </c>
    </row>
    <row r="38" spans="19:20">
      <c r="S38" s="627" t="e">
        <f ca="1"/>
        <v>#NAME?</v>
      </c>
      <c r="T38" s="627" t="e">
        <f ca="1">[1]!swcoeff(COUNT(S$3:S$62),ROW(S38)-ROW(S$3)+1)</f>
        <v>#NAME?</v>
      </c>
    </row>
    <row r="39" spans="19:20">
      <c r="S39" s="627" t="e">
        <f ca="1"/>
        <v>#NAME?</v>
      </c>
      <c r="T39" s="627" t="e">
        <f ca="1">[1]!swcoeff(COUNT(S$3:S$62),ROW(S39)-ROW(S$3)+1)</f>
        <v>#NAME?</v>
      </c>
    </row>
    <row r="40" spans="19:20">
      <c r="S40" s="627" t="e">
        <f ca="1"/>
        <v>#NAME?</v>
      </c>
      <c r="T40" s="627" t="e">
        <f ca="1">[1]!swcoeff(COUNT(S$3:S$62),ROW(S40)-ROW(S$3)+1)</f>
        <v>#NAME?</v>
      </c>
    </row>
    <row r="41" spans="19:20">
      <c r="S41" s="627" t="e">
        <f ca="1"/>
        <v>#NAME?</v>
      </c>
      <c r="T41" s="627" t="e">
        <f ca="1">[1]!swcoeff(COUNT(S$3:S$62),ROW(S41)-ROW(S$3)+1)</f>
        <v>#NAME?</v>
      </c>
    </row>
    <row r="42" spans="19:20">
      <c r="S42" s="627" t="e">
        <f ca="1"/>
        <v>#NAME?</v>
      </c>
      <c r="T42" s="627" t="e">
        <f ca="1">[1]!swcoeff(COUNT(S$3:S$62),ROW(S42)-ROW(S$3)+1)</f>
        <v>#NAME?</v>
      </c>
    </row>
    <row r="43" spans="19:20">
      <c r="S43" s="627" t="e">
        <f ca="1"/>
        <v>#NAME?</v>
      </c>
      <c r="T43" s="627" t="e">
        <f ca="1">[1]!swcoeff(COUNT(S$3:S$62),ROW(S43)-ROW(S$3)+1)</f>
        <v>#NAME?</v>
      </c>
    </row>
    <row r="44" spans="19:20">
      <c r="S44" s="627" t="e">
        <f ca="1"/>
        <v>#NAME?</v>
      </c>
      <c r="T44" s="627" t="e">
        <f ca="1">[1]!swcoeff(COUNT(S$3:S$62),ROW(S44)-ROW(S$3)+1)</f>
        <v>#NAME?</v>
      </c>
    </row>
    <row r="45" spans="19:20">
      <c r="S45" s="627" t="e">
        <f ca="1"/>
        <v>#NAME?</v>
      </c>
      <c r="T45" s="627" t="e">
        <f ca="1">[1]!swcoeff(COUNT(S$3:S$62),ROW(S45)-ROW(S$3)+1)</f>
        <v>#NAME?</v>
      </c>
    </row>
    <row r="46" spans="19:20">
      <c r="S46" s="627" t="e">
        <f ca="1"/>
        <v>#NAME?</v>
      </c>
      <c r="T46" s="627" t="e">
        <f ca="1">[1]!swcoeff(COUNT(S$3:S$62),ROW(S46)-ROW(S$3)+1)</f>
        <v>#NAME?</v>
      </c>
    </row>
    <row r="47" spans="19:20">
      <c r="S47" s="627" t="e">
        <f ca="1"/>
        <v>#NAME?</v>
      </c>
      <c r="T47" s="627" t="e">
        <f ca="1">[1]!swcoeff(COUNT(S$3:S$62),ROW(S47)-ROW(S$3)+1)</f>
        <v>#NAME?</v>
      </c>
    </row>
    <row r="48" spans="19:20">
      <c r="S48" s="627" t="e">
        <f ca="1"/>
        <v>#NAME?</v>
      </c>
      <c r="T48" s="627" t="e">
        <f ca="1">[1]!swcoeff(COUNT(S$3:S$62),ROW(S48)-ROW(S$3)+1)</f>
        <v>#NAME?</v>
      </c>
    </row>
    <row r="49" spans="19:20">
      <c r="S49" s="627" t="e">
        <f ca="1"/>
        <v>#NAME?</v>
      </c>
      <c r="T49" s="627" t="e">
        <f ca="1">[1]!swcoeff(COUNT(S$3:S$62),ROW(S49)-ROW(S$3)+1)</f>
        <v>#NAME?</v>
      </c>
    </row>
    <row r="50" spans="19:20">
      <c r="S50" s="627" t="e">
        <f ca="1"/>
        <v>#NAME?</v>
      </c>
      <c r="T50" s="627" t="e">
        <f ca="1">[1]!swcoeff(COUNT(S$3:S$62),ROW(S50)-ROW(S$3)+1)</f>
        <v>#NAME?</v>
      </c>
    </row>
    <row r="51" spans="19:20">
      <c r="S51" s="627" t="e">
        <f ca="1"/>
        <v>#NAME?</v>
      </c>
      <c r="T51" s="627" t="e">
        <f ca="1">[1]!swcoeff(COUNT(S$3:S$62),ROW(S51)-ROW(S$3)+1)</f>
        <v>#NAME?</v>
      </c>
    </row>
    <row r="52" spans="19:20">
      <c r="S52" s="627" t="e">
        <f ca="1"/>
        <v>#NAME?</v>
      </c>
      <c r="T52" s="627" t="e">
        <f ca="1">[1]!swcoeff(COUNT(S$3:S$62),ROW(S52)-ROW(S$3)+1)</f>
        <v>#NAME?</v>
      </c>
    </row>
    <row r="53" spans="19:20">
      <c r="S53" s="627" t="e">
        <f ca="1"/>
        <v>#NAME?</v>
      </c>
      <c r="T53" s="627" t="e">
        <f ca="1">[1]!swcoeff(COUNT(S$3:S$62),ROW(S53)-ROW(S$3)+1)</f>
        <v>#NAME?</v>
      </c>
    </row>
    <row r="54" spans="19:20">
      <c r="S54" s="627" t="e">
        <f ca="1"/>
        <v>#NAME?</v>
      </c>
      <c r="T54" s="627" t="e">
        <f ca="1">[1]!swcoeff(COUNT(S$3:S$62),ROW(S54)-ROW(S$3)+1)</f>
        <v>#NAME?</v>
      </c>
    </row>
    <row r="55" spans="19:20">
      <c r="S55" s="627" t="e">
        <f ca="1"/>
        <v>#NAME?</v>
      </c>
      <c r="T55" s="627" t="e">
        <f ca="1">[1]!swcoeff(COUNT(S$3:S$62),ROW(S55)-ROW(S$3)+1)</f>
        <v>#NAME?</v>
      </c>
    </row>
    <row r="56" spans="19:20">
      <c r="S56" s="627" t="e">
        <f ca="1"/>
        <v>#NAME?</v>
      </c>
      <c r="T56" s="627" t="e">
        <f ca="1">[1]!swcoeff(COUNT(S$3:S$62),ROW(S56)-ROW(S$3)+1)</f>
        <v>#NAME?</v>
      </c>
    </row>
    <row r="57" spans="19:20">
      <c r="S57" s="627" t="e">
        <f ca="1"/>
        <v>#NAME?</v>
      </c>
      <c r="T57" s="627" t="e">
        <f ca="1">[1]!swcoeff(COUNT(S$3:S$62),ROW(S57)-ROW(S$3)+1)</f>
        <v>#NAME?</v>
      </c>
    </row>
    <row r="58" spans="19:20">
      <c r="S58" s="627" t="e">
        <f ca="1"/>
        <v>#NAME?</v>
      </c>
      <c r="T58" s="627" t="e">
        <f ca="1">[1]!swcoeff(COUNT(S$3:S$62),ROW(S58)-ROW(S$3)+1)</f>
        <v>#NAME?</v>
      </c>
    </row>
    <row r="59" spans="19:20">
      <c r="S59" s="627" t="e">
        <f ca="1"/>
        <v>#NAME?</v>
      </c>
      <c r="T59" s="627" t="e">
        <f ca="1">[1]!swcoeff(COUNT(S$3:S$62),ROW(S59)-ROW(S$3)+1)</f>
        <v>#NAME?</v>
      </c>
    </row>
    <row r="60" spans="19:20">
      <c r="S60" s="627" t="e">
        <f ca="1"/>
        <v>#NAME?</v>
      </c>
      <c r="T60" s="627" t="e">
        <f ca="1">[1]!swcoeff(COUNT(S$3:S$62),ROW(S60)-ROW(S$3)+1)</f>
        <v>#NAME?</v>
      </c>
    </row>
    <row r="61" spans="19:20">
      <c r="S61" s="627" t="e">
        <f ca="1"/>
        <v>#NAME?</v>
      </c>
      <c r="T61" s="627" t="e">
        <f ca="1">[1]!swcoeff(COUNT(S$3:S$62),ROW(S61)-ROW(S$3)+1)</f>
        <v>#NAME?</v>
      </c>
    </row>
    <row r="62" spans="19:20">
      <c r="S62" s="544" t="e">
        <f ca="1"/>
        <v>#NAME?</v>
      </c>
      <c r="T62" s="544" t="e">
        <f ca="1">[1]!swcoeff(COUNT(S$3:S$62),ROW(S62)-ROW(S$3)+1)</f>
        <v>#NAME?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sheetPr codeName="Sheet249"/>
  <dimension ref="A1:R23"/>
  <sheetViews>
    <sheetView workbookViewId="0"/>
  </sheetViews>
  <sheetFormatPr defaultRowHeight="14.4"/>
  <cols>
    <col min="4" max="4" width="4.33203125" customWidth="1"/>
    <col min="5" max="5" width="18.109375" customWidth="1"/>
    <col min="9" max="9" width="4.5546875" customWidth="1"/>
    <col min="14" max="14" width="5" customWidth="1"/>
  </cols>
  <sheetData>
    <row r="1" spans="1:18">
      <c r="A1" s="1" t="s">
        <v>2704</v>
      </c>
    </row>
    <row r="3" spans="1:18">
      <c r="A3" s="1029" t="s">
        <v>97</v>
      </c>
      <c r="B3" s="1029" t="s">
        <v>98</v>
      </c>
      <c r="C3" t="s">
        <v>2692</v>
      </c>
      <c r="E3" t="s">
        <v>95</v>
      </c>
      <c r="J3" t="s">
        <v>2693</v>
      </c>
      <c r="O3" t="s">
        <v>2705</v>
      </c>
    </row>
    <row r="4" spans="1:18">
      <c r="A4" s="949">
        <v>19</v>
      </c>
      <c r="B4" s="115">
        <v>12</v>
      </c>
      <c r="C4" s="1009">
        <v>145</v>
      </c>
    </row>
    <row r="5" spans="1:18">
      <c r="A5" s="664">
        <v>41</v>
      </c>
      <c r="B5" s="1031">
        <v>27</v>
      </c>
      <c r="C5" s="618">
        <v>125</v>
      </c>
      <c r="E5" s="1035"/>
      <c r="F5" s="1035" t="str">
        <f>A3</f>
        <v>Sample 1</v>
      </c>
      <c r="G5" s="1035" t="str">
        <f>B3</f>
        <v>Sample 2</v>
      </c>
      <c r="H5" s="1035" t="str">
        <f>C3</f>
        <v>Sample 3</v>
      </c>
      <c r="K5" s="348" t="str">
        <f>A3</f>
        <v>Sample 1</v>
      </c>
      <c r="L5" s="348" t="str">
        <f>B3</f>
        <v>Sample 2</v>
      </c>
      <c r="M5" s="348" t="str">
        <f>C3</f>
        <v>Sample 3</v>
      </c>
      <c r="O5" s="1035"/>
      <c r="P5" s="1035" t="str">
        <f>A3</f>
        <v>Sample 1</v>
      </c>
      <c r="Q5" s="1035" t="str">
        <f>B3</f>
        <v>Sample 2</v>
      </c>
      <c r="R5" s="1035" t="str">
        <f>C3</f>
        <v>Sample 3</v>
      </c>
    </row>
    <row r="6" spans="1:18">
      <c r="A6" s="664">
        <v>29</v>
      </c>
      <c r="B6" s="1031">
        <v>18</v>
      </c>
      <c r="C6" s="618">
        <v>190</v>
      </c>
      <c r="E6" t="s">
        <v>76</v>
      </c>
      <c r="F6">
        <f>AVERAGE(A4:A16)</f>
        <v>36.846153846153847</v>
      </c>
      <c r="G6">
        <f>AVERAGE(B4:B16)</f>
        <v>41.153846153846153</v>
      </c>
      <c r="H6">
        <f>AVERAGE(C4:C16)</f>
        <v>131</v>
      </c>
      <c r="J6" t="s">
        <v>160</v>
      </c>
      <c r="K6" s="1032">
        <f>MIN(A4:A16)</f>
        <v>8</v>
      </c>
      <c r="L6" s="1033">
        <f>MIN(B4:B16)</f>
        <v>3</v>
      </c>
      <c r="M6" s="1034">
        <f>MIN(C4:C16)</f>
        <v>3</v>
      </c>
      <c r="O6" t="s">
        <v>1513</v>
      </c>
      <c r="P6" t="e">
        <f ca="1">[1]!Shapiro(A4:A16)</f>
        <v>#NAME?</v>
      </c>
      <c r="Q6" t="e">
        <f ca="1">[1]!Shapiro(B4:B16)</f>
        <v>#NAME?</v>
      </c>
      <c r="R6" t="e">
        <f ca="1">[1]!Shapiro(C4:C16)</f>
        <v>#NAME?</v>
      </c>
    </row>
    <row r="7" spans="1:18">
      <c r="A7" s="664">
        <v>95</v>
      </c>
      <c r="B7" s="1031">
        <v>23</v>
      </c>
      <c r="C7" s="618">
        <v>135</v>
      </c>
      <c r="E7" t="s">
        <v>77</v>
      </c>
      <c r="F7">
        <f>STDEV(A4:A16)/SQRT(COUNT(A4:A16))</f>
        <v>6.6533644408406643</v>
      </c>
      <c r="G7">
        <f>STDEV(B4:B16)/SQRT(COUNT(B4:B16))</f>
        <v>8.8171206953858814</v>
      </c>
      <c r="H7">
        <f>STDEV(C4:C16)/SQRT(COUNT(C4:C16))</f>
        <v>19.259696192720629</v>
      </c>
      <c r="J7" t="s">
        <v>161</v>
      </c>
      <c r="K7" s="625">
        <f>QUARTILE(A4:A16,1)-K6</f>
        <v>11</v>
      </c>
      <c r="L7" s="8">
        <f>QUARTILE(B4:B16,1)-L6</f>
        <v>20</v>
      </c>
      <c r="M7" s="132">
        <f>QUARTILE(C4:C16,1)-M6</f>
        <v>122</v>
      </c>
      <c r="O7" t="s">
        <v>200</v>
      </c>
      <c r="P7" t="e">
        <f ca="1">[1]!swtest(A4:A16)</f>
        <v>#NAME?</v>
      </c>
      <c r="Q7" t="e">
        <f ca="1">[1]!swtest(B4:B16)</f>
        <v>#NAME?</v>
      </c>
      <c r="R7" t="e">
        <f ca="1">[1]!swtest(C4:C16)</f>
        <v>#NAME?</v>
      </c>
    </row>
    <row r="8" spans="1:18">
      <c r="A8" s="664">
        <v>8</v>
      </c>
      <c r="B8" s="1031">
        <v>72</v>
      </c>
      <c r="C8" s="618">
        <v>220</v>
      </c>
      <c r="E8" t="s">
        <v>78</v>
      </c>
      <c r="F8">
        <f>MEDIAN(A4:A16)</f>
        <v>35</v>
      </c>
      <c r="G8">
        <f>MEDIAN(B4:B16)</f>
        <v>27</v>
      </c>
      <c r="H8">
        <f>MEDIAN(C4:C16)</f>
        <v>145</v>
      </c>
      <c r="J8" t="s">
        <v>162</v>
      </c>
      <c r="K8" s="625">
        <f>MEDIAN(A4:A16)-QUARTILE(A4:A16,1)</f>
        <v>16</v>
      </c>
      <c r="L8" s="8">
        <f>MEDIAN(B4:B16)-QUARTILE(B4:B16,1)</f>
        <v>4</v>
      </c>
      <c r="M8" s="132">
        <f>MEDIAN(C4:C16)-QUARTILE(C4:C16,1)</f>
        <v>20</v>
      </c>
      <c r="O8" t="s">
        <v>337</v>
      </c>
      <c r="P8">
        <v>0.05</v>
      </c>
      <c r="Q8">
        <v>0.05</v>
      </c>
      <c r="R8">
        <v>0.05</v>
      </c>
    </row>
    <row r="9" spans="1:18">
      <c r="A9" s="664">
        <v>29</v>
      </c>
      <c r="B9" s="1031">
        <v>27</v>
      </c>
      <c r="C9" s="618">
        <v>5</v>
      </c>
      <c r="E9" t="s">
        <v>79</v>
      </c>
      <c r="F9">
        <f>MODE(A4:A16)</f>
        <v>41</v>
      </c>
      <c r="G9">
        <f>MODE(B4:B16)</f>
        <v>27</v>
      </c>
      <c r="H9">
        <f>MODE(C4:C16)</f>
        <v>165</v>
      </c>
      <c r="J9" t="s">
        <v>163</v>
      </c>
      <c r="K9" s="625">
        <f>QUARTILE(A4:A16,3)-MEDIAN(A4:A16)</f>
        <v>13</v>
      </c>
      <c r="L9" s="8">
        <f>QUARTILE(B4:B16,3)-MEDIAN(B4:B16)</f>
        <v>26</v>
      </c>
      <c r="M9" s="132">
        <f>QUARTILE(C4:C16,3)-MEDIAN(C4:C16)</f>
        <v>20</v>
      </c>
      <c r="O9" s="534" t="s">
        <v>2706</v>
      </c>
      <c r="P9" s="692" t="e">
        <f ca="1">IF(P7&lt;P8,"no","yes")</f>
        <v>#NAME?</v>
      </c>
      <c r="Q9" s="692" t="e">
        <f ca="1">IF(Q7&lt;Q8,"no","yes")</f>
        <v>#NAME?</v>
      </c>
      <c r="R9" s="692" t="e">
        <f ca="1">IF(R7&lt;R8,"no","yes")</f>
        <v>#NAME?</v>
      </c>
    </row>
    <row r="10" spans="1:18">
      <c r="A10" s="664">
        <v>11</v>
      </c>
      <c r="B10" s="1031">
        <v>27</v>
      </c>
      <c r="C10" s="618">
        <v>130</v>
      </c>
      <c r="E10" t="s">
        <v>80</v>
      </c>
      <c r="F10">
        <f>STDEV(A4:A16)</f>
        <v>23.989046645799807</v>
      </c>
      <c r="G10">
        <f>STDEV(B4:B16)</f>
        <v>31.790580769168496</v>
      </c>
      <c r="H10">
        <f>STDEV(C4:C16)</f>
        <v>69.441822172712804</v>
      </c>
      <c r="J10" t="s">
        <v>164</v>
      </c>
      <c r="K10" s="497">
        <f>MAX(A4:A16)-QUARTILE(A4:A16,3)</f>
        <v>47</v>
      </c>
      <c r="L10" s="615">
        <f>MAX(B4:B16)-QUARTILE(B4:B16,3)</f>
        <v>72</v>
      </c>
      <c r="M10" s="498">
        <f>MAX(C4:C16)-QUARTILE(C4:C16,3)</f>
        <v>55</v>
      </c>
    </row>
    <row r="11" spans="1:18">
      <c r="A11" s="664">
        <v>59</v>
      </c>
      <c r="B11" s="1031">
        <v>53</v>
      </c>
      <c r="C11" s="618">
        <v>210</v>
      </c>
      <c r="E11" t="s">
        <v>81</v>
      </c>
      <c r="F11">
        <f>VAR(A4:A16)</f>
        <v>575.47435897435901</v>
      </c>
      <c r="G11">
        <f>VAR(B4:B16)</f>
        <v>1010.6410256410257</v>
      </c>
      <c r="H11">
        <f>VAR(C4:C16)</f>
        <v>4822.166666666667</v>
      </c>
    </row>
    <row r="12" spans="1:18">
      <c r="A12" s="664">
        <v>41</v>
      </c>
      <c r="B12" s="1031">
        <v>3</v>
      </c>
      <c r="C12" s="618">
        <v>3</v>
      </c>
      <c r="E12" t="s">
        <v>82</v>
      </c>
      <c r="F12">
        <f>KURT(A4:A16)</f>
        <v>1.6749701684087577</v>
      </c>
      <c r="G12">
        <f>KURT(B4:B16)</f>
        <v>3.3260948250054798</v>
      </c>
      <c r="H12">
        <f>KURT(C4:C16)</f>
        <v>1.2549653855171705E-3</v>
      </c>
    </row>
    <row r="13" spans="1:18">
      <c r="A13" s="664">
        <v>48</v>
      </c>
      <c r="B13" s="1031">
        <v>45</v>
      </c>
      <c r="C13" s="618">
        <v>165</v>
      </c>
      <c r="E13" t="s">
        <v>83</v>
      </c>
      <c r="F13">
        <f>SKEW(A4:A16)</f>
        <v>1.0565196181265495</v>
      </c>
      <c r="G13">
        <f>SKEW(B4:B16)</f>
        <v>1.5806397330035018</v>
      </c>
      <c r="H13">
        <f>SKEW(C4:C16)</f>
        <v>-0.87173285849778881</v>
      </c>
    </row>
    <row r="14" spans="1:18">
      <c r="A14" s="664">
        <v>53</v>
      </c>
      <c r="B14" s="1031">
        <v>53</v>
      </c>
      <c r="C14" s="618">
        <v>165</v>
      </c>
      <c r="E14" t="s">
        <v>84</v>
      </c>
      <c r="F14">
        <f>F15-F16</f>
        <v>87</v>
      </c>
      <c r="G14">
        <f>G15-G16</f>
        <v>122</v>
      </c>
      <c r="H14">
        <f>H15-H16</f>
        <v>217</v>
      </c>
    </row>
    <row r="15" spans="1:18">
      <c r="A15" s="664">
        <v>35</v>
      </c>
      <c r="B15" s="1031">
        <v>125</v>
      </c>
      <c r="C15" s="618">
        <v>150</v>
      </c>
      <c r="E15" t="s">
        <v>86</v>
      </c>
      <c r="F15">
        <f>MAX(A4:A16)</f>
        <v>95</v>
      </c>
      <c r="G15">
        <f>MAX(B4:B16)</f>
        <v>125</v>
      </c>
      <c r="H15">
        <f>MAX(C4:C16)</f>
        <v>220</v>
      </c>
    </row>
    <row r="16" spans="1:18">
      <c r="A16" s="560">
        <v>11</v>
      </c>
      <c r="B16" s="1030">
        <v>50</v>
      </c>
      <c r="C16" s="536">
        <v>60</v>
      </c>
      <c r="E16" t="s">
        <v>85</v>
      </c>
      <c r="F16">
        <f>MIN(A4:A16)</f>
        <v>8</v>
      </c>
      <c r="G16">
        <f>MIN(B4:B16)</f>
        <v>3</v>
      </c>
      <c r="H16">
        <f>MIN(C4:C16)</f>
        <v>3</v>
      </c>
    </row>
    <row r="17" spans="5:8">
      <c r="E17" t="s">
        <v>87</v>
      </c>
      <c r="F17">
        <f>SUM(A4:A16)</f>
        <v>479</v>
      </c>
      <c r="G17">
        <f>SUM(B4:B16)</f>
        <v>535</v>
      </c>
      <c r="H17">
        <f>SUM(C4:C16)</f>
        <v>1703</v>
      </c>
    </row>
    <row r="18" spans="5:8">
      <c r="E18" t="s">
        <v>88</v>
      </c>
      <c r="F18">
        <f>COUNT(A4:A16)</f>
        <v>13</v>
      </c>
      <c r="G18">
        <f>COUNT(B4:B16)</f>
        <v>13</v>
      </c>
      <c r="H18">
        <f>COUNT(C4:C16)</f>
        <v>13</v>
      </c>
    </row>
    <row r="19" spans="5:8">
      <c r="E19" t="s">
        <v>33</v>
      </c>
      <c r="F19">
        <f>GEOMEAN(A4:A16)</f>
        <v>29.528580632535327</v>
      </c>
      <c r="G19">
        <f>GEOMEAN(B4:B16)</f>
        <v>30.10536628050507</v>
      </c>
      <c r="H19">
        <f>GEOMEAN(C4:C16)</f>
        <v>83.934883110922172</v>
      </c>
    </row>
    <row r="20" spans="5:8">
      <c r="E20" t="s">
        <v>91</v>
      </c>
      <c r="F20">
        <f>HARMEAN(A4:A16)</f>
        <v>22.689829725244952</v>
      </c>
      <c r="G20">
        <f>HARMEAN(B4:B16)</f>
        <v>17.841003748633526</v>
      </c>
      <c r="H20">
        <f>HARMEAN(C4:C16)</f>
        <v>21.194915092617297</v>
      </c>
    </row>
    <row r="21" spans="5:8">
      <c r="E21" t="s">
        <v>92</v>
      </c>
      <c r="F21">
        <f>AVEDEV(A4:A16)</f>
        <v>17.834319526627219</v>
      </c>
      <c r="G21">
        <f>AVEDEV(B4:B16)</f>
        <v>23.242603550295858</v>
      </c>
      <c r="H21">
        <f>AVEDEV(C4:C16)</f>
        <v>51.07692307692308</v>
      </c>
    </row>
    <row r="22" spans="5:8">
      <c r="E22" t="s">
        <v>93</v>
      </c>
      <c r="F22" t="e">
        <f ca="1">[1]!MAD(A4:A16)</f>
        <v>#NAME?</v>
      </c>
      <c r="G22" t="e">
        <f ca="1">[1]!MAD(B4:B16)</f>
        <v>#NAME?</v>
      </c>
      <c r="H22" t="e">
        <f ca="1">[1]!MAD(C4:C16)</f>
        <v>#NAME?</v>
      </c>
    </row>
    <row r="23" spans="5:8">
      <c r="E23" s="534" t="s">
        <v>94</v>
      </c>
      <c r="F23" s="534" t="e">
        <f ca="1">[1]!Iqr(A4:A16)</f>
        <v>#NAME?</v>
      </c>
      <c r="G23" s="534" t="e">
        <f ca="1">[1]!Iqr(B4:B16)</f>
        <v>#NAME?</v>
      </c>
      <c r="H23" s="534" t="e">
        <f ca="1">[1]!Iqr(C4:C16)</f>
        <v>#NAME?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sheetPr codeName="Sheet203"/>
  <dimension ref="A1:R37"/>
  <sheetViews>
    <sheetView workbookViewId="0"/>
  </sheetViews>
  <sheetFormatPr defaultRowHeight="14.4"/>
  <cols>
    <col min="1" max="3" width="9.109375" customWidth="1"/>
  </cols>
  <sheetData>
    <row r="1" spans="1:18">
      <c r="A1" s="1" t="s">
        <v>1796</v>
      </c>
    </row>
    <row r="2" spans="1:18" ht="15" thickBot="1"/>
    <row r="3" spans="1:18">
      <c r="A3" s="67" t="s">
        <v>178</v>
      </c>
      <c r="B3" s="68" t="s">
        <v>1794</v>
      </c>
      <c r="C3" s="68" t="s">
        <v>1795</v>
      </c>
      <c r="E3" s="693" t="s">
        <v>109</v>
      </c>
      <c r="G3" s="695" t="s">
        <v>109</v>
      </c>
      <c r="H3" s="695" t="s">
        <v>108</v>
      </c>
      <c r="R3" s="723" t="s">
        <v>1794</v>
      </c>
    </row>
    <row r="4" spans="1:18">
      <c r="A4" s="724">
        <v>1</v>
      </c>
      <c r="B4" s="727">
        <v>50</v>
      </c>
      <c r="C4" s="712">
        <f>IF(B4&gt;20,1,IF(B4&lt;20,-1,0))</f>
        <v>1</v>
      </c>
      <c r="E4" s="712">
        <v>10</v>
      </c>
      <c r="G4" s="29">
        <v>10</v>
      </c>
      <c r="H4" s="28">
        <v>7</v>
      </c>
      <c r="Q4" t="s">
        <v>160</v>
      </c>
      <c r="R4" s="77">
        <f>MIN(B4:B18)</f>
        <v>3</v>
      </c>
    </row>
    <row r="5" spans="1:18">
      <c r="A5" s="725">
        <f t="shared" ref="A5:A18" si="0">A4+1</f>
        <v>2</v>
      </c>
      <c r="B5" s="728">
        <v>15</v>
      </c>
      <c r="C5" s="714">
        <f t="shared" ref="C5:C18" si="1">IF(B5&gt;20,1,IF(B5&lt;20,-1,0))</f>
        <v>-1</v>
      </c>
      <c r="E5" s="714">
        <f>E4+10</f>
        <v>20</v>
      </c>
      <c r="G5" s="29">
        <v>20</v>
      </c>
      <c r="H5" s="28">
        <v>4</v>
      </c>
      <c r="Q5" t="s">
        <v>161</v>
      </c>
      <c r="R5" s="77">
        <f>QUARTILE(B4:B18,1)-R4</f>
        <v>5.5</v>
      </c>
    </row>
    <row r="6" spans="1:18">
      <c r="A6" s="725">
        <f t="shared" si="0"/>
        <v>3</v>
      </c>
      <c r="B6" s="728">
        <v>25</v>
      </c>
      <c r="C6" s="714">
        <f t="shared" si="1"/>
        <v>1</v>
      </c>
      <c r="E6" s="714">
        <f>E5+10</f>
        <v>30</v>
      </c>
      <c r="G6" s="29">
        <v>30</v>
      </c>
      <c r="H6" s="28">
        <v>2</v>
      </c>
      <c r="Q6" t="s">
        <v>162</v>
      </c>
      <c r="R6" s="77">
        <f>MEDIAN(B4:B18)-QUARTILE(B4:B18,1)</f>
        <v>3.5</v>
      </c>
    </row>
    <row r="7" spans="1:18">
      <c r="A7" s="725">
        <f t="shared" si="0"/>
        <v>4</v>
      </c>
      <c r="B7" s="728">
        <v>12</v>
      </c>
      <c r="C7" s="714">
        <f t="shared" si="1"/>
        <v>-1</v>
      </c>
      <c r="E7" s="714">
        <f>E6+10</f>
        <v>40</v>
      </c>
      <c r="G7" s="29">
        <v>40</v>
      </c>
      <c r="H7" s="28">
        <v>0</v>
      </c>
      <c r="Q7" t="s">
        <v>163</v>
      </c>
      <c r="R7" s="77">
        <f>QUARTILE(B4:B18,3)-MEDIAN(B4:B18)</f>
        <v>10.5</v>
      </c>
    </row>
    <row r="8" spans="1:18">
      <c r="A8" s="725">
        <f t="shared" si="0"/>
        <v>5</v>
      </c>
      <c r="B8" s="728">
        <v>45</v>
      </c>
      <c r="C8" s="714">
        <f t="shared" si="1"/>
        <v>1</v>
      </c>
      <c r="E8" s="713">
        <f>E7+10</f>
        <v>50</v>
      </c>
      <c r="G8" s="29">
        <v>50</v>
      </c>
      <c r="H8" s="28">
        <v>2</v>
      </c>
      <c r="Q8" t="s">
        <v>164</v>
      </c>
      <c r="R8" s="77">
        <f>MAX(B4:B18)-QUARTILE(B4:B18,3)</f>
        <v>27.5</v>
      </c>
    </row>
    <row r="9" spans="1:18" ht="15" thickBot="1">
      <c r="A9" s="725">
        <f t="shared" si="0"/>
        <v>6</v>
      </c>
      <c r="B9" s="728">
        <v>3</v>
      </c>
      <c r="C9" s="714">
        <f t="shared" si="1"/>
        <v>-1</v>
      </c>
      <c r="G9" s="31" t="s">
        <v>113</v>
      </c>
      <c r="H9" s="31">
        <v>0</v>
      </c>
    </row>
    <row r="10" spans="1:18">
      <c r="A10" s="725">
        <f t="shared" si="0"/>
        <v>7</v>
      </c>
      <c r="B10" s="728">
        <v>45</v>
      </c>
      <c r="C10" s="714">
        <f t="shared" si="1"/>
        <v>1</v>
      </c>
    </row>
    <row r="11" spans="1:18">
      <c r="A11" s="725">
        <f t="shared" si="0"/>
        <v>8</v>
      </c>
      <c r="B11" s="728">
        <v>8</v>
      </c>
      <c r="C11" s="714">
        <f t="shared" si="1"/>
        <v>-1</v>
      </c>
    </row>
    <row r="12" spans="1:18">
      <c r="A12" s="725">
        <f t="shared" si="0"/>
        <v>9</v>
      </c>
      <c r="B12" s="728">
        <v>10</v>
      </c>
      <c r="C12" s="714">
        <f t="shared" si="1"/>
        <v>-1</v>
      </c>
    </row>
    <row r="13" spans="1:18">
      <c r="A13" s="725">
        <f t="shared" si="0"/>
        <v>10</v>
      </c>
      <c r="B13" s="728">
        <v>8</v>
      </c>
      <c r="C13" s="714">
        <f t="shared" si="1"/>
        <v>-1</v>
      </c>
    </row>
    <row r="14" spans="1:18">
      <c r="A14" s="725">
        <f t="shared" si="0"/>
        <v>11</v>
      </c>
      <c r="B14" s="728">
        <v>7</v>
      </c>
      <c r="C14" s="714">
        <f t="shared" si="1"/>
        <v>-1</v>
      </c>
    </row>
    <row r="15" spans="1:18">
      <c r="A15" s="725">
        <f t="shared" si="0"/>
        <v>12</v>
      </c>
      <c r="B15" s="728">
        <v>20</v>
      </c>
      <c r="C15" s="714">
        <f t="shared" si="1"/>
        <v>0</v>
      </c>
    </row>
    <row r="16" spans="1:18">
      <c r="A16" s="725">
        <f t="shared" si="0"/>
        <v>13</v>
      </c>
      <c r="B16" s="728">
        <v>9</v>
      </c>
      <c r="C16" s="714">
        <f t="shared" si="1"/>
        <v>-1</v>
      </c>
      <c r="G16" t="s">
        <v>209</v>
      </c>
    </row>
    <row r="17" spans="1:10">
      <c r="A17" s="725">
        <f t="shared" si="0"/>
        <v>14</v>
      </c>
      <c r="B17" s="728">
        <v>9</v>
      </c>
      <c r="C17" s="714">
        <f t="shared" si="1"/>
        <v>-1</v>
      </c>
    </row>
    <row r="18" spans="1:10">
      <c r="A18" s="726">
        <f t="shared" si="0"/>
        <v>15</v>
      </c>
      <c r="B18" s="729">
        <v>12</v>
      </c>
      <c r="C18" s="713">
        <f t="shared" si="1"/>
        <v>-1</v>
      </c>
      <c r="G18" t="s">
        <v>88</v>
      </c>
      <c r="H18">
        <f>COUNT(B4:B18)</f>
        <v>15</v>
      </c>
      <c r="I18">
        <f>2*H18</f>
        <v>30</v>
      </c>
    </row>
    <row r="19" spans="1:10">
      <c r="G19" t="s">
        <v>76</v>
      </c>
      <c r="H19" s="77">
        <f>AVERAGE(B4:B18)</f>
        <v>18.533333333333335</v>
      </c>
    </row>
    <row r="20" spans="1:10">
      <c r="A20" t="s">
        <v>1001</v>
      </c>
      <c r="B20" s="730">
        <f>MEDIAN(B4:B18)</f>
        <v>12</v>
      </c>
      <c r="G20" t="s">
        <v>182</v>
      </c>
      <c r="H20">
        <f>STDEV(B4:B18)</f>
        <v>15.54655068158973</v>
      </c>
    </row>
    <row r="21" spans="1:10">
      <c r="A21" t="s">
        <v>3972</v>
      </c>
      <c r="B21" s="627">
        <f>COUNTIF(C4:C18,1)</f>
        <v>4</v>
      </c>
    </row>
    <row r="22" spans="1:10">
      <c r="A22" t="s">
        <v>3973</v>
      </c>
      <c r="B22" s="627">
        <f>COUNTIF(C4:C18,-1)</f>
        <v>10</v>
      </c>
      <c r="G22" t="s">
        <v>210</v>
      </c>
      <c r="H22" t="s">
        <v>211</v>
      </c>
      <c r="I22" t="s">
        <v>555</v>
      </c>
      <c r="J22" t="s">
        <v>212</v>
      </c>
    </row>
    <row r="23" spans="1:10">
      <c r="A23" t="s">
        <v>3974</v>
      </c>
      <c r="B23" s="627">
        <f>B21+B22</f>
        <v>14</v>
      </c>
      <c r="G23">
        <v>1</v>
      </c>
      <c r="H23">
        <v>3</v>
      </c>
      <c r="I23">
        <f t="shared" ref="I23:I37" si="2">NORMSINV(G23/I$18)</f>
        <v>-1.8339146358159142</v>
      </c>
      <c r="J23">
        <f t="shared" ref="J23:J37" si="3">STANDARDIZE(H23,H$19,H$20)</f>
        <v>-0.99914982117081141</v>
      </c>
    </row>
    <row r="24" spans="1:10">
      <c r="A24" t="s">
        <v>200</v>
      </c>
      <c r="B24" s="544">
        <f>BINOMDIST(B21,B23,0.5,TRUE)</f>
        <v>8.9782714843750028E-2</v>
      </c>
      <c r="G24">
        <f>G23+2</f>
        <v>3</v>
      </c>
      <c r="H24">
        <v>7</v>
      </c>
      <c r="I24">
        <f t="shared" si="2"/>
        <v>-1.2815515655446006</v>
      </c>
      <c r="J24">
        <f t="shared" si="3"/>
        <v>-0.741858021727684</v>
      </c>
    </row>
    <row r="25" spans="1:10">
      <c r="G25">
        <f t="shared" ref="G25:G37" si="4">G24+2</f>
        <v>5</v>
      </c>
      <c r="H25">
        <v>8</v>
      </c>
      <c r="I25">
        <f t="shared" si="2"/>
        <v>-0.96742156610170071</v>
      </c>
      <c r="J25">
        <f t="shared" si="3"/>
        <v>-0.67753507186690221</v>
      </c>
    </row>
    <row r="26" spans="1:10">
      <c r="A26" t="s">
        <v>1834</v>
      </c>
      <c r="G26">
        <f t="shared" si="4"/>
        <v>7</v>
      </c>
      <c r="H26">
        <v>8</v>
      </c>
      <c r="I26">
        <f t="shared" si="2"/>
        <v>-0.72791329088164469</v>
      </c>
      <c r="J26">
        <f t="shared" si="3"/>
        <v>-0.67753507186690221</v>
      </c>
    </row>
    <row r="27" spans="1:10">
      <c r="G27">
        <f t="shared" si="4"/>
        <v>9</v>
      </c>
      <c r="H27">
        <v>9</v>
      </c>
      <c r="I27">
        <f t="shared" si="2"/>
        <v>-0.52440051270804089</v>
      </c>
      <c r="J27">
        <f t="shared" si="3"/>
        <v>-0.6132121220061203</v>
      </c>
    </row>
    <row r="28" spans="1:10">
      <c r="A28" t="s">
        <v>200</v>
      </c>
      <c r="G28">
        <f t="shared" si="4"/>
        <v>11</v>
      </c>
      <c r="H28">
        <v>9</v>
      </c>
      <c r="I28">
        <f t="shared" si="2"/>
        <v>-0.34069482708779553</v>
      </c>
      <c r="J28">
        <f t="shared" si="3"/>
        <v>-0.6132121220061203</v>
      </c>
    </row>
    <row r="29" spans="1:10">
      <c r="A29" t="s">
        <v>3476</v>
      </c>
      <c r="B29" s="1235" t="e">
        <f ca="1">[1]!SignTest(B4:B18,20)</f>
        <v>#NAME?</v>
      </c>
      <c r="G29">
        <f t="shared" si="4"/>
        <v>13</v>
      </c>
      <c r="H29">
        <v>10</v>
      </c>
      <c r="I29">
        <f t="shared" si="2"/>
        <v>-0.16789400478810546</v>
      </c>
      <c r="J29">
        <f t="shared" si="3"/>
        <v>-0.5488891721453385</v>
      </c>
    </row>
    <row r="30" spans="1:10">
      <c r="A30" t="s">
        <v>3477</v>
      </c>
      <c r="B30" s="544" t="e">
        <f ca="1">[1]!SignTest(B4:B18,20,2)</f>
        <v>#NAME?</v>
      </c>
      <c r="G30">
        <f t="shared" si="4"/>
        <v>15</v>
      </c>
      <c r="H30">
        <v>12</v>
      </c>
      <c r="I30">
        <f t="shared" si="2"/>
        <v>0</v>
      </c>
      <c r="J30">
        <f t="shared" si="3"/>
        <v>-0.42024327242377479</v>
      </c>
    </row>
    <row r="31" spans="1:10">
      <c r="G31">
        <f t="shared" si="4"/>
        <v>17</v>
      </c>
      <c r="H31">
        <v>12</v>
      </c>
      <c r="I31">
        <f t="shared" si="2"/>
        <v>0.16789400478810546</v>
      </c>
      <c r="J31">
        <f t="shared" si="3"/>
        <v>-0.42024327242377479</v>
      </c>
    </row>
    <row r="32" spans="1:10">
      <c r="G32">
        <f t="shared" si="4"/>
        <v>19</v>
      </c>
      <c r="H32">
        <v>15</v>
      </c>
      <c r="I32">
        <f t="shared" si="2"/>
        <v>0.34069482708779542</v>
      </c>
      <c r="J32">
        <f t="shared" si="3"/>
        <v>-0.22727442284142929</v>
      </c>
    </row>
    <row r="33" spans="7:10">
      <c r="G33">
        <f t="shared" si="4"/>
        <v>21</v>
      </c>
      <c r="H33">
        <v>20</v>
      </c>
      <c r="I33">
        <f t="shared" si="2"/>
        <v>0.52440051270804078</v>
      </c>
      <c r="J33">
        <f t="shared" si="3"/>
        <v>9.4340326462479931E-2</v>
      </c>
    </row>
    <row r="34" spans="7:10">
      <c r="G34">
        <f t="shared" si="4"/>
        <v>23</v>
      </c>
      <c r="H34">
        <v>25</v>
      </c>
      <c r="I34">
        <f t="shared" si="2"/>
        <v>0.72791329088164458</v>
      </c>
      <c r="J34">
        <f t="shared" si="3"/>
        <v>0.41595507576638913</v>
      </c>
    </row>
    <row r="35" spans="7:10">
      <c r="G35">
        <f t="shared" si="4"/>
        <v>25</v>
      </c>
      <c r="H35">
        <v>45</v>
      </c>
      <c r="I35">
        <f t="shared" si="2"/>
        <v>0.96742156610170071</v>
      </c>
      <c r="J35">
        <f t="shared" si="3"/>
        <v>1.7024140729820261</v>
      </c>
    </row>
    <row r="36" spans="7:10">
      <c r="G36">
        <f t="shared" si="4"/>
        <v>27</v>
      </c>
      <c r="H36">
        <v>45</v>
      </c>
      <c r="I36">
        <f t="shared" si="2"/>
        <v>1.2815515655446006</v>
      </c>
      <c r="J36">
        <f t="shared" si="3"/>
        <v>1.7024140729820261</v>
      </c>
    </row>
    <row r="37" spans="7:10">
      <c r="G37">
        <f t="shared" si="4"/>
        <v>29</v>
      </c>
      <c r="H37">
        <v>50</v>
      </c>
      <c r="I37">
        <f t="shared" si="2"/>
        <v>1.8339146358159142</v>
      </c>
      <c r="J37">
        <f t="shared" si="3"/>
        <v>2.0240288222859353</v>
      </c>
    </row>
  </sheetData>
  <sortState ref="G4:G8">
    <sortCondition ref="G4"/>
  </sortState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sheetPr codeName="Sheet356"/>
  <dimension ref="A1:I17"/>
  <sheetViews>
    <sheetView workbookViewId="0"/>
  </sheetViews>
  <sheetFormatPr defaultRowHeight="14.4"/>
  <cols>
    <col min="1" max="1" width="7.5546875" customWidth="1"/>
    <col min="4" max="4" width="5.6640625" customWidth="1"/>
    <col min="5" max="5" width="9.88671875" customWidth="1"/>
    <col min="8" max="8" width="3" customWidth="1"/>
    <col min="9" max="9" width="26.88671875" customWidth="1"/>
  </cols>
  <sheetData>
    <row r="1" spans="1:9">
      <c r="A1" s="123" t="s">
        <v>4030</v>
      </c>
    </row>
    <row r="3" spans="1:9">
      <c r="B3" s="687" t="s">
        <v>239</v>
      </c>
      <c r="C3" s="687" t="s">
        <v>240</v>
      </c>
      <c r="E3" t="s">
        <v>78</v>
      </c>
      <c r="F3" s="756">
        <f>MEDIAN(B4:C15)</f>
        <v>18</v>
      </c>
      <c r="I3" t="e">
        <f ca="1">[1]!FTEXT(F3)</f>
        <v>#NAME?</v>
      </c>
    </row>
    <row r="4" spans="1:9">
      <c r="B4">
        <v>11</v>
      </c>
      <c r="C4">
        <v>34</v>
      </c>
    </row>
    <row r="5" spans="1:9">
      <c r="B5">
        <v>15</v>
      </c>
      <c r="C5">
        <v>31</v>
      </c>
      <c r="F5" s="1444" t="str">
        <f>B3</f>
        <v>Control</v>
      </c>
      <c r="G5" s="1444" t="str">
        <f>C3</f>
        <v>Drug</v>
      </c>
    </row>
    <row r="6" spans="1:9">
      <c r="B6">
        <v>9</v>
      </c>
      <c r="C6">
        <v>35</v>
      </c>
      <c r="E6" t="s">
        <v>4033</v>
      </c>
      <c r="F6" s="4">
        <f>COUNTIF(B4:B15,"&gt;"&amp;$F$3)</f>
        <v>3</v>
      </c>
      <c r="G6" s="6">
        <f>COUNTIF(C4:C15,"&gt;"&amp;$F$3)</f>
        <v>8</v>
      </c>
      <c r="I6" t="e">
        <f ca="1">[1]!FTEXT(F6)</f>
        <v>#NAME?</v>
      </c>
    </row>
    <row r="7" spans="1:9">
      <c r="B7">
        <v>4</v>
      </c>
      <c r="C7">
        <v>29</v>
      </c>
      <c r="E7" t="s">
        <v>4034</v>
      </c>
      <c r="F7" s="533">
        <f>COUNT(B4:B15)-F6</f>
        <v>9</v>
      </c>
      <c r="G7" s="541">
        <f>COUNT(C4:C15)-G6</f>
        <v>4</v>
      </c>
      <c r="I7" t="e">
        <f ca="1">[1]!FTEXT(F7)</f>
        <v>#NAME?</v>
      </c>
    </row>
    <row r="8" spans="1:9">
      <c r="B8">
        <v>34</v>
      </c>
      <c r="C8">
        <v>28</v>
      </c>
    </row>
    <row r="9" spans="1:9">
      <c r="B9">
        <v>17</v>
      </c>
      <c r="C9">
        <v>12</v>
      </c>
      <c r="E9" t="s">
        <v>339</v>
      </c>
      <c r="F9" s="48" t="e">
        <f ca="1">[1]!chi_stat(F6:G7)</f>
        <v>#NAME?</v>
      </c>
      <c r="I9" s="23" t="s">
        <v>4035</v>
      </c>
    </row>
    <row r="10" spans="1:9">
      <c r="B10">
        <v>18</v>
      </c>
      <c r="C10">
        <v>18</v>
      </c>
      <c r="E10" t="s">
        <v>200</v>
      </c>
      <c r="F10" s="544" t="e">
        <f ca="1">[1]!CHI_TESt(F6:G7)</f>
        <v>#NAME?</v>
      </c>
      <c r="I10" s="23" t="s">
        <v>4036</v>
      </c>
    </row>
    <row r="11" spans="1:9">
      <c r="B11">
        <v>14</v>
      </c>
      <c r="C11">
        <v>30</v>
      </c>
    </row>
    <row r="12" spans="1:9">
      <c r="B12">
        <v>12</v>
      </c>
      <c r="C12">
        <v>14</v>
      </c>
      <c r="E12" t="s">
        <v>339</v>
      </c>
      <c r="F12" s="48" t="e">
        <f ca="1">[1]!MOODS_STAT(B4:C15)</f>
        <v>#NAME?</v>
      </c>
      <c r="I12" s="23" t="e">
        <f ca="1">[1]!FTEXT(F12)</f>
        <v>#NAME?</v>
      </c>
    </row>
    <row r="13" spans="1:9">
      <c r="B13">
        <v>13</v>
      </c>
      <c r="C13">
        <v>22</v>
      </c>
      <c r="E13" t="s">
        <v>200</v>
      </c>
      <c r="F13" s="544" t="e">
        <f ca="1">[1]!MOODS_TEST(B4:C15)</f>
        <v>#NAME?</v>
      </c>
      <c r="I13" s="23" t="e">
        <f ca="1">[1]!FTEXT(F13)</f>
        <v>#NAME?</v>
      </c>
    </row>
    <row r="14" spans="1:9">
      <c r="B14">
        <v>26</v>
      </c>
      <c r="C14">
        <v>10</v>
      </c>
    </row>
    <row r="15" spans="1:9">
      <c r="B15" s="11">
        <v>31</v>
      </c>
      <c r="C15" s="11">
        <v>29</v>
      </c>
    </row>
    <row r="16" spans="1:9">
      <c r="A16" t="s">
        <v>63</v>
      </c>
      <c r="B16">
        <f>AVERAGE(B4:B15)</f>
        <v>17</v>
      </c>
      <c r="C16">
        <f>AVERAGE(C4:C15)</f>
        <v>24.333333333333332</v>
      </c>
    </row>
    <row r="17" spans="1:3">
      <c r="A17" t="s">
        <v>1001</v>
      </c>
      <c r="B17" s="1078">
        <f>MEDIAN(B4:B15)</f>
        <v>14.5</v>
      </c>
      <c r="C17" s="1078">
        <f>MEDIAN(C4:C15)</f>
        <v>28.5</v>
      </c>
    </row>
  </sheetData>
  <pageMargins left="0.7" right="0.7" top="0.75" bottom="0.75" header="0.3" footer="0.3"/>
  <pageSetup paperSize="9"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>
  <sheetPr codeName="Sheet211"/>
  <dimension ref="A1:AA29"/>
  <sheetViews>
    <sheetView workbookViewId="0">
      <selection activeCell="P22" sqref="P22"/>
    </sheetView>
  </sheetViews>
  <sheetFormatPr defaultRowHeight="14.4"/>
  <sheetData>
    <row r="1" spans="1:27">
      <c r="A1" s="123" t="s">
        <v>1809</v>
      </c>
    </row>
    <row r="3" spans="1:27">
      <c r="A3" s="687" t="s">
        <v>239</v>
      </c>
      <c r="B3" s="687" t="s">
        <v>240</v>
      </c>
      <c r="D3" t="s">
        <v>209</v>
      </c>
      <c r="R3" t="s">
        <v>219</v>
      </c>
    </row>
    <row r="4" spans="1:27">
      <c r="A4">
        <v>11</v>
      </c>
      <c r="B4">
        <v>34</v>
      </c>
    </row>
    <row r="5" spans="1:27" ht="15" thickBot="1">
      <c r="A5">
        <v>15</v>
      </c>
      <c r="B5">
        <v>31</v>
      </c>
      <c r="D5" t="s">
        <v>88</v>
      </c>
      <c r="E5">
        <f>COUNT(A4:A15)</f>
        <v>12</v>
      </c>
      <c r="F5">
        <f>2*E5</f>
        <v>24</v>
      </c>
      <c r="R5" t="s">
        <v>194</v>
      </c>
      <c r="U5" t="s">
        <v>221</v>
      </c>
      <c r="V5">
        <v>0</v>
      </c>
    </row>
    <row r="6" spans="1:27" ht="15" thickTop="1">
      <c r="A6">
        <v>9</v>
      </c>
      <c r="B6">
        <v>35</v>
      </c>
      <c r="D6" t="s">
        <v>76</v>
      </c>
      <c r="E6">
        <f>AVERAGE(A4:A15)</f>
        <v>17</v>
      </c>
      <c r="R6" s="1151" t="s">
        <v>222</v>
      </c>
      <c r="S6" s="1151" t="s">
        <v>88</v>
      </c>
      <c r="T6" s="1151" t="s">
        <v>76</v>
      </c>
      <c r="U6" s="1151" t="s">
        <v>223</v>
      </c>
      <c r="V6" s="1151" t="s">
        <v>196</v>
      </c>
    </row>
    <row r="7" spans="1:27">
      <c r="A7">
        <v>4</v>
      </c>
      <c r="B7">
        <v>29</v>
      </c>
      <c r="D7" t="s">
        <v>182</v>
      </c>
      <c r="E7">
        <f>STDEV(A4:A15)</f>
        <v>8.9949480770647536</v>
      </c>
      <c r="R7" t="str">
        <f>A3</f>
        <v>Control</v>
      </c>
      <c r="S7">
        <f>COUNT(A4:A15)</f>
        <v>12</v>
      </c>
      <c r="T7">
        <f>AVERAGE(A4:A15)</f>
        <v>17</v>
      </c>
      <c r="U7">
        <f>VAR(A4:A15)</f>
        <v>80.909090909090907</v>
      </c>
    </row>
    <row r="8" spans="1:27">
      <c r="A8">
        <v>34</v>
      </c>
      <c r="B8">
        <v>28</v>
      </c>
      <c r="R8" t="str">
        <f>B3</f>
        <v>Drug</v>
      </c>
      <c r="S8">
        <f>COUNT(B4:B15)</f>
        <v>12</v>
      </c>
      <c r="T8">
        <f>AVERAGE(B4:B15)</f>
        <v>24.333333333333332</v>
      </c>
      <c r="U8">
        <f>VAR(B4:B15)</f>
        <v>77.333333333333357</v>
      </c>
    </row>
    <row r="9" spans="1:27">
      <c r="A9">
        <v>17</v>
      </c>
      <c r="B9">
        <v>12</v>
      </c>
      <c r="D9" t="s">
        <v>210</v>
      </c>
      <c r="E9" t="s">
        <v>211</v>
      </c>
      <c r="F9" t="s">
        <v>555</v>
      </c>
      <c r="G9" t="s">
        <v>212</v>
      </c>
      <c r="R9" s="1234" t="s">
        <v>225</v>
      </c>
      <c r="S9" s="1234"/>
      <c r="T9" s="1234"/>
      <c r="U9" s="1234">
        <f>((S7-1)*U7+(S8-1)*U8)/(S7+S8-2)</f>
        <v>79.121212121212139</v>
      </c>
      <c r="V9" s="1234">
        <f>ABS(T7-T8-V5)/SQRT(U9)</f>
        <v>0.82443222728303567</v>
      </c>
    </row>
    <row r="10" spans="1:27">
      <c r="A10">
        <v>18</v>
      </c>
      <c r="B10">
        <v>18</v>
      </c>
      <c r="D10">
        <v>1</v>
      </c>
      <c r="E10">
        <v>4</v>
      </c>
      <c r="F10">
        <f>NORMSINV(D10/F$5)</f>
        <v>-1.7316643961222451</v>
      </c>
      <c r="G10">
        <f>STANDARDIZE(E10,E$6,E$7)</f>
        <v>-1.4452557022699548</v>
      </c>
    </row>
    <row r="11" spans="1:27" ht="15" thickBot="1">
      <c r="A11">
        <v>14</v>
      </c>
      <c r="B11">
        <v>30</v>
      </c>
      <c r="D11">
        <f>D10+2</f>
        <v>3</v>
      </c>
      <c r="E11">
        <v>9</v>
      </c>
      <c r="F11">
        <f t="shared" ref="F11:F21" si="0">NORMSINV(D11/F$5)</f>
        <v>-1.1503493803760083</v>
      </c>
      <c r="G11">
        <f t="shared" ref="G11:G21" si="1">STANDARDIZE(E11,E$6,E$7)</f>
        <v>-0.88938812447381832</v>
      </c>
      <c r="R11" t="s">
        <v>228</v>
      </c>
      <c r="V11" t="s">
        <v>116</v>
      </c>
      <c r="W11">
        <v>0.05</v>
      </c>
    </row>
    <row r="12" spans="1:27" ht="15" thickTop="1">
      <c r="A12">
        <v>12</v>
      </c>
      <c r="B12">
        <v>14</v>
      </c>
      <c r="D12">
        <f t="shared" ref="D12:D19" si="2">D11+2</f>
        <v>5</v>
      </c>
      <c r="E12">
        <v>11</v>
      </c>
      <c r="F12">
        <f t="shared" si="0"/>
        <v>-0.81221780149991241</v>
      </c>
      <c r="G12">
        <f t="shared" si="1"/>
        <v>-0.66704109335536377</v>
      </c>
      <c r="R12" s="1151" t="s">
        <v>199</v>
      </c>
      <c r="S12" s="1151" t="s">
        <v>1469</v>
      </c>
      <c r="T12" s="1151" t="s">
        <v>264</v>
      </c>
      <c r="U12" s="1151" t="s">
        <v>186</v>
      </c>
      <c r="V12" s="1151" t="s">
        <v>200</v>
      </c>
      <c r="W12" s="1151" t="s">
        <v>201</v>
      </c>
      <c r="X12" s="1151" t="s">
        <v>103</v>
      </c>
      <c r="Y12" s="1151" t="s">
        <v>104</v>
      </c>
      <c r="Z12" s="1151" t="s">
        <v>948</v>
      </c>
      <c r="AA12" s="1151" t="s">
        <v>1478</v>
      </c>
    </row>
    <row r="13" spans="1:27">
      <c r="A13">
        <v>13</v>
      </c>
      <c r="B13">
        <v>22</v>
      </c>
      <c r="D13">
        <f t="shared" si="2"/>
        <v>7</v>
      </c>
      <c r="E13">
        <v>12</v>
      </c>
      <c r="F13">
        <f t="shared" si="0"/>
        <v>-0.54852228269809788</v>
      </c>
      <c r="G13">
        <f t="shared" si="1"/>
        <v>-0.55586757779613649</v>
      </c>
      <c r="R13" t="s">
        <v>203</v>
      </c>
      <c r="S13">
        <f>SQRT(U9*(1/S7+1/S8))</f>
        <v>3.6313728377665502</v>
      </c>
      <c r="T13">
        <f>(ABS(T7-T8-V5))/S13</f>
        <v>2.0194382843496856</v>
      </c>
      <c r="U13">
        <f>S7+S8-2</f>
        <v>22</v>
      </c>
      <c r="V13">
        <f>TDIST(T13,U13,1)</f>
        <v>2.7894181900868845E-2</v>
      </c>
      <c r="W13">
        <f>TINV(W11*2,U13)</f>
        <v>1.7171443743802424</v>
      </c>
      <c r="Z13" s="1330" t="str">
        <f>IF(V13&lt;W11,"yes","no")</f>
        <v>yes</v>
      </c>
      <c r="AA13">
        <f>SQRT(T13^2/(T13^2+U13))</f>
        <v>0.39545070501508839</v>
      </c>
    </row>
    <row r="14" spans="1:27">
      <c r="A14">
        <v>26</v>
      </c>
      <c r="B14">
        <v>10</v>
      </c>
      <c r="D14">
        <f t="shared" si="2"/>
        <v>9</v>
      </c>
      <c r="E14">
        <v>13</v>
      </c>
      <c r="F14">
        <f t="shared" si="0"/>
        <v>-0.3186393639643752</v>
      </c>
      <c r="G14">
        <f t="shared" si="1"/>
        <v>-0.44469406223690916</v>
      </c>
      <c r="R14" t="s">
        <v>204</v>
      </c>
      <c r="S14">
        <f>S13</f>
        <v>3.6313728377665502</v>
      </c>
      <c r="T14">
        <f>T13</f>
        <v>2.0194382843496856</v>
      </c>
      <c r="U14">
        <f>U13</f>
        <v>22</v>
      </c>
      <c r="V14">
        <f>TDIST(T14,U14,2)</f>
        <v>5.5788363801737691E-2</v>
      </c>
      <c r="W14">
        <f>TINV(W11,U14)</f>
        <v>2.0738730679040258</v>
      </c>
      <c r="X14">
        <f>(T7-T8)-W14*S14</f>
        <v>-14.864339661095595</v>
      </c>
      <c r="Y14">
        <f>(T7-T8)+W14*S14</f>
        <v>0.19767299442893105</v>
      </c>
      <c r="Z14" s="1330" t="str">
        <f>IF(V14&lt;W11,"yes","no")</f>
        <v>no</v>
      </c>
      <c r="AA14">
        <f>AA13</f>
        <v>0.39545070501508839</v>
      </c>
    </row>
    <row r="15" spans="1:27">
      <c r="A15" s="11">
        <v>31</v>
      </c>
      <c r="B15" s="11">
        <v>29</v>
      </c>
      <c r="D15">
        <f t="shared" si="2"/>
        <v>11</v>
      </c>
      <c r="E15">
        <v>14</v>
      </c>
      <c r="F15">
        <f t="shared" si="0"/>
        <v>-0.10463345561407539</v>
      </c>
      <c r="G15">
        <f t="shared" si="1"/>
        <v>-0.33352054667768188</v>
      </c>
      <c r="R15" s="1234"/>
      <c r="S15" s="1234"/>
      <c r="T15" s="1234"/>
      <c r="U15" s="1234"/>
      <c r="V15" s="1234"/>
      <c r="W15" s="1234"/>
      <c r="X15" s="1234"/>
      <c r="Y15" s="1234"/>
      <c r="Z15" s="1234"/>
      <c r="AA15" s="1234"/>
    </row>
    <row r="16" spans="1:27" ht="15" thickBot="1">
      <c r="D16">
        <f t="shared" si="2"/>
        <v>13</v>
      </c>
      <c r="E16">
        <v>15</v>
      </c>
      <c r="F16">
        <f t="shared" si="0"/>
        <v>0.10463345561407525</v>
      </c>
      <c r="G16">
        <f t="shared" si="1"/>
        <v>-0.22234703111845458</v>
      </c>
      <c r="R16" t="s">
        <v>233</v>
      </c>
      <c r="V16" t="s">
        <v>116</v>
      </c>
      <c r="W16">
        <f>W11</f>
        <v>0.05</v>
      </c>
    </row>
    <row r="17" spans="4:27" ht="15" thickTop="1">
      <c r="D17">
        <f t="shared" si="2"/>
        <v>15</v>
      </c>
      <c r="E17">
        <v>17</v>
      </c>
      <c r="F17">
        <f t="shared" si="0"/>
        <v>0.3186393639643752</v>
      </c>
      <c r="G17">
        <f t="shared" si="1"/>
        <v>0</v>
      </c>
      <c r="R17" s="1151" t="s">
        <v>199</v>
      </c>
      <c r="S17" s="1151" t="s">
        <v>1469</v>
      </c>
      <c r="T17" s="1151" t="s">
        <v>264</v>
      </c>
      <c r="U17" s="1151" t="s">
        <v>186</v>
      </c>
      <c r="V17" s="1151" t="s">
        <v>200</v>
      </c>
      <c r="W17" s="1151" t="s">
        <v>201</v>
      </c>
      <c r="X17" s="1151" t="s">
        <v>103</v>
      </c>
      <c r="Y17" s="1151" t="s">
        <v>104</v>
      </c>
      <c r="Z17" s="1151" t="s">
        <v>948</v>
      </c>
      <c r="AA17" s="1151" t="s">
        <v>1478</v>
      </c>
    </row>
    <row r="18" spans="4:27">
      <c r="D18">
        <f t="shared" si="2"/>
        <v>17</v>
      </c>
      <c r="E18">
        <v>18</v>
      </c>
      <c r="F18">
        <f t="shared" si="0"/>
        <v>0.54852228269809822</v>
      </c>
      <c r="G18">
        <f t="shared" si="1"/>
        <v>0.11117351555922729</v>
      </c>
      <c r="R18" t="s">
        <v>203</v>
      </c>
      <c r="S18">
        <f>SQRT(U7/S7+U8/S8)</f>
        <v>3.6313728377665502</v>
      </c>
      <c r="T18">
        <f>(ABS(T7-T8-V5))/S18</f>
        <v>2.0194382843496856</v>
      </c>
      <c r="U18">
        <f>(U7/S7+U8/S8)^2/((U7/S7)^2/(S7-1)+(U8/S8)^2/(S8-1))</f>
        <v>21.988772288068176</v>
      </c>
      <c r="V18">
        <f>TTEST(A4:A15,B4:B15,1,3)</f>
        <v>2.7897386827463424E-2</v>
      </c>
      <c r="W18">
        <f>TINV(W16*2,ROUND(U18,0))</f>
        <v>1.7171443743802424</v>
      </c>
      <c r="Z18" s="1330" t="str">
        <f>IF(V18&lt;W16,"yes","no")</f>
        <v>yes</v>
      </c>
      <c r="AA18">
        <f>SQRT(T18^2/(T18^2+U18))</f>
        <v>0.39553586144023639</v>
      </c>
    </row>
    <row r="19" spans="4:27">
      <c r="D19">
        <f t="shared" si="2"/>
        <v>19</v>
      </c>
      <c r="E19">
        <v>26</v>
      </c>
      <c r="F19">
        <f t="shared" si="0"/>
        <v>0.81221780149991241</v>
      </c>
      <c r="G19">
        <f t="shared" si="1"/>
        <v>1.0005616400330457</v>
      </c>
      <c r="R19" t="s">
        <v>204</v>
      </c>
      <c r="S19">
        <f>S18</f>
        <v>3.6313728377665502</v>
      </c>
      <c r="T19">
        <f>T18</f>
        <v>2.0194382843496856</v>
      </c>
      <c r="U19">
        <f>U18</f>
        <v>21.988772288068176</v>
      </c>
      <c r="V19">
        <f>TTEST(A4:A15,B4:B15,2,3)</f>
        <v>5.5794773654926848E-2</v>
      </c>
      <c r="W19">
        <f>TINV(W16,ROUND(U19,0))</f>
        <v>2.0738730679040258</v>
      </c>
      <c r="X19">
        <f>(T7-T8)-W19*S19</f>
        <v>-14.864339661095595</v>
      </c>
      <c r="Y19">
        <f>(T7-T8)+W19*S19</f>
        <v>0.19767299442893105</v>
      </c>
      <c r="Z19" s="1330" t="str">
        <f>IF(V19&lt;W16,"yes","no")</f>
        <v>no</v>
      </c>
      <c r="AA19">
        <f>AA18</f>
        <v>0.39553586144023639</v>
      </c>
    </row>
    <row r="20" spans="4:27">
      <c r="D20">
        <f>D19+2</f>
        <v>21</v>
      </c>
      <c r="E20">
        <v>31</v>
      </c>
      <c r="F20">
        <f t="shared" si="0"/>
        <v>1.1503493803760083</v>
      </c>
      <c r="G20">
        <f t="shared" si="1"/>
        <v>1.5564292178291821</v>
      </c>
      <c r="R20" s="1234"/>
      <c r="S20" s="1234"/>
      <c r="T20" s="1234"/>
      <c r="U20" s="1234"/>
      <c r="V20" s="1234"/>
      <c r="W20" s="1234"/>
      <c r="X20" s="1234"/>
      <c r="Y20" s="1234"/>
      <c r="Z20" s="1234"/>
      <c r="AA20" s="1234"/>
    </row>
    <row r="21" spans="4:27">
      <c r="D21">
        <f>D20+2</f>
        <v>23</v>
      </c>
      <c r="E21">
        <v>34</v>
      </c>
      <c r="F21">
        <f t="shared" si="0"/>
        <v>1.7316643961222455</v>
      </c>
      <c r="G21">
        <f t="shared" si="1"/>
        <v>1.8899497645068639</v>
      </c>
    </row>
    <row r="24" spans="4:27">
      <c r="J24" s="19" t="s">
        <v>239</v>
      </c>
      <c r="K24" s="19" t="s">
        <v>240</v>
      </c>
    </row>
    <row r="25" spans="4:27">
      <c r="I25" t="s">
        <v>160</v>
      </c>
      <c r="J25">
        <f>MIN(A4:A15)</f>
        <v>4</v>
      </c>
      <c r="K25">
        <f>MIN(B4:B15)</f>
        <v>10</v>
      </c>
    </row>
    <row r="26" spans="4:27">
      <c r="I26" t="s">
        <v>161</v>
      </c>
      <c r="J26">
        <f>QUARTILE(A4:A15,1)-J25</f>
        <v>7.75</v>
      </c>
      <c r="K26">
        <f>QUARTILE(B4:B15,1)-K25</f>
        <v>7</v>
      </c>
    </row>
    <row r="27" spans="4:27">
      <c r="I27" t="s">
        <v>162</v>
      </c>
      <c r="J27">
        <f>MEDIAN(A4:A15)-QUARTILE(A4:A15,1)</f>
        <v>2.75</v>
      </c>
      <c r="K27">
        <f>MEDIAN(B4:B15)-QUARTILE(B4:B15,1)</f>
        <v>11.5</v>
      </c>
    </row>
    <row r="28" spans="4:27">
      <c r="I28" t="s">
        <v>163</v>
      </c>
      <c r="J28">
        <f>QUARTILE(A4:A15,3)-MEDIAN(A4:A15)</f>
        <v>5.5</v>
      </c>
      <c r="K28">
        <f>QUARTILE(B4:B15,3)-MEDIAN(B4:B15)</f>
        <v>1.75</v>
      </c>
    </row>
    <row r="29" spans="4:27">
      <c r="I29" t="s">
        <v>164</v>
      </c>
      <c r="J29">
        <f>MAX(A4:A15)-QUARTILE(A4:A15,3)</f>
        <v>14</v>
      </c>
      <c r="K29">
        <f>MAX(B4:B15)-QUARTILE(B4:B15,3)</f>
        <v>4.75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sheetPr codeName="Sheet213"/>
  <dimension ref="A1:P18"/>
  <sheetViews>
    <sheetView workbookViewId="0">
      <selection activeCell="P22" sqref="P22"/>
    </sheetView>
  </sheetViews>
  <sheetFormatPr defaultRowHeight="14.4"/>
  <cols>
    <col min="3" max="3" width="5.6640625" customWidth="1"/>
    <col min="6" max="6" width="5.44140625" customWidth="1"/>
    <col min="11" max="11" width="2.33203125" customWidth="1"/>
    <col min="12" max="12" width="21.5546875" customWidth="1"/>
    <col min="15" max="15" width="3.6640625" customWidth="1"/>
    <col min="16" max="16" width="27.44140625" customWidth="1"/>
  </cols>
  <sheetData>
    <row r="1" spans="1:16">
      <c r="A1" s="123" t="s">
        <v>1809</v>
      </c>
    </row>
    <row r="2" spans="1:16">
      <c r="A2" s="123"/>
    </row>
    <row r="3" spans="1:16">
      <c r="A3" s="122" t="s">
        <v>1810</v>
      </c>
      <c r="D3" t="s">
        <v>548</v>
      </c>
    </row>
    <row r="4" spans="1:16">
      <c r="H4" s="19" t="s">
        <v>239</v>
      </c>
      <c r="I4" s="19" t="s">
        <v>240</v>
      </c>
    </row>
    <row r="5" spans="1:16">
      <c r="A5" s="687" t="s">
        <v>239</v>
      </c>
      <c r="B5" s="687" t="s">
        <v>240</v>
      </c>
      <c r="D5" s="687" t="s">
        <v>239</v>
      </c>
      <c r="E5" s="687" t="s">
        <v>240</v>
      </c>
      <c r="G5" t="s">
        <v>554</v>
      </c>
      <c r="H5" s="553">
        <f>COUNT(A6:A17)</f>
        <v>12</v>
      </c>
      <c r="I5" s="667">
        <f>COUNT(B6:B17)</f>
        <v>12</v>
      </c>
      <c r="N5" s="1235" t="e">
        <f ca="1">2*[1]!PERM2DIST(H6,H5,I5,TRUE)</f>
        <v>#NAME?</v>
      </c>
      <c r="P5" t="e">
        <f ca="1">[1]!FTEXT(N5)</f>
        <v>#NAME?</v>
      </c>
    </row>
    <row r="6" spans="1:16">
      <c r="A6">
        <v>11</v>
      </c>
      <c r="B6">
        <v>34</v>
      </c>
      <c r="D6" t="e">
        <f ca="1">IF(A6&lt;&gt;"",[1]!RANK_AVG(A6,$A$6:$B$17,1),"")</f>
        <v>#NAME?</v>
      </c>
      <c r="E6" t="e">
        <f ca="1">IF(B6&lt;&gt;"",[1]!RANK_AVG(B6,$A$6:$B$17,1),"")</f>
        <v>#NAME?</v>
      </c>
      <c r="G6" t="s">
        <v>1813</v>
      </c>
      <c r="H6" s="10" t="e">
        <f ca="1">D18</f>
        <v>#NAME?</v>
      </c>
      <c r="I6" s="12" t="e">
        <f ca="1">E18</f>
        <v>#NAME?</v>
      </c>
      <c r="N6" s="544" t="e">
        <f ca="1">[1]!PERM2INV(H8/2,H5,I5)</f>
        <v>#NAME?</v>
      </c>
      <c r="P6" t="e">
        <f ca="1">[1]!FTEXT(N6)</f>
        <v>#NAME?</v>
      </c>
    </row>
    <row r="7" spans="1:16">
      <c r="A7">
        <v>15</v>
      </c>
      <c r="B7">
        <v>31</v>
      </c>
      <c r="D7" t="e">
        <f ca="1">IF(A7&lt;&gt;"",[1]!RANK_AVG(A7,$A$6:$B$17,1),"")</f>
        <v>#NAME?</v>
      </c>
      <c r="E7" t="e">
        <f ca="1">IF(B7&lt;&gt;"",[1]!RANK_AVG(B7,$A$6:$B$17,1),"")</f>
        <v>#NAME?</v>
      </c>
    </row>
    <row r="8" spans="1:16">
      <c r="A8">
        <v>9</v>
      </c>
      <c r="B8">
        <v>35</v>
      </c>
      <c r="D8" t="e">
        <f ca="1">IF(A8&lt;&gt;"",[1]!RANK_AVG(A8,$A$6:$B$17,1),"")</f>
        <v>#NAME?</v>
      </c>
      <c r="E8" t="e">
        <f ca="1">IF(B8&lt;&gt;"",[1]!RANK_AVG(B8,$A$6:$B$17,1),"")</f>
        <v>#NAME?</v>
      </c>
      <c r="G8" s="172" t="s">
        <v>157</v>
      </c>
      <c r="H8" s="542">
        <v>0.05</v>
      </c>
    </row>
    <row r="9" spans="1:16">
      <c r="A9">
        <v>4</v>
      </c>
      <c r="B9">
        <v>29</v>
      </c>
      <c r="D9" t="e">
        <f ca="1">IF(A9&lt;&gt;"",[1]!RANK_AVG(A9,$A$6:$B$17,1),"")</f>
        <v>#NAME?</v>
      </c>
      <c r="E9" t="e">
        <f ca="1">IF(B9&lt;&gt;"",[1]!RANK_AVG(B9,$A$6:$B$17,1),"")</f>
        <v>#NAME?</v>
      </c>
      <c r="G9" s="172" t="s">
        <v>1178</v>
      </c>
      <c r="H9" s="627">
        <v>2</v>
      </c>
    </row>
    <row r="10" spans="1:16">
      <c r="A10">
        <v>34</v>
      </c>
      <c r="B10">
        <v>28</v>
      </c>
      <c r="D10" t="e">
        <f ca="1">IF(A10&lt;&gt;"",[1]!RANK_AVG(A10,$A$6:$B$17,1),"")</f>
        <v>#NAME?</v>
      </c>
      <c r="E10" t="e">
        <f ca="1">IF(B10&lt;&gt;"",[1]!RANK_AVG(B10,$A$6:$B$17,1),"")</f>
        <v>#NAME?</v>
      </c>
      <c r="G10" s="172" t="s">
        <v>1513</v>
      </c>
      <c r="H10" s="627" t="e">
        <f ca="1">MIN(H6:I6)</f>
        <v>#NAME?</v>
      </c>
      <c r="J10" s="48" t="e">
        <f ca="1">[1]!WILCOXON(A6:B17)</f>
        <v>#NAME?</v>
      </c>
      <c r="L10" s="23" t="s">
        <v>2584</v>
      </c>
    </row>
    <row r="11" spans="1:16">
      <c r="A11">
        <v>17</v>
      </c>
      <c r="B11">
        <v>12</v>
      </c>
      <c r="D11" t="e">
        <f ca="1">IF(A11&lt;&gt;"",[1]!RANK_AVG(A11,$A$6:$B$17,1),"")</f>
        <v>#NAME?</v>
      </c>
      <c r="E11" t="e">
        <f ca="1">IF(B11&lt;&gt;"",[1]!RANK_AVG(B11,$A$6:$B$17,1),"")</f>
        <v>#NAME?</v>
      </c>
      <c r="G11" s="66" t="s">
        <v>1812</v>
      </c>
      <c r="H11" s="627">
        <f>'Wilcoxon Table'!M75</f>
        <v>115</v>
      </c>
      <c r="J11" s="627" t="e">
        <f ca="1">[1]!wcrit(H5,I5,H8,H9)</f>
        <v>#NAME?</v>
      </c>
      <c r="L11" s="23" t="s">
        <v>2108</v>
      </c>
    </row>
    <row r="12" spans="1:16">
      <c r="A12">
        <v>18</v>
      </c>
      <c r="B12">
        <v>18</v>
      </c>
      <c r="D12" t="e">
        <f ca="1">IF(A12&lt;&gt;"",[1]!RANK_AVG(A12,$A$6:$B$17,1),"")</f>
        <v>#NAME?</v>
      </c>
      <c r="E12" t="e">
        <f ca="1">IF(B12&lt;&gt;"",[1]!RANK_AVG(B12,$A$6:$B$17,1),"")</f>
        <v>#NAME?</v>
      </c>
      <c r="G12" s="66" t="s">
        <v>948</v>
      </c>
      <c r="H12" s="538" t="e">
        <f ca="1">IF(H10&lt;H11,"yes","no")</f>
        <v>#NAME?</v>
      </c>
      <c r="J12" s="544" t="e">
        <f ca="1">[1]!WPROB(H10,H5,I5,H9)</f>
        <v>#NAME?</v>
      </c>
      <c r="L12" s="23" t="s">
        <v>3711</v>
      </c>
    </row>
    <row r="13" spans="1:16">
      <c r="A13">
        <v>14</v>
      </c>
      <c r="B13">
        <v>30</v>
      </c>
      <c r="D13" t="e">
        <f ca="1">IF(A13&lt;&gt;"",[1]!RANK_AVG(A13,$A$6:$B$17,1),"")</f>
        <v>#NAME?</v>
      </c>
      <c r="E13" t="e">
        <f ca="1">IF(B13&lt;&gt;"",[1]!RANK_AVG(B13,$A$6:$B$17,1),"")</f>
        <v>#NAME?</v>
      </c>
    </row>
    <row r="14" spans="1:16">
      <c r="A14">
        <v>12</v>
      </c>
      <c r="B14">
        <v>14</v>
      </c>
      <c r="D14" t="e">
        <f ca="1">IF(A14&lt;&gt;"",[1]!RANK_AVG(A14,$A$6:$B$17,1),"")</f>
        <v>#NAME?</v>
      </c>
      <c r="E14" t="e">
        <f ca="1">IF(B14&lt;&gt;"",[1]!RANK_AVG(B14,$A$6:$B$17,1),"")</f>
        <v>#NAME?</v>
      </c>
    </row>
    <row r="15" spans="1:16">
      <c r="A15">
        <v>13</v>
      </c>
      <c r="B15">
        <v>22</v>
      </c>
      <c r="D15" t="e">
        <f ca="1">IF(A15&lt;&gt;"",[1]!RANK_AVG(A15,$A$6:$B$17,1),"")</f>
        <v>#NAME?</v>
      </c>
      <c r="E15" t="e">
        <f ca="1">IF(B15&lt;&gt;"",[1]!RANK_AVG(B15,$A$6:$B$17,1),"")</f>
        <v>#NAME?</v>
      </c>
    </row>
    <row r="16" spans="1:16">
      <c r="A16">
        <v>26</v>
      </c>
      <c r="B16">
        <v>10</v>
      </c>
      <c r="D16" t="e">
        <f ca="1">IF(A16&lt;&gt;"",[1]!RANK_AVG(A16,$A$6:$B$17,1),"")</f>
        <v>#NAME?</v>
      </c>
      <c r="E16" t="e">
        <f ca="1">IF(B16&lt;&gt;"",[1]!RANK_AVG(B16,$A$6:$B$17,1),"")</f>
        <v>#NAME?</v>
      </c>
    </row>
    <row r="17" spans="1:5">
      <c r="A17" s="11">
        <v>31</v>
      </c>
      <c r="B17" s="11">
        <v>29</v>
      </c>
      <c r="D17" s="11" t="e">
        <f ca="1">IF(A17&lt;&gt;"",[1]!RANK_AVG(A17,$A$6:$B$17,1),"")</f>
        <v>#NAME?</v>
      </c>
      <c r="E17" s="11" t="e">
        <f ca="1">IF(B17&lt;&gt;"",[1]!RANK_AVG(B17,$A$6:$B$17,1),"")</f>
        <v>#NAME?</v>
      </c>
    </row>
    <row r="18" spans="1:5">
      <c r="A18">
        <f>AVERAGE(A6:A17)</f>
        <v>17</v>
      </c>
      <c r="B18">
        <f>AVERAGE(B6:B17)</f>
        <v>24.333333333333332</v>
      </c>
      <c r="D18" t="e">
        <f ca="1">SUM(D6:D17)</f>
        <v>#NAME?</v>
      </c>
      <c r="E18" t="e">
        <f ca="1">SUM(E6:E17)</f>
        <v>#NAME?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sheetPr codeName="Sheet212"/>
  <dimension ref="A1:T18"/>
  <sheetViews>
    <sheetView topLeftCell="B1" workbookViewId="0">
      <selection activeCell="P22" sqref="P22"/>
    </sheetView>
  </sheetViews>
  <sheetFormatPr defaultRowHeight="14.4"/>
  <cols>
    <col min="3" max="3" width="5.5546875" customWidth="1"/>
    <col min="6" max="6" width="5.44140625" customWidth="1"/>
    <col min="7" max="7" width="10" customWidth="1"/>
    <col min="15" max="15" width="2.88671875" customWidth="1"/>
    <col min="16" max="16" width="21.88671875" customWidth="1"/>
    <col min="19" max="19" width="4.5546875" customWidth="1"/>
  </cols>
  <sheetData>
    <row r="1" spans="1:20">
      <c r="A1" s="123" t="s">
        <v>1809</v>
      </c>
    </row>
    <row r="2" spans="1:20">
      <c r="A2" s="123"/>
    </row>
    <row r="3" spans="1:20">
      <c r="A3" s="122" t="s">
        <v>1810</v>
      </c>
      <c r="D3" t="s">
        <v>548</v>
      </c>
      <c r="K3" t="s">
        <v>1814</v>
      </c>
    </row>
    <row r="4" spans="1:20">
      <c r="H4" s="19" t="s">
        <v>239</v>
      </c>
      <c r="I4" s="19" t="s">
        <v>240</v>
      </c>
    </row>
    <row r="5" spans="1:20">
      <c r="A5" s="687" t="s">
        <v>239</v>
      </c>
      <c r="B5" s="687" t="s">
        <v>240</v>
      </c>
      <c r="D5" s="687" t="s">
        <v>239</v>
      </c>
      <c r="E5" s="687" t="s">
        <v>240</v>
      </c>
      <c r="G5" t="s">
        <v>554</v>
      </c>
      <c r="H5" s="553">
        <f>COUNT(A6:A17)</f>
        <v>12</v>
      </c>
      <c r="I5" s="667">
        <f>COUNT(B6:B17)</f>
        <v>11</v>
      </c>
      <c r="K5" s="687" t="s">
        <v>239</v>
      </c>
      <c r="L5" s="687" t="s">
        <v>240</v>
      </c>
      <c r="R5" s="1235" t="e">
        <f ca="1">2*[1]!PERM2DIST(MIN(H10,H11),H5,I5,TRUE)</f>
        <v>#NAME?</v>
      </c>
      <c r="T5" t="e">
        <f ca="1">[1]!FTEXT(R5)</f>
        <v>#NAME?</v>
      </c>
    </row>
    <row r="6" spans="1:20">
      <c r="A6">
        <v>11</v>
      </c>
      <c r="B6">
        <v>34</v>
      </c>
      <c r="D6" t="e">
        <f ca="1">IF(A6&lt;&gt;"",[1]!RANK_AVG(A6,$A$6:$B$17,1),"")</f>
        <v>#NAME?</v>
      </c>
      <c r="E6" t="e">
        <f ca="1">IF(B6&lt;&gt;"",[1]!RANK_AVG(B6,$A$6:$B$17,1),"")</f>
        <v>#NAME?</v>
      </c>
      <c r="G6" t="s">
        <v>1813</v>
      </c>
      <c r="H6" s="10" t="e">
        <f ca="1">D18</f>
        <v>#NAME?</v>
      </c>
      <c r="I6" s="12" t="e">
        <f ca="1">E18</f>
        <v>#NAME?</v>
      </c>
      <c r="K6" t="e">
        <f ca="1">IF(A6&lt;&gt;"",[1]!RANK_AVG(A6,$A$6:$B$17),"")</f>
        <v>#NAME?</v>
      </c>
      <c r="L6" t="e">
        <f ca="1">IF(B6&lt;&gt;"",[1]!RANK_AVG(B6,$A$6:$B$17),"")</f>
        <v>#NAME?</v>
      </c>
      <c r="R6" s="544" t="e">
        <f ca="1">[1]!PERM2INV(H8/2,H5,I5)</f>
        <v>#NAME?</v>
      </c>
      <c r="T6" t="e">
        <f ca="1">[1]!FTEXT(R6)</f>
        <v>#NAME?</v>
      </c>
    </row>
    <row r="7" spans="1:20">
      <c r="A7">
        <v>15</v>
      </c>
      <c r="B7">
        <v>31</v>
      </c>
      <c r="D7" t="e">
        <f ca="1">IF(A7&lt;&gt;"",[1]!RANK_AVG(A7,$A$6:$B$17,1),"")</f>
        <v>#NAME?</v>
      </c>
      <c r="E7" t="e">
        <f ca="1">IF(B7&lt;&gt;"",[1]!RANK_AVG(B7,$A$6:$B$17,1),"")</f>
        <v>#NAME?</v>
      </c>
      <c r="K7" t="e">
        <f ca="1">IF(A7&lt;&gt;"",[1]!RANK_AVG(A7,$A$6:$B$17),"")</f>
        <v>#NAME?</v>
      </c>
      <c r="L7" t="e">
        <f ca="1">IF(B7&lt;&gt;"",[1]!RANK_AVG(B7,$A$6:$B$17),"")</f>
        <v>#NAME?</v>
      </c>
    </row>
    <row r="8" spans="1:20">
      <c r="A8">
        <v>9</v>
      </c>
      <c r="B8">
        <v>35</v>
      </c>
      <c r="D8" t="e">
        <f ca="1">IF(A8&lt;&gt;"",[1]!RANK_AVG(A8,$A$6:$B$17,1),"")</f>
        <v>#NAME?</v>
      </c>
      <c r="E8" t="e">
        <f ca="1">IF(B8&lt;&gt;"",[1]!RANK_AVG(B8,$A$6:$B$17,1),"")</f>
        <v>#NAME?</v>
      </c>
      <c r="G8" s="172" t="s">
        <v>157</v>
      </c>
      <c r="H8" s="542">
        <v>0.05</v>
      </c>
      <c r="K8" t="e">
        <f ca="1">IF(A8&lt;&gt;"",[1]!RANK_AVG(A8,$A$6:$B$17),"")</f>
        <v>#NAME?</v>
      </c>
      <c r="L8" t="e">
        <f ca="1">IF(B8&lt;&gt;"",[1]!RANK_AVG(B8,$A$6:$B$17),"")</f>
        <v>#NAME?</v>
      </c>
    </row>
    <row r="9" spans="1:20">
      <c r="A9">
        <v>4</v>
      </c>
      <c r="B9">
        <v>29</v>
      </c>
      <c r="D9" t="e">
        <f ca="1">IF(A9&lt;&gt;"",[1]!RANK_AVG(A9,$A$6:$B$17,1),"")</f>
        <v>#NAME?</v>
      </c>
      <c r="E9" t="e">
        <f ca="1">IF(B9&lt;&gt;"",[1]!RANK_AVG(B9,$A$6:$B$17,1),"")</f>
        <v>#NAME?</v>
      </c>
      <c r="G9" s="172" t="s">
        <v>1178</v>
      </c>
      <c r="H9" s="627">
        <v>2</v>
      </c>
      <c r="K9" t="e">
        <f ca="1">IF(A9&lt;&gt;"",[1]!RANK_AVG(A9,$A$6:$B$17),"")</f>
        <v>#NAME?</v>
      </c>
      <c r="L9" t="e">
        <f ca="1">IF(B9&lt;&gt;"",[1]!RANK_AVG(B9,$A$6:$B$17),"")</f>
        <v>#NAME?</v>
      </c>
    </row>
    <row r="10" spans="1:20">
      <c r="A10">
        <v>34</v>
      </c>
      <c r="B10">
        <v>28</v>
      </c>
      <c r="D10" t="e">
        <f ca="1">IF(A10&lt;&gt;"",[1]!RANK_AVG(A10,$A$6:$B$17,1),"")</f>
        <v>#NAME?</v>
      </c>
      <c r="E10" t="e">
        <f ca="1">IF(B10&lt;&gt;"",[1]!RANK_AVG(B10,$A$6:$B$17,1),"")</f>
        <v>#NAME?</v>
      </c>
      <c r="G10" s="172" t="s">
        <v>1513</v>
      </c>
      <c r="H10" s="627" t="e">
        <f ca="1">IF(H5=I5,MIN(H6:I6),IF(H5&lt;I5,H6,I6))</f>
        <v>#NAME?</v>
      </c>
      <c r="K10" t="e">
        <f ca="1">IF(A10&lt;&gt;"",[1]!RANK_AVG(A10,$A$6:$B$17),"")</f>
        <v>#NAME?</v>
      </c>
      <c r="L10" t="e">
        <f ca="1">IF(B10&lt;&gt;"",[1]!RANK_AVG(B10,$A$6:$B$17),"")</f>
        <v>#NAME?</v>
      </c>
      <c r="N10" s="48">
        <v>90</v>
      </c>
      <c r="P10" s="23" t="s">
        <v>2584</v>
      </c>
    </row>
    <row r="11" spans="1:20">
      <c r="A11">
        <v>17</v>
      </c>
      <c r="B11">
        <v>12</v>
      </c>
      <c r="D11" t="e">
        <f ca="1">IF(A11&lt;&gt;"",[1]!RANK_AVG(A11,$A$6:$B$17,1),"")</f>
        <v>#NAME?</v>
      </c>
      <c r="E11" t="e">
        <f ca="1">IF(B11&lt;&gt;"",[1]!RANK_AVG(B11,$A$6:$B$17,1),"")</f>
        <v>#NAME?</v>
      </c>
      <c r="G11" s="172" t="s">
        <v>1811</v>
      </c>
      <c r="H11" s="627" t="e">
        <f ca="1">MIN(H5:I5)*(H5+I5+1)-H10</f>
        <v>#NAME?</v>
      </c>
      <c r="K11" t="e">
        <f ca="1">IF(A11&lt;&gt;"",[1]!RANK_AVG(A11,$A$6:$B$17),"")</f>
        <v>#NAME?</v>
      </c>
      <c r="L11" t="e">
        <f ca="1">IF(B11&lt;&gt;"",[1]!RANK_AVG(B11,$A$6:$B$17),"")</f>
        <v>#NAME?</v>
      </c>
      <c r="N11" s="627" t="e">
        <f ca="1">[1]!wcrit(H5,I5,H8,H9)</f>
        <v>#NAME?</v>
      </c>
      <c r="P11" s="23" t="s">
        <v>3719</v>
      </c>
    </row>
    <row r="12" spans="1:20">
      <c r="A12">
        <v>18</v>
      </c>
      <c r="B12">
        <v>18</v>
      </c>
      <c r="D12" t="e">
        <f ca="1">IF(A12&lt;&gt;"",[1]!RANK_AVG(A12,$A$6:$B$17,1),"")</f>
        <v>#NAME?</v>
      </c>
      <c r="E12" t="e">
        <f ca="1">IF(B12&lt;&gt;"",[1]!RANK_AVG(B12,$A$6:$B$17,1),"")</f>
        <v>#NAME?</v>
      </c>
      <c r="G12" s="66" t="s">
        <v>1812</v>
      </c>
      <c r="H12" s="627">
        <f>'Wilcoxon Table'!L75</f>
        <v>99</v>
      </c>
      <c r="K12" t="e">
        <f ca="1">IF(A12&lt;&gt;"",[1]!RANK_AVG(A12,$A$6:$B$17),"")</f>
        <v>#NAME?</v>
      </c>
      <c r="L12" t="e">
        <f ca="1">IF(B12&lt;&gt;"",[1]!RANK_AVG(B12,$A$6:$B$17),"")</f>
        <v>#NAME?</v>
      </c>
      <c r="N12" s="544" t="e">
        <f ca="1">[1]!WPROB(N10,H5,I5,H9)</f>
        <v>#NAME?</v>
      </c>
      <c r="P12" s="23" t="s">
        <v>3718</v>
      </c>
    </row>
    <row r="13" spans="1:20">
      <c r="A13">
        <v>14</v>
      </c>
      <c r="B13">
        <v>30</v>
      </c>
      <c r="D13" t="e">
        <f ca="1">IF(A13&lt;&gt;"",[1]!RANK_AVG(A13,$A$6:$B$17,1),"")</f>
        <v>#NAME?</v>
      </c>
      <c r="E13" t="e">
        <f ca="1">IF(B13&lt;&gt;"",[1]!RANK_AVG(B13,$A$6:$B$17,1),"")</f>
        <v>#NAME?</v>
      </c>
      <c r="G13" s="66" t="s">
        <v>948</v>
      </c>
      <c r="H13" s="538" t="e">
        <f ca="1">IF(MIN(H10:H11)&lt;H12,"yes","no")</f>
        <v>#NAME?</v>
      </c>
      <c r="K13" t="e">
        <f ca="1">IF(A13&lt;&gt;"",[1]!RANK_AVG(A13,$A$6:$B$17),"")</f>
        <v>#NAME?</v>
      </c>
      <c r="L13" t="e">
        <f ca="1">IF(B13&lt;&gt;"",[1]!RANK_AVG(B13,$A$6:$B$17),"")</f>
        <v>#NAME?</v>
      </c>
    </row>
    <row r="14" spans="1:20">
      <c r="A14">
        <v>12</v>
      </c>
      <c r="B14">
        <v>14</v>
      </c>
      <c r="D14" t="e">
        <f ca="1">IF(A14&lt;&gt;"",[1]!RANK_AVG(A14,$A$6:$B$17,1),"")</f>
        <v>#NAME?</v>
      </c>
      <c r="E14" t="e">
        <f ca="1">IF(B14&lt;&gt;"",[1]!RANK_AVG(B14,$A$6:$B$17,1),"")</f>
        <v>#NAME?</v>
      </c>
      <c r="K14" t="e">
        <f ca="1">IF(A14&lt;&gt;"",[1]!RANK_AVG(A14,$A$6:$B$17),"")</f>
        <v>#NAME?</v>
      </c>
      <c r="L14" t="e">
        <f ca="1">IF(B14&lt;&gt;"",[1]!RANK_AVG(B14,$A$6:$B$17),"")</f>
        <v>#NAME?</v>
      </c>
    </row>
    <row r="15" spans="1:20">
      <c r="A15">
        <v>13</v>
      </c>
      <c r="B15">
        <v>22</v>
      </c>
      <c r="D15" t="e">
        <f ca="1">IF(A15&lt;&gt;"",[1]!RANK_AVG(A15,$A$6:$B$17,1),"")</f>
        <v>#NAME?</v>
      </c>
      <c r="E15" t="e">
        <f ca="1">IF(B15&lt;&gt;"",[1]!RANK_AVG(B15,$A$6:$B$17,1),"")</f>
        <v>#NAME?</v>
      </c>
      <c r="K15" t="e">
        <f ca="1">IF(A15&lt;&gt;"",[1]!RANK_AVG(A15,$A$6:$B$17),"")</f>
        <v>#NAME?</v>
      </c>
      <c r="L15" t="e">
        <f ca="1">IF(B15&lt;&gt;"",[1]!RANK_AVG(B15,$A$6:$B$17),"")</f>
        <v>#NAME?</v>
      </c>
    </row>
    <row r="16" spans="1:20">
      <c r="A16">
        <v>26</v>
      </c>
      <c r="B16">
        <v>10</v>
      </c>
      <c r="D16" t="e">
        <f ca="1">IF(A16&lt;&gt;"",[1]!RANK_AVG(A16,$A$6:$B$17,1),"")</f>
        <v>#NAME?</v>
      </c>
      <c r="E16" t="e">
        <f ca="1">IF(B16&lt;&gt;"",[1]!RANK_AVG(B16,$A$6:$B$17,1),"")</f>
        <v>#NAME?</v>
      </c>
      <c r="K16" t="e">
        <f ca="1">IF(A16&lt;&gt;"",[1]!RANK_AVG(A16,$A$6:$B$17),"")</f>
        <v>#NAME?</v>
      </c>
      <c r="L16" t="e">
        <f ca="1">IF(B16&lt;&gt;"",[1]!RANK_AVG(B16,$A$6:$B$17),"")</f>
        <v>#NAME?</v>
      </c>
    </row>
    <row r="17" spans="1:12">
      <c r="A17" s="11">
        <v>31</v>
      </c>
      <c r="B17" s="11"/>
      <c r="D17" s="11" t="e">
        <f ca="1">IF(A17&lt;&gt;"",[1]!RANK_AVG(A17,$A$6:$B$17,1),"")</f>
        <v>#NAME?</v>
      </c>
      <c r="E17" s="11" t="str">
        <f>IF(B17&lt;&gt;"",[1]!RANK_AVG(B17,$A$6:$B$17,1),"")</f>
        <v/>
      </c>
      <c r="K17" s="11" t="e">
        <f ca="1">IF(A17&lt;&gt;"",[1]!RANK_AVG(A17,$A$6:$B$17),"")</f>
        <v>#NAME?</v>
      </c>
      <c r="L17" s="11" t="str">
        <f>IF(B17&lt;&gt;"",[1]!RANK_AVG(B17,$A$6:$B$17),"")</f>
        <v/>
      </c>
    </row>
    <row r="18" spans="1:12">
      <c r="A18">
        <f>AVERAGE(A6:A17)</f>
        <v>17</v>
      </c>
      <c r="B18">
        <f>AVERAGE(B6:B17)</f>
        <v>23.90909090909091</v>
      </c>
      <c r="D18" t="e">
        <f ca="1">SUM(D6:D17)</f>
        <v>#NAME?</v>
      </c>
      <c r="E18" t="e">
        <f ca="1">SUM(E6:E17)</f>
        <v>#NAME?</v>
      </c>
      <c r="K18" t="e">
        <f ca="1">SUM(K6:K17)</f>
        <v>#NAME?</v>
      </c>
      <c r="L18" t="e">
        <f ca="1">SUM(L6:L17)</f>
        <v>#NAME?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sheetPr codeName="Sheet142"/>
  <dimension ref="A1:Y18"/>
  <sheetViews>
    <sheetView workbookViewId="0">
      <selection activeCell="P22" sqref="P22"/>
    </sheetView>
  </sheetViews>
  <sheetFormatPr defaultRowHeight="14.4"/>
  <cols>
    <col min="1" max="17" width="5.109375" customWidth="1"/>
    <col min="18" max="18" width="6.44140625" customWidth="1"/>
    <col min="19" max="19" width="10.33203125" customWidth="1"/>
    <col min="20" max="21" width="9.109375" customWidth="1"/>
    <col min="23" max="23" width="10.44140625" customWidth="1"/>
  </cols>
  <sheetData>
    <row r="1" spans="1:25">
      <c r="A1" s="123" t="s">
        <v>1809</v>
      </c>
    </row>
    <row r="3" spans="1:25">
      <c r="A3" s="25" t="s">
        <v>137</v>
      </c>
      <c r="J3" t="s">
        <v>1817</v>
      </c>
      <c r="S3" t="s">
        <v>1819</v>
      </c>
      <c r="W3" t="s">
        <v>379</v>
      </c>
    </row>
    <row r="5" spans="1:25">
      <c r="A5" t="s">
        <v>1815</v>
      </c>
      <c r="E5" t="s">
        <v>1816</v>
      </c>
      <c r="J5" t="s">
        <v>1815</v>
      </c>
      <c r="N5" t="s">
        <v>1816</v>
      </c>
      <c r="T5" s="19" t="s">
        <v>1818</v>
      </c>
      <c r="U5" s="19" t="s">
        <v>1816</v>
      </c>
      <c r="X5" s="19" t="s">
        <v>1818</v>
      </c>
      <c r="Y5" s="19" t="s">
        <v>1816</v>
      </c>
    </row>
    <row r="6" spans="1:25">
      <c r="A6" s="744">
        <v>81</v>
      </c>
      <c r="B6" s="745">
        <v>62</v>
      </c>
      <c r="C6" s="745">
        <v>90</v>
      </c>
      <c r="D6" s="745">
        <v>79</v>
      </c>
      <c r="E6" s="744">
        <v>72</v>
      </c>
      <c r="F6" s="745">
        <v>86</v>
      </c>
      <c r="G6" s="745">
        <v>77</v>
      </c>
      <c r="H6" s="746">
        <v>66</v>
      </c>
      <c r="J6" s="747" t="e">
        <f ca="1">IF(A6&lt;&gt;"",[1]!RANK_AVG(A6,$A$6:$H$15,1),"")</f>
        <v>#NAME?</v>
      </c>
      <c r="K6" s="748" t="e">
        <f ca="1">IF(B6&lt;&gt;"",[1]!RANK_AVG(B6,$A$6:$H$15,1),"")</f>
        <v>#NAME?</v>
      </c>
      <c r="L6" s="748" t="e">
        <f ca="1">IF(C6&lt;&gt;"",[1]!RANK_AVG(C6,$A$6:$H$15,1),"")</f>
        <v>#NAME?</v>
      </c>
      <c r="M6" s="748" t="e">
        <f ca="1">IF(D6&lt;&gt;"",[1]!RANK_AVG(D6,$A$6:$H$15,1),"")</f>
        <v>#NAME?</v>
      </c>
      <c r="N6" s="747" t="e">
        <f ca="1">IF(E6&lt;&gt;"",[1]!RANK_AVG(E6,$A$6:$H$15,1),"")</f>
        <v>#NAME?</v>
      </c>
      <c r="O6" s="748" t="e">
        <f ca="1">IF(F6&lt;&gt;"",[1]!RANK_AVG(F6,$A$6:$H$15,1),"")</f>
        <v>#NAME?</v>
      </c>
      <c r="P6" s="748" t="e">
        <f ca="1">IF(G6&lt;&gt;"",[1]!RANK_AVG(G6,$A$6:$H$15,1),"")</f>
        <v>#NAME?</v>
      </c>
      <c r="Q6" s="749" t="e">
        <f ca="1">IF(H6&lt;&gt;"",[1]!RANK_AVG(H6,$A$6:$H$15,1),"")</f>
        <v>#NAME?</v>
      </c>
      <c r="S6" t="s">
        <v>554</v>
      </c>
      <c r="T6" s="747">
        <f>COUNT(A6:D15)</f>
        <v>40</v>
      </c>
      <c r="U6" s="749">
        <f>COUNT(E6:H15)</f>
        <v>38</v>
      </c>
      <c r="W6" t="s">
        <v>554</v>
      </c>
      <c r="X6" s="926">
        <f>T6</f>
        <v>40</v>
      </c>
      <c r="Y6" s="927">
        <f>U6</f>
        <v>38</v>
      </c>
    </row>
    <row r="7" spans="1:25">
      <c r="A7" s="656">
        <v>65</v>
      </c>
      <c r="B7" s="8">
        <v>86</v>
      </c>
      <c r="C7" s="8">
        <v>88</v>
      </c>
      <c r="D7" s="8">
        <v>72</v>
      </c>
      <c r="E7" s="656">
        <v>80</v>
      </c>
      <c r="F7" s="8">
        <v>35</v>
      </c>
      <c r="G7" s="8">
        <v>87</v>
      </c>
      <c r="H7" s="657">
        <v>79</v>
      </c>
      <c r="J7" s="656" t="e">
        <f ca="1">IF(A7&lt;&gt;"",[1]!RANK_AVG(A7,$A$6:$H$15,1),"")</f>
        <v>#NAME?</v>
      </c>
      <c r="K7" s="8" t="e">
        <f ca="1">IF(B7&lt;&gt;"",[1]!RANK_AVG(B7,$A$6:$H$15,1),"")</f>
        <v>#NAME?</v>
      </c>
      <c r="L7" s="8" t="e">
        <f ca="1">IF(C7&lt;&gt;"",[1]!RANK_AVG(C7,$A$6:$H$15,1),"")</f>
        <v>#NAME?</v>
      </c>
      <c r="M7" s="8" t="e">
        <f ca="1">IF(D7&lt;&gt;"",[1]!RANK_AVG(D7,$A$6:$H$15,1),"")</f>
        <v>#NAME?</v>
      </c>
      <c r="N7" s="656" t="e">
        <f ca="1">IF(E7&lt;&gt;"",[1]!RANK_AVG(E7,$A$6:$H$15,1),"")</f>
        <v>#NAME?</v>
      </c>
      <c r="O7" s="8" t="e">
        <f ca="1">IF(F7&lt;&gt;"",[1]!RANK_AVG(F7,$A$6:$H$15,1),"")</f>
        <v>#NAME?</v>
      </c>
      <c r="P7" s="8" t="e">
        <f ca="1">IF(G7&lt;&gt;"",[1]!RANK_AVG(G7,$A$6:$H$15,1),"")</f>
        <v>#NAME?</v>
      </c>
      <c r="Q7" s="657" t="e">
        <f ca="1">IF(H7&lt;&gt;"",[1]!RANK_AVG(H7,$A$6:$H$15,1),"")</f>
        <v>#NAME?</v>
      </c>
      <c r="S7" t="s">
        <v>1001</v>
      </c>
      <c r="T7" s="656">
        <f>MEDIAN(A6:D15)</f>
        <v>76.5</v>
      </c>
      <c r="U7" s="657">
        <f>MEDIAN(E6:H15)</f>
        <v>70.5</v>
      </c>
      <c r="W7" t="s">
        <v>63</v>
      </c>
      <c r="X7" s="656">
        <f>T14</f>
        <v>1580</v>
      </c>
      <c r="Y7" s="657">
        <f>U14</f>
        <v>1501</v>
      </c>
    </row>
    <row r="8" spans="1:25">
      <c r="A8" s="656">
        <v>89</v>
      </c>
      <c r="B8" s="8">
        <v>89</v>
      </c>
      <c r="C8" s="8">
        <v>74</v>
      </c>
      <c r="D8" s="8">
        <v>92</v>
      </c>
      <c r="E8" s="656">
        <v>63</v>
      </c>
      <c r="F8" s="8">
        <v>78</v>
      </c>
      <c r="G8" s="8">
        <v>77</v>
      </c>
      <c r="H8" s="657">
        <v>67</v>
      </c>
      <c r="J8" s="656" t="e">
        <f ca="1">IF(A8&lt;&gt;"",[1]!RANK_AVG(A8,$A$6:$H$15,1),"")</f>
        <v>#NAME?</v>
      </c>
      <c r="K8" s="8" t="e">
        <f ca="1">IF(B8&lt;&gt;"",[1]!RANK_AVG(B8,$A$6:$H$15,1),"")</f>
        <v>#NAME?</v>
      </c>
      <c r="L8" s="8" t="e">
        <f ca="1">IF(C8&lt;&gt;"",[1]!RANK_AVG(C8,$A$6:$H$15,1),"")</f>
        <v>#NAME?</v>
      </c>
      <c r="M8" s="8" t="e">
        <f ca="1">IF(D8&lt;&gt;"",[1]!RANK_AVG(D8,$A$6:$H$15,1),"")</f>
        <v>#NAME?</v>
      </c>
      <c r="N8" s="656" t="e">
        <f ca="1">IF(E8&lt;&gt;"",[1]!RANK_AVG(E8,$A$6:$H$15,1),"")</f>
        <v>#NAME?</v>
      </c>
      <c r="O8" s="8" t="e">
        <f ca="1">IF(F8&lt;&gt;"",[1]!RANK_AVG(F8,$A$6:$H$15,1),"")</f>
        <v>#NAME?</v>
      </c>
      <c r="P8" s="8" t="e">
        <f ca="1">IF(G8&lt;&gt;"",[1]!RANK_AVG(G8,$A$6:$H$15,1),"")</f>
        <v>#NAME?</v>
      </c>
      <c r="Q8" s="657" t="e">
        <f ca="1">IF(H8&lt;&gt;"",[1]!RANK_AVG(H8,$A$6:$H$15,1),"")</f>
        <v>#NAME?</v>
      </c>
      <c r="S8" t="s">
        <v>1813</v>
      </c>
      <c r="T8" s="10" t="e">
        <f ca="1">SUM(J6:M15)</f>
        <v>#NAME?</v>
      </c>
      <c r="U8" s="12" t="e">
        <f ca="1">SUM(N6:Q15)</f>
        <v>#NAME?</v>
      </c>
      <c r="W8" t="s">
        <v>218</v>
      </c>
      <c r="X8" s="656">
        <f>T16</f>
        <v>100.03332777962885</v>
      </c>
      <c r="Y8" s="657">
        <f>U16</f>
        <v>100.03332777962885</v>
      </c>
    </row>
    <row r="9" spans="1:25">
      <c r="A9" s="656">
        <v>70</v>
      </c>
      <c r="B9" s="8">
        <v>75</v>
      </c>
      <c r="C9" s="8">
        <v>88</v>
      </c>
      <c r="D9" s="8">
        <v>77</v>
      </c>
      <c r="E9" s="656">
        <v>67</v>
      </c>
      <c r="F9" s="8">
        <v>72</v>
      </c>
      <c r="G9" s="8">
        <v>65</v>
      </c>
      <c r="H9" s="657">
        <v>65</v>
      </c>
      <c r="J9" s="656" t="e">
        <f ca="1">IF(A9&lt;&gt;"",[1]!RANK_AVG(A9,$A$6:$H$15,1),"")</f>
        <v>#NAME?</v>
      </c>
      <c r="K9" s="8" t="e">
        <f ca="1">IF(B9&lt;&gt;"",[1]!RANK_AVG(B9,$A$6:$H$15,1),"")</f>
        <v>#NAME?</v>
      </c>
      <c r="L9" s="8" t="e">
        <f ca="1">IF(C9&lt;&gt;"",[1]!RANK_AVG(C9,$A$6:$H$15,1),"")</f>
        <v>#NAME?</v>
      </c>
      <c r="M9" s="8" t="e">
        <f ca="1">IF(D9&lt;&gt;"",[1]!RANK_AVG(D9,$A$6:$H$15,1),"")</f>
        <v>#NAME?</v>
      </c>
      <c r="N9" s="656" t="e">
        <f ca="1">IF(E9&lt;&gt;"",[1]!RANK_AVG(E9,$A$6:$H$15,1),"")</f>
        <v>#NAME?</v>
      </c>
      <c r="O9" s="8" t="e">
        <f ca="1">IF(F9&lt;&gt;"",[1]!RANK_AVG(F9,$A$6:$H$15,1),"")</f>
        <v>#NAME?</v>
      </c>
      <c r="P9" s="8" t="e">
        <f ca="1">IF(G9&lt;&gt;"",[1]!RANK_AVG(G9,$A$6:$H$15,1),"")</f>
        <v>#NAME?</v>
      </c>
      <c r="Q9" s="657" t="e">
        <f ca="1">IF(H9&lt;&gt;"",[1]!RANK_AVG(H9,$A$6:$H$15,1),"")</f>
        <v>#NAME?</v>
      </c>
      <c r="W9" t="s">
        <v>1813</v>
      </c>
      <c r="X9" s="656" t="e">
        <f ca="1">T8</f>
        <v>#NAME?</v>
      </c>
      <c r="Y9" s="657" t="e">
        <f ca="1">U8</f>
        <v>#NAME?</v>
      </c>
    </row>
    <row r="10" spans="1:25">
      <c r="A10" s="656">
        <v>87</v>
      </c>
      <c r="B10" s="8">
        <v>76</v>
      </c>
      <c r="C10" s="8">
        <v>90</v>
      </c>
      <c r="D10" s="8">
        <v>45</v>
      </c>
      <c r="E10" s="656">
        <v>69</v>
      </c>
      <c r="F10" s="8">
        <v>75</v>
      </c>
      <c r="G10" s="8">
        <v>90</v>
      </c>
      <c r="H10" s="657">
        <v>76</v>
      </c>
      <c r="J10" s="656" t="e">
        <f ca="1">IF(A10&lt;&gt;"",[1]!RANK_AVG(A10,$A$6:$H$15,1),"")</f>
        <v>#NAME?</v>
      </c>
      <c r="K10" s="8" t="e">
        <f ca="1">IF(B10&lt;&gt;"",[1]!RANK_AVG(B10,$A$6:$H$15,1),"")</f>
        <v>#NAME?</v>
      </c>
      <c r="L10" s="8" t="e">
        <f ca="1">IF(C10&lt;&gt;"",[1]!RANK_AVG(C10,$A$6:$H$15,1),"")</f>
        <v>#NAME?</v>
      </c>
      <c r="M10" s="8" t="e">
        <f ca="1">IF(D10&lt;&gt;"",[1]!RANK_AVG(D10,$A$6:$H$15,1),"")</f>
        <v>#NAME?</v>
      </c>
      <c r="N10" s="656" t="e">
        <f ca="1">IF(E10&lt;&gt;"",[1]!RANK_AVG(E10,$A$6:$H$15,1),"")</f>
        <v>#NAME?</v>
      </c>
      <c r="O10" s="8" t="e">
        <f ca="1">IF(F10&lt;&gt;"",[1]!RANK_AVG(F10,$A$6:$H$15,1),"")</f>
        <v>#NAME?</v>
      </c>
      <c r="P10" s="8" t="e">
        <f ca="1">IF(G10&lt;&gt;"",[1]!RANK_AVG(G10,$A$6:$H$15,1),"")</f>
        <v>#NAME?</v>
      </c>
      <c r="Q10" s="657" t="e">
        <f ca="1">IF(H10&lt;&gt;"",[1]!RANK_AVG(H10,$A$6:$H$15,1),"")</f>
        <v>#NAME?</v>
      </c>
      <c r="S10" s="172" t="s">
        <v>157</v>
      </c>
      <c r="T10" s="747">
        <v>0.05</v>
      </c>
      <c r="U10" s="749">
        <f>T10</f>
        <v>0.05</v>
      </c>
      <c r="W10" t="s">
        <v>2581</v>
      </c>
      <c r="X10" s="656" t="e">
        <f ca="1">STANDARDIZE(X9,X7,X8)</f>
        <v>#NAME?</v>
      </c>
      <c r="Y10" s="657" t="e">
        <f ca="1">STANDARDIZE(Y9,Y7,Y8)</f>
        <v>#NAME?</v>
      </c>
    </row>
    <row r="11" spans="1:25">
      <c r="A11" s="656">
        <v>61</v>
      </c>
      <c r="B11" s="8">
        <v>69</v>
      </c>
      <c r="C11" s="8">
        <v>87</v>
      </c>
      <c r="D11" s="8">
        <v>75</v>
      </c>
      <c r="E11" s="656">
        <v>62</v>
      </c>
      <c r="F11" s="8">
        <v>73</v>
      </c>
      <c r="G11" s="8">
        <v>55</v>
      </c>
      <c r="H11" s="657">
        <v>70</v>
      </c>
      <c r="J11" s="656" t="e">
        <f ca="1">IF(A11&lt;&gt;"",[1]!RANK_AVG(A11,$A$6:$H$15,1),"")</f>
        <v>#NAME?</v>
      </c>
      <c r="K11" s="8" t="e">
        <f ca="1">IF(B11&lt;&gt;"",[1]!RANK_AVG(B11,$A$6:$H$15,1),"")</f>
        <v>#NAME?</v>
      </c>
      <c r="L11" s="8" t="e">
        <f ca="1">IF(C11&lt;&gt;"",[1]!RANK_AVG(C11,$A$6:$H$15,1),"")</f>
        <v>#NAME?</v>
      </c>
      <c r="M11" s="8" t="e">
        <f ca="1">IF(D11&lt;&gt;"",[1]!RANK_AVG(D11,$A$6:$H$15,1),"")</f>
        <v>#NAME?</v>
      </c>
      <c r="N11" s="656" t="e">
        <f ca="1">IF(E11&lt;&gt;"",[1]!RANK_AVG(E11,$A$6:$H$15,1),"")</f>
        <v>#NAME?</v>
      </c>
      <c r="O11" s="8" t="e">
        <f ca="1">IF(F11&lt;&gt;"",[1]!RANK_AVG(F11,$A$6:$H$15,1),"")</f>
        <v>#NAME?</v>
      </c>
      <c r="P11" s="8" t="e">
        <f ca="1">IF(G11&lt;&gt;"",[1]!RANK_AVG(G11,$A$6:$H$15,1),"")</f>
        <v>#NAME?</v>
      </c>
      <c r="Q11" s="657" t="e">
        <f ca="1">IF(H11&lt;&gt;"",[1]!RANK_AVG(H11,$A$6:$H$15,1),"")</f>
        <v>#NAME?</v>
      </c>
      <c r="S11" s="172" t="s">
        <v>1178</v>
      </c>
      <c r="T11" s="656">
        <v>2</v>
      </c>
      <c r="U11" s="657">
        <f>T11</f>
        <v>2</v>
      </c>
      <c r="W11" t="s">
        <v>368</v>
      </c>
      <c r="X11" s="533" t="e">
        <f ca="1">X10/SQRT(X6+Y6)</f>
        <v>#NAME?</v>
      </c>
      <c r="Y11" s="541" t="e">
        <f ca="1">Y10/SQRT(X6+Y6)</f>
        <v>#NAME?</v>
      </c>
    </row>
    <row r="12" spans="1:25">
      <c r="A12" s="656">
        <v>94</v>
      </c>
      <c r="B12" s="8">
        <v>69</v>
      </c>
      <c r="C12" s="8">
        <v>95</v>
      </c>
      <c r="D12" s="66">
        <v>70</v>
      </c>
      <c r="E12" s="656">
        <v>67</v>
      </c>
      <c r="F12" s="8">
        <v>71</v>
      </c>
      <c r="G12" s="8">
        <v>69</v>
      </c>
      <c r="H12" s="657">
        <v>64</v>
      </c>
      <c r="J12" s="656" t="e">
        <f ca="1">IF(A12&lt;&gt;"",[1]!RANK_AVG(A12,$A$6:$H$15,1),"")</f>
        <v>#NAME?</v>
      </c>
      <c r="K12" s="8" t="e">
        <f ca="1">IF(B12&lt;&gt;"",[1]!RANK_AVG(B12,$A$6:$H$15,1),"")</f>
        <v>#NAME?</v>
      </c>
      <c r="L12" s="8" t="e">
        <f ca="1">IF(C12&lt;&gt;"",[1]!RANK_AVG(C12,$A$6:$H$15,1),"")</f>
        <v>#NAME?</v>
      </c>
      <c r="M12" s="8" t="e">
        <f ca="1">IF(D12&lt;&gt;"",[1]!RANK_AVG(D12,$A$6:$H$15,1),"")</f>
        <v>#NAME?</v>
      </c>
      <c r="N12" s="656" t="e">
        <f ca="1">IF(E12&lt;&gt;"",[1]!RANK_AVG(E12,$A$6:$H$15,1),"")</f>
        <v>#NAME?</v>
      </c>
      <c r="O12" s="8" t="e">
        <f ca="1">IF(F12&lt;&gt;"",[1]!RANK_AVG(F12,$A$6:$H$15,1),"")</f>
        <v>#NAME?</v>
      </c>
      <c r="P12" s="8" t="e">
        <f ca="1">IF(G12&lt;&gt;"",[1]!RANK_AVG(G12,$A$6:$H$15,1),"")</f>
        <v>#NAME?</v>
      </c>
      <c r="Q12" s="657" t="e">
        <f ca="1">IF(H12&lt;&gt;"",[1]!RANK_AVG(H12,$A$6:$H$15,1),"")</f>
        <v>#NAME?</v>
      </c>
      <c r="S12" s="172" t="s">
        <v>1513</v>
      </c>
      <c r="T12" s="656" t="str">
        <f>IF(T6&lt;=U6,T8,"")</f>
        <v/>
      </c>
      <c r="U12" s="657" t="e">
        <f ca="1">IF(U6&lt;T6,U8,"")</f>
        <v>#NAME?</v>
      </c>
    </row>
    <row r="13" spans="1:25">
      <c r="A13" s="656">
        <v>98</v>
      </c>
      <c r="B13" s="8">
        <v>61</v>
      </c>
      <c r="C13" s="8">
        <v>66</v>
      </c>
      <c r="D13" s="66">
        <v>91</v>
      </c>
      <c r="E13" s="656">
        <v>62</v>
      </c>
      <c r="F13" s="8">
        <v>78</v>
      </c>
      <c r="G13" s="8">
        <v>91</v>
      </c>
      <c r="H13" s="657">
        <v>64</v>
      </c>
      <c r="J13" s="656" t="e">
        <f ca="1">IF(A13&lt;&gt;"",[1]!RANK_AVG(A13,$A$6:$H$15,1),"")</f>
        <v>#NAME?</v>
      </c>
      <c r="K13" s="8" t="e">
        <f ca="1">IF(B13&lt;&gt;"",[1]!RANK_AVG(B13,$A$6:$H$15,1),"")</f>
        <v>#NAME?</v>
      </c>
      <c r="L13" s="8" t="e">
        <f ca="1">IF(C13&lt;&gt;"",[1]!RANK_AVG(C13,$A$6:$H$15,1),"")</f>
        <v>#NAME?</v>
      </c>
      <c r="M13" s="8" t="e">
        <f ca="1">IF(D13&lt;&gt;"",[1]!RANK_AVG(D13,$A$6:$H$15,1),"")</f>
        <v>#NAME?</v>
      </c>
      <c r="N13" s="656" t="e">
        <f ca="1">IF(E13&lt;&gt;"",[1]!RANK_AVG(E13,$A$6:$H$15,1),"")</f>
        <v>#NAME?</v>
      </c>
      <c r="O13" s="8" t="e">
        <f ca="1">IF(F13&lt;&gt;"",[1]!RANK_AVG(F13,$A$6:$H$15,1),"")</f>
        <v>#NAME?</v>
      </c>
      <c r="P13" s="8" t="e">
        <f ca="1">IF(G13&lt;&gt;"",[1]!RANK_AVG(G13,$A$6:$H$15,1),"")</f>
        <v>#NAME?</v>
      </c>
      <c r="Q13" s="657" t="e">
        <f ca="1">IF(H13&lt;&gt;"",[1]!RANK_AVG(H13,$A$6:$H$15,1),"")</f>
        <v>#NAME?</v>
      </c>
      <c r="S13" s="172" t="s">
        <v>1811</v>
      </c>
      <c r="T13" s="656" t="e">
        <f ca="1">IF(T12="",U6*(T6+U6+1)-U12,"")</f>
        <v>#NAME?</v>
      </c>
      <c r="U13" s="657" t="e">
        <f ca="1">IF(U12="",T6*(T6+U6+1)-T12,"")</f>
        <v>#NAME?</v>
      </c>
    </row>
    <row r="14" spans="1:25">
      <c r="A14" s="656">
        <v>81</v>
      </c>
      <c r="B14" s="8">
        <v>72</v>
      </c>
      <c r="C14" s="8">
        <v>72</v>
      </c>
      <c r="D14" s="66">
        <v>73</v>
      </c>
      <c r="E14" s="656">
        <v>71</v>
      </c>
      <c r="F14" s="8">
        <v>80</v>
      </c>
      <c r="G14" s="8">
        <v>30</v>
      </c>
      <c r="H14" s="657"/>
      <c r="J14" s="656" t="e">
        <f ca="1">IF(A14&lt;&gt;"",[1]!RANK_AVG(A14,$A$6:$H$15,1),"")</f>
        <v>#NAME?</v>
      </c>
      <c r="K14" s="8" t="e">
        <f ca="1">IF(B14&lt;&gt;"",[1]!RANK_AVG(B14,$A$6:$H$15,1),"")</f>
        <v>#NAME?</v>
      </c>
      <c r="L14" s="8" t="e">
        <f ca="1">IF(C14&lt;&gt;"",[1]!RANK_AVG(C14,$A$6:$H$15,1),"")</f>
        <v>#NAME?</v>
      </c>
      <c r="M14" s="8" t="e">
        <f ca="1">IF(D14&lt;&gt;"",[1]!RANK_AVG(D14,$A$6:$H$15,1),"")</f>
        <v>#NAME?</v>
      </c>
      <c r="N14" s="656" t="e">
        <f ca="1">IF(E14&lt;&gt;"",[1]!RANK_AVG(E14,$A$6:$H$15,1),"")</f>
        <v>#NAME?</v>
      </c>
      <c r="O14" s="8" t="e">
        <f ca="1">IF(F14&lt;&gt;"",[1]!RANK_AVG(F14,$A$6:$H$15,1),"")</f>
        <v>#NAME?</v>
      </c>
      <c r="P14" s="8" t="e">
        <f ca="1">IF(G14&lt;&gt;"",[1]!RANK_AVG(G14,$A$6:$H$15,1),"")</f>
        <v>#NAME?</v>
      </c>
      <c r="Q14" s="657" t="str">
        <f>IF(H14&lt;&gt;"",[1]!RANK_AVG(H14,$A$6:$H$15,1),"")</f>
        <v/>
      </c>
      <c r="S14" s="66" t="s">
        <v>63</v>
      </c>
      <c r="T14" s="656">
        <f>T6*(T6+U6+1)/2</f>
        <v>1580</v>
      </c>
      <c r="U14" s="657">
        <f>U6*(T6+U6+1)/2</f>
        <v>1501</v>
      </c>
      <c r="W14" t="s">
        <v>1835</v>
      </c>
    </row>
    <row r="15" spans="1:25">
      <c r="A15" s="10">
        <v>70</v>
      </c>
      <c r="B15" s="11">
        <v>77</v>
      </c>
      <c r="C15" s="11">
        <v>84</v>
      </c>
      <c r="D15" s="11">
        <v>67</v>
      </c>
      <c r="E15" s="10">
        <v>70</v>
      </c>
      <c r="F15" s="11">
        <v>45</v>
      </c>
      <c r="G15" s="11">
        <v>71</v>
      </c>
      <c r="H15" s="12"/>
      <c r="J15" s="10" t="e">
        <f ca="1">IF(A15&lt;&gt;"",[1]!RANK_AVG(A15,$A$6:$H$15,1),"")</f>
        <v>#NAME?</v>
      </c>
      <c r="K15" s="11" t="e">
        <f ca="1">IF(B15&lt;&gt;"",[1]!RANK_AVG(B15,$A$6:$H$15,1),"")</f>
        <v>#NAME?</v>
      </c>
      <c r="L15" s="11" t="e">
        <f ca="1">IF(C15&lt;&gt;"",[1]!RANK_AVG(C15,$A$6:$H$15,1),"")</f>
        <v>#NAME?</v>
      </c>
      <c r="M15" s="11" t="e">
        <f ca="1">IF(D15&lt;&gt;"",[1]!RANK_AVG(D15,$A$6:$H$15,1),"")</f>
        <v>#NAME?</v>
      </c>
      <c r="N15" s="10" t="e">
        <f ca="1">IF(E15&lt;&gt;"",[1]!RANK_AVG(E15,$A$6:$H$15,1),"")</f>
        <v>#NAME?</v>
      </c>
      <c r="O15" s="11" t="e">
        <f ca="1">IF(F15&lt;&gt;"",[1]!RANK_AVG(F15,$A$6:$H$15,1),"")</f>
        <v>#NAME?</v>
      </c>
      <c r="P15" s="11" t="e">
        <f ca="1">IF(G15&lt;&gt;"",[1]!RANK_AVG(G15,$A$6:$H$15,1),"")</f>
        <v>#NAME?</v>
      </c>
      <c r="Q15" s="12" t="str">
        <f>IF(H15&lt;&gt;"",[1]!RANK_AVG(H15,$A$6:$H$15,1),"")</f>
        <v/>
      </c>
      <c r="S15" s="66" t="s">
        <v>1533</v>
      </c>
      <c r="T15" s="750">
        <f>T14*U6/6</f>
        <v>10006.666666666666</v>
      </c>
      <c r="U15" s="657">
        <f>U14*T6/6</f>
        <v>10006.666666666666</v>
      </c>
    </row>
    <row r="16" spans="1:25">
      <c r="S16" s="66" t="s">
        <v>218</v>
      </c>
      <c r="T16" s="656">
        <f>SQRT(T15)</f>
        <v>100.03332777962885</v>
      </c>
      <c r="U16" s="657">
        <f>SQRT(U15)</f>
        <v>100.03332777962885</v>
      </c>
      <c r="W16" t="s">
        <v>1837</v>
      </c>
      <c r="X16" s="1236" t="e">
        <f ca="1">[1]!WILCOXON(A6:H15,4)</f>
        <v>#NAME?</v>
      </c>
      <c r="Y16" s="1237" t="e">
        <f ca="1">[1]!WILCOXON(A6:D15,E6:H15)</f>
        <v>#NAME?</v>
      </c>
    </row>
    <row r="17" spans="19:25">
      <c r="S17" s="66" t="s">
        <v>200</v>
      </c>
      <c r="T17" s="656" t="e">
        <f ca="1">1-NORMDIST(T8,T14,T16,TRUE)</f>
        <v>#NAME?</v>
      </c>
      <c r="U17" s="657" t="e">
        <f ca="1">NORMDIST(U8,U14,U16,TRUE)</f>
        <v>#NAME?</v>
      </c>
      <c r="W17" t="s">
        <v>1836</v>
      </c>
      <c r="X17" s="656" t="e">
        <f ca="1">[1]!wtest(A6:H15,4)</f>
        <v>#NAME?</v>
      </c>
      <c r="Y17" s="657" t="e">
        <f ca="1">[1]!wtest(A6:D15,E6:H15)</f>
        <v>#NAME?</v>
      </c>
    </row>
    <row r="18" spans="19:25">
      <c r="S18" s="66" t="s">
        <v>948</v>
      </c>
      <c r="T18" s="44" t="e">
        <f ca="1">IF(T17&lt;T10,"yes","no")</f>
        <v>#NAME?</v>
      </c>
      <c r="U18" s="751" t="e">
        <f ca="1">IF(U17&lt;U10,"yes","no")</f>
        <v>#NAME?</v>
      </c>
      <c r="W18" t="s">
        <v>3475</v>
      </c>
      <c r="X18" s="533" t="e">
        <f ca="1">[1]!wtest(A6:H15,4,2)</f>
        <v>#NAME?</v>
      </c>
      <c r="Y18" s="541" t="e">
        <f ca="1">[1]!wtest(A6:D15,E6:H15,2)</f>
        <v>#NAME?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sheetPr codeName="Sheet380"/>
  <dimension ref="A1:K52"/>
  <sheetViews>
    <sheetView workbookViewId="0"/>
  </sheetViews>
  <sheetFormatPr defaultRowHeight="14.4"/>
  <cols>
    <col min="3" max="3" width="5.5546875" customWidth="1"/>
    <col min="6" max="6" width="5.44140625" customWidth="1"/>
    <col min="7" max="7" width="10" customWidth="1"/>
    <col min="10" max="10" width="3.88671875" customWidth="1"/>
    <col min="11" max="11" width="42.44140625" customWidth="1"/>
  </cols>
  <sheetData>
    <row r="1" spans="1:11">
      <c r="A1" s="123" t="s">
        <v>1809</v>
      </c>
    </row>
    <row r="2" spans="1:11">
      <c r="A2" s="123"/>
    </row>
    <row r="3" spans="1:11">
      <c r="A3" s="122" t="s">
        <v>1810</v>
      </c>
      <c r="D3" t="s">
        <v>548</v>
      </c>
    </row>
    <row r="4" spans="1:11">
      <c r="H4" s="19" t="s">
        <v>239</v>
      </c>
      <c r="I4" s="19" t="s">
        <v>240</v>
      </c>
    </row>
    <row r="5" spans="1:11">
      <c r="A5" s="687" t="s">
        <v>239</v>
      </c>
      <c r="B5" s="687" t="s">
        <v>240</v>
      </c>
      <c r="D5" s="687" t="s">
        <v>239</v>
      </c>
      <c r="E5" s="687" t="s">
        <v>240</v>
      </c>
      <c r="G5" t="s">
        <v>554</v>
      </c>
      <c r="H5" s="553">
        <f>COUNT(A6:A12)</f>
        <v>7</v>
      </c>
      <c r="I5" s="667">
        <f>COUNT(B6:B12)</f>
        <v>7</v>
      </c>
      <c r="K5" t="e">
        <f ca="1">[1]!FTEXT(H5)</f>
        <v>#NAME?</v>
      </c>
    </row>
    <row r="6" spans="1:11">
      <c r="A6">
        <v>11</v>
      </c>
      <c r="B6">
        <v>34</v>
      </c>
      <c r="D6" t="e">
        <f ca="1">IF(A6&lt;&gt;"",[1]!RANK_AVG(A6,$A$6:$B$12,1),"")</f>
        <v>#NAME?</v>
      </c>
      <c r="E6" t="e">
        <f ca="1">IF(B6&lt;&gt;"",[1]!RANK_AVG(B6,$A$6:$B$12,1),"")</f>
        <v>#NAME?</v>
      </c>
      <c r="G6" t="s">
        <v>1813</v>
      </c>
      <c r="H6" s="10" t="e">
        <f ca="1">D13</f>
        <v>#NAME?</v>
      </c>
      <c r="I6" s="12" t="e">
        <f ca="1">E13</f>
        <v>#NAME?</v>
      </c>
      <c r="K6" t="e">
        <f ca="1">[1]!FTEXT(H6)</f>
        <v>#NAME?</v>
      </c>
    </row>
    <row r="7" spans="1:11">
      <c r="A7">
        <v>15</v>
      </c>
      <c r="B7">
        <v>31</v>
      </c>
      <c r="D7" t="e">
        <f ca="1">IF(A7&lt;&gt;"",[1]!RANK_AVG(A7,$A$6:$B$12,1),"")</f>
        <v>#NAME?</v>
      </c>
      <c r="E7" t="e">
        <f ca="1">IF(B7&lt;&gt;"",[1]!RANK_AVG(B7,$A$6:$B$12,1),"")</f>
        <v>#NAME?</v>
      </c>
    </row>
    <row r="8" spans="1:11">
      <c r="A8">
        <v>9</v>
      </c>
      <c r="B8">
        <v>35</v>
      </c>
      <c r="D8" t="e">
        <f ca="1">IF(A8&lt;&gt;"",[1]!RANK_AVG(A8,$A$6:$B$12,1),"")</f>
        <v>#NAME?</v>
      </c>
      <c r="E8" t="e">
        <f ca="1">IF(B8&lt;&gt;"",[1]!RANK_AVG(B8,$A$6:$B$12,1),"")</f>
        <v>#NAME?</v>
      </c>
      <c r="G8" s="172" t="s">
        <v>157</v>
      </c>
      <c r="H8" s="542">
        <v>0.05</v>
      </c>
    </row>
    <row r="9" spans="1:11">
      <c r="A9">
        <v>4</v>
      </c>
      <c r="B9">
        <v>29</v>
      </c>
      <c r="D9" t="e">
        <f ca="1">IF(A9&lt;&gt;"",[1]!RANK_AVG(A9,$A$6:$B$12,1),"")</f>
        <v>#NAME?</v>
      </c>
      <c r="E9" t="e">
        <f ca="1">IF(B9&lt;&gt;"",[1]!RANK_AVG(B9,$A$6:$B$12,1),"")</f>
        <v>#NAME?</v>
      </c>
      <c r="G9" s="172" t="s">
        <v>1178</v>
      </c>
      <c r="H9" s="627">
        <v>2</v>
      </c>
    </row>
    <row r="10" spans="1:11">
      <c r="A10">
        <v>17</v>
      </c>
      <c r="B10">
        <v>12</v>
      </c>
      <c r="D10" t="e">
        <f ca="1">IF(A10&lt;&gt;"",[1]!RANK_AVG(A10,$A$6:$B$12,1),"")</f>
        <v>#NAME?</v>
      </c>
      <c r="E10" t="e">
        <f ca="1">IF(B10&lt;&gt;"",[1]!RANK_AVG(B10,$A$6:$B$12,1),"")</f>
        <v>#NAME?</v>
      </c>
      <c r="G10" s="172" t="s">
        <v>1513</v>
      </c>
      <c r="H10" s="627" t="e">
        <f ca="1">IF(H5=I5,MIN(H6:I6),IF(H5&lt;I5,H6,I6))</f>
        <v>#NAME?</v>
      </c>
      <c r="K10" t="e">
        <f ca="1">[1]!FTEXT(H10)</f>
        <v>#NAME?</v>
      </c>
    </row>
    <row r="11" spans="1:11">
      <c r="A11">
        <v>32</v>
      </c>
      <c r="B11">
        <v>18</v>
      </c>
      <c r="D11" t="e">
        <f ca="1">IF(A11&lt;&gt;"",[1]!RANK_AVG(A11,$A$6:$B$12,1),"")</f>
        <v>#NAME?</v>
      </c>
      <c r="E11" t="e">
        <f ca="1">IF(B11&lt;&gt;"",[1]!RANK_AVG(B11,$A$6:$B$12,1),"")</f>
        <v>#NAME?</v>
      </c>
      <c r="G11" s="172" t="s">
        <v>1811</v>
      </c>
      <c r="H11" s="627" t="e">
        <f ca="1">MIN(H5:I5)*(H5+I5+1)-H10</f>
        <v>#NAME?</v>
      </c>
      <c r="K11" t="e">
        <f ca="1">[1]!FTEXT(H11)</f>
        <v>#NAME?</v>
      </c>
    </row>
    <row r="12" spans="1:11">
      <c r="A12" s="11">
        <v>14</v>
      </c>
      <c r="B12" s="11">
        <v>30</v>
      </c>
      <c r="D12" s="11" t="e">
        <f ca="1">IF(A12&lt;&gt;"",[1]!RANK_AVG(A12,$A$6:$B$12,1),"")</f>
        <v>#NAME?</v>
      </c>
      <c r="E12" s="11" t="e">
        <f ca="1">IF(B12&lt;&gt;"",[1]!RANK_AVG(B12,$A$6:$B$12,1),"")</f>
        <v>#NAME?</v>
      </c>
      <c r="G12" s="66" t="s">
        <v>1812</v>
      </c>
      <c r="H12" s="627" t="e">
        <f ca="1">[1]!wcrit(H5,I5,H8,2)</f>
        <v>#NAME?</v>
      </c>
      <c r="K12" s="23" t="s">
        <v>4202</v>
      </c>
    </row>
    <row r="13" spans="1:11">
      <c r="A13">
        <f>AVERAGE(A6:A12)</f>
        <v>14.571428571428571</v>
      </c>
      <c r="B13">
        <f>AVERAGE(B6:B12)</f>
        <v>27</v>
      </c>
      <c r="D13" t="e">
        <f ca="1">SUM(D6:D12)</f>
        <v>#NAME?</v>
      </c>
      <c r="E13" t="e">
        <f ca="1">SUM(E6:E12)</f>
        <v>#NAME?</v>
      </c>
      <c r="G13" s="66" t="s">
        <v>948</v>
      </c>
      <c r="H13" s="538" t="e">
        <f ca="1">IF(MIN(H10:H11)&lt;H12,"yes","no")</f>
        <v>#NAME?</v>
      </c>
      <c r="K13" t="e">
        <f ca="1">[1]!FTEXT(H13)</f>
        <v>#NAME?</v>
      </c>
    </row>
    <row r="16" spans="1:11">
      <c r="G16" t="s">
        <v>200</v>
      </c>
      <c r="H16" s="1235" t="e">
        <f ca="1">2*[1]!PERM2DIST(H10,H5,I5,TRUE)</f>
        <v>#NAME?</v>
      </c>
      <c r="K16" t="e">
        <f ca="1">[1]!FTEXT(H16)</f>
        <v>#NAME?</v>
      </c>
    </row>
    <row r="17" spans="1:11">
      <c r="G17" t="s">
        <v>1812</v>
      </c>
      <c r="H17" s="544" t="e">
        <f ca="1">[1]!PERM2INV(H8/2,H5,I5)</f>
        <v>#NAME?</v>
      </c>
      <c r="K17" t="e">
        <f ca="1">[1]!FTEXT(H17)</f>
        <v>#NAME?</v>
      </c>
    </row>
    <row r="20" spans="1:11">
      <c r="A20" s="122" t="s">
        <v>1810</v>
      </c>
      <c r="D20" t="s">
        <v>548</v>
      </c>
    </row>
    <row r="21" spans="1:11">
      <c r="H21" s="19" t="s">
        <v>239</v>
      </c>
      <c r="I21" s="19" t="s">
        <v>240</v>
      </c>
    </row>
    <row r="22" spans="1:11">
      <c r="A22" s="687" t="s">
        <v>239</v>
      </c>
      <c r="B22" s="687" t="s">
        <v>240</v>
      </c>
      <c r="D22" s="687" t="s">
        <v>239</v>
      </c>
      <c r="E22" s="687" t="s">
        <v>240</v>
      </c>
      <c r="G22" t="s">
        <v>554</v>
      </c>
      <c r="H22" s="553">
        <f>COUNT(A23:A29)</f>
        <v>7</v>
      </c>
      <c r="I22" s="667">
        <f>COUNT(B23:B29)</f>
        <v>6</v>
      </c>
      <c r="K22" t="e">
        <f ca="1">[1]!FTEXT(H22)</f>
        <v>#NAME?</v>
      </c>
    </row>
    <row r="23" spans="1:11">
      <c r="A23">
        <v>11</v>
      </c>
      <c r="B23">
        <v>34</v>
      </c>
      <c r="D23" t="e">
        <f ca="1">IF(A23&lt;&gt;"",[1]!RANK_AVG(A23,$A$23:$B$29,1),"")</f>
        <v>#NAME?</v>
      </c>
      <c r="E23" t="e">
        <f ca="1">IF(B23&lt;&gt;"",[1]!RANK_AVG(B23,$A$23:$B$29,1),"")</f>
        <v>#NAME?</v>
      </c>
      <c r="G23" t="s">
        <v>1813</v>
      </c>
      <c r="H23" s="10" t="e">
        <f ca="1">D30</f>
        <v>#NAME?</v>
      </c>
      <c r="I23" s="12" t="e">
        <f ca="1">E30</f>
        <v>#NAME?</v>
      </c>
      <c r="K23" t="e">
        <f ca="1">[1]!FTEXT(H23)</f>
        <v>#NAME?</v>
      </c>
    </row>
    <row r="24" spans="1:11">
      <c r="A24">
        <v>15</v>
      </c>
      <c r="B24">
        <v>31</v>
      </c>
      <c r="D24" t="e">
        <f ca="1">IF(A24&lt;&gt;"",[1]!RANK_AVG(A24,$A$23:$B$29,1),"")</f>
        <v>#NAME?</v>
      </c>
      <c r="E24" t="e">
        <f ca="1">IF(B24&lt;&gt;"",[1]!RANK_AVG(B24,$A$23:$B$29,1),"")</f>
        <v>#NAME?</v>
      </c>
    </row>
    <row r="25" spans="1:11">
      <c r="A25">
        <v>9</v>
      </c>
      <c r="B25">
        <v>35</v>
      </c>
      <c r="D25" t="e">
        <f ca="1">IF(A25&lt;&gt;"",[1]!RANK_AVG(A25,$A$23:$B$29,1),"")</f>
        <v>#NAME?</v>
      </c>
      <c r="E25" t="e">
        <f ca="1">IF(B25&lt;&gt;"",[1]!RANK_AVG(B25,$A$23:$B$29,1),"")</f>
        <v>#NAME?</v>
      </c>
      <c r="G25" s="172" t="s">
        <v>157</v>
      </c>
      <c r="H25" s="542">
        <v>0.05</v>
      </c>
    </row>
    <row r="26" spans="1:11">
      <c r="A26">
        <v>4</v>
      </c>
      <c r="B26">
        <v>29</v>
      </c>
      <c r="D26" t="e">
        <f ca="1">IF(A26&lt;&gt;"",[1]!RANK_AVG(A26,$A$23:$B$29,1),"")</f>
        <v>#NAME?</v>
      </c>
      <c r="E26" t="e">
        <f ca="1">IF(B26&lt;&gt;"",[1]!RANK_AVG(B26,$A$23:$B$29,1),"")</f>
        <v>#NAME?</v>
      </c>
      <c r="G26" s="172" t="s">
        <v>1178</v>
      </c>
      <c r="H26" s="627">
        <v>2</v>
      </c>
    </row>
    <row r="27" spans="1:11">
      <c r="A27">
        <v>17</v>
      </c>
      <c r="B27">
        <v>12</v>
      </c>
      <c r="D27" t="e">
        <f ca="1">IF(A27&lt;&gt;"",[1]!RANK_AVG(A27,$A$23:$B$29,1),"")</f>
        <v>#NAME?</v>
      </c>
      <c r="E27" t="e">
        <f ca="1">IF(B27&lt;&gt;"",[1]!RANK_AVG(B27,$A$23:$B$29,1),"")</f>
        <v>#NAME?</v>
      </c>
      <c r="G27" s="172" t="s">
        <v>1513</v>
      </c>
      <c r="H27" s="627" t="e">
        <f ca="1">IF(H22=I22,MIN(H23:I23),IF(H22&lt;I22,H23,I23))</f>
        <v>#NAME?</v>
      </c>
      <c r="K27" t="e">
        <f ca="1">[1]!FTEXT(H27)</f>
        <v>#NAME?</v>
      </c>
    </row>
    <row r="28" spans="1:11">
      <c r="A28">
        <v>32</v>
      </c>
      <c r="B28">
        <v>18</v>
      </c>
      <c r="D28" t="e">
        <f ca="1">IF(A28&lt;&gt;"",[1]!RANK_AVG(A28,$A$23:$B$29,1),"")</f>
        <v>#NAME?</v>
      </c>
      <c r="E28" t="e">
        <f ca="1">IF(B28&lt;&gt;"",[1]!RANK_AVG(B28,$A$23:$B$29,1),"")</f>
        <v>#NAME?</v>
      </c>
      <c r="G28" s="172" t="s">
        <v>1811</v>
      </c>
      <c r="H28" s="627" t="e">
        <f ca="1">MIN(H22:I22)*(H22+I22+1)-H27</f>
        <v>#NAME?</v>
      </c>
      <c r="K28" t="e">
        <f ca="1">[1]!FTEXT(H28)</f>
        <v>#NAME?</v>
      </c>
    </row>
    <row r="29" spans="1:11">
      <c r="A29" s="11">
        <v>14</v>
      </c>
      <c r="B29" s="11"/>
      <c r="D29" s="11" t="e">
        <f ca="1">IF(A29&lt;&gt;"",[1]!RANK_AVG(A29,$A$23:$B$29,1),"")</f>
        <v>#NAME?</v>
      </c>
      <c r="E29" s="11" t="str">
        <f>IF(B29&lt;&gt;"",[1]!RANK_AVG(B29,$A$23:$B$29,1),"")</f>
        <v/>
      </c>
      <c r="G29" s="66" t="s">
        <v>1812</v>
      </c>
      <c r="H29" s="627" t="e">
        <f ca="1">[1]!wcrit(H22,I22,H25,H26)</f>
        <v>#NAME?</v>
      </c>
      <c r="K29" s="23" t="s">
        <v>4239</v>
      </c>
    </row>
    <row r="30" spans="1:11">
      <c r="A30">
        <f>AVERAGE(A23:A29)</f>
        <v>14.571428571428571</v>
      </c>
      <c r="B30">
        <f>AVERAGE(B23:B29)</f>
        <v>26.5</v>
      </c>
      <c r="D30" t="e">
        <f ca="1">SUM(D23:D29)</f>
        <v>#NAME?</v>
      </c>
      <c r="E30" t="e">
        <f ca="1">SUM(E23:E29)</f>
        <v>#NAME?</v>
      </c>
      <c r="G30" s="66" t="s">
        <v>948</v>
      </c>
      <c r="H30" s="538" t="e">
        <f ca="1">IF(MIN(H27:H28)&lt;H29,"yes","no")</f>
        <v>#NAME?</v>
      </c>
      <c r="K30" t="e">
        <f ca="1">[1]!FTEXT(H30)</f>
        <v>#NAME?</v>
      </c>
    </row>
    <row r="33" spans="1:11">
      <c r="G33" t="s">
        <v>200</v>
      </c>
      <c r="H33" s="1235" t="e">
        <f ca="1">2*[1]!PERM2DIST(H28,H22,I22,TRUE)</f>
        <v>#NAME?</v>
      </c>
      <c r="K33" t="e">
        <f ca="1">[1]!FTEXT(H33)</f>
        <v>#NAME?</v>
      </c>
    </row>
    <row r="34" spans="1:11">
      <c r="G34" t="s">
        <v>1812</v>
      </c>
      <c r="H34" s="544" t="e">
        <f ca="1">[1]!PERM2INV(H25/2,H22,I22)</f>
        <v>#NAME?</v>
      </c>
      <c r="K34" t="e">
        <f ca="1">[1]!FTEXT(H34)</f>
        <v>#NAME?</v>
      </c>
    </row>
    <row r="38" spans="1:11">
      <c r="A38" s="122" t="s">
        <v>1810</v>
      </c>
      <c r="D38" t="s">
        <v>548</v>
      </c>
    </row>
    <row r="39" spans="1:11">
      <c r="H39" s="19" t="s">
        <v>239</v>
      </c>
      <c r="I39" s="19" t="s">
        <v>240</v>
      </c>
    </row>
    <row r="40" spans="1:11">
      <c r="A40" s="687" t="s">
        <v>239</v>
      </c>
      <c r="B40" s="687" t="s">
        <v>240</v>
      </c>
      <c r="D40" s="687" t="s">
        <v>239</v>
      </c>
      <c r="E40" s="687" t="s">
        <v>240</v>
      </c>
      <c r="G40" t="s">
        <v>554</v>
      </c>
      <c r="H40" s="553">
        <f>COUNT(A41:A44)</f>
        <v>4</v>
      </c>
      <c r="I40" s="667">
        <f>COUNT(B41:B44)</f>
        <v>4</v>
      </c>
      <c r="K40" t="e">
        <f ca="1">[1]!FTEXT(H40)</f>
        <v>#NAME?</v>
      </c>
    </row>
    <row r="41" spans="1:11">
      <c r="A41">
        <v>29</v>
      </c>
      <c r="B41">
        <v>34</v>
      </c>
      <c r="D41" t="e">
        <f ca="1">IF(A41&lt;&gt;"",[1]!RANK_AVG(A41,$A$41:$B$44,1),"")</f>
        <v>#NAME?</v>
      </c>
      <c r="E41" t="e">
        <f ca="1">IF(B41&lt;&gt;"",[1]!RANK_AVG(B41,$A$41:$B$44,1),"")</f>
        <v>#NAME?</v>
      </c>
      <c r="G41" t="s">
        <v>1813</v>
      </c>
      <c r="H41" s="10" t="e">
        <f ca="1">D45</f>
        <v>#NAME?</v>
      </c>
      <c r="I41" s="12" t="e">
        <f ca="1">E45</f>
        <v>#NAME?</v>
      </c>
      <c r="K41" t="e">
        <f ca="1">[1]!FTEXT(H41)</f>
        <v>#NAME?</v>
      </c>
    </row>
    <row r="42" spans="1:11">
      <c r="A42">
        <v>15</v>
      </c>
      <c r="B42">
        <v>31</v>
      </c>
      <c r="D42" t="e">
        <f ca="1">IF(A42&lt;&gt;"",[1]!RANK_AVG(A42,$A$41:$B$44,1),"")</f>
        <v>#NAME?</v>
      </c>
      <c r="E42" t="e">
        <f ca="1">IF(B42&lt;&gt;"",[1]!RANK_AVG(B42,$A$41:$B$44,1),"")</f>
        <v>#NAME?</v>
      </c>
    </row>
    <row r="43" spans="1:11">
      <c r="A43">
        <v>9</v>
      </c>
      <c r="B43">
        <v>35</v>
      </c>
      <c r="D43" t="e">
        <f ca="1">IF(A43&lt;&gt;"",[1]!RANK_AVG(A43,$A$41:$B$44,1),"")</f>
        <v>#NAME?</v>
      </c>
      <c r="E43" t="e">
        <f ca="1">IF(B43&lt;&gt;"",[1]!RANK_AVG(B43,$A$41:$B$44,1),"")</f>
        <v>#NAME?</v>
      </c>
      <c r="G43" s="172" t="s">
        <v>157</v>
      </c>
      <c r="H43" s="542">
        <v>0.2</v>
      </c>
    </row>
    <row r="44" spans="1:11">
      <c r="A44" s="11">
        <v>4</v>
      </c>
      <c r="B44" s="11">
        <v>11</v>
      </c>
      <c r="D44" s="11" t="e">
        <f ca="1">IF(A44&lt;&gt;"",[1]!RANK_AVG(A44,$A$41:$B$44,1),"")</f>
        <v>#NAME?</v>
      </c>
      <c r="E44" s="11" t="e">
        <f ca="1">IF(B44&lt;&gt;"",[1]!RANK_AVG(B44,$A$41:$B$44,1),"")</f>
        <v>#NAME?</v>
      </c>
      <c r="G44" s="172" t="s">
        <v>1178</v>
      </c>
      <c r="H44" s="627">
        <v>2</v>
      </c>
    </row>
    <row r="45" spans="1:11">
      <c r="A45">
        <f>AVERAGE(A41:A44)</f>
        <v>14.25</v>
      </c>
      <c r="B45">
        <f>AVERAGE(B41:B44)</f>
        <v>27.75</v>
      </c>
      <c r="D45" t="e">
        <f ca="1">SUM(D41:D44)</f>
        <v>#NAME?</v>
      </c>
      <c r="E45" t="e">
        <f ca="1">SUM(E41:E44)</f>
        <v>#NAME?</v>
      </c>
      <c r="G45" s="172" t="s">
        <v>1513</v>
      </c>
      <c r="H45" s="627" t="e">
        <f ca="1">IF(H40=I40,MIN(H41:I41),IF(H40&lt;I40,H41,I41))</f>
        <v>#NAME?</v>
      </c>
      <c r="K45" t="e">
        <f ca="1">[1]!FTEXT(H45)</f>
        <v>#NAME?</v>
      </c>
    </row>
    <row r="46" spans="1:11">
      <c r="G46" s="172" t="s">
        <v>1811</v>
      </c>
      <c r="H46" s="627" t="e">
        <f ca="1">MIN(H40:I40)*(H40+I40+1)-H45</f>
        <v>#NAME?</v>
      </c>
      <c r="K46" t="e">
        <f ca="1">[1]!FTEXT(H46)</f>
        <v>#NAME?</v>
      </c>
    </row>
    <row r="47" spans="1:11">
      <c r="A47" s="8"/>
      <c r="B47" s="8"/>
      <c r="C47" s="8"/>
      <c r="D47" s="8"/>
      <c r="E47" s="8"/>
      <c r="G47" s="66" t="s">
        <v>1812</v>
      </c>
      <c r="H47" s="627" t="e">
        <f ca="1">[1]!wcrit(H40,I40,H43,2)</f>
        <v>#NAME?</v>
      </c>
      <c r="K47" s="23" t="s">
        <v>4203</v>
      </c>
    </row>
    <row r="48" spans="1:11">
      <c r="A48" s="8"/>
      <c r="B48" s="8"/>
      <c r="C48" s="8"/>
      <c r="D48" s="8"/>
      <c r="E48" s="8"/>
      <c r="G48" s="66" t="s">
        <v>948</v>
      </c>
      <c r="H48" s="538" t="e">
        <f ca="1">IF(MIN(H45:H46)&lt;H47,"yes","no")</f>
        <v>#NAME?</v>
      </c>
      <c r="K48" t="e">
        <f ca="1">[1]!FTEXT(H48)</f>
        <v>#NAME?</v>
      </c>
    </row>
    <row r="49" spans="1:11">
      <c r="A49" s="8"/>
      <c r="B49" s="8"/>
      <c r="C49" s="8"/>
      <c r="D49" s="8"/>
      <c r="E49" s="8"/>
    </row>
    <row r="51" spans="1:11">
      <c r="G51" t="s">
        <v>200</v>
      </c>
      <c r="H51" s="1235" t="e">
        <f ca="1">2*[1]!PERM2DIST(H45,H40,I40,TRUE)</f>
        <v>#NAME?</v>
      </c>
      <c r="K51" t="e">
        <f ca="1">[1]!FTEXT(H51)</f>
        <v>#NAME?</v>
      </c>
    </row>
    <row r="52" spans="1:11">
      <c r="G52" t="s">
        <v>1812</v>
      </c>
      <c r="H52" s="544" t="e">
        <f ca="1">[1]!PERM2INV(H43/2,H40,I40)</f>
        <v>#NAME?</v>
      </c>
      <c r="K52" t="e">
        <f ca="1">[1]!FTEXT(H52)</f>
        <v>#NAME?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sheetPr codeName="Sheet379"/>
  <dimension ref="A1:CK81"/>
  <sheetViews>
    <sheetView topLeftCell="A16" workbookViewId="0"/>
  </sheetViews>
  <sheetFormatPr defaultRowHeight="14.4"/>
  <cols>
    <col min="1" max="1" width="4.88671875" customWidth="1"/>
    <col min="2" max="95" width="5.6640625" customWidth="1"/>
  </cols>
  <sheetData>
    <row r="1" spans="1:89">
      <c r="A1" s="1" t="s">
        <v>4201</v>
      </c>
    </row>
    <row r="2" spans="1:89">
      <c r="A2" s="1"/>
    </row>
    <row r="3" spans="1:89">
      <c r="A3" s="25" t="s">
        <v>291</v>
      </c>
      <c r="B3" s="756">
        <v>4</v>
      </c>
      <c r="D3" t="s">
        <v>292</v>
      </c>
      <c r="E3" s="756">
        <v>4</v>
      </c>
      <c r="G3" t="s">
        <v>106</v>
      </c>
      <c r="H3" s="756">
        <f>B3+E3</f>
        <v>8</v>
      </c>
    </row>
    <row r="4" spans="1:89">
      <c r="A4" s="1"/>
    </row>
    <row r="5" spans="1:89">
      <c r="A5" s="25" t="s">
        <v>3358</v>
      </c>
      <c r="B5" s="756">
        <f>B3*(B3+1)/2</f>
        <v>10</v>
      </c>
      <c r="D5" t="s">
        <v>141</v>
      </c>
      <c r="E5" s="756">
        <f>E3*(E3+1)/2</f>
        <v>10</v>
      </c>
      <c r="G5" t="s">
        <v>142</v>
      </c>
      <c r="H5" s="756">
        <f>H3*(H3+1)/2</f>
        <v>36</v>
      </c>
      <c r="J5" t="s">
        <v>3359</v>
      </c>
      <c r="K5" s="756">
        <f>H5-E5</f>
        <v>26</v>
      </c>
      <c r="M5" t="s">
        <v>2781</v>
      </c>
      <c r="N5" s="756">
        <f>COMBIN(H3,E3)</f>
        <v>70</v>
      </c>
    </row>
    <row r="6" spans="1:89">
      <c r="A6" s="1"/>
    </row>
    <row r="7" spans="1:89">
      <c r="A7" s="1"/>
      <c r="B7">
        <v>1</v>
      </c>
      <c r="C7">
        <f>B7+1</f>
        <v>2</v>
      </c>
      <c r="D7">
        <f t="shared" ref="D7:BO7" si="0">C7+1</f>
        <v>3</v>
      </c>
      <c r="E7">
        <f t="shared" si="0"/>
        <v>4</v>
      </c>
      <c r="F7">
        <f t="shared" si="0"/>
        <v>5</v>
      </c>
      <c r="G7">
        <f t="shared" si="0"/>
        <v>6</v>
      </c>
      <c r="H7">
        <f t="shared" si="0"/>
        <v>7</v>
      </c>
      <c r="I7">
        <f t="shared" si="0"/>
        <v>8</v>
      </c>
      <c r="J7">
        <f t="shared" si="0"/>
        <v>9</v>
      </c>
      <c r="K7">
        <f t="shared" si="0"/>
        <v>10</v>
      </c>
      <c r="L7">
        <f t="shared" si="0"/>
        <v>11</v>
      </c>
      <c r="M7">
        <f t="shared" si="0"/>
        <v>12</v>
      </c>
      <c r="N7">
        <f t="shared" si="0"/>
        <v>13</v>
      </c>
      <c r="O7">
        <f t="shared" si="0"/>
        <v>14</v>
      </c>
      <c r="P7">
        <f t="shared" si="0"/>
        <v>15</v>
      </c>
      <c r="Q7">
        <f t="shared" si="0"/>
        <v>16</v>
      </c>
      <c r="R7">
        <f t="shared" si="0"/>
        <v>17</v>
      </c>
      <c r="S7">
        <f t="shared" si="0"/>
        <v>18</v>
      </c>
      <c r="T7">
        <f t="shared" si="0"/>
        <v>19</v>
      </c>
      <c r="U7">
        <f t="shared" si="0"/>
        <v>20</v>
      </c>
      <c r="V7">
        <f t="shared" si="0"/>
        <v>21</v>
      </c>
      <c r="W7">
        <f t="shared" si="0"/>
        <v>22</v>
      </c>
      <c r="X7">
        <f t="shared" si="0"/>
        <v>23</v>
      </c>
      <c r="Y7">
        <f t="shared" si="0"/>
        <v>24</v>
      </c>
      <c r="Z7">
        <f t="shared" si="0"/>
        <v>25</v>
      </c>
      <c r="AA7">
        <f t="shared" si="0"/>
        <v>26</v>
      </c>
      <c r="AB7">
        <f t="shared" si="0"/>
        <v>27</v>
      </c>
      <c r="AC7">
        <f t="shared" si="0"/>
        <v>28</v>
      </c>
      <c r="AD7">
        <f t="shared" si="0"/>
        <v>29</v>
      </c>
      <c r="AE7">
        <f t="shared" si="0"/>
        <v>30</v>
      </c>
      <c r="AF7">
        <f t="shared" si="0"/>
        <v>31</v>
      </c>
      <c r="AG7">
        <f t="shared" si="0"/>
        <v>32</v>
      </c>
      <c r="AH7">
        <f t="shared" si="0"/>
        <v>33</v>
      </c>
      <c r="AI7">
        <f t="shared" si="0"/>
        <v>34</v>
      </c>
      <c r="AJ7">
        <f t="shared" si="0"/>
        <v>35</v>
      </c>
      <c r="AK7">
        <f t="shared" si="0"/>
        <v>36</v>
      </c>
      <c r="AL7">
        <f t="shared" si="0"/>
        <v>37</v>
      </c>
      <c r="AM7">
        <f t="shared" si="0"/>
        <v>38</v>
      </c>
      <c r="AN7">
        <f t="shared" si="0"/>
        <v>39</v>
      </c>
      <c r="AO7">
        <f t="shared" si="0"/>
        <v>40</v>
      </c>
      <c r="AP7">
        <f t="shared" si="0"/>
        <v>41</v>
      </c>
      <c r="AQ7">
        <f t="shared" si="0"/>
        <v>42</v>
      </c>
      <c r="AR7">
        <f t="shared" si="0"/>
        <v>43</v>
      </c>
      <c r="AS7">
        <f t="shared" si="0"/>
        <v>44</v>
      </c>
      <c r="AT7">
        <f t="shared" si="0"/>
        <v>45</v>
      </c>
      <c r="AU7">
        <f t="shared" si="0"/>
        <v>46</v>
      </c>
      <c r="AV7">
        <f t="shared" si="0"/>
        <v>47</v>
      </c>
      <c r="AW7">
        <f t="shared" si="0"/>
        <v>48</v>
      </c>
      <c r="AX7">
        <f t="shared" si="0"/>
        <v>49</v>
      </c>
      <c r="AY7">
        <f t="shared" si="0"/>
        <v>50</v>
      </c>
      <c r="AZ7">
        <f t="shared" si="0"/>
        <v>51</v>
      </c>
      <c r="BA7">
        <f t="shared" si="0"/>
        <v>52</v>
      </c>
      <c r="BB7">
        <f t="shared" si="0"/>
        <v>53</v>
      </c>
      <c r="BC7">
        <f t="shared" si="0"/>
        <v>54</v>
      </c>
      <c r="BD7">
        <f t="shared" si="0"/>
        <v>55</v>
      </c>
      <c r="BE7">
        <f t="shared" si="0"/>
        <v>56</v>
      </c>
      <c r="BF7">
        <f t="shared" si="0"/>
        <v>57</v>
      </c>
      <c r="BG7">
        <f t="shared" si="0"/>
        <v>58</v>
      </c>
      <c r="BH7">
        <f t="shared" si="0"/>
        <v>59</v>
      </c>
      <c r="BI7">
        <f t="shared" si="0"/>
        <v>60</v>
      </c>
      <c r="BJ7">
        <f t="shared" si="0"/>
        <v>61</v>
      </c>
      <c r="BK7">
        <f t="shared" si="0"/>
        <v>62</v>
      </c>
      <c r="BL7">
        <f t="shared" si="0"/>
        <v>63</v>
      </c>
      <c r="BM7">
        <f t="shared" si="0"/>
        <v>64</v>
      </c>
      <c r="BN7">
        <f t="shared" si="0"/>
        <v>65</v>
      </c>
      <c r="BO7">
        <f t="shared" si="0"/>
        <v>66</v>
      </c>
      <c r="BP7">
        <f t="shared" ref="BP7:BS7" si="1">BO7+1</f>
        <v>67</v>
      </c>
      <c r="BQ7">
        <f t="shared" si="1"/>
        <v>68</v>
      </c>
      <c r="BR7">
        <f t="shared" si="1"/>
        <v>69</v>
      </c>
      <c r="BS7">
        <f t="shared" si="1"/>
        <v>70</v>
      </c>
    </row>
    <row r="8" spans="1:89" s="1537" customFormat="1">
      <c r="A8" s="1532">
        <f>A7+1</f>
        <v>1</v>
      </c>
      <c r="B8" s="1533">
        <v>0</v>
      </c>
      <c r="C8" s="1534">
        <v>0</v>
      </c>
      <c r="D8" s="1534">
        <v>0</v>
      </c>
      <c r="E8" s="1534">
        <v>0</v>
      </c>
      <c r="F8" s="1534">
        <v>0</v>
      </c>
      <c r="G8" s="1534">
        <v>0</v>
      </c>
      <c r="H8" s="1534">
        <v>0</v>
      </c>
      <c r="I8" s="1534">
        <v>0</v>
      </c>
      <c r="J8" s="1534">
        <v>0</v>
      </c>
      <c r="K8" s="1534">
        <v>0</v>
      </c>
      <c r="L8" s="1534">
        <v>0</v>
      </c>
      <c r="M8" s="1534">
        <v>0</v>
      </c>
      <c r="N8" s="1534">
        <v>0</v>
      </c>
      <c r="O8" s="1534">
        <v>0</v>
      </c>
      <c r="P8" s="1534">
        <v>0</v>
      </c>
      <c r="Q8" s="1534">
        <v>0</v>
      </c>
      <c r="R8" s="1534">
        <v>0</v>
      </c>
      <c r="S8" s="1534">
        <v>0</v>
      </c>
      <c r="T8" s="1534">
        <v>0</v>
      </c>
      <c r="U8" s="1534">
        <v>0</v>
      </c>
      <c r="V8" s="1534">
        <v>0</v>
      </c>
      <c r="W8" s="1534">
        <v>0</v>
      </c>
      <c r="X8" s="1534">
        <v>0</v>
      </c>
      <c r="Y8" s="1534">
        <v>0</v>
      </c>
      <c r="Z8" s="1534">
        <v>0</v>
      </c>
      <c r="AA8" s="1534">
        <v>0</v>
      </c>
      <c r="AB8" s="1534">
        <v>0</v>
      </c>
      <c r="AC8" s="1534">
        <v>0</v>
      </c>
      <c r="AD8" s="1534">
        <v>0</v>
      </c>
      <c r="AE8" s="1534">
        <v>0</v>
      </c>
      <c r="AF8" s="1534">
        <v>0</v>
      </c>
      <c r="AG8" s="1534">
        <v>0</v>
      </c>
      <c r="AH8" s="1534">
        <v>0</v>
      </c>
      <c r="AI8" s="1534">
        <v>0</v>
      </c>
      <c r="AJ8" s="1534">
        <v>0</v>
      </c>
      <c r="AK8" s="1534">
        <v>1</v>
      </c>
      <c r="AL8" s="1534">
        <v>1</v>
      </c>
      <c r="AM8" s="1534">
        <v>1</v>
      </c>
      <c r="AN8" s="1534">
        <v>1</v>
      </c>
      <c r="AO8" s="1534">
        <v>1</v>
      </c>
      <c r="AP8" s="1534">
        <v>1</v>
      </c>
      <c r="AQ8" s="1534">
        <v>1</v>
      </c>
      <c r="AR8" s="1534">
        <v>1</v>
      </c>
      <c r="AS8" s="1534">
        <v>1</v>
      </c>
      <c r="AT8" s="1534">
        <v>1</v>
      </c>
      <c r="AU8" s="1534">
        <v>1</v>
      </c>
      <c r="AV8" s="1534">
        <v>1</v>
      </c>
      <c r="AW8" s="1534">
        <v>1</v>
      </c>
      <c r="AX8" s="1534">
        <v>1</v>
      </c>
      <c r="AY8" s="1534">
        <v>1</v>
      </c>
      <c r="AZ8" s="1534">
        <v>1</v>
      </c>
      <c r="BA8" s="1534">
        <v>1</v>
      </c>
      <c r="BB8" s="1534">
        <v>1</v>
      </c>
      <c r="BC8" s="1534">
        <v>1</v>
      </c>
      <c r="BD8" s="1534">
        <v>1</v>
      </c>
      <c r="BE8" s="1534">
        <v>1</v>
      </c>
      <c r="BF8" s="1534">
        <v>1</v>
      </c>
      <c r="BG8" s="1534">
        <v>1</v>
      </c>
      <c r="BH8" s="1534">
        <v>1</v>
      </c>
      <c r="BI8" s="1534">
        <v>1</v>
      </c>
      <c r="BJ8" s="1534">
        <v>1</v>
      </c>
      <c r="BK8" s="1534">
        <v>1</v>
      </c>
      <c r="BL8" s="1534">
        <v>1</v>
      </c>
      <c r="BM8" s="1534">
        <v>1</v>
      </c>
      <c r="BN8" s="1534">
        <v>1</v>
      </c>
      <c r="BO8" s="1534">
        <v>1</v>
      </c>
      <c r="BP8" s="1534">
        <v>1</v>
      </c>
      <c r="BQ8" s="1534">
        <v>1</v>
      </c>
      <c r="BR8" s="1534">
        <v>1</v>
      </c>
      <c r="BS8" s="1536">
        <v>1</v>
      </c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</row>
    <row r="9" spans="1:89" s="1537" customFormat="1">
      <c r="A9" s="1532">
        <f t="shared" ref="A9:A15" si="2">A8+1</f>
        <v>2</v>
      </c>
      <c r="B9" s="1084">
        <v>0</v>
      </c>
      <c r="C9" s="1254">
        <v>0</v>
      </c>
      <c r="D9" s="1254">
        <v>0</v>
      </c>
      <c r="E9" s="1254">
        <v>0</v>
      </c>
      <c r="F9" s="1254">
        <v>0</v>
      </c>
      <c r="G9" s="1254">
        <v>0</v>
      </c>
      <c r="H9" s="1254">
        <v>0</v>
      </c>
      <c r="I9" s="1254">
        <v>0</v>
      </c>
      <c r="J9" s="1254">
        <v>0</v>
      </c>
      <c r="K9" s="1254">
        <v>0</v>
      </c>
      <c r="L9" s="1254">
        <v>0</v>
      </c>
      <c r="M9" s="1254">
        <v>0</v>
      </c>
      <c r="N9" s="1254">
        <v>0</v>
      </c>
      <c r="O9" s="1254">
        <v>0</v>
      </c>
      <c r="P9" s="1254">
        <v>0</v>
      </c>
      <c r="Q9" s="1254">
        <v>1</v>
      </c>
      <c r="R9" s="1254">
        <v>1</v>
      </c>
      <c r="S9" s="1254">
        <v>1</v>
      </c>
      <c r="T9" s="1254">
        <v>1</v>
      </c>
      <c r="U9" s="1254">
        <v>1</v>
      </c>
      <c r="V9" s="1254">
        <v>1</v>
      </c>
      <c r="W9" s="1254">
        <v>1</v>
      </c>
      <c r="X9" s="1254">
        <v>1</v>
      </c>
      <c r="Y9" s="1254">
        <v>1</v>
      </c>
      <c r="Z9" s="1254">
        <v>1</v>
      </c>
      <c r="AA9" s="1254">
        <v>1</v>
      </c>
      <c r="AB9" s="1254">
        <v>1</v>
      </c>
      <c r="AC9" s="1254">
        <v>1</v>
      </c>
      <c r="AD9" s="1254">
        <v>1</v>
      </c>
      <c r="AE9" s="1254">
        <v>1</v>
      </c>
      <c r="AF9" s="1254">
        <v>1</v>
      </c>
      <c r="AG9" s="1254">
        <v>1</v>
      </c>
      <c r="AH9" s="1254">
        <v>1</v>
      </c>
      <c r="AI9" s="1254">
        <v>1</v>
      </c>
      <c r="AJ9" s="1254">
        <v>1</v>
      </c>
      <c r="AK9" s="1254">
        <v>0</v>
      </c>
      <c r="AL9" s="1254">
        <v>0</v>
      </c>
      <c r="AM9" s="1254">
        <v>0</v>
      </c>
      <c r="AN9" s="1254">
        <v>0</v>
      </c>
      <c r="AO9" s="1254">
        <v>0</v>
      </c>
      <c r="AP9" s="1254">
        <v>0</v>
      </c>
      <c r="AQ9" s="1254">
        <v>0</v>
      </c>
      <c r="AR9" s="1254">
        <v>0</v>
      </c>
      <c r="AS9" s="1254">
        <v>0</v>
      </c>
      <c r="AT9" s="1254">
        <v>0</v>
      </c>
      <c r="AU9" s="1254">
        <v>0</v>
      </c>
      <c r="AV9" s="1254">
        <v>0</v>
      </c>
      <c r="AW9" s="1254">
        <v>0</v>
      </c>
      <c r="AX9" s="1254">
        <v>0</v>
      </c>
      <c r="AY9" s="1254">
        <v>0</v>
      </c>
      <c r="AZ9" s="1254">
        <v>0</v>
      </c>
      <c r="BA9" s="1254">
        <v>0</v>
      </c>
      <c r="BB9" s="1254">
        <v>0</v>
      </c>
      <c r="BC9" s="1254">
        <v>0</v>
      </c>
      <c r="BD9" s="1254">
        <v>0</v>
      </c>
      <c r="BE9" s="1254">
        <v>1</v>
      </c>
      <c r="BF9" s="1254">
        <v>1</v>
      </c>
      <c r="BG9" s="1254">
        <v>1</v>
      </c>
      <c r="BH9" s="1254">
        <v>1</v>
      </c>
      <c r="BI9" s="1254">
        <v>1</v>
      </c>
      <c r="BJ9" s="1254">
        <v>1</v>
      </c>
      <c r="BK9" s="1254">
        <v>1</v>
      </c>
      <c r="BL9" s="1254">
        <v>1</v>
      </c>
      <c r="BM9" s="1254">
        <v>1</v>
      </c>
      <c r="BN9" s="1254">
        <v>1</v>
      </c>
      <c r="BO9" s="1254">
        <v>1</v>
      </c>
      <c r="BP9" s="1254">
        <v>1</v>
      </c>
      <c r="BQ9" s="1254">
        <v>1</v>
      </c>
      <c r="BR9" s="1254">
        <v>1</v>
      </c>
      <c r="BS9" s="1085">
        <v>1</v>
      </c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</row>
    <row r="10" spans="1:89" s="1537" customFormat="1">
      <c r="A10" s="1532">
        <f t="shared" si="2"/>
        <v>3</v>
      </c>
      <c r="B10" s="1084">
        <v>0</v>
      </c>
      <c r="C10" s="1254">
        <v>0</v>
      </c>
      <c r="D10" s="1254">
        <v>0</v>
      </c>
      <c r="E10" s="1254">
        <v>0</v>
      </c>
      <c r="F10" s="1254">
        <v>0</v>
      </c>
      <c r="G10" s="1254">
        <v>1</v>
      </c>
      <c r="H10" s="1254">
        <v>1</v>
      </c>
      <c r="I10" s="1254">
        <v>1</v>
      </c>
      <c r="J10" s="1254">
        <v>1</v>
      </c>
      <c r="K10" s="1254">
        <v>1</v>
      </c>
      <c r="L10" s="1254">
        <v>1</v>
      </c>
      <c r="M10" s="1254">
        <v>1</v>
      </c>
      <c r="N10" s="1254">
        <v>1</v>
      </c>
      <c r="O10" s="1254">
        <v>1</v>
      </c>
      <c r="P10" s="1254">
        <v>1</v>
      </c>
      <c r="Q10" s="1254">
        <v>0</v>
      </c>
      <c r="R10" s="1254">
        <v>0</v>
      </c>
      <c r="S10" s="1254">
        <v>0</v>
      </c>
      <c r="T10" s="1254">
        <v>0</v>
      </c>
      <c r="U10" s="1254">
        <v>0</v>
      </c>
      <c r="V10" s="1254">
        <v>0</v>
      </c>
      <c r="W10" s="1254">
        <v>0</v>
      </c>
      <c r="X10" s="1254">
        <v>0</v>
      </c>
      <c r="Y10" s="1254">
        <v>0</v>
      </c>
      <c r="Z10" s="1254">
        <v>0</v>
      </c>
      <c r="AA10" s="1254">
        <v>1</v>
      </c>
      <c r="AB10" s="1254">
        <v>1</v>
      </c>
      <c r="AC10" s="1254">
        <v>1</v>
      </c>
      <c r="AD10" s="1254">
        <v>1</v>
      </c>
      <c r="AE10" s="1254">
        <v>1</v>
      </c>
      <c r="AF10" s="1254">
        <v>1</v>
      </c>
      <c r="AG10" s="1254">
        <v>1</v>
      </c>
      <c r="AH10" s="1254">
        <v>1</v>
      </c>
      <c r="AI10" s="1254">
        <v>1</v>
      </c>
      <c r="AJ10" s="1254">
        <v>1</v>
      </c>
      <c r="AK10" s="1254">
        <v>0</v>
      </c>
      <c r="AL10" s="1254">
        <v>0</v>
      </c>
      <c r="AM10" s="1254">
        <v>0</v>
      </c>
      <c r="AN10" s="1254">
        <v>0</v>
      </c>
      <c r="AO10" s="1254">
        <v>0</v>
      </c>
      <c r="AP10" s="1254">
        <v>0</v>
      </c>
      <c r="AQ10" s="1254">
        <v>0</v>
      </c>
      <c r="AR10" s="1254">
        <v>0</v>
      </c>
      <c r="AS10" s="1254">
        <v>0</v>
      </c>
      <c r="AT10" s="1254">
        <v>0</v>
      </c>
      <c r="AU10" s="1254">
        <v>1</v>
      </c>
      <c r="AV10" s="1254">
        <v>1</v>
      </c>
      <c r="AW10" s="1254">
        <v>1</v>
      </c>
      <c r="AX10" s="1254">
        <v>1</v>
      </c>
      <c r="AY10" s="1254">
        <v>1</v>
      </c>
      <c r="AZ10" s="1254">
        <v>1</v>
      </c>
      <c r="BA10" s="1254">
        <v>1</v>
      </c>
      <c r="BB10" s="1254">
        <v>1</v>
      </c>
      <c r="BC10" s="1254">
        <v>1</v>
      </c>
      <c r="BD10" s="1254">
        <v>1</v>
      </c>
      <c r="BE10" s="1254">
        <v>0</v>
      </c>
      <c r="BF10" s="1254">
        <v>0</v>
      </c>
      <c r="BG10" s="1254">
        <v>0</v>
      </c>
      <c r="BH10" s="1254">
        <v>0</v>
      </c>
      <c r="BI10" s="1254">
        <v>0</v>
      </c>
      <c r="BJ10" s="1254">
        <v>0</v>
      </c>
      <c r="BK10" s="1254">
        <v>0</v>
      </c>
      <c r="BL10" s="1254">
        <v>0</v>
      </c>
      <c r="BM10" s="1254">
        <v>0</v>
      </c>
      <c r="BN10" s="1254">
        <v>0</v>
      </c>
      <c r="BO10" s="1254">
        <v>1</v>
      </c>
      <c r="BP10" s="1254">
        <v>1</v>
      </c>
      <c r="BQ10" s="1254">
        <v>1</v>
      </c>
      <c r="BR10" s="1254">
        <v>1</v>
      </c>
      <c r="BS10" s="1085">
        <v>1</v>
      </c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</row>
    <row r="11" spans="1:89" s="1537" customFormat="1">
      <c r="A11" s="1532">
        <f t="shared" si="2"/>
        <v>4</v>
      </c>
      <c r="B11" s="1084">
        <v>0</v>
      </c>
      <c r="C11" s="1254">
        <v>1</v>
      </c>
      <c r="D11" s="1254">
        <v>1</v>
      </c>
      <c r="E11" s="1254">
        <v>1</v>
      </c>
      <c r="F11" s="1254">
        <v>1</v>
      </c>
      <c r="G11" s="1254">
        <v>0</v>
      </c>
      <c r="H11" s="1254">
        <v>0</v>
      </c>
      <c r="I11" s="1254">
        <v>0</v>
      </c>
      <c r="J11" s="1254">
        <v>0</v>
      </c>
      <c r="K11" s="1254">
        <v>1</v>
      </c>
      <c r="L11" s="1254">
        <v>1</v>
      </c>
      <c r="M11" s="1254">
        <v>1</v>
      </c>
      <c r="N11" s="1254">
        <v>1</v>
      </c>
      <c r="O11" s="1254">
        <v>1</v>
      </c>
      <c r="P11" s="1254">
        <v>1</v>
      </c>
      <c r="Q11" s="1254">
        <v>0</v>
      </c>
      <c r="R11" s="1254">
        <v>0</v>
      </c>
      <c r="S11" s="1254">
        <v>0</v>
      </c>
      <c r="T11" s="1254">
        <v>0</v>
      </c>
      <c r="U11" s="1254">
        <v>1</v>
      </c>
      <c r="V11" s="1254">
        <v>1</v>
      </c>
      <c r="W11" s="1254">
        <v>1</v>
      </c>
      <c r="X11" s="1254">
        <v>1</v>
      </c>
      <c r="Y11" s="1254">
        <v>1</v>
      </c>
      <c r="Z11" s="1254">
        <v>1</v>
      </c>
      <c r="AA11" s="1254">
        <v>0</v>
      </c>
      <c r="AB11" s="1254">
        <v>0</v>
      </c>
      <c r="AC11" s="1254">
        <v>0</v>
      </c>
      <c r="AD11" s="1254">
        <v>0</v>
      </c>
      <c r="AE11" s="1254">
        <v>0</v>
      </c>
      <c r="AF11" s="1254">
        <v>0</v>
      </c>
      <c r="AG11" s="1254">
        <v>1</v>
      </c>
      <c r="AH11" s="1254">
        <v>1</v>
      </c>
      <c r="AI11" s="1254">
        <v>1</v>
      </c>
      <c r="AJ11" s="1254">
        <v>1</v>
      </c>
      <c r="AK11" s="1254">
        <v>0</v>
      </c>
      <c r="AL11" s="1254">
        <v>0</v>
      </c>
      <c r="AM11" s="1254">
        <v>0</v>
      </c>
      <c r="AN11" s="1254">
        <v>0</v>
      </c>
      <c r="AO11" s="1254">
        <v>1</v>
      </c>
      <c r="AP11" s="1254">
        <v>1</v>
      </c>
      <c r="AQ11" s="1254">
        <v>1</v>
      </c>
      <c r="AR11" s="1254">
        <v>1</v>
      </c>
      <c r="AS11" s="1254">
        <v>1</v>
      </c>
      <c r="AT11" s="1254">
        <v>1</v>
      </c>
      <c r="AU11" s="1254">
        <v>0</v>
      </c>
      <c r="AV11" s="1254">
        <v>0</v>
      </c>
      <c r="AW11" s="1254">
        <v>0</v>
      </c>
      <c r="AX11" s="1254">
        <v>0</v>
      </c>
      <c r="AY11" s="1254">
        <v>0</v>
      </c>
      <c r="AZ11" s="1254">
        <v>0</v>
      </c>
      <c r="BA11" s="1254">
        <v>1</v>
      </c>
      <c r="BB11" s="1254">
        <v>1</v>
      </c>
      <c r="BC11" s="1254">
        <v>1</v>
      </c>
      <c r="BD11" s="1254">
        <v>1</v>
      </c>
      <c r="BE11" s="1254">
        <v>0</v>
      </c>
      <c r="BF11" s="1254">
        <v>0</v>
      </c>
      <c r="BG11" s="1254">
        <v>0</v>
      </c>
      <c r="BH11" s="1254">
        <v>0</v>
      </c>
      <c r="BI11" s="1254">
        <v>0</v>
      </c>
      <c r="BJ11" s="1254">
        <v>0</v>
      </c>
      <c r="BK11" s="1254">
        <v>1</v>
      </c>
      <c r="BL11" s="1254">
        <v>1</v>
      </c>
      <c r="BM11" s="1254">
        <v>1</v>
      </c>
      <c r="BN11" s="1254">
        <v>1</v>
      </c>
      <c r="BO11" s="1254">
        <v>0</v>
      </c>
      <c r="BP11" s="1254">
        <v>0</v>
      </c>
      <c r="BQ11" s="1254">
        <v>0</v>
      </c>
      <c r="BR11" s="1254">
        <v>0</v>
      </c>
      <c r="BS11" s="1085">
        <v>1</v>
      </c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</row>
    <row r="12" spans="1:89" s="1537" customFormat="1">
      <c r="A12" s="1532">
        <f t="shared" si="2"/>
        <v>5</v>
      </c>
      <c r="B12" s="1084">
        <v>1</v>
      </c>
      <c r="C12" s="1254">
        <v>0</v>
      </c>
      <c r="D12" s="1254">
        <v>1</v>
      </c>
      <c r="E12" s="1254">
        <v>1</v>
      </c>
      <c r="F12" s="1254">
        <v>1</v>
      </c>
      <c r="G12" s="1254">
        <v>0</v>
      </c>
      <c r="H12" s="1254">
        <v>1</v>
      </c>
      <c r="I12" s="1254">
        <v>1</v>
      </c>
      <c r="J12" s="1254">
        <v>1</v>
      </c>
      <c r="K12" s="1254">
        <v>0</v>
      </c>
      <c r="L12" s="1254">
        <v>0</v>
      </c>
      <c r="M12" s="1254">
        <v>0</v>
      </c>
      <c r="N12" s="1254">
        <v>1</v>
      </c>
      <c r="O12" s="1254">
        <v>1</v>
      </c>
      <c r="P12" s="1254">
        <v>1</v>
      </c>
      <c r="Q12" s="1254">
        <v>0</v>
      </c>
      <c r="R12" s="1254">
        <v>1</v>
      </c>
      <c r="S12" s="1254">
        <v>1</v>
      </c>
      <c r="T12" s="1254">
        <v>1</v>
      </c>
      <c r="U12" s="1254">
        <v>0</v>
      </c>
      <c r="V12" s="1254">
        <v>0</v>
      </c>
      <c r="W12" s="1254">
        <v>0</v>
      </c>
      <c r="X12" s="1254">
        <v>1</v>
      </c>
      <c r="Y12" s="1254">
        <v>1</v>
      </c>
      <c r="Z12" s="1254">
        <v>1</v>
      </c>
      <c r="AA12" s="1254">
        <v>0</v>
      </c>
      <c r="AB12" s="1254">
        <v>0</v>
      </c>
      <c r="AC12" s="1254">
        <v>0</v>
      </c>
      <c r="AD12" s="1254">
        <v>1</v>
      </c>
      <c r="AE12" s="1254">
        <v>1</v>
      </c>
      <c r="AF12" s="1254">
        <v>1</v>
      </c>
      <c r="AG12" s="1254">
        <v>0</v>
      </c>
      <c r="AH12" s="1254">
        <v>0</v>
      </c>
      <c r="AI12" s="1254">
        <v>0</v>
      </c>
      <c r="AJ12" s="1254">
        <v>1</v>
      </c>
      <c r="AK12" s="1254">
        <v>0</v>
      </c>
      <c r="AL12" s="1254">
        <v>1</v>
      </c>
      <c r="AM12" s="1254">
        <v>1</v>
      </c>
      <c r="AN12" s="1254">
        <v>1</v>
      </c>
      <c r="AO12" s="1254">
        <v>0</v>
      </c>
      <c r="AP12" s="1254">
        <v>0</v>
      </c>
      <c r="AQ12" s="1254">
        <v>0</v>
      </c>
      <c r="AR12" s="1254">
        <v>1</v>
      </c>
      <c r="AS12" s="1254">
        <v>1</v>
      </c>
      <c r="AT12" s="1254">
        <v>1</v>
      </c>
      <c r="AU12" s="1254">
        <v>0</v>
      </c>
      <c r="AV12" s="1254">
        <v>0</v>
      </c>
      <c r="AW12" s="1254">
        <v>0</v>
      </c>
      <c r="AX12" s="1254">
        <v>1</v>
      </c>
      <c r="AY12" s="1254">
        <v>1</v>
      </c>
      <c r="AZ12" s="1254">
        <v>1</v>
      </c>
      <c r="BA12" s="1254">
        <v>0</v>
      </c>
      <c r="BB12" s="1254">
        <v>0</v>
      </c>
      <c r="BC12" s="1254">
        <v>0</v>
      </c>
      <c r="BD12" s="1254">
        <v>1</v>
      </c>
      <c r="BE12" s="1254">
        <v>0</v>
      </c>
      <c r="BF12" s="1254">
        <v>0</v>
      </c>
      <c r="BG12" s="1254">
        <v>0</v>
      </c>
      <c r="BH12" s="1254">
        <v>1</v>
      </c>
      <c r="BI12" s="1254">
        <v>1</v>
      </c>
      <c r="BJ12" s="1254">
        <v>1</v>
      </c>
      <c r="BK12" s="1254">
        <v>0</v>
      </c>
      <c r="BL12" s="1254">
        <v>0</v>
      </c>
      <c r="BM12" s="1254">
        <v>0</v>
      </c>
      <c r="BN12" s="1254">
        <v>1</v>
      </c>
      <c r="BO12" s="1254">
        <v>0</v>
      </c>
      <c r="BP12" s="1254">
        <v>0</v>
      </c>
      <c r="BQ12" s="1254">
        <v>0</v>
      </c>
      <c r="BR12" s="1254">
        <v>1</v>
      </c>
      <c r="BS12" s="1085">
        <v>0</v>
      </c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</row>
    <row r="13" spans="1:89" s="1537" customFormat="1">
      <c r="A13" s="1532">
        <f t="shared" si="2"/>
        <v>6</v>
      </c>
      <c r="B13" s="1084">
        <v>1</v>
      </c>
      <c r="C13" s="1254">
        <v>1</v>
      </c>
      <c r="D13" s="1254">
        <v>0</v>
      </c>
      <c r="E13" s="1254">
        <v>1</v>
      </c>
      <c r="F13" s="1254">
        <v>1</v>
      </c>
      <c r="G13" s="1254">
        <v>1</v>
      </c>
      <c r="H13" s="1254">
        <v>0</v>
      </c>
      <c r="I13" s="1254">
        <v>1</v>
      </c>
      <c r="J13" s="1254">
        <v>1</v>
      </c>
      <c r="K13" s="1254">
        <v>0</v>
      </c>
      <c r="L13" s="1254">
        <v>1</v>
      </c>
      <c r="M13" s="1254">
        <v>1</v>
      </c>
      <c r="N13" s="1254">
        <v>0</v>
      </c>
      <c r="O13" s="1254">
        <v>0</v>
      </c>
      <c r="P13" s="1254">
        <v>1</v>
      </c>
      <c r="Q13" s="1254">
        <v>1</v>
      </c>
      <c r="R13" s="1254">
        <v>0</v>
      </c>
      <c r="S13" s="1254">
        <v>1</v>
      </c>
      <c r="T13" s="1254">
        <v>1</v>
      </c>
      <c r="U13" s="1254">
        <v>0</v>
      </c>
      <c r="V13" s="1254">
        <v>1</v>
      </c>
      <c r="W13" s="1254">
        <v>1</v>
      </c>
      <c r="X13" s="1254">
        <v>0</v>
      </c>
      <c r="Y13" s="1254">
        <v>0</v>
      </c>
      <c r="Z13" s="1254">
        <v>1</v>
      </c>
      <c r="AA13" s="1254">
        <v>0</v>
      </c>
      <c r="AB13" s="1254">
        <v>1</v>
      </c>
      <c r="AC13" s="1254">
        <v>1</v>
      </c>
      <c r="AD13" s="1254">
        <v>0</v>
      </c>
      <c r="AE13" s="1254">
        <v>0</v>
      </c>
      <c r="AF13" s="1254">
        <v>1</v>
      </c>
      <c r="AG13" s="1254">
        <v>0</v>
      </c>
      <c r="AH13" s="1254">
        <v>0</v>
      </c>
      <c r="AI13" s="1254">
        <v>1</v>
      </c>
      <c r="AJ13" s="1254">
        <v>0</v>
      </c>
      <c r="AK13" s="1254">
        <v>1</v>
      </c>
      <c r="AL13" s="1254">
        <v>0</v>
      </c>
      <c r="AM13" s="1254">
        <v>1</v>
      </c>
      <c r="AN13" s="1254">
        <v>1</v>
      </c>
      <c r="AO13" s="1254">
        <v>0</v>
      </c>
      <c r="AP13" s="1254">
        <v>1</v>
      </c>
      <c r="AQ13" s="1254">
        <v>1</v>
      </c>
      <c r="AR13" s="1254">
        <v>0</v>
      </c>
      <c r="AS13" s="1254">
        <v>0</v>
      </c>
      <c r="AT13" s="1254">
        <v>1</v>
      </c>
      <c r="AU13" s="1254">
        <v>0</v>
      </c>
      <c r="AV13" s="1254">
        <v>1</v>
      </c>
      <c r="AW13" s="1254">
        <v>1</v>
      </c>
      <c r="AX13" s="1254">
        <v>0</v>
      </c>
      <c r="AY13" s="1254">
        <v>0</v>
      </c>
      <c r="AZ13" s="1254">
        <v>1</v>
      </c>
      <c r="BA13" s="1254">
        <v>0</v>
      </c>
      <c r="BB13" s="1254">
        <v>0</v>
      </c>
      <c r="BC13" s="1254">
        <v>1</v>
      </c>
      <c r="BD13" s="1254">
        <v>0</v>
      </c>
      <c r="BE13" s="1254">
        <v>0</v>
      </c>
      <c r="BF13" s="1254">
        <v>1</v>
      </c>
      <c r="BG13" s="1254">
        <v>1</v>
      </c>
      <c r="BH13" s="1254">
        <v>0</v>
      </c>
      <c r="BI13" s="1254">
        <v>0</v>
      </c>
      <c r="BJ13" s="1254">
        <v>1</v>
      </c>
      <c r="BK13" s="1254">
        <v>0</v>
      </c>
      <c r="BL13" s="1254">
        <v>0</v>
      </c>
      <c r="BM13" s="1254">
        <v>1</v>
      </c>
      <c r="BN13" s="1254">
        <v>0</v>
      </c>
      <c r="BO13" s="1254">
        <v>0</v>
      </c>
      <c r="BP13" s="1254">
        <v>0</v>
      </c>
      <c r="BQ13" s="1254">
        <v>1</v>
      </c>
      <c r="BR13" s="1254">
        <v>0</v>
      </c>
      <c r="BS13" s="1085">
        <v>0</v>
      </c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</row>
    <row r="14" spans="1:89" s="1537" customFormat="1">
      <c r="A14" s="1532">
        <f t="shared" si="2"/>
        <v>7</v>
      </c>
      <c r="B14" s="1084">
        <v>1</v>
      </c>
      <c r="C14" s="1254">
        <v>1</v>
      </c>
      <c r="D14" s="1254">
        <v>1</v>
      </c>
      <c r="E14" s="1254">
        <v>0</v>
      </c>
      <c r="F14" s="1254">
        <v>1</v>
      </c>
      <c r="G14" s="1254">
        <v>1</v>
      </c>
      <c r="H14" s="1254">
        <v>1</v>
      </c>
      <c r="I14" s="1254">
        <v>0</v>
      </c>
      <c r="J14" s="1254">
        <v>1</v>
      </c>
      <c r="K14" s="1254">
        <v>1</v>
      </c>
      <c r="L14" s="1254">
        <v>0</v>
      </c>
      <c r="M14" s="1254">
        <v>1</v>
      </c>
      <c r="N14" s="1254">
        <v>0</v>
      </c>
      <c r="O14" s="1254">
        <v>1</v>
      </c>
      <c r="P14" s="1254">
        <v>0</v>
      </c>
      <c r="Q14" s="1254">
        <v>1</v>
      </c>
      <c r="R14" s="1254">
        <v>1</v>
      </c>
      <c r="S14" s="1254">
        <v>0</v>
      </c>
      <c r="T14" s="1254">
        <v>1</v>
      </c>
      <c r="U14" s="1254">
        <v>1</v>
      </c>
      <c r="V14" s="1254">
        <v>0</v>
      </c>
      <c r="W14" s="1254">
        <v>1</v>
      </c>
      <c r="X14" s="1254">
        <v>0</v>
      </c>
      <c r="Y14" s="1254">
        <v>1</v>
      </c>
      <c r="Z14" s="1254">
        <v>0</v>
      </c>
      <c r="AA14" s="1254">
        <v>1</v>
      </c>
      <c r="AB14" s="1254">
        <v>0</v>
      </c>
      <c r="AC14" s="1254">
        <v>1</v>
      </c>
      <c r="AD14" s="1254">
        <v>0</v>
      </c>
      <c r="AE14" s="1254">
        <v>1</v>
      </c>
      <c r="AF14" s="1254">
        <v>0</v>
      </c>
      <c r="AG14" s="1254">
        <v>0</v>
      </c>
      <c r="AH14" s="1254">
        <v>1</v>
      </c>
      <c r="AI14" s="1254">
        <v>0</v>
      </c>
      <c r="AJ14" s="1254">
        <v>0</v>
      </c>
      <c r="AK14" s="1254">
        <v>1</v>
      </c>
      <c r="AL14" s="1254">
        <v>1</v>
      </c>
      <c r="AM14" s="1254">
        <v>0</v>
      </c>
      <c r="AN14" s="1254">
        <v>1</v>
      </c>
      <c r="AO14" s="1254">
        <v>1</v>
      </c>
      <c r="AP14" s="1254">
        <v>0</v>
      </c>
      <c r="AQ14" s="1254">
        <v>1</v>
      </c>
      <c r="AR14" s="1254">
        <v>0</v>
      </c>
      <c r="AS14" s="1254">
        <v>1</v>
      </c>
      <c r="AT14" s="1254">
        <v>0</v>
      </c>
      <c r="AU14" s="1254">
        <v>1</v>
      </c>
      <c r="AV14" s="1254">
        <v>0</v>
      </c>
      <c r="AW14" s="1254">
        <v>1</v>
      </c>
      <c r="AX14" s="1254">
        <v>0</v>
      </c>
      <c r="AY14" s="1254">
        <v>1</v>
      </c>
      <c r="AZ14" s="1254">
        <v>0</v>
      </c>
      <c r="BA14" s="1254">
        <v>0</v>
      </c>
      <c r="BB14" s="1254">
        <v>1</v>
      </c>
      <c r="BC14" s="1254">
        <v>0</v>
      </c>
      <c r="BD14" s="1254">
        <v>0</v>
      </c>
      <c r="BE14" s="1254">
        <v>1</v>
      </c>
      <c r="BF14" s="1254">
        <v>0</v>
      </c>
      <c r="BG14" s="1254">
        <v>1</v>
      </c>
      <c r="BH14" s="1254">
        <v>0</v>
      </c>
      <c r="BI14" s="1254">
        <v>1</v>
      </c>
      <c r="BJ14" s="1254">
        <v>0</v>
      </c>
      <c r="BK14" s="1254">
        <v>0</v>
      </c>
      <c r="BL14" s="1254">
        <v>1</v>
      </c>
      <c r="BM14" s="1254">
        <v>0</v>
      </c>
      <c r="BN14" s="1254">
        <v>0</v>
      </c>
      <c r="BO14" s="1254">
        <v>0</v>
      </c>
      <c r="BP14" s="1254">
        <v>1</v>
      </c>
      <c r="BQ14" s="1254">
        <v>0</v>
      </c>
      <c r="BR14" s="1254">
        <v>0</v>
      </c>
      <c r="BS14" s="1085">
        <v>0</v>
      </c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</row>
    <row r="15" spans="1:89" s="1537" customFormat="1">
      <c r="A15" s="1532">
        <f t="shared" si="2"/>
        <v>8</v>
      </c>
      <c r="B15" s="1538">
        <v>1</v>
      </c>
      <c r="C15" s="1539">
        <v>1</v>
      </c>
      <c r="D15" s="1539">
        <v>1</v>
      </c>
      <c r="E15" s="1539">
        <v>1</v>
      </c>
      <c r="F15" s="1539">
        <v>0</v>
      </c>
      <c r="G15" s="1539">
        <v>1</v>
      </c>
      <c r="H15" s="1539">
        <v>1</v>
      </c>
      <c r="I15" s="1539">
        <v>1</v>
      </c>
      <c r="J15" s="1539">
        <v>0</v>
      </c>
      <c r="K15" s="1539">
        <v>1</v>
      </c>
      <c r="L15" s="1539">
        <v>1</v>
      </c>
      <c r="M15" s="1539">
        <v>0</v>
      </c>
      <c r="N15" s="1539">
        <v>1</v>
      </c>
      <c r="O15" s="1539">
        <v>0</v>
      </c>
      <c r="P15" s="1539">
        <v>0</v>
      </c>
      <c r="Q15" s="1539">
        <v>1</v>
      </c>
      <c r="R15" s="1539">
        <v>1</v>
      </c>
      <c r="S15" s="1539">
        <v>1</v>
      </c>
      <c r="T15" s="1539">
        <v>0</v>
      </c>
      <c r="U15" s="1539">
        <v>1</v>
      </c>
      <c r="V15" s="1539">
        <v>1</v>
      </c>
      <c r="W15" s="1539">
        <v>0</v>
      </c>
      <c r="X15" s="1539">
        <v>1</v>
      </c>
      <c r="Y15" s="1539">
        <v>0</v>
      </c>
      <c r="Z15" s="1539">
        <v>0</v>
      </c>
      <c r="AA15" s="1539">
        <v>1</v>
      </c>
      <c r="AB15" s="1539">
        <v>1</v>
      </c>
      <c r="AC15" s="1539">
        <v>0</v>
      </c>
      <c r="AD15" s="1539">
        <v>1</v>
      </c>
      <c r="AE15" s="1539">
        <v>0</v>
      </c>
      <c r="AF15" s="1539">
        <v>0</v>
      </c>
      <c r="AG15" s="1539">
        <v>1</v>
      </c>
      <c r="AH15" s="1539">
        <v>0</v>
      </c>
      <c r="AI15" s="1539">
        <v>0</v>
      </c>
      <c r="AJ15" s="1539">
        <v>0</v>
      </c>
      <c r="AK15" s="1539">
        <v>1</v>
      </c>
      <c r="AL15" s="1539">
        <v>1</v>
      </c>
      <c r="AM15" s="1539">
        <v>1</v>
      </c>
      <c r="AN15" s="1539">
        <v>0</v>
      </c>
      <c r="AO15" s="1539">
        <v>1</v>
      </c>
      <c r="AP15" s="1539">
        <v>1</v>
      </c>
      <c r="AQ15" s="1539">
        <v>0</v>
      </c>
      <c r="AR15" s="1539">
        <v>1</v>
      </c>
      <c r="AS15" s="1539">
        <v>0</v>
      </c>
      <c r="AT15" s="1539">
        <v>0</v>
      </c>
      <c r="AU15" s="1539">
        <v>1</v>
      </c>
      <c r="AV15" s="1539">
        <v>1</v>
      </c>
      <c r="AW15" s="1539">
        <v>0</v>
      </c>
      <c r="AX15" s="1539">
        <v>1</v>
      </c>
      <c r="AY15" s="1539">
        <v>0</v>
      </c>
      <c r="AZ15" s="1539">
        <v>0</v>
      </c>
      <c r="BA15" s="1539">
        <v>1</v>
      </c>
      <c r="BB15" s="1539">
        <v>0</v>
      </c>
      <c r="BC15" s="1539">
        <v>0</v>
      </c>
      <c r="BD15" s="1539">
        <v>0</v>
      </c>
      <c r="BE15" s="1539">
        <v>1</v>
      </c>
      <c r="BF15" s="1539">
        <v>1</v>
      </c>
      <c r="BG15" s="1539">
        <v>0</v>
      </c>
      <c r="BH15" s="1539">
        <v>1</v>
      </c>
      <c r="BI15" s="1539">
        <v>0</v>
      </c>
      <c r="BJ15" s="1539">
        <v>0</v>
      </c>
      <c r="BK15" s="1539">
        <v>1</v>
      </c>
      <c r="BL15" s="1539">
        <v>0</v>
      </c>
      <c r="BM15" s="1539">
        <v>0</v>
      </c>
      <c r="BN15" s="1539">
        <v>0</v>
      </c>
      <c r="BO15" s="1539">
        <v>1</v>
      </c>
      <c r="BP15" s="1539">
        <v>0</v>
      </c>
      <c r="BQ15" s="1539">
        <v>0</v>
      </c>
      <c r="BR15" s="1539">
        <v>0</v>
      </c>
      <c r="BS15" s="1540">
        <v>0</v>
      </c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</row>
    <row r="16" spans="1:89" s="1537" customFormat="1">
      <c r="A16" s="1541"/>
      <c r="B16" s="1537">
        <f>SUMPRODUCT($A7:$A15,B7:B15)</f>
        <v>26</v>
      </c>
      <c r="C16" s="1537">
        <f t="shared" ref="C16:BN16" si="3">SUMPRODUCT($A7:$A15,C7:C15)</f>
        <v>25</v>
      </c>
      <c r="D16" s="1537">
        <f t="shared" si="3"/>
        <v>24</v>
      </c>
      <c r="E16" s="1537">
        <f t="shared" si="3"/>
        <v>23</v>
      </c>
      <c r="F16" s="1537">
        <f t="shared" si="3"/>
        <v>22</v>
      </c>
      <c r="G16" s="1537">
        <f t="shared" si="3"/>
        <v>24</v>
      </c>
      <c r="H16" s="1537">
        <f t="shared" si="3"/>
        <v>23</v>
      </c>
      <c r="I16" s="1537">
        <f t="shared" si="3"/>
        <v>22</v>
      </c>
      <c r="J16" s="1542">
        <f t="shared" si="3"/>
        <v>21</v>
      </c>
      <c r="K16" s="1537">
        <f t="shared" si="3"/>
        <v>22</v>
      </c>
      <c r="L16" s="1542">
        <f t="shared" si="3"/>
        <v>21</v>
      </c>
      <c r="M16" s="1537">
        <f t="shared" si="3"/>
        <v>20</v>
      </c>
      <c r="N16" s="1537">
        <f t="shared" si="3"/>
        <v>20</v>
      </c>
      <c r="O16" s="1537">
        <f t="shared" si="3"/>
        <v>19</v>
      </c>
      <c r="P16" s="1537">
        <f t="shared" si="3"/>
        <v>18</v>
      </c>
      <c r="Q16" s="1537">
        <f t="shared" si="3"/>
        <v>23</v>
      </c>
      <c r="R16" s="1537">
        <f t="shared" si="3"/>
        <v>22</v>
      </c>
      <c r="S16" s="1542">
        <f t="shared" si="3"/>
        <v>21</v>
      </c>
      <c r="T16" s="1537">
        <f t="shared" si="3"/>
        <v>20</v>
      </c>
      <c r="U16" s="1542">
        <f t="shared" si="3"/>
        <v>21</v>
      </c>
      <c r="V16" s="1537">
        <f t="shared" si="3"/>
        <v>20</v>
      </c>
      <c r="W16" s="1537">
        <f t="shared" si="3"/>
        <v>19</v>
      </c>
      <c r="X16" s="1537">
        <f t="shared" si="3"/>
        <v>19</v>
      </c>
      <c r="Y16" s="1537">
        <f t="shared" si="3"/>
        <v>18</v>
      </c>
      <c r="Z16" s="1537">
        <f t="shared" si="3"/>
        <v>17</v>
      </c>
      <c r="AA16" s="1537">
        <f t="shared" si="3"/>
        <v>20</v>
      </c>
      <c r="AB16" s="1537">
        <f t="shared" si="3"/>
        <v>19</v>
      </c>
      <c r="AC16" s="1537">
        <f t="shared" si="3"/>
        <v>18</v>
      </c>
      <c r="AD16" s="1537">
        <f t="shared" si="3"/>
        <v>18</v>
      </c>
      <c r="AE16" s="1537">
        <f t="shared" si="3"/>
        <v>17</v>
      </c>
      <c r="AF16" s="1537">
        <f t="shared" si="3"/>
        <v>16</v>
      </c>
      <c r="AG16" s="1537">
        <f t="shared" si="3"/>
        <v>17</v>
      </c>
      <c r="AH16" s="1537">
        <f t="shared" si="3"/>
        <v>16</v>
      </c>
      <c r="AI16" s="1537">
        <f t="shared" si="3"/>
        <v>15</v>
      </c>
      <c r="AJ16" s="1537">
        <f t="shared" si="3"/>
        <v>14</v>
      </c>
      <c r="AK16" s="1537">
        <f t="shared" si="3"/>
        <v>22</v>
      </c>
      <c r="AL16" s="1537">
        <f t="shared" si="3"/>
        <v>21</v>
      </c>
      <c r="AM16" s="1537">
        <f t="shared" si="3"/>
        <v>20</v>
      </c>
      <c r="AN16" s="1537">
        <f t="shared" si="3"/>
        <v>19</v>
      </c>
      <c r="AO16" s="1537">
        <f t="shared" si="3"/>
        <v>20</v>
      </c>
      <c r="AP16" s="1537">
        <f t="shared" si="3"/>
        <v>19</v>
      </c>
      <c r="AQ16" s="1537">
        <f t="shared" si="3"/>
        <v>18</v>
      </c>
      <c r="AR16" s="1537">
        <f t="shared" si="3"/>
        <v>18</v>
      </c>
      <c r="AS16" s="1537">
        <f t="shared" si="3"/>
        <v>17</v>
      </c>
      <c r="AT16" s="1537">
        <f t="shared" si="3"/>
        <v>16</v>
      </c>
      <c r="AU16" s="1537">
        <f t="shared" si="3"/>
        <v>19</v>
      </c>
      <c r="AV16" s="1537">
        <f t="shared" si="3"/>
        <v>18</v>
      </c>
      <c r="AW16" s="1537">
        <f t="shared" si="3"/>
        <v>17</v>
      </c>
      <c r="AX16" s="1537">
        <f t="shared" si="3"/>
        <v>17</v>
      </c>
      <c r="AY16" s="1537">
        <f t="shared" si="3"/>
        <v>16</v>
      </c>
      <c r="AZ16" s="1537">
        <f t="shared" si="3"/>
        <v>15</v>
      </c>
      <c r="BA16" s="1537">
        <f t="shared" si="3"/>
        <v>16</v>
      </c>
      <c r="BB16" s="1537">
        <f t="shared" si="3"/>
        <v>15</v>
      </c>
      <c r="BC16" s="1537">
        <f t="shared" si="3"/>
        <v>14</v>
      </c>
      <c r="BD16" s="1537">
        <f t="shared" si="3"/>
        <v>13</v>
      </c>
      <c r="BE16" s="1537">
        <f t="shared" si="3"/>
        <v>18</v>
      </c>
      <c r="BF16" s="1537">
        <f t="shared" si="3"/>
        <v>17</v>
      </c>
      <c r="BG16" s="1537">
        <f t="shared" si="3"/>
        <v>16</v>
      </c>
      <c r="BH16" s="1537">
        <f t="shared" si="3"/>
        <v>16</v>
      </c>
      <c r="BI16" s="1537">
        <f t="shared" si="3"/>
        <v>15</v>
      </c>
      <c r="BJ16" s="1537">
        <f t="shared" si="3"/>
        <v>14</v>
      </c>
      <c r="BK16" s="1537">
        <f t="shared" si="3"/>
        <v>15</v>
      </c>
      <c r="BL16" s="1537">
        <f t="shared" si="3"/>
        <v>14</v>
      </c>
      <c r="BM16" s="1537">
        <f t="shared" si="3"/>
        <v>13</v>
      </c>
      <c r="BN16" s="1537">
        <f t="shared" si="3"/>
        <v>12</v>
      </c>
      <c r="BO16" s="1537">
        <f t="shared" ref="BO16:BS16" si="4">SUMPRODUCT($A7:$A15,BO7:BO15)</f>
        <v>14</v>
      </c>
      <c r="BP16" s="1537">
        <f t="shared" si="4"/>
        <v>13</v>
      </c>
      <c r="BQ16" s="1537">
        <f t="shared" si="4"/>
        <v>12</v>
      </c>
      <c r="BR16" s="1537">
        <f t="shared" si="4"/>
        <v>11</v>
      </c>
      <c r="BS16" s="1537">
        <f t="shared" si="4"/>
        <v>10</v>
      </c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 spans="1:36">
      <c r="A17" s="1"/>
    </row>
    <row r="18" spans="1:36">
      <c r="A18" s="19" t="s">
        <v>1513</v>
      </c>
      <c r="B18">
        <v>10</v>
      </c>
      <c r="C18">
        <f>B18+1</f>
        <v>11</v>
      </c>
      <c r="D18">
        <f t="shared" ref="D18:R18" si="5">C18+1</f>
        <v>12</v>
      </c>
      <c r="E18">
        <f t="shared" si="5"/>
        <v>13</v>
      </c>
      <c r="F18">
        <f t="shared" si="5"/>
        <v>14</v>
      </c>
      <c r="G18">
        <f t="shared" si="5"/>
        <v>15</v>
      </c>
      <c r="H18">
        <f t="shared" si="5"/>
        <v>16</v>
      </c>
      <c r="I18">
        <f t="shared" si="5"/>
        <v>17</v>
      </c>
      <c r="J18">
        <f t="shared" si="5"/>
        <v>18</v>
      </c>
      <c r="K18">
        <f t="shared" si="5"/>
        <v>19</v>
      </c>
      <c r="L18">
        <f t="shared" si="5"/>
        <v>20</v>
      </c>
      <c r="M18">
        <f t="shared" si="5"/>
        <v>21</v>
      </c>
      <c r="N18">
        <f t="shared" si="5"/>
        <v>22</v>
      </c>
      <c r="O18">
        <f t="shared" si="5"/>
        <v>23</v>
      </c>
      <c r="P18">
        <f t="shared" si="5"/>
        <v>24</v>
      </c>
      <c r="Q18">
        <f t="shared" si="5"/>
        <v>25</v>
      </c>
      <c r="R18">
        <f t="shared" si="5"/>
        <v>26</v>
      </c>
    </row>
    <row r="19" spans="1:36">
      <c r="A19" s="19" t="s">
        <v>100</v>
      </c>
      <c r="B19" s="1236">
        <f t="shared" ref="B19:R19" si="6">COUNTIF($B16:$BS16,B18)</f>
        <v>1</v>
      </c>
      <c r="C19" s="1152">
        <f t="shared" si="6"/>
        <v>1</v>
      </c>
      <c r="D19" s="1152">
        <f t="shared" si="6"/>
        <v>2</v>
      </c>
      <c r="E19" s="1152">
        <f t="shared" si="6"/>
        <v>3</v>
      </c>
      <c r="F19" s="1152">
        <f t="shared" si="6"/>
        <v>5</v>
      </c>
      <c r="G19" s="1152">
        <f t="shared" si="6"/>
        <v>5</v>
      </c>
      <c r="H19" s="1152">
        <f>COUNTIF($B16:$BS16,H18)</f>
        <v>7</v>
      </c>
      <c r="I19" s="1152">
        <f t="shared" si="6"/>
        <v>7</v>
      </c>
      <c r="J19" s="1152">
        <f t="shared" si="6"/>
        <v>8</v>
      </c>
      <c r="K19" s="1152">
        <f t="shared" si="6"/>
        <v>7</v>
      </c>
      <c r="L19" s="1152">
        <f t="shared" si="6"/>
        <v>7</v>
      </c>
      <c r="M19" s="1152">
        <f t="shared" si="6"/>
        <v>5</v>
      </c>
      <c r="N19" s="1152">
        <f t="shared" si="6"/>
        <v>5</v>
      </c>
      <c r="O19" s="1152">
        <f t="shared" si="6"/>
        <v>3</v>
      </c>
      <c r="P19" s="1152">
        <f t="shared" si="6"/>
        <v>2</v>
      </c>
      <c r="Q19" s="1152">
        <f t="shared" si="6"/>
        <v>1</v>
      </c>
      <c r="R19" s="1237">
        <f t="shared" si="6"/>
        <v>1</v>
      </c>
      <c r="S19" s="66">
        <f>SUM(B19:R19)</f>
        <v>70</v>
      </c>
    </row>
    <row r="20" spans="1:36">
      <c r="A20" s="19" t="s">
        <v>1707</v>
      </c>
      <c r="B20" s="656">
        <f t="shared" ref="B20:R20" si="7">B19/$S19</f>
        <v>1.4285714285714285E-2</v>
      </c>
      <c r="C20" s="8">
        <f t="shared" si="7"/>
        <v>1.4285714285714285E-2</v>
      </c>
      <c r="D20" s="8">
        <f t="shared" si="7"/>
        <v>2.8571428571428571E-2</v>
      </c>
      <c r="E20" s="8">
        <f t="shared" si="7"/>
        <v>4.2857142857142858E-2</v>
      </c>
      <c r="F20" s="8">
        <f t="shared" si="7"/>
        <v>7.1428571428571425E-2</v>
      </c>
      <c r="G20" s="8">
        <f t="shared" si="7"/>
        <v>7.1428571428571425E-2</v>
      </c>
      <c r="H20" s="8">
        <f t="shared" si="7"/>
        <v>0.1</v>
      </c>
      <c r="I20" s="8">
        <f t="shared" si="7"/>
        <v>0.1</v>
      </c>
      <c r="J20" s="8">
        <f t="shared" si="7"/>
        <v>0.11428571428571428</v>
      </c>
      <c r="K20" s="8">
        <f t="shared" si="7"/>
        <v>0.1</v>
      </c>
      <c r="L20" s="8">
        <f t="shared" si="7"/>
        <v>0.1</v>
      </c>
      <c r="M20" s="8">
        <f t="shared" si="7"/>
        <v>7.1428571428571425E-2</v>
      </c>
      <c r="N20" s="8">
        <f t="shared" si="7"/>
        <v>7.1428571428571425E-2</v>
      </c>
      <c r="O20" s="8">
        <f t="shared" si="7"/>
        <v>4.2857142857142858E-2</v>
      </c>
      <c r="P20" s="8">
        <f t="shared" si="7"/>
        <v>2.8571428571428571E-2</v>
      </c>
      <c r="Q20" s="8">
        <f t="shared" si="7"/>
        <v>1.4285714285714285E-2</v>
      </c>
      <c r="R20" s="657">
        <f t="shared" si="7"/>
        <v>1.4285714285714285E-2</v>
      </c>
    </row>
    <row r="21" spans="1:36">
      <c r="A21" s="43" t="s">
        <v>2948</v>
      </c>
      <c r="B21" s="533">
        <f>B20</f>
        <v>1.4285714285714285E-2</v>
      </c>
      <c r="C21" s="1078">
        <f>B21+C20</f>
        <v>2.8571428571428571E-2</v>
      </c>
      <c r="D21" s="1078">
        <f t="shared" ref="D21:Q21" si="8">C21+D20</f>
        <v>5.7142857142857141E-2</v>
      </c>
      <c r="E21" s="1078">
        <f t="shared" si="8"/>
        <v>0.1</v>
      </c>
      <c r="F21" s="1078">
        <f t="shared" si="8"/>
        <v>0.17142857142857143</v>
      </c>
      <c r="G21" s="1078">
        <f t="shared" si="8"/>
        <v>0.24285714285714285</v>
      </c>
      <c r="H21" s="1078">
        <f t="shared" si="8"/>
        <v>0.34285714285714286</v>
      </c>
      <c r="I21" s="1078">
        <f t="shared" si="8"/>
        <v>0.44285714285714284</v>
      </c>
      <c r="J21" s="1078">
        <f t="shared" si="8"/>
        <v>0.55714285714285716</v>
      </c>
      <c r="K21" s="1078">
        <f t="shared" si="8"/>
        <v>0.65714285714285714</v>
      </c>
      <c r="L21" s="1078">
        <f t="shared" si="8"/>
        <v>0.75714285714285712</v>
      </c>
      <c r="M21" s="1078">
        <f t="shared" si="8"/>
        <v>0.82857142857142851</v>
      </c>
      <c r="N21" s="1078">
        <f t="shared" si="8"/>
        <v>0.89999999999999991</v>
      </c>
      <c r="O21" s="1078">
        <f t="shared" si="8"/>
        <v>0.94285714285714273</v>
      </c>
      <c r="P21" s="1078">
        <f t="shared" si="8"/>
        <v>0.97142857142857131</v>
      </c>
      <c r="Q21" s="1078">
        <f t="shared" si="8"/>
        <v>0.98571428571428554</v>
      </c>
      <c r="R21" s="541">
        <f>Q21+R20</f>
        <v>0.99999999999999978</v>
      </c>
    </row>
    <row r="25" spans="1:36">
      <c r="A25" s="25" t="s">
        <v>291</v>
      </c>
      <c r="B25" s="756">
        <v>3</v>
      </c>
      <c r="D25" t="s">
        <v>292</v>
      </c>
      <c r="E25" s="756">
        <v>4</v>
      </c>
      <c r="G25" t="s">
        <v>106</v>
      </c>
      <c r="H25" s="756">
        <f>B25+E25</f>
        <v>7</v>
      </c>
    </row>
    <row r="26" spans="1:36">
      <c r="A26" s="1"/>
    </row>
    <row r="27" spans="1:36">
      <c r="A27" s="25" t="s">
        <v>3358</v>
      </c>
      <c r="B27" s="756">
        <f>B25*(B25+1)/2</f>
        <v>6</v>
      </c>
      <c r="D27" t="s">
        <v>141</v>
      </c>
      <c r="E27" s="756">
        <f>E25*(E25+1)/2</f>
        <v>10</v>
      </c>
      <c r="G27" t="s">
        <v>142</v>
      </c>
      <c r="H27" s="756">
        <f>H25*(H25+1)/2</f>
        <v>28</v>
      </c>
      <c r="J27" t="s">
        <v>3359</v>
      </c>
      <c r="K27" s="756">
        <f>H27-E27</f>
        <v>18</v>
      </c>
      <c r="M27" t="s">
        <v>2781</v>
      </c>
      <c r="N27" s="756">
        <f>COMBIN(H25,E25)</f>
        <v>35</v>
      </c>
    </row>
    <row r="28" spans="1:36">
      <c r="A28" s="1"/>
    </row>
    <row r="29" spans="1:36">
      <c r="B29">
        <v>1</v>
      </c>
      <c r="C29">
        <f>B29+1</f>
        <v>2</v>
      </c>
      <c r="D29">
        <f t="shared" ref="D29:AJ29" si="9">C29+1</f>
        <v>3</v>
      </c>
      <c r="E29">
        <f t="shared" si="9"/>
        <v>4</v>
      </c>
      <c r="F29">
        <f t="shared" si="9"/>
        <v>5</v>
      </c>
      <c r="G29">
        <f t="shared" si="9"/>
        <v>6</v>
      </c>
      <c r="H29">
        <f t="shared" si="9"/>
        <v>7</v>
      </c>
      <c r="I29">
        <f t="shared" si="9"/>
        <v>8</v>
      </c>
      <c r="J29">
        <f t="shared" si="9"/>
        <v>9</v>
      </c>
      <c r="K29">
        <f t="shared" si="9"/>
        <v>10</v>
      </c>
      <c r="L29">
        <f t="shared" si="9"/>
        <v>11</v>
      </c>
      <c r="M29">
        <f t="shared" si="9"/>
        <v>12</v>
      </c>
      <c r="N29">
        <f t="shared" si="9"/>
        <v>13</v>
      </c>
      <c r="O29">
        <f t="shared" si="9"/>
        <v>14</v>
      </c>
      <c r="P29">
        <f t="shared" si="9"/>
        <v>15</v>
      </c>
      <c r="Q29">
        <f t="shared" si="9"/>
        <v>16</v>
      </c>
      <c r="R29">
        <f t="shared" si="9"/>
        <v>17</v>
      </c>
      <c r="S29">
        <f t="shared" si="9"/>
        <v>18</v>
      </c>
      <c r="T29">
        <f t="shared" si="9"/>
        <v>19</v>
      </c>
      <c r="U29">
        <f t="shared" si="9"/>
        <v>20</v>
      </c>
      <c r="V29">
        <f t="shared" si="9"/>
        <v>21</v>
      </c>
      <c r="W29">
        <f t="shared" si="9"/>
        <v>22</v>
      </c>
      <c r="X29">
        <f t="shared" si="9"/>
        <v>23</v>
      </c>
      <c r="Y29">
        <f t="shared" si="9"/>
        <v>24</v>
      </c>
      <c r="Z29">
        <f t="shared" si="9"/>
        <v>25</v>
      </c>
      <c r="AA29">
        <f t="shared" si="9"/>
        <v>26</v>
      </c>
      <c r="AB29">
        <f t="shared" si="9"/>
        <v>27</v>
      </c>
      <c r="AC29">
        <f t="shared" si="9"/>
        <v>28</v>
      </c>
      <c r="AD29">
        <f t="shared" si="9"/>
        <v>29</v>
      </c>
      <c r="AE29">
        <f t="shared" si="9"/>
        <v>30</v>
      </c>
      <c r="AF29">
        <f t="shared" si="9"/>
        <v>31</v>
      </c>
      <c r="AG29">
        <f t="shared" si="9"/>
        <v>32</v>
      </c>
      <c r="AH29">
        <f t="shared" si="9"/>
        <v>33</v>
      </c>
      <c r="AI29">
        <f t="shared" si="9"/>
        <v>34</v>
      </c>
      <c r="AJ29">
        <f t="shared" si="9"/>
        <v>35</v>
      </c>
    </row>
    <row r="30" spans="1:36">
      <c r="A30">
        <f>A29+1</f>
        <v>1</v>
      </c>
      <c r="B30" s="1236">
        <v>0</v>
      </c>
      <c r="C30" s="1152">
        <v>0</v>
      </c>
      <c r="D30" s="1152">
        <v>0</v>
      </c>
      <c r="E30" s="1152">
        <v>0</v>
      </c>
      <c r="F30" s="1152">
        <v>0</v>
      </c>
      <c r="G30" s="1152">
        <v>0</v>
      </c>
      <c r="H30" s="1152">
        <v>0</v>
      </c>
      <c r="I30" s="1152">
        <v>0</v>
      </c>
      <c r="J30" s="1152">
        <v>0</v>
      </c>
      <c r="K30" s="1152">
        <v>0</v>
      </c>
      <c r="L30" s="1152">
        <v>0</v>
      </c>
      <c r="M30" s="1152">
        <v>0</v>
      </c>
      <c r="N30" s="1152">
        <v>0</v>
      </c>
      <c r="O30" s="1152">
        <v>0</v>
      </c>
      <c r="P30" s="1152">
        <v>0</v>
      </c>
      <c r="Q30" s="1152">
        <v>0</v>
      </c>
      <c r="R30" s="1152">
        <v>0</v>
      </c>
      <c r="S30" s="1152">
        <v>0</v>
      </c>
      <c r="T30" s="1152">
        <v>0</v>
      </c>
      <c r="U30" s="1152">
        <v>0</v>
      </c>
      <c r="V30" s="1152">
        <v>1</v>
      </c>
      <c r="W30" s="1152">
        <v>1</v>
      </c>
      <c r="X30" s="1152">
        <v>1</v>
      </c>
      <c r="Y30" s="1152">
        <v>1</v>
      </c>
      <c r="Z30" s="1152">
        <v>1</v>
      </c>
      <c r="AA30" s="1152">
        <v>1</v>
      </c>
      <c r="AB30" s="1152">
        <v>1</v>
      </c>
      <c r="AC30" s="1152">
        <v>1</v>
      </c>
      <c r="AD30" s="1152">
        <v>1</v>
      </c>
      <c r="AE30" s="1152">
        <v>1</v>
      </c>
      <c r="AF30" s="1152">
        <v>1</v>
      </c>
      <c r="AG30" s="1152">
        <v>1</v>
      </c>
      <c r="AH30" s="1152">
        <v>1</v>
      </c>
      <c r="AI30" s="1152">
        <v>1</v>
      </c>
      <c r="AJ30" s="1237">
        <v>1</v>
      </c>
    </row>
    <row r="31" spans="1:36">
      <c r="A31">
        <f t="shared" ref="A31:A36" si="10">A30+1</f>
        <v>2</v>
      </c>
      <c r="B31" s="656">
        <v>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1</v>
      </c>
      <c r="M31" s="8">
        <v>1</v>
      </c>
      <c r="N31" s="8">
        <v>1</v>
      </c>
      <c r="O31" s="8">
        <v>1</v>
      </c>
      <c r="P31" s="8">
        <v>1</v>
      </c>
      <c r="Q31" s="8">
        <v>1</v>
      </c>
      <c r="R31" s="8">
        <v>1</v>
      </c>
      <c r="S31" s="8">
        <v>1</v>
      </c>
      <c r="T31" s="8">
        <v>1</v>
      </c>
      <c r="U31" s="8">
        <v>1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1</v>
      </c>
      <c r="AG31" s="8">
        <v>1</v>
      </c>
      <c r="AH31" s="8">
        <v>1</v>
      </c>
      <c r="AI31" s="8">
        <v>1</v>
      </c>
      <c r="AJ31" s="657">
        <v>1</v>
      </c>
    </row>
    <row r="32" spans="1:36">
      <c r="A32">
        <f t="shared" si="10"/>
        <v>3</v>
      </c>
      <c r="B32" s="656">
        <v>0</v>
      </c>
      <c r="C32" s="8">
        <v>0</v>
      </c>
      <c r="D32" s="8">
        <v>0</v>
      </c>
      <c r="E32" s="8">
        <v>0</v>
      </c>
      <c r="F32" s="8">
        <v>1</v>
      </c>
      <c r="G32" s="8">
        <v>1</v>
      </c>
      <c r="H32" s="8">
        <v>1</v>
      </c>
      <c r="I32" s="8">
        <v>1</v>
      </c>
      <c r="J32" s="8">
        <v>1</v>
      </c>
      <c r="K32" s="8">
        <v>1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1</v>
      </c>
      <c r="S32" s="8">
        <v>1</v>
      </c>
      <c r="T32" s="8">
        <v>1</v>
      </c>
      <c r="U32" s="8">
        <v>1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1</v>
      </c>
      <c r="AC32" s="8">
        <v>1</v>
      </c>
      <c r="AD32" s="8">
        <v>1</v>
      </c>
      <c r="AE32" s="8">
        <v>1</v>
      </c>
      <c r="AF32" s="8">
        <v>0</v>
      </c>
      <c r="AG32" s="8">
        <v>0</v>
      </c>
      <c r="AH32" s="8">
        <v>0</v>
      </c>
      <c r="AI32" s="8">
        <v>0</v>
      </c>
      <c r="AJ32" s="657">
        <v>1</v>
      </c>
    </row>
    <row r="33" spans="1:36">
      <c r="A33">
        <f t="shared" si="10"/>
        <v>4</v>
      </c>
      <c r="B33" s="656">
        <v>0</v>
      </c>
      <c r="C33" s="8">
        <v>1</v>
      </c>
      <c r="D33" s="8">
        <v>1</v>
      </c>
      <c r="E33" s="8">
        <v>1</v>
      </c>
      <c r="F33" s="8">
        <v>0</v>
      </c>
      <c r="G33" s="8">
        <v>0</v>
      </c>
      <c r="H33" s="8">
        <v>0</v>
      </c>
      <c r="I33" s="8">
        <v>1</v>
      </c>
      <c r="J33" s="8">
        <v>1</v>
      </c>
      <c r="K33" s="8">
        <v>1</v>
      </c>
      <c r="L33" s="8">
        <v>0</v>
      </c>
      <c r="M33" s="8">
        <v>0</v>
      </c>
      <c r="N33" s="8">
        <v>0</v>
      </c>
      <c r="O33" s="8">
        <v>1</v>
      </c>
      <c r="P33" s="8">
        <v>1</v>
      </c>
      <c r="Q33" s="8">
        <v>1</v>
      </c>
      <c r="R33" s="8">
        <v>0</v>
      </c>
      <c r="S33" s="8">
        <v>0</v>
      </c>
      <c r="T33" s="8">
        <v>0</v>
      </c>
      <c r="U33" s="8">
        <v>1</v>
      </c>
      <c r="V33" s="8">
        <v>0</v>
      </c>
      <c r="W33" s="8">
        <v>0</v>
      </c>
      <c r="X33" s="8">
        <v>0</v>
      </c>
      <c r="Y33" s="8">
        <v>1</v>
      </c>
      <c r="Z33" s="8">
        <v>1</v>
      </c>
      <c r="AA33" s="8">
        <v>1</v>
      </c>
      <c r="AB33" s="8">
        <v>0</v>
      </c>
      <c r="AC33" s="8">
        <v>0</v>
      </c>
      <c r="AD33" s="8">
        <v>0</v>
      </c>
      <c r="AE33" s="8">
        <v>1</v>
      </c>
      <c r="AF33" s="8">
        <v>0</v>
      </c>
      <c r="AG33" s="8">
        <v>0</v>
      </c>
      <c r="AH33" s="8">
        <v>0</v>
      </c>
      <c r="AI33" s="8">
        <v>1</v>
      </c>
      <c r="AJ33" s="657">
        <v>0</v>
      </c>
    </row>
    <row r="34" spans="1:36">
      <c r="A34">
        <f t="shared" si="10"/>
        <v>5</v>
      </c>
      <c r="B34" s="656">
        <v>1</v>
      </c>
      <c r="C34" s="8">
        <v>0</v>
      </c>
      <c r="D34" s="8">
        <v>1</v>
      </c>
      <c r="E34" s="8">
        <v>1</v>
      </c>
      <c r="F34" s="8">
        <v>0</v>
      </c>
      <c r="G34" s="8">
        <v>1</v>
      </c>
      <c r="H34" s="8">
        <v>1</v>
      </c>
      <c r="I34" s="8">
        <v>0</v>
      </c>
      <c r="J34" s="8">
        <v>0</v>
      </c>
      <c r="K34" s="8">
        <v>1</v>
      </c>
      <c r="L34" s="8">
        <v>0</v>
      </c>
      <c r="M34" s="8">
        <v>1</v>
      </c>
      <c r="N34" s="8">
        <v>1</v>
      </c>
      <c r="O34" s="8">
        <v>0</v>
      </c>
      <c r="P34" s="8">
        <v>0</v>
      </c>
      <c r="Q34" s="8">
        <v>1</v>
      </c>
      <c r="R34" s="8">
        <v>0</v>
      </c>
      <c r="S34" s="8">
        <v>0</v>
      </c>
      <c r="T34" s="8">
        <v>1</v>
      </c>
      <c r="U34" s="8">
        <v>0</v>
      </c>
      <c r="V34" s="8">
        <v>0</v>
      </c>
      <c r="W34" s="8">
        <v>1</v>
      </c>
      <c r="X34" s="8">
        <v>1</v>
      </c>
      <c r="Y34" s="8">
        <v>0</v>
      </c>
      <c r="Z34" s="8">
        <v>0</v>
      </c>
      <c r="AA34" s="8">
        <v>1</v>
      </c>
      <c r="AB34" s="8">
        <v>0</v>
      </c>
      <c r="AC34" s="8">
        <v>0</v>
      </c>
      <c r="AD34" s="8">
        <v>1</v>
      </c>
      <c r="AE34" s="8">
        <v>0</v>
      </c>
      <c r="AF34" s="8">
        <v>0</v>
      </c>
      <c r="AG34" s="8">
        <v>0</v>
      </c>
      <c r="AH34" s="8">
        <v>1</v>
      </c>
      <c r="AI34" s="8">
        <v>0</v>
      </c>
      <c r="AJ34" s="657">
        <v>0</v>
      </c>
    </row>
    <row r="35" spans="1:36">
      <c r="A35">
        <f t="shared" si="10"/>
        <v>6</v>
      </c>
      <c r="B35" s="656">
        <v>1</v>
      </c>
      <c r="C35" s="8">
        <v>1</v>
      </c>
      <c r="D35" s="8">
        <v>0</v>
      </c>
      <c r="E35" s="8">
        <v>1</v>
      </c>
      <c r="F35" s="8">
        <v>1</v>
      </c>
      <c r="G35" s="8">
        <v>0</v>
      </c>
      <c r="H35" s="8">
        <v>1</v>
      </c>
      <c r="I35" s="8">
        <v>0</v>
      </c>
      <c r="J35" s="8">
        <v>1</v>
      </c>
      <c r="K35" s="8">
        <v>0</v>
      </c>
      <c r="L35" s="8">
        <v>1</v>
      </c>
      <c r="M35" s="8">
        <v>0</v>
      </c>
      <c r="N35" s="8">
        <v>1</v>
      </c>
      <c r="O35" s="8">
        <v>0</v>
      </c>
      <c r="P35" s="8">
        <v>1</v>
      </c>
      <c r="Q35" s="8">
        <v>0</v>
      </c>
      <c r="R35" s="8">
        <v>0</v>
      </c>
      <c r="S35" s="8">
        <v>1</v>
      </c>
      <c r="T35" s="8">
        <v>0</v>
      </c>
      <c r="U35" s="8">
        <v>0</v>
      </c>
      <c r="V35" s="8">
        <v>1</v>
      </c>
      <c r="W35" s="8">
        <v>0</v>
      </c>
      <c r="X35" s="8">
        <v>1</v>
      </c>
      <c r="Y35" s="8">
        <v>0</v>
      </c>
      <c r="Z35" s="8">
        <v>1</v>
      </c>
      <c r="AA35" s="8">
        <v>0</v>
      </c>
      <c r="AB35" s="8">
        <v>0</v>
      </c>
      <c r="AC35" s="8">
        <v>1</v>
      </c>
      <c r="AD35" s="8">
        <v>0</v>
      </c>
      <c r="AE35" s="8">
        <v>0</v>
      </c>
      <c r="AF35" s="8">
        <v>0</v>
      </c>
      <c r="AG35" s="8">
        <v>1</v>
      </c>
      <c r="AH35" s="8">
        <v>0</v>
      </c>
      <c r="AI35" s="8">
        <v>0</v>
      </c>
      <c r="AJ35" s="657">
        <v>0</v>
      </c>
    </row>
    <row r="36" spans="1:36">
      <c r="A36">
        <f t="shared" si="10"/>
        <v>7</v>
      </c>
      <c r="B36" s="533">
        <v>1</v>
      </c>
      <c r="C36" s="1078">
        <v>1</v>
      </c>
      <c r="D36" s="1078">
        <v>1</v>
      </c>
      <c r="E36" s="1078">
        <v>0</v>
      </c>
      <c r="F36" s="1078">
        <v>1</v>
      </c>
      <c r="G36" s="1078">
        <v>1</v>
      </c>
      <c r="H36" s="1078">
        <v>0</v>
      </c>
      <c r="I36" s="1078">
        <v>1</v>
      </c>
      <c r="J36" s="1078">
        <v>0</v>
      </c>
      <c r="K36" s="1078">
        <v>0</v>
      </c>
      <c r="L36" s="1078">
        <v>1</v>
      </c>
      <c r="M36" s="1078">
        <v>1</v>
      </c>
      <c r="N36" s="1078">
        <v>0</v>
      </c>
      <c r="O36" s="1078">
        <v>1</v>
      </c>
      <c r="P36" s="1078">
        <v>0</v>
      </c>
      <c r="Q36" s="1078">
        <v>0</v>
      </c>
      <c r="R36" s="1078">
        <v>1</v>
      </c>
      <c r="S36" s="1078">
        <v>0</v>
      </c>
      <c r="T36" s="1078">
        <v>0</v>
      </c>
      <c r="U36" s="1078">
        <v>0</v>
      </c>
      <c r="V36" s="1078">
        <v>1</v>
      </c>
      <c r="W36" s="1078">
        <v>1</v>
      </c>
      <c r="X36" s="1078">
        <v>0</v>
      </c>
      <c r="Y36" s="1078">
        <v>1</v>
      </c>
      <c r="Z36" s="1078">
        <v>0</v>
      </c>
      <c r="AA36" s="1078">
        <v>0</v>
      </c>
      <c r="AB36" s="1078">
        <v>1</v>
      </c>
      <c r="AC36" s="1078">
        <v>0</v>
      </c>
      <c r="AD36" s="1078">
        <v>0</v>
      </c>
      <c r="AE36" s="1078">
        <v>0</v>
      </c>
      <c r="AF36" s="1078">
        <v>1</v>
      </c>
      <c r="AG36" s="1078">
        <v>0</v>
      </c>
      <c r="AH36" s="1078">
        <v>0</v>
      </c>
      <c r="AI36" s="1078">
        <v>0</v>
      </c>
      <c r="AJ36" s="541">
        <v>0</v>
      </c>
    </row>
    <row r="37" spans="1:36">
      <c r="B37">
        <f t="shared" ref="B37:AJ37" si="11">SUMPRODUCT($A29:$A36,B29:B36)</f>
        <v>18</v>
      </c>
      <c r="C37">
        <f t="shared" si="11"/>
        <v>17</v>
      </c>
      <c r="D37">
        <f t="shared" si="11"/>
        <v>16</v>
      </c>
      <c r="E37">
        <f t="shared" si="11"/>
        <v>15</v>
      </c>
      <c r="F37">
        <f t="shared" si="11"/>
        <v>16</v>
      </c>
      <c r="G37">
        <f t="shared" si="11"/>
        <v>15</v>
      </c>
      <c r="H37">
        <f t="shared" si="11"/>
        <v>14</v>
      </c>
      <c r="I37">
        <f t="shared" si="11"/>
        <v>14</v>
      </c>
      <c r="J37">
        <f t="shared" si="11"/>
        <v>13</v>
      </c>
      <c r="K37">
        <f t="shared" si="11"/>
        <v>12</v>
      </c>
      <c r="L37">
        <f t="shared" si="11"/>
        <v>15</v>
      </c>
      <c r="M37">
        <f t="shared" si="11"/>
        <v>14</v>
      </c>
      <c r="N37">
        <f t="shared" si="11"/>
        <v>13</v>
      </c>
      <c r="O37">
        <f t="shared" si="11"/>
        <v>13</v>
      </c>
      <c r="P37">
        <f t="shared" si="11"/>
        <v>12</v>
      </c>
      <c r="Q37">
        <f t="shared" si="11"/>
        <v>11</v>
      </c>
      <c r="R37">
        <f t="shared" si="11"/>
        <v>12</v>
      </c>
      <c r="S37">
        <f t="shared" si="11"/>
        <v>11</v>
      </c>
      <c r="T37">
        <f t="shared" si="11"/>
        <v>10</v>
      </c>
      <c r="U37">
        <f t="shared" si="11"/>
        <v>9</v>
      </c>
      <c r="V37">
        <f t="shared" si="11"/>
        <v>14</v>
      </c>
      <c r="W37">
        <f t="shared" si="11"/>
        <v>13</v>
      </c>
      <c r="X37">
        <f t="shared" si="11"/>
        <v>12</v>
      </c>
      <c r="Y37">
        <f t="shared" si="11"/>
        <v>12</v>
      </c>
      <c r="Z37">
        <f t="shared" si="11"/>
        <v>11</v>
      </c>
      <c r="AA37">
        <f t="shared" si="11"/>
        <v>10</v>
      </c>
      <c r="AB37">
        <f t="shared" si="11"/>
        <v>11</v>
      </c>
      <c r="AC37">
        <f t="shared" si="11"/>
        <v>10</v>
      </c>
      <c r="AD37">
        <f t="shared" si="11"/>
        <v>9</v>
      </c>
      <c r="AE37">
        <f t="shared" si="11"/>
        <v>8</v>
      </c>
      <c r="AF37">
        <f t="shared" si="11"/>
        <v>10</v>
      </c>
      <c r="AG37">
        <f t="shared" si="11"/>
        <v>9</v>
      </c>
      <c r="AH37">
        <f t="shared" si="11"/>
        <v>8</v>
      </c>
      <c r="AI37">
        <f t="shared" si="11"/>
        <v>7</v>
      </c>
      <c r="AJ37">
        <f t="shared" si="11"/>
        <v>6</v>
      </c>
    </row>
    <row r="39" spans="1:36">
      <c r="A39" s="19" t="s">
        <v>1513</v>
      </c>
      <c r="B39">
        <f>B27</f>
        <v>6</v>
      </c>
      <c r="C39">
        <f>B39+1</f>
        <v>7</v>
      </c>
      <c r="D39">
        <f t="shared" ref="D39:N39" si="12">C39+1</f>
        <v>8</v>
      </c>
      <c r="E39">
        <f t="shared" si="12"/>
        <v>9</v>
      </c>
      <c r="F39">
        <f t="shared" si="12"/>
        <v>10</v>
      </c>
      <c r="G39">
        <f t="shared" si="12"/>
        <v>11</v>
      </c>
      <c r="H39">
        <f t="shared" si="12"/>
        <v>12</v>
      </c>
      <c r="I39">
        <f t="shared" si="12"/>
        <v>13</v>
      </c>
      <c r="J39">
        <f t="shared" si="12"/>
        <v>14</v>
      </c>
      <c r="K39">
        <f t="shared" si="12"/>
        <v>15</v>
      </c>
      <c r="L39">
        <f t="shared" si="12"/>
        <v>16</v>
      </c>
      <c r="M39">
        <f t="shared" si="12"/>
        <v>17</v>
      </c>
      <c r="N39">
        <f t="shared" si="12"/>
        <v>18</v>
      </c>
    </row>
    <row r="40" spans="1:36">
      <c r="A40" s="19" t="s">
        <v>100</v>
      </c>
      <c r="B40" s="1236">
        <f t="shared" ref="B40:N40" si="13">COUNTIF($B37:$BS37,B39)</f>
        <v>1</v>
      </c>
      <c r="C40" s="1152">
        <f t="shared" si="13"/>
        <v>1</v>
      </c>
      <c r="D40" s="1152">
        <f t="shared" si="13"/>
        <v>2</v>
      </c>
      <c r="E40" s="1152">
        <f t="shared" si="13"/>
        <v>3</v>
      </c>
      <c r="F40" s="1152">
        <f t="shared" si="13"/>
        <v>4</v>
      </c>
      <c r="G40" s="1152">
        <f t="shared" si="13"/>
        <v>4</v>
      </c>
      <c r="H40" s="1152">
        <f t="shared" si="13"/>
        <v>5</v>
      </c>
      <c r="I40" s="1152">
        <f t="shared" si="13"/>
        <v>4</v>
      </c>
      <c r="J40" s="1152">
        <f t="shared" si="13"/>
        <v>4</v>
      </c>
      <c r="K40" s="1152">
        <f t="shared" si="13"/>
        <v>3</v>
      </c>
      <c r="L40" s="1152">
        <f t="shared" si="13"/>
        <v>2</v>
      </c>
      <c r="M40" s="1152">
        <f t="shared" si="13"/>
        <v>1</v>
      </c>
      <c r="N40" s="1237">
        <f t="shared" si="13"/>
        <v>1</v>
      </c>
      <c r="O40" s="66">
        <f>SUM(B40:N40)</f>
        <v>35</v>
      </c>
    </row>
    <row r="41" spans="1:36">
      <c r="A41" s="19" t="s">
        <v>1707</v>
      </c>
      <c r="B41" s="656">
        <f t="shared" ref="B41:N41" si="14">B40/$O40</f>
        <v>2.8571428571428571E-2</v>
      </c>
      <c r="C41" s="8">
        <f t="shared" si="14"/>
        <v>2.8571428571428571E-2</v>
      </c>
      <c r="D41" s="8">
        <f t="shared" si="14"/>
        <v>5.7142857142857141E-2</v>
      </c>
      <c r="E41" s="8">
        <f t="shared" si="14"/>
        <v>8.5714285714285715E-2</v>
      </c>
      <c r="F41" s="8">
        <f t="shared" si="14"/>
        <v>0.11428571428571428</v>
      </c>
      <c r="G41" s="8">
        <f t="shared" si="14"/>
        <v>0.11428571428571428</v>
      </c>
      <c r="H41" s="8">
        <f t="shared" si="14"/>
        <v>0.14285714285714285</v>
      </c>
      <c r="I41" s="8">
        <f t="shared" si="14"/>
        <v>0.11428571428571428</v>
      </c>
      <c r="J41" s="8">
        <f t="shared" si="14"/>
        <v>0.11428571428571428</v>
      </c>
      <c r="K41" s="8">
        <f t="shared" si="14"/>
        <v>8.5714285714285715E-2</v>
      </c>
      <c r="L41" s="8">
        <f t="shared" si="14"/>
        <v>5.7142857142857141E-2</v>
      </c>
      <c r="M41" s="8">
        <f t="shared" si="14"/>
        <v>2.8571428571428571E-2</v>
      </c>
      <c r="N41" s="657">
        <f t="shared" si="14"/>
        <v>2.8571428571428571E-2</v>
      </c>
    </row>
    <row r="42" spans="1:36">
      <c r="A42" s="43" t="s">
        <v>2948</v>
      </c>
      <c r="B42" s="533">
        <f>B41</f>
        <v>2.8571428571428571E-2</v>
      </c>
      <c r="C42" s="1078">
        <f>B42+C41</f>
        <v>5.7142857142857141E-2</v>
      </c>
      <c r="D42" s="1078">
        <f t="shared" ref="D42:N42" si="15">C42+D41</f>
        <v>0.11428571428571428</v>
      </c>
      <c r="E42" s="1078">
        <f t="shared" si="15"/>
        <v>0.2</v>
      </c>
      <c r="F42" s="1078">
        <f t="shared" si="15"/>
        <v>0.31428571428571428</v>
      </c>
      <c r="G42" s="1078">
        <f t="shared" si="15"/>
        <v>0.42857142857142855</v>
      </c>
      <c r="H42" s="1078">
        <f t="shared" si="15"/>
        <v>0.5714285714285714</v>
      </c>
      <c r="I42" s="1078">
        <f t="shared" si="15"/>
        <v>0.68571428571428572</v>
      </c>
      <c r="J42" s="1078">
        <f t="shared" si="15"/>
        <v>0.8</v>
      </c>
      <c r="K42" s="1078">
        <f t="shared" si="15"/>
        <v>0.88571428571428579</v>
      </c>
      <c r="L42" s="1078">
        <f t="shared" si="15"/>
        <v>0.94285714285714295</v>
      </c>
      <c r="M42" s="1078">
        <f t="shared" si="15"/>
        <v>0.97142857142857153</v>
      </c>
      <c r="N42" s="541">
        <f t="shared" si="15"/>
        <v>1</v>
      </c>
    </row>
    <row r="46" spans="1:36">
      <c r="A46" s="25" t="s">
        <v>291</v>
      </c>
      <c r="B46" s="756">
        <v>2</v>
      </c>
      <c r="D46" t="s">
        <v>292</v>
      </c>
      <c r="E46" s="756">
        <v>4</v>
      </c>
      <c r="G46" t="s">
        <v>106</v>
      </c>
      <c r="H46" s="756">
        <f>B46+E46</f>
        <v>6</v>
      </c>
    </row>
    <row r="47" spans="1:36">
      <c r="A47" s="1"/>
    </row>
    <row r="48" spans="1:36">
      <c r="A48" s="25" t="s">
        <v>3358</v>
      </c>
      <c r="B48" s="756">
        <f>B46*(B46+1)/2</f>
        <v>3</v>
      </c>
      <c r="D48" t="s">
        <v>141</v>
      </c>
      <c r="E48" s="756">
        <f>E46*(E46+1)/2</f>
        <v>10</v>
      </c>
      <c r="G48" t="s">
        <v>142</v>
      </c>
      <c r="H48" s="756">
        <f>H46*(H46+1)/2</f>
        <v>21</v>
      </c>
      <c r="J48" t="s">
        <v>3359</v>
      </c>
      <c r="K48" s="756">
        <f>H48-E48</f>
        <v>11</v>
      </c>
      <c r="M48" t="s">
        <v>2781</v>
      </c>
      <c r="N48" s="756">
        <f>COMBIN(H46,E46)</f>
        <v>15</v>
      </c>
    </row>
    <row r="49" spans="1:16">
      <c r="A49" s="1"/>
    </row>
    <row r="50" spans="1:16">
      <c r="B50">
        <v>1</v>
      </c>
      <c r="C50">
        <f>B50+1</f>
        <v>2</v>
      </c>
      <c r="D50">
        <f t="shared" ref="D50:P50" si="16">C50+1</f>
        <v>3</v>
      </c>
      <c r="E50">
        <f t="shared" si="16"/>
        <v>4</v>
      </c>
      <c r="F50">
        <f t="shared" si="16"/>
        <v>5</v>
      </c>
      <c r="G50">
        <f t="shared" si="16"/>
        <v>6</v>
      </c>
      <c r="H50">
        <f t="shared" si="16"/>
        <v>7</v>
      </c>
      <c r="I50">
        <f t="shared" si="16"/>
        <v>8</v>
      </c>
      <c r="J50">
        <f t="shared" si="16"/>
        <v>9</v>
      </c>
      <c r="K50">
        <f t="shared" si="16"/>
        <v>10</v>
      </c>
      <c r="L50">
        <f t="shared" si="16"/>
        <v>11</v>
      </c>
      <c r="M50">
        <f t="shared" si="16"/>
        <v>12</v>
      </c>
      <c r="N50">
        <f t="shared" si="16"/>
        <v>13</v>
      </c>
      <c r="O50">
        <f t="shared" si="16"/>
        <v>14</v>
      </c>
      <c r="P50">
        <f t="shared" si="16"/>
        <v>15</v>
      </c>
    </row>
    <row r="51" spans="1:16">
      <c r="A51">
        <f>A50+1</f>
        <v>1</v>
      </c>
      <c r="B51" s="1236">
        <v>0</v>
      </c>
      <c r="C51" s="1152">
        <v>0</v>
      </c>
      <c r="D51" s="1152">
        <v>0</v>
      </c>
      <c r="E51" s="1152">
        <v>0</v>
      </c>
      <c r="F51" s="1152">
        <v>0</v>
      </c>
      <c r="G51" s="1152">
        <v>0</v>
      </c>
      <c r="H51" s="1152">
        <v>0</v>
      </c>
      <c r="I51" s="1152">
        <v>0</v>
      </c>
      <c r="J51" s="1152">
        <v>0</v>
      </c>
      <c r="K51" s="1152">
        <v>0</v>
      </c>
      <c r="L51" s="1152">
        <v>1</v>
      </c>
      <c r="M51" s="1152">
        <v>1</v>
      </c>
      <c r="N51" s="1152">
        <v>1</v>
      </c>
      <c r="O51" s="1152">
        <v>1</v>
      </c>
      <c r="P51" s="1237">
        <v>1</v>
      </c>
    </row>
    <row r="52" spans="1:16">
      <c r="A52">
        <f t="shared" ref="A52:A56" si="17">A51+1</f>
        <v>2</v>
      </c>
      <c r="B52" s="656">
        <v>0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</v>
      </c>
      <c r="I52" s="8">
        <v>1</v>
      </c>
      <c r="J52" s="8">
        <v>1</v>
      </c>
      <c r="K52" s="8">
        <v>1</v>
      </c>
      <c r="L52" s="8">
        <v>0</v>
      </c>
      <c r="M52" s="8">
        <v>0</v>
      </c>
      <c r="N52" s="8">
        <v>0</v>
      </c>
      <c r="O52" s="8">
        <v>0</v>
      </c>
      <c r="P52" s="657">
        <v>1</v>
      </c>
    </row>
    <row r="53" spans="1:16">
      <c r="A53">
        <f t="shared" si="17"/>
        <v>3</v>
      </c>
      <c r="B53" s="656">
        <v>0</v>
      </c>
      <c r="C53" s="8">
        <v>0</v>
      </c>
      <c r="D53" s="8">
        <v>0</v>
      </c>
      <c r="E53" s="8">
        <v>1</v>
      </c>
      <c r="F53" s="8">
        <v>1</v>
      </c>
      <c r="G53" s="8">
        <v>1</v>
      </c>
      <c r="H53" s="8">
        <v>0</v>
      </c>
      <c r="I53" s="8">
        <v>0</v>
      </c>
      <c r="J53" s="8">
        <v>0</v>
      </c>
      <c r="K53" s="8">
        <v>1</v>
      </c>
      <c r="L53" s="8">
        <v>0</v>
      </c>
      <c r="M53" s="8">
        <v>0</v>
      </c>
      <c r="N53" s="8">
        <v>0</v>
      </c>
      <c r="O53" s="8">
        <v>1</v>
      </c>
      <c r="P53" s="657">
        <v>0</v>
      </c>
    </row>
    <row r="54" spans="1:16">
      <c r="A54">
        <f t="shared" si="17"/>
        <v>4</v>
      </c>
      <c r="B54" s="656">
        <v>0</v>
      </c>
      <c r="C54" s="8">
        <v>1</v>
      </c>
      <c r="D54" s="8">
        <v>1</v>
      </c>
      <c r="E54" s="8">
        <v>0</v>
      </c>
      <c r="F54" s="8">
        <v>0</v>
      </c>
      <c r="G54" s="8">
        <v>1</v>
      </c>
      <c r="H54" s="8">
        <v>0</v>
      </c>
      <c r="I54" s="8">
        <v>0</v>
      </c>
      <c r="J54" s="8">
        <v>1</v>
      </c>
      <c r="K54" s="8">
        <v>0</v>
      </c>
      <c r="L54" s="8">
        <v>0</v>
      </c>
      <c r="M54" s="8">
        <v>0</v>
      </c>
      <c r="N54" s="8">
        <v>1</v>
      </c>
      <c r="O54" s="8">
        <v>0</v>
      </c>
      <c r="P54" s="657">
        <v>0</v>
      </c>
    </row>
    <row r="55" spans="1:16">
      <c r="A55">
        <f t="shared" si="17"/>
        <v>5</v>
      </c>
      <c r="B55" s="656">
        <v>1</v>
      </c>
      <c r="C55" s="8">
        <v>0</v>
      </c>
      <c r="D55" s="8">
        <v>1</v>
      </c>
      <c r="E55" s="8">
        <v>0</v>
      </c>
      <c r="F55" s="8">
        <v>1</v>
      </c>
      <c r="G55" s="8">
        <v>0</v>
      </c>
      <c r="H55" s="8">
        <v>0</v>
      </c>
      <c r="I55" s="8">
        <v>1</v>
      </c>
      <c r="J55" s="8">
        <v>0</v>
      </c>
      <c r="K55" s="8">
        <v>0</v>
      </c>
      <c r="L55" s="8">
        <v>0</v>
      </c>
      <c r="M55" s="8">
        <v>1</v>
      </c>
      <c r="N55" s="8">
        <v>0</v>
      </c>
      <c r="O55" s="8">
        <v>0</v>
      </c>
      <c r="P55" s="657">
        <v>0</v>
      </c>
    </row>
    <row r="56" spans="1:16">
      <c r="A56">
        <f t="shared" si="17"/>
        <v>6</v>
      </c>
      <c r="B56" s="533">
        <v>1</v>
      </c>
      <c r="C56" s="1078">
        <v>1</v>
      </c>
      <c r="D56" s="1078">
        <v>0</v>
      </c>
      <c r="E56" s="1078">
        <v>1</v>
      </c>
      <c r="F56" s="1078">
        <v>0</v>
      </c>
      <c r="G56" s="1078">
        <v>0</v>
      </c>
      <c r="H56" s="1078">
        <v>1</v>
      </c>
      <c r="I56" s="1078">
        <v>0</v>
      </c>
      <c r="J56" s="1078">
        <v>0</v>
      </c>
      <c r="K56" s="1078">
        <v>0</v>
      </c>
      <c r="L56" s="1078">
        <v>1</v>
      </c>
      <c r="M56" s="1078">
        <v>0</v>
      </c>
      <c r="N56" s="1078">
        <v>0</v>
      </c>
      <c r="O56" s="1078">
        <v>0</v>
      </c>
      <c r="P56" s="541">
        <v>0</v>
      </c>
    </row>
    <row r="57" spans="1:16">
      <c r="B57">
        <f t="shared" ref="B57:P57" si="18">SUMPRODUCT($A50:$A56,B50:B56)</f>
        <v>11</v>
      </c>
      <c r="C57">
        <f t="shared" si="18"/>
        <v>10</v>
      </c>
      <c r="D57">
        <f t="shared" si="18"/>
        <v>9</v>
      </c>
      <c r="E57">
        <f t="shared" si="18"/>
        <v>9</v>
      </c>
      <c r="F57">
        <f t="shared" si="18"/>
        <v>8</v>
      </c>
      <c r="G57">
        <f t="shared" si="18"/>
        <v>7</v>
      </c>
      <c r="H57">
        <f t="shared" si="18"/>
        <v>8</v>
      </c>
      <c r="I57">
        <f t="shared" si="18"/>
        <v>7</v>
      </c>
      <c r="J57">
        <f t="shared" si="18"/>
        <v>6</v>
      </c>
      <c r="K57">
        <f t="shared" si="18"/>
        <v>5</v>
      </c>
      <c r="L57">
        <f t="shared" si="18"/>
        <v>7</v>
      </c>
      <c r="M57">
        <f t="shared" si="18"/>
        <v>6</v>
      </c>
      <c r="N57">
        <f t="shared" si="18"/>
        <v>5</v>
      </c>
      <c r="O57">
        <f t="shared" si="18"/>
        <v>4</v>
      </c>
      <c r="P57">
        <f t="shared" si="18"/>
        <v>3</v>
      </c>
    </row>
    <row r="59" spans="1:16">
      <c r="A59" s="19" t="s">
        <v>1513</v>
      </c>
      <c r="B59">
        <f>B48</f>
        <v>3</v>
      </c>
      <c r="C59">
        <f>B59+1</f>
        <v>4</v>
      </c>
      <c r="D59">
        <f t="shared" ref="D59:J59" si="19">C59+1</f>
        <v>5</v>
      </c>
      <c r="E59">
        <f t="shared" si="19"/>
        <v>6</v>
      </c>
      <c r="F59">
        <f t="shared" si="19"/>
        <v>7</v>
      </c>
      <c r="G59">
        <f t="shared" si="19"/>
        <v>8</v>
      </c>
      <c r="H59">
        <f t="shared" si="19"/>
        <v>9</v>
      </c>
      <c r="I59">
        <f t="shared" si="19"/>
        <v>10</v>
      </c>
      <c r="J59">
        <f t="shared" si="19"/>
        <v>11</v>
      </c>
    </row>
    <row r="60" spans="1:16">
      <c r="A60" s="19" t="s">
        <v>100</v>
      </c>
      <c r="B60" s="1236">
        <f t="shared" ref="B60:J60" si="20">COUNTIF($B57:$BS57,B59)</f>
        <v>1</v>
      </c>
      <c r="C60" s="1152">
        <f t="shared" si="20"/>
        <v>1</v>
      </c>
      <c r="D60" s="1152">
        <f t="shared" si="20"/>
        <v>2</v>
      </c>
      <c r="E60" s="1152">
        <f t="shared" si="20"/>
        <v>2</v>
      </c>
      <c r="F60" s="1152">
        <f t="shared" si="20"/>
        <v>3</v>
      </c>
      <c r="G60" s="1152">
        <f t="shared" si="20"/>
        <v>2</v>
      </c>
      <c r="H60" s="1152">
        <f t="shared" si="20"/>
        <v>2</v>
      </c>
      <c r="I60" s="1152">
        <f t="shared" si="20"/>
        <v>1</v>
      </c>
      <c r="J60" s="1237">
        <f t="shared" si="20"/>
        <v>1</v>
      </c>
      <c r="K60" s="66">
        <f>SUM(B60:J60)</f>
        <v>15</v>
      </c>
    </row>
    <row r="61" spans="1:16">
      <c r="A61" s="19" t="s">
        <v>1707</v>
      </c>
      <c r="B61" s="656">
        <f>B60/$K60</f>
        <v>6.6666666666666666E-2</v>
      </c>
      <c r="C61" s="8">
        <f t="shared" ref="C61:J61" si="21">C60/$K60</f>
        <v>6.6666666666666666E-2</v>
      </c>
      <c r="D61" s="8">
        <f t="shared" si="21"/>
        <v>0.13333333333333333</v>
      </c>
      <c r="E61" s="8">
        <f t="shared" si="21"/>
        <v>0.13333333333333333</v>
      </c>
      <c r="F61" s="8">
        <f t="shared" si="21"/>
        <v>0.2</v>
      </c>
      <c r="G61" s="8">
        <f t="shared" si="21"/>
        <v>0.13333333333333333</v>
      </c>
      <c r="H61" s="8">
        <f t="shared" si="21"/>
        <v>0.13333333333333333</v>
      </c>
      <c r="I61" s="8">
        <f t="shared" si="21"/>
        <v>6.6666666666666666E-2</v>
      </c>
      <c r="J61" s="657">
        <f t="shared" si="21"/>
        <v>6.6666666666666666E-2</v>
      </c>
    </row>
    <row r="62" spans="1:16">
      <c r="A62" s="43" t="s">
        <v>2948</v>
      </c>
      <c r="B62" s="533">
        <f>B61</f>
        <v>6.6666666666666666E-2</v>
      </c>
      <c r="C62" s="1078">
        <f>B62+C61</f>
        <v>0.13333333333333333</v>
      </c>
      <c r="D62" s="1078">
        <f t="shared" ref="D62:J62" si="22">C62+D61</f>
        <v>0.26666666666666666</v>
      </c>
      <c r="E62" s="1078">
        <f t="shared" si="22"/>
        <v>0.4</v>
      </c>
      <c r="F62" s="1078">
        <f t="shared" si="22"/>
        <v>0.60000000000000009</v>
      </c>
      <c r="G62" s="1078">
        <f t="shared" si="22"/>
        <v>0.73333333333333339</v>
      </c>
      <c r="H62" s="1078">
        <f t="shared" si="22"/>
        <v>0.8666666666666667</v>
      </c>
      <c r="I62" s="1078">
        <f t="shared" si="22"/>
        <v>0.93333333333333335</v>
      </c>
      <c r="J62" s="541">
        <f t="shared" si="22"/>
        <v>1</v>
      </c>
    </row>
    <row r="66" spans="1:14">
      <c r="A66" s="25" t="s">
        <v>291</v>
      </c>
      <c r="B66" s="756">
        <v>1</v>
      </c>
      <c r="D66" t="s">
        <v>292</v>
      </c>
      <c r="E66" s="756">
        <v>4</v>
      </c>
      <c r="G66" t="s">
        <v>106</v>
      </c>
      <c r="H66" s="756">
        <f>B66+E66</f>
        <v>5</v>
      </c>
    </row>
    <row r="67" spans="1:14">
      <c r="A67" s="1"/>
    </row>
    <row r="68" spans="1:14">
      <c r="A68" s="25" t="s">
        <v>3358</v>
      </c>
      <c r="B68" s="756">
        <f>B66*(B66+1)/2</f>
        <v>1</v>
      </c>
      <c r="D68" t="s">
        <v>141</v>
      </c>
      <c r="E68" s="756">
        <f>E66*(E66+1)/2</f>
        <v>10</v>
      </c>
      <c r="G68" t="s">
        <v>142</v>
      </c>
      <c r="H68" s="756">
        <f>H66*(H66+1)/2</f>
        <v>15</v>
      </c>
      <c r="J68" t="s">
        <v>3359</v>
      </c>
      <c r="K68" s="756">
        <f>H68-E68</f>
        <v>5</v>
      </c>
      <c r="M68" t="s">
        <v>2781</v>
      </c>
      <c r="N68" s="756">
        <f>COMBIN(H66,E66)</f>
        <v>5</v>
      </c>
    </row>
    <row r="69" spans="1:14">
      <c r="A69" s="1"/>
    </row>
    <row r="70" spans="1:14">
      <c r="B70">
        <v>1</v>
      </c>
      <c r="C70">
        <f>B70+1</f>
        <v>2</v>
      </c>
      <c r="D70">
        <f t="shared" ref="D70:F70" si="23">C70+1</f>
        <v>3</v>
      </c>
      <c r="E70">
        <f t="shared" si="23"/>
        <v>4</v>
      </c>
      <c r="F70">
        <f t="shared" si="23"/>
        <v>5</v>
      </c>
    </row>
    <row r="71" spans="1:14">
      <c r="A71">
        <f>A70+1</f>
        <v>1</v>
      </c>
      <c r="B71" s="1236">
        <v>0</v>
      </c>
      <c r="C71" s="1152">
        <v>0</v>
      </c>
      <c r="D71" s="1152">
        <v>0</v>
      </c>
      <c r="E71" s="1152">
        <v>0</v>
      </c>
      <c r="F71" s="1237">
        <v>1</v>
      </c>
    </row>
    <row r="72" spans="1:14">
      <c r="A72">
        <f t="shared" ref="A72:A75" si="24">A71+1</f>
        <v>2</v>
      </c>
      <c r="B72" s="656">
        <v>0</v>
      </c>
      <c r="C72" s="8">
        <v>0</v>
      </c>
      <c r="D72" s="8">
        <v>0</v>
      </c>
      <c r="E72" s="8">
        <v>1</v>
      </c>
      <c r="F72" s="657">
        <v>0</v>
      </c>
    </row>
    <row r="73" spans="1:14">
      <c r="A73">
        <f t="shared" si="24"/>
        <v>3</v>
      </c>
      <c r="B73" s="656">
        <v>0</v>
      </c>
      <c r="C73" s="8">
        <v>0</v>
      </c>
      <c r="D73" s="8">
        <v>1</v>
      </c>
      <c r="E73" s="8">
        <v>0</v>
      </c>
      <c r="F73" s="657">
        <v>0</v>
      </c>
    </row>
    <row r="74" spans="1:14">
      <c r="A74">
        <f t="shared" si="24"/>
        <v>4</v>
      </c>
      <c r="B74" s="656">
        <v>0</v>
      </c>
      <c r="C74" s="8">
        <v>1</v>
      </c>
      <c r="D74" s="8">
        <v>0</v>
      </c>
      <c r="E74" s="8">
        <v>0</v>
      </c>
      <c r="F74" s="657">
        <v>0</v>
      </c>
    </row>
    <row r="75" spans="1:14">
      <c r="A75">
        <f t="shared" si="24"/>
        <v>5</v>
      </c>
      <c r="B75" s="533">
        <v>1</v>
      </c>
      <c r="C75" s="1078">
        <v>0</v>
      </c>
      <c r="D75" s="1078">
        <v>0</v>
      </c>
      <c r="E75" s="1078">
        <v>0</v>
      </c>
      <c r="F75" s="541">
        <v>0</v>
      </c>
    </row>
    <row r="76" spans="1:14">
      <c r="B76">
        <f>SUMPRODUCT($A70:$A75,B70:B75)</f>
        <v>5</v>
      </c>
      <c r="C76">
        <f>SUMPRODUCT($A70:$A75,C70:C75)</f>
        <v>4</v>
      </c>
      <c r="D76">
        <f>SUMPRODUCT($A70:$A75,D70:D75)</f>
        <v>3</v>
      </c>
      <c r="E76">
        <f>SUMPRODUCT($A70:$A75,E70:E75)</f>
        <v>2</v>
      </c>
      <c r="F76">
        <f>SUMPRODUCT($A70:$A75,F70:F75)</f>
        <v>1</v>
      </c>
    </row>
    <row r="78" spans="1:14">
      <c r="A78" s="19" t="s">
        <v>1513</v>
      </c>
      <c r="B78">
        <f>B68</f>
        <v>1</v>
      </c>
      <c r="C78">
        <f>B78+1</f>
        <v>2</v>
      </c>
      <c r="D78">
        <f t="shared" ref="D78:F78" si="25">C78+1</f>
        <v>3</v>
      </c>
      <c r="E78">
        <f t="shared" si="25"/>
        <v>4</v>
      </c>
      <c r="F78">
        <f t="shared" si="25"/>
        <v>5</v>
      </c>
    </row>
    <row r="79" spans="1:14">
      <c r="A79" s="19" t="s">
        <v>100</v>
      </c>
      <c r="B79" s="1236">
        <f>COUNTIF($B76:$BS76,B78)</f>
        <v>1</v>
      </c>
      <c r="C79" s="1152">
        <f>COUNTIF($B76:$BS76,C78)</f>
        <v>1</v>
      </c>
      <c r="D79" s="1152">
        <f>COUNTIF($B76:$BS76,D78)</f>
        <v>1</v>
      </c>
      <c r="E79" s="1152">
        <f>COUNTIF($B76:$BS76,E78)</f>
        <v>1</v>
      </c>
      <c r="F79" s="1237">
        <f>COUNTIF($B76:$BS76,F78)</f>
        <v>1</v>
      </c>
      <c r="G79" s="66">
        <f>SUM(B79:F79)</f>
        <v>5</v>
      </c>
    </row>
    <row r="80" spans="1:14">
      <c r="A80" s="19" t="s">
        <v>1707</v>
      </c>
      <c r="B80" s="656">
        <f>B79/$G79</f>
        <v>0.2</v>
      </c>
      <c r="C80" s="8">
        <f>C79/$G79</f>
        <v>0.2</v>
      </c>
      <c r="D80" s="8">
        <f>D79/$G79</f>
        <v>0.2</v>
      </c>
      <c r="E80" s="8">
        <f>E79/$G79</f>
        <v>0.2</v>
      </c>
      <c r="F80" s="657">
        <f>F79/$G79</f>
        <v>0.2</v>
      </c>
    </row>
    <row r="81" spans="1:6">
      <c r="A81" s="43" t="s">
        <v>2948</v>
      </c>
      <c r="B81" s="533">
        <f>B80</f>
        <v>0.2</v>
      </c>
      <c r="C81" s="1078">
        <f>B81+C80</f>
        <v>0.4</v>
      </c>
      <c r="D81" s="1078">
        <f t="shared" ref="D81:F81" si="26">C81+D80</f>
        <v>0.60000000000000009</v>
      </c>
      <c r="E81" s="1078">
        <f t="shared" si="26"/>
        <v>0.8</v>
      </c>
      <c r="F81" s="541">
        <f t="shared" si="26"/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sheetPr codeName="Sheet385"/>
  <dimension ref="A1:S43"/>
  <sheetViews>
    <sheetView topLeftCell="A19" workbookViewId="0">
      <selection activeCell="M33" sqref="M33"/>
    </sheetView>
  </sheetViews>
  <sheetFormatPr defaultRowHeight="14.4"/>
  <cols>
    <col min="1" max="1" width="4.88671875" customWidth="1"/>
    <col min="2" max="95" width="5.6640625" customWidth="1"/>
  </cols>
  <sheetData>
    <row r="1" spans="1:19">
      <c r="A1" s="1" t="s">
        <v>4201</v>
      </c>
    </row>
    <row r="2" spans="1:19">
      <c r="A2" s="1"/>
    </row>
    <row r="3" spans="1:19">
      <c r="A3" s="25" t="s">
        <v>291</v>
      </c>
      <c r="B3" s="756">
        <v>4</v>
      </c>
      <c r="D3" t="s">
        <v>292</v>
      </c>
      <c r="E3" s="756">
        <v>4</v>
      </c>
      <c r="G3" t="s">
        <v>106</v>
      </c>
      <c r="H3" s="756">
        <f>B3+E3</f>
        <v>8</v>
      </c>
    </row>
    <row r="4" spans="1:19">
      <c r="A4" s="1"/>
    </row>
    <row r="5" spans="1:19">
      <c r="A5" s="25" t="s">
        <v>3358</v>
      </c>
      <c r="B5" s="756">
        <f>B3*(B3+1)/2</f>
        <v>10</v>
      </c>
      <c r="D5" t="s">
        <v>141</v>
      </c>
      <c r="E5" s="756">
        <f>E3*(E3+1)/2</f>
        <v>10</v>
      </c>
      <c r="G5" t="s">
        <v>142</v>
      </c>
      <c r="H5" s="756">
        <f>H3*(H3+1)/2</f>
        <v>36</v>
      </c>
      <c r="J5" t="s">
        <v>3359</v>
      </c>
      <c r="K5" s="756">
        <f>H5-E5</f>
        <v>26</v>
      </c>
      <c r="M5" t="s">
        <v>2781</v>
      </c>
      <c r="N5" s="756">
        <f>COMBIN(H3,E3)</f>
        <v>70</v>
      </c>
    </row>
    <row r="6" spans="1:19">
      <c r="A6" s="1"/>
    </row>
    <row r="7" spans="1:19">
      <c r="A7" s="19" t="s">
        <v>1513</v>
      </c>
      <c r="B7">
        <v>10</v>
      </c>
      <c r="C7">
        <f>B7+1</f>
        <v>11</v>
      </c>
      <c r="D7">
        <f t="shared" ref="D7:R7" si="0">C7+1</f>
        <v>12</v>
      </c>
      <c r="E7">
        <f t="shared" si="0"/>
        <v>13</v>
      </c>
      <c r="F7">
        <f t="shared" si="0"/>
        <v>14</v>
      </c>
      <c r="G7">
        <f t="shared" si="0"/>
        <v>15</v>
      </c>
      <c r="H7">
        <f t="shared" si="0"/>
        <v>16</v>
      </c>
      <c r="I7">
        <f t="shared" si="0"/>
        <v>17</v>
      </c>
      <c r="J7">
        <f t="shared" si="0"/>
        <v>18</v>
      </c>
      <c r="K7">
        <f t="shared" si="0"/>
        <v>19</v>
      </c>
      <c r="L7">
        <f t="shared" si="0"/>
        <v>20</v>
      </c>
      <c r="M7">
        <f t="shared" si="0"/>
        <v>21</v>
      </c>
      <c r="N7">
        <f t="shared" si="0"/>
        <v>22</v>
      </c>
      <c r="O7">
        <f t="shared" si="0"/>
        <v>23</v>
      </c>
      <c r="P7">
        <f t="shared" si="0"/>
        <v>24</v>
      </c>
      <c r="Q7">
        <f t="shared" si="0"/>
        <v>25</v>
      </c>
      <c r="R7">
        <f t="shared" si="0"/>
        <v>26</v>
      </c>
    </row>
    <row r="8" spans="1:19">
      <c r="A8" s="19" t="s">
        <v>100</v>
      </c>
      <c r="B8" s="1236" t="e">
        <f ca="1">B9*$N$5</f>
        <v>#NAME?</v>
      </c>
      <c r="C8" s="1152" t="e">
        <f t="shared" ref="C8:R8" ca="1" si="1">C9*$N$5</f>
        <v>#NAME?</v>
      </c>
      <c r="D8" s="1152" t="e">
        <f t="shared" ca="1" si="1"/>
        <v>#NAME?</v>
      </c>
      <c r="E8" s="1152" t="e">
        <f t="shared" ca="1" si="1"/>
        <v>#NAME?</v>
      </c>
      <c r="F8" s="1152" t="e">
        <f t="shared" ca="1" si="1"/>
        <v>#NAME?</v>
      </c>
      <c r="G8" s="1152" t="e">
        <f t="shared" ca="1" si="1"/>
        <v>#NAME?</v>
      </c>
      <c r="H8" s="1152" t="e">
        <f t="shared" ca="1" si="1"/>
        <v>#NAME?</v>
      </c>
      <c r="I8" s="1152" t="e">
        <f t="shared" ca="1" si="1"/>
        <v>#NAME?</v>
      </c>
      <c r="J8" s="1152" t="e">
        <f t="shared" ca="1" si="1"/>
        <v>#NAME?</v>
      </c>
      <c r="K8" s="1152" t="e">
        <f t="shared" ca="1" si="1"/>
        <v>#NAME?</v>
      </c>
      <c r="L8" s="1152" t="e">
        <f t="shared" ca="1" si="1"/>
        <v>#NAME?</v>
      </c>
      <c r="M8" s="1152" t="e">
        <f t="shared" ca="1" si="1"/>
        <v>#NAME?</v>
      </c>
      <c r="N8" s="1152" t="e">
        <f t="shared" ca="1" si="1"/>
        <v>#NAME?</v>
      </c>
      <c r="O8" s="1152" t="e">
        <f t="shared" ca="1" si="1"/>
        <v>#NAME?</v>
      </c>
      <c r="P8" s="1152" t="e">
        <f t="shared" ca="1" si="1"/>
        <v>#NAME?</v>
      </c>
      <c r="Q8" s="1152" t="e">
        <f t="shared" ca="1" si="1"/>
        <v>#NAME?</v>
      </c>
      <c r="R8" s="1237" t="e">
        <f t="shared" ca="1" si="1"/>
        <v>#NAME?</v>
      </c>
      <c r="S8" s="66" t="e">
        <f ca="1">SUM(B8:R8)</f>
        <v>#NAME?</v>
      </c>
    </row>
    <row r="9" spans="1:19">
      <c r="A9" s="19" t="s">
        <v>1707</v>
      </c>
      <c r="B9" s="656" t="e">
        <f ca="1">[1]!PERM2DIST(B7,$B$3,$E$3,FALSE)</f>
        <v>#NAME?</v>
      </c>
      <c r="C9" s="8" t="e">
        <f ca="1">[1]!PERM2DIST(C7,$B$3,$E$3,FALSE)</f>
        <v>#NAME?</v>
      </c>
      <c r="D9" s="8" t="e">
        <f ca="1">[1]!PERM2DIST(D7,$B$3,$E$3,FALSE)</f>
        <v>#NAME?</v>
      </c>
      <c r="E9" s="8" t="e">
        <f ca="1">[1]!PERM2DIST(E7,$B$3,$E$3,FALSE)</f>
        <v>#NAME?</v>
      </c>
      <c r="F9" s="8" t="e">
        <f ca="1">[1]!PERM2DIST(F7,$B$3,$E$3,FALSE)</f>
        <v>#NAME?</v>
      </c>
      <c r="G9" s="8" t="e">
        <f ca="1">[1]!PERM2DIST(G7,$B$3,$E$3,FALSE)</f>
        <v>#NAME?</v>
      </c>
      <c r="H9" s="8" t="e">
        <f ca="1">[1]!PERM2DIST(H7,$B$3,$E$3,FALSE)</f>
        <v>#NAME?</v>
      </c>
      <c r="I9" s="8" t="e">
        <f ca="1">[1]!PERM2DIST(I7,$B$3,$E$3,FALSE)</f>
        <v>#NAME?</v>
      </c>
      <c r="J9" s="8" t="e">
        <f ca="1">[1]!PERM2DIST(J7,$B$3,$E$3,FALSE)</f>
        <v>#NAME?</v>
      </c>
      <c r="K9" s="8" t="e">
        <f ca="1">[1]!PERM2DIST(K7,$B$3,$E$3,FALSE)</f>
        <v>#NAME?</v>
      </c>
      <c r="L9" s="8" t="e">
        <f ca="1">[1]!PERM2DIST(L7,$B$3,$E$3,FALSE)</f>
        <v>#NAME?</v>
      </c>
      <c r="M9" s="8" t="e">
        <f ca="1">[1]!PERM2DIST(M7,$B$3,$E$3,FALSE)</f>
        <v>#NAME?</v>
      </c>
      <c r="N9" s="8" t="e">
        <f ca="1">[1]!PERM2DIST(N7,$B$3,$E$3,FALSE)</f>
        <v>#NAME?</v>
      </c>
      <c r="O9" s="8" t="e">
        <f ca="1">[1]!PERM2DIST(O7,$B$3,$E$3,FALSE)</f>
        <v>#NAME?</v>
      </c>
      <c r="P9" s="8" t="e">
        <f ca="1">[1]!PERM2DIST(P7,$B$3,$E$3,FALSE)</f>
        <v>#NAME?</v>
      </c>
      <c r="Q9" s="8" t="e">
        <f ca="1">[1]!PERM2DIST(Q7,$B$3,$E$3,FALSE)</f>
        <v>#NAME?</v>
      </c>
      <c r="R9" s="657" t="e">
        <f ca="1">[1]!PERM2DIST(R7,$B$3,$E$3,FALSE)</f>
        <v>#NAME?</v>
      </c>
    </row>
    <row r="10" spans="1:19">
      <c r="A10" s="43" t="s">
        <v>2948</v>
      </c>
      <c r="B10" s="533" t="e">
        <f ca="1">[1]!PERM2DIST(B7,$B$3,$E$3,TRUE)</f>
        <v>#NAME?</v>
      </c>
      <c r="C10" s="1078" t="e">
        <f ca="1">[1]!PERM2DIST(C7,$B$3,$E$3,TRUE)</f>
        <v>#NAME?</v>
      </c>
      <c r="D10" s="1078" t="e">
        <f ca="1">[1]!PERM2DIST(D7,$B$3,$E$3,TRUE)</f>
        <v>#NAME?</v>
      </c>
      <c r="E10" s="1078" t="e">
        <f ca="1">[1]!PERM2DIST(E7,$B$3,$E$3,TRUE)</f>
        <v>#NAME?</v>
      </c>
      <c r="F10" s="1078" t="e">
        <f ca="1">[1]!PERM2DIST(F7,$B$3,$E$3,TRUE)</f>
        <v>#NAME?</v>
      </c>
      <c r="G10" s="1078" t="e">
        <f ca="1">[1]!PERM2DIST(G7,$B$3,$E$3,TRUE)</f>
        <v>#NAME?</v>
      </c>
      <c r="H10" s="1078" t="e">
        <f ca="1">[1]!PERM2DIST(H7,$B$3,$E$3,TRUE)</f>
        <v>#NAME?</v>
      </c>
      <c r="I10" s="1078" t="e">
        <f ca="1">[1]!PERM2DIST(I7,$B$3,$E$3,TRUE)</f>
        <v>#NAME?</v>
      </c>
      <c r="J10" s="1078" t="e">
        <f ca="1">[1]!PERM2DIST(J7,$B$3,$E$3,TRUE)</f>
        <v>#NAME?</v>
      </c>
      <c r="K10" s="1078" t="e">
        <f ca="1">[1]!PERM2DIST(K7,$B$3,$E$3,TRUE)</f>
        <v>#NAME?</v>
      </c>
      <c r="L10" s="1078" t="e">
        <f ca="1">[1]!PERM2DIST(L7,$B$3,$E$3,TRUE)</f>
        <v>#NAME?</v>
      </c>
      <c r="M10" s="1078" t="e">
        <f ca="1">[1]!PERM2DIST(M7,$B$3,$E$3,TRUE)</f>
        <v>#NAME?</v>
      </c>
      <c r="N10" s="1078" t="e">
        <f ca="1">[1]!PERM2DIST(N7,$B$3,$E$3,TRUE)</f>
        <v>#NAME?</v>
      </c>
      <c r="O10" s="1078" t="e">
        <f ca="1">[1]!PERM2DIST(O7,$B$3,$E$3,TRUE)</f>
        <v>#NAME?</v>
      </c>
      <c r="P10" s="1078" t="e">
        <f ca="1">[1]!PERM2DIST(P7,$B$3,$E$3,TRUE)</f>
        <v>#NAME?</v>
      </c>
      <c r="Q10" s="1078" t="e">
        <f ca="1">[1]!PERM2DIST(Q7,$B$3,$E$3,TRUE)</f>
        <v>#NAME?</v>
      </c>
      <c r="R10" s="541" t="e">
        <f ca="1">[1]!PERM2DIST(R7,$B$3,$E$3,TRUE)</f>
        <v>#NAME?</v>
      </c>
    </row>
    <row r="14" spans="1:19">
      <c r="A14" s="25" t="s">
        <v>291</v>
      </c>
      <c r="B14" s="756">
        <v>3</v>
      </c>
      <c r="D14" t="s">
        <v>292</v>
      </c>
      <c r="E14" s="756">
        <v>4</v>
      </c>
      <c r="G14" t="s">
        <v>106</v>
      </c>
      <c r="H14" s="756">
        <f>B14+E14</f>
        <v>7</v>
      </c>
    </row>
    <row r="15" spans="1:19">
      <c r="A15" s="1"/>
    </row>
    <row r="16" spans="1:19">
      <c r="A16" s="25" t="s">
        <v>3358</v>
      </c>
      <c r="B16" s="756">
        <f>B14*(B14+1)/2</f>
        <v>6</v>
      </c>
      <c r="D16" t="s">
        <v>141</v>
      </c>
      <c r="E16" s="756">
        <f>E14*(E14+1)/2</f>
        <v>10</v>
      </c>
      <c r="G16" t="s">
        <v>142</v>
      </c>
      <c r="H16" s="756">
        <f>H14*(H14+1)/2</f>
        <v>28</v>
      </c>
      <c r="J16" t="s">
        <v>3359</v>
      </c>
      <c r="K16" s="756">
        <f>H16-E16</f>
        <v>18</v>
      </c>
      <c r="M16" t="s">
        <v>2781</v>
      </c>
      <c r="N16" s="756">
        <f>COMBIN(H14,E14)</f>
        <v>35</v>
      </c>
    </row>
    <row r="17" spans="1:15">
      <c r="A17" s="1"/>
    </row>
    <row r="18" spans="1:15">
      <c r="A18" s="19" t="s">
        <v>1513</v>
      </c>
      <c r="B18">
        <f>B16</f>
        <v>6</v>
      </c>
      <c r="C18">
        <f>B18+1</f>
        <v>7</v>
      </c>
      <c r="D18">
        <f t="shared" ref="D18:N18" si="2">C18+1</f>
        <v>8</v>
      </c>
      <c r="E18">
        <f t="shared" si="2"/>
        <v>9</v>
      </c>
      <c r="F18">
        <f t="shared" si="2"/>
        <v>10</v>
      </c>
      <c r="G18">
        <f t="shared" si="2"/>
        <v>11</v>
      </c>
      <c r="H18">
        <f t="shared" si="2"/>
        <v>12</v>
      </c>
      <c r="I18">
        <f t="shared" si="2"/>
        <v>13</v>
      </c>
      <c r="J18">
        <f t="shared" si="2"/>
        <v>14</v>
      </c>
      <c r="K18">
        <f t="shared" si="2"/>
        <v>15</v>
      </c>
      <c r="L18">
        <f t="shared" si="2"/>
        <v>16</v>
      </c>
      <c r="M18">
        <f t="shared" si="2"/>
        <v>17</v>
      </c>
      <c r="N18">
        <f t="shared" si="2"/>
        <v>18</v>
      </c>
    </row>
    <row r="19" spans="1:15">
      <c r="A19" s="19" t="s">
        <v>100</v>
      </c>
      <c r="B19" s="1236" t="e">
        <f ca="1">B20*$N$16</f>
        <v>#NAME?</v>
      </c>
      <c r="C19" s="1152" t="e">
        <f t="shared" ref="C19:N19" ca="1" si="3">C20*$N$16</f>
        <v>#NAME?</v>
      </c>
      <c r="D19" s="1152" t="e">
        <f t="shared" ca="1" si="3"/>
        <v>#NAME?</v>
      </c>
      <c r="E19" s="1152" t="e">
        <f t="shared" ca="1" si="3"/>
        <v>#NAME?</v>
      </c>
      <c r="F19" s="1152" t="e">
        <f t="shared" ca="1" si="3"/>
        <v>#NAME?</v>
      </c>
      <c r="G19" s="1152" t="e">
        <f t="shared" ca="1" si="3"/>
        <v>#NAME?</v>
      </c>
      <c r="H19" s="1152" t="e">
        <f t="shared" ca="1" si="3"/>
        <v>#NAME?</v>
      </c>
      <c r="I19" s="1152" t="e">
        <f t="shared" ca="1" si="3"/>
        <v>#NAME?</v>
      </c>
      <c r="J19" s="1152" t="e">
        <f t="shared" ca="1" si="3"/>
        <v>#NAME?</v>
      </c>
      <c r="K19" s="1152" t="e">
        <f t="shared" ca="1" si="3"/>
        <v>#NAME?</v>
      </c>
      <c r="L19" s="1152" t="e">
        <f t="shared" ca="1" si="3"/>
        <v>#NAME?</v>
      </c>
      <c r="M19" s="1152" t="e">
        <f t="shared" ca="1" si="3"/>
        <v>#NAME?</v>
      </c>
      <c r="N19" s="1237" t="e">
        <f t="shared" ca="1" si="3"/>
        <v>#NAME?</v>
      </c>
      <c r="O19" s="66" t="e">
        <f ca="1">SUM(B19:N19)</f>
        <v>#NAME?</v>
      </c>
    </row>
    <row r="20" spans="1:15">
      <c r="A20" s="19" t="s">
        <v>1707</v>
      </c>
      <c r="B20" s="656" t="e">
        <f ca="1">[1]!PERM2DIST(B18,$B$14,$E$14,FALSE)</f>
        <v>#NAME?</v>
      </c>
      <c r="C20" s="8" t="e">
        <f ca="1">[1]!PERM2DIST(C18,$B$14,$E$14,FALSE)</f>
        <v>#NAME?</v>
      </c>
      <c r="D20" s="8" t="e">
        <f ca="1">[1]!PERM2DIST(D18,$B$14,$E$14,FALSE)</f>
        <v>#NAME?</v>
      </c>
      <c r="E20" s="8" t="e">
        <f ca="1">[1]!PERM2DIST(E18,$B$14,$E$14,FALSE)</f>
        <v>#NAME?</v>
      </c>
      <c r="F20" s="8" t="e">
        <f ca="1">[1]!PERM2DIST(F18,$B$14,$E$14,FALSE)</f>
        <v>#NAME?</v>
      </c>
      <c r="G20" s="8" t="e">
        <f ca="1">[1]!PERM2DIST(G18,$B$14,$E$14,FALSE)</f>
        <v>#NAME?</v>
      </c>
      <c r="H20" s="8" t="e">
        <f ca="1">[1]!PERM2DIST(H18,$B$14,$E$14,FALSE)</f>
        <v>#NAME?</v>
      </c>
      <c r="I20" s="8" t="e">
        <f ca="1">[1]!PERM2DIST(I18,$B$14,$E$14,FALSE)</f>
        <v>#NAME?</v>
      </c>
      <c r="J20" s="8" t="e">
        <f ca="1">[1]!PERM2DIST(J18,$B$14,$E$14,FALSE)</f>
        <v>#NAME?</v>
      </c>
      <c r="K20" s="8" t="e">
        <f ca="1">[1]!PERM2DIST(K18,$B$14,$E$14,FALSE)</f>
        <v>#NAME?</v>
      </c>
      <c r="L20" s="8" t="e">
        <f ca="1">[1]!PERM2DIST(L18,$B$14,$E$14,FALSE)</f>
        <v>#NAME?</v>
      </c>
      <c r="M20" s="8" t="e">
        <f ca="1">[1]!PERM2DIST(M18,$B$14,$E$14,FALSE)</f>
        <v>#NAME?</v>
      </c>
      <c r="N20" s="657" t="e">
        <f ca="1">[1]!PERM2DIST(N18,$B$14,$E$14,FALSE)</f>
        <v>#NAME?</v>
      </c>
    </row>
    <row r="21" spans="1:15">
      <c r="A21" s="43" t="s">
        <v>2948</v>
      </c>
      <c r="B21" s="533" t="e">
        <f ca="1">[1]!PERM2DIST(B18,$B$14,$E$14,TRUE)</f>
        <v>#NAME?</v>
      </c>
      <c r="C21" s="1078" t="e">
        <f ca="1">[1]!PERM2DIST(C18,$B$14,$E$14,TRUE)</f>
        <v>#NAME?</v>
      </c>
      <c r="D21" s="1078" t="e">
        <f ca="1">[1]!PERM2DIST(D18,$B$14,$E$14,TRUE)</f>
        <v>#NAME?</v>
      </c>
      <c r="E21" s="1078" t="e">
        <f ca="1">[1]!PERM2DIST(E18,$B$14,$E$14,TRUE)</f>
        <v>#NAME?</v>
      </c>
      <c r="F21" s="1078" t="e">
        <f ca="1">[1]!PERM2DIST(F18,$B$14,$E$14,TRUE)</f>
        <v>#NAME?</v>
      </c>
      <c r="G21" s="1078" t="e">
        <f ca="1">[1]!PERM2DIST(G18,$B$14,$E$14,TRUE)</f>
        <v>#NAME?</v>
      </c>
      <c r="H21" s="1078" t="e">
        <f ca="1">[1]!PERM2DIST(H18,$B$14,$E$14,TRUE)</f>
        <v>#NAME?</v>
      </c>
      <c r="I21" s="1078" t="e">
        <f ca="1">[1]!PERM2DIST(I18,$B$14,$E$14,TRUE)</f>
        <v>#NAME?</v>
      </c>
      <c r="J21" s="1078" t="e">
        <f ca="1">[1]!PERM2DIST(J18,$B$14,$E$14,TRUE)</f>
        <v>#NAME?</v>
      </c>
      <c r="K21" s="1078" t="e">
        <f ca="1">[1]!PERM2DIST(K18,$B$14,$E$14,TRUE)</f>
        <v>#NAME?</v>
      </c>
      <c r="L21" s="1078" t="e">
        <f ca="1">[1]!PERM2DIST(L18,$B$14,$E$14,TRUE)</f>
        <v>#NAME?</v>
      </c>
      <c r="M21" s="1078" t="e">
        <f ca="1">[1]!PERM2DIST(M18,$B$14,$E$14,TRUE)</f>
        <v>#NAME?</v>
      </c>
      <c r="N21" s="541" t="e">
        <f ca="1">[1]!PERM2DIST(N18,$B$14,$E$14,TRUE)</f>
        <v>#NAME?</v>
      </c>
    </row>
    <row r="25" spans="1:15">
      <c r="A25" s="25" t="s">
        <v>291</v>
      </c>
      <c r="B25" s="756">
        <v>2</v>
      </c>
      <c r="D25" t="s">
        <v>292</v>
      </c>
      <c r="E25" s="756">
        <v>4</v>
      </c>
      <c r="G25" t="s">
        <v>106</v>
      </c>
      <c r="H25" s="756">
        <f>B25+E25</f>
        <v>6</v>
      </c>
    </row>
    <row r="26" spans="1:15">
      <c r="A26" s="1"/>
    </row>
    <row r="27" spans="1:15">
      <c r="A27" s="25" t="s">
        <v>3358</v>
      </c>
      <c r="B27" s="756">
        <f>B25*(B25+1)/2</f>
        <v>3</v>
      </c>
      <c r="D27" t="s">
        <v>141</v>
      </c>
      <c r="E27" s="756">
        <f>E25*(E25+1)/2</f>
        <v>10</v>
      </c>
      <c r="G27" t="s">
        <v>142</v>
      </c>
      <c r="H27" s="756">
        <f>H25*(H25+1)/2</f>
        <v>21</v>
      </c>
      <c r="J27" t="s">
        <v>3359</v>
      </c>
      <c r="K27" s="756">
        <f>H27-E27</f>
        <v>11</v>
      </c>
      <c r="M27" t="s">
        <v>2781</v>
      </c>
      <c r="N27" s="756">
        <f>COMBIN(H25,E25)</f>
        <v>15</v>
      </c>
    </row>
    <row r="28" spans="1:15">
      <c r="A28" s="1"/>
    </row>
    <row r="29" spans="1:15">
      <c r="A29" s="19" t="s">
        <v>1513</v>
      </c>
      <c r="B29">
        <f>B27</f>
        <v>3</v>
      </c>
      <c r="C29">
        <f>B29+1</f>
        <v>4</v>
      </c>
      <c r="D29">
        <f t="shared" ref="D29:J29" si="4">C29+1</f>
        <v>5</v>
      </c>
      <c r="E29">
        <f t="shared" si="4"/>
        <v>6</v>
      </c>
      <c r="F29">
        <f t="shared" si="4"/>
        <v>7</v>
      </c>
      <c r="G29">
        <f t="shared" si="4"/>
        <v>8</v>
      </c>
      <c r="H29">
        <f t="shared" si="4"/>
        <v>9</v>
      </c>
      <c r="I29">
        <f t="shared" si="4"/>
        <v>10</v>
      </c>
      <c r="J29">
        <f t="shared" si="4"/>
        <v>11</v>
      </c>
    </row>
    <row r="30" spans="1:15">
      <c r="A30" s="19" t="s">
        <v>100</v>
      </c>
      <c r="B30" s="1236" t="e">
        <f ca="1">B31*$N$27</f>
        <v>#NAME?</v>
      </c>
      <c r="C30" s="1152" t="e">
        <f t="shared" ref="C30:J30" ca="1" si="5">C31*$N$27</f>
        <v>#NAME?</v>
      </c>
      <c r="D30" s="1152" t="e">
        <f t="shared" ca="1" si="5"/>
        <v>#NAME?</v>
      </c>
      <c r="E30" s="1152" t="e">
        <f t="shared" ca="1" si="5"/>
        <v>#NAME?</v>
      </c>
      <c r="F30" s="1152" t="e">
        <f t="shared" ca="1" si="5"/>
        <v>#NAME?</v>
      </c>
      <c r="G30" s="1152" t="e">
        <f t="shared" ca="1" si="5"/>
        <v>#NAME?</v>
      </c>
      <c r="H30" s="1152" t="e">
        <f t="shared" ca="1" si="5"/>
        <v>#NAME?</v>
      </c>
      <c r="I30" s="1152" t="e">
        <f t="shared" ca="1" si="5"/>
        <v>#NAME?</v>
      </c>
      <c r="J30" s="1237" t="e">
        <f t="shared" ca="1" si="5"/>
        <v>#NAME?</v>
      </c>
      <c r="K30" s="66" t="e">
        <f ca="1">SUM(B30:J30)</f>
        <v>#NAME?</v>
      </c>
    </row>
    <row r="31" spans="1:15">
      <c r="A31" s="19" t="s">
        <v>1707</v>
      </c>
      <c r="B31" s="656" t="e">
        <f ca="1">[1]!PERM2DIST(B29,$B$25,$E$25,FALSE)</f>
        <v>#NAME?</v>
      </c>
      <c r="C31" s="8" t="e">
        <f ca="1">[1]!PERM2DIST(C29,$B$25,$E$25,FALSE)</f>
        <v>#NAME?</v>
      </c>
      <c r="D31" s="8" t="e">
        <f ca="1">[1]!PERM2DIST(D29,$B$25,$E$25,FALSE)</f>
        <v>#NAME?</v>
      </c>
      <c r="E31" s="8" t="e">
        <f ca="1">[1]!PERM2DIST(E29,$B$25,$E$25,FALSE)</f>
        <v>#NAME?</v>
      </c>
      <c r="F31" s="8" t="e">
        <f ca="1">[1]!PERM2DIST(F29,$B$25,$E$25,FALSE)</f>
        <v>#NAME?</v>
      </c>
      <c r="G31" s="8" t="e">
        <f ca="1">[1]!PERM2DIST(G29,$B$25,$E$25,FALSE)</f>
        <v>#NAME?</v>
      </c>
      <c r="H31" s="8" t="e">
        <f ca="1">[1]!PERM2DIST(H29,$B$25,$E$25,FALSE)</f>
        <v>#NAME?</v>
      </c>
      <c r="I31" s="8" t="e">
        <f ca="1">[1]!PERM2DIST(I29,$B$25,$E$25,FALSE)</f>
        <v>#NAME?</v>
      </c>
      <c r="J31" s="657" t="e">
        <f ca="1">[1]!PERM2DIST(J29,$B$25,$E$25,FALSE)</f>
        <v>#NAME?</v>
      </c>
    </row>
    <row r="32" spans="1:15">
      <c r="A32" s="43" t="s">
        <v>2948</v>
      </c>
      <c r="B32" s="533" t="e">
        <f ca="1">[1]!PERM2DIST(B29,$B$25,$E$25,TRUE)</f>
        <v>#NAME?</v>
      </c>
      <c r="C32" s="1078" t="e">
        <f ca="1">[1]!PERM2DIST(C29,$B$25,$E$25,TRUE)</f>
        <v>#NAME?</v>
      </c>
      <c r="D32" s="1078" t="e">
        <f ca="1">[1]!PERM2DIST(D29,$B$25,$E$25,TRUE)</f>
        <v>#NAME?</v>
      </c>
      <c r="E32" s="1078" t="e">
        <f ca="1">[1]!PERM2DIST(E29,$B$25,$E$25,TRUE)</f>
        <v>#NAME?</v>
      </c>
      <c r="F32" s="1078" t="e">
        <f ca="1">[1]!PERM2DIST(F29,$B$25,$E$25,TRUE)</f>
        <v>#NAME?</v>
      </c>
      <c r="G32" s="1078" t="e">
        <f ca="1">[1]!PERM2DIST(G29,$B$25,$E$25,TRUE)</f>
        <v>#NAME?</v>
      </c>
      <c r="H32" s="1078" t="e">
        <f ca="1">[1]!PERM2DIST(H29,$B$25,$E$25,TRUE)</f>
        <v>#NAME?</v>
      </c>
      <c r="I32" s="1078" t="e">
        <f ca="1">[1]!PERM2DIST(I29,$B$25,$E$25,TRUE)</f>
        <v>#NAME?</v>
      </c>
      <c r="J32" s="541" t="e">
        <f ca="1">[1]!PERM2DIST(J29,$B$25,$E$25,TRUE)</f>
        <v>#NAME?</v>
      </c>
    </row>
    <row r="36" spans="1:14">
      <c r="A36" s="25" t="s">
        <v>291</v>
      </c>
      <c r="B36" s="756">
        <v>1</v>
      </c>
      <c r="D36" t="s">
        <v>292</v>
      </c>
      <c r="E36" s="756">
        <v>4</v>
      </c>
      <c r="G36" t="s">
        <v>106</v>
      </c>
      <c r="H36" s="756">
        <f>B36+E36</f>
        <v>5</v>
      </c>
    </row>
    <row r="37" spans="1:14">
      <c r="A37" s="1"/>
    </row>
    <row r="38" spans="1:14">
      <c r="A38" s="25" t="s">
        <v>3358</v>
      </c>
      <c r="B38" s="756">
        <f>B36*(B36+1)/2</f>
        <v>1</v>
      </c>
      <c r="D38" t="s">
        <v>141</v>
      </c>
      <c r="E38" s="756">
        <f>E36*(E36+1)/2</f>
        <v>10</v>
      </c>
      <c r="G38" t="s">
        <v>142</v>
      </c>
      <c r="H38" s="756">
        <f>H36*(H36+1)/2</f>
        <v>15</v>
      </c>
      <c r="J38" t="s">
        <v>3359</v>
      </c>
      <c r="K38" s="756">
        <f>H38-E38</f>
        <v>5</v>
      </c>
      <c r="M38" t="s">
        <v>2781</v>
      </c>
      <c r="N38" s="756">
        <f>COMBIN(H36,E36)</f>
        <v>5</v>
      </c>
    </row>
    <row r="39" spans="1:14">
      <c r="A39" s="1"/>
    </row>
    <row r="40" spans="1:14">
      <c r="A40" s="19" t="s">
        <v>1513</v>
      </c>
      <c r="B40">
        <f>B38</f>
        <v>1</v>
      </c>
      <c r="C40">
        <f>B40+1</f>
        <v>2</v>
      </c>
      <c r="D40">
        <f t="shared" ref="D40:F40" si="6">C40+1</f>
        <v>3</v>
      </c>
      <c r="E40">
        <f t="shared" si="6"/>
        <v>4</v>
      </c>
      <c r="F40">
        <f t="shared" si="6"/>
        <v>5</v>
      </c>
    </row>
    <row r="41" spans="1:14">
      <c r="A41" s="19" t="s">
        <v>100</v>
      </c>
      <c r="B41" s="1236" t="e">
        <f ca="1">B42*$N$38</f>
        <v>#NAME?</v>
      </c>
      <c r="C41" s="1152" t="e">
        <f t="shared" ref="C41:F41" ca="1" si="7">C42*$N$38</f>
        <v>#NAME?</v>
      </c>
      <c r="D41" s="1152" t="e">
        <f t="shared" ca="1" si="7"/>
        <v>#NAME?</v>
      </c>
      <c r="E41" s="1152" t="e">
        <f t="shared" ca="1" si="7"/>
        <v>#NAME?</v>
      </c>
      <c r="F41" s="1237" t="e">
        <f t="shared" ca="1" si="7"/>
        <v>#NAME?</v>
      </c>
      <c r="G41" s="66" t="e">
        <f ca="1">SUM(B41:F41)</f>
        <v>#NAME?</v>
      </c>
    </row>
    <row r="42" spans="1:14">
      <c r="A42" s="19" t="s">
        <v>1707</v>
      </c>
      <c r="B42" s="656" t="e">
        <f ca="1">[1]!PERM2DIST(B40,$B$36,$E$36,FALSE)</f>
        <v>#NAME?</v>
      </c>
      <c r="C42" s="8" t="e">
        <f ca="1">[1]!PERM2DIST(C40,$B$36,$E$36,FALSE)</f>
        <v>#NAME?</v>
      </c>
      <c r="D42" s="8" t="e">
        <f ca="1">[1]!PERM2DIST(D40,$B$36,$E$36,FALSE)</f>
        <v>#NAME?</v>
      </c>
      <c r="E42" s="8" t="e">
        <f ca="1">[1]!PERM2DIST(E40,$B$36,$E$36,FALSE)</f>
        <v>#NAME?</v>
      </c>
      <c r="F42" s="657" t="e">
        <f ca="1">[1]!PERM2DIST(F40,$B$36,$E$36,FALSE)</f>
        <v>#NAME?</v>
      </c>
    </row>
    <row r="43" spans="1:14">
      <c r="A43" s="43" t="s">
        <v>2948</v>
      </c>
      <c r="B43" s="533" t="e">
        <f ca="1">[1]!PERM2DIST(B40,$B$36,$E$36,TRUE)</f>
        <v>#NAME?</v>
      </c>
      <c r="C43" s="1078" t="e">
        <f ca="1">[1]!PERM2DIST(C40,$B$36,$E$36,TRUE)</f>
        <v>#NAME?</v>
      </c>
      <c r="D43" s="1078" t="e">
        <f ca="1">[1]!PERM2DIST(D40,$B$36,$E$36,TRUE)</f>
        <v>#NAME?</v>
      </c>
      <c r="E43" s="1078" t="e">
        <f ca="1">[1]!PERM2DIST(E40,$B$36,$E$36,TRUE)</f>
        <v>#NAME?</v>
      </c>
      <c r="F43" s="541" t="e">
        <f ca="1">[1]!PERM2DIST(F40,$B$36,$E$36,TRUE)</f>
        <v>#NAME?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sheetPr codeName="Sheet209"/>
  <dimension ref="A1:AM25"/>
  <sheetViews>
    <sheetView workbookViewId="0"/>
  </sheetViews>
  <sheetFormatPr defaultRowHeight="14.4"/>
  <cols>
    <col min="3" max="3" width="5.44140625" customWidth="1"/>
    <col min="6" max="6" width="5.6640625" customWidth="1"/>
    <col min="11" max="11" width="3.109375" customWidth="1"/>
    <col min="12" max="12" width="22.44140625" customWidth="1"/>
    <col min="14" max="14" width="9.88671875" customWidth="1"/>
    <col min="20" max="20" width="10" customWidth="1"/>
    <col min="38" max="38" width="3.6640625" customWidth="1"/>
    <col min="39" max="39" width="29" customWidth="1"/>
  </cols>
  <sheetData>
    <row r="1" spans="1:39">
      <c r="A1" s="1" t="s">
        <v>1820</v>
      </c>
      <c r="N1" t="s">
        <v>2116</v>
      </c>
      <c r="T1" t="s">
        <v>4114</v>
      </c>
      <c r="Z1" t="s">
        <v>2116</v>
      </c>
      <c r="AK1" t="s">
        <v>4247</v>
      </c>
    </row>
    <row r="3" spans="1:39">
      <c r="A3" s="122" t="s">
        <v>1810</v>
      </c>
      <c r="D3" t="s">
        <v>548</v>
      </c>
      <c r="N3" t="s">
        <v>2709</v>
      </c>
      <c r="T3" t="s">
        <v>2709</v>
      </c>
      <c r="Z3" t="s">
        <v>219</v>
      </c>
      <c r="AK3" s="756" t="e">
        <f ca="1">[1]!MANNDIST(H11,H5,I5,2)</f>
        <v>#NAME?</v>
      </c>
      <c r="AM3" t="e">
        <f ca="1">[1]!FTEXT(AK3)</f>
        <v>#NAME?</v>
      </c>
    </row>
    <row r="4" spans="1:39">
      <c r="H4" s="19" t="s">
        <v>239</v>
      </c>
      <c r="I4" s="19" t="s">
        <v>240</v>
      </c>
    </row>
    <row r="5" spans="1:39" ht="15" thickBot="1">
      <c r="A5" s="687" t="s">
        <v>239</v>
      </c>
      <c r="B5" s="687" t="s">
        <v>240</v>
      </c>
      <c r="D5" s="687" t="s">
        <v>239</v>
      </c>
      <c r="E5" s="687" t="s">
        <v>240</v>
      </c>
      <c r="G5" t="s">
        <v>554</v>
      </c>
      <c r="H5" s="747">
        <f>COUNT(A6:A17)</f>
        <v>12</v>
      </c>
      <c r="I5" s="749">
        <f>COUNT(B6:B17)</f>
        <v>11</v>
      </c>
      <c r="O5" t="str">
        <f>A5</f>
        <v>Control</v>
      </c>
      <c r="P5" t="str">
        <f>B5</f>
        <v>Drug</v>
      </c>
      <c r="U5" t="str">
        <f>A5</f>
        <v>Control</v>
      </c>
      <c r="V5" t="str">
        <f>B5</f>
        <v>Drug</v>
      </c>
      <c r="Z5" t="s">
        <v>194</v>
      </c>
      <c r="AC5" t="s">
        <v>221</v>
      </c>
      <c r="AD5">
        <v>0</v>
      </c>
      <c r="AK5" s="756" t="e">
        <f ca="1">[1]!MANNINV(H9,H5,I5,2)</f>
        <v>#NAME?</v>
      </c>
      <c r="AM5" t="e">
        <f ca="1">[1]!FTEXT(AK5)</f>
        <v>#NAME?</v>
      </c>
    </row>
    <row r="6" spans="1:39" ht="15" thickTop="1">
      <c r="A6">
        <v>11</v>
      </c>
      <c r="B6">
        <v>34</v>
      </c>
      <c r="D6" t="e">
        <f ca="1">IF(A6&lt;&gt;"",[1]!RANK_AVG(A6,$A$6:$B$17,1),"")</f>
        <v>#NAME?</v>
      </c>
      <c r="E6" t="e">
        <f ca="1">IF(B6&lt;&gt;"",[1]!RANK_AVG(B6,$A$6:$B$17,1),"")</f>
        <v>#NAME?</v>
      </c>
      <c r="G6" t="s">
        <v>1813</v>
      </c>
      <c r="H6" s="656" t="e">
        <f ca="1">D18</f>
        <v>#NAME?</v>
      </c>
      <c r="I6" s="657" t="e">
        <f ca="1">E18</f>
        <v>#NAME?</v>
      </c>
      <c r="N6" t="s">
        <v>554</v>
      </c>
      <c r="O6" s="1232">
        <f>COUNT(A6:A17)</f>
        <v>12</v>
      </c>
      <c r="P6" s="1233">
        <f>COUNT(B6:B17)</f>
        <v>11</v>
      </c>
      <c r="T6" t="s">
        <v>554</v>
      </c>
      <c r="U6" s="1232">
        <f>COUNT(A6:A17)</f>
        <v>12</v>
      </c>
      <c r="V6" s="1233">
        <f>COUNT(B6:B17)</f>
        <v>11</v>
      </c>
      <c r="Z6" s="1151" t="s">
        <v>222</v>
      </c>
      <c r="AA6" s="1151" t="s">
        <v>88</v>
      </c>
      <c r="AB6" s="1151" t="s">
        <v>76</v>
      </c>
      <c r="AC6" s="1151" t="s">
        <v>223</v>
      </c>
      <c r="AD6" s="1151" t="s">
        <v>196</v>
      </c>
    </row>
    <row r="7" spans="1:39">
      <c r="A7">
        <v>15</v>
      </c>
      <c r="B7">
        <v>31</v>
      </c>
      <c r="D7" t="e">
        <f ca="1">IF(A7&lt;&gt;"",[1]!RANK_AVG(A7,$A$6:$B$17,1),"")</f>
        <v>#NAME?</v>
      </c>
      <c r="E7" t="e">
        <f ca="1">IF(B7&lt;&gt;"",[1]!RANK_AVG(B7,$A$6:$B$17,1),"")</f>
        <v>#NAME?</v>
      </c>
      <c r="G7" t="s">
        <v>1821</v>
      </c>
      <c r="H7" s="10" t="e">
        <f ca="1">H5*I5+H5*(H5+1)/2-H6</f>
        <v>#NAME?</v>
      </c>
      <c r="I7" s="12" t="e">
        <f ca="1">H5*I5+I5*(I5+1)/2-I6</f>
        <v>#NAME?</v>
      </c>
      <c r="N7" t="s">
        <v>1001</v>
      </c>
      <c r="O7" s="625">
        <f>MEDIAN(A6:A17)</f>
        <v>14.5</v>
      </c>
      <c r="P7" s="132">
        <f>MEDIAN(B6:B17)</f>
        <v>28</v>
      </c>
      <c r="T7" t="s">
        <v>1001</v>
      </c>
      <c r="U7" s="625">
        <f>MEDIAN(A6:A17)</f>
        <v>14.5</v>
      </c>
      <c r="V7" s="132">
        <f>MEDIAN(B6:B17)</f>
        <v>28</v>
      </c>
      <c r="Z7" t="str">
        <f>A5</f>
        <v>Control</v>
      </c>
      <c r="AA7">
        <f>COUNT(A6:A17)</f>
        <v>12</v>
      </c>
      <c r="AB7">
        <f>AVERAGE(A6:A17)</f>
        <v>17</v>
      </c>
      <c r="AC7">
        <f>VAR(A6:A17)</f>
        <v>80.909090909090907</v>
      </c>
      <c r="AK7" s="756" t="e">
        <f ca="1">[1]!MANN_EXACT(A6:A17,B6:B16)</f>
        <v>#NAME?</v>
      </c>
      <c r="AM7" t="e">
        <f ca="1">[1]!FTEXT(AK7)</f>
        <v>#NAME?</v>
      </c>
    </row>
    <row r="8" spans="1:39">
      <c r="A8">
        <v>9</v>
      </c>
      <c r="B8">
        <v>35</v>
      </c>
      <c r="D8" t="e">
        <f ca="1">IF(A8&lt;&gt;"",[1]!RANK_AVG(A8,$A$6:$B$17,1),"")</f>
        <v>#NAME?</v>
      </c>
      <c r="E8" t="e">
        <f ca="1">IF(B8&lt;&gt;"",[1]!RANK_AVG(B8,$A$6:$B$17,1),"")</f>
        <v>#NAME?</v>
      </c>
      <c r="N8" t="s">
        <v>1813</v>
      </c>
      <c r="O8" s="625" t="e">
        <f ca="1">[1]!RANK_SUM(A6:A17,B6:B17,1)</f>
        <v>#NAME?</v>
      </c>
      <c r="P8" s="132" t="e">
        <f ca="1">[1]!RANK_SUM(B6:B17,A6:A17,1)</f>
        <v>#NAME?</v>
      </c>
      <c r="T8" t="s">
        <v>1813</v>
      </c>
      <c r="U8" s="625" t="e">
        <f ca="1">[1]!RANK_SUM(A6:A17,B6:B17,1)</f>
        <v>#NAME?</v>
      </c>
      <c r="V8" s="132" t="e">
        <f ca="1">[1]!RANK_SUM(B6:B17,A6:A17,1)</f>
        <v>#NAME?</v>
      </c>
      <c r="Z8" t="str">
        <f>B5</f>
        <v>Drug</v>
      </c>
      <c r="AA8">
        <f>COUNT(B6:B17)</f>
        <v>11</v>
      </c>
      <c r="AB8">
        <f>AVERAGE(B6:B17)</f>
        <v>23.90909090909091</v>
      </c>
      <c r="AC8">
        <f>VAR(B6:B17)</f>
        <v>82.690909090909102</v>
      </c>
    </row>
    <row r="9" spans="1:39">
      <c r="A9">
        <v>4</v>
      </c>
      <c r="B9">
        <v>29</v>
      </c>
      <c r="D9" t="e">
        <f ca="1">IF(A9&lt;&gt;"",[1]!RANK_AVG(A9,$A$6:$B$17,1),"")</f>
        <v>#NAME?</v>
      </c>
      <c r="E9" t="e">
        <f ca="1">IF(B9&lt;&gt;"",[1]!RANK_AVG(B9,$A$6:$B$17,1),"")</f>
        <v>#NAME?</v>
      </c>
      <c r="G9" s="172" t="s">
        <v>157</v>
      </c>
      <c r="H9" s="542">
        <v>0.05</v>
      </c>
      <c r="L9" t="s">
        <v>1939</v>
      </c>
      <c r="N9" t="s">
        <v>1821</v>
      </c>
      <c r="O9" s="1075" t="e">
        <f ca="1">O6*P6+O6*(O6+1)/2-O8</f>
        <v>#NAME?</v>
      </c>
      <c r="P9" s="1077" t="e">
        <f ca="1">O6*P6+P6*(P6+1)/2-P8</f>
        <v>#NAME?</v>
      </c>
      <c r="T9" t="s">
        <v>1821</v>
      </c>
      <c r="U9" s="1075" t="e">
        <f ca="1">U6*V6+U6*(U6+1)/2-U8</f>
        <v>#NAME?</v>
      </c>
      <c r="V9" s="1077" t="e">
        <f ca="1">U6*V6+V6*(V6+1)/2-V8</f>
        <v>#NAME?</v>
      </c>
      <c r="Z9" s="1234" t="s">
        <v>225</v>
      </c>
      <c r="AA9" s="1234"/>
      <c r="AB9" s="1234"/>
      <c r="AC9" s="1234">
        <f>((AA7-1)*AC7+(AA8-1)*AC8)/(AA7+AA8-2)</f>
        <v>81.757575757575765</v>
      </c>
      <c r="AD9" s="1234">
        <f>ABS(AB7-AB8-AD5)/SQRT(AC9)</f>
        <v>0.76411179639367188</v>
      </c>
    </row>
    <row r="10" spans="1:39">
      <c r="A10">
        <v>34</v>
      </c>
      <c r="B10">
        <v>28</v>
      </c>
      <c r="D10" t="e">
        <f ca="1">IF(A10&lt;&gt;"",[1]!RANK_AVG(A10,$A$6:$B$17,1),"")</f>
        <v>#NAME?</v>
      </c>
      <c r="E10" t="e">
        <f ca="1">IF(B10&lt;&gt;"",[1]!RANK_AVG(B10,$A$6:$B$17,1),"")</f>
        <v>#NAME?</v>
      </c>
      <c r="G10" s="172" t="s">
        <v>1178</v>
      </c>
      <c r="H10" s="627">
        <v>2</v>
      </c>
    </row>
    <row r="11" spans="1:39" ht="15" thickBot="1">
      <c r="A11">
        <v>17</v>
      </c>
      <c r="B11">
        <v>12</v>
      </c>
      <c r="D11" t="e">
        <f ca="1">IF(A11&lt;&gt;"",[1]!RANK_AVG(A11,$A$6:$B$17,1),"")</f>
        <v>#NAME?</v>
      </c>
      <c r="E11" t="e">
        <f ca="1">IF(B11&lt;&gt;"",[1]!RANK_AVG(B11,$A$6:$B$17,1),"")</f>
        <v>#NAME?</v>
      </c>
      <c r="G11" s="172" t="s">
        <v>1821</v>
      </c>
      <c r="H11" s="627" t="e">
        <f ca="1">MIN(H7:I7)</f>
        <v>#NAME?</v>
      </c>
      <c r="J11" s="929" t="e">
        <f ca="1">[1]!MANN(A6:B17)</f>
        <v>#NAME?</v>
      </c>
      <c r="L11" s="23" t="s">
        <v>2583</v>
      </c>
      <c r="O11" s="19" t="s">
        <v>2722</v>
      </c>
      <c r="P11" s="19" t="s">
        <v>2723</v>
      </c>
      <c r="U11" s="19" t="s">
        <v>2722</v>
      </c>
      <c r="V11" s="19" t="s">
        <v>2723</v>
      </c>
      <c r="Z11" t="s">
        <v>228</v>
      </c>
      <c r="AD11" t="s">
        <v>116</v>
      </c>
      <c r="AE11">
        <v>0.05</v>
      </c>
    </row>
    <row r="12" spans="1:39" ht="15" thickTop="1">
      <c r="A12">
        <v>18</v>
      </c>
      <c r="B12">
        <v>18</v>
      </c>
      <c r="D12" t="e">
        <f ca="1">IF(A12&lt;&gt;"",[1]!RANK_AVG(A12,$A$6:$B$17,1),"")</f>
        <v>#NAME?</v>
      </c>
      <c r="E12" t="e">
        <f ca="1">IF(B12&lt;&gt;"",[1]!RANK_AVG(B12,$A$6:$B$17,1),"")</f>
        <v>#NAME?</v>
      </c>
      <c r="G12" s="66" t="s">
        <v>1822</v>
      </c>
      <c r="H12" s="627">
        <f>'Mann Table'!K14</f>
        <v>33</v>
      </c>
      <c r="J12" s="544" t="e">
        <f ca="1">[1]!MCRIT(H5,I5,H9,H10)</f>
        <v>#NAME?</v>
      </c>
      <c r="L12" s="23" t="s">
        <v>2106</v>
      </c>
      <c r="N12" t="s">
        <v>337</v>
      </c>
      <c r="O12" s="1138">
        <v>0.05</v>
      </c>
      <c r="T12" t="s">
        <v>337</v>
      </c>
      <c r="U12" s="1441">
        <v>0.05</v>
      </c>
      <c r="Z12" s="1151" t="s">
        <v>199</v>
      </c>
      <c r="AA12" s="1151" t="s">
        <v>1469</v>
      </c>
      <c r="AB12" s="1151" t="s">
        <v>264</v>
      </c>
      <c r="AC12" s="1151" t="s">
        <v>186</v>
      </c>
      <c r="AD12" s="1151" t="s">
        <v>200</v>
      </c>
      <c r="AE12" s="1151" t="s">
        <v>201</v>
      </c>
      <c r="AF12" s="1151" t="s">
        <v>103</v>
      </c>
      <c r="AG12" s="1151" t="s">
        <v>104</v>
      </c>
      <c r="AH12" s="1151" t="s">
        <v>948</v>
      </c>
      <c r="AI12" s="1151" t="s">
        <v>1478</v>
      </c>
    </row>
    <row r="13" spans="1:39">
      <c r="A13">
        <v>14</v>
      </c>
      <c r="B13">
        <v>30</v>
      </c>
      <c r="D13" t="e">
        <f ca="1">IF(A13&lt;&gt;"",[1]!RANK_AVG(A13,$A$6:$B$17,1),"")</f>
        <v>#NAME?</v>
      </c>
      <c r="E13" t="e">
        <f ca="1">IF(B13&lt;&gt;"",[1]!RANK_AVG(B13,$A$6:$B$17,1),"")</f>
        <v>#NAME?</v>
      </c>
      <c r="G13" s="66" t="s">
        <v>948</v>
      </c>
      <c r="H13" s="538" t="e">
        <f ca="1">IF(H11&lt;H12,"yes","no")</f>
        <v>#NAME?</v>
      </c>
      <c r="N13" t="s">
        <v>1821</v>
      </c>
      <c r="O13" s="946" t="e">
        <f ca="1">MIN(O9,P9)</f>
        <v>#NAME?</v>
      </c>
      <c r="T13" t="s">
        <v>1821</v>
      </c>
      <c r="U13" s="946" t="e">
        <f ca="1">MIN(U9,V9)</f>
        <v>#NAME?</v>
      </c>
      <c r="Z13" t="s">
        <v>203</v>
      </c>
      <c r="AA13">
        <f>SQRT(AC9*(1/AA7+1/AA8))</f>
        <v>3.774339438919565</v>
      </c>
      <c r="AB13">
        <f>(ABS(AB7-AB8-AD5))/AA13</f>
        <v>1.8305430714172048</v>
      </c>
      <c r="AC13">
        <f>AA7+AA8-2</f>
        <v>21</v>
      </c>
      <c r="AD13">
        <f>TDIST(AB13,AC13,1)</f>
        <v>4.0699273241060353E-2</v>
      </c>
      <c r="AE13">
        <f>TINV(AE11*2,AC13)</f>
        <v>1.7207429028118781</v>
      </c>
      <c r="AH13" s="1330" t="str">
        <f>IF(AD13&lt;AE11,"yes","no")</f>
        <v>yes</v>
      </c>
      <c r="AI13">
        <f>SQRT(AB13^2/(AB13^2+AC13))</f>
        <v>0.37095612899862523</v>
      </c>
    </row>
    <row r="14" spans="1:39">
      <c r="A14">
        <v>12</v>
      </c>
      <c r="B14">
        <v>14</v>
      </c>
      <c r="D14" t="e">
        <f ca="1">IF(A14&lt;&gt;"",[1]!RANK_AVG(A14,$A$6:$B$17,1),"")</f>
        <v>#NAME?</v>
      </c>
      <c r="E14" t="e">
        <f ca="1">IF(B14&lt;&gt;"",[1]!RANK_AVG(B14,$A$6:$B$17,1),"")</f>
        <v>#NAME?</v>
      </c>
      <c r="N14" t="s">
        <v>63</v>
      </c>
      <c r="O14" s="946">
        <f>O6*P6/2</f>
        <v>66</v>
      </c>
      <c r="T14" t="s">
        <v>63</v>
      </c>
      <c r="U14" s="946">
        <f>U6*V6/2</f>
        <v>66</v>
      </c>
      <c r="Z14" t="s">
        <v>204</v>
      </c>
      <c r="AA14">
        <f>AA13</f>
        <v>3.774339438919565</v>
      </c>
      <c r="AB14">
        <f>AB13</f>
        <v>1.8305430714172048</v>
      </c>
      <c r="AC14">
        <f>AC13</f>
        <v>21</v>
      </c>
      <c r="AD14">
        <f>TDIST(AB14,AC14,2)</f>
        <v>8.1398546482120707E-2</v>
      </c>
      <c r="AE14">
        <f>TINV(AE11,AC14)</f>
        <v>2.07961384472768</v>
      </c>
      <c r="AF14">
        <f>(AB7-AB8)-AE14*AA14</f>
        <v>-14.758259460969741</v>
      </c>
      <c r="AG14">
        <f>(AB7-AB8)+AE14*AA14</f>
        <v>0.94007764278792116</v>
      </c>
      <c r="AH14" s="1330" t="str">
        <f>IF(AD14&lt;AE11,"yes","no")</f>
        <v>no</v>
      </c>
      <c r="AI14">
        <f>AI13</f>
        <v>0.37095612899862523</v>
      </c>
    </row>
    <row r="15" spans="1:39">
      <c r="A15">
        <v>13</v>
      </c>
      <c r="B15">
        <v>22</v>
      </c>
      <c r="D15" t="e">
        <f ca="1">IF(A15&lt;&gt;"",[1]!RANK_AVG(A15,$A$6:$B$17,1),"")</f>
        <v>#NAME?</v>
      </c>
      <c r="E15" t="e">
        <f ca="1">IF(B15&lt;&gt;"",[1]!RANK_AVG(B15,$A$6:$B$17,1),"")</f>
        <v>#NAME?</v>
      </c>
      <c r="N15" t="s">
        <v>218</v>
      </c>
      <c r="O15" s="946">
        <f>SQRT(O14*(O6+P6+1)/6)</f>
        <v>16.248076809271922</v>
      </c>
      <c r="T15" t="s">
        <v>218</v>
      </c>
      <c r="U15" s="946" t="e">
        <f ca="1">SQRT(U14*((U6+V6)^3-(U6+V6)-[1]!TiesCorrection(A6:A17,B6:B17,2))/(6*((U6+V6)^2-(U6+V6))))</f>
        <v>#NAME?</v>
      </c>
      <c r="Z15" s="1234"/>
      <c r="AA15" s="1234"/>
      <c r="AB15" s="1234"/>
      <c r="AC15" s="1234"/>
      <c r="AD15" s="1234"/>
      <c r="AE15" s="1234"/>
      <c r="AF15" s="1234"/>
      <c r="AG15" s="1234"/>
      <c r="AH15" s="1234"/>
      <c r="AI15" s="1234"/>
    </row>
    <row r="16" spans="1:39" ht="15" thickBot="1">
      <c r="A16">
        <v>26</v>
      </c>
      <c r="B16">
        <v>10</v>
      </c>
      <c r="D16" t="e">
        <f ca="1">IF(A16&lt;&gt;"",[1]!RANK_AVG(A16,$A$6:$B$17,1),"")</f>
        <v>#NAME?</v>
      </c>
      <c r="E16" t="e">
        <f ca="1">IF(B16&lt;&gt;"",[1]!RANK_AVG(B16,$A$6:$B$17,1),"")</f>
        <v>#NAME?</v>
      </c>
      <c r="N16" t="s">
        <v>1730</v>
      </c>
      <c r="O16" s="946" t="e">
        <f ca="1">STANDARDIZE(O13,O14,O15)</f>
        <v>#NAME?</v>
      </c>
      <c r="T16" t="s">
        <v>1730</v>
      </c>
      <c r="U16" s="946" t="e">
        <f ca="1">STANDARDIZE(U13,U14,U15)</f>
        <v>#NAME?</v>
      </c>
      <c r="Z16" t="s">
        <v>233</v>
      </c>
      <c r="AD16" t="s">
        <v>116</v>
      </c>
      <c r="AE16">
        <f>AE11</f>
        <v>0.05</v>
      </c>
    </row>
    <row r="17" spans="1:35" ht="15" thickTop="1">
      <c r="A17" s="11">
        <v>31</v>
      </c>
      <c r="B17" s="11"/>
      <c r="D17" s="11" t="e">
        <f ca="1">IF(A17&lt;&gt;"",[1]!RANK_AVG(A17,$A$6:$B$17,1),"")</f>
        <v>#NAME?</v>
      </c>
      <c r="E17" s="11" t="str">
        <f>IF(B17&lt;&gt;"",[1]!RANK_AVG(B17,$A$6:$B$17,1),"")</f>
        <v/>
      </c>
      <c r="N17" t="s">
        <v>1478</v>
      </c>
      <c r="O17" s="946" t="e">
        <f ca="1">ABS(O16)/SQRT(O6+P6)</f>
        <v>#NAME?</v>
      </c>
      <c r="T17" t="s">
        <v>1478</v>
      </c>
      <c r="U17" s="946" t="e">
        <f ca="1">ABS(U16)/SQRT(U6+V6)</f>
        <v>#NAME?</v>
      </c>
      <c r="Z17" s="1151" t="s">
        <v>199</v>
      </c>
      <c r="AA17" s="1151" t="s">
        <v>1469</v>
      </c>
      <c r="AB17" s="1151" t="s">
        <v>264</v>
      </c>
      <c r="AC17" s="1151" t="s">
        <v>186</v>
      </c>
      <c r="AD17" s="1151" t="s">
        <v>200</v>
      </c>
      <c r="AE17" s="1151" t="s">
        <v>201</v>
      </c>
      <c r="AF17" s="1151" t="s">
        <v>103</v>
      </c>
      <c r="AG17" s="1151" t="s">
        <v>104</v>
      </c>
      <c r="AH17" s="1151" t="s">
        <v>948</v>
      </c>
      <c r="AI17" s="1151" t="s">
        <v>1478</v>
      </c>
    </row>
    <row r="18" spans="1:35">
      <c r="A18">
        <f>AVERAGE(A6:A17)</f>
        <v>17</v>
      </c>
      <c r="B18">
        <f>AVERAGE(B6:B17)</f>
        <v>23.90909090909091</v>
      </c>
      <c r="D18" t="e">
        <f ca="1">SUM(D6:D17)</f>
        <v>#NAME?</v>
      </c>
      <c r="E18" t="e">
        <f ca="1">SUM(E6:E17)</f>
        <v>#NAME?</v>
      </c>
      <c r="J18" s="1235">
        <v>32</v>
      </c>
      <c r="L18" t="s">
        <v>1821</v>
      </c>
      <c r="N18" t="s">
        <v>1822</v>
      </c>
      <c r="O18" s="1236">
        <f>O14+O15*NORMSINV(O12)-0.5</f>
        <v>38.774291929282967</v>
      </c>
      <c r="P18" s="1235">
        <f>O14+O15*NORMSINV(O12/2)-0.5</f>
        <v>33.654354635786561</v>
      </c>
      <c r="T18" t="s">
        <v>1822</v>
      </c>
      <c r="U18" s="1441" t="e">
        <f ca="1">U14+U15*NORMSINV(U12)-0.5</f>
        <v>#NAME?</v>
      </c>
      <c r="V18" s="1233" t="e">
        <f ca="1">U14+U15*NORMSINV(U12/2)-0.5</f>
        <v>#NAME?</v>
      </c>
      <c r="Z18" t="s">
        <v>203</v>
      </c>
      <c r="AA18">
        <f>SQRT(AC7/AA7+AC8/AA8)</f>
        <v>3.776212337028344</v>
      </c>
      <c r="AB18">
        <f>(ABS(AB7-AB8-AD5))/AA18</f>
        <v>1.8296351720856767</v>
      </c>
      <c r="AC18">
        <f>(AC7/AA7+AC8/AA8)^2/((AC7/AA7)^2/(AA7-1)+(AC8/AA8)^2/(AA8-1))</f>
        <v>20.783435398688827</v>
      </c>
      <c r="AD18">
        <f>TTEST(A6:A17,B6:B17,1,3)</f>
        <v>4.0843926219351213E-2</v>
      </c>
      <c r="AE18">
        <f>TINV(AE16*2,ROUND(AC18,0))</f>
        <v>1.7207429028118781</v>
      </c>
      <c r="AH18" s="1330" t="str">
        <f>IF(AD18&lt;AE16,"yes","no")</f>
        <v>yes</v>
      </c>
      <c r="AI18">
        <f>SQRT(AB18^2/(AB18^2+AC18))</f>
        <v>0.37245759802708889</v>
      </c>
    </row>
    <row r="19" spans="1:35">
      <c r="J19" s="627">
        <f>H12</f>
        <v>33</v>
      </c>
      <c r="L19" t="s">
        <v>1822</v>
      </c>
      <c r="N19" t="s">
        <v>200</v>
      </c>
      <c r="O19" s="656" t="e">
        <f ca="1">NORMSDIST(O16)</f>
        <v>#NAME?</v>
      </c>
      <c r="P19" s="627" t="e">
        <f ca="1">2*O19</f>
        <v>#NAME?</v>
      </c>
      <c r="T19" t="s">
        <v>200</v>
      </c>
      <c r="U19" s="946" t="e">
        <f ca="1">NORMSDIST(U16)</f>
        <v>#NAME?</v>
      </c>
      <c r="V19" s="132" t="e">
        <f ca="1">2*U19</f>
        <v>#NAME?</v>
      </c>
      <c r="Z19" t="s">
        <v>204</v>
      </c>
      <c r="AA19">
        <f>AA18</f>
        <v>3.776212337028344</v>
      </c>
      <c r="AB19">
        <f>AB18</f>
        <v>1.8296351720856767</v>
      </c>
      <c r="AC19">
        <f>AC18</f>
        <v>20.783435398688827</v>
      </c>
      <c r="AD19">
        <f>TTEST(A6:A17,B6:B17,2,3)</f>
        <v>8.1687852438702427E-2</v>
      </c>
      <c r="AE19">
        <f>TINV(AE16,ROUND(AC19,0))</f>
        <v>2.07961384472768</v>
      </c>
      <c r="AF19">
        <f>(AB7-AB8)-AE19*AA19</f>
        <v>-14.762154365806522</v>
      </c>
      <c r="AG19">
        <f>(AB7-AB8)+AE19*AA19</f>
        <v>0.94397254762470162</v>
      </c>
      <c r="AH19" s="1330" t="str">
        <f>IF(AD19&lt;AE16,"yes","no")</f>
        <v>no</v>
      </c>
      <c r="AI19">
        <f>AI18</f>
        <v>0.37245759802708889</v>
      </c>
    </row>
    <row r="20" spans="1:35">
      <c r="J20" s="544" t="e">
        <f ca="1">[1]!MPROB(J18,H5,I5,H10)</f>
        <v>#NAME?</v>
      </c>
      <c r="L20" s="23" t="s">
        <v>3717</v>
      </c>
      <c r="N20" t="s">
        <v>948</v>
      </c>
      <c r="O20" s="1244" t="e">
        <f ca="1">IF(O19&lt;O12,"yes","no")</f>
        <v>#NAME?</v>
      </c>
      <c r="P20" s="538" t="e">
        <f ca="1">IF(P19&lt;O12,"yes","no")</f>
        <v>#NAME?</v>
      </c>
      <c r="T20" t="s">
        <v>948</v>
      </c>
      <c r="U20" s="1074" t="e">
        <f ca="1">IF(U19&lt;U12,"yes","no")</f>
        <v>#NAME?</v>
      </c>
      <c r="V20" s="1333" t="e">
        <f ca="1">IF(V19&lt;U12,"yes","no")</f>
        <v>#NAME?</v>
      </c>
      <c r="Z20" s="1234"/>
      <c r="AA20" s="1234"/>
      <c r="AB20" s="1234"/>
      <c r="AC20" s="1234"/>
      <c r="AD20" s="1234"/>
      <c r="AE20" s="1234"/>
      <c r="AF20" s="1234"/>
      <c r="AG20" s="1234"/>
      <c r="AH20" s="1234"/>
      <c r="AI20" s="1234"/>
    </row>
    <row r="22" spans="1:35">
      <c r="N22" t="s">
        <v>1822</v>
      </c>
      <c r="O22" s="1138" t="e">
        <f ca="1">[1]!MCRIT(O6,P6,O12,1)</f>
        <v>#NAME?</v>
      </c>
      <c r="P22" s="1138" t="e">
        <f ca="1">[1]!MCRIT(O6,P6,O12,2)</f>
        <v>#NAME?</v>
      </c>
      <c r="T22" t="s">
        <v>1822</v>
      </c>
      <c r="U22" s="1441" t="e">
        <f ca="1">[1]!MCRIT(U6,V6,U12,1)</f>
        <v>#NAME?</v>
      </c>
      <c r="V22" s="1441" t="e">
        <f ca="1">[1]!MCRIT(U6,V6,U12,2)</f>
        <v>#NAME?</v>
      </c>
    </row>
    <row r="23" spans="1:35">
      <c r="N23" t="s">
        <v>4115</v>
      </c>
      <c r="O23" s="1074" t="e">
        <f ca="1">IF(O13&lt;O22,"yes","no")</f>
        <v>#NAME?</v>
      </c>
      <c r="P23" s="1074" t="e">
        <f ca="1">IF(O13&lt;P22,"yes","no")</f>
        <v>#NAME?</v>
      </c>
      <c r="T23" t="s">
        <v>4115</v>
      </c>
      <c r="U23" s="1074" t="e">
        <f ca="1">IF(U13&lt;U22,"yes","no")</f>
        <v>#NAME?</v>
      </c>
      <c r="V23" s="1074" t="e">
        <f ca="1">IF(U13&lt;V22,"yes","no")</f>
        <v>#NAME?</v>
      </c>
    </row>
    <row r="25" spans="1:35">
      <c r="N25" t="s">
        <v>3704</v>
      </c>
      <c r="O25" s="848" t="e">
        <f ca="1">[1]!MPROB(O13,O6,P6,1)</f>
        <v>#NAME?</v>
      </c>
      <c r="P25" s="756" t="e">
        <f ca="1">[1]!MPROB(O13,O6,P6,2)</f>
        <v>#NAME?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sheetPr codeName="Sheet210"/>
  <dimension ref="A1:AX21"/>
  <sheetViews>
    <sheetView workbookViewId="0"/>
  </sheetViews>
  <sheetFormatPr defaultRowHeight="14.4"/>
  <cols>
    <col min="1" max="17" width="5.109375" customWidth="1"/>
    <col min="18" max="18" width="6.44140625" customWidth="1"/>
    <col min="20" max="21" width="9.109375" customWidth="1"/>
    <col min="22" max="22" width="3.6640625" customWidth="1"/>
    <col min="23" max="23" width="27.6640625" customWidth="1"/>
    <col min="25" max="25" width="9.109375" customWidth="1"/>
    <col min="26" max="26" width="2.88671875" customWidth="1"/>
    <col min="27" max="27" width="22.88671875" customWidth="1"/>
    <col min="41" max="42" width="10.88671875" customWidth="1"/>
  </cols>
  <sheetData>
    <row r="1" spans="1:50">
      <c r="A1" s="123" t="s">
        <v>1820</v>
      </c>
    </row>
    <row r="3" spans="1:50">
      <c r="A3" s="25" t="s">
        <v>137</v>
      </c>
      <c r="J3" t="s">
        <v>1817</v>
      </c>
      <c r="S3" t="s">
        <v>1819</v>
      </c>
      <c r="AC3" t="s">
        <v>219</v>
      </c>
      <c r="AN3" t="s">
        <v>2709</v>
      </c>
      <c r="AT3" t="s">
        <v>3746</v>
      </c>
      <c r="AW3" t="s">
        <v>4102</v>
      </c>
    </row>
    <row r="5" spans="1:50" ht="15" thickBot="1">
      <c r="A5" t="s">
        <v>1815</v>
      </c>
      <c r="E5" t="s">
        <v>1816</v>
      </c>
      <c r="J5" t="s">
        <v>1815</v>
      </c>
      <c r="N5" t="s">
        <v>1816</v>
      </c>
      <c r="T5" s="19" t="s">
        <v>1818</v>
      </c>
      <c r="U5" s="19" t="s">
        <v>1816</v>
      </c>
      <c r="AC5" t="s">
        <v>194</v>
      </c>
      <c r="AF5" t="s">
        <v>221</v>
      </c>
      <c r="AG5">
        <v>0</v>
      </c>
      <c r="AO5" s="19" t="str">
        <f>A5</f>
        <v>Non-smokers</v>
      </c>
      <c r="AP5" s="19" t="str">
        <f>E5</f>
        <v>Smokers</v>
      </c>
      <c r="AT5" t="e">
        <f t="array" aca="1" ref="AT5:AU11" ca="1">[1]!MANN_TEST(A6:D15,E6:H15,TRUE,1)</f>
        <v>#NAME?</v>
      </c>
      <c r="AU5" s="1235" t="e">
        <f ca="1"/>
        <v>#NAME?</v>
      </c>
      <c r="AW5" t="e">
        <f t="array" aca="1" ref="AW5:AX11" ca="1">[1]!MANN_TEST(A6:D15,E6:H15,TRUE,1,0.05,FALSE)</f>
        <v>#NAME?</v>
      </c>
      <c r="AX5" s="1235" t="e">
        <f ca="1"/>
        <v>#NAME?</v>
      </c>
    </row>
    <row r="6" spans="1:50" ht="15" thickTop="1">
      <c r="A6" s="744">
        <v>81</v>
      </c>
      <c r="B6" s="745">
        <v>62</v>
      </c>
      <c r="C6" s="745">
        <v>90</v>
      </c>
      <c r="D6" s="745">
        <v>79</v>
      </c>
      <c r="E6" s="744">
        <v>72</v>
      </c>
      <c r="F6" s="745">
        <v>86</v>
      </c>
      <c r="G6" s="745">
        <v>77</v>
      </c>
      <c r="H6" s="746">
        <v>66</v>
      </c>
      <c r="J6" s="747" t="e">
        <f ca="1">IF(A6&lt;&gt;"",[1]!RANK_AVG(A6,$A$6:$H$15,1),"")</f>
        <v>#NAME?</v>
      </c>
      <c r="K6" s="748" t="e">
        <f ca="1">IF(B6&lt;&gt;"",[1]!RANK_AVG(B6,$A$6:$H$15,1),"")</f>
        <v>#NAME?</v>
      </c>
      <c r="L6" s="748" t="e">
        <f ca="1">IF(C6&lt;&gt;"",[1]!RANK_AVG(C6,$A$6:$H$15,1),"")</f>
        <v>#NAME?</v>
      </c>
      <c r="M6" s="748" t="e">
        <f ca="1">IF(D6&lt;&gt;"",[1]!RANK_AVG(D6,$A$6:$H$15,1),"")</f>
        <v>#NAME?</v>
      </c>
      <c r="N6" s="747" t="e">
        <f ca="1">IF(E6&lt;&gt;"",[1]!RANK_AVG(E6,$A$6:$H$15,1),"")</f>
        <v>#NAME?</v>
      </c>
      <c r="O6" s="748" t="e">
        <f ca="1">IF(F6&lt;&gt;"",[1]!RANK_AVG(F6,$A$6:$H$15,1),"")</f>
        <v>#NAME?</v>
      </c>
      <c r="P6" s="748" t="e">
        <f ca="1">IF(G6&lt;&gt;"",[1]!RANK_AVG(G6,$A$6:$H$15,1),"")</f>
        <v>#NAME?</v>
      </c>
      <c r="Q6" s="749" t="e">
        <f ca="1">IF(H6&lt;&gt;"",[1]!RANK_AVG(H6,$A$6:$H$15,1),"")</f>
        <v>#NAME?</v>
      </c>
      <c r="S6" t="s">
        <v>554</v>
      </c>
      <c r="T6" s="747">
        <f>COUNT(A6:D15)</f>
        <v>40</v>
      </c>
      <c r="U6" s="749">
        <f>COUNT(E6:H15)</f>
        <v>38</v>
      </c>
      <c r="W6" t="s">
        <v>3723</v>
      </c>
      <c r="AC6" s="1151" t="s">
        <v>222</v>
      </c>
      <c r="AD6" s="1151" t="s">
        <v>88</v>
      </c>
      <c r="AE6" s="1151" t="s">
        <v>76</v>
      </c>
      <c r="AF6" s="1151" t="s">
        <v>223</v>
      </c>
      <c r="AG6" s="1151" t="s">
        <v>196</v>
      </c>
      <c r="AN6" t="s">
        <v>554</v>
      </c>
      <c r="AO6" s="1232">
        <f>COUNT(A6:D15)</f>
        <v>40</v>
      </c>
      <c r="AP6" s="1233">
        <f>COUNT(E6:H15)</f>
        <v>38</v>
      </c>
      <c r="AT6" t="e">
        <f ca="1"/>
        <v>#NAME?</v>
      </c>
      <c r="AU6" s="627" t="e">
        <f ca="1"/>
        <v>#NAME?</v>
      </c>
      <c r="AW6" t="e">
        <f ca="1"/>
        <v>#NAME?</v>
      </c>
      <c r="AX6" s="627" t="e">
        <f ca="1"/>
        <v>#NAME?</v>
      </c>
    </row>
    <row r="7" spans="1:50">
      <c r="A7" s="656">
        <v>65</v>
      </c>
      <c r="B7" s="8">
        <v>86</v>
      </c>
      <c r="C7" s="8">
        <v>88</v>
      </c>
      <c r="D7" s="8">
        <v>72</v>
      </c>
      <c r="E7" s="656">
        <v>80</v>
      </c>
      <c r="F7" s="8">
        <v>35</v>
      </c>
      <c r="G7" s="8">
        <v>87</v>
      </c>
      <c r="H7" s="657">
        <v>79</v>
      </c>
      <c r="J7" s="656" t="e">
        <f ca="1">IF(A7&lt;&gt;"",[1]!RANK_AVG(A7,$A$6:$H$15,1),"")</f>
        <v>#NAME?</v>
      </c>
      <c r="K7" s="8" t="e">
        <f ca="1">IF(B7&lt;&gt;"",[1]!RANK_AVG(B7,$A$6:$H$15,1),"")</f>
        <v>#NAME?</v>
      </c>
      <c r="L7" s="8" t="e">
        <f ca="1">IF(C7&lt;&gt;"",[1]!RANK_AVG(C7,$A$6:$H$15,1),"")</f>
        <v>#NAME?</v>
      </c>
      <c r="M7" s="8" t="e">
        <f ca="1">IF(D7&lt;&gt;"",[1]!RANK_AVG(D7,$A$6:$H$15,1),"")</f>
        <v>#NAME?</v>
      </c>
      <c r="N7" s="656" t="e">
        <f ca="1">IF(E7&lt;&gt;"",[1]!RANK_AVG(E7,$A$6:$H$15,1),"")</f>
        <v>#NAME?</v>
      </c>
      <c r="O7" s="8" t="e">
        <f ca="1">IF(F7&lt;&gt;"",[1]!RANK_AVG(F7,$A$6:$H$15,1),"")</f>
        <v>#NAME?</v>
      </c>
      <c r="P7" s="8" t="e">
        <f ca="1">IF(G7&lt;&gt;"",[1]!RANK_AVG(G7,$A$6:$H$15,1),"")</f>
        <v>#NAME?</v>
      </c>
      <c r="Q7" s="657" t="e">
        <f ca="1">IF(H7&lt;&gt;"",[1]!RANK_AVG(H7,$A$6:$H$15,1),"")</f>
        <v>#NAME?</v>
      </c>
      <c r="S7" t="s">
        <v>1001</v>
      </c>
      <c r="T7" s="656">
        <f>MEDIAN(A6:D15)</f>
        <v>76.5</v>
      </c>
      <c r="U7" s="657">
        <f>MEDIAN(E6:H15)</f>
        <v>70.5</v>
      </c>
      <c r="W7" t="s">
        <v>3724</v>
      </c>
      <c r="AC7" t="str">
        <f>A5</f>
        <v>Non-smokers</v>
      </c>
      <c r="AD7">
        <f>COUNT(A6:D15)</f>
        <v>40</v>
      </c>
      <c r="AE7">
        <f>AVERAGE(A6:D15)</f>
        <v>77.674999999999997</v>
      </c>
      <c r="AF7">
        <f>VAR(A6:D15)</f>
        <v>133.35320512820499</v>
      </c>
      <c r="AN7" t="s">
        <v>1001</v>
      </c>
      <c r="AO7" s="625">
        <f>MEDIAN(A6:D15)</f>
        <v>76.5</v>
      </c>
      <c r="AP7" s="132">
        <f>MEDIAN(E6:H15)</f>
        <v>70.5</v>
      </c>
      <c r="AT7" t="e">
        <f ca="1"/>
        <v>#NAME?</v>
      </c>
      <c r="AU7" s="627" t="e">
        <f ca="1"/>
        <v>#NAME?</v>
      </c>
      <c r="AW7" t="e">
        <f ca="1"/>
        <v>#NAME?</v>
      </c>
      <c r="AX7" s="627" t="e">
        <f ca="1"/>
        <v>#NAME?</v>
      </c>
    </row>
    <row r="8" spans="1:50">
      <c r="A8" s="656">
        <v>89</v>
      </c>
      <c r="B8" s="8">
        <v>89</v>
      </c>
      <c r="C8" s="8">
        <v>74</v>
      </c>
      <c r="D8" s="8">
        <v>92</v>
      </c>
      <c r="E8" s="656">
        <v>63</v>
      </c>
      <c r="F8" s="8">
        <v>78</v>
      </c>
      <c r="G8" s="8">
        <v>77</v>
      </c>
      <c r="H8" s="657">
        <v>67</v>
      </c>
      <c r="J8" s="656" t="e">
        <f ca="1">IF(A8&lt;&gt;"",[1]!RANK_AVG(A8,$A$6:$H$15,1),"")</f>
        <v>#NAME?</v>
      </c>
      <c r="K8" s="8" t="e">
        <f ca="1">IF(B8&lt;&gt;"",[1]!RANK_AVG(B8,$A$6:$H$15,1),"")</f>
        <v>#NAME?</v>
      </c>
      <c r="L8" s="8" t="e">
        <f ca="1">IF(C8&lt;&gt;"",[1]!RANK_AVG(C8,$A$6:$H$15,1),"")</f>
        <v>#NAME?</v>
      </c>
      <c r="M8" s="8" t="e">
        <f ca="1">IF(D8&lt;&gt;"",[1]!RANK_AVG(D8,$A$6:$H$15,1),"")</f>
        <v>#NAME?</v>
      </c>
      <c r="N8" s="656" t="e">
        <f ca="1">IF(E8&lt;&gt;"",[1]!RANK_AVG(E8,$A$6:$H$15,1),"")</f>
        <v>#NAME?</v>
      </c>
      <c r="O8" s="8" t="e">
        <f ca="1">IF(F8&lt;&gt;"",[1]!RANK_AVG(F8,$A$6:$H$15,1),"")</f>
        <v>#NAME?</v>
      </c>
      <c r="P8" s="8" t="e">
        <f ca="1">IF(G8&lt;&gt;"",[1]!RANK_AVG(G8,$A$6:$H$15,1),"")</f>
        <v>#NAME?</v>
      </c>
      <c r="Q8" s="657" t="e">
        <f ca="1">IF(H8&lt;&gt;"",[1]!RANK_AVG(H8,$A$6:$H$15,1),"")</f>
        <v>#NAME?</v>
      </c>
      <c r="S8" t="s">
        <v>1813</v>
      </c>
      <c r="T8" s="656" t="e">
        <f ca="1">SUM(J6:M15)</f>
        <v>#NAME?</v>
      </c>
      <c r="U8" s="657" t="e">
        <f ca="1">SUM(N6:Q15)</f>
        <v>#NAME?</v>
      </c>
      <c r="W8" t="s">
        <v>3725</v>
      </c>
      <c r="AA8" t="str">
        <f>IF(H15&lt;&gt;"",[1]!RANK_AVG(H15,$A$6:$H$15,1),"")</f>
        <v/>
      </c>
      <c r="AC8" t="str">
        <f>E5</f>
        <v>Smokers</v>
      </c>
      <c r="AD8">
        <f>COUNT(E6:H15)</f>
        <v>38</v>
      </c>
      <c r="AE8">
        <f>AVERAGE(E6:H15)</f>
        <v>69.44736842105263</v>
      </c>
      <c r="AF8">
        <f>VAR(E6:H15)</f>
        <v>161.65931721194883</v>
      </c>
      <c r="AN8" t="s">
        <v>1813</v>
      </c>
      <c r="AO8" s="625" t="e">
        <f ca="1">[1]!RANK_SUM(A6:D15,E6:H15,1)</f>
        <v>#NAME?</v>
      </c>
      <c r="AP8" s="132" t="e">
        <f ca="1">[1]!RANK_SUM(E6:H15,A6:D15,1)</f>
        <v>#NAME?</v>
      </c>
      <c r="AT8" t="e">
        <f ca="1"/>
        <v>#NAME?</v>
      </c>
      <c r="AU8" s="627" t="e">
        <f ca="1"/>
        <v>#NAME?</v>
      </c>
      <c r="AW8" t="e">
        <f ca="1"/>
        <v>#NAME?</v>
      </c>
      <c r="AX8" s="627" t="e">
        <f ca="1"/>
        <v>#NAME?</v>
      </c>
    </row>
    <row r="9" spans="1:50">
      <c r="A9" s="656">
        <v>70</v>
      </c>
      <c r="B9" s="8">
        <v>75</v>
      </c>
      <c r="C9" s="8">
        <v>88</v>
      </c>
      <c r="D9" s="8">
        <v>77</v>
      </c>
      <c r="E9" s="656">
        <v>67</v>
      </c>
      <c r="F9" s="8">
        <v>72</v>
      </c>
      <c r="G9" s="8">
        <v>65</v>
      </c>
      <c r="H9" s="657">
        <v>65</v>
      </c>
      <c r="J9" s="656" t="e">
        <f ca="1">IF(A9&lt;&gt;"",[1]!RANK_AVG(A9,$A$6:$H$15,1),"")</f>
        <v>#NAME?</v>
      </c>
      <c r="K9" s="8" t="e">
        <f ca="1">IF(B9&lt;&gt;"",[1]!RANK_AVG(B9,$A$6:$H$15,1),"")</f>
        <v>#NAME?</v>
      </c>
      <c r="L9" s="8" t="e">
        <f ca="1">IF(C9&lt;&gt;"",[1]!RANK_AVG(C9,$A$6:$H$15,1),"")</f>
        <v>#NAME?</v>
      </c>
      <c r="M9" s="8" t="e">
        <f ca="1">IF(D9&lt;&gt;"",[1]!RANK_AVG(D9,$A$6:$H$15,1),"")</f>
        <v>#NAME?</v>
      </c>
      <c r="N9" s="656" t="e">
        <f ca="1">IF(E9&lt;&gt;"",[1]!RANK_AVG(E9,$A$6:$H$15,1),"")</f>
        <v>#NAME?</v>
      </c>
      <c r="O9" s="8" t="e">
        <f ca="1">IF(F9&lt;&gt;"",[1]!RANK_AVG(F9,$A$6:$H$15,1),"")</f>
        <v>#NAME?</v>
      </c>
      <c r="P9" s="8" t="e">
        <f ca="1">IF(G9&lt;&gt;"",[1]!RANK_AVG(G9,$A$6:$H$15,1),"")</f>
        <v>#NAME?</v>
      </c>
      <c r="Q9" s="657" t="e">
        <f ca="1">IF(H9&lt;&gt;"",[1]!RANK_AVG(H9,$A$6:$H$15,1),"")</f>
        <v>#NAME?</v>
      </c>
      <c r="S9" t="s">
        <v>1821</v>
      </c>
      <c r="T9" s="10" t="e">
        <f ca="1">T6*U6+T6*(T6+1)/2-T8</f>
        <v>#NAME?</v>
      </c>
      <c r="U9" s="12" t="e">
        <f ca="1">T6*U6+U6*(U6+1)/2-U8</f>
        <v>#NAME?</v>
      </c>
      <c r="W9" t="s">
        <v>3726</v>
      </c>
      <c r="Y9" s="756" t="e">
        <f ca="1">[1]!MANN(A6:D15,E6:H15)</f>
        <v>#NAME?</v>
      </c>
      <c r="AA9" s="23" t="s">
        <v>3309</v>
      </c>
      <c r="AC9" s="1234" t="s">
        <v>225</v>
      </c>
      <c r="AD9" s="1234"/>
      <c r="AE9" s="1234"/>
      <c r="AF9" s="1234">
        <f>((AD7-1)*AF7+(AD8-1)*AF8)/(AD7+AD8-2)</f>
        <v>147.13381232686976</v>
      </c>
      <c r="AG9" s="1234">
        <f>ABS(AE7-AE8-AG5)/SQRT(AF9)</f>
        <v>0.67829496363381436</v>
      </c>
      <c r="AN9" t="s">
        <v>1821</v>
      </c>
      <c r="AO9" s="1075" t="e">
        <f ca="1">AO6*AP6+AO6*(AO6+1)/2-AO8</f>
        <v>#NAME?</v>
      </c>
      <c r="AP9" s="1077" t="e">
        <f ca="1">AO6*AP6+AP6*(AP6+1)/2-AP8</f>
        <v>#NAME?</v>
      </c>
      <c r="AT9" t="e">
        <f ca="1"/>
        <v>#NAME?</v>
      </c>
      <c r="AU9" s="627" t="e">
        <f ca="1"/>
        <v>#NAME?</v>
      </c>
      <c r="AW9" t="e">
        <f ca="1"/>
        <v>#NAME?</v>
      </c>
      <c r="AX9" s="627" t="e">
        <f ca="1"/>
        <v>#NAME?</v>
      </c>
    </row>
    <row r="10" spans="1:50">
      <c r="A10" s="656">
        <v>87</v>
      </c>
      <c r="B10" s="8">
        <v>76</v>
      </c>
      <c r="C10" s="8">
        <v>90</v>
      </c>
      <c r="D10" s="8">
        <v>45</v>
      </c>
      <c r="E10" s="656">
        <v>69</v>
      </c>
      <c r="F10" s="8">
        <v>75</v>
      </c>
      <c r="G10" s="8">
        <v>90</v>
      </c>
      <c r="H10" s="657">
        <v>76</v>
      </c>
      <c r="J10" s="656" t="e">
        <f ca="1">IF(A10&lt;&gt;"",[1]!RANK_AVG(A10,$A$6:$H$15,1),"")</f>
        <v>#NAME?</v>
      </c>
      <c r="K10" s="8" t="e">
        <f ca="1">IF(B10&lt;&gt;"",[1]!RANK_AVG(B10,$A$6:$H$15,1),"")</f>
        <v>#NAME?</v>
      </c>
      <c r="L10" s="8" t="e">
        <f ca="1">IF(C10&lt;&gt;"",[1]!RANK_AVG(C10,$A$6:$H$15,1),"")</f>
        <v>#NAME?</v>
      </c>
      <c r="M10" s="8" t="e">
        <f ca="1">IF(D10&lt;&gt;"",[1]!RANK_AVG(D10,$A$6:$H$15,1),"")</f>
        <v>#NAME?</v>
      </c>
      <c r="N10" s="656" t="e">
        <f ca="1">IF(E10&lt;&gt;"",[1]!RANK_AVG(E10,$A$6:$H$15,1),"")</f>
        <v>#NAME?</v>
      </c>
      <c r="O10" s="8" t="e">
        <f ca="1">IF(F10&lt;&gt;"",[1]!RANK_AVG(F10,$A$6:$H$15,1),"")</f>
        <v>#NAME?</v>
      </c>
      <c r="P10" s="8" t="e">
        <f ca="1">IF(G10&lt;&gt;"",[1]!RANK_AVG(G10,$A$6:$H$15,1),"")</f>
        <v>#NAME?</v>
      </c>
      <c r="Q10" s="657" t="e">
        <f ca="1">IF(H10&lt;&gt;"",[1]!RANK_AVG(H10,$A$6:$H$15,1),"")</f>
        <v>#NAME?</v>
      </c>
      <c r="W10" t="s">
        <v>2031</v>
      </c>
      <c r="AT10" t="e">
        <f ca="1"/>
        <v>#NAME?</v>
      </c>
      <c r="AU10" s="627" t="e">
        <f ca="1"/>
        <v>#NAME?</v>
      </c>
      <c r="AW10" t="e">
        <f ca="1"/>
        <v>#NAME?</v>
      </c>
      <c r="AX10" s="627" t="e">
        <f ca="1"/>
        <v>#NAME?</v>
      </c>
    </row>
    <row r="11" spans="1:50" ht="15" thickBot="1">
      <c r="A11" s="656">
        <v>61</v>
      </c>
      <c r="B11" s="8">
        <v>69</v>
      </c>
      <c r="C11" s="8">
        <v>87</v>
      </c>
      <c r="D11" s="8">
        <v>75</v>
      </c>
      <c r="E11" s="656">
        <v>62</v>
      </c>
      <c r="F11" s="8">
        <v>73</v>
      </c>
      <c r="G11" s="8">
        <v>55</v>
      </c>
      <c r="H11" s="657">
        <v>70</v>
      </c>
      <c r="J11" s="656" t="e">
        <f ca="1">IF(A11&lt;&gt;"",[1]!RANK_AVG(A11,$A$6:$H$15,1),"")</f>
        <v>#NAME?</v>
      </c>
      <c r="K11" s="8" t="e">
        <f ca="1">IF(B11&lt;&gt;"",[1]!RANK_AVG(B11,$A$6:$H$15,1),"")</f>
        <v>#NAME?</v>
      </c>
      <c r="L11" s="8" t="e">
        <f ca="1">IF(C11&lt;&gt;"",[1]!RANK_AVG(C11,$A$6:$H$15,1),"")</f>
        <v>#NAME?</v>
      </c>
      <c r="M11" s="8" t="e">
        <f ca="1">IF(D11&lt;&gt;"",[1]!RANK_AVG(D11,$A$6:$H$15,1),"")</f>
        <v>#NAME?</v>
      </c>
      <c r="N11" s="656" t="e">
        <f ca="1">IF(E11&lt;&gt;"",[1]!RANK_AVG(E11,$A$6:$H$15,1),"")</f>
        <v>#NAME?</v>
      </c>
      <c r="O11" s="8" t="e">
        <f ca="1">IF(F11&lt;&gt;"",[1]!RANK_AVG(F11,$A$6:$H$15,1),"")</f>
        <v>#NAME?</v>
      </c>
      <c r="P11" s="8" t="e">
        <f ca="1">IF(G11&lt;&gt;"",[1]!RANK_AVG(G11,$A$6:$H$15,1),"")</f>
        <v>#NAME?</v>
      </c>
      <c r="Q11" s="657" t="e">
        <f ca="1">IF(H11&lt;&gt;"",[1]!RANK_AVG(H11,$A$6:$H$15,1),"")</f>
        <v>#NAME?</v>
      </c>
      <c r="S11" s="172" t="s">
        <v>157</v>
      </c>
      <c r="T11" s="1235">
        <v>0.05</v>
      </c>
      <c r="AC11" t="s">
        <v>228</v>
      </c>
      <c r="AG11" t="s">
        <v>116</v>
      </c>
      <c r="AH11">
        <v>0.05</v>
      </c>
      <c r="AO11" s="19" t="s">
        <v>2722</v>
      </c>
      <c r="AP11" s="19" t="s">
        <v>2723</v>
      </c>
      <c r="AT11" t="e">
        <f ca="1"/>
        <v>#NAME?</v>
      </c>
      <c r="AU11" s="544" t="e">
        <f ca="1"/>
        <v>#NAME?</v>
      </c>
      <c r="AW11" t="e">
        <f ca="1"/>
        <v>#NAME?</v>
      </c>
      <c r="AX11" s="544" t="e">
        <f ca="1"/>
        <v>#NAME?</v>
      </c>
    </row>
    <row r="12" spans="1:50" ht="15" thickTop="1">
      <c r="A12" s="656">
        <v>94</v>
      </c>
      <c r="B12" s="8">
        <v>69</v>
      </c>
      <c r="C12" s="8">
        <v>95</v>
      </c>
      <c r="D12" s="8">
        <v>70</v>
      </c>
      <c r="E12" s="656">
        <v>67</v>
      </c>
      <c r="F12" s="8">
        <v>71</v>
      </c>
      <c r="G12" s="8">
        <v>69</v>
      </c>
      <c r="H12" s="657">
        <v>64</v>
      </c>
      <c r="J12" s="656" t="e">
        <f ca="1">IF(A12&lt;&gt;"",[1]!RANK_AVG(A12,$A$6:$H$15,1),"")</f>
        <v>#NAME?</v>
      </c>
      <c r="K12" s="8" t="e">
        <f ca="1">IF(B12&lt;&gt;"",[1]!RANK_AVG(B12,$A$6:$H$15,1),"")</f>
        <v>#NAME?</v>
      </c>
      <c r="L12" s="8" t="e">
        <f ca="1">IF(C12&lt;&gt;"",[1]!RANK_AVG(C12,$A$6:$H$15,1),"")</f>
        <v>#NAME?</v>
      </c>
      <c r="M12" s="8" t="e">
        <f ca="1">IF(D12&lt;&gt;"",[1]!RANK_AVG(D12,$A$6:$H$15,1),"")</f>
        <v>#NAME?</v>
      </c>
      <c r="N12" s="656" t="e">
        <f ca="1">IF(E12&lt;&gt;"",[1]!RANK_AVG(E12,$A$6:$H$15,1),"")</f>
        <v>#NAME?</v>
      </c>
      <c r="O12" s="8" t="e">
        <f ca="1">IF(F12&lt;&gt;"",[1]!RANK_AVG(F12,$A$6:$H$15,1),"")</f>
        <v>#NAME?</v>
      </c>
      <c r="P12" s="8" t="e">
        <f ca="1">IF(G12&lt;&gt;"",[1]!RANK_AVG(G12,$A$6:$H$15,1),"")</f>
        <v>#NAME?</v>
      </c>
      <c r="Q12" s="657" t="e">
        <f ca="1">IF(H12&lt;&gt;"",[1]!RANK_AVG(H12,$A$6:$H$15,1),"")</f>
        <v>#NAME?</v>
      </c>
      <c r="S12" s="172" t="s">
        <v>1178</v>
      </c>
      <c r="T12" s="627">
        <v>1</v>
      </c>
      <c r="AC12" s="1151" t="s">
        <v>199</v>
      </c>
      <c r="AD12" s="1151" t="s">
        <v>1469</v>
      </c>
      <c r="AE12" s="1151" t="s">
        <v>264</v>
      </c>
      <c r="AF12" s="1151" t="s">
        <v>186</v>
      </c>
      <c r="AG12" s="1151" t="s">
        <v>200</v>
      </c>
      <c r="AH12" s="1151" t="s">
        <v>201</v>
      </c>
      <c r="AI12" s="1151" t="s">
        <v>103</v>
      </c>
      <c r="AJ12" s="1151" t="s">
        <v>104</v>
      </c>
      <c r="AK12" s="1151" t="s">
        <v>948</v>
      </c>
      <c r="AL12" s="1151" t="s">
        <v>1478</v>
      </c>
      <c r="AN12" t="s">
        <v>337</v>
      </c>
      <c r="AO12" s="1138">
        <v>0.05</v>
      </c>
    </row>
    <row r="13" spans="1:50">
      <c r="A13" s="656">
        <v>98</v>
      </c>
      <c r="B13" s="8">
        <v>61</v>
      </c>
      <c r="C13" s="8">
        <v>66</v>
      </c>
      <c r="D13" s="8">
        <v>91</v>
      </c>
      <c r="E13" s="656">
        <v>62</v>
      </c>
      <c r="F13" s="8">
        <v>78</v>
      </c>
      <c r="G13" s="8">
        <v>91</v>
      </c>
      <c r="H13" s="657">
        <v>64</v>
      </c>
      <c r="J13" s="656" t="e">
        <f ca="1">IF(A13&lt;&gt;"",[1]!RANK_AVG(A13,$A$6:$H$15,1),"")</f>
        <v>#NAME?</v>
      </c>
      <c r="K13" s="8" t="e">
        <f ca="1">IF(B13&lt;&gt;"",[1]!RANK_AVG(B13,$A$6:$H$15,1),"")</f>
        <v>#NAME?</v>
      </c>
      <c r="L13" s="8" t="e">
        <f ca="1">IF(C13&lt;&gt;"",[1]!RANK_AVG(C13,$A$6:$H$15,1),"")</f>
        <v>#NAME?</v>
      </c>
      <c r="M13" s="8" t="e">
        <f ca="1">IF(D13&lt;&gt;"",[1]!RANK_AVG(D13,$A$6:$H$15,1),"")</f>
        <v>#NAME?</v>
      </c>
      <c r="N13" s="656" t="e">
        <f ca="1">IF(E13&lt;&gt;"",[1]!RANK_AVG(E13,$A$6:$H$15,1),"")</f>
        <v>#NAME?</v>
      </c>
      <c r="O13" s="8" t="e">
        <f ca="1">IF(F13&lt;&gt;"",[1]!RANK_AVG(F13,$A$6:$H$15,1),"")</f>
        <v>#NAME?</v>
      </c>
      <c r="P13" s="8" t="e">
        <f ca="1">IF(G13&lt;&gt;"",[1]!RANK_AVG(G13,$A$6:$H$15,1),"")</f>
        <v>#NAME?</v>
      </c>
      <c r="Q13" s="657" t="e">
        <f ca="1">IF(H13&lt;&gt;"",[1]!RANK_AVG(H13,$A$6:$H$15,1),"")</f>
        <v>#NAME?</v>
      </c>
      <c r="S13" s="172" t="s">
        <v>1821</v>
      </c>
      <c r="T13" s="627" t="e">
        <f ca="1">MIN(T9:U9)</f>
        <v>#NAME?</v>
      </c>
      <c r="W13" t="s">
        <v>3727</v>
      </c>
      <c r="AC13" t="s">
        <v>203</v>
      </c>
      <c r="AD13">
        <f>SQRT(AF9*(1/AD7+1/AD8))</f>
        <v>2.7477786915663733</v>
      </c>
      <c r="AE13">
        <f>(ABS(AE7-AE8-AG5))/AD13</f>
        <v>2.9942846577128086</v>
      </c>
      <c r="AF13">
        <f>AD7+AD8-2</f>
        <v>76</v>
      </c>
      <c r="AG13">
        <f>TDIST(AE13,AF13,1)</f>
        <v>1.855508793985649E-3</v>
      </c>
      <c r="AH13">
        <f>TINV(AH11*2,AF13)</f>
        <v>1.6651513534046942</v>
      </c>
      <c r="AK13" s="1350" t="str">
        <f>IF(AG13&lt;AH11,"yes","no")</f>
        <v>yes</v>
      </c>
      <c r="AL13">
        <f>SQRT(AE13^2/(AE13^2+AF13))</f>
        <v>0.32484124131214032</v>
      </c>
      <c r="AN13" t="s">
        <v>1821</v>
      </c>
      <c r="AO13" s="946" t="e">
        <f ca="1">MIN(AO9,AP9)</f>
        <v>#NAME?</v>
      </c>
    </row>
    <row r="14" spans="1:50">
      <c r="A14" s="656">
        <v>81</v>
      </c>
      <c r="B14" s="8">
        <v>72</v>
      </c>
      <c r="C14" s="8">
        <v>72</v>
      </c>
      <c r="D14" s="8">
        <v>73</v>
      </c>
      <c r="E14" s="656">
        <v>71</v>
      </c>
      <c r="F14" s="8">
        <v>80</v>
      </c>
      <c r="G14" s="8">
        <v>30</v>
      </c>
      <c r="H14" s="657"/>
      <c r="J14" s="656" t="e">
        <f ca="1">IF(A14&lt;&gt;"",[1]!RANK_AVG(A14,$A$6:$H$15,1),"")</f>
        <v>#NAME?</v>
      </c>
      <c r="K14" s="8" t="e">
        <f ca="1">IF(B14&lt;&gt;"",[1]!RANK_AVG(B14,$A$6:$H$15,1),"")</f>
        <v>#NAME?</v>
      </c>
      <c r="L14" s="8" t="e">
        <f ca="1">IF(C14&lt;&gt;"",[1]!RANK_AVG(C14,$A$6:$H$15,1),"")</f>
        <v>#NAME?</v>
      </c>
      <c r="M14" s="8" t="e">
        <f ca="1">IF(D14&lt;&gt;"",[1]!RANK_AVG(D14,$A$6:$H$15,1),"")</f>
        <v>#NAME?</v>
      </c>
      <c r="N14" s="656" t="e">
        <f ca="1">IF(E14&lt;&gt;"",[1]!RANK_AVG(E14,$A$6:$H$15,1),"")</f>
        <v>#NAME?</v>
      </c>
      <c r="O14" s="8" t="e">
        <f ca="1">IF(F14&lt;&gt;"",[1]!RANK_AVG(F14,$A$6:$H$15,1),"")</f>
        <v>#NAME?</v>
      </c>
      <c r="P14" s="8" t="e">
        <f ca="1">IF(G14&lt;&gt;"",[1]!RANK_AVG(G14,$A$6:$H$15,1),"")</f>
        <v>#NAME?</v>
      </c>
      <c r="Q14" s="657" t="str">
        <f>IF(H14&lt;&gt;"",[1]!RANK_AVG(H14,$A$6:$H$15,1),"")</f>
        <v/>
      </c>
      <c r="S14" s="66" t="s">
        <v>63</v>
      </c>
      <c r="T14" s="627">
        <f>T6*U6/2</f>
        <v>760</v>
      </c>
      <c r="W14" t="s">
        <v>3728</v>
      </c>
      <c r="AC14" t="s">
        <v>204</v>
      </c>
      <c r="AD14">
        <f>AD13</f>
        <v>2.7477786915663733</v>
      </c>
      <c r="AE14">
        <f>AE13</f>
        <v>2.9942846577128086</v>
      </c>
      <c r="AF14">
        <f>AF13</f>
        <v>76</v>
      </c>
      <c r="AG14">
        <f>TDIST(AE14,AF14,2)</f>
        <v>3.711017587971298E-3</v>
      </c>
      <c r="AH14">
        <f>TINV(AH11,AF14)</f>
        <v>1.991672609644662</v>
      </c>
      <c r="AI14">
        <f>(AE7-AE8)-AH14*AD14</f>
        <v>2.7549560215893738</v>
      </c>
      <c r="AJ14">
        <f>(AE7-AE8)+AH14*AD14</f>
        <v>13.70030713630536</v>
      </c>
      <c r="AK14" s="1350" t="str">
        <f>IF(AG14&lt;AH11,"yes","no")</f>
        <v>yes</v>
      </c>
      <c r="AL14">
        <f>AL13</f>
        <v>0.32484124131214032</v>
      </c>
      <c r="AN14" t="s">
        <v>63</v>
      </c>
      <c r="AO14" s="946">
        <f>AO6*AP6/2</f>
        <v>760</v>
      </c>
    </row>
    <row r="15" spans="1:50">
      <c r="A15" s="10">
        <v>70</v>
      </c>
      <c r="B15" s="11">
        <v>77</v>
      </c>
      <c r="C15" s="11">
        <v>84</v>
      </c>
      <c r="D15" s="11">
        <v>67</v>
      </c>
      <c r="E15" s="10">
        <v>70</v>
      </c>
      <c r="F15" s="11">
        <v>45</v>
      </c>
      <c r="G15" s="11">
        <v>71</v>
      </c>
      <c r="H15" s="12"/>
      <c r="J15" s="10" t="e">
        <f ca="1">IF(A15&lt;&gt;"",[1]!RANK_AVG(A15,$A$6:$H$15,1),"")</f>
        <v>#NAME?</v>
      </c>
      <c r="K15" s="11" t="e">
        <f ca="1">IF(B15&lt;&gt;"",[1]!RANK_AVG(B15,$A$6:$H$15,1),"")</f>
        <v>#NAME?</v>
      </c>
      <c r="L15" s="11" t="e">
        <f ca="1">IF(C15&lt;&gt;"",[1]!RANK_AVG(C15,$A$6:$H$15,1),"")</f>
        <v>#NAME?</v>
      </c>
      <c r="M15" s="11" t="e">
        <f ca="1">IF(D15&lt;&gt;"",[1]!RANK_AVG(D15,$A$6:$H$15,1),"")</f>
        <v>#NAME?</v>
      </c>
      <c r="N15" s="10" t="e">
        <f ca="1">IF(E15&lt;&gt;"",[1]!RANK_AVG(E15,$A$6:$H$15,1),"")</f>
        <v>#NAME?</v>
      </c>
      <c r="O15" s="11" t="e">
        <f ca="1">IF(F15&lt;&gt;"",[1]!RANK_AVG(F15,$A$6:$H$15,1),"")</f>
        <v>#NAME?</v>
      </c>
      <c r="P15" s="11" t="e">
        <f ca="1">IF(G15&lt;&gt;"",[1]!RANK_AVG(G15,$A$6:$H$15,1),"")</f>
        <v>#NAME?</v>
      </c>
      <c r="Q15" s="12" t="str">
        <f>IF(H15&lt;&gt;"",[1]!RANK_AVG(H15,$A$6:$H$15,1),"")</f>
        <v/>
      </c>
      <c r="S15" s="66" t="s">
        <v>1533</v>
      </c>
      <c r="T15" s="699">
        <f>T14*(T6+U6+1)/6</f>
        <v>10006.666666666666</v>
      </c>
      <c r="W15" t="s">
        <v>3729</v>
      </c>
      <c r="AC15" s="1234"/>
      <c r="AD15" s="1234"/>
      <c r="AE15" s="1234"/>
      <c r="AF15" s="1234"/>
      <c r="AG15" s="1234"/>
      <c r="AH15" s="1234"/>
      <c r="AI15" s="1234"/>
      <c r="AJ15" s="1234"/>
      <c r="AK15" s="1234"/>
      <c r="AL15" s="1234"/>
      <c r="AN15" t="s">
        <v>218</v>
      </c>
      <c r="AO15" s="946">
        <f>SQRT(AO14*(AO6+AP6+1)/6)</f>
        <v>100.03332777962885</v>
      </c>
    </row>
    <row r="16" spans="1:50" ht="15" thickBot="1">
      <c r="S16" s="66" t="s">
        <v>218</v>
      </c>
      <c r="T16" s="627">
        <f>SQRT(T15)</f>
        <v>100.03332777962885</v>
      </c>
      <c r="W16" t="s">
        <v>3730</v>
      </c>
      <c r="AC16" t="s">
        <v>233</v>
      </c>
      <c r="AG16" t="s">
        <v>116</v>
      </c>
      <c r="AH16">
        <f>AH11</f>
        <v>0.05</v>
      </c>
      <c r="AN16" t="s">
        <v>1730</v>
      </c>
      <c r="AO16" s="946" t="e">
        <f ca="1">STANDARDIZE(AO13,AO14,AO15)</f>
        <v>#NAME?</v>
      </c>
    </row>
    <row r="17" spans="19:42" ht="15" thickTop="1">
      <c r="S17" s="66" t="s">
        <v>1730</v>
      </c>
      <c r="T17" s="627" t="e">
        <f ca="1">(T13-T14)/T16</f>
        <v>#NAME?</v>
      </c>
      <c r="W17" t="s">
        <v>3731</v>
      </c>
      <c r="Y17" s="1235" t="e">
        <f ca="1">NORMSINV(Y18)</f>
        <v>#NAME?</v>
      </c>
      <c r="AA17" s="23" t="s">
        <v>2585</v>
      </c>
      <c r="AC17" s="1151" t="s">
        <v>199</v>
      </c>
      <c r="AD17" s="1151" t="s">
        <v>1469</v>
      </c>
      <c r="AE17" s="1151" t="s">
        <v>264</v>
      </c>
      <c r="AF17" s="1151" t="s">
        <v>186</v>
      </c>
      <c r="AG17" s="1151" t="s">
        <v>200</v>
      </c>
      <c r="AH17" s="1151" t="s">
        <v>201</v>
      </c>
      <c r="AI17" s="1151" t="s">
        <v>103</v>
      </c>
      <c r="AJ17" s="1151" t="s">
        <v>104</v>
      </c>
      <c r="AK17" s="1151" t="s">
        <v>948</v>
      </c>
      <c r="AL17" s="1151" t="s">
        <v>1478</v>
      </c>
      <c r="AN17" t="s">
        <v>1478</v>
      </c>
      <c r="AO17" s="946" t="e">
        <f ca="1">ABS(AO16)/SQRT(AO6+AP6)</f>
        <v>#NAME?</v>
      </c>
    </row>
    <row r="18" spans="19:42">
      <c r="S18" s="66" t="s">
        <v>1822</v>
      </c>
      <c r="T18" s="627">
        <f>T14+T16*NORMSINV(T11)-0.5</f>
        <v>594.95981798565197</v>
      </c>
      <c r="W18" s="23" t="s">
        <v>4042</v>
      </c>
      <c r="Y18" s="627" t="e">
        <f ca="1">[1]!MTEST(A6:D15,E6:H15)</f>
        <v>#NAME?</v>
      </c>
      <c r="AA18" s="23" t="s">
        <v>3308</v>
      </c>
      <c r="AC18" t="s">
        <v>203</v>
      </c>
      <c r="AD18">
        <f>SQRT(AF7/AD7+AF8/AD8)</f>
        <v>2.7546365797350298</v>
      </c>
      <c r="AE18">
        <f>(ABS(AE7-AE8-AG5))/AD18</f>
        <v>2.9868301464793543</v>
      </c>
      <c r="AF18">
        <f>(AF7/AD7+AF8/AD8)^2/((AF7/AD7)^2/(AD7-1)+(AF8/AD8)^2/(AD8-1))</f>
        <v>74.378329123802331</v>
      </c>
      <c r="AG18">
        <f>TTEST(A6:D15,E6:H15,1,3)</f>
        <v>1.9078580664936271E-3</v>
      </c>
      <c r="AH18">
        <f>TINV(AH16*2,ROUND(AF18,0))</f>
        <v>1.6657068927340244</v>
      </c>
      <c r="AK18" s="1350" t="str">
        <f>IF(AG18&lt;AH16,"yes","no")</f>
        <v>yes</v>
      </c>
      <c r="AL18">
        <f>SQRT(AE18^2/(AE18^2+AF18))</f>
        <v>0.32725732182104256</v>
      </c>
      <c r="AN18" t="s">
        <v>1822</v>
      </c>
      <c r="AO18" s="1138">
        <f>AO14+AO15*NORMSINV(AO12)-0.5</f>
        <v>594.95981798565197</v>
      </c>
      <c r="AP18" s="1233">
        <f>AO14+AO15*NORMSINV(AO12/2)-0.5</f>
        <v>563.43828029823737</v>
      </c>
    </row>
    <row r="19" spans="19:42">
      <c r="S19" s="66" t="s">
        <v>200</v>
      </c>
      <c r="T19" s="627" t="e">
        <f ca="1">NORMSDIST(T17)</f>
        <v>#NAME?</v>
      </c>
      <c r="W19" t="s">
        <v>3732</v>
      </c>
      <c r="Y19" s="627" t="e">
        <f ca="1">[1]!MTEST(A6:D15,E6:H15,2)</f>
        <v>#NAME?</v>
      </c>
      <c r="AA19" s="23" t="s">
        <v>3474</v>
      </c>
      <c r="AC19" t="s">
        <v>204</v>
      </c>
      <c r="AD19">
        <f>AD18</f>
        <v>2.7546365797350298</v>
      </c>
      <c r="AE19">
        <f>AE18</f>
        <v>2.9868301464793543</v>
      </c>
      <c r="AF19">
        <f>AF18</f>
        <v>74.378329123802331</v>
      </c>
      <c r="AG19">
        <f>TTEST(A6:D15,E6:H15,2,3)</f>
        <v>3.8157161329872543E-3</v>
      </c>
      <c r="AH19">
        <f>TINV(AH16,ROUND(AF19,0))</f>
        <v>1.992543495180934</v>
      </c>
      <c r="AI19">
        <f>(AE7-AE8)-AH19*AD19</f>
        <v>2.7388983804088776</v>
      </c>
      <c r="AJ19">
        <f>(AE7-AE8)+AH19*AD19</f>
        <v>13.716364777485857</v>
      </c>
      <c r="AK19" s="1350" t="str">
        <f>IF(AG19&lt;AH16,"yes","no")</f>
        <v>yes</v>
      </c>
      <c r="AL19">
        <f>AL18</f>
        <v>0.32725732182104256</v>
      </c>
      <c r="AN19" t="s">
        <v>200</v>
      </c>
      <c r="AO19" s="946" t="e">
        <f ca="1">NORMSDIST(AO16)</f>
        <v>#NAME?</v>
      </c>
      <c r="AP19" s="132" t="e">
        <f ca="1">2*AO19</f>
        <v>#NAME?</v>
      </c>
    </row>
    <row r="20" spans="19:42">
      <c r="S20" s="66" t="s">
        <v>948</v>
      </c>
      <c r="T20" s="699" t="e">
        <f ca="1">IF(T19&lt;T11,"yes","no")</f>
        <v>#NAME?</v>
      </c>
      <c r="W20" t="s">
        <v>3733</v>
      </c>
      <c r="Y20" s="544" t="e">
        <f ca="1">ABS(Y17/SQRT(T6+U6))</f>
        <v>#NAME?</v>
      </c>
      <c r="AA20" s="23" t="s">
        <v>2586</v>
      </c>
      <c r="AC20" s="1234"/>
      <c r="AD20" s="1234"/>
      <c r="AE20" s="1234"/>
      <c r="AF20" s="1234"/>
      <c r="AG20" s="1234"/>
      <c r="AH20" s="1234"/>
      <c r="AI20" s="1234"/>
      <c r="AJ20" s="1234"/>
      <c r="AK20" s="1234"/>
      <c r="AL20" s="1234"/>
      <c r="AN20" t="s">
        <v>948</v>
      </c>
      <c r="AO20" s="1074" t="e">
        <f ca="1">IF(AO19&lt;AO12,"yes","no")</f>
        <v>#NAME?</v>
      </c>
      <c r="AP20" s="1333" t="e">
        <f ca="1">IF(AP19&lt;AO12,"yes","no")</f>
        <v>#NAME?</v>
      </c>
    </row>
    <row r="21" spans="19:42">
      <c r="S21" s="66" t="s">
        <v>368</v>
      </c>
      <c r="T21" s="544" t="e">
        <f ca="1">ABS(T17)/SQRT(T6+U6)</f>
        <v>#NAME?</v>
      </c>
      <c r="W21" t="s">
        <v>3734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sheetPr codeName="Sheet386"/>
  <dimension ref="A1:CK97"/>
  <sheetViews>
    <sheetView workbookViewId="0"/>
  </sheetViews>
  <sheetFormatPr defaultRowHeight="14.4"/>
  <cols>
    <col min="1" max="1" width="4.88671875" customWidth="1"/>
    <col min="2" max="95" width="5.6640625" customWidth="1"/>
  </cols>
  <sheetData>
    <row r="1" spans="1:89">
      <c r="A1" s="1" t="s">
        <v>4240</v>
      </c>
    </row>
    <row r="2" spans="1:89">
      <c r="A2" s="1"/>
    </row>
    <row r="3" spans="1:89">
      <c r="A3" s="25" t="s">
        <v>291</v>
      </c>
      <c r="B3" s="756">
        <v>4</v>
      </c>
      <c r="D3" t="s">
        <v>292</v>
      </c>
      <c r="E3" s="756">
        <v>4</v>
      </c>
      <c r="G3" t="s">
        <v>106</v>
      </c>
      <c r="H3" s="756">
        <f>B3+E3</f>
        <v>8</v>
      </c>
    </row>
    <row r="4" spans="1:89">
      <c r="A4" s="1"/>
    </row>
    <row r="5" spans="1:89">
      <c r="A5" s="25" t="s">
        <v>3358</v>
      </c>
      <c r="B5" s="756">
        <f>B3*(B3+1)/2</f>
        <v>10</v>
      </c>
      <c r="D5" t="s">
        <v>141</v>
      </c>
      <c r="E5" s="756">
        <f>E3*(E3+1)/2</f>
        <v>10</v>
      </c>
      <c r="G5" t="s">
        <v>142</v>
      </c>
      <c r="H5" s="756">
        <f>H3*(H3+1)/2</f>
        <v>36</v>
      </c>
      <c r="J5" t="s">
        <v>3359</v>
      </c>
      <c r="K5" s="756">
        <f>H5-E5</f>
        <v>26</v>
      </c>
      <c r="M5" t="s">
        <v>2781</v>
      </c>
      <c r="N5" s="756">
        <f>COMBIN(H3,E3)</f>
        <v>70</v>
      </c>
    </row>
    <row r="6" spans="1:89">
      <c r="A6" s="1"/>
    </row>
    <row r="7" spans="1:89">
      <c r="A7" s="1"/>
      <c r="B7">
        <v>1</v>
      </c>
      <c r="C7">
        <f>B7+1</f>
        <v>2</v>
      </c>
      <c r="D7">
        <f t="shared" ref="D7:BO7" si="0">C7+1</f>
        <v>3</v>
      </c>
      <c r="E7">
        <f t="shared" si="0"/>
        <v>4</v>
      </c>
      <c r="F7">
        <f t="shared" si="0"/>
        <v>5</v>
      </c>
      <c r="G7">
        <f t="shared" si="0"/>
        <v>6</v>
      </c>
      <c r="H7">
        <f t="shared" si="0"/>
        <v>7</v>
      </c>
      <c r="I7">
        <f t="shared" si="0"/>
        <v>8</v>
      </c>
      <c r="J7">
        <f t="shared" si="0"/>
        <v>9</v>
      </c>
      <c r="K7">
        <f t="shared" si="0"/>
        <v>10</v>
      </c>
      <c r="L7">
        <f t="shared" si="0"/>
        <v>11</v>
      </c>
      <c r="M7">
        <f t="shared" si="0"/>
        <v>12</v>
      </c>
      <c r="N7">
        <f t="shared" si="0"/>
        <v>13</v>
      </c>
      <c r="O7">
        <f t="shared" si="0"/>
        <v>14</v>
      </c>
      <c r="P7">
        <f t="shared" si="0"/>
        <v>15</v>
      </c>
      <c r="Q7">
        <f t="shared" si="0"/>
        <v>16</v>
      </c>
      <c r="R7">
        <f t="shared" si="0"/>
        <v>17</v>
      </c>
      <c r="S7">
        <f t="shared" si="0"/>
        <v>18</v>
      </c>
      <c r="T7">
        <f t="shared" si="0"/>
        <v>19</v>
      </c>
      <c r="U7">
        <f t="shared" si="0"/>
        <v>20</v>
      </c>
      <c r="V7">
        <f t="shared" si="0"/>
        <v>21</v>
      </c>
      <c r="W7">
        <f t="shared" si="0"/>
        <v>22</v>
      </c>
      <c r="X7">
        <f t="shared" si="0"/>
        <v>23</v>
      </c>
      <c r="Y7">
        <f t="shared" si="0"/>
        <v>24</v>
      </c>
      <c r="Z7">
        <f t="shared" si="0"/>
        <v>25</v>
      </c>
      <c r="AA7">
        <f t="shared" si="0"/>
        <v>26</v>
      </c>
      <c r="AB7">
        <f t="shared" si="0"/>
        <v>27</v>
      </c>
      <c r="AC7">
        <f t="shared" si="0"/>
        <v>28</v>
      </c>
      <c r="AD7">
        <f t="shared" si="0"/>
        <v>29</v>
      </c>
      <c r="AE7">
        <f t="shared" si="0"/>
        <v>30</v>
      </c>
      <c r="AF7">
        <f t="shared" si="0"/>
        <v>31</v>
      </c>
      <c r="AG7">
        <f t="shared" si="0"/>
        <v>32</v>
      </c>
      <c r="AH7">
        <f t="shared" si="0"/>
        <v>33</v>
      </c>
      <c r="AI7">
        <f t="shared" si="0"/>
        <v>34</v>
      </c>
      <c r="AJ7">
        <f t="shared" si="0"/>
        <v>35</v>
      </c>
      <c r="AK7">
        <f t="shared" si="0"/>
        <v>36</v>
      </c>
      <c r="AL7">
        <f t="shared" si="0"/>
        <v>37</v>
      </c>
      <c r="AM7">
        <f t="shared" si="0"/>
        <v>38</v>
      </c>
      <c r="AN7">
        <f t="shared" si="0"/>
        <v>39</v>
      </c>
      <c r="AO7">
        <f t="shared" si="0"/>
        <v>40</v>
      </c>
      <c r="AP7">
        <f t="shared" si="0"/>
        <v>41</v>
      </c>
      <c r="AQ7">
        <f t="shared" si="0"/>
        <v>42</v>
      </c>
      <c r="AR7">
        <f t="shared" si="0"/>
        <v>43</v>
      </c>
      <c r="AS7">
        <f t="shared" si="0"/>
        <v>44</v>
      </c>
      <c r="AT7">
        <f t="shared" si="0"/>
        <v>45</v>
      </c>
      <c r="AU7">
        <f t="shared" si="0"/>
        <v>46</v>
      </c>
      <c r="AV7">
        <f t="shared" si="0"/>
        <v>47</v>
      </c>
      <c r="AW7">
        <f t="shared" si="0"/>
        <v>48</v>
      </c>
      <c r="AX7">
        <f t="shared" si="0"/>
        <v>49</v>
      </c>
      <c r="AY7">
        <f t="shared" si="0"/>
        <v>50</v>
      </c>
      <c r="AZ7">
        <f t="shared" si="0"/>
        <v>51</v>
      </c>
      <c r="BA7">
        <f t="shared" si="0"/>
        <v>52</v>
      </c>
      <c r="BB7">
        <f t="shared" si="0"/>
        <v>53</v>
      </c>
      <c r="BC7">
        <f t="shared" si="0"/>
        <v>54</v>
      </c>
      <c r="BD7">
        <f t="shared" si="0"/>
        <v>55</v>
      </c>
      <c r="BE7">
        <f t="shared" si="0"/>
        <v>56</v>
      </c>
      <c r="BF7">
        <f t="shared" si="0"/>
        <v>57</v>
      </c>
      <c r="BG7">
        <f t="shared" si="0"/>
        <v>58</v>
      </c>
      <c r="BH7">
        <f t="shared" si="0"/>
        <v>59</v>
      </c>
      <c r="BI7">
        <f t="shared" si="0"/>
        <v>60</v>
      </c>
      <c r="BJ7">
        <f t="shared" si="0"/>
        <v>61</v>
      </c>
      <c r="BK7">
        <f t="shared" si="0"/>
        <v>62</v>
      </c>
      <c r="BL7">
        <f t="shared" si="0"/>
        <v>63</v>
      </c>
      <c r="BM7">
        <f t="shared" si="0"/>
        <v>64</v>
      </c>
      <c r="BN7">
        <f t="shared" si="0"/>
        <v>65</v>
      </c>
      <c r="BO7">
        <f t="shared" si="0"/>
        <v>66</v>
      </c>
      <c r="BP7">
        <f t="shared" ref="BP7:BS7" si="1">BO7+1</f>
        <v>67</v>
      </c>
      <c r="BQ7">
        <f t="shared" si="1"/>
        <v>68</v>
      </c>
      <c r="BR7">
        <f t="shared" si="1"/>
        <v>69</v>
      </c>
      <c r="BS7">
        <f t="shared" si="1"/>
        <v>70</v>
      </c>
    </row>
    <row r="8" spans="1:89" s="1537" customFormat="1">
      <c r="A8" s="1532">
        <f>A7+1</f>
        <v>1</v>
      </c>
      <c r="B8" s="1533">
        <v>0</v>
      </c>
      <c r="C8" s="1534">
        <v>0</v>
      </c>
      <c r="D8" s="1534">
        <v>0</v>
      </c>
      <c r="E8" s="1534">
        <v>0</v>
      </c>
      <c r="F8" s="1534">
        <v>0</v>
      </c>
      <c r="G8" s="1534">
        <v>0</v>
      </c>
      <c r="H8" s="1534">
        <v>0</v>
      </c>
      <c r="I8" s="1534">
        <v>0</v>
      </c>
      <c r="J8" s="1534">
        <v>0</v>
      </c>
      <c r="K8" s="1534">
        <v>0</v>
      </c>
      <c r="L8" s="1534">
        <v>0</v>
      </c>
      <c r="M8" s="1534">
        <v>0</v>
      </c>
      <c r="N8" s="1534">
        <v>0</v>
      </c>
      <c r="O8" s="1534">
        <v>0</v>
      </c>
      <c r="P8" s="1534">
        <v>0</v>
      </c>
      <c r="Q8" s="1534">
        <v>0</v>
      </c>
      <c r="R8" s="1534">
        <v>0</v>
      </c>
      <c r="S8" s="1534">
        <v>0</v>
      </c>
      <c r="T8" s="1534">
        <v>0</v>
      </c>
      <c r="U8" s="1534">
        <v>0</v>
      </c>
      <c r="V8" s="1534">
        <v>0</v>
      </c>
      <c r="W8" s="1534">
        <v>0</v>
      </c>
      <c r="X8" s="1534">
        <v>0</v>
      </c>
      <c r="Y8" s="1534">
        <v>0</v>
      </c>
      <c r="Z8" s="1534">
        <v>0</v>
      </c>
      <c r="AA8" s="1534">
        <v>0</v>
      </c>
      <c r="AB8" s="1534">
        <v>0</v>
      </c>
      <c r="AC8" s="1534">
        <v>0</v>
      </c>
      <c r="AD8" s="1534">
        <v>0</v>
      </c>
      <c r="AE8" s="1534">
        <v>0</v>
      </c>
      <c r="AF8" s="1534">
        <v>0</v>
      </c>
      <c r="AG8" s="1534">
        <v>0</v>
      </c>
      <c r="AH8" s="1534">
        <v>0</v>
      </c>
      <c r="AI8" s="1534">
        <v>0</v>
      </c>
      <c r="AJ8" s="1534">
        <v>0</v>
      </c>
      <c r="AK8" s="1534">
        <v>1</v>
      </c>
      <c r="AL8" s="1534">
        <v>1</v>
      </c>
      <c r="AM8" s="1534">
        <v>1</v>
      </c>
      <c r="AN8" s="1534">
        <v>1</v>
      </c>
      <c r="AO8" s="1534">
        <v>1</v>
      </c>
      <c r="AP8" s="1534">
        <v>1</v>
      </c>
      <c r="AQ8" s="1534">
        <v>1</v>
      </c>
      <c r="AR8" s="1534">
        <v>1</v>
      </c>
      <c r="AS8" s="1534">
        <v>1</v>
      </c>
      <c r="AT8" s="1534">
        <v>1</v>
      </c>
      <c r="AU8" s="1534">
        <v>1</v>
      </c>
      <c r="AV8" s="1534">
        <v>1</v>
      </c>
      <c r="AW8" s="1534">
        <v>1</v>
      </c>
      <c r="AX8" s="1534">
        <v>1</v>
      </c>
      <c r="AY8" s="1534">
        <v>1</v>
      </c>
      <c r="AZ8" s="1534">
        <v>1</v>
      </c>
      <c r="BA8" s="1534">
        <v>1</v>
      </c>
      <c r="BB8" s="1534">
        <v>1</v>
      </c>
      <c r="BC8" s="1534">
        <v>1</v>
      </c>
      <c r="BD8" s="1534">
        <v>1</v>
      </c>
      <c r="BE8" s="1534">
        <v>1</v>
      </c>
      <c r="BF8" s="1534">
        <v>1</v>
      </c>
      <c r="BG8" s="1534">
        <v>1</v>
      </c>
      <c r="BH8" s="1534">
        <v>1</v>
      </c>
      <c r="BI8" s="1534">
        <v>1</v>
      </c>
      <c r="BJ8" s="1534">
        <v>1</v>
      </c>
      <c r="BK8" s="1534">
        <v>1</v>
      </c>
      <c r="BL8" s="1534">
        <v>1</v>
      </c>
      <c r="BM8" s="1534">
        <v>1</v>
      </c>
      <c r="BN8" s="1534">
        <v>1</v>
      </c>
      <c r="BO8" s="1534">
        <v>1</v>
      </c>
      <c r="BP8" s="1534">
        <v>1</v>
      </c>
      <c r="BQ8" s="1534">
        <v>1</v>
      </c>
      <c r="BR8" s="1534">
        <v>1</v>
      </c>
      <c r="BS8" s="1536">
        <v>1</v>
      </c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</row>
    <row r="9" spans="1:89" s="1537" customFormat="1">
      <c r="A9" s="1532">
        <f t="shared" ref="A9:A15" si="2">A8+1</f>
        <v>2</v>
      </c>
      <c r="B9" s="1084">
        <v>0</v>
      </c>
      <c r="C9" s="1254">
        <v>0</v>
      </c>
      <c r="D9" s="1254">
        <v>0</v>
      </c>
      <c r="E9" s="1254">
        <v>0</v>
      </c>
      <c r="F9" s="1254">
        <v>0</v>
      </c>
      <c r="G9" s="1254">
        <v>0</v>
      </c>
      <c r="H9" s="1254">
        <v>0</v>
      </c>
      <c r="I9" s="1254">
        <v>0</v>
      </c>
      <c r="J9" s="1254">
        <v>0</v>
      </c>
      <c r="K9" s="1254">
        <v>0</v>
      </c>
      <c r="L9" s="1254">
        <v>0</v>
      </c>
      <c r="M9" s="1254">
        <v>0</v>
      </c>
      <c r="N9" s="1254">
        <v>0</v>
      </c>
      <c r="O9" s="1254">
        <v>0</v>
      </c>
      <c r="P9" s="1254">
        <v>0</v>
      </c>
      <c r="Q9" s="1254">
        <v>1</v>
      </c>
      <c r="R9" s="1254">
        <v>1</v>
      </c>
      <c r="S9" s="1254">
        <v>1</v>
      </c>
      <c r="T9" s="1254">
        <v>1</v>
      </c>
      <c r="U9" s="1254">
        <v>1</v>
      </c>
      <c r="V9" s="1254">
        <v>1</v>
      </c>
      <c r="W9" s="1254">
        <v>1</v>
      </c>
      <c r="X9" s="1254">
        <v>1</v>
      </c>
      <c r="Y9" s="1254">
        <v>1</v>
      </c>
      <c r="Z9" s="1254">
        <v>1</v>
      </c>
      <c r="AA9" s="1254">
        <v>1</v>
      </c>
      <c r="AB9" s="1254">
        <v>1</v>
      </c>
      <c r="AC9" s="1254">
        <v>1</v>
      </c>
      <c r="AD9" s="1254">
        <v>1</v>
      </c>
      <c r="AE9" s="1254">
        <v>1</v>
      </c>
      <c r="AF9" s="1254">
        <v>1</v>
      </c>
      <c r="AG9" s="1254">
        <v>1</v>
      </c>
      <c r="AH9" s="1254">
        <v>1</v>
      </c>
      <c r="AI9" s="1254">
        <v>1</v>
      </c>
      <c r="AJ9" s="1254">
        <v>1</v>
      </c>
      <c r="AK9" s="1254">
        <v>0</v>
      </c>
      <c r="AL9" s="1254">
        <v>0</v>
      </c>
      <c r="AM9" s="1254">
        <v>0</v>
      </c>
      <c r="AN9" s="1254">
        <v>0</v>
      </c>
      <c r="AO9" s="1254">
        <v>0</v>
      </c>
      <c r="AP9" s="1254">
        <v>0</v>
      </c>
      <c r="AQ9" s="1254">
        <v>0</v>
      </c>
      <c r="AR9" s="1254">
        <v>0</v>
      </c>
      <c r="AS9" s="1254">
        <v>0</v>
      </c>
      <c r="AT9" s="1254">
        <v>0</v>
      </c>
      <c r="AU9" s="1254">
        <v>0</v>
      </c>
      <c r="AV9" s="1254">
        <v>0</v>
      </c>
      <c r="AW9" s="1254">
        <v>0</v>
      </c>
      <c r="AX9" s="1254">
        <v>0</v>
      </c>
      <c r="AY9" s="1254">
        <v>0</v>
      </c>
      <c r="AZ9" s="1254">
        <v>0</v>
      </c>
      <c r="BA9" s="1254">
        <v>0</v>
      </c>
      <c r="BB9" s="1254">
        <v>0</v>
      </c>
      <c r="BC9" s="1254">
        <v>0</v>
      </c>
      <c r="BD9" s="1254">
        <v>0</v>
      </c>
      <c r="BE9" s="1254">
        <v>1</v>
      </c>
      <c r="BF9" s="1254">
        <v>1</v>
      </c>
      <c r="BG9" s="1254">
        <v>1</v>
      </c>
      <c r="BH9" s="1254">
        <v>1</v>
      </c>
      <c r="BI9" s="1254">
        <v>1</v>
      </c>
      <c r="BJ9" s="1254">
        <v>1</v>
      </c>
      <c r="BK9" s="1254">
        <v>1</v>
      </c>
      <c r="BL9" s="1254">
        <v>1</v>
      </c>
      <c r="BM9" s="1254">
        <v>1</v>
      </c>
      <c r="BN9" s="1254">
        <v>1</v>
      </c>
      <c r="BO9" s="1254">
        <v>1</v>
      </c>
      <c r="BP9" s="1254">
        <v>1</v>
      </c>
      <c r="BQ9" s="1254">
        <v>1</v>
      </c>
      <c r="BR9" s="1254">
        <v>1</v>
      </c>
      <c r="BS9" s="1085">
        <v>1</v>
      </c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</row>
    <row r="10" spans="1:89" s="1537" customFormat="1">
      <c r="A10" s="1532">
        <f t="shared" si="2"/>
        <v>3</v>
      </c>
      <c r="B10" s="1084">
        <v>0</v>
      </c>
      <c r="C10" s="1254">
        <v>0</v>
      </c>
      <c r="D10" s="1254">
        <v>0</v>
      </c>
      <c r="E10" s="1254">
        <v>0</v>
      </c>
      <c r="F10" s="1254">
        <v>0</v>
      </c>
      <c r="G10" s="1254">
        <v>1</v>
      </c>
      <c r="H10" s="1254">
        <v>1</v>
      </c>
      <c r="I10" s="1254">
        <v>1</v>
      </c>
      <c r="J10" s="1254">
        <v>1</v>
      </c>
      <c r="K10" s="1254">
        <v>1</v>
      </c>
      <c r="L10" s="1254">
        <v>1</v>
      </c>
      <c r="M10" s="1254">
        <v>1</v>
      </c>
      <c r="N10" s="1254">
        <v>1</v>
      </c>
      <c r="O10" s="1254">
        <v>1</v>
      </c>
      <c r="P10" s="1254">
        <v>1</v>
      </c>
      <c r="Q10" s="1254">
        <v>0</v>
      </c>
      <c r="R10" s="1254">
        <v>0</v>
      </c>
      <c r="S10" s="1254">
        <v>0</v>
      </c>
      <c r="T10" s="1254">
        <v>0</v>
      </c>
      <c r="U10" s="1254">
        <v>0</v>
      </c>
      <c r="V10" s="1254">
        <v>0</v>
      </c>
      <c r="W10" s="1254">
        <v>0</v>
      </c>
      <c r="X10" s="1254">
        <v>0</v>
      </c>
      <c r="Y10" s="1254">
        <v>0</v>
      </c>
      <c r="Z10" s="1254">
        <v>0</v>
      </c>
      <c r="AA10" s="1254">
        <v>1</v>
      </c>
      <c r="AB10" s="1254">
        <v>1</v>
      </c>
      <c r="AC10" s="1254">
        <v>1</v>
      </c>
      <c r="AD10" s="1254">
        <v>1</v>
      </c>
      <c r="AE10" s="1254">
        <v>1</v>
      </c>
      <c r="AF10" s="1254">
        <v>1</v>
      </c>
      <c r="AG10" s="1254">
        <v>1</v>
      </c>
      <c r="AH10" s="1254">
        <v>1</v>
      </c>
      <c r="AI10" s="1254">
        <v>1</v>
      </c>
      <c r="AJ10" s="1254">
        <v>1</v>
      </c>
      <c r="AK10" s="1254">
        <v>0</v>
      </c>
      <c r="AL10" s="1254">
        <v>0</v>
      </c>
      <c r="AM10" s="1254">
        <v>0</v>
      </c>
      <c r="AN10" s="1254">
        <v>0</v>
      </c>
      <c r="AO10" s="1254">
        <v>0</v>
      </c>
      <c r="AP10" s="1254">
        <v>0</v>
      </c>
      <c r="AQ10" s="1254">
        <v>0</v>
      </c>
      <c r="AR10" s="1254">
        <v>0</v>
      </c>
      <c r="AS10" s="1254">
        <v>0</v>
      </c>
      <c r="AT10" s="1254">
        <v>0</v>
      </c>
      <c r="AU10" s="1254">
        <v>1</v>
      </c>
      <c r="AV10" s="1254">
        <v>1</v>
      </c>
      <c r="AW10" s="1254">
        <v>1</v>
      </c>
      <c r="AX10" s="1254">
        <v>1</v>
      </c>
      <c r="AY10" s="1254">
        <v>1</v>
      </c>
      <c r="AZ10" s="1254">
        <v>1</v>
      </c>
      <c r="BA10" s="1254">
        <v>1</v>
      </c>
      <c r="BB10" s="1254">
        <v>1</v>
      </c>
      <c r="BC10" s="1254">
        <v>1</v>
      </c>
      <c r="BD10" s="1254">
        <v>1</v>
      </c>
      <c r="BE10" s="1254">
        <v>0</v>
      </c>
      <c r="BF10" s="1254">
        <v>0</v>
      </c>
      <c r="BG10" s="1254">
        <v>0</v>
      </c>
      <c r="BH10" s="1254">
        <v>0</v>
      </c>
      <c r="BI10" s="1254">
        <v>0</v>
      </c>
      <c r="BJ10" s="1254">
        <v>0</v>
      </c>
      <c r="BK10" s="1254">
        <v>0</v>
      </c>
      <c r="BL10" s="1254">
        <v>0</v>
      </c>
      <c r="BM10" s="1254">
        <v>0</v>
      </c>
      <c r="BN10" s="1254">
        <v>0</v>
      </c>
      <c r="BO10" s="1254">
        <v>1</v>
      </c>
      <c r="BP10" s="1254">
        <v>1</v>
      </c>
      <c r="BQ10" s="1254">
        <v>1</v>
      </c>
      <c r="BR10" s="1254">
        <v>1</v>
      </c>
      <c r="BS10" s="1085">
        <v>1</v>
      </c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</row>
    <row r="11" spans="1:89" s="1537" customFormat="1">
      <c r="A11" s="1532">
        <f t="shared" si="2"/>
        <v>4</v>
      </c>
      <c r="B11" s="1084">
        <v>0</v>
      </c>
      <c r="C11" s="1254">
        <v>1</v>
      </c>
      <c r="D11" s="1254">
        <v>1</v>
      </c>
      <c r="E11" s="1254">
        <v>1</v>
      </c>
      <c r="F11" s="1254">
        <v>1</v>
      </c>
      <c r="G11" s="1254">
        <v>0</v>
      </c>
      <c r="H11" s="1254">
        <v>0</v>
      </c>
      <c r="I11" s="1254">
        <v>0</v>
      </c>
      <c r="J11" s="1254">
        <v>0</v>
      </c>
      <c r="K11" s="1254">
        <v>1</v>
      </c>
      <c r="L11" s="1254">
        <v>1</v>
      </c>
      <c r="M11" s="1254">
        <v>1</v>
      </c>
      <c r="N11" s="1254">
        <v>1</v>
      </c>
      <c r="O11" s="1254">
        <v>1</v>
      </c>
      <c r="P11" s="1254">
        <v>1</v>
      </c>
      <c r="Q11" s="1254">
        <v>0</v>
      </c>
      <c r="R11" s="1254">
        <v>0</v>
      </c>
      <c r="S11" s="1254">
        <v>0</v>
      </c>
      <c r="T11" s="1254">
        <v>0</v>
      </c>
      <c r="U11" s="1254">
        <v>1</v>
      </c>
      <c r="V11" s="1254">
        <v>1</v>
      </c>
      <c r="W11" s="1254">
        <v>1</v>
      </c>
      <c r="X11" s="1254">
        <v>1</v>
      </c>
      <c r="Y11" s="1254">
        <v>1</v>
      </c>
      <c r="Z11" s="1254">
        <v>1</v>
      </c>
      <c r="AA11" s="1254">
        <v>0</v>
      </c>
      <c r="AB11" s="1254">
        <v>0</v>
      </c>
      <c r="AC11" s="1254">
        <v>0</v>
      </c>
      <c r="AD11" s="1254">
        <v>0</v>
      </c>
      <c r="AE11" s="1254">
        <v>0</v>
      </c>
      <c r="AF11" s="1254">
        <v>0</v>
      </c>
      <c r="AG11" s="1254">
        <v>1</v>
      </c>
      <c r="AH11" s="1254">
        <v>1</v>
      </c>
      <c r="AI11" s="1254">
        <v>1</v>
      </c>
      <c r="AJ11" s="1254">
        <v>1</v>
      </c>
      <c r="AK11" s="1254">
        <v>0</v>
      </c>
      <c r="AL11" s="1254">
        <v>0</v>
      </c>
      <c r="AM11" s="1254">
        <v>0</v>
      </c>
      <c r="AN11" s="1254">
        <v>0</v>
      </c>
      <c r="AO11" s="1254">
        <v>1</v>
      </c>
      <c r="AP11" s="1254">
        <v>1</v>
      </c>
      <c r="AQ11" s="1254">
        <v>1</v>
      </c>
      <c r="AR11" s="1254">
        <v>1</v>
      </c>
      <c r="AS11" s="1254">
        <v>1</v>
      </c>
      <c r="AT11" s="1254">
        <v>1</v>
      </c>
      <c r="AU11" s="1254">
        <v>0</v>
      </c>
      <c r="AV11" s="1254">
        <v>0</v>
      </c>
      <c r="AW11" s="1254">
        <v>0</v>
      </c>
      <c r="AX11" s="1254">
        <v>0</v>
      </c>
      <c r="AY11" s="1254">
        <v>0</v>
      </c>
      <c r="AZ11" s="1254">
        <v>0</v>
      </c>
      <c r="BA11" s="1254">
        <v>1</v>
      </c>
      <c r="BB11" s="1254">
        <v>1</v>
      </c>
      <c r="BC11" s="1254">
        <v>1</v>
      </c>
      <c r="BD11" s="1254">
        <v>1</v>
      </c>
      <c r="BE11" s="1254">
        <v>0</v>
      </c>
      <c r="BF11" s="1254">
        <v>0</v>
      </c>
      <c r="BG11" s="1254">
        <v>0</v>
      </c>
      <c r="BH11" s="1254">
        <v>0</v>
      </c>
      <c r="BI11" s="1254">
        <v>0</v>
      </c>
      <c r="BJ11" s="1254">
        <v>0</v>
      </c>
      <c r="BK11" s="1254">
        <v>1</v>
      </c>
      <c r="BL11" s="1254">
        <v>1</v>
      </c>
      <c r="BM11" s="1254">
        <v>1</v>
      </c>
      <c r="BN11" s="1254">
        <v>1</v>
      </c>
      <c r="BO11" s="1254">
        <v>0</v>
      </c>
      <c r="BP11" s="1254">
        <v>0</v>
      </c>
      <c r="BQ11" s="1254">
        <v>0</v>
      </c>
      <c r="BR11" s="1254">
        <v>0</v>
      </c>
      <c r="BS11" s="1085">
        <v>1</v>
      </c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</row>
    <row r="12" spans="1:89" s="1537" customFormat="1">
      <c r="A12" s="1532">
        <f t="shared" si="2"/>
        <v>5</v>
      </c>
      <c r="B12" s="1084">
        <v>1</v>
      </c>
      <c r="C12" s="1254">
        <v>0</v>
      </c>
      <c r="D12" s="1254">
        <v>1</v>
      </c>
      <c r="E12" s="1254">
        <v>1</v>
      </c>
      <c r="F12" s="1254">
        <v>1</v>
      </c>
      <c r="G12" s="1254">
        <v>0</v>
      </c>
      <c r="H12" s="1254">
        <v>1</v>
      </c>
      <c r="I12" s="1254">
        <v>1</v>
      </c>
      <c r="J12" s="1254">
        <v>1</v>
      </c>
      <c r="K12" s="1254">
        <v>0</v>
      </c>
      <c r="L12" s="1254">
        <v>0</v>
      </c>
      <c r="M12" s="1254">
        <v>0</v>
      </c>
      <c r="N12" s="1254">
        <v>1</v>
      </c>
      <c r="O12" s="1254">
        <v>1</v>
      </c>
      <c r="P12" s="1254">
        <v>1</v>
      </c>
      <c r="Q12" s="1254">
        <v>0</v>
      </c>
      <c r="R12" s="1254">
        <v>1</v>
      </c>
      <c r="S12" s="1254">
        <v>1</v>
      </c>
      <c r="T12" s="1254">
        <v>1</v>
      </c>
      <c r="U12" s="1254">
        <v>0</v>
      </c>
      <c r="V12" s="1254">
        <v>0</v>
      </c>
      <c r="W12" s="1254">
        <v>0</v>
      </c>
      <c r="X12" s="1254">
        <v>1</v>
      </c>
      <c r="Y12" s="1254">
        <v>1</v>
      </c>
      <c r="Z12" s="1254">
        <v>1</v>
      </c>
      <c r="AA12" s="1254">
        <v>0</v>
      </c>
      <c r="AB12" s="1254">
        <v>0</v>
      </c>
      <c r="AC12" s="1254">
        <v>0</v>
      </c>
      <c r="AD12" s="1254">
        <v>1</v>
      </c>
      <c r="AE12" s="1254">
        <v>1</v>
      </c>
      <c r="AF12" s="1254">
        <v>1</v>
      </c>
      <c r="AG12" s="1254">
        <v>0</v>
      </c>
      <c r="AH12" s="1254">
        <v>0</v>
      </c>
      <c r="AI12" s="1254">
        <v>0</v>
      </c>
      <c r="AJ12" s="1254">
        <v>1</v>
      </c>
      <c r="AK12" s="1254">
        <v>0</v>
      </c>
      <c r="AL12" s="1254">
        <v>1</v>
      </c>
      <c r="AM12" s="1254">
        <v>1</v>
      </c>
      <c r="AN12" s="1254">
        <v>1</v>
      </c>
      <c r="AO12" s="1254">
        <v>0</v>
      </c>
      <c r="AP12" s="1254">
        <v>0</v>
      </c>
      <c r="AQ12" s="1254">
        <v>0</v>
      </c>
      <c r="AR12" s="1254">
        <v>1</v>
      </c>
      <c r="AS12" s="1254">
        <v>1</v>
      </c>
      <c r="AT12" s="1254">
        <v>1</v>
      </c>
      <c r="AU12" s="1254">
        <v>0</v>
      </c>
      <c r="AV12" s="1254">
        <v>0</v>
      </c>
      <c r="AW12" s="1254">
        <v>0</v>
      </c>
      <c r="AX12" s="1254">
        <v>1</v>
      </c>
      <c r="AY12" s="1254">
        <v>1</v>
      </c>
      <c r="AZ12" s="1254">
        <v>1</v>
      </c>
      <c r="BA12" s="1254">
        <v>0</v>
      </c>
      <c r="BB12" s="1254">
        <v>0</v>
      </c>
      <c r="BC12" s="1254">
        <v>0</v>
      </c>
      <c r="BD12" s="1254">
        <v>1</v>
      </c>
      <c r="BE12" s="1254">
        <v>0</v>
      </c>
      <c r="BF12" s="1254">
        <v>0</v>
      </c>
      <c r="BG12" s="1254">
        <v>0</v>
      </c>
      <c r="BH12" s="1254">
        <v>1</v>
      </c>
      <c r="BI12" s="1254">
        <v>1</v>
      </c>
      <c r="BJ12" s="1254">
        <v>1</v>
      </c>
      <c r="BK12" s="1254">
        <v>0</v>
      </c>
      <c r="BL12" s="1254">
        <v>0</v>
      </c>
      <c r="BM12" s="1254">
        <v>0</v>
      </c>
      <c r="BN12" s="1254">
        <v>1</v>
      </c>
      <c r="BO12" s="1254">
        <v>0</v>
      </c>
      <c r="BP12" s="1254">
        <v>0</v>
      </c>
      <c r="BQ12" s="1254">
        <v>0</v>
      </c>
      <c r="BR12" s="1254">
        <v>1</v>
      </c>
      <c r="BS12" s="1085">
        <v>0</v>
      </c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</row>
    <row r="13" spans="1:89" s="1537" customFormat="1">
      <c r="A13" s="1532">
        <f t="shared" si="2"/>
        <v>6</v>
      </c>
      <c r="B13" s="1084">
        <v>1</v>
      </c>
      <c r="C13" s="1254">
        <v>1</v>
      </c>
      <c r="D13" s="1254">
        <v>0</v>
      </c>
      <c r="E13" s="1254">
        <v>1</v>
      </c>
      <c r="F13" s="1254">
        <v>1</v>
      </c>
      <c r="G13" s="1254">
        <v>1</v>
      </c>
      <c r="H13" s="1254">
        <v>0</v>
      </c>
      <c r="I13" s="1254">
        <v>1</v>
      </c>
      <c r="J13" s="1254">
        <v>1</v>
      </c>
      <c r="K13" s="1254">
        <v>0</v>
      </c>
      <c r="L13" s="1254">
        <v>1</v>
      </c>
      <c r="M13" s="1254">
        <v>1</v>
      </c>
      <c r="N13" s="1254">
        <v>0</v>
      </c>
      <c r="O13" s="1254">
        <v>0</v>
      </c>
      <c r="P13" s="1254">
        <v>1</v>
      </c>
      <c r="Q13" s="1254">
        <v>1</v>
      </c>
      <c r="R13" s="1254">
        <v>0</v>
      </c>
      <c r="S13" s="1254">
        <v>1</v>
      </c>
      <c r="T13" s="1254">
        <v>1</v>
      </c>
      <c r="U13" s="1254">
        <v>0</v>
      </c>
      <c r="V13" s="1254">
        <v>1</v>
      </c>
      <c r="W13" s="1254">
        <v>1</v>
      </c>
      <c r="X13" s="1254">
        <v>0</v>
      </c>
      <c r="Y13" s="1254">
        <v>0</v>
      </c>
      <c r="Z13" s="1254">
        <v>1</v>
      </c>
      <c r="AA13" s="1254">
        <v>0</v>
      </c>
      <c r="AB13" s="1254">
        <v>1</v>
      </c>
      <c r="AC13" s="1254">
        <v>1</v>
      </c>
      <c r="AD13" s="1254">
        <v>0</v>
      </c>
      <c r="AE13" s="1254">
        <v>0</v>
      </c>
      <c r="AF13" s="1254">
        <v>1</v>
      </c>
      <c r="AG13" s="1254">
        <v>0</v>
      </c>
      <c r="AH13" s="1254">
        <v>0</v>
      </c>
      <c r="AI13" s="1254">
        <v>1</v>
      </c>
      <c r="AJ13" s="1254">
        <v>0</v>
      </c>
      <c r="AK13" s="1254">
        <v>1</v>
      </c>
      <c r="AL13" s="1254">
        <v>0</v>
      </c>
      <c r="AM13" s="1254">
        <v>1</v>
      </c>
      <c r="AN13" s="1254">
        <v>1</v>
      </c>
      <c r="AO13" s="1254">
        <v>0</v>
      </c>
      <c r="AP13" s="1254">
        <v>1</v>
      </c>
      <c r="AQ13" s="1254">
        <v>1</v>
      </c>
      <c r="AR13" s="1254">
        <v>0</v>
      </c>
      <c r="AS13" s="1254">
        <v>0</v>
      </c>
      <c r="AT13" s="1254">
        <v>1</v>
      </c>
      <c r="AU13" s="1254">
        <v>0</v>
      </c>
      <c r="AV13" s="1254">
        <v>1</v>
      </c>
      <c r="AW13" s="1254">
        <v>1</v>
      </c>
      <c r="AX13" s="1254">
        <v>0</v>
      </c>
      <c r="AY13" s="1254">
        <v>0</v>
      </c>
      <c r="AZ13" s="1254">
        <v>1</v>
      </c>
      <c r="BA13" s="1254">
        <v>0</v>
      </c>
      <c r="BB13" s="1254">
        <v>0</v>
      </c>
      <c r="BC13" s="1254">
        <v>1</v>
      </c>
      <c r="BD13" s="1254">
        <v>0</v>
      </c>
      <c r="BE13" s="1254">
        <v>0</v>
      </c>
      <c r="BF13" s="1254">
        <v>1</v>
      </c>
      <c r="BG13" s="1254">
        <v>1</v>
      </c>
      <c r="BH13" s="1254">
        <v>0</v>
      </c>
      <c r="BI13" s="1254">
        <v>0</v>
      </c>
      <c r="BJ13" s="1254">
        <v>1</v>
      </c>
      <c r="BK13" s="1254">
        <v>0</v>
      </c>
      <c r="BL13" s="1254">
        <v>0</v>
      </c>
      <c r="BM13" s="1254">
        <v>1</v>
      </c>
      <c r="BN13" s="1254">
        <v>0</v>
      </c>
      <c r="BO13" s="1254">
        <v>0</v>
      </c>
      <c r="BP13" s="1254">
        <v>0</v>
      </c>
      <c r="BQ13" s="1254">
        <v>1</v>
      </c>
      <c r="BR13" s="1254">
        <v>0</v>
      </c>
      <c r="BS13" s="1085">
        <v>0</v>
      </c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</row>
    <row r="14" spans="1:89" s="1537" customFormat="1">
      <c r="A14" s="1532">
        <f t="shared" si="2"/>
        <v>7</v>
      </c>
      <c r="B14" s="1084">
        <v>1</v>
      </c>
      <c r="C14" s="1254">
        <v>1</v>
      </c>
      <c r="D14" s="1254">
        <v>1</v>
      </c>
      <c r="E14" s="1254">
        <v>0</v>
      </c>
      <c r="F14" s="1254">
        <v>1</v>
      </c>
      <c r="G14" s="1254">
        <v>1</v>
      </c>
      <c r="H14" s="1254">
        <v>1</v>
      </c>
      <c r="I14" s="1254">
        <v>0</v>
      </c>
      <c r="J14" s="1254">
        <v>1</v>
      </c>
      <c r="K14" s="1254">
        <v>1</v>
      </c>
      <c r="L14" s="1254">
        <v>0</v>
      </c>
      <c r="M14" s="1254">
        <v>1</v>
      </c>
      <c r="N14" s="1254">
        <v>0</v>
      </c>
      <c r="O14" s="1254">
        <v>1</v>
      </c>
      <c r="P14" s="1254">
        <v>0</v>
      </c>
      <c r="Q14" s="1254">
        <v>1</v>
      </c>
      <c r="R14" s="1254">
        <v>1</v>
      </c>
      <c r="S14" s="1254">
        <v>0</v>
      </c>
      <c r="T14" s="1254">
        <v>1</v>
      </c>
      <c r="U14" s="1254">
        <v>1</v>
      </c>
      <c r="V14" s="1254">
        <v>0</v>
      </c>
      <c r="W14" s="1254">
        <v>1</v>
      </c>
      <c r="X14" s="1254">
        <v>0</v>
      </c>
      <c r="Y14" s="1254">
        <v>1</v>
      </c>
      <c r="Z14" s="1254">
        <v>0</v>
      </c>
      <c r="AA14" s="1254">
        <v>1</v>
      </c>
      <c r="AB14" s="1254">
        <v>0</v>
      </c>
      <c r="AC14" s="1254">
        <v>1</v>
      </c>
      <c r="AD14" s="1254">
        <v>0</v>
      </c>
      <c r="AE14" s="1254">
        <v>1</v>
      </c>
      <c r="AF14" s="1254">
        <v>0</v>
      </c>
      <c r="AG14" s="1254">
        <v>0</v>
      </c>
      <c r="AH14" s="1254">
        <v>1</v>
      </c>
      <c r="AI14" s="1254">
        <v>0</v>
      </c>
      <c r="AJ14" s="1254">
        <v>0</v>
      </c>
      <c r="AK14" s="1254">
        <v>1</v>
      </c>
      <c r="AL14" s="1254">
        <v>1</v>
      </c>
      <c r="AM14" s="1254">
        <v>0</v>
      </c>
      <c r="AN14" s="1254">
        <v>1</v>
      </c>
      <c r="AO14" s="1254">
        <v>1</v>
      </c>
      <c r="AP14" s="1254">
        <v>0</v>
      </c>
      <c r="AQ14" s="1254">
        <v>1</v>
      </c>
      <c r="AR14" s="1254">
        <v>0</v>
      </c>
      <c r="AS14" s="1254">
        <v>1</v>
      </c>
      <c r="AT14" s="1254">
        <v>0</v>
      </c>
      <c r="AU14" s="1254">
        <v>1</v>
      </c>
      <c r="AV14" s="1254">
        <v>0</v>
      </c>
      <c r="AW14" s="1254">
        <v>1</v>
      </c>
      <c r="AX14" s="1254">
        <v>0</v>
      </c>
      <c r="AY14" s="1254">
        <v>1</v>
      </c>
      <c r="AZ14" s="1254">
        <v>0</v>
      </c>
      <c r="BA14" s="1254">
        <v>0</v>
      </c>
      <c r="BB14" s="1254">
        <v>1</v>
      </c>
      <c r="BC14" s="1254">
        <v>0</v>
      </c>
      <c r="BD14" s="1254">
        <v>0</v>
      </c>
      <c r="BE14" s="1254">
        <v>1</v>
      </c>
      <c r="BF14" s="1254">
        <v>0</v>
      </c>
      <c r="BG14" s="1254">
        <v>1</v>
      </c>
      <c r="BH14" s="1254">
        <v>0</v>
      </c>
      <c r="BI14" s="1254">
        <v>1</v>
      </c>
      <c r="BJ14" s="1254">
        <v>0</v>
      </c>
      <c r="BK14" s="1254">
        <v>0</v>
      </c>
      <c r="BL14" s="1254">
        <v>1</v>
      </c>
      <c r="BM14" s="1254">
        <v>0</v>
      </c>
      <c r="BN14" s="1254">
        <v>0</v>
      </c>
      <c r="BO14" s="1254">
        <v>0</v>
      </c>
      <c r="BP14" s="1254">
        <v>1</v>
      </c>
      <c r="BQ14" s="1254">
        <v>0</v>
      </c>
      <c r="BR14" s="1254">
        <v>0</v>
      </c>
      <c r="BS14" s="1085">
        <v>0</v>
      </c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</row>
    <row r="15" spans="1:89" s="1537" customFormat="1">
      <c r="A15" s="1532">
        <f t="shared" si="2"/>
        <v>8</v>
      </c>
      <c r="B15" s="1538">
        <v>1</v>
      </c>
      <c r="C15" s="1539">
        <v>1</v>
      </c>
      <c r="D15" s="1539">
        <v>1</v>
      </c>
      <c r="E15" s="1539">
        <v>1</v>
      </c>
      <c r="F15" s="1539">
        <v>0</v>
      </c>
      <c r="G15" s="1539">
        <v>1</v>
      </c>
      <c r="H15" s="1539">
        <v>1</v>
      </c>
      <c r="I15" s="1539">
        <v>1</v>
      </c>
      <c r="J15" s="1539">
        <v>0</v>
      </c>
      <c r="K15" s="1539">
        <v>1</v>
      </c>
      <c r="L15" s="1539">
        <v>1</v>
      </c>
      <c r="M15" s="1539">
        <v>0</v>
      </c>
      <c r="N15" s="1539">
        <v>1</v>
      </c>
      <c r="O15" s="1539">
        <v>0</v>
      </c>
      <c r="P15" s="1539">
        <v>0</v>
      </c>
      <c r="Q15" s="1539">
        <v>1</v>
      </c>
      <c r="R15" s="1539">
        <v>1</v>
      </c>
      <c r="S15" s="1539">
        <v>1</v>
      </c>
      <c r="T15" s="1539">
        <v>0</v>
      </c>
      <c r="U15" s="1539">
        <v>1</v>
      </c>
      <c r="V15" s="1539">
        <v>1</v>
      </c>
      <c r="W15" s="1539">
        <v>0</v>
      </c>
      <c r="X15" s="1539">
        <v>1</v>
      </c>
      <c r="Y15" s="1539">
        <v>0</v>
      </c>
      <c r="Z15" s="1539">
        <v>0</v>
      </c>
      <c r="AA15" s="1539">
        <v>1</v>
      </c>
      <c r="AB15" s="1539">
        <v>1</v>
      </c>
      <c r="AC15" s="1539">
        <v>0</v>
      </c>
      <c r="AD15" s="1539">
        <v>1</v>
      </c>
      <c r="AE15" s="1539">
        <v>0</v>
      </c>
      <c r="AF15" s="1539">
        <v>0</v>
      </c>
      <c r="AG15" s="1539">
        <v>1</v>
      </c>
      <c r="AH15" s="1539">
        <v>0</v>
      </c>
      <c r="AI15" s="1539">
        <v>0</v>
      </c>
      <c r="AJ15" s="1539">
        <v>0</v>
      </c>
      <c r="AK15" s="1539">
        <v>1</v>
      </c>
      <c r="AL15" s="1539">
        <v>1</v>
      </c>
      <c r="AM15" s="1539">
        <v>1</v>
      </c>
      <c r="AN15" s="1539">
        <v>0</v>
      </c>
      <c r="AO15" s="1539">
        <v>1</v>
      </c>
      <c r="AP15" s="1539">
        <v>1</v>
      </c>
      <c r="AQ15" s="1539">
        <v>0</v>
      </c>
      <c r="AR15" s="1539">
        <v>1</v>
      </c>
      <c r="AS15" s="1539">
        <v>0</v>
      </c>
      <c r="AT15" s="1539">
        <v>0</v>
      </c>
      <c r="AU15" s="1539">
        <v>1</v>
      </c>
      <c r="AV15" s="1539">
        <v>1</v>
      </c>
      <c r="AW15" s="1539">
        <v>0</v>
      </c>
      <c r="AX15" s="1539">
        <v>1</v>
      </c>
      <c r="AY15" s="1539">
        <v>0</v>
      </c>
      <c r="AZ15" s="1539">
        <v>0</v>
      </c>
      <c r="BA15" s="1539">
        <v>1</v>
      </c>
      <c r="BB15" s="1539">
        <v>0</v>
      </c>
      <c r="BC15" s="1539">
        <v>0</v>
      </c>
      <c r="BD15" s="1539">
        <v>0</v>
      </c>
      <c r="BE15" s="1539">
        <v>1</v>
      </c>
      <c r="BF15" s="1539">
        <v>1</v>
      </c>
      <c r="BG15" s="1539">
        <v>0</v>
      </c>
      <c r="BH15" s="1539">
        <v>1</v>
      </c>
      <c r="BI15" s="1539">
        <v>0</v>
      </c>
      <c r="BJ15" s="1539">
        <v>0</v>
      </c>
      <c r="BK15" s="1539">
        <v>1</v>
      </c>
      <c r="BL15" s="1539">
        <v>0</v>
      </c>
      <c r="BM15" s="1539">
        <v>0</v>
      </c>
      <c r="BN15" s="1539">
        <v>0</v>
      </c>
      <c r="BO15" s="1539">
        <v>1</v>
      </c>
      <c r="BP15" s="1539">
        <v>0</v>
      </c>
      <c r="BQ15" s="1539">
        <v>0</v>
      </c>
      <c r="BR15" s="1539">
        <v>0</v>
      </c>
      <c r="BS15" s="1540">
        <v>0</v>
      </c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</row>
    <row r="16" spans="1:89" s="1537" customFormat="1">
      <c r="A16" s="1532" t="s">
        <v>4241</v>
      </c>
      <c r="B16" s="1533">
        <f>SUMPRODUCT($A7:$A15,B7:B15)</f>
        <v>26</v>
      </c>
      <c r="C16" s="1534">
        <f t="shared" ref="C16:BN16" si="3">SUMPRODUCT($A7:$A15,C7:C15)</f>
        <v>25</v>
      </c>
      <c r="D16" s="1534">
        <f t="shared" si="3"/>
        <v>24</v>
      </c>
      <c r="E16" s="1534">
        <f t="shared" si="3"/>
        <v>23</v>
      </c>
      <c r="F16" s="1534">
        <f t="shared" si="3"/>
        <v>22</v>
      </c>
      <c r="G16" s="1534">
        <f t="shared" si="3"/>
        <v>24</v>
      </c>
      <c r="H16" s="1534">
        <f t="shared" si="3"/>
        <v>23</v>
      </c>
      <c r="I16" s="1534">
        <f t="shared" si="3"/>
        <v>22</v>
      </c>
      <c r="J16" s="1535">
        <f t="shared" si="3"/>
        <v>21</v>
      </c>
      <c r="K16" s="1534">
        <f t="shared" si="3"/>
        <v>22</v>
      </c>
      <c r="L16" s="1535">
        <f t="shared" si="3"/>
        <v>21</v>
      </c>
      <c r="M16" s="1534">
        <f t="shared" si="3"/>
        <v>20</v>
      </c>
      <c r="N16" s="1534">
        <f t="shared" si="3"/>
        <v>20</v>
      </c>
      <c r="O16" s="1534">
        <f t="shared" si="3"/>
        <v>19</v>
      </c>
      <c r="P16" s="1534">
        <f t="shared" si="3"/>
        <v>18</v>
      </c>
      <c r="Q16" s="1534">
        <f t="shared" si="3"/>
        <v>23</v>
      </c>
      <c r="R16" s="1534">
        <f t="shared" si="3"/>
        <v>22</v>
      </c>
      <c r="S16" s="1535">
        <f t="shared" si="3"/>
        <v>21</v>
      </c>
      <c r="T16" s="1534">
        <f t="shared" si="3"/>
        <v>20</v>
      </c>
      <c r="U16" s="1535">
        <f t="shared" si="3"/>
        <v>21</v>
      </c>
      <c r="V16" s="1534">
        <f t="shared" si="3"/>
        <v>20</v>
      </c>
      <c r="W16" s="1534">
        <f t="shared" si="3"/>
        <v>19</v>
      </c>
      <c r="X16" s="1534">
        <f t="shared" si="3"/>
        <v>19</v>
      </c>
      <c r="Y16" s="1534">
        <f t="shared" si="3"/>
        <v>18</v>
      </c>
      <c r="Z16" s="1534">
        <f t="shared" si="3"/>
        <v>17</v>
      </c>
      <c r="AA16" s="1534">
        <f t="shared" si="3"/>
        <v>20</v>
      </c>
      <c r="AB16" s="1534">
        <f t="shared" si="3"/>
        <v>19</v>
      </c>
      <c r="AC16" s="1534">
        <f t="shared" si="3"/>
        <v>18</v>
      </c>
      <c r="AD16" s="1534">
        <f t="shared" si="3"/>
        <v>18</v>
      </c>
      <c r="AE16" s="1534">
        <f t="shared" si="3"/>
        <v>17</v>
      </c>
      <c r="AF16" s="1534">
        <f t="shared" si="3"/>
        <v>16</v>
      </c>
      <c r="AG16" s="1534">
        <f t="shared" si="3"/>
        <v>17</v>
      </c>
      <c r="AH16" s="1534">
        <f t="shared" si="3"/>
        <v>16</v>
      </c>
      <c r="AI16" s="1534">
        <f t="shared" si="3"/>
        <v>15</v>
      </c>
      <c r="AJ16" s="1534">
        <f t="shared" si="3"/>
        <v>14</v>
      </c>
      <c r="AK16" s="1534">
        <f t="shared" si="3"/>
        <v>22</v>
      </c>
      <c r="AL16" s="1534">
        <f t="shared" si="3"/>
        <v>21</v>
      </c>
      <c r="AM16" s="1534">
        <f t="shared" si="3"/>
        <v>20</v>
      </c>
      <c r="AN16" s="1534">
        <f t="shared" si="3"/>
        <v>19</v>
      </c>
      <c r="AO16" s="1534">
        <f t="shared" si="3"/>
        <v>20</v>
      </c>
      <c r="AP16" s="1534">
        <f t="shared" si="3"/>
        <v>19</v>
      </c>
      <c r="AQ16" s="1534">
        <f t="shared" si="3"/>
        <v>18</v>
      </c>
      <c r="AR16" s="1534">
        <f t="shared" si="3"/>
        <v>18</v>
      </c>
      <c r="AS16" s="1534">
        <f t="shared" si="3"/>
        <v>17</v>
      </c>
      <c r="AT16" s="1534">
        <f t="shared" si="3"/>
        <v>16</v>
      </c>
      <c r="AU16" s="1534">
        <f t="shared" si="3"/>
        <v>19</v>
      </c>
      <c r="AV16" s="1534">
        <f t="shared" si="3"/>
        <v>18</v>
      </c>
      <c r="AW16" s="1534">
        <f t="shared" si="3"/>
        <v>17</v>
      </c>
      <c r="AX16" s="1534">
        <f t="shared" si="3"/>
        <v>17</v>
      </c>
      <c r="AY16" s="1534">
        <f t="shared" si="3"/>
        <v>16</v>
      </c>
      <c r="AZ16" s="1534">
        <f t="shared" si="3"/>
        <v>15</v>
      </c>
      <c r="BA16" s="1534">
        <f t="shared" si="3"/>
        <v>16</v>
      </c>
      <c r="BB16" s="1534">
        <f t="shared" si="3"/>
        <v>15</v>
      </c>
      <c r="BC16" s="1534">
        <f t="shared" si="3"/>
        <v>14</v>
      </c>
      <c r="BD16" s="1534">
        <f t="shared" si="3"/>
        <v>13</v>
      </c>
      <c r="BE16" s="1534">
        <f t="shared" si="3"/>
        <v>18</v>
      </c>
      <c r="BF16" s="1534">
        <f t="shared" si="3"/>
        <v>17</v>
      </c>
      <c r="BG16" s="1534">
        <f t="shared" si="3"/>
        <v>16</v>
      </c>
      <c r="BH16" s="1534">
        <f t="shared" si="3"/>
        <v>16</v>
      </c>
      <c r="BI16" s="1534">
        <f t="shared" si="3"/>
        <v>15</v>
      </c>
      <c r="BJ16" s="1534">
        <f t="shared" si="3"/>
        <v>14</v>
      </c>
      <c r="BK16" s="1534">
        <f t="shared" si="3"/>
        <v>15</v>
      </c>
      <c r="BL16" s="1534">
        <f t="shared" si="3"/>
        <v>14</v>
      </c>
      <c r="BM16" s="1534">
        <f t="shared" si="3"/>
        <v>13</v>
      </c>
      <c r="BN16" s="1534">
        <f t="shared" si="3"/>
        <v>12</v>
      </c>
      <c r="BO16" s="1534">
        <f t="shared" ref="BO16:BS16" si="4">SUMPRODUCT($A7:$A15,BO7:BO15)</f>
        <v>14</v>
      </c>
      <c r="BP16" s="1534">
        <f t="shared" si="4"/>
        <v>13</v>
      </c>
      <c r="BQ16" s="1534">
        <f t="shared" si="4"/>
        <v>12</v>
      </c>
      <c r="BR16" s="1534">
        <f t="shared" si="4"/>
        <v>11</v>
      </c>
      <c r="BS16" s="1536">
        <f t="shared" si="4"/>
        <v>10</v>
      </c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 spans="1:89" s="1537" customFormat="1">
      <c r="A17" s="1532" t="s">
        <v>4242</v>
      </c>
      <c r="B17" s="1084">
        <f>$K5-B16</f>
        <v>0</v>
      </c>
      <c r="C17" s="1254">
        <f t="shared" ref="C17:BN17" si="5">$K5-C16</f>
        <v>1</v>
      </c>
      <c r="D17" s="1254">
        <f t="shared" si="5"/>
        <v>2</v>
      </c>
      <c r="E17" s="1254">
        <f t="shared" si="5"/>
        <v>3</v>
      </c>
      <c r="F17" s="1254">
        <f t="shared" si="5"/>
        <v>4</v>
      </c>
      <c r="G17" s="1254">
        <f t="shared" si="5"/>
        <v>2</v>
      </c>
      <c r="H17" s="1254">
        <f t="shared" si="5"/>
        <v>3</v>
      </c>
      <c r="I17" s="1254">
        <f t="shared" si="5"/>
        <v>4</v>
      </c>
      <c r="J17" s="1254">
        <f t="shared" si="5"/>
        <v>5</v>
      </c>
      <c r="K17" s="1254">
        <f t="shared" si="5"/>
        <v>4</v>
      </c>
      <c r="L17" s="1254">
        <f t="shared" si="5"/>
        <v>5</v>
      </c>
      <c r="M17" s="1254">
        <f t="shared" si="5"/>
        <v>6</v>
      </c>
      <c r="N17" s="1254">
        <f t="shared" si="5"/>
        <v>6</v>
      </c>
      <c r="O17" s="1254">
        <f t="shared" si="5"/>
        <v>7</v>
      </c>
      <c r="P17" s="1254">
        <f t="shared" si="5"/>
        <v>8</v>
      </c>
      <c r="Q17" s="1254">
        <f t="shared" si="5"/>
        <v>3</v>
      </c>
      <c r="R17" s="1254">
        <f t="shared" si="5"/>
        <v>4</v>
      </c>
      <c r="S17" s="1254">
        <f t="shared" si="5"/>
        <v>5</v>
      </c>
      <c r="T17" s="1254">
        <f t="shared" si="5"/>
        <v>6</v>
      </c>
      <c r="U17" s="1254">
        <f t="shared" si="5"/>
        <v>5</v>
      </c>
      <c r="V17" s="1254">
        <f t="shared" si="5"/>
        <v>6</v>
      </c>
      <c r="W17" s="1254">
        <f t="shared" si="5"/>
        <v>7</v>
      </c>
      <c r="X17" s="1254">
        <f t="shared" si="5"/>
        <v>7</v>
      </c>
      <c r="Y17" s="1254">
        <f t="shared" si="5"/>
        <v>8</v>
      </c>
      <c r="Z17" s="1254">
        <f t="shared" si="5"/>
        <v>9</v>
      </c>
      <c r="AA17" s="1254">
        <f t="shared" si="5"/>
        <v>6</v>
      </c>
      <c r="AB17" s="1254">
        <f t="shared" si="5"/>
        <v>7</v>
      </c>
      <c r="AC17" s="1254">
        <f t="shared" si="5"/>
        <v>8</v>
      </c>
      <c r="AD17" s="1254">
        <f t="shared" si="5"/>
        <v>8</v>
      </c>
      <c r="AE17" s="1254">
        <f t="shared" si="5"/>
        <v>9</v>
      </c>
      <c r="AF17" s="1254">
        <f t="shared" si="5"/>
        <v>10</v>
      </c>
      <c r="AG17" s="1254">
        <f t="shared" si="5"/>
        <v>9</v>
      </c>
      <c r="AH17" s="1254">
        <f t="shared" si="5"/>
        <v>10</v>
      </c>
      <c r="AI17" s="1254">
        <f t="shared" si="5"/>
        <v>11</v>
      </c>
      <c r="AJ17" s="1254">
        <f t="shared" si="5"/>
        <v>12</v>
      </c>
      <c r="AK17" s="1254">
        <f t="shared" si="5"/>
        <v>4</v>
      </c>
      <c r="AL17" s="1254">
        <f t="shared" si="5"/>
        <v>5</v>
      </c>
      <c r="AM17" s="1254">
        <f t="shared" si="5"/>
        <v>6</v>
      </c>
      <c r="AN17" s="1254">
        <f t="shared" si="5"/>
        <v>7</v>
      </c>
      <c r="AO17" s="1254">
        <f t="shared" si="5"/>
        <v>6</v>
      </c>
      <c r="AP17" s="1254">
        <f t="shared" si="5"/>
        <v>7</v>
      </c>
      <c r="AQ17" s="1254">
        <f t="shared" si="5"/>
        <v>8</v>
      </c>
      <c r="AR17" s="1254">
        <f t="shared" si="5"/>
        <v>8</v>
      </c>
      <c r="AS17" s="1254">
        <f t="shared" si="5"/>
        <v>9</v>
      </c>
      <c r="AT17" s="1254">
        <f t="shared" si="5"/>
        <v>10</v>
      </c>
      <c r="AU17" s="1254">
        <f t="shared" si="5"/>
        <v>7</v>
      </c>
      <c r="AV17" s="1254">
        <f t="shared" si="5"/>
        <v>8</v>
      </c>
      <c r="AW17" s="1254">
        <f t="shared" si="5"/>
        <v>9</v>
      </c>
      <c r="AX17" s="1254">
        <f t="shared" si="5"/>
        <v>9</v>
      </c>
      <c r="AY17" s="1254">
        <f t="shared" si="5"/>
        <v>10</v>
      </c>
      <c r="AZ17" s="1254">
        <f t="shared" si="5"/>
        <v>11</v>
      </c>
      <c r="BA17" s="1254">
        <f t="shared" si="5"/>
        <v>10</v>
      </c>
      <c r="BB17" s="1254">
        <f t="shared" si="5"/>
        <v>11</v>
      </c>
      <c r="BC17" s="1254">
        <f t="shared" si="5"/>
        <v>12</v>
      </c>
      <c r="BD17" s="1254">
        <f t="shared" si="5"/>
        <v>13</v>
      </c>
      <c r="BE17" s="1254">
        <f t="shared" si="5"/>
        <v>8</v>
      </c>
      <c r="BF17" s="1254">
        <f t="shared" si="5"/>
        <v>9</v>
      </c>
      <c r="BG17" s="1254">
        <f t="shared" si="5"/>
        <v>10</v>
      </c>
      <c r="BH17" s="1254">
        <f t="shared" si="5"/>
        <v>10</v>
      </c>
      <c r="BI17" s="1254">
        <f t="shared" si="5"/>
        <v>11</v>
      </c>
      <c r="BJ17" s="1254">
        <f t="shared" si="5"/>
        <v>12</v>
      </c>
      <c r="BK17" s="1254">
        <f t="shared" si="5"/>
        <v>11</v>
      </c>
      <c r="BL17" s="1254">
        <f t="shared" si="5"/>
        <v>12</v>
      </c>
      <c r="BM17" s="1254">
        <f t="shared" si="5"/>
        <v>13</v>
      </c>
      <c r="BN17" s="1254">
        <f t="shared" si="5"/>
        <v>14</v>
      </c>
      <c r="BO17" s="1254">
        <f t="shared" ref="BO17:BS17" si="6">$K5-BO16</f>
        <v>12</v>
      </c>
      <c r="BP17" s="1254">
        <f t="shared" si="6"/>
        <v>13</v>
      </c>
      <c r="BQ17" s="1254">
        <f t="shared" si="6"/>
        <v>14</v>
      </c>
      <c r="BR17" s="1254">
        <f t="shared" si="6"/>
        <v>15</v>
      </c>
      <c r="BS17" s="1085">
        <f t="shared" si="6"/>
        <v>16</v>
      </c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</row>
    <row r="18" spans="1:89" s="1537" customFormat="1">
      <c r="A18" s="1532" t="s">
        <v>4243</v>
      </c>
      <c r="B18" s="1084">
        <f>$H5-B16</f>
        <v>10</v>
      </c>
      <c r="C18" s="1254">
        <f t="shared" ref="C18:BN18" si="7">$H5-C16</f>
        <v>11</v>
      </c>
      <c r="D18" s="1254">
        <f t="shared" si="7"/>
        <v>12</v>
      </c>
      <c r="E18" s="1254">
        <f t="shared" si="7"/>
        <v>13</v>
      </c>
      <c r="F18" s="1254">
        <f t="shared" si="7"/>
        <v>14</v>
      </c>
      <c r="G18" s="1254">
        <f t="shared" si="7"/>
        <v>12</v>
      </c>
      <c r="H18" s="1254">
        <f t="shared" si="7"/>
        <v>13</v>
      </c>
      <c r="I18" s="1254">
        <f t="shared" si="7"/>
        <v>14</v>
      </c>
      <c r="J18" s="1254">
        <f t="shared" si="7"/>
        <v>15</v>
      </c>
      <c r="K18" s="1254">
        <f t="shared" si="7"/>
        <v>14</v>
      </c>
      <c r="L18" s="1254">
        <f t="shared" si="7"/>
        <v>15</v>
      </c>
      <c r="M18" s="1254">
        <f t="shared" si="7"/>
        <v>16</v>
      </c>
      <c r="N18" s="1254">
        <f t="shared" si="7"/>
        <v>16</v>
      </c>
      <c r="O18" s="1254">
        <f t="shared" si="7"/>
        <v>17</v>
      </c>
      <c r="P18" s="1254">
        <f t="shared" si="7"/>
        <v>18</v>
      </c>
      <c r="Q18" s="1254">
        <f t="shared" si="7"/>
        <v>13</v>
      </c>
      <c r="R18" s="1254">
        <f t="shared" si="7"/>
        <v>14</v>
      </c>
      <c r="S18" s="1254">
        <f t="shared" si="7"/>
        <v>15</v>
      </c>
      <c r="T18" s="1254">
        <f t="shared" si="7"/>
        <v>16</v>
      </c>
      <c r="U18" s="1254">
        <f t="shared" si="7"/>
        <v>15</v>
      </c>
      <c r="V18" s="1254">
        <f t="shared" si="7"/>
        <v>16</v>
      </c>
      <c r="W18" s="1254">
        <f t="shared" si="7"/>
        <v>17</v>
      </c>
      <c r="X18" s="1254">
        <f t="shared" si="7"/>
        <v>17</v>
      </c>
      <c r="Y18" s="1254">
        <f t="shared" si="7"/>
        <v>18</v>
      </c>
      <c r="Z18" s="1254">
        <f t="shared" si="7"/>
        <v>19</v>
      </c>
      <c r="AA18" s="1254">
        <f t="shared" si="7"/>
        <v>16</v>
      </c>
      <c r="AB18" s="1254">
        <f t="shared" si="7"/>
        <v>17</v>
      </c>
      <c r="AC18" s="1254">
        <f t="shared" si="7"/>
        <v>18</v>
      </c>
      <c r="AD18" s="1254">
        <f t="shared" si="7"/>
        <v>18</v>
      </c>
      <c r="AE18" s="1254">
        <f t="shared" si="7"/>
        <v>19</v>
      </c>
      <c r="AF18" s="1254">
        <f t="shared" si="7"/>
        <v>20</v>
      </c>
      <c r="AG18" s="1254">
        <f t="shared" si="7"/>
        <v>19</v>
      </c>
      <c r="AH18" s="1254">
        <f t="shared" si="7"/>
        <v>20</v>
      </c>
      <c r="AI18" s="1254">
        <f t="shared" si="7"/>
        <v>21</v>
      </c>
      <c r="AJ18" s="1254">
        <f t="shared" si="7"/>
        <v>22</v>
      </c>
      <c r="AK18" s="1254">
        <f t="shared" si="7"/>
        <v>14</v>
      </c>
      <c r="AL18" s="1254">
        <f t="shared" si="7"/>
        <v>15</v>
      </c>
      <c r="AM18" s="1254">
        <f t="shared" si="7"/>
        <v>16</v>
      </c>
      <c r="AN18" s="1254">
        <f t="shared" si="7"/>
        <v>17</v>
      </c>
      <c r="AO18" s="1254">
        <f t="shared" si="7"/>
        <v>16</v>
      </c>
      <c r="AP18" s="1254">
        <f t="shared" si="7"/>
        <v>17</v>
      </c>
      <c r="AQ18" s="1254">
        <f t="shared" si="7"/>
        <v>18</v>
      </c>
      <c r="AR18" s="1254">
        <f t="shared" si="7"/>
        <v>18</v>
      </c>
      <c r="AS18" s="1254">
        <f t="shared" si="7"/>
        <v>19</v>
      </c>
      <c r="AT18" s="1254">
        <f t="shared" si="7"/>
        <v>20</v>
      </c>
      <c r="AU18" s="1254">
        <f t="shared" si="7"/>
        <v>17</v>
      </c>
      <c r="AV18" s="1254">
        <f t="shared" si="7"/>
        <v>18</v>
      </c>
      <c r="AW18" s="1254">
        <f t="shared" si="7"/>
        <v>19</v>
      </c>
      <c r="AX18" s="1254">
        <f t="shared" si="7"/>
        <v>19</v>
      </c>
      <c r="AY18" s="1254">
        <f t="shared" si="7"/>
        <v>20</v>
      </c>
      <c r="AZ18" s="1254">
        <f t="shared" si="7"/>
        <v>21</v>
      </c>
      <c r="BA18" s="1254">
        <f t="shared" si="7"/>
        <v>20</v>
      </c>
      <c r="BB18" s="1254">
        <f t="shared" si="7"/>
        <v>21</v>
      </c>
      <c r="BC18" s="1254">
        <f t="shared" si="7"/>
        <v>22</v>
      </c>
      <c r="BD18" s="1254">
        <f t="shared" si="7"/>
        <v>23</v>
      </c>
      <c r="BE18" s="1254">
        <f t="shared" si="7"/>
        <v>18</v>
      </c>
      <c r="BF18" s="1254">
        <f t="shared" si="7"/>
        <v>19</v>
      </c>
      <c r="BG18" s="1254">
        <f t="shared" si="7"/>
        <v>20</v>
      </c>
      <c r="BH18" s="1254">
        <f t="shared" si="7"/>
        <v>20</v>
      </c>
      <c r="BI18" s="1254">
        <f t="shared" si="7"/>
        <v>21</v>
      </c>
      <c r="BJ18" s="1254">
        <f t="shared" si="7"/>
        <v>22</v>
      </c>
      <c r="BK18" s="1254">
        <f t="shared" si="7"/>
        <v>21</v>
      </c>
      <c r="BL18" s="1254">
        <f t="shared" si="7"/>
        <v>22</v>
      </c>
      <c r="BM18" s="1254">
        <f t="shared" si="7"/>
        <v>23</v>
      </c>
      <c r="BN18" s="1254">
        <f t="shared" si="7"/>
        <v>24</v>
      </c>
      <c r="BO18" s="1254">
        <f t="shared" ref="BO18:BS18" si="8">$H5-BO16</f>
        <v>22</v>
      </c>
      <c r="BP18" s="1254">
        <f t="shared" si="8"/>
        <v>23</v>
      </c>
      <c r="BQ18" s="1254">
        <f t="shared" si="8"/>
        <v>24</v>
      </c>
      <c r="BR18" s="1254">
        <f t="shared" si="8"/>
        <v>25</v>
      </c>
      <c r="BS18" s="1085">
        <f t="shared" si="8"/>
        <v>26</v>
      </c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</row>
    <row r="19" spans="1:89" s="1537" customFormat="1">
      <c r="A19" s="1532" t="s">
        <v>4244</v>
      </c>
      <c r="B19" s="1084">
        <f>$K5-B18</f>
        <v>16</v>
      </c>
      <c r="C19" s="1254">
        <f t="shared" ref="C19:BN19" si="9">$K5-C18</f>
        <v>15</v>
      </c>
      <c r="D19" s="1254">
        <f t="shared" si="9"/>
        <v>14</v>
      </c>
      <c r="E19" s="1254">
        <f t="shared" si="9"/>
        <v>13</v>
      </c>
      <c r="F19" s="1254">
        <f t="shared" si="9"/>
        <v>12</v>
      </c>
      <c r="G19" s="1254">
        <f t="shared" si="9"/>
        <v>14</v>
      </c>
      <c r="H19" s="1254">
        <f t="shared" si="9"/>
        <v>13</v>
      </c>
      <c r="I19" s="1254">
        <f t="shared" si="9"/>
        <v>12</v>
      </c>
      <c r="J19" s="1254">
        <f t="shared" si="9"/>
        <v>11</v>
      </c>
      <c r="K19" s="1254">
        <f t="shared" si="9"/>
        <v>12</v>
      </c>
      <c r="L19" s="1254">
        <f t="shared" si="9"/>
        <v>11</v>
      </c>
      <c r="M19" s="1254">
        <f t="shared" si="9"/>
        <v>10</v>
      </c>
      <c r="N19" s="1254">
        <f t="shared" si="9"/>
        <v>10</v>
      </c>
      <c r="O19" s="1254">
        <f t="shared" si="9"/>
        <v>9</v>
      </c>
      <c r="P19" s="1254">
        <f t="shared" si="9"/>
        <v>8</v>
      </c>
      <c r="Q19" s="1254">
        <f t="shared" si="9"/>
        <v>13</v>
      </c>
      <c r="R19" s="1254">
        <f t="shared" si="9"/>
        <v>12</v>
      </c>
      <c r="S19" s="1254">
        <f t="shared" si="9"/>
        <v>11</v>
      </c>
      <c r="T19" s="1254">
        <f t="shared" si="9"/>
        <v>10</v>
      </c>
      <c r="U19" s="1254">
        <f t="shared" si="9"/>
        <v>11</v>
      </c>
      <c r="V19" s="1254">
        <f t="shared" si="9"/>
        <v>10</v>
      </c>
      <c r="W19" s="1254">
        <f t="shared" si="9"/>
        <v>9</v>
      </c>
      <c r="X19" s="1254">
        <f t="shared" si="9"/>
        <v>9</v>
      </c>
      <c r="Y19" s="1254">
        <f t="shared" si="9"/>
        <v>8</v>
      </c>
      <c r="Z19" s="1254">
        <f t="shared" si="9"/>
        <v>7</v>
      </c>
      <c r="AA19" s="1254">
        <f t="shared" si="9"/>
        <v>10</v>
      </c>
      <c r="AB19" s="1254">
        <f t="shared" si="9"/>
        <v>9</v>
      </c>
      <c r="AC19" s="1254">
        <f t="shared" si="9"/>
        <v>8</v>
      </c>
      <c r="AD19" s="1254">
        <f t="shared" si="9"/>
        <v>8</v>
      </c>
      <c r="AE19" s="1254">
        <f t="shared" si="9"/>
        <v>7</v>
      </c>
      <c r="AF19" s="1254">
        <f t="shared" si="9"/>
        <v>6</v>
      </c>
      <c r="AG19" s="1254">
        <f t="shared" si="9"/>
        <v>7</v>
      </c>
      <c r="AH19" s="1254">
        <f t="shared" si="9"/>
        <v>6</v>
      </c>
      <c r="AI19" s="1254">
        <f t="shared" si="9"/>
        <v>5</v>
      </c>
      <c r="AJ19" s="1254">
        <f t="shared" si="9"/>
        <v>4</v>
      </c>
      <c r="AK19" s="1254">
        <f t="shared" si="9"/>
        <v>12</v>
      </c>
      <c r="AL19" s="1254">
        <f t="shared" si="9"/>
        <v>11</v>
      </c>
      <c r="AM19" s="1254">
        <f t="shared" si="9"/>
        <v>10</v>
      </c>
      <c r="AN19" s="1254">
        <f t="shared" si="9"/>
        <v>9</v>
      </c>
      <c r="AO19" s="1254">
        <f t="shared" si="9"/>
        <v>10</v>
      </c>
      <c r="AP19" s="1254">
        <f t="shared" si="9"/>
        <v>9</v>
      </c>
      <c r="AQ19" s="1254">
        <f t="shared" si="9"/>
        <v>8</v>
      </c>
      <c r="AR19" s="1254">
        <f t="shared" si="9"/>
        <v>8</v>
      </c>
      <c r="AS19" s="1254">
        <f t="shared" si="9"/>
        <v>7</v>
      </c>
      <c r="AT19" s="1254">
        <f t="shared" si="9"/>
        <v>6</v>
      </c>
      <c r="AU19" s="1254">
        <f t="shared" si="9"/>
        <v>9</v>
      </c>
      <c r="AV19" s="1254">
        <f t="shared" si="9"/>
        <v>8</v>
      </c>
      <c r="AW19" s="1254">
        <f t="shared" si="9"/>
        <v>7</v>
      </c>
      <c r="AX19" s="1254">
        <f t="shared" si="9"/>
        <v>7</v>
      </c>
      <c r="AY19" s="1254">
        <f t="shared" si="9"/>
        <v>6</v>
      </c>
      <c r="AZ19" s="1254">
        <f t="shared" si="9"/>
        <v>5</v>
      </c>
      <c r="BA19" s="1254">
        <f t="shared" si="9"/>
        <v>6</v>
      </c>
      <c r="BB19" s="1254">
        <f t="shared" si="9"/>
        <v>5</v>
      </c>
      <c r="BC19" s="1254">
        <f t="shared" si="9"/>
        <v>4</v>
      </c>
      <c r="BD19" s="1254">
        <f t="shared" si="9"/>
        <v>3</v>
      </c>
      <c r="BE19" s="1254">
        <f t="shared" si="9"/>
        <v>8</v>
      </c>
      <c r="BF19" s="1254">
        <f t="shared" si="9"/>
        <v>7</v>
      </c>
      <c r="BG19" s="1254">
        <f t="shared" si="9"/>
        <v>6</v>
      </c>
      <c r="BH19" s="1254">
        <f t="shared" si="9"/>
        <v>6</v>
      </c>
      <c r="BI19" s="1254">
        <f t="shared" si="9"/>
        <v>5</v>
      </c>
      <c r="BJ19" s="1254">
        <f t="shared" si="9"/>
        <v>4</v>
      </c>
      <c r="BK19" s="1254">
        <f t="shared" si="9"/>
        <v>5</v>
      </c>
      <c r="BL19" s="1254">
        <f t="shared" si="9"/>
        <v>4</v>
      </c>
      <c r="BM19" s="1254">
        <f t="shared" si="9"/>
        <v>3</v>
      </c>
      <c r="BN19" s="1254">
        <f t="shared" si="9"/>
        <v>2</v>
      </c>
      <c r="BO19" s="1254">
        <f t="shared" ref="BO19:BS19" si="10">$K5-BO18</f>
        <v>4</v>
      </c>
      <c r="BP19" s="1254">
        <f t="shared" si="10"/>
        <v>3</v>
      </c>
      <c r="BQ19" s="1254">
        <f t="shared" si="10"/>
        <v>2</v>
      </c>
      <c r="BR19" s="1254">
        <f t="shared" si="10"/>
        <v>1</v>
      </c>
      <c r="BS19" s="1085">
        <f t="shared" si="10"/>
        <v>0</v>
      </c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</row>
    <row r="20" spans="1:89" s="1537" customFormat="1">
      <c r="A20" s="1532" t="s">
        <v>1821</v>
      </c>
      <c r="B20" s="1538">
        <f>MIN(B17,B19)</f>
        <v>0</v>
      </c>
      <c r="C20" s="1539">
        <f t="shared" ref="C20:BN20" si="11">MIN(C17,C19)</f>
        <v>1</v>
      </c>
      <c r="D20" s="1539">
        <f t="shared" si="11"/>
        <v>2</v>
      </c>
      <c r="E20" s="1539">
        <f t="shared" si="11"/>
        <v>3</v>
      </c>
      <c r="F20" s="1539">
        <f t="shared" si="11"/>
        <v>4</v>
      </c>
      <c r="G20" s="1539">
        <f t="shared" si="11"/>
        <v>2</v>
      </c>
      <c r="H20" s="1539">
        <f t="shared" si="11"/>
        <v>3</v>
      </c>
      <c r="I20" s="1539">
        <f t="shared" si="11"/>
        <v>4</v>
      </c>
      <c r="J20" s="1539">
        <f t="shared" si="11"/>
        <v>5</v>
      </c>
      <c r="K20" s="1539">
        <f t="shared" si="11"/>
        <v>4</v>
      </c>
      <c r="L20" s="1539">
        <f t="shared" si="11"/>
        <v>5</v>
      </c>
      <c r="M20" s="1539">
        <f t="shared" si="11"/>
        <v>6</v>
      </c>
      <c r="N20" s="1539">
        <f t="shared" si="11"/>
        <v>6</v>
      </c>
      <c r="O20" s="1539">
        <f t="shared" si="11"/>
        <v>7</v>
      </c>
      <c r="P20" s="1539">
        <f t="shared" si="11"/>
        <v>8</v>
      </c>
      <c r="Q20" s="1539">
        <f t="shared" si="11"/>
        <v>3</v>
      </c>
      <c r="R20" s="1539">
        <f t="shared" si="11"/>
        <v>4</v>
      </c>
      <c r="S20" s="1539">
        <f t="shared" si="11"/>
        <v>5</v>
      </c>
      <c r="T20" s="1539">
        <f t="shared" si="11"/>
        <v>6</v>
      </c>
      <c r="U20" s="1539">
        <f t="shared" si="11"/>
        <v>5</v>
      </c>
      <c r="V20" s="1539">
        <f t="shared" si="11"/>
        <v>6</v>
      </c>
      <c r="W20" s="1539">
        <f t="shared" si="11"/>
        <v>7</v>
      </c>
      <c r="X20" s="1539">
        <f t="shared" si="11"/>
        <v>7</v>
      </c>
      <c r="Y20" s="1539">
        <f t="shared" si="11"/>
        <v>8</v>
      </c>
      <c r="Z20" s="1539">
        <f t="shared" si="11"/>
        <v>7</v>
      </c>
      <c r="AA20" s="1539">
        <f t="shared" si="11"/>
        <v>6</v>
      </c>
      <c r="AB20" s="1539">
        <f t="shared" si="11"/>
        <v>7</v>
      </c>
      <c r="AC20" s="1539">
        <f t="shared" si="11"/>
        <v>8</v>
      </c>
      <c r="AD20" s="1539">
        <f t="shared" si="11"/>
        <v>8</v>
      </c>
      <c r="AE20" s="1539">
        <f t="shared" si="11"/>
        <v>7</v>
      </c>
      <c r="AF20" s="1539">
        <f t="shared" si="11"/>
        <v>6</v>
      </c>
      <c r="AG20" s="1539">
        <f t="shared" si="11"/>
        <v>7</v>
      </c>
      <c r="AH20" s="1539">
        <f t="shared" si="11"/>
        <v>6</v>
      </c>
      <c r="AI20" s="1539">
        <f t="shared" si="11"/>
        <v>5</v>
      </c>
      <c r="AJ20" s="1539">
        <f t="shared" si="11"/>
        <v>4</v>
      </c>
      <c r="AK20" s="1539">
        <f t="shared" si="11"/>
        <v>4</v>
      </c>
      <c r="AL20" s="1539">
        <f t="shared" si="11"/>
        <v>5</v>
      </c>
      <c r="AM20" s="1539">
        <f t="shared" si="11"/>
        <v>6</v>
      </c>
      <c r="AN20" s="1539">
        <f t="shared" si="11"/>
        <v>7</v>
      </c>
      <c r="AO20" s="1539">
        <f t="shared" si="11"/>
        <v>6</v>
      </c>
      <c r="AP20" s="1539">
        <f t="shared" si="11"/>
        <v>7</v>
      </c>
      <c r="AQ20" s="1539">
        <f t="shared" si="11"/>
        <v>8</v>
      </c>
      <c r="AR20" s="1539">
        <f t="shared" si="11"/>
        <v>8</v>
      </c>
      <c r="AS20" s="1539">
        <f t="shared" si="11"/>
        <v>7</v>
      </c>
      <c r="AT20" s="1539">
        <f t="shared" si="11"/>
        <v>6</v>
      </c>
      <c r="AU20" s="1539">
        <f t="shared" si="11"/>
        <v>7</v>
      </c>
      <c r="AV20" s="1539">
        <f t="shared" si="11"/>
        <v>8</v>
      </c>
      <c r="AW20" s="1539">
        <f t="shared" si="11"/>
        <v>7</v>
      </c>
      <c r="AX20" s="1539">
        <f t="shared" si="11"/>
        <v>7</v>
      </c>
      <c r="AY20" s="1539">
        <f t="shared" si="11"/>
        <v>6</v>
      </c>
      <c r="AZ20" s="1539">
        <f t="shared" si="11"/>
        <v>5</v>
      </c>
      <c r="BA20" s="1539">
        <f t="shared" si="11"/>
        <v>6</v>
      </c>
      <c r="BB20" s="1539">
        <f t="shared" si="11"/>
        <v>5</v>
      </c>
      <c r="BC20" s="1539">
        <f t="shared" si="11"/>
        <v>4</v>
      </c>
      <c r="BD20" s="1539">
        <f t="shared" si="11"/>
        <v>3</v>
      </c>
      <c r="BE20" s="1539">
        <f t="shared" si="11"/>
        <v>8</v>
      </c>
      <c r="BF20" s="1539">
        <f t="shared" si="11"/>
        <v>7</v>
      </c>
      <c r="BG20" s="1539">
        <f t="shared" si="11"/>
        <v>6</v>
      </c>
      <c r="BH20" s="1539">
        <f t="shared" si="11"/>
        <v>6</v>
      </c>
      <c r="BI20" s="1539">
        <f t="shared" si="11"/>
        <v>5</v>
      </c>
      <c r="BJ20" s="1539">
        <f t="shared" si="11"/>
        <v>4</v>
      </c>
      <c r="BK20" s="1539">
        <f t="shared" si="11"/>
        <v>5</v>
      </c>
      <c r="BL20" s="1539">
        <f t="shared" si="11"/>
        <v>4</v>
      </c>
      <c r="BM20" s="1539">
        <f t="shared" si="11"/>
        <v>3</v>
      </c>
      <c r="BN20" s="1539">
        <f t="shared" si="11"/>
        <v>2</v>
      </c>
      <c r="BO20" s="1539">
        <f t="shared" ref="BO20:BS20" si="12">MIN(BO17,BO19)</f>
        <v>4</v>
      </c>
      <c r="BP20" s="1539">
        <f t="shared" si="12"/>
        <v>3</v>
      </c>
      <c r="BQ20" s="1539">
        <f t="shared" si="12"/>
        <v>2</v>
      </c>
      <c r="BR20" s="1539">
        <f t="shared" si="12"/>
        <v>1</v>
      </c>
      <c r="BS20" s="1540">
        <f t="shared" si="12"/>
        <v>0</v>
      </c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</row>
    <row r="21" spans="1:89">
      <c r="A21" s="1"/>
    </row>
    <row r="22" spans="1:89">
      <c r="A22" s="19" t="s">
        <v>1821</v>
      </c>
      <c r="B22">
        <v>0</v>
      </c>
      <c r="C22">
        <f>B22+1</f>
        <v>1</v>
      </c>
      <c r="D22">
        <f t="shared" ref="D22:J22" si="13">C22+1</f>
        <v>2</v>
      </c>
      <c r="E22">
        <f t="shared" si="13"/>
        <v>3</v>
      </c>
      <c r="F22">
        <f t="shared" si="13"/>
        <v>4</v>
      </c>
      <c r="G22">
        <f t="shared" si="13"/>
        <v>5</v>
      </c>
      <c r="H22">
        <f t="shared" si="13"/>
        <v>6</v>
      </c>
      <c r="I22">
        <f t="shared" si="13"/>
        <v>7</v>
      </c>
      <c r="J22">
        <f t="shared" si="13"/>
        <v>8</v>
      </c>
    </row>
    <row r="23" spans="1:89">
      <c r="A23" s="19" t="s">
        <v>100</v>
      </c>
      <c r="B23" s="1236">
        <f>COUNTIF($B20:$BS20,B22)</f>
        <v>2</v>
      </c>
      <c r="C23" s="1152">
        <f t="shared" ref="C23:J23" si="14">COUNTIF($B20:$BS20,C22)</f>
        <v>2</v>
      </c>
      <c r="D23" s="1152">
        <f t="shared" si="14"/>
        <v>4</v>
      </c>
      <c r="E23" s="1152">
        <f t="shared" si="14"/>
        <v>6</v>
      </c>
      <c r="F23" s="1152">
        <f t="shared" si="14"/>
        <v>10</v>
      </c>
      <c r="G23" s="1152">
        <f t="shared" si="14"/>
        <v>10</v>
      </c>
      <c r="H23" s="1152">
        <f t="shared" si="14"/>
        <v>14</v>
      </c>
      <c r="I23" s="1152">
        <f t="shared" si="14"/>
        <v>14</v>
      </c>
      <c r="J23" s="1237">
        <f t="shared" si="14"/>
        <v>8</v>
      </c>
      <c r="K23" s="66">
        <f>SUM(B23:J23)</f>
        <v>70</v>
      </c>
    </row>
    <row r="24" spans="1:89">
      <c r="A24" s="19" t="s">
        <v>1707</v>
      </c>
      <c r="B24" s="656">
        <f t="shared" ref="B24:J24" si="15">B23/$K23</f>
        <v>2.8571428571428571E-2</v>
      </c>
      <c r="C24" s="8">
        <f t="shared" si="15"/>
        <v>2.8571428571428571E-2</v>
      </c>
      <c r="D24" s="8">
        <f t="shared" si="15"/>
        <v>5.7142857142857141E-2</v>
      </c>
      <c r="E24" s="8">
        <f t="shared" si="15"/>
        <v>8.5714285714285715E-2</v>
      </c>
      <c r="F24" s="8">
        <f t="shared" si="15"/>
        <v>0.14285714285714285</v>
      </c>
      <c r="G24" s="8">
        <f t="shared" si="15"/>
        <v>0.14285714285714285</v>
      </c>
      <c r="H24" s="8">
        <f t="shared" si="15"/>
        <v>0.2</v>
      </c>
      <c r="I24" s="8">
        <f t="shared" si="15"/>
        <v>0.2</v>
      </c>
      <c r="J24" s="657">
        <f t="shared" si="15"/>
        <v>0.11428571428571428</v>
      </c>
    </row>
    <row r="25" spans="1:89">
      <c r="A25" s="43" t="s">
        <v>2948</v>
      </c>
      <c r="B25" s="533">
        <f>B24</f>
        <v>2.8571428571428571E-2</v>
      </c>
      <c r="C25" s="1078">
        <f>B25+C24</f>
        <v>5.7142857142857141E-2</v>
      </c>
      <c r="D25" s="1078">
        <f t="shared" ref="D25:J25" si="16">C25+D24</f>
        <v>0.11428571428571428</v>
      </c>
      <c r="E25" s="1078">
        <f t="shared" si="16"/>
        <v>0.2</v>
      </c>
      <c r="F25" s="1078">
        <f t="shared" si="16"/>
        <v>0.34285714285714286</v>
      </c>
      <c r="G25" s="1078">
        <f t="shared" si="16"/>
        <v>0.48571428571428571</v>
      </c>
      <c r="H25" s="1078">
        <f t="shared" si="16"/>
        <v>0.68571428571428572</v>
      </c>
      <c r="I25" s="1078">
        <f t="shared" si="16"/>
        <v>0.88571428571428568</v>
      </c>
      <c r="J25" s="541">
        <f t="shared" si="16"/>
        <v>1</v>
      </c>
    </row>
    <row r="29" spans="1:89">
      <c r="A29" s="25" t="s">
        <v>291</v>
      </c>
      <c r="B29" s="756">
        <v>3</v>
      </c>
      <c r="D29" t="s">
        <v>292</v>
      </c>
      <c r="E29" s="756">
        <v>4</v>
      </c>
      <c r="G29" t="s">
        <v>106</v>
      </c>
      <c r="H29" s="756">
        <f>B29+E29</f>
        <v>7</v>
      </c>
    </row>
    <row r="30" spans="1:89">
      <c r="A30" s="1"/>
    </row>
    <row r="31" spans="1:89">
      <c r="A31" s="25" t="s">
        <v>3358</v>
      </c>
      <c r="B31" s="756">
        <f>B29*(B29+1)/2</f>
        <v>6</v>
      </c>
      <c r="D31" t="s">
        <v>141</v>
      </c>
      <c r="E31" s="756">
        <f>E29*(E29+1)/2</f>
        <v>10</v>
      </c>
      <c r="G31" t="s">
        <v>142</v>
      </c>
      <c r="H31" s="756">
        <f>H29*(H29+1)/2</f>
        <v>28</v>
      </c>
      <c r="J31" t="s">
        <v>3359</v>
      </c>
      <c r="K31" s="756">
        <f>H31-E31</f>
        <v>18</v>
      </c>
      <c r="M31" t="s">
        <v>2781</v>
      </c>
      <c r="N31" s="756">
        <f>COMBIN(H29,E29)</f>
        <v>35</v>
      </c>
    </row>
    <row r="32" spans="1:89">
      <c r="A32" s="1"/>
    </row>
    <row r="33" spans="1:36">
      <c r="B33">
        <v>1</v>
      </c>
      <c r="C33">
        <f>B33+1</f>
        <v>2</v>
      </c>
      <c r="D33">
        <f t="shared" ref="D33:AJ33" si="17">C33+1</f>
        <v>3</v>
      </c>
      <c r="E33">
        <f t="shared" si="17"/>
        <v>4</v>
      </c>
      <c r="F33">
        <f t="shared" si="17"/>
        <v>5</v>
      </c>
      <c r="G33">
        <f t="shared" si="17"/>
        <v>6</v>
      </c>
      <c r="H33">
        <f t="shared" si="17"/>
        <v>7</v>
      </c>
      <c r="I33">
        <f t="shared" si="17"/>
        <v>8</v>
      </c>
      <c r="J33">
        <f t="shared" si="17"/>
        <v>9</v>
      </c>
      <c r="K33">
        <f t="shared" si="17"/>
        <v>10</v>
      </c>
      <c r="L33">
        <f t="shared" si="17"/>
        <v>11</v>
      </c>
      <c r="M33">
        <f t="shared" si="17"/>
        <v>12</v>
      </c>
      <c r="N33">
        <f t="shared" si="17"/>
        <v>13</v>
      </c>
      <c r="O33">
        <f t="shared" si="17"/>
        <v>14</v>
      </c>
      <c r="P33">
        <f t="shared" si="17"/>
        <v>15</v>
      </c>
      <c r="Q33">
        <f t="shared" si="17"/>
        <v>16</v>
      </c>
      <c r="R33">
        <f t="shared" si="17"/>
        <v>17</v>
      </c>
      <c r="S33">
        <f t="shared" si="17"/>
        <v>18</v>
      </c>
      <c r="T33">
        <f t="shared" si="17"/>
        <v>19</v>
      </c>
      <c r="U33">
        <f t="shared" si="17"/>
        <v>20</v>
      </c>
      <c r="V33">
        <f t="shared" si="17"/>
        <v>21</v>
      </c>
      <c r="W33">
        <f t="shared" si="17"/>
        <v>22</v>
      </c>
      <c r="X33">
        <f t="shared" si="17"/>
        <v>23</v>
      </c>
      <c r="Y33">
        <f t="shared" si="17"/>
        <v>24</v>
      </c>
      <c r="Z33">
        <f t="shared" si="17"/>
        <v>25</v>
      </c>
      <c r="AA33">
        <f t="shared" si="17"/>
        <v>26</v>
      </c>
      <c r="AB33">
        <f t="shared" si="17"/>
        <v>27</v>
      </c>
      <c r="AC33">
        <f t="shared" si="17"/>
        <v>28</v>
      </c>
      <c r="AD33">
        <f t="shared" si="17"/>
        <v>29</v>
      </c>
      <c r="AE33">
        <f t="shared" si="17"/>
        <v>30</v>
      </c>
      <c r="AF33">
        <f t="shared" si="17"/>
        <v>31</v>
      </c>
      <c r="AG33">
        <f t="shared" si="17"/>
        <v>32</v>
      </c>
      <c r="AH33">
        <f t="shared" si="17"/>
        <v>33</v>
      </c>
      <c r="AI33">
        <f t="shared" si="17"/>
        <v>34</v>
      </c>
      <c r="AJ33">
        <f t="shared" si="17"/>
        <v>35</v>
      </c>
    </row>
    <row r="34" spans="1:36">
      <c r="A34">
        <f>A33+1</f>
        <v>1</v>
      </c>
      <c r="B34" s="1236">
        <v>0</v>
      </c>
      <c r="C34" s="1152">
        <v>0</v>
      </c>
      <c r="D34" s="1152">
        <v>0</v>
      </c>
      <c r="E34" s="1152">
        <v>0</v>
      </c>
      <c r="F34" s="1152">
        <v>0</v>
      </c>
      <c r="G34" s="1152">
        <v>0</v>
      </c>
      <c r="H34" s="1152">
        <v>0</v>
      </c>
      <c r="I34" s="1152">
        <v>0</v>
      </c>
      <c r="J34" s="1152">
        <v>0</v>
      </c>
      <c r="K34" s="1152">
        <v>0</v>
      </c>
      <c r="L34" s="1152">
        <v>0</v>
      </c>
      <c r="M34" s="1152">
        <v>0</v>
      </c>
      <c r="N34" s="1152">
        <v>0</v>
      </c>
      <c r="O34" s="1152">
        <v>0</v>
      </c>
      <c r="P34" s="1152">
        <v>0</v>
      </c>
      <c r="Q34" s="1152">
        <v>0</v>
      </c>
      <c r="R34" s="1152">
        <v>0</v>
      </c>
      <c r="S34" s="1152">
        <v>0</v>
      </c>
      <c r="T34" s="1152">
        <v>0</v>
      </c>
      <c r="U34" s="1152">
        <v>0</v>
      </c>
      <c r="V34" s="1152">
        <v>1</v>
      </c>
      <c r="W34" s="1152">
        <v>1</v>
      </c>
      <c r="X34" s="1152">
        <v>1</v>
      </c>
      <c r="Y34" s="1152">
        <v>1</v>
      </c>
      <c r="Z34" s="1152">
        <v>1</v>
      </c>
      <c r="AA34" s="1152">
        <v>1</v>
      </c>
      <c r="AB34" s="1152">
        <v>1</v>
      </c>
      <c r="AC34" s="1152">
        <v>1</v>
      </c>
      <c r="AD34" s="1152">
        <v>1</v>
      </c>
      <c r="AE34" s="1152">
        <v>1</v>
      </c>
      <c r="AF34" s="1152">
        <v>1</v>
      </c>
      <c r="AG34" s="1152">
        <v>1</v>
      </c>
      <c r="AH34" s="1152">
        <v>1</v>
      </c>
      <c r="AI34" s="1152">
        <v>1</v>
      </c>
      <c r="AJ34" s="1237">
        <v>1</v>
      </c>
    </row>
    <row r="35" spans="1:36">
      <c r="A35">
        <f t="shared" ref="A35:A40" si="18">A34+1</f>
        <v>2</v>
      </c>
      <c r="B35" s="656">
        <v>0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1</v>
      </c>
      <c r="M35" s="8">
        <v>1</v>
      </c>
      <c r="N35" s="8">
        <v>1</v>
      </c>
      <c r="O35" s="8">
        <v>1</v>
      </c>
      <c r="P35" s="8">
        <v>1</v>
      </c>
      <c r="Q35" s="8">
        <v>1</v>
      </c>
      <c r="R35" s="8">
        <v>1</v>
      </c>
      <c r="S35" s="8">
        <v>1</v>
      </c>
      <c r="T35" s="8">
        <v>1</v>
      </c>
      <c r="U35" s="8">
        <v>1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1</v>
      </c>
      <c r="AG35" s="8">
        <v>1</v>
      </c>
      <c r="AH35" s="8">
        <v>1</v>
      </c>
      <c r="AI35" s="8">
        <v>1</v>
      </c>
      <c r="AJ35" s="657">
        <v>1</v>
      </c>
    </row>
    <row r="36" spans="1:36">
      <c r="A36">
        <f t="shared" si="18"/>
        <v>3</v>
      </c>
      <c r="B36" s="656">
        <v>0</v>
      </c>
      <c r="C36" s="8">
        <v>0</v>
      </c>
      <c r="D36" s="8">
        <v>0</v>
      </c>
      <c r="E36" s="8">
        <v>0</v>
      </c>
      <c r="F36" s="8">
        <v>1</v>
      </c>
      <c r="G36" s="8">
        <v>1</v>
      </c>
      <c r="H36" s="8">
        <v>1</v>
      </c>
      <c r="I36" s="8">
        <v>1</v>
      </c>
      <c r="J36" s="8">
        <v>1</v>
      </c>
      <c r="K36" s="8">
        <v>1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1</v>
      </c>
      <c r="S36" s="8">
        <v>1</v>
      </c>
      <c r="T36" s="8">
        <v>1</v>
      </c>
      <c r="U36" s="8">
        <v>1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1</v>
      </c>
      <c r="AC36" s="8">
        <v>1</v>
      </c>
      <c r="AD36" s="8">
        <v>1</v>
      </c>
      <c r="AE36" s="8">
        <v>1</v>
      </c>
      <c r="AF36" s="8">
        <v>0</v>
      </c>
      <c r="AG36" s="8">
        <v>0</v>
      </c>
      <c r="AH36" s="8">
        <v>0</v>
      </c>
      <c r="AI36" s="8">
        <v>0</v>
      </c>
      <c r="AJ36" s="657">
        <v>1</v>
      </c>
    </row>
    <row r="37" spans="1:36">
      <c r="A37">
        <f t="shared" si="18"/>
        <v>4</v>
      </c>
      <c r="B37" s="656">
        <v>0</v>
      </c>
      <c r="C37" s="8">
        <v>1</v>
      </c>
      <c r="D37" s="8">
        <v>1</v>
      </c>
      <c r="E37" s="8">
        <v>1</v>
      </c>
      <c r="F37" s="8">
        <v>0</v>
      </c>
      <c r="G37" s="8">
        <v>0</v>
      </c>
      <c r="H37" s="8">
        <v>0</v>
      </c>
      <c r="I37" s="8">
        <v>1</v>
      </c>
      <c r="J37" s="8">
        <v>1</v>
      </c>
      <c r="K37" s="8">
        <v>1</v>
      </c>
      <c r="L37" s="8">
        <v>0</v>
      </c>
      <c r="M37" s="8">
        <v>0</v>
      </c>
      <c r="N37" s="8">
        <v>0</v>
      </c>
      <c r="O37" s="8">
        <v>1</v>
      </c>
      <c r="P37" s="8">
        <v>1</v>
      </c>
      <c r="Q37" s="8">
        <v>1</v>
      </c>
      <c r="R37" s="8">
        <v>0</v>
      </c>
      <c r="S37" s="8">
        <v>0</v>
      </c>
      <c r="T37" s="8">
        <v>0</v>
      </c>
      <c r="U37" s="8">
        <v>1</v>
      </c>
      <c r="V37" s="8">
        <v>0</v>
      </c>
      <c r="W37" s="8">
        <v>0</v>
      </c>
      <c r="X37" s="8">
        <v>0</v>
      </c>
      <c r="Y37" s="8">
        <v>1</v>
      </c>
      <c r="Z37" s="8">
        <v>1</v>
      </c>
      <c r="AA37" s="8">
        <v>1</v>
      </c>
      <c r="AB37" s="8">
        <v>0</v>
      </c>
      <c r="AC37" s="8">
        <v>0</v>
      </c>
      <c r="AD37" s="8">
        <v>0</v>
      </c>
      <c r="AE37" s="8">
        <v>1</v>
      </c>
      <c r="AF37" s="8">
        <v>0</v>
      </c>
      <c r="AG37" s="8">
        <v>0</v>
      </c>
      <c r="AH37" s="8">
        <v>0</v>
      </c>
      <c r="AI37" s="8">
        <v>1</v>
      </c>
      <c r="AJ37" s="657">
        <v>0</v>
      </c>
    </row>
    <row r="38" spans="1:36">
      <c r="A38">
        <f t="shared" si="18"/>
        <v>5</v>
      </c>
      <c r="B38" s="656">
        <v>1</v>
      </c>
      <c r="C38" s="8">
        <v>0</v>
      </c>
      <c r="D38" s="8">
        <v>1</v>
      </c>
      <c r="E38" s="8">
        <v>1</v>
      </c>
      <c r="F38" s="8">
        <v>0</v>
      </c>
      <c r="G38" s="8">
        <v>1</v>
      </c>
      <c r="H38" s="8">
        <v>1</v>
      </c>
      <c r="I38" s="8">
        <v>0</v>
      </c>
      <c r="J38" s="8">
        <v>0</v>
      </c>
      <c r="K38" s="8">
        <v>1</v>
      </c>
      <c r="L38" s="8">
        <v>0</v>
      </c>
      <c r="M38" s="8">
        <v>1</v>
      </c>
      <c r="N38" s="8">
        <v>1</v>
      </c>
      <c r="O38" s="8">
        <v>0</v>
      </c>
      <c r="P38" s="8">
        <v>0</v>
      </c>
      <c r="Q38" s="8">
        <v>1</v>
      </c>
      <c r="R38" s="8">
        <v>0</v>
      </c>
      <c r="S38" s="8">
        <v>0</v>
      </c>
      <c r="T38" s="8">
        <v>1</v>
      </c>
      <c r="U38" s="8">
        <v>0</v>
      </c>
      <c r="V38" s="8">
        <v>0</v>
      </c>
      <c r="W38" s="8">
        <v>1</v>
      </c>
      <c r="X38" s="8">
        <v>1</v>
      </c>
      <c r="Y38" s="8">
        <v>0</v>
      </c>
      <c r="Z38" s="8">
        <v>0</v>
      </c>
      <c r="AA38" s="8">
        <v>1</v>
      </c>
      <c r="AB38" s="8">
        <v>0</v>
      </c>
      <c r="AC38" s="8">
        <v>0</v>
      </c>
      <c r="AD38" s="8">
        <v>1</v>
      </c>
      <c r="AE38" s="8">
        <v>0</v>
      </c>
      <c r="AF38" s="8">
        <v>0</v>
      </c>
      <c r="AG38" s="8">
        <v>0</v>
      </c>
      <c r="AH38" s="8">
        <v>1</v>
      </c>
      <c r="AI38" s="8">
        <v>0</v>
      </c>
      <c r="AJ38" s="657">
        <v>0</v>
      </c>
    </row>
    <row r="39" spans="1:36">
      <c r="A39">
        <f t="shared" si="18"/>
        <v>6</v>
      </c>
      <c r="B39" s="656">
        <v>1</v>
      </c>
      <c r="C39" s="8">
        <v>1</v>
      </c>
      <c r="D39" s="8">
        <v>0</v>
      </c>
      <c r="E39" s="8">
        <v>1</v>
      </c>
      <c r="F39" s="8">
        <v>1</v>
      </c>
      <c r="G39" s="8">
        <v>0</v>
      </c>
      <c r="H39" s="8">
        <v>1</v>
      </c>
      <c r="I39" s="8">
        <v>0</v>
      </c>
      <c r="J39" s="8">
        <v>1</v>
      </c>
      <c r="K39" s="8">
        <v>0</v>
      </c>
      <c r="L39" s="8">
        <v>1</v>
      </c>
      <c r="M39" s="8">
        <v>0</v>
      </c>
      <c r="N39" s="8">
        <v>1</v>
      </c>
      <c r="O39" s="8">
        <v>0</v>
      </c>
      <c r="P39" s="8">
        <v>1</v>
      </c>
      <c r="Q39" s="8">
        <v>0</v>
      </c>
      <c r="R39" s="8">
        <v>0</v>
      </c>
      <c r="S39" s="8">
        <v>1</v>
      </c>
      <c r="T39" s="8">
        <v>0</v>
      </c>
      <c r="U39" s="8">
        <v>0</v>
      </c>
      <c r="V39" s="8">
        <v>1</v>
      </c>
      <c r="W39" s="8">
        <v>0</v>
      </c>
      <c r="X39" s="8">
        <v>1</v>
      </c>
      <c r="Y39" s="8">
        <v>0</v>
      </c>
      <c r="Z39" s="8">
        <v>1</v>
      </c>
      <c r="AA39" s="8">
        <v>0</v>
      </c>
      <c r="AB39" s="8">
        <v>0</v>
      </c>
      <c r="AC39" s="8">
        <v>1</v>
      </c>
      <c r="AD39" s="8">
        <v>0</v>
      </c>
      <c r="AE39" s="8">
        <v>0</v>
      </c>
      <c r="AF39" s="8">
        <v>0</v>
      </c>
      <c r="AG39" s="8">
        <v>1</v>
      </c>
      <c r="AH39" s="8">
        <v>0</v>
      </c>
      <c r="AI39" s="8">
        <v>0</v>
      </c>
      <c r="AJ39" s="657">
        <v>0</v>
      </c>
    </row>
    <row r="40" spans="1:36">
      <c r="A40">
        <f t="shared" si="18"/>
        <v>7</v>
      </c>
      <c r="B40" s="533">
        <v>1</v>
      </c>
      <c r="C40" s="1078">
        <v>1</v>
      </c>
      <c r="D40" s="1078">
        <v>1</v>
      </c>
      <c r="E40" s="1078">
        <v>0</v>
      </c>
      <c r="F40" s="1078">
        <v>1</v>
      </c>
      <c r="G40" s="1078">
        <v>1</v>
      </c>
      <c r="H40" s="1078">
        <v>0</v>
      </c>
      <c r="I40" s="1078">
        <v>1</v>
      </c>
      <c r="J40" s="1078">
        <v>0</v>
      </c>
      <c r="K40" s="1078">
        <v>0</v>
      </c>
      <c r="L40" s="1078">
        <v>1</v>
      </c>
      <c r="M40" s="1078">
        <v>1</v>
      </c>
      <c r="N40" s="1078">
        <v>0</v>
      </c>
      <c r="O40" s="1078">
        <v>1</v>
      </c>
      <c r="P40" s="1078">
        <v>0</v>
      </c>
      <c r="Q40" s="1078">
        <v>0</v>
      </c>
      <c r="R40" s="1078">
        <v>1</v>
      </c>
      <c r="S40" s="1078">
        <v>0</v>
      </c>
      <c r="T40" s="1078">
        <v>0</v>
      </c>
      <c r="U40" s="1078">
        <v>0</v>
      </c>
      <c r="V40" s="1078">
        <v>1</v>
      </c>
      <c r="W40" s="1078">
        <v>1</v>
      </c>
      <c r="X40" s="1078">
        <v>0</v>
      </c>
      <c r="Y40" s="1078">
        <v>1</v>
      </c>
      <c r="Z40" s="1078">
        <v>0</v>
      </c>
      <c r="AA40" s="1078">
        <v>0</v>
      </c>
      <c r="AB40" s="1078">
        <v>1</v>
      </c>
      <c r="AC40" s="1078">
        <v>0</v>
      </c>
      <c r="AD40" s="1078">
        <v>0</v>
      </c>
      <c r="AE40" s="1078">
        <v>0</v>
      </c>
      <c r="AF40" s="1078">
        <v>1</v>
      </c>
      <c r="AG40" s="1078">
        <v>0</v>
      </c>
      <c r="AH40" s="1078">
        <v>0</v>
      </c>
      <c r="AI40" s="1078">
        <v>0</v>
      </c>
      <c r="AJ40" s="541">
        <v>0</v>
      </c>
    </row>
    <row r="41" spans="1:36">
      <c r="A41" s="1532" t="s">
        <v>4241</v>
      </c>
      <c r="B41" s="1236">
        <f t="shared" ref="B41:AJ41" si="19">SUMPRODUCT($A33:$A40,B33:B40)</f>
        <v>18</v>
      </c>
      <c r="C41" s="1152">
        <f t="shared" si="19"/>
        <v>17</v>
      </c>
      <c r="D41" s="1152">
        <f t="shared" si="19"/>
        <v>16</v>
      </c>
      <c r="E41" s="1152">
        <f t="shared" si="19"/>
        <v>15</v>
      </c>
      <c r="F41" s="1152">
        <f t="shared" si="19"/>
        <v>16</v>
      </c>
      <c r="G41" s="1152">
        <f t="shared" si="19"/>
        <v>15</v>
      </c>
      <c r="H41" s="1152">
        <f t="shared" si="19"/>
        <v>14</v>
      </c>
      <c r="I41" s="1152">
        <f t="shared" si="19"/>
        <v>14</v>
      </c>
      <c r="J41" s="1152">
        <f t="shared" si="19"/>
        <v>13</v>
      </c>
      <c r="K41" s="1152">
        <f t="shared" si="19"/>
        <v>12</v>
      </c>
      <c r="L41" s="1152">
        <f t="shared" si="19"/>
        <v>15</v>
      </c>
      <c r="M41" s="1152">
        <f t="shared" si="19"/>
        <v>14</v>
      </c>
      <c r="N41" s="1152">
        <f t="shared" si="19"/>
        <v>13</v>
      </c>
      <c r="O41" s="1152">
        <f t="shared" si="19"/>
        <v>13</v>
      </c>
      <c r="P41" s="1152">
        <f t="shared" si="19"/>
        <v>12</v>
      </c>
      <c r="Q41" s="1152">
        <f t="shared" si="19"/>
        <v>11</v>
      </c>
      <c r="R41" s="1152">
        <f t="shared" si="19"/>
        <v>12</v>
      </c>
      <c r="S41" s="1152">
        <f t="shared" si="19"/>
        <v>11</v>
      </c>
      <c r="T41" s="1152">
        <f t="shared" si="19"/>
        <v>10</v>
      </c>
      <c r="U41" s="1152">
        <f t="shared" si="19"/>
        <v>9</v>
      </c>
      <c r="V41" s="1152">
        <f t="shared" si="19"/>
        <v>14</v>
      </c>
      <c r="W41" s="1152">
        <f t="shared" si="19"/>
        <v>13</v>
      </c>
      <c r="X41" s="1152">
        <f t="shared" si="19"/>
        <v>12</v>
      </c>
      <c r="Y41" s="1152">
        <f t="shared" si="19"/>
        <v>12</v>
      </c>
      <c r="Z41" s="1152">
        <f t="shared" si="19"/>
        <v>11</v>
      </c>
      <c r="AA41" s="1152">
        <f t="shared" si="19"/>
        <v>10</v>
      </c>
      <c r="AB41" s="1152">
        <f t="shared" si="19"/>
        <v>11</v>
      </c>
      <c r="AC41" s="1152">
        <f t="shared" si="19"/>
        <v>10</v>
      </c>
      <c r="AD41" s="1152">
        <f t="shared" si="19"/>
        <v>9</v>
      </c>
      <c r="AE41" s="1152">
        <f t="shared" si="19"/>
        <v>8</v>
      </c>
      <c r="AF41" s="1152">
        <f t="shared" si="19"/>
        <v>10</v>
      </c>
      <c r="AG41" s="1152">
        <f t="shared" si="19"/>
        <v>9</v>
      </c>
      <c r="AH41" s="1152">
        <f t="shared" si="19"/>
        <v>8</v>
      </c>
      <c r="AI41" s="1152">
        <f t="shared" si="19"/>
        <v>7</v>
      </c>
      <c r="AJ41" s="1237">
        <f t="shared" si="19"/>
        <v>6</v>
      </c>
    </row>
    <row r="42" spans="1:36">
      <c r="A42" s="1532" t="s">
        <v>4242</v>
      </c>
      <c r="B42" s="656">
        <f>$K31-B41</f>
        <v>0</v>
      </c>
      <c r="C42" s="8">
        <f t="shared" ref="C42:AJ42" si="20">$K31-C41</f>
        <v>1</v>
      </c>
      <c r="D42" s="8">
        <f t="shared" si="20"/>
        <v>2</v>
      </c>
      <c r="E42" s="8">
        <f t="shared" si="20"/>
        <v>3</v>
      </c>
      <c r="F42" s="8">
        <f t="shared" si="20"/>
        <v>2</v>
      </c>
      <c r="G42" s="8">
        <f t="shared" si="20"/>
        <v>3</v>
      </c>
      <c r="H42" s="8">
        <f t="shared" si="20"/>
        <v>4</v>
      </c>
      <c r="I42" s="8">
        <f t="shared" si="20"/>
        <v>4</v>
      </c>
      <c r="J42" s="8">
        <f t="shared" si="20"/>
        <v>5</v>
      </c>
      <c r="K42" s="8">
        <f t="shared" si="20"/>
        <v>6</v>
      </c>
      <c r="L42" s="8">
        <f t="shared" si="20"/>
        <v>3</v>
      </c>
      <c r="M42" s="8">
        <f t="shared" si="20"/>
        <v>4</v>
      </c>
      <c r="N42" s="8">
        <f t="shared" si="20"/>
        <v>5</v>
      </c>
      <c r="O42" s="8">
        <f t="shared" si="20"/>
        <v>5</v>
      </c>
      <c r="P42" s="8">
        <f t="shared" si="20"/>
        <v>6</v>
      </c>
      <c r="Q42" s="8">
        <f t="shared" si="20"/>
        <v>7</v>
      </c>
      <c r="R42" s="8">
        <f t="shared" si="20"/>
        <v>6</v>
      </c>
      <c r="S42" s="8">
        <f t="shared" si="20"/>
        <v>7</v>
      </c>
      <c r="T42" s="8">
        <f t="shared" si="20"/>
        <v>8</v>
      </c>
      <c r="U42" s="8">
        <f t="shared" si="20"/>
        <v>9</v>
      </c>
      <c r="V42" s="8">
        <f t="shared" si="20"/>
        <v>4</v>
      </c>
      <c r="W42" s="8">
        <f t="shared" si="20"/>
        <v>5</v>
      </c>
      <c r="X42" s="8">
        <f t="shared" si="20"/>
        <v>6</v>
      </c>
      <c r="Y42" s="8">
        <f t="shared" si="20"/>
        <v>6</v>
      </c>
      <c r="Z42" s="8">
        <f t="shared" si="20"/>
        <v>7</v>
      </c>
      <c r="AA42" s="8">
        <f t="shared" si="20"/>
        <v>8</v>
      </c>
      <c r="AB42" s="8">
        <f t="shared" si="20"/>
        <v>7</v>
      </c>
      <c r="AC42" s="8">
        <f t="shared" si="20"/>
        <v>8</v>
      </c>
      <c r="AD42" s="8">
        <f t="shared" si="20"/>
        <v>9</v>
      </c>
      <c r="AE42" s="8">
        <f t="shared" si="20"/>
        <v>10</v>
      </c>
      <c r="AF42" s="8">
        <f t="shared" si="20"/>
        <v>8</v>
      </c>
      <c r="AG42" s="8">
        <f t="shared" si="20"/>
        <v>9</v>
      </c>
      <c r="AH42" s="8">
        <f t="shared" si="20"/>
        <v>10</v>
      </c>
      <c r="AI42" s="8">
        <f t="shared" si="20"/>
        <v>11</v>
      </c>
      <c r="AJ42" s="657">
        <f t="shared" si="20"/>
        <v>12</v>
      </c>
    </row>
    <row r="43" spans="1:36">
      <c r="A43" s="1532" t="s">
        <v>4243</v>
      </c>
      <c r="B43" s="656">
        <f>$H31-B41</f>
        <v>10</v>
      </c>
      <c r="C43" s="8">
        <f t="shared" ref="C43:AJ43" si="21">$H31-C41</f>
        <v>11</v>
      </c>
      <c r="D43" s="8">
        <f t="shared" si="21"/>
        <v>12</v>
      </c>
      <c r="E43" s="8">
        <f t="shared" si="21"/>
        <v>13</v>
      </c>
      <c r="F43" s="8">
        <f t="shared" si="21"/>
        <v>12</v>
      </c>
      <c r="G43" s="8">
        <f t="shared" si="21"/>
        <v>13</v>
      </c>
      <c r="H43" s="8">
        <f t="shared" si="21"/>
        <v>14</v>
      </c>
      <c r="I43" s="8">
        <f t="shared" si="21"/>
        <v>14</v>
      </c>
      <c r="J43" s="8">
        <f t="shared" si="21"/>
        <v>15</v>
      </c>
      <c r="K43" s="8">
        <f t="shared" si="21"/>
        <v>16</v>
      </c>
      <c r="L43" s="8">
        <f t="shared" si="21"/>
        <v>13</v>
      </c>
      <c r="M43" s="8">
        <f t="shared" si="21"/>
        <v>14</v>
      </c>
      <c r="N43" s="8">
        <f t="shared" si="21"/>
        <v>15</v>
      </c>
      <c r="O43" s="8">
        <f t="shared" si="21"/>
        <v>15</v>
      </c>
      <c r="P43" s="8">
        <f t="shared" si="21"/>
        <v>16</v>
      </c>
      <c r="Q43" s="8">
        <f t="shared" si="21"/>
        <v>17</v>
      </c>
      <c r="R43" s="8">
        <f t="shared" si="21"/>
        <v>16</v>
      </c>
      <c r="S43" s="8">
        <f t="shared" si="21"/>
        <v>17</v>
      </c>
      <c r="T43" s="8">
        <f t="shared" si="21"/>
        <v>18</v>
      </c>
      <c r="U43" s="8">
        <f t="shared" si="21"/>
        <v>19</v>
      </c>
      <c r="V43" s="8">
        <f t="shared" si="21"/>
        <v>14</v>
      </c>
      <c r="W43" s="8">
        <f t="shared" si="21"/>
        <v>15</v>
      </c>
      <c r="X43" s="8">
        <f t="shared" si="21"/>
        <v>16</v>
      </c>
      <c r="Y43" s="8">
        <f t="shared" si="21"/>
        <v>16</v>
      </c>
      <c r="Z43" s="8">
        <f t="shared" si="21"/>
        <v>17</v>
      </c>
      <c r="AA43" s="8">
        <f t="shared" si="21"/>
        <v>18</v>
      </c>
      <c r="AB43" s="8">
        <f t="shared" si="21"/>
        <v>17</v>
      </c>
      <c r="AC43" s="8">
        <f t="shared" si="21"/>
        <v>18</v>
      </c>
      <c r="AD43" s="8">
        <f t="shared" si="21"/>
        <v>19</v>
      </c>
      <c r="AE43" s="8">
        <f t="shared" si="21"/>
        <v>20</v>
      </c>
      <c r="AF43" s="8">
        <f t="shared" si="21"/>
        <v>18</v>
      </c>
      <c r="AG43" s="8">
        <f t="shared" si="21"/>
        <v>19</v>
      </c>
      <c r="AH43" s="8">
        <f t="shared" si="21"/>
        <v>20</v>
      </c>
      <c r="AI43" s="8">
        <f t="shared" si="21"/>
        <v>21</v>
      </c>
      <c r="AJ43" s="657">
        <f t="shared" si="21"/>
        <v>22</v>
      </c>
    </row>
    <row r="44" spans="1:36">
      <c r="A44" s="1532" t="s">
        <v>4244</v>
      </c>
      <c r="B44" s="656">
        <f>$E31+$B29*$E29-B43</f>
        <v>12</v>
      </c>
      <c r="C44" s="8">
        <f t="shared" ref="C44:AJ44" si="22">$E31+$B29*$E29-C43</f>
        <v>11</v>
      </c>
      <c r="D44" s="8">
        <f t="shared" si="22"/>
        <v>10</v>
      </c>
      <c r="E44" s="8">
        <f t="shared" si="22"/>
        <v>9</v>
      </c>
      <c r="F44" s="8">
        <f t="shared" si="22"/>
        <v>10</v>
      </c>
      <c r="G44" s="8">
        <f t="shared" si="22"/>
        <v>9</v>
      </c>
      <c r="H44" s="8">
        <f t="shared" si="22"/>
        <v>8</v>
      </c>
      <c r="I44" s="8">
        <f t="shared" si="22"/>
        <v>8</v>
      </c>
      <c r="J44" s="8">
        <f t="shared" si="22"/>
        <v>7</v>
      </c>
      <c r="K44" s="8">
        <f t="shared" si="22"/>
        <v>6</v>
      </c>
      <c r="L44" s="8">
        <f t="shared" si="22"/>
        <v>9</v>
      </c>
      <c r="M44" s="8">
        <f t="shared" si="22"/>
        <v>8</v>
      </c>
      <c r="N44" s="8">
        <f t="shared" si="22"/>
        <v>7</v>
      </c>
      <c r="O44" s="8">
        <f t="shared" si="22"/>
        <v>7</v>
      </c>
      <c r="P44" s="8">
        <f t="shared" si="22"/>
        <v>6</v>
      </c>
      <c r="Q44" s="8">
        <f t="shared" si="22"/>
        <v>5</v>
      </c>
      <c r="R44" s="8">
        <f t="shared" si="22"/>
        <v>6</v>
      </c>
      <c r="S44" s="8">
        <f t="shared" si="22"/>
        <v>5</v>
      </c>
      <c r="T44" s="8">
        <f t="shared" si="22"/>
        <v>4</v>
      </c>
      <c r="U44" s="8">
        <f t="shared" si="22"/>
        <v>3</v>
      </c>
      <c r="V44" s="8">
        <f t="shared" si="22"/>
        <v>8</v>
      </c>
      <c r="W44" s="8">
        <f t="shared" si="22"/>
        <v>7</v>
      </c>
      <c r="X44" s="8">
        <f t="shared" si="22"/>
        <v>6</v>
      </c>
      <c r="Y44" s="8">
        <f t="shared" si="22"/>
        <v>6</v>
      </c>
      <c r="Z44" s="8">
        <f t="shared" si="22"/>
        <v>5</v>
      </c>
      <c r="AA44" s="8">
        <f t="shared" si="22"/>
        <v>4</v>
      </c>
      <c r="AB44" s="8">
        <f t="shared" si="22"/>
        <v>5</v>
      </c>
      <c r="AC44" s="8">
        <f t="shared" si="22"/>
        <v>4</v>
      </c>
      <c r="AD44" s="8">
        <f t="shared" si="22"/>
        <v>3</v>
      </c>
      <c r="AE44" s="8">
        <f t="shared" si="22"/>
        <v>2</v>
      </c>
      <c r="AF44" s="8">
        <f t="shared" si="22"/>
        <v>4</v>
      </c>
      <c r="AG44" s="8">
        <f t="shared" si="22"/>
        <v>3</v>
      </c>
      <c r="AH44" s="8">
        <f t="shared" si="22"/>
        <v>2</v>
      </c>
      <c r="AI44" s="8">
        <f t="shared" si="22"/>
        <v>1</v>
      </c>
      <c r="AJ44" s="657">
        <f t="shared" si="22"/>
        <v>0</v>
      </c>
    </row>
    <row r="45" spans="1:36">
      <c r="A45" s="1532" t="s">
        <v>1821</v>
      </c>
      <c r="B45" s="533">
        <f>MIN(B42,B44)</f>
        <v>0</v>
      </c>
      <c r="C45" s="1078">
        <f t="shared" ref="C45:AJ45" si="23">MIN(C42,C44)</f>
        <v>1</v>
      </c>
      <c r="D45" s="1078">
        <f t="shared" si="23"/>
        <v>2</v>
      </c>
      <c r="E45" s="1078">
        <f t="shared" si="23"/>
        <v>3</v>
      </c>
      <c r="F45" s="1078">
        <f t="shared" si="23"/>
        <v>2</v>
      </c>
      <c r="G45" s="1078">
        <f t="shared" si="23"/>
        <v>3</v>
      </c>
      <c r="H45" s="1078">
        <f t="shared" si="23"/>
        <v>4</v>
      </c>
      <c r="I45" s="1078">
        <f t="shared" si="23"/>
        <v>4</v>
      </c>
      <c r="J45" s="1078">
        <f t="shared" si="23"/>
        <v>5</v>
      </c>
      <c r="K45" s="1078">
        <f t="shared" si="23"/>
        <v>6</v>
      </c>
      <c r="L45" s="1078">
        <f t="shared" si="23"/>
        <v>3</v>
      </c>
      <c r="M45" s="1078">
        <f t="shared" si="23"/>
        <v>4</v>
      </c>
      <c r="N45" s="1078">
        <f t="shared" si="23"/>
        <v>5</v>
      </c>
      <c r="O45" s="1078">
        <f t="shared" si="23"/>
        <v>5</v>
      </c>
      <c r="P45" s="1078">
        <f t="shared" si="23"/>
        <v>6</v>
      </c>
      <c r="Q45" s="1078">
        <f t="shared" si="23"/>
        <v>5</v>
      </c>
      <c r="R45" s="1078">
        <f t="shared" si="23"/>
        <v>6</v>
      </c>
      <c r="S45" s="1078">
        <f t="shared" si="23"/>
        <v>5</v>
      </c>
      <c r="T45" s="1078">
        <f t="shared" si="23"/>
        <v>4</v>
      </c>
      <c r="U45" s="1078">
        <f t="shared" si="23"/>
        <v>3</v>
      </c>
      <c r="V45" s="1078">
        <f t="shared" si="23"/>
        <v>4</v>
      </c>
      <c r="W45" s="1078">
        <f t="shared" si="23"/>
        <v>5</v>
      </c>
      <c r="X45" s="1078">
        <f t="shared" si="23"/>
        <v>6</v>
      </c>
      <c r="Y45" s="1078">
        <f t="shared" si="23"/>
        <v>6</v>
      </c>
      <c r="Z45" s="1078">
        <f t="shared" si="23"/>
        <v>5</v>
      </c>
      <c r="AA45" s="1078">
        <f t="shared" si="23"/>
        <v>4</v>
      </c>
      <c r="AB45" s="1078">
        <f t="shared" si="23"/>
        <v>5</v>
      </c>
      <c r="AC45" s="1078">
        <f t="shared" si="23"/>
        <v>4</v>
      </c>
      <c r="AD45" s="1078">
        <f t="shared" si="23"/>
        <v>3</v>
      </c>
      <c r="AE45" s="1078">
        <f t="shared" si="23"/>
        <v>2</v>
      </c>
      <c r="AF45" s="1078">
        <f t="shared" si="23"/>
        <v>4</v>
      </c>
      <c r="AG45" s="1078">
        <f t="shared" si="23"/>
        <v>3</v>
      </c>
      <c r="AH45" s="1078">
        <f t="shared" si="23"/>
        <v>2</v>
      </c>
      <c r="AI45" s="1078">
        <f t="shared" si="23"/>
        <v>1</v>
      </c>
      <c r="AJ45" s="541">
        <f t="shared" si="23"/>
        <v>0</v>
      </c>
    </row>
    <row r="46" spans="1:36">
      <c r="A46" s="1532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</row>
    <row r="47" spans="1:36">
      <c r="A47" s="19" t="s">
        <v>1821</v>
      </c>
      <c r="B47">
        <v>0</v>
      </c>
      <c r="C47">
        <f>B47+1</f>
        <v>1</v>
      </c>
      <c r="D47">
        <f t="shared" ref="D47:H47" si="24">C47+1</f>
        <v>2</v>
      </c>
      <c r="E47">
        <f t="shared" si="24"/>
        <v>3</v>
      </c>
      <c r="F47">
        <f t="shared" si="24"/>
        <v>4</v>
      </c>
      <c r="G47">
        <f t="shared" si="24"/>
        <v>5</v>
      </c>
      <c r="H47">
        <f t="shared" si="24"/>
        <v>6</v>
      </c>
      <c r="I47" s="8"/>
      <c r="J47" s="8"/>
      <c r="K47" s="8"/>
      <c r="L47" s="8"/>
      <c r="M47" s="8"/>
      <c r="N47" s="8"/>
    </row>
    <row r="48" spans="1:36">
      <c r="A48" s="19" t="s">
        <v>100</v>
      </c>
      <c r="B48" s="1236">
        <f>COUNTIF($B45:$BS45,B47)</f>
        <v>2</v>
      </c>
      <c r="C48" s="1152">
        <f t="shared" ref="C48:H48" si="25">COUNTIF($B45:$BS45,C47)</f>
        <v>2</v>
      </c>
      <c r="D48" s="1152">
        <f t="shared" si="25"/>
        <v>4</v>
      </c>
      <c r="E48" s="1152">
        <f t="shared" si="25"/>
        <v>6</v>
      </c>
      <c r="F48" s="1152">
        <f t="shared" si="25"/>
        <v>8</v>
      </c>
      <c r="G48" s="1152">
        <f t="shared" si="25"/>
        <v>8</v>
      </c>
      <c r="H48" s="1237">
        <f t="shared" si="25"/>
        <v>5</v>
      </c>
      <c r="I48" s="66">
        <f>SUM(B48:H48)</f>
        <v>35</v>
      </c>
      <c r="J48" s="8"/>
      <c r="K48" s="8"/>
      <c r="L48" s="8"/>
      <c r="M48" s="8"/>
      <c r="N48" s="8"/>
    </row>
    <row r="49" spans="1:16">
      <c r="A49" s="19" t="s">
        <v>1707</v>
      </c>
      <c r="B49" s="656">
        <f t="shared" ref="B49:H49" si="26">B48/$I48</f>
        <v>5.7142857142857141E-2</v>
      </c>
      <c r="C49" s="8">
        <f t="shared" si="26"/>
        <v>5.7142857142857141E-2</v>
      </c>
      <c r="D49" s="8">
        <f t="shared" si="26"/>
        <v>0.11428571428571428</v>
      </c>
      <c r="E49" s="8">
        <f t="shared" si="26"/>
        <v>0.17142857142857143</v>
      </c>
      <c r="F49" s="8">
        <f t="shared" si="26"/>
        <v>0.22857142857142856</v>
      </c>
      <c r="G49" s="8">
        <f t="shared" si="26"/>
        <v>0.22857142857142856</v>
      </c>
      <c r="H49" s="657">
        <f t="shared" si="26"/>
        <v>0.14285714285714285</v>
      </c>
      <c r="I49" s="8"/>
      <c r="J49" s="8"/>
      <c r="K49" s="8"/>
      <c r="L49" s="8"/>
      <c r="M49" s="8"/>
      <c r="N49" s="8"/>
    </row>
    <row r="50" spans="1:16">
      <c r="A50" s="43" t="s">
        <v>2948</v>
      </c>
      <c r="B50" s="533">
        <f>B49</f>
        <v>5.7142857142857141E-2</v>
      </c>
      <c r="C50" s="1078">
        <f>B50+C49</f>
        <v>0.11428571428571428</v>
      </c>
      <c r="D50" s="1078">
        <f t="shared" ref="D50:H50" si="27">C50+D49</f>
        <v>0.22857142857142856</v>
      </c>
      <c r="E50" s="1078">
        <f t="shared" si="27"/>
        <v>0.4</v>
      </c>
      <c r="F50" s="1078">
        <f t="shared" si="27"/>
        <v>0.62857142857142856</v>
      </c>
      <c r="G50" s="1078">
        <f t="shared" si="27"/>
        <v>0.8571428571428571</v>
      </c>
      <c r="H50" s="541">
        <f t="shared" si="27"/>
        <v>1</v>
      </c>
      <c r="I50" s="8"/>
      <c r="J50" s="8"/>
      <c r="K50" s="8"/>
      <c r="L50" s="8"/>
      <c r="M50" s="8"/>
      <c r="N50" s="8"/>
    </row>
    <row r="51" spans="1:16">
      <c r="I51" s="8"/>
      <c r="J51" s="8"/>
      <c r="K51" s="8"/>
      <c r="L51" s="8"/>
      <c r="M51" s="8"/>
      <c r="N51" s="8"/>
    </row>
    <row r="54" spans="1:16">
      <c r="A54" s="25" t="s">
        <v>291</v>
      </c>
      <c r="B54" s="756">
        <v>2</v>
      </c>
      <c r="D54" t="s">
        <v>292</v>
      </c>
      <c r="E54" s="756">
        <v>4</v>
      </c>
      <c r="G54" t="s">
        <v>106</v>
      </c>
      <c r="H54" s="756">
        <f>B54+E54</f>
        <v>6</v>
      </c>
    </row>
    <row r="55" spans="1:16">
      <c r="A55" s="1"/>
    </row>
    <row r="56" spans="1:16">
      <c r="A56" s="25" t="s">
        <v>3358</v>
      </c>
      <c r="B56" s="756">
        <f>B54*(B54+1)/2</f>
        <v>3</v>
      </c>
      <c r="D56" t="s">
        <v>141</v>
      </c>
      <c r="E56" s="756">
        <f>E54*(E54+1)/2</f>
        <v>10</v>
      </c>
      <c r="G56" t="s">
        <v>142</v>
      </c>
      <c r="H56" s="756">
        <f>H54*(H54+1)/2</f>
        <v>21</v>
      </c>
      <c r="J56" t="s">
        <v>3359</v>
      </c>
      <c r="K56" s="756">
        <f>H56-E56</f>
        <v>11</v>
      </c>
      <c r="M56" t="s">
        <v>2781</v>
      </c>
      <c r="N56" s="756">
        <f>COMBIN(H54,E54)</f>
        <v>15</v>
      </c>
    </row>
    <row r="57" spans="1:16">
      <c r="A57" s="1"/>
    </row>
    <row r="58" spans="1:16">
      <c r="B58">
        <v>1</v>
      </c>
      <c r="C58">
        <f>B58+1</f>
        <v>2</v>
      </c>
      <c r="D58">
        <f t="shared" ref="D58:P58" si="28">C58+1</f>
        <v>3</v>
      </c>
      <c r="E58">
        <f t="shared" si="28"/>
        <v>4</v>
      </c>
      <c r="F58">
        <f t="shared" si="28"/>
        <v>5</v>
      </c>
      <c r="G58">
        <f t="shared" si="28"/>
        <v>6</v>
      </c>
      <c r="H58">
        <f t="shared" si="28"/>
        <v>7</v>
      </c>
      <c r="I58">
        <f t="shared" si="28"/>
        <v>8</v>
      </c>
      <c r="J58">
        <f t="shared" si="28"/>
        <v>9</v>
      </c>
      <c r="K58">
        <f t="shared" si="28"/>
        <v>10</v>
      </c>
      <c r="L58">
        <f t="shared" si="28"/>
        <v>11</v>
      </c>
      <c r="M58">
        <f t="shared" si="28"/>
        <v>12</v>
      </c>
      <c r="N58">
        <f t="shared" si="28"/>
        <v>13</v>
      </c>
      <c r="O58">
        <f t="shared" si="28"/>
        <v>14</v>
      </c>
      <c r="P58">
        <f t="shared" si="28"/>
        <v>15</v>
      </c>
    </row>
    <row r="59" spans="1:16">
      <c r="A59">
        <f>A58+1</f>
        <v>1</v>
      </c>
      <c r="B59" s="1236">
        <v>0</v>
      </c>
      <c r="C59" s="1152">
        <v>0</v>
      </c>
      <c r="D59" s="1152">
        <v>0</v>
      </c>
      <c r="E59" s="1152">
        <v>0</v>
      </c>
      <c r="F59" s="1152">
        <v>0</v>
      </c>
      <c r="G59" s="1152">
        <v>0</v>
      </c>
      <c r="H59" s="1152">
        <v>0</v>
      </c>
      <c r="I59" s="1152">
        <v>0</v>
      </c>
      <c r="J59" s="1152">
        <v>0</v>
      </c>
      <c r="K59" s="1152">
        <v>0</v>
      </c>
      <c r="L59" s="1152">
        <v>1</v>
      </c>
      <c r="M59" s="1152">
        <v>1</v>
      </c>
      <c r="N59" s="1152">
        <v>1</v>
      </c>
      <c r="O59" s="1152">
        <v>1</v>
      </c>
      <c r="P59" s="1237">
        <v>1</v>
      </c>
    </row>
    <row r="60" spans="1:16">
      <c r="A60">
        <f t="shared" ref="A60:A64" si="29">A59+1</f>
        <v>2</v>
      </c>
      <c r="B60" s="656">
        <v>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1</v>
      </c>
      <c r="I60" s="8">
        <v>1</v>
      </c>
      <c r="J60" s="8">
        <v>1</v>
      </c>
      <c r="K60" s="8">
        <v>1</v>
      </c>
      <c r="L60" s="8">
        <v>0</v>
      </c>
      <c r="M60" s="8">
        <v>0</v>
      </c>
      <c r="N60" s="8">
        <v>0</v>
      </c>
      <c r="O60" s="8">
        <v>0</v>
      </c>
      <c r="P60" s="657">
        <v>1</v>
      </c>
    </row>
    <row r="61" spans="1:16">
      <c r="A61">
        <f t="shared" si="29"/>
        <v>3</v>
      </c>
      <c r="B61" s="656">
        <v>0</v>
      </c>
      <c r="C61" s="8">
        <v>0</v>
      </c>
      <c r="D61" s="8">
        <v>0</v>
      </c>
      <c r="E61" s="8">
        <v>1</v>
      </c>
      <c r="F61" s="8">
        <v>1</v>
      </c>
      <c r="G61" s="8">
        <v>1</v>
      </c>
      <c r="H61" s="8">
        <v>0</v>
      </c>
      <c r="I61" s="8">
        <v>0</v>
      </c>
      <c r="J61" s="8">
        <v>0</v>
      </c>
      <c r="K61" s="8">
        <v>1</v>
      </c>
      <c r="L61" s="8">
        <v>0</v>
      </c>
      <c r="M61" s="8">
        <v>0</v>
      </c>
      <c r="N61" s="8">
        <v>0</v>
      </c>
      <c r="O61" s="8">
        <v>1</v>
      </c>
      <c r="P61" s="657">
        <v>0</v>
      </c>
    </row>
    <row r="62" spans="1:16">
      <c r="A62">
        <f t="shared" si="29"/>
        <v>4</v>
      </c>
      <c r="B62" s="656">
        <v>0</v>
      </c>
      <c r="C62" s="8">
        <v>1</v>
      </c>
      <c r="D62" s="8">
        <v>1</v>
      </c>
      <c r="E62" s="8">
        <v>0</v>
      </c>
      <c r="F62" s="8">
        <v>0</v>
      </c>
      <c r="G62" s="8">
        <v>1</v>
      </c>
      <c r="H62" s="8">
        <v>0</v>
      </c>
      <c r="I62" s="8">
        <v>0</v>
      </c>
      <c r="J62" s="8">
        <v>1</v>
      </c>
      <c r="K62" s="8">
        <v>0</v>
      </c>
      <c r="L62" s="8">
        <v>0</v>
      </c>
      <c r="M62" s="8">
        <v>0</v>
      </c>
      <c r="N62" s="8">
        <v>1</v>
      </c>
      <c r="O62" s="8">
        <v>0</v>
      </c>
      <c r="P62" s="657">
        <v>0</v>
      </c>
    </row>
    <row r="63" spans="1:16">
      <c r="A63">
        <f t="shared" si="29"/>
        <v>5</v>
      </c>
      <c r="B63" s="656">
        <v>1</v>
      </c>
      <c r="C63" s="8">
        <v>0</v>
      </c>
      <c r="D63" s="8">
        <v>1</v>
      </c>
      <c r="E63" s="8">
        <v>0</v>
      </c>
      <c r="F63" s="8">
        <v>1</v>
      </c>
      <c r="G63" s="8">
        <v>0</v>
      </c>
      <c r="H63" s="8">
        <v>0</v>
      </c>
      <c r="I63" s="8">
        <v>1</v>
      </c>
      <c r="J63" s="8">
        <v>0</v>
      </c>
      <c r="K63" s="8">
        <v>0</v>
      </c>
      <c r="L63" s="8">
        <v>0</v>
      </c>
      <c r="M63" s="8">
        <v>1</v>
      </c>
      <c r="N63" s="8">
        <v>0</v>
      </c>
      <c r="O63" s="8">
        <v>0</v>
      </c>
      <c r="P63" s="657">
        <v>0</v>
      </c>
    </row>
    <row r="64" spans="1:16">
      <c r="A64">
        <f t="shared" si="29"/>
        <v>6</v>
      </c>
      <c r="B64" s="533">
        <v>1</v>
      </c>
      <c r="C64" s="1078">
        <v>1</v>
      </c>
      <c r="D64" s="1078">
        <v>0</v>
      </c>
      <c r="E64" s="1078">
        <v>1</v>
      </c>
      <c r="F64" s="1078">
        <v>0</v>
      </c>
      <c r="G64" s="1078">
        <v>0</v>
      </c>
      <c r="H64" s="1078">
        <v>1</v>
      </c>
      <c r="I64" s="1078">
        <v>0</v>
      </c>
      <c r="J64" s="1078">
        <v>0</v>
      </c>
      <c r="K64" s="1078">
        <v>0</v>
      </c>
      <c r="L64" s="1078">
        <v>1</v>
      </c>
      <c r="M64" s="1078">
        <v>0</v>
      </c>
      <c r="N64" s="1078">
        <v>0</v>
      </c>
      <c r="O64" s="1078">
        <v>0</v>
      </c>
      <c r="P64" s="541">
        <v>0</v>
      </c>
    </row>
    <row r="65" spans="1:16">
      <c r="A65" s="1532" t="s">
        <v>4241</v>
      </c>
      <c r="B65" s="1236">
        <f t="shared" ref="B65:P65" si="30">SUMPRODUCT($A58:$A64,B58:B64)</f>
        <v>11</v>
      </c>
      <c r="C65" s="1152">
        <f t="shared" si="30"/>
        <v>10</v>
      </c>
      <c r="D65" s="1152">
        <f t="shared" si="30"/>
        <v>9</v>
      </c>
      <c r="E65" s="1152">
        <f t="shared" si="30"/>
        <v>9</v>
      </c>
      <c r="F65" s="1152">
        <f t="shared" si="30"/>
        <v>8</v>
      </c>
      <c r="G65" s="1152">
        <f t="shared" si="30"/>
        <v>7</v>
      </c>
      <c r="H65" s="1152">
        <f t="shared" si="30"/>
        <v>8</v>
      </c>
      <c r="I65" s="1152">
        <f t="shared" si="30"/>
        <v>7</v>
      </c>
      <c r="J65" s="1152">
        <f t="shared" si="30"/>
        <v>6</v>
      </c>
      <c r="K65" s="1152">
        <f t="shared" si="30"/>
        <v>5</v>
      </c>
      <c r="L65" s="1152">
        <f t="shared" si="30"/>
        <v>7</v>
      </c>
      <c r="M65" s="1152">
        <f t="shared" si="30"/>
        <v>6</v>
      </c>
      <c r="N65" s="1152">
        <f t="shared" si="30"/>
        <v>5</v>
      </c>
      <c r="O65" s="1152">
        <f t="shared" si="30"/>
        <v>4</v>
      </c>
      <c r="P65" s="1237">
        <f t="shared" si="30"/>
        <v>3</v>
      </c>
    </row>
    <row r="66" spans="1:16">
      <c r="A66" s="1532" t="s">
        <v>4242</v>
      </c>
      <c r="B66" s="656">
        <f>$K56-B65</f>
        <v>0</v>
      </c>
      <c r="C66" s="8">
        <f t="shared" ref="C66:P66" si="31">$K56-C65</f>
        <v>1</v>
      </c>
      <c r="D66" s="8">
        <f t="shared" si="31"/>
        <v>2</v>
      </c>
      <c r="E66" s="8">
        <f t="shared" si="31"/>
        <v>2</v>
      </c>
      <c r="F66" s="8">
        <f t="shared" si="31"/>
        <v>3</v>
      </c>
      <c r="G66" s="8">
        <f t="shared" si="31"/>
        <v>4</v>
      </c>
      <c r="H66" s="8">
        <f t="shared" si="31"/>
        <v>3</v>
      </c>
      <c r="I66" s="8">
        <f t="shared" si="31"/>
        <v>4</v>
      </c>
      <c r="J66" s="8">
        <f t="shared" si="31"/>
        <v>5</v>
      </c>
      <c r="K66" s="8">
        <f t="shared" si="31"/>
        <v>6</v>
      </c>
      <c r="L66" s="8">
        <f t="shared" si="31"/>
        <v>4</v>
      </c>
      <c r="M66" s="8">
        <f t="shared" si="31"/>
        <v>5</v>
      </c>
      <c r="N66" s="8">
        <f t="shared" si="31"/>
        <v>6</v>
      </c>
      <c r="O66" s="8">
        <f t="shared" si="31"/>
        <v>7</v>
      </c>
      <c r="P66" s="657">
        <f t="shared" si="31"/>
        <v>8</v>
      </c>
    </row>
    <row r="67" spans="1:16">
      <c r="A67" s="1532" t="s">
        <v>4243</v>
      </c>
      <c r="B67" s="656">
        <f>$H56-B65</f>
        <v>10</v>
      </c>
      <c r="C67" s="8">
        <f t="shared" ref="C67:P67" si="32">$H56-C65</f>
        <v>11</v>
      </c>
      <c r="D67" s="8">
        <f t="shared" si="32"/>
        <v>12</v>
      </c>
      <c r="E67" s="8">
        <f t="shared" si="32"/>
        <v>12</v>
      </c>
      <c r="F67" s="8">
        <f t="shared" si="32"/>
        <v>13</v>
      </c>
      <c r="G67" s="8">
        <f t="shared" si="32"/>
        <v>14</v>
      </c>
      <c r="H67" s="8">
        <f t="shared" si="32"/>
        <v>13</v>
      </c>
      <c r="I67" s="8">
        <f t="shared" si="32"/>
        <v>14</v>
      </c>
      <c r="J67" s="8">
        <f t="shared" si="32"/>
        <v>15</v>
      </c>
      <c r="K67" s="8">
        <f t="shared" si="32"/>
        <v>16</v>
      </c>
      <c r="L67" s="8">
        <f t="shared" si="32"/>
        <v>14</v>
      </c>
      <c r="M67" s="8">
        <f t="shared" si="32"/>
        <v>15</v>
      </c>
      <c r="N67" s="8">
        <f t="shared" si="32"/>
        <v>16</v>
      </c>
      <c r="O67" s="8">
        <f t="shared" si="32"/>
        <v>17</v>
      </c>
      <c r="P67" s="657">
        <f t="shared" si="32"/>
        <v>18</v>
      </c>
    </row>
    <row r="68" spans="1:16">
      <c r="A68" s="1532" t="s">
        <v>4244</v>
      </c>
      <c r="B68" s="656">
        <f>$E56+$B54*$E54-B67</f>
        <v>8</v>
      </c>
      <c r="C68" s="8">
        <f t="shared" ref="C68:P68" si="33">$E56+$B54*$E54-C67</f>
        <v>7</v>
      </c>
      <c r="D68" s="8">
        <f t="shared" si="33"/>
        <v>6</v>
      </c>
      <c r="E68" s="8">
        <f t="shared" si="33"/>
        <v>6</v>
      </c>
      <c r="F68" s="8">
        <f t="shared" si="33"/>
        <v>5</v>
      </c>
      <c r="G68" s="8">
        <f t="shared" si="33"/>
        <v>4</v>
      </c>
      <c r="H68" s="8">
        <f t="shared" si="33"/>
        <v>5</v>
      </c>
      <c r="I68" s="8">
        <f t="shared" si="33"/>
        <v>4</v>
      </c>
      <c r="J68" s="8">
        <f t="shared" si="33"/>
        <v>3</v>
      </c>
      <c r="K68" s="8">
        <f t="shared" si="33"/>
        <v>2</v>
      </c>
      <c r="L68" s="8">
        <f t="shared" si="33"/>
        <v>4</v>
      </c>
      <c r="M68" s="8">
        <f t="shared" si="33"/>
        <v>3</v>
      </c>
      <c r="N68" s="8">
        <f t="shared" si="33"/>
        <v>2</v>
      </c>
      <c r="O68" s="8">
        <f t="shared" si="33"/>
        <v>1</v>
      </c>
      <c r="P68" s="657">
        <f t="shared" si="33"/>
        <v>0</v>
      </c>
    </row>
    <row r="69" spans="1:16">
      <c r="A69" s="1532" t="s">
        <v>1821</v>
      </c>
      <c r="B69" s="533">
        <f>MIN(B66,B68)</f>
        <v>0</v>
      </c>
      <c r="C69" s="1078">
        <f t="shared" ref="C69:P69" si="34">MIN(C66,C68)</f>
        <v>1</v>
      </c>
      <c r="D69" s="1078">
        <f t="shared" si="34"/>
        <v>2</v>
      </c>
      <c r="E69" s="1078">
        <f t="shared" si="34"/>
        <v>2</v>
      </c>
      <c r="F69" s="1078">
        <f t="shared" si="34"/>
        <v>3</v>
      </c>
      <c r="G69" s="1078">
        <f t="shared" si="34"/>
        <v>4</v>
      </c>
      <c r="H69" s="1078">
        <f t="shared" si="34"/>
        <v>3</v>
      </c>
      <c r="I69" s="1078">
        <f t="shared" si="34"/>
        <v>4</v>
      </c>
      <c r="J69" s="1078">
        <f t="shared" si="34"/>
        <v>3</v>
      </c>
      <c r="K69" s="1078">
        <f t="shared" si="34"/>
        <v>2</v>
      </c>
      <c r="L69" s="1078">
        <f t="shared" si="34"/>
        <v>4</v>
      </c>
      <c r="M69" s="1078">
        <f t="shared" si="34"/>
        <v>3</v>
      </c>
      <c r="N69" s="1078">
        <f t="shared" si="34"/>
        <v>2</v>
      </c>
      <c r="O69" s="1078">
        <f t="shared" si="34"/>
        <v>1</v>
      </c>
      <c r="P69" s="541">
        <f t="shared" si="34"/>
        <v>0</v>
      </c>
    </row>
    <row r="71" spans="1:16">
      <c r="A71" s="19" t="s">
        <v>1821</v>
      </c>
      <c r="B71">
        <v>0</v>
      </c>
      <c r="C71">
        <f>B71+1</f>
        <v>1</v>
      </c>
      <c r="D71">
        <f t="shared" ref="D71:F71" si="35">C71+1</f>
        <v>2</v>
      </c>
      <c r="E71">
        <f t="shared" si="35"/>
        <v>3</v>
      </c>
      <c r="F71">
        <f t="shared" si="35"/>
        <v>4</v>
      </c>
    </row>
    <row r="72" spans="1:16">
      <c r="A72" s="19" t="s">
        <v>100</v>
      </c>
      <c r="B72" s="1236">
        <f>COUNTIF($B69:$BS69,B71)</f>
        <v>2</v>
      </c>
      <c r="C72" s="1152">
        <f t="shared" ref="C72:F72" si="36">COUNTIF($B69:$BS69,C71)</f>
        <v>2</v>
      </c>
      <c r="D72" s="1152">
        <f t="shared" si="36"/>
        <v>4</v>
      </c>
      <c r="E72" s="1152">
        <f t="shared" si="36"/>
        <v>4</v>
      </c>
      <c r="F72" s="1237">
        <f t="shared" si="36"/>
        <v>3</v>
      </c>
      <c r="G72" s="66">
        <f>SUM(B72:F72)</f>
        <v>15</v>
      </c>
    </row>
    <row r="73" spans="1:16">
      <c r="A73" s="19" t="s">
        <v>1707</v>
      </c>
      <c r="B73" s="656">
        <f>B72/$G72</f>
        <v>0.13333333333333333</v>
      </c>
      <c r="C73" s="8">
        <f>C72/$G72</f>
        <v>0.13333333333333333</v>
      </c>
      <c r="D73" s="8">
        <f>D72/$G72</f>
        <v>0.26666666666666666</v>
      </c>
      <c r="E73" s="8">
        <f>E72/$G72</f>
        <v>0.26666666666666666</v>
      </c>
      <c r="F73" s="657">
        <f>F72/$G72</f>
        <v>0.2</v>
      </c>
    </row>
    <row r="74" spans="1:16">
      <c r="A74" s="43" t="s">
        <v>2948</v>
      </c>
      <c r="B74" s="533">
        <f>B73</f>
        <v>0.13333333333333333</v>
      </c>
      <c r="C74" s="1078">
        <f>B74+C73</f>
        <v>0.26666666666666666</v>
      </c>
      <c r="D74" s="1078">
        <f t="shared" ref="D74:F74" si="37">C74+D73</f>
        <v>0.53333333333333333</v>
      </c>
      <c r="E74" s="1078">
        <f t="shared" si="37"/>
        <v>0.8</v>
      </c>
      <c r="F74" s="541">
        <f t="shared" si="37"/>
        <v>1</v>
      </c>
    </row>
    <row r="78" spans="1:16">
      <c r="A78" s="25" t="s">
        <v>291</v>
      </c>
      <c r="B78" s="756">
        <v>1</v>
      </c>
      <c r="D78" t="s">
        <v>292</v>
      </c>
      <c r="E78" s="756">
        <v>4</v>
      </c>
      <c r="G78" t="s">
        <v>106</v>
      </c>
      <c r="H78" s="756">
        <f>B78+E78</f>
        <v>5</v>
      </c>
    </row>
    <row r="79" spans="1:16">
      <c r="A79" s="1"/>
    </row>
    <row r="80" spans="1:16">
      <c r="A80" s="25" t="s">
        <v>3358</v>
      </c>
      <c r="B80" s="756">
        <f>B78*(B78+1)/2</f>
        <v>1</v>
      </c>
      <c r="D80" t="s">
        <v>141</v>
      </c>
      <c r="E80" s="756">
        <f>E78*(E78+1)/2</f>
        <v>10</v>
      </c>
      <c r="G80" t="s">
        <v>142</v>
      </c>
      <c r="H80" s="756">
        <f>H78*(H78+1)/2</f>
        <v>15</v>
      </c>
      <c r="J80" t="s">
        <v>3359</v>
      </c>
      <c r="K80" s="756">
        <f>H80-E80</f>
        <v>5</v>
      </c>
      <c r="M80" t="s">
        <v>2781</v>
      </c>
      <c r="N80" s="756">
        <f>COMBIN(H78,E78)</f>
        <v>5</v>
      </c>
    </row>
    <row r="81" spans="1:6">
      <c r="A81" s="1"/>
    </row>
    <row r="82" spans="1:6">
      <c r="B82">
        <v>1</v>
      </c>
      <c r="C82">
        <f>B82+1</f>
        <v>2</v>
      </c>
      <c r="D82">
        <f t="shared" ref="D82:F82" si="38">C82+1</f>
        <v>3</v>
      </c>
      <c r="E82">
        <f t="shared" si="38"/>
        <v>4</v>
      </c>
      <c r="F82">
        <f t="shared" si="38"/>
        <v>5</v>
      </c>
    </row>
    <row r="83" spans="1:6">
      <c r="A83">
        <f>A82+1</f>
        <v>1</v>
      </c>
      <c r="B83" s="1236">
        <v>0</v>
      </c>
      <c r="C83" s="1152">
        <v>0</v>
      </c>
      <c r="D83" s="1152">
        <v>0</v>
      </c>
      <c r="E83" s="1152">
        <v>0</v>
      </c>
      <c r="F83" s="1237">
        <v>1</v>
      </c>
    </row>
    <row r="84" spans="1:6">
      <c r="A84">
        <f t="shared" ref="A84:A87" si="39">A83+1</f>
        <v>2</v>
      </c>
      <c r="B84" s="656">
        <v>0</v>
      </c>
      <c r="C84" s="8">
        <v>0</v>
      </c>
      <c r="D84" s="8">
        <v>0</v>
      </c>
      <c r="E84" s="8">
        <v>1</v>
      </c>
      <c r="F84" s="657">
        <v>0</v>
      </c>
    </row>
    <row r="85" spans="1:6">
      <c r="A85">
        <f t="shared" si="39"/>
        <v>3</v>
      </c>
      <c r="B85" s="656">
        <v>0</v>
      </c>
      <c r="C85" s="8">
        <v>0</v>
      </c>
      <c r="D85" s="8">
        <v>1</v>
      </c>
      <c r="E85" s="8">
        <v>0</v>
      </c>
      <c r="F85" s="657">
        <v>0</v>
      </c>
    </row>
    <row r="86" spans="1:6">
      <c r="A86">
        <f t="shared" si="39"/>
        <v>4</v>
      </c>
      <c r="B86" s="656">
        <v>0</v>
      </c>
      <c r="C86" s="8">
        <v>1</v>
      </c>
      <c r="D86" s="8">
        <v>0</v>
      </c>
      <c r="E86" s="8">
        <v>0</v>
      </c>
      <c r="F86" s="657">
        <v>0</v>
      </c>
    </row>
    <row r="87" spans="1:6">
      <c r="A87">
        <f t="shared" si="39"/>
        <v>5</v>
      </c>
      <c r="B87" s="533">
        <v>1</v>
      </c>
      <c r="C87" s="1078">
        <v>0</v>
      </c>
      <c r="D87" s="1078">
        <v>0</v>
      </c>
      <c r="E87" s="1078">
        <v>0</v>
      </c>
      <c r="F87" s="541">
        <v>0</v>
      </c>
    </row>
    <row r="88" spans="1:6">
      <c r="A88" s="1532" t="s">
        <v>4241</v>
      </c>
      <c r="B88" s="1236">
        <f>SUMPRODUCT($A82:$A87,B82:B87)</f>
        <v>5</v>
      </c>
      <c r="C88" s="1152">
        <f>SUMPRODUCT($A82:$A87,C82:C87)</f>
        <v>4</v>
      </c>
      <c r="D88" s="1152">
        <f>SUMPRODUCT($A82:$A87,D82:D87)</f>
        <v>3</v>
      </c>
      <c r="E88" s="1152">
        <f>SUMPRODUCT($A82:$A87,E82:E87)</f>
        <v>2</v>
      </c>
      <c r="F88" s="1237">
        <f>SUMPRODUCT($A82:$A87,F82:F87)</f>
        <v>1</v>
      </c>
    </row>
    <row r="89" spans="1:6">
      <c r="A89" s="1532" t="s">
        <v>4242</v>
      </c>
      <c r="B89" s="656">
        <f>$K80-B88</f>
        <v>0</v>
      </c>
      <c r="C89" s="8">
        <f t="shared" ref="C89:F89" si="40">$K80-C88</f>
        <v>1</v>
      </c>
      <c r="D89" s="8">
        <f t="shared" si="40"/>
        <v>2</v>
      </c>
      <c r="E89" s="8">
        <f t="shared" si="40"/>
        <v>3</v>
      </c>
      <c r="F89" s="657">
        <f t="shared" si="40"/>
        <v>4</v>
      </c>
    </row>
    <row r="90" spans="1:6">
      <c r="A90" s="1532" t="s">
        <v>4243</v>
      </c>
      <c r="B90" s="656">
        <f>$H80-B88</f>
        <v>10</v>
      </c>
      <c r="C90" s="8">
        <f t="shared" ref="C90:F90" si="41">$H80-C88</f>
        <v>11</v>
      </c>
      <c r="D90" s="8">
        <f t="shared" si="41"/>
        <v>12</v>
      </c>
      <c r="E90" s="8">
        <f t="shared" si="41"/>
        <v>13</v>
      </c>
      <c r="F90" s="657">
        <f t="shared" si="41"/>
        <v>14</v>
      </c>
    </row>
    <row r="91" spans="1:6">
      <c r="A91" s="1532" t="s">
        <v>4244</v>
      </c>
      <c r="B91" s="656">
        <f>$E80+$B78*$E78-B90</f>
        <v>4</v>
      </c>
      <c r="C91" s="8">
        <f t="shared" ref="C91:F91" si="42">$E80+$B78*$E78-C90</f>
        <v>3</v>
      </c>
      <c r="D91" s="8">
        <f t="shared" si="42"/>
        <v>2</v>
      </c>
      <c r="E91" s="8">
        <f t="shared" si="42"/>
        <v>1</v>
      </c>
      <c r="F91" s="657">
        <f t="shared" si="42"/>
        <v>0</v>
      </c>
    </row>
    <row r="92" spans="1:6">
      <c r="A92" s="1532" t="s">
        <v>1821</v>
      </c>
      <c r="B92" s="533">
        <f>MIN(B89,B91)</f>
        <v>0</v>
      </c>
      <c r="C92" s="1078">
        <f t="shared" ref="C92:F92" si="43">MIN(C89,C91)</f>
        <v>1</v>
      </c>
      <c r="D92" s="1078">
        <f t="shared" si="43"/>
        <v>2</v>
      </c>
      <c r="E92" s="1078">
        <f t="shared" si="43"/>
        <v>1</v>
      </c>
      <c r="F92" s="541">
        <f t="shared" si="43"/>
        <v>0</v>
      </c>
    </row>
    <row r="93" spans="1:6">
      <c r="A93" s="1532"/>
    </row>
    <row r="94" spans="1:6">
      <c r="A94" s="19" t="s">
        <v>1821</v>
      </c>
      <c r="B94">
        <v>0</v>
      </c>
      <c r="C94">
        <f>B94+1</f>
        <v>1</v>
      </c>
      <c r="D94">
        <f t="shared" ref="D94" si="44">C94+1</f>
        <v>2</v>
      </c>
    </row>
    <row r="95" spans="1:6">
      <c r="A95" s="19" t="s">
        <v>100</v>
      </c>
      <c r="B95" s="1236">
        <f>COUNTIF($A92:$F92,B94)</f>
        <v>2</v>
      </c>
      <c r="C95" s="1152">
        <f t="shared" ref="C95:D95" si="45">COUNTIF($A92:$F92,C94)</f>
        <v>2</v>
      </c>
      <c r="D95" s="1237">
        <f t="shared" si="45"/>
        <v>1</v>
      </c>
      <c r="E95" s="66">
        <f>SUM(B95:D95)</f>
        <v>5</v>
      </c>
    </row>
    <row r="96" spans="1:6">
      <c r="A96" s="19" t="s">
        <v>1707</v>
      </c>
      <c r="B96" s="656">
        <f>B95/$E95</f>
        <v>0.4</v>
      </c>
      <c r="C96" s="8">
        <f>C95/$E95</f>
        <v>0.4</v>
      </c>
      <c r="D96" s="657">
        <f>D95/$E95</f>
        <v>0.2</v>
      </c>
    </row>
    <row r="97" spans="1:4">
      <c r="A97" s="43" t="s">
        <v>2948</v>
      </c>
      <c r="B97" s="533">
        <f>B96</f>
        <v>0.4</v>
      </c>
      <c r="C97" s="1078">
        <f>B97+C96</f>
        <v>0.8</v>
      </c>
      <c r="D97" s="541">
        <f t="shared" ref="D97" si="46">C97+D96</f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sheetPr codeName="Sheet387"/>
  <dimension ref="A1:K52"/>
  <sheetViews>
    <sheetView workbookViewId="0">
      <selection activeCell="K19" sqref="K19"/>
    </sheetView>
  </sheetViews>
  <sheetFormatPr defaultRowHeight="14.4"/>
  <cols>
    <col min="3" max="3" width="5.5546875" customWidth="1"/>
    <col min="6" max="6" width="5.44140625" customWidth="1"/>
    <col min="7" max="7" width="10" customWidth="1"/>
    <col min="10" max="10" width="3.88671875" customWidth="1"/>
    <col min="11" max="11" width="66.5546875" customWidth="1"/>
  </cols>
  <sheetData>
    <row r="1" spans="1:11">
      <c r="A1" s="123" t="s">
        <v>4245</v>
      </c>
    </row>
    <row r="2" spans="1:11">
      <c r="A2" s="123"/>
    </row>
    <row r="3" spans="1:11">
      <c r="A3" s="122" t="s">
        <v>1810</v>
      </c>
      <c r="D3" t="s">
        <v>548</v>
      </c>
    </row>
    <row r="4" spans="1:11">
      <c r="H4" s="19" t="s">
        <v>239</v>
      </c>
      <c r="I4" s="19" t="s">
        <v>240</v>
      </c>
    </row>
    <row r="5" spans="1:11">
      <c r="A5" s="687" t="s">
        <v>239</v>
      </c>
      <c r="B5" s="687" t="s">
        <v>240</v>
      </c>
      <c r="D5" s="687" t="s">
        <v>239</v>
      </c>
      <c r="E5" s="687" t="s">
        <v>240</v>
      </c>
      <c r="G5" t="s">
        <v>554</v>
      </c>
      <c r="H5" s="1236">
        <f>COUNT(A6:A12)</f>
        <v>7</v>
      </c>
      <c r="I5" s="1237">
        <f>COUNT(B6:B12)</f>
        <v>7</v>
      </c>
      <c r="K5" t="e">
        <f ca="1">[1]!FTEXT(H5)</f>
        <v>#NAME?</v>
      </c>
    </row>
    <row r="6" spans="1:11">
      <c r="A6">
        <v>11</v>
      </c>
      <c r="B6">
        <v>34</v>
      </c>
      <c r="D6" t="e">
        <f ca="1">IF(A6&lt;&gt;"",[1]!RANK_AVG(A6,$A$6:$B$12,1),"")</f>
        <v>#NAME?</v>
      </c>
      <c r="E6" t="e">
        <f ca="1">IF(B6&lt;&gt;"",[1]!RANK_AVG(B6,$A$6:$B$12,1),"")</f>
        <v>#NAME?</v>
      </c>
      <c r="G6" t="s">
        <v>1813</v>
      </c>
      <c r="H6" s="656" t="e">
        <f ca="1">D13</f>
        <v>#NAME?</v>
      </c>
      <c r="I6" s="657" t="e">
        <f ca="1">E13</f>
        <v>#NAME?</v>
      </c>
      <c r="K6" t="e">
        <f ca="1">[1]!FTEXT(H6)</f>
        <v>#NAME?</v>
      </c>
    </row>
    <row r="7" spans="1:11">
      <c r="A7">
        <v>15</v>
      </c>
      <c r="B7">
        <v>31</v>
      </c>
      <c r="D7" t="e">
        <f ca="1">IF(A7&lt;&gt;"",[1]!RANK_AVG(A7,$A$6:$B$12,1),"")</f>
        <v>#NAME?</v>
      </c>
      <c r="E7" t="e">
        <f ca="1">IF(B7&lt;&gt;"",[1]!RANK_AVG(B7,$A$6:$B$12,1),"")</f>
        <v>#NAME?</v>
      </c>
      <c r="G7" t="s">
        <v>1821</v>
      </c>
      <c r="H7" s="533" t="e">
        <f ca="1">H5*I5+COMBIN(H5+1,2)-H6</f>
        <v>#NAME?</v>
      </c>
      <c r="I7" s="541" t="e">
        <f ca="1">H5*H5+COMBIN(I5+1,2)-I6</f>
        <v>#NAME?</v>
      </c>
      <c r="K7" t="e">
        <f ca="1">[1]!FTEXT(H7)</f>
        <v>#NAME?</v>
      </c>
    </row>
    <row r="8" spans="1:11">
      <c r="A8">
        <v>9</v>
      </c>
      <c r="B8">
        <v>35</v>
      </c>
      <c r="D8" t="e">
        <f ca="1">IF(A8&lt;&gt;"",[1]!RANK_AVG(A8,$A$6:$B$12,1),"")</f>
        <v>#NAME?</v>
      </c>
      <c r="E8" t="e">
        <f ca="1">IF(B8&lt;&gt;"",[1]!RANK_AVG(B8,$A$6:$B$12,1),"")</f>
        <v>#NAME?</v>
      </c>
    </row>
    <row r="9" spans="1:11">
      <c r="A9">
        <v>4</v>
      </c>
      <c r="B9">
        <v>29</v>
      </c>
      <c r="D9" t="e">
        <f ca="1">IF(A9&lt;&gt;"",[1]!RANK_AVG(A9,$A$6:$B$12,1),"")</f>
        <v>#NAME?</v>
      </c>
      <c r="E9" t="e">
        <f ca="1">IF(B9&lt;&gt;"",[1]!RANK_AVG(B9,$A$6:$B$12,1),"")</f>
        <v>#NAME?</v>
      </c>
      <c r="G9" s="172" t="s">
        <v>157</v>
      </c>
      <c r="H9" s="542">
        <v>0.05</v>
      </c>
    </row>
    <row r="10" spans="1:11">
      <c r="A10">
        <v>17</v>
      </c>
      <c r="B10">
        <v>12</v>
      </c>
      <c r="D10" t="e">
        <f ca="1">IF(A10&lt;&gt;"",[1]!RANK_AVG(A10,$A$6:$B$12,1),"")</f>
        <v>#NAME?</v>
      </c>
      <c r="E10" t="e">
        <f ca="1">IF(B10&lt;&gt;"",[1]!RANK_AVG(B10,$A$6:$B$12,1),"")</f>
        <v>#NAME?</v>
      </c>
      <c r="G10" s="172" t="s">
        <v>1178</v>
      </c>
      <c r="H10" s="627">
        <v>2</v>
      </c>
    </row>
    <row r="11" spans="1:11">
      <c r="A11">
        <v>32</v>
      </c>
      <c r="B11">
        <v>18</v>
      </c>
      <c r="D11" t="e">
        <f ca="1">IF(A11&lt;&gt;"",[1]!RANK_AVG(A11,$A$6:$B$12,1),"")</f>
        <v>#NAME?</v>
      </c>
      <c r="E11" t="e">
        <f ca="1">IF(B11&lt;&gt;"",[1]!RANK_AVG(B11,$A$6:$B$12,1),"")</f>
        <v>#NAME?</v>
      </c>
      <c r="G11" s="172" t="s">
        <v>1821</v>
      </c>
      <c r="H11" s="627" t="e">
        <f ca="1">MIN(H7:I7)</f>
        <v>#NAME?</v>
      </c>
      <c r="K11" t="e">
        <f ca="1">[1]!FTEXT(H11)</f>
        <v>#NAME?</v>
      </c>
    </row>
    <row r="12" spans="1:11">
      <c r="A12" s="11">
        <v>14</v>
      </c>
      <c r="B12" s="11">
        <v>30</v>
      </c>
      <c r="D12" s="11" t="e">
        <f ca="1">IF(A12&lt;&gt;"",[1]!RANK_AVG(A12,$A$6:$B$12,1),"")</f>
        <v>#NAME?</v>
      </c>
      <c r="E12" s="11" t="e">
        <f ca="1">IF(B12&lt;&gt;"",[1]!RANK_AVG(B12,$A$6:$B$12,1),"")</f>
        <v>#NAME?</v>
      </c>
      <c r="G12" s="66" t="s">
        <v>1822</v>
      </c>
      <c r="H12" s="627" t="e">
        <f ca="1">[1]!MCRIT(H5,I5,H9,H10)</f>
        <v>#NAME?</v>
      </c>
      <c r="K12" t="e">
        <f ca="1">[1]!FTEXT(H12)</f>
        <v>#NAME?</v>
      </c>
    </row>
    <row r="13" spans="1:11">
      <c r="A13">
        <f>AVERAGE(A6:A12)</f>
        <v>14.571428571428571</v>
      </c>
      <c r="B13">
        <f>AVERAGE(B6:B12)</f>
        <v>27</v>
      </c>
      <c r="D13" t="e">
        <f ca="1">SUM(D6:D12)</f>
        <v>#NAME?</v>
      </c>
      <c r="E13" t="e">
        <f ca="1">SUM(E6:E12)</f>
        <v>#NAME?</v>
      </c>
      <c r="G13" s="66" t="s">
        <v>948</v>
      </c>
      <c r="H13" s="538" t="e">
        <f ca="1">IF(MIN(H11:H11)&lt;H12,"yes","no")</f>
        <v>#NAME?</v>
      </c>
      <c r="K13" t="e">
        <f ca="1">[1]!FTEXT(H13)</f>
        <v>#NAME?</v>
      </c>
    </row>
    <row r="16" spans="1:11">
      <c r="G16" t="s">
        <v>200</v>
      </c>
      <c r="H16" s="1235" t="e">
        <f ca="1">2*[1]!PERM2DIST(COMBIN(MIN(H5,I5)+1,2)+H11,H5,I5,TRUE)</f>
        <v>#NAME?</v>
      </c>
      <c r="K16" t="e">
        <f ca="1">[1]!FTEXT(H16)</f>
        <v>#NAME?</v>
      </c>
    </row>
    <row r="17" spans="1:11">
      <c r="G17" t="s">
        <v>4246</v>
      </c>
      <c r="H17" s="544" t="e">
        <f ca="1">[1]!PERM2INV(H9/2,H5,I5)-COMBIN(MIN(H5,I5)+1,2)</f>
        <v>#NAME?</v>
      </c>
      <c r="K17" t="e">
        <f ca="1">[1]!FTEXT(H17)</f>
        <v>#NAME?</v>
      </c>
    </row>
    <row r="20" spans="1:11">
      <c r="A20" s="122" t="s">
        <v>1810</v>
      </c>
      <c r="D20" t="s">
        <v>548</v>
      </c>
    </row>
    <row r="21" spans="1:11">
      <c r="H21" s="19" t="s">
        <v>239</v>
      </c>
      <c r="I21" s="19" t="s">
        <v>240</v>
      </c>
    </row>
    <row r="22" spans="1:11">
      <c r="A22" s="687" t="s">
        <v>239</v>
      </c>
      <c r="B22" s="687" t="s">
        <v>240</v>
      </c>
      <c r="D22" s="687" t="s">
        <v>239</v>
      </c>
      <c r="E22" s="687" t="s">
        <v>240</v>
      </c>
      <c r="G22" t="s">
        <v>554</v>
      </c>
      <c r="H22" s="1236">
        <f>COUNT(A23:A29)</f>
        <v>7</v>
      </c>
      <c r="I22" s="1237">
        <f>COUNT(B23:B29)</f>
        <v>6</v>
      </c>
      <c r="K22" t="e">
        <f ca="1">[1]!FTEXT(H22)</f>
        <v>#NAME?</v>
      </c>
    </row>
    <row r="23" spans="1:11">
      <c r="A23">
        <v>11</v>
      </c>
      <c r="B23">
        <v>34</v>
      </c>
      <c r="D23" t="e">
        <f ca="1">IF(A23&lt;&gt;"",[1]!RANK_AVG(A23,$A$23:$B$29,1),"")</f>
        <v>#NAME?</v>
      </c>
      <c r="E23" t="e">
        <f ca="1">IF(B23&lt;&gt;"",[1]!RANK_AVG(B23,$A$23:$B$29,1),"")</f>
        <v>#NAME?</v>
      </c>
      <c r="G23" t="s">
        <v>1813</v>
      </c>
      <c r="H23" s="656" t="e">
        <f ca="1">D30</f>
        <v>#NAME?</v>
      </c>
      <c r="I23" s="657" t="e">
        <f ca="1">E30</f>
        <v>#NAME?</v>
      </c>
      <c r="K23" t="e">
        <f ca="1">[1]!FTEXT(H23)</f>
        <v>#NAME?</v>
      </c>
    </row>
    <row r="24" spans="1:11">
      <c r="A24">
        <v>15</v>
      </c>
      <c r="B24">
        <v>31</v>
      </c>
      <c r="D24" t="e">
        <f ca="1">IF(A24&lt;&gt;"",[1]!RANK_AVG(A24,$A$23:$B$29,1),"")</f>
        <v>#NAME?</v>
      </c>
      <c r="E24" t="e">
        <f ca="1">IF(B24&lt;&gt;"",[1]!RANK_AVG(B24,$A$23:$B$29,1),"")</f>
        <v>#NAME?</v>
      </c>
      <c r="G24" t="s">
        <v>1821</v>
      </c>
      <c r="H24" s="533" t="e">
        <f ca="1">H22*I22+COMBIN(H22+1,2)-H23</f>
        <v>#NAME?</v>
      </c>
      <c r="I24" s="541" t="e">
        <f ca="1">H22*I22+COMBIN(I22+1,2)-I23</f>
        <v>#NAME?</v>
      </c>
      <c r="K24" t="e">
        <f ca="1">[1]!FTEXT(H24)</f>
        <v>#NAME?</v>
      </c>
    </row>
    <row r="25" spans="1:11">
      <c r="A25">
        <v>9</v>
      </c>
      <c r="B25">
        <v>35</v>
      </c>
      <c r="D25" t="e">
        <f ca="1">IF(A25&lt;&gt;"",[1]!RANK_AVG(A25,$A$23:$B$29,1),"")</f>
        <v>#NAME?</v>
      </c>
      <c r="E25" t="e">
        <f ca="1">IF(B25&lt;&gt;"",[1]!RANK_AVG(B25,$A$23:$B$29,1),"")</f>
        <v>#NAME?</v>
      </c>
    </row>
    <row r="26" spans="1:11">
      <c r="A26">
        <v>4</v>
      </c>
      <c r="B26">
        <v>29</v>
      </c>
      <c r="D26" t="e">
        <f ca="1">IF(A26&lt;&gt;"",[1]!RANK_AVG(A26,$A$23:$B$29,1),"")</f>
        <v>#NAME?</v>
      </c>
      <c r="E26" t="e">
        <f ca="1">IF(B26&lt;&gt;"",[1]!RANK_AVG(B26,$A$23:$B$29,1),"")</f>
        <v>#NAME?</v>
      </c>
      <c r="G26" s="172" t="s">
        <v>157</v>
      </c>
      <c r="H26" s="542">
        <v>0.05</v>
      </c>
    </row>
    <row r="27" spans="1:11">
      <c r="A27">
        <v>17</v>
      </c>
      <c r="B27">
        <v>12</v>
      </c>
      <c r="D27" t="e">
        <f ca="1">IF(A27&lt;&gt;"",[1]!RANK_AVG(A27,$A$23:$B$29,1),"")</f>
        <v>#NAME?</v>
      </c>
      <c r="E27" t="e">
        <f ca="1">IF(B27&lt;&gt;"",[1]!RANK_AVG(B27,$A$23:$B$29,1),"")</f>
        <v>#NAME?</v>
      </c>
      <c r="G27" s="172" t="s">
        <v>1178</v>
      </c>
      <c r="H27" s="627">
        <v>2</v>
      </c>
    </row>
    <row r="28" spans="1:11">
      <c r="A28">
        <v>32</v>
      </c>
      <c r="B28">
        <v>18</v>
      </c>
      <c r="D28" t="e">
        <f ca="1">IF(A28&lt;&gt;"",[1]!RANK_AVG(A28,$A$23:$B$29,1),"")</f>
        <v>#NAME?</v>
      </c>
      <c r="E28" t="e">
        <f ca="1">IF(B28&lt;&gt;"",[1]!RANK_AVG(B28,$A$23:$B$29,1),"")</f>
        <v>#NAME?</v>
      </c>
      <c r="G28" s="172" t="s">
        <v>1821</v>
      </c>
      <c r="H28" s="627" t="e">
        <f ca="1">MIN(H24:I24)</f>
        <v>#NAME?</v>
      </c>
      <c r="K28" t="e">
        <f ca="1">[1]!FTEXT(H28)</f>
        <v>#NAME?</v>
      </c>
    </row>
    <row r="29" spans="1:11">
      <c r="A29" s="11">
        <v>14</v>
      </c>
      <c r="B29" s="11"/>
      <c r="D29" s="11" t="e">
        <f ca="1">IF(A29&lt;&gt;"",[1]!RANK_AVG(A29,$A$23:$B$29,1),"")</f>
        <v>#NAME?</v>
      </c>
      <c r="E29" s="11" t="str">
        <f>IF(B29&lt;&gt;"",[1]!RANK_AVG(B29,$A$23:$B$29,1),"")</f>
        <v/>
      </c>
      <c r="G29" s="66" t="s">
        <v>1822</v>
      </c>
      <c r="H29" s="627" t="e">
        <f ca="1">[1]!MCRIT(H22,I22,H26,H27)</f>
        <v>#NAME?</v>
      </c>
      <c r="K29" t="e">
        <f ca="1">[1]!FTEXT(H29)</f>
        <v>#NAME?</v>
      </c>
    </row>
    <row r="30" spans="1:11">
      <c r="A30">
        <f>AVERAGE(A23:A29)</f>
        <v>14.571428571428571</v>
      </c>
      <c r="B30">
        <f>AVERAGE(B23:B29)</f>
        <v>26.5</v>
      </c>
      <c r="D30" t="e">
        <f ca="1">SUM(D23:D29)</f>
        <v>#NAME?</v>
      </c>
      <c r="E30" t="e">
        <f ca="1">SUM(E23:E29)</f>
        <v>#NAME?</v>
      </c>
      <c r="G30" s="66" t="s">
        <v>948</v>
      </c>
      <c r="H30" s="538" t="e">
        <f ca="1">IF(MIN(H28:H28)&lt;H29,"yes","no")</f>
        <v>#NAME?</v>
      </c>
      <c r="K30" t="e">
        <f ca="1">[1]!FTEXT(H30)</f>
        <v>#NAME?</v>
      </c>
    </row>
    <row r="33" spans="1:11">
      <c r="G33" t="s">
        <v>200</v>
      </c>
      <c r="H33" s="1235" t="e">
        <f ca="1">2*[1]!PERM2DIST(COMBIN(MIN(H22,I22)+1,2)+H28,H22,I22,TRUE)</f>
        <v>#NAME?</v>
      </c>
      <c r="K33" t="e">
        <f ca="1">[1]!FTEXT(H33)</f>
        <v>#NAME?</v>
      </c>
    </row>
    <row r="34" spans="1:11">
      <c r="G34" t="s">
        <v>4246</v>
      </c>
      <c r="H34" s="544" t="e">
        <f ca="1">[1]!PERM2INV(H26/2,H22,I22)-COMBIN(MIN(H22,I22)+1,2)</f>
        <v>#NAME?</v>
      </c>
      <c r="K34" t="e">
        <f ca="1">[1]!FTEXT(H34)</f>
        <v>#NAME?</v>
      </c>
    </row>
    <row r="38" spans="1:11">
      <c r="A38" s="122" t="s">
        <v>1810</v>
      </c>
      <c r="D38" t="s">
        <v>548</v>
      </c>
    </row>
    <row r="39" spans="1:11">
      <c r="H39" s="19" t="s">
        <v>239</v>
      </c>
      <c r="I39" s="19" t="s">
        <v>240</v>
      </c>
    </row>
    <row r="40" spans="1:11">
      <c r="A40" s="687" t="s">
        <v>239</v>
      </c>
      <c r="B40" s="687" t="s">
        <v>240</v>
      </c>
      <c r="D40" s="687" t="s">
        <v>239</v>
      </c>
      <c r="E40" s="687" t="s">
        <v>240</v>
      </c>
      <c r="G40" t="s">
        <v>554</v>
      </c>
      <c r="H40" s="1236">
        <f>COUNT(A41:A44)</f>
        <v>4</v>
      </c>
      <c r="I40" s="1237">
        <f>COUNT(B41:B44)</f>
        <v>4</v>
      </c>
      <c r="K40" t="e">
        <f ca="1">[1]!FTEXT(H40)</f>
        <v>#NAME?</v>
      </c>
    </row>
    <row r="41" spans="1:11">
      <c r="A41">
        <v>29</v>
      </c>
      <c r="B41">
        <v>34</v>
      </c>
      <c r="D41" t="e">
        <f ca="1">IF(A41&lt;&gt;"",[1]!RANK_AVG(A41,$A$41:$B$44,1),"")</f>
        <v>#NAME?</v>
      </c>
      <c r="E41" t="e">
        <f ca="1">IF(B41&lt;&gt;"",[1]!RANK_AVG(B41,$A$41:$B$44,1),"")</f>
        <v>#NAME?</v>
      </c>
      <c r="G41" t="s">
        <v>1813</v>
      </c>
      <c r="H41" s="656" t="e">
        <f ca="1">D45</f>
        <v>#NAME?</v>
      </c>
      <c r="I41" s="657" t="e">
        <f ca="1">E45</f>
        <v>#NAME?</v>
      </c>
      <c r="K41" t="e">
        <f ca="1">[1]!FTEXT(H41)</f>
        <v>#NAME?</v>
      </c>
    </row>
    <row r="42" spans="1:11">
      <c r="A42">
        <v>15</v>
      </c>
      <c r="B42">
        <v>31</v>
      </c>
      <c r="D42" t="e">
        <f ca="1">IF(A42&lt;&gt;"",[1]!RANK_AVG(A42,$A$41:$B$44,1),"")</f>
        <v>#NAME?</v>
      </c>
      <c r="E42" t="e">
        <f ca="1">IF(B42&lt;&gt;"",[1]!RANK_AVG(B42,$A$41:$B$44,1),"")</f>
        <v>#NAME?</v>
      </c>
      <c r="G42" t="s">
        <v>1821</v>
      </c>
      <c r="H42" s="533" t="e">
        <f ca="1">H40*I40+COMBIN(H40+1,2)-H41</f>
        <v>#NAME?</v>
      </c>
      <c r="I42" s="541" t="e">
        <f ca="1">H40*H40+COMBIN(I40+1,2)-I41</f>
        <v>#NAME?</v>
      </c>
      <c r="K42" t="e">
        <f ca="1">[1]!FTEXT(H42)</f>
        <v>#NAME?</v>
      </c>
    </row>
    <row r="43" spans="1:11">
      <c r="A43">
        <v>9</v>
      </c>
      <c r="B43">
        <v>35</v>
      </c>
      <c r="D43" t="e">
        <f ca="1">IF(A43&lt;&gt;"",[1]!RANK_AVG(A43,$A$41:$B$44,1),"")</f>
        <v>#NAME?</v>
      </c>
      <c r="E43" t="e">
        <f ca="1">IF(B43&lt;&gt;"",[1]!RANK_AVG(B43,$A$41:$B$44,1),"")</f>
        <v>#NAME?</v>
      </c>
    </row>
    <row r="44" spans="1:11">
      <c r="A44" s="11">
        <v>4</v>
      </c>
      <c r="B44" s="11">
        <v>11</v>
      </c>
      <c r="D44" s="11" t="e">
        <f ca="1">IF(A44&lt;&gt;"",[1]!RANK_AVG(A44,$A$41:$B$44,1),"")</f>
        <v>#NAME?</v>
      </c>
      <c r="E44" s="11" t="e">
        <f ca="1">IF(B44&lt;&gt;"",[1]!RANK_AVG(B44,$A$41:$B$44,1),"")</f>
        <v>#NAME?</v>
      </c>
      <c r="G44" s="172" t="s">
        <v>157</v>
      </c>
      <c r="H44" s="542">
        <v>0.2</v>
      </c>
    </row>
    <row r="45" spans="1:11">
      <c r="A45">
        <f>AVERAGE(A41:A44)</f>
        <v>14.25</v>
      </c>
      <c r="B45">
        <f>AVERAGE(B41:B44)</f>
        <v>27.75</v>
      </c>
      <c r="D45" t="e">
        <f ca="1">SUM(D41:D44)</f>
        <v>#NAME?</v>
      </c>
      <c r="E45" t="e">
        <f ca="1">SUM(E41:E44)</f>
        <v>#NAME?</v>
      </c>
      <c r="G45" s="172" t="s">
        <v>1178</v>
      </c>
      <c r="H45" s="627">
        <v>2</v>
      </c>
    </row>
    <row r="46" spans="1:11">
      <c r="G46" s="172" t="s">
        <v>1821</v>
      </c>
      <c r="H46" s="627" t="e">
        <f ca="1">MIN(H42:I42)</f>
        <v>#NAME?</v>
      </c>
      <c r="K46" t="e">
        <f ca="1">[1]!FTEXT(H46)</f>
        <v>#NAME?</v>
      </c>
    </row>
    <row r="47" spans="1:11">
      <c r="A47" s="8"/>
      <c r="B47" s="8"/>
      <c r="C47" s="8"/>
      <c r="D47" s="8"/>
      <c r="E47" s="8"/>
      <c r="G47" s="66" t="s">
        <v>1822</v>
      </c>
      <c r="H47" s="627" t="e">
        <f ca="1">[1]!MCRIT(H40,I40,H44,H45)</f>
        <v>#NAME?</v>
      </c>
      <c r="K47" t="e">
        <f ca="1">[1]!FTEXT(H47)</f>
        <v>#NAME?</v>
      </c>
    </row>
    <row r="48" spans="1:11">
      <c r="A48" s="8"/>
      <c r="B48" s="8"/>
      <c r="C48" s="8"/>
      <c r="D48" s="8"/>
      <c r="E48" s="8"/>
      <c r="G48" s="66" t="s">
        <v>948</v>
      </c>
      <c r="H48" s="538" t="e">
        <f ca="1">IF(MIN(H46:H46)&lt;H47,"yes","no")</f>
        <v>#NAME?</v>
      </c>
      <c r="K48" t="e">
        <f ca="1">[1]!FTEXT(H48)</f>
        <v>#NAME?</v>
      </c>
    </row>
    <row r="49" spans="1:11">
      <c r="A49" s="8"/>
      <c r="B49" s="8"/>
      <c r="C49" s="8"/>
      <c r="D49" s="8"/>
      <c r="E49" s="8"/>
    </row>
    <row r="51" spans="1:11">
      <c r="G51" t="s">
        <v>200</v>
      </c>
      <c r="H51" s="1235" t="e">
        <f ca="1">2*[1]!PERM2DIST(COMBIN(MIN(H40,I40)+1,2)+H46,H40,I40,TRUE)</f>
        <v>#NAME?</v>
      </c>
      <c r="K51" t="e">
        <f ca="1">[1]!FTEXT(H51)</f>
        <v>#NAME?</v>
      </c>
    </row>
    <row r="52" spans="1:11">
      <c r="G52" t="s">
        <v>4246</v>
      </c>
      <c r="H52" s="544" t="e">
        <f ca="1">[1]!PERM2INV(H44/2,H40,I40)-COMBIN(MIN(H40,I40)+1,2)</f>
        <v>#NAME?</v>
      </c>
      <c r="K52" t="e">
        <f ca="1">[1]!FTEXT(H52)</f>
        <v>#NAME?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sheetPr codeName="Sheet214"/>
  <dimension ref="A1:AD21"/>
  <sheetViews>
    <sheetView workbookViewId="0"/>
  </sheetViews>
  <sheetFormatPr defaultRowHeight="14.4"/>
  <cols>
    <col min="2" max="4" width="10" customWidth="1"/>
    <col min="9" max="9" width="6.44140625" customWidth="1"/>
    <col min="13" max="13" width="9.109375" customWidth="1"/>
    <col min="29" max="29" width="4.33203125" customWidth="1"/>
  </cols>
  <sheetData>
    <row r="1" spans="1:30">
      <c r="A1" s="123" t="s">
        <v>2123</v>
      </c>
    </row>
    <row r="2" spans="1:30">
      <c r="X2" t="s">
        <v>4122</v>
      </c>
      <c r="AB2" t="s">
        <v>4200</v>
      </c>
    </row>
    <row r="3" spans="1:30" s="112" customFormat="1" ht="28.8">
      <c r="A3" s="752" t="s">
        <v>243</v>
      </c>
      <c r="B3" s="752" t="s">
        <v>1829</v>
      </c>
      <c r="C3" s="752" t="s">
        <v>1830</v>
      </c>
      <c r="D3" s="752" t="s">
        <v>1468</v>
      </c>
      <c r="E3" s="752" t="s">
        <v>1823</v>
      </c>
      <c r="F3" s="752" t="s">
        <v>1825</v>
      </c>
      <c r="G3" s="752" t="s">
        <v>1826</v>
      </c>
      <c r="H3" s="752" t="s">
        <v>1827</v>
      </c>
      <c r="I3" s="753"/>
      <c r="J3" s="753"/>
      <c r="K3"/>
      <c r="L3"/>
      <c r="M3"/>
      <c r="N3"/>
      <c r="O3"/>
      <c r="P3"/>
      <c r="Q3"/>
      <c r="R3"/>
      <c r="S3"/>
      <c r="T3"/>
      <c r="U3"/>
    </row>
    <row r="4" spans="1:30">
      <c r="A4" s="700">
        <v>1</v>
      </c>
      <c r="B4" s="700">
        <v>50</v>
      </c>
      <c r="C4" s="700">
        <v>47</v>
      </c>
      <c r="D4" s="700">
        <f>B4-C4</f>
        <v>3</v>
      </c>
      <c r="E4" s="700">
        <f>IF(D4=0,"",ABS(D4))</f>
        <v>3</v>
      </c>
      <c r="F4" s="700" t="e">
        <f ca="1">IF(D4&lt;&gt;0,[1]!RANK_AVG(E4,$E$4:$E$18,1),"")</f>
        <v>#NAME?</v>
      </c>
      <c r="G4" s="700" t="e">
        <f ca="1">IF(D4&gt;0,F4,"")</f>
        <v>#NAME?</v>
      </c>
      <c r="H4" s="700" t="str">
        <f>IF(D4&lt;0,F4,"")</f>
        <v/>
      </c>
      <c r="I4" s="700"/>
      <c r="J4" s="172" t="s">
        <v>157</v>
      </c>
      <c r="K4" s="542">
        <v>0.05</v>
      </c>
      <c r="N4" s="752" t="s">
        <v>1468</v>
      </c>
      <c r="X4" t="e">
        <f t="array" aca="1" ref="X4:Y12" ca="1">[1]!SRANK_TEST(B4:B18,C4:C18,TRUE)</f>
        <v>#NAME?</v>
      </c>
      <c r="Y4" s="1235" t="e">
        <f ca="1"/>
        <v>#NAME?</v>
      </c>
      <c r="AB4" t="s">
        <v>4198</v>
      </c>
    </row>
    <row r="5" spans="1:30">
      <c r="A5" s="700">
        <f>A4+1</f>
        <v>2</v>
      </c>
      <c r="B5" s="700">
        <v>45</v>
      </c>
      <c r="C5" s="700">
        <v>45</v>
      </c>
      <c r="D5" s="700">
        <f t="shared" ref="D5:D18" si="0">B5-C5</f>
        <v>0</v>
      </c>
      <c r="E5" s="700" t="str">
        <f t="shared" ref="E5:E18" si="1">IF(D5=0,"",ABS(D5))</f>
        <v/>
      </c>
      <c r="F5" s="700" t="str">
        <f>IF(D5&lt;&gt;0,[1]!RANK_AVG(E5,$E$4:$E$18,1),"")</f>
        <v/>
      </c>
      <c r="G5" s="700" t="str">
        <f t="shared" ref="G5:G18" si="2">IF(D5&gt;0,F5,"")</f>
        <v/>
      </c>
      <c r="H5" s="700" t="str">
        <f t="shared" ref="H5:H18" si="3">IF(D5&lt;0,F5,"")</f>
        <v/>
      </c>
      <c r="I5" s="700"/>
      <c r="J5" s="172" t="s">
        <v>1178</v>
      </c>
      <c r="K5" s="627">
        <v>2</v>
      </c>
      <c r="M5" t="s">
        <v>160</v>
      </c>
      <c r="N5">
        <f>MIN(D4:D18)</f>
        <v>-10</v>
      </c>
      <c r="X5" t="e">
        <f ca="1"/>
        <v>#NAME?</v>
      </c>
      <c r="Y5" s="627" t="e">
        <f ca="1"/>
        <v>#NAME?</v>
      </c>
    </row>
    <row r="6" spans="1:30">
      <c r="A6" s="700">
        <f t="shared" ref="A6:A18" si="4">A5+1</f>
        <v>3</v>
      </c>
      <c r="B6" s="700">
        <v>33</v>
      </c>
      <c r="C6" s="700">
        <v>31</v>
      </c>
      <c r="D6" s="700">
        <f t="shared" si="0"/>
        <v>2</v>
      </c>
      <c r="E6" s="700">
        <f t="shared" si="1"/>
        <v>2</v>
      </c>
      <c r="F6" s="700" t="e">
        <f ca="1">IF(D6&lt;&gt;0,[1]!RANK_AVG(E6,$E$4:$E$18,1),"")</f>
        <v>#NAME?</v>
      </c>
      <c r="G6" s="700" t="e">
        <f t="shared" ca="1" si="2"/>
        <v>#NAME?</v>
      </c>
      <c r="H6" s="700" t="str">
        <f t="shared" si="3"/>
        <v/>
      </c>
      <c r="I6" s="700"/>
      <c r="J6" t="s">
        <v>106</v>
      </c>
      <c r="K6" s="627">
        <f>COUNT(E4:E18)</f>
        <v>14</v>
      </c>
      <c r="M6" t="s">
        <v>161</v>
      </c>
      <c r="N6">
        <f>QUARTILE(D4:D18,1)-N5</f>
        <v>9</v>
      </c>
      <c r="X6" t="e">
        <f ca="1"/>
        <v>#NAME?</v>
      </c>
      <c r="Y6" s="627" t="e">
        <f ca="1"/>
        <v>#NAME?</v>
      </c>
      <c r="AB6" s="1235" t="e">
        <f ca="1">[1]!PERMDIST(K7,K6,TRUE)</f>
        <v>#NAME?</v>
      </c>
      <c r="AD6" t="e">
        <f ca="1">[1]!FTEXT(AB6)</f>
        <v>#NAME?</v>
      </c>
    </row>
    <row r="7" spans="1:30">
      <c r="A7" s="700">
        <f t="shared" si="4"/>
        <v>4</v>
      </c>
      <c r="B7" s="700">
        <v>22</v>
      </c>
      <c r="C7" s="700">
        <v>24</v>
      </c>
      <c r="D7" s="700">
        <f t="shared" si="0"/>
        <v>-2</v>
      </c>
      <c r="E7" s="700">
        <f t="shared" si="1"/>
        <v>2</v>
      </c>
      <c r="F7" s="700" t="e">
        <f ca="1">IF(D7&lt;&gt;0,[1]!RANK_AVG(E7,$E$4:$E$18,1),"")</f>
        <v>#NAME?</v>
      </c>
      <c r="G7" s="700" t="str">
        <f t="shared" si="2"/>
        <v/>
      </c>
      <c r="H7" s="700" t="e">
        <f t="shared" ca="1" si="3"/>
        <v>#NAME?</v>
      </c>
      <c r="I7" s="700"/>
      <c r="J7" s="172" t="s">
        <v>642</v>
      </c>
      <c r="K7" s="627" t="e">
        <f ca="1">MIN(G19:H19)</f>
        <v>#NAME?</v>
      </c>
      <c r="M7" t="s">
        <v>162</v>
      </c>
      <c r="N7">
        <f>MEDIAN(D4:D18)-QUARTILE(D4:D18,1)</f>
        <v>4</v>
      </c>
      <c r="X7" t="e">
        <f ca="1"/>
        <v>#NAME?</v>
      </c>
      <c r="Y7" s="627" t="e">
        <f ca="1"/>
        <v>#NAME?</v>
      </c>
      <c r="AB7" s="544" t="e">
        <f ca="1">[1]!PERMINV(Y5,K6)</f>
        <v>#NAME?</v>
      </c>
      <c r="AD7" t="e">
        <f ca="1">[1]!FTEXT(AB7)</f>
        <v>#NAME?</v>
      </c>
    </row>
    <row r="8" spans="1:30">
      <c r="A8" s="700">
        <f t="shared" si="4"/>
        <v>5</v>
      </c>
      <c r="B8" s="700">
        <v>99</v>
      </c>
      <c r="C8" s="700">
        <v>78</v>
      </c>
      <c r="D8" s="700">
        <f t="shared" si="0"/>
        <v>21</v>
      </c>
      <c r="E8" s="700">
        <f t="shared" si="1"/>
        <v>21</v>
      </c>
      <c r="F8" s="700" t="e">
        <f ca="1">IF(D8&lt;&gt;0,[1]!RANK_AVG(E8,$E$4:$E$18,1),"")</f>
        <v>#NAME?</v>
      </c>
      <c r="G8" s="700" t="e">
        <f t="shared" ca="1" si="2"/>
        <v>#NAME?</v>
      </c>
      <c r="H8" s="700" t="str">
        <f t="shared" si="3"/>
        <v/>
      </c>
      <c r="I8" s="700"/>
      <c r="J8" s="66" t="s">
        <v>1828</v>
      </c>
      <c r="K8" s="627">
        <f>'Signed Rank Table'!D15</f>
        <v>21</v>
      </c>
      <c r="M8" t="s">
        <v>163</v>
      </c>
      <c r="N8">
        <f>QUARTILE(D4:D18,3)-MEDIAN(D4:D18)</f>
        <v>1.5</v>
      </c>
      <c r="X8" t="e">
        <f ca="1"/>
        <v>#NAME?</v>
      </c>
      <c r="Y8" s="627" t="e">
        <f ca="1"/>
        <v>#NAME?</v>
      </c>
    </row>
    <row r="9" spans="1:30">
      <c r="A9" s="700">
        <f t="shared" si="4"/>
        <v>6</v>
      </c>
      <c r="B9" s="700">
        <v>79</v>
      </c>
      <c r="C9" s="700">
        <v>76</v>
      </c>
      <c r="D9" s="700">
        <f t="shared" si="0"/>
        <v>3</v>
      </c>
      <c r="E9" s="700">
        <f t="shared" si="1"/>
        <v>3</v>
      </c>
      <c r="F9" s="700" t="e">
        <f ca="1">IF(D9&lt;&gt;0,[1]!RANK_AVG(E9,$E$4:$E$18,1),"")</f>
        <v>#NAME?</v>
      </c>
      <c r="G9" s="700" t="e">
        <f t="shared" ca="1" si="2"/>
        <v>#NAME?</v>
      </c>
      <c r="H9" s="700" t="str">
        <f t="shared" si="3"/>
        <v/>
      </c>
      <c r="I9" s="700"/>
      <c r="J9" s="66" t="s">
        <v>948</v>
      </c>
      <c r="K9" s="538" t="e">
        <f ca="1">IF(K7&lt;K8,"yes","no")</f>
        <v>#NAME?</v>
      </c>
      <c r="M9" t="s">
        <v>164</v>
      </c>
      <c r="N9">
        <f>MAX(D4:D18)-QUARTILE(D4:D18,3)</f>
        <v>16.5</v>
      </c>
      <c r="X9" t="e">
        <f ca="1"/>
        <v>#NAME?</v>
      </c>
      <c r="Y9" s="627" t="e">
        <f ca="1"/>
        <v>#NAME?</v>
      </c>
      <c r="AB9" t="s">
        <v>4199</v>
      </c>
    </row>
    <row r="10" spans="1:30">
      <c r="A10" s="700">
        <f t="shared" si="4"/>
        <v>7</v>
      </c>
      <c r="B10" s="700">
        <v>4</v>
      </c>
      <c r="C10" s="700">
        <v>13</v>
      </c>
      <c r="D10" s="700">
        <f t="shared" si="0"/>
        <v>-9</v>
      </c>
      <c r="E10" s="700">
        <f t="shared" si="1"/>
        <v>9</v>
      </c>
      <c r="F10" s="700" t="e">
        <f ca="1">IF(D10&lt;&gt;0,[1]!RANK_AVG(E10,$E$4:$E$18,1),"")</f>
        <v>#NAME?</v>
      </c>
      <c r="G10" s="700" t="str">
        <f t="shared" si="2"/>
        <v/>
      </c>
      <c r="H10" s="700" t="e">
        <f t="shared" ca="1" si="3"/>
        <v>#NAME?</v>
      </c>
      <c r="I10" s="700"/>
      <c r="J10" s="700"/>
      <c r="X10" t="e">
        <f ca="1"/>
        <v>#NAME?</v>
      </c>
      <c r="Y10" s="627" t="e">
        <f ca="1"/>
        <v>#NAME?</v>
      </c>
    </row>
    <row r="11" spans="1:30">
      <c r="A11" s="700">
        <f t="shared" si="4"/>
        <v>8</v>
      </c>
      <c r="B11" s="700">
        <v>36</v>
      </c>
      <c r="C11" s="700">
        <v>46</v>
      </c>
      <c r="D11" s="700">
        <f t="shared" si="0"/>
        <v>-10</v>
      </c>
      <c r="E11" s="700">
        <f t="shared" si="1"/>
        <v>10</v>
      </c>
      <c r="F11" s="700" t="e">
        <f ca="1">IF(D11&lt;&gt;0,[1]!RANK_AVG(E11,$E$4:$E$18,1),"")</f>
        <v>#NAME?</v>
      </c>
      <c r="G11" s="700" t="str">
        <f t="shared" si="2"/>
        <v/>
      </c>
      <c r="H11" s="700" t="e">
        <f t="shared" ca="1" si="3"/>
        <v>#NAME?</v>
      </c>
      <c r="I11" s="700"/>
      <c r="J11" s="700"/>
      <c r="X11" t="e">
        <f ca="1"/>
        <v>#NAME?</v>
      </c>
      <c r="Y11" s="627" t="e">
        <f ca="1"/>
        <v>#NAME?</v>
      </c>
      <c r="AB11" s="1235" t="e">
        <f ca="1">2*[1]!PERMDIST(K7,K6,TRUE)</f>
        <v>#NAME?</v>
      </c>
      <c r="AD11" t="e">
        <f ca="1">[1]!FTEXT(AB11)</f>
        <v>#NAME?</v>
      </c>
    </row>
    <row r="12" spans="1:30">
      <c r="A12" s="700">
        <f t="shared" si="4"/>
        <v>9</v>
      </c>
      <c r="B12" s="700">
        <v>62</v>
      </c>
      <c r="C12" s="700">
        <v>45</v>
      </c>
      <c r="D12" s="700">
        <f t="shared" si="0"/>
        <v>17</v>
      </c>
      <c r="E12" s="700">
        <f t="shared" si="1"/>
        <v>17</v>
      </c>
      <c r="F12" s="700" t="e">
        <f ca="1">IF(D12&lt;&gt;0,[1]!RANK_AVG(E12,$E$4:$E$18,1),"")</f>
        <v>#NAME?</v>
      </c>
      <c r="G12" s="700" t="e">
        <f t="shared" ca="1" si="2"/>
        <v>#NAME?</v>
      </c>
      <c r="H12" s="700" t="str">
        <f t="shared" si="3"/>
        <v/>
      </c>
      <c r="I12" s="700"/>
      <c r="J12" t="s">
        <v>1939</v>
      </c>
      <c r="X12" t="e">
        <f ca="1"/>
        <v>#NAME?</v>
      </c>
      <c r="Y12" s="544" t="e">
        <f ca="1"/>
        <v>#NAME?</v>
      </c>
      <c r="AB12" s="544" t="e">
        <f ca="1">[1]!PERMINV(Y5/2,K6)</f>
        <v>#NAME?</v>
      </c>
      <c r="AD12" t="e">
        <f ca="1">[1]!FTEXT(AB12)</f>
        <v>#NAME?</v>
      </c>
    </row>
    <row r="13" spans="1:30">
      <c r="A13" s="700">
        <f t="shared" si="4"/>
        <v>10</v>
      </c>
      <c r="B13" s="700">
        <v>51</v>
      </c>
      <c r="C13" s="700">
        <v>44</v>
      </c>
      <c r="D13" s="700">
        <f t="shared" si="0"/>
        <v>7</v>
      </c>
      <c r="E13" s="700">
        <f t="shared" si="1"/>
        <v>7</v>
      </c>
      <c r="F13" s="700" t="e">
        <f ca="1">IF(D13&lt;&gt;0,[1]!RANK_AVG(E13,$E$4:$E$18,1),"")</f>
        <v>#NAME?</v>
      </c>
      <c r="G13" s="700" t="e">
        <f t="shared" ca="1" si="2"/>
        <v>#NAME?</v>
      </c>
      <c r="H13" s="700" t="str">
        <f t="shared" si="3"/>
        <v/>
      </c>
      <c r="I13" s="700"/>
    </row>
    <row r="14" spans="1:30">
      <c r="A14" s="700">
        <f t="shared" si="4"/>
        <v>11</v>
      </c>
      <c r="B14" s="700">
        <v>27</v>
      </c>
      <c r="C14" s="700">
        <v>23</v>
      </c>
      <c r="D14" s="700">
        <f t="shared" si="0"/>
        <v>4</v>
      </c>
      <c r="E14" s="700">
        <f t="shared" si="1"/>
        <v>4</v>
      </c>
      <c r="F14" s="700" t="e">
        <f ca="1">IF(D14&lt;&gt;0,[1]!RANK_AVG(E14,$E$4:$E$18,1),"")</f>
        <v>#NAME?</v>
      </c>
      <c r="G14" s="700" t="e">
        <f t="shared" ca="1" si="2"/>
        <v>#NAME?</v>
      </c>
      <c r="H14" s="700" t="str">
        <f t="shared" si="3"/>
        <v/>
      </c>
      <c r="I14" s="700"/>
      <c r="J14" t="s">
        <v>2120</v>
      </c>
      <c r="K14" s="1235" t="e">
        <f ca="1">[1]!SRankPair(B4:C18)</f>
        <v>#NAME?</v>
      </c>
    </row>
    <row r="15" spans="1:30">
      <c r="A15" s="700">
        <f t="shared" si="4"/>
        <v>12</v>
      </c>
      <c r="B15" s="700">
        <v>15</v>
      </c>
      <c r="C15" s="700">
        <v>14</v>
      </c>
      <c r="D15" s="700">
        <f t="shared" si="0"/>
        <v>1</v>
      </c>
      <c r="E15" s="700">
        <f t="shared" si="1"/>
        <v>1</v>
      </c>
      <c r="F15" s="700" t="e">
        <f ca="1">IF(D15&lt;&gt;0,[1]!RANK_AVG(E15,$E$4:$E$18,1),"")</f>
        <v>#NAME?</v>
      </c>
      <c r="G15" s="700" t="e">
        <f t="shared" ca="1" si="2"/>
        <v>#NAME?</v>
      </c>
      <c r="H15" s="700" t="str">
        <f t="shared" si="3"/>
        <v/>
      </c>
      <c r="I15" s="700"/>
      <c r="J15" s="126" t="s">
        <v>3720</v>
      </c>
      <c r="K15" s="627" t="e">
        <f ca="1">[1]!SRankCRIT(K6,K4,K5)</f>
        <v>#NAME?</v>
      </c>
    </row>
    <row r="16" spans="1:30">
      <c r="A16" s="700">
        <f t="shared" si="4"/>
        <v>13</v>
      </c>
      <c r="B16" s="700">
        <v>26</v>
      </c>
      <c r="C16" s="700">
        <v>34</v>
      </c>
      <c r="D16" s="700">
        <f t="shared" si="0"/>
        <v>-8</v>
      </c>
      <c r="E16" s="700">
        <f t="shared" si="1"/>
        <v>8</v>
      </c>
      <c r="F16" s="700" t="e">
        <f ca="1">IF(D16&lt;&gt;0,[1]!RANK_AVG(E16,$E$4:$E$18,1),"")</f>
        <v>#NAME?</v>
      </c>
      <c r="G16" s="700" t="str">
        <f t="shared" si="2"/>
        <v/>
      </c>
      <c r="H16" s="700" t="e">
        <f t="shared" ca="1" si="3"/>
        <v>#NAME?</v>
      </c>
      <c r="I16" s="700"/>
      <c r="J16" s="126" t="s">
        <v>200</v>
      </c>
      <c r="K16" s="544" t="e">
        <f ca="1">[1]!SRankPROB(K7,K6,K5)</f>
        <v>#NAME?</v>
      </c>
    </row>
    <row r="17" spans="1:11">
      <c r="A17" s="700">
        <f t="shared" si="4"/>
        <v>14</v>
      </c>
      <c r="B17" s="700">
        <v>83</v>
      </c>
      <c r="C17" s="700">
        <v>79</v>
      </c>
      <c r="D17" s="700">
        <f t="shared" si="0"/>
        <v>4</v>
      </c>
      <c r="E17" s="700">
        <f t="shared" si="1"/>
        <v>4</v>
      </c>
      <c r="F17" s="700" t="e">
        <f ca="1">IF(D17&lt;&gt;0,[1]!RANK_AVG(E17,$E$4:$E$18,1),"")</f>
        <v>#NAME?</v>
      </c>
      <c r="G17" s="700" t="e">
        <f t="shared" ca="1" si="2"/>
        <v>#NAME?</v>
      </c>
      <c r="H17" s="700" t="str">
        <f t="shared" si="3"/>
        <v/>
      </c>
      <c r="I17" s="700"/>
      <c r="J17" s="700"/>
    </row>
    <row r="18" spans="1:11">
      <c r="A18" s="701">
        <f t="shared" si="4"/>
        <v>15</v>
      </c>
      <c r="B18" s="701">
        <v>86</v>
      </c>
      <c r="C18" s="701">
        <v>81</v>
      </c>
      <c r="D18" s="701">
        <f t="shared" si="0"/>
        <v>5</v>
      </c>
      <c r="E18" s="701">
        <f t="shared" si="1"/>
        <v>5</v>
      </c>
      <c r="F18" s="701" t="e">
        <f ca="1">IF(D18&lt;&gt;0,[1]!RANK_AVG(E18,$E$4:$E$18,1),"")</f>
        <v>#NAME?</v>
      </c>
      <c r="G18" s="701" t="e">
        <f t="shared" ca="1" si="2"/>
        <v>#NAME?</v>
      </c>
      <c r="H18" s="701" t="str">
        <f t="shared" si="3"/>
        <v/>
      </c>
      <c r="I18" s="716"/>
      <c r="J18" s="175" t="s">
        <v>642</v>
      </c>
      <c r="K18" s="1235">
        <v>22</v>
      </c>
    </row>
    <row r="19" spans="1:11">
      <c r="A19" s="700" t="s">
        <v>642</v>
      </c>
      <c r="B19" s="700"/>
      <c r="C19" s="700"/>
      <c r="F19" s="700"/>
      <c r="G19" s="201" t="e">
        <f ca="1">SUM(G4:G18)</f>
        <v>#NAME?</v>
      </c>
      <c r="H19" s="201" t="e">
        <f ca="1">SUM(H4:H18)</f>
        <v>#NAME?</v>
      </c>
      <c r="I19" s="201"/>
      <c r="J19" s="232" t="s">
        <v>200</v>
      </c>
      <c r="K19" s="544" t="e">
        <f ca="1">[1]!SRankPROB(K18,K6,K5)</f>
        <v>#NAME?</v>
      </c>
    </row>
    <row r="20" spans="1:11">
      <c r="A20" s="700"/>
      <c r="B20" s="700"/>
      <c r="C20" s="700"/>
    </row>
    <row r="21" spans="1:11">
      <c r="A21" s="700"/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sheetPr codeName="Sheet215"/>
  <dimension ref="A1:AA34"/>
  <sheetViews>
    <sheetView zoomScaleNormal="100" workbookViewId="0"/>
  </sheetViews>
  <sheetFormatPr defaultRowHeight="14.4"/>
  <cols>
    <col min="1" max="1" width="8" customWidth="1"/>
    <col min="2" max="5" width="8.6640625" customWidth="1"/>
    <col min="8" max="8" width="9.109375" customWidth="1"/>
    <col min="9" max="9" width="3.88671875" customWidth="1"/>
    <col min="10" max="10" width="10" customWidth="1"/>
    <col min="11" max="11" width="9.5546875" customWidth="1"/>
    <col min="12" max="12" width="4.44140625" customWidth="1"/>
    <col min="13" max="13" width="29.5546875" customWidth="1"/>
    <col min="15" max="15" width="12" customWidth="1"/>
    <col min="20" max="20" width="11" customWidth="1"/>
  </cols>
  <sheetData>
    <row r="1" spans="1:27">
      <c r="A1" s="123" t="s">
        <v>1824</v>
      </c>
    </row>
    <row r="2" spans="1:27">
      <c r="O2" t="s">
        <v>2116</v>
      </c>
      <c r="T2" t="s">
        <v>4114</v>
      </c>
      <c r="Z2" t="s">
        <v>2112</v>
      </c>
    </row>
    <row r="3" spans="1:27" s="112" customFormat="1" ht="28.8">
      <c r="A3" s="754" t="s">
        <v>1831</v>
      </c>
      <c r="B3" s="754" t="s">
        <v>1832</v>
      </c>
      <c r="C3" s="754" t="s">
        <v>1833</v>
      </c>
      <c r="D3" s="754" t="s">
        <v>1468</v>
      </c>
      <c r="E3" s="754" t="s">
        <v>1823</v>
      </c>
      <c r="F3" s="754" t="s">
        <v>1825</v>
      </c>
      <c r="G3" s="754" t="s">
        <v>1826</v>
      </c>
      <c r="H3" s="754" t="s">
        <v>1827</v>
      </c>
      <c r="I3" s="753"/>
      <c r="J3"/>
      <c r="K3"/>
      <c r="L3"/>
      <c r="M3"/>
      <c r="N3"/>
      <c r="O3"/>
      <c r="P3"/>
      <c r="Q3"/>
    </row>
    <row r="4" spans="1:27">
      <c r="A4" s="297">
        <v>1</v>
      </c>
      <c r="B4" s="716">
        <v>15</v>
      </c>
      <c r="C4" s="716">
        <v>17</v>
      </c>
      <c r="D4" s="716">
        <f>B4-C4</f>
        <v>-2</v>
      </c>
      <c r="E4" s="716">
        <f>IF(D4=0,"",ABS(D4))</f>
        <v>2</v>
      </c>
      <c r="F4" s="716" t="e">
        <f ca="1">IF(D4&lt;&gt;0,[1]!RANK_AVG(E4,$E$4:$E$33,1),"")</f>
        <v>#NAME?</v>
      </c>
      <c r="G4" s="716" t="str">
        <f>IF(D4&gt;0,F4,"")</f>
        <v/>
      </c>
      <c r="H4" s="716" t="e">
        <f ca="1">IF(D4&lt;0,F4,"")</f>
        <v>#NAME?</v>
      </c>
      <c r="I4" s="700"/>
      <c r="J4" s="172" t="s">
        <v>157</v>
      </c>
      <c r="K4" s="1235">
        <v>0.05</v>
      </c>
      <c r="O4" t="s">
        <v>1824</v>
      </c>
      <c r="R4" s="112"/>
      <c r="T4" t="s">
        <v>1824</v>
      </c>
      <c r="Z4" t="s">
        <v>3747</v>
      </c>
    </row>
    <row r="5" spans="1:27">
      <c r="A5" s="297">
        <f>A4+1</f>
        <v>2</v>
      </c>
      <c r="B5" s="716">
        <v>8</v>
      </c>
      <c r="C5" s="716">
        <v>19</v>
      </c>
      <c r="D5" s="716">
        <f t="shared" ref="D5:D18" si="0">B5-C5</f>
        <v>-11</v>
      </c>
      <c r="E5" s="716">
        <f t="shared" ref="E5:E33" si="1">IF(D5=0,"",ABS(D5))</f>
        <v>11</v>
      </c>
      <c r="F5" s="716" t="e">
        <f ca="1">IF(D5&lt;&gt;0,[1]!RANK_AVG(E5,$E$4:$E$33,1),"")</f>
        <v>#NAME?</v>
      </c>
      <c r="G5" s="716" t="str">
        <f t="shared" ref="G5:G18" si="2">IF(D5&gt;0,F5,"")</f>
        <v/>
      </c>
      <c r="H5" s="716" t="e">
        <f t="shared" ref="H5:H18" ca="1" si="3">IF(D5&lt;0,F5,"")</f>
        <v>#NAME?</v>
      </c>
      <c r="I5" s="700"/>
      <c r="J5" s="172" t="s">
        <v>1178</v>
      </c>
      <c r="K5" s="627">
        <v>2</v>
      </c>
      <c r="R5" s="112"/>
    </row>
    <row r="6" spans="1:27">
      <c r="A6" s="297">
        <f t="shared" ref="A6:A33" si="4">A5+1</f>
        <v>3</v>
      </c>
      <c r="B6" s="716">
        <v>11</v>
      </c>
      <c r="C6" s="716">
        <v>18</v>
      </c>
      <c r="D6" s="716">
        <f t="shared" si="0"/>
        <v>-7</v>
      </c>
      <c r="E6" s="716">
        <f t="shared" si="1"/>
        <v>7</v>
      </c>
      <c r="F6" s="716" t="e">
        <f ca="1">IF(D6&lt;&gt;0,[1]!RANK_AVG(E6,$E$4:$E$33,1),"")</f>
        <v>#NAME?</v>
      </c>
      <c r="G6" s="716" t="str">
        <f t="shared" si="2"/>
        <v/>
      </c>
      <c r="H6" s="716" t="e">
        <f t="shared" ca="1" si="3"/>
        <v>#NAME?</v>
      </c>
      <c r="I6" s="700"/>
      <c r="J6" t="s">
        <v>106</v>
      </c>
      <c r="K6" s="627">
        <f>COUNT(E4:E33)</f>
        <v>28</v>
      </c>
      <c r="M6" t="s">
        <v>3736</v>
      </c>
      <c r="P6" t="str">
        <f>B3</f>
        <v>Wife</v>
      </c>
      <c r="Q6" t="str">
        <f>C3</f>
        <v>Husband</v>
      </c>
      <c r="R6" s="112"/>
      <c r="U6" t="str">
        <f>B3</f>
        <v>Wife</v>
      </c>
      <c r="V6" t="str">
        <f>C3</f>
        <v>Husband</v>
      </c>
      <c r="Z6" t="e">
        <f t="array" aca="1" ref="Z6:AA12" ca="1">[1]!SRANK_TEST(B4:B33,C4:C33,TRUE)</f>
        <v>#NAME?</v>
      </c>
      <c r="AA6" s="1235" t="e">
        <f ca="1"/>
        <v>#NAME?</v>
      </c>
    </row>
    <row r="7" spans="1:27">
      <c r="A7" s="297">
        <f t="shared" si="4"/>
        <v>4</v>
      </c>
      <c r="B7" s="716">
        <v>19</v>
      </c>
      <c r="C7" s="716">
        <v>19</v>
      </c>
      <c r="D7" s="716">
        <f t="shared" si="0"/>
        <v>0</v>
      </c>
      <c r="E7" s="716" t="str">
        <f t="shared" si="1"/>
        <v/>
      </c>
      <c r="F7" s="716" t="str">
        <f>IF(D7&lt;&gt;0,[1]!RANK_AVG(E7,$E$4:$E$33,1),"")</f>
        <v/>
      </c>
      <c r="G7" s="716" t="str">
        <f t="shared" si="2"/>
        <v/>
      </c>
      <c r="H7" s="716" t="str">
        <f t="shared" si="3"/>
        <v/>
      </c>
      <c r="I7" s="700"/>
      <c r="J7" s="172" t="s">
        <v>642</v>
      </c>
      <c r="K7" s="627" t="e">
        <f ca="1">MIN(G34:H34)</f>
        <v>#NAME?</v>
      </c>
      <c r="M7" t="s">
        <v>3737</v>
      </c>
      <c r="O7" t="s">
        <v>1001</v>
      </c>
      <c r="P7" s="1119">
        <f>MEDIAN(B4:B33)</f>
        <v>11</v>
      </c>
      <c r="Q7" s="1120">
        <f>MEDIAN(C4:C33)</f>
        <v>12.5</v>
      </c>
      <c r="R7" s="112"/>
      <c r="T7" t="s">
        <v>1001</v>
      </c>
      <c r="U7" s="1119">
        <f>MEDIAN(B4:B33)</f>
        <v>11</v>
      </c>
      <c r="V7" s="1120">
        <f>MEDIAN(C4:C33)</f>
        <v>12.5</v>
      </c>
      <c r="Z7" t="e">
        <f ca="1"/>
        <v>#NAME?</v>
      </c>
      <c r="AA7" s="627" t="e">
        <f ca="1"/>
        <v>#NAME?</v>
      </c>
    </row>
    <row r="8" spans="1:27">
      <c r="A8" s="297">
        <f t="shared" si="4"/>
        <v>5</v>
      </c>
      <c r="B8" s="716">
        <v>13</v>
      </c>
      <c r="C8" s="716">
        <v>17</v>
      </c>
      <c r="D8" s="716">
        <f t="shared" si="0"/>
        <v>-4</v>
      </c>
      <c r="E8" s="716">
        <f t="shared" si="1"/>
        <v>4</v>
      </c>
      <c r="F8" s="716" t="e">
        <f ca="1">IF(D8&lt;&gt;0,[1]!RANK_AVG(E8,$E$4:$E$33,1),"")</f>
        <v>#NAME?</v>
      </c>
      <c r="G8" s="716" t="str">
        <f t="shared" si="2"/>
        <v/>
      </c>
      <c r="H8" s="716" t="e">
        <f t="shared" ca="1" si="3"/>
        <v>#NAME?</v>
      </c>
      <c r="I8" s="700"/>
      <c r="J8" s="66" t="s">
        <v>1828</v>
      </c>
      <c r="K8" s="627">
        <f>'Signed Rank Table'!D29</f>
        <v>116</v>
      </c>
      <c r="M8" s="23" t="s">
        <v>3735</v>
      </c>
      <c r="R8" s="112"/>
      <c r="Z8" t="e">
        <f ca="1"/>
        <v>#NAME?</v>
      </c>
      <c r="AA8" s="627" t="e">
        <f ca="1"/>
        <v>#NAME?</v>
      </c>
    </row>
    <row r="9" spans="1:27">
      <c r="A9" s="297">
        <f t="shared" si="4"/>
        <v>6</v>
      </c>
      <c r="B9" s="716">
        <v>4</v>
      </c>
      <c r="C9" s="716">
        <v>5</v>
      </c>
      <c r="D9" s="716">
        <f t="shared" si="0"/>
        <v>-1</v>
      </c>
      <c r="E9" s="716">
        <f t="shared" si="1"/>
        <v>1</v>
      </c>
      <c r="F9" s="716" t="e">
        <f ca="1">IF(D9&lt;&gt;0,[1]!RANK_AVG(E9,$E$4:$E$33,1),"")</f>
        <v>#NAME?</v>
      </c>
      <c r="G9" s="716" t="str">
        <f t="shared" si="2"/>
        <v/>
      </c>
      <c r="H9" s="716" t="e">
        <f t="shared" ca="1" si="3"/>
        <v>#NAME?</v>
      </c>
      <c r="I9" s="700"/>
      <c r="J9" s="66" t="s">
        <v>63</v>
      </c>
      <c r="K9" s="627">
        <f>K6*(K6+1)/4</f>
        <v>203</v>
      </c>
      <c r="M9" t="s">
        <v>3738</v>
      </c>
      <c r="O9" t="s">
        <v>554</v>
      </c>
      <c r="P9" s="1138">
        <f>SUMPRODUCT(--ISNUMBER(B4:B33),--ISNUMBER(C4:C33))</f>
        <v>30</v>
      </c>
      <c r="R9" s="112"/>
      <c r="T9" t="s">
        <v>554</v>
      </c>
      <c r="U9" s="1441">
        <f>SUMPRODUCT(--ISNUMBER(B4:B33),--ISNUMBER(C4:C33))</f>
        <v>30</v>
      </c>
      <c r="Z9" t="e">
        <f ca="1"/>
        <v>#NAME?</v>
      </c>
      <c r="AA9" s="627" t="e">
        <f ca="1"/>
        <v>#NAME?</v>
      </c>
    </row>
    <row r="10" spans="1:27">
      <c r="A10" s="297">
        <f t="shared" si="4"/>
        <v>7</v>
      </c>
      <c r="B10" s="716">
        <v>16</v>
      </c>
      <c r="C10" s="716">
        <v>13</v>
      </c>
      <c r="D10" s="716">
        <f t="shared" si="0"/>
        <v>3</v>
      </c>
      <c r="E10" s="716">
        <f t="shared" si="1"/>
        <v>3</v>
      </c>
      <c r="F10" s="716" t="e">
        <f ca="1">IF(D10&lt;&gt;0,[1]!RANK_AVG(E10,$E$4:$E$33,1),"")</f>
        <v>#NAME?</v>
      </c>
      <c r="G10" s="716" t="e">
        <f t="shared" ca="1" si="2"/>
        <v>#NAME?</v>
      </c>
      <c r="H10" s="716" t="str">
        <f t="shared" si="3"/>
        <v/>
      </c>
      <c r="I10" s="700"/>
      <c r="J10" s="66" t="s">
        <v>1533</v>
      </c>
      <c r="K10" s="627">
        <f>K9*(2*K6+1)/6</f>
        <v>1928.5</v>
      </c>
      <c r="M10" t="s">
        <v>3739</v>
      </c>
      <c r="O10" t="s">
        <v>2710</v>
      </c>
      <c r="P10" s="946">
        <f>SUMPRODUCT(--ISNUMBER(B4:B33),--ISNUMBER(C4:C33),--(B4:B33&lt;&gt;C4:C33))</f>
        <v>28</v>
      </c>
      <c r="R10" s="112"/>
      <c r="T10" t="s">
        <v>2710</v>
      </c>
      <c r="U10" s="946">
        <f>SUMPRODUCT(--ISNUMBER(B4:B33),--ISNUMBER(C4:C33),--(B4:B33&lt;&gt;C4:C33))</f>
        <v>28</v>
      </c>
      <c r="Z10" t="e">
        <f ca="1"/>
        <v>#NAME?</v>
      </c>
      <c r="AA10" s="627" t="e">
        <f ca="1"/>
        <v>#NAME?</v>
      </c>
    </row>
    <row r="11" spans="1:27">
      <c r="A11" s="297">
        <f t="shared" si="4"/>
        <v>8</v>
      </c>
      <c r="B11" s="716">
        <v>5</v>
      </c>
      <c r="C11" s="716">
        <v>0</v>
      </c>
      <c r="D11" s="716">
        <f t="shared" si="0"/>
        <v>5</v>
      </c>
      <c r="E11" s="716">
        <f t="shared" si="1"/>
        <v>5</v>
      </c>
      <c r="F11" s="716" t="e">
        <f ca="1">IF(D11&lt;&gt;0,[1]!RANK_AVG(E11,$E$4:$E$33,1),"")</f>
        <v>#NAME?</v>
      </c>
      <c r="G11" s="716" t="e">
        <f t="shared" ca="1" si="2"/>
        <v>#NAME?</v>
      </c>
      <c r="H11" s="716" t="str">
        <f t="shared" si="3"/>
        <v/>
      </c>
      <c r="I11" s="700"/>
      <c r="J11" s="66" t="s">
        <v>218</v>
      </c>
      <c r="K11" s="627">
        <f>SQRT(K10)</f>
        <v>43.914690025092973</v>
      </c>
      <c r="M11" t="s">
        <v>3740</v>
      </c>
      <c r="O11" t="s">
        <v>2711</v>
      </c>
      <c r="P11" s="946" t="e">
        <f ca="1">IF(P19&lt;=0,P13,P10*(P10+1)/2)</f>
        <v>#NAME?</v>
      </c>
      <c r="R11" s="112"/>
      <c r="T11" t="s">
        <v>2711</v>
      </c>
      <c r="U11" s="946" t="e">
        <f ca="1">IF(U19&lt;=0,U13,U10*(U10+1)/2)</f>
        <v>#NAME?</v>
      </c>
      <c r="Z11" t="e">
        <f ca="1"/>
        <v>#NAME?</v>
      </c>
      <c r="AA11" s="627" t="e">
        <f ca="1"/>
        <v>#NAME?</v>
      </c>
    </row>
    <row r="12" spans="1:27">
      <c r="A12" s="297">
        <f t="shared" si="4"/>
        <v>9</v>
      </c>
      <c r="B12" s="716">
        <v>9</v>
      </c>
      <c r="C12" s="716">
        <v>16</v>
      </c>
      <c r="D12" s="716">
        <f t="shared" si="0"/>
        <v>-7</v>
      </c>
      <c r="E12" s="716">
        <f t="shared" si="1"/>
        <v>7</v>
      </c>
      <c r="F12" s="716" t="e">
        <f ca="1">IF(D12&lt;&gt;0,[1]!RANK_AVG(E12,$E$4:$E$33,1),"")</f>
        <v>#NAME?</v>
      </c>
      <c r="G12" s="716" t="str">
        <f t="shared" si="2"/>
        <v/>
      </c>
      <c r="H12" s="716" t="e">
        <f t="shared" ca="1" si="3"/>
        <v>#NAME?</v>
      </c>
      <c r="I12" s="700"/>
      <c r="J12" s="66" t="s">
        <v>1730</v>
      </c>
      <c r="K12" s="627" t="e">
        <f ca="1">ABS(K7-K9)/K11</f>
        <v>#NAME?</v>
      </c>
      <c r="M12" t="s">
        <v>3741</v>
      </c>
      <c r="O12" t="s">
        <v>2712</v>
      </c>
      <c r="P12" s="946" t="e">
        <f ca="1">P10*(P10+1)/2-P11</f>
        <v>#NAME?</v>
      </c>
      <c r="R12" s="112"/>
      <c r="T12" t="s">
        <v>2712</v>
      </c>
      <c r="U12" s="946" t="e">
        <f ca="1">U10*(U10+1)/2-U11</f>
        <v>#NAME?</v>
      </c>
      <c r="Z12" t="e">
        <f ca="1"/>
        <v>#NAME?</v>
      </c>
      <c r="AA12" s="544" t="e">
        <f ca="1"/>
        <v>#NAME?</v>
      </c>
    </row>
    <row r="13" spans="1:27">
      <c r="A13" s="297">
        <f t="shared" si="4"/>
        <v>10</v>
      </c>
      <c r="B13" s="716">
        <v>15</v>
      </c>
      <c r="C13" s="716">
        <v>21</v>
      </c>
      <c r="D13" s="716">
        <f t="shared" si="0"/>
        <v>-6</v>
      </c>
      <c r="E13" s="716">
        <f t="shared" si="1"/>
        <v>6</v>
      </c>
      <c r="F13" s="716" t="e">
        <f ca="1">IF(D13&lt;&gt;0,[1]!RANK_AVG(E13,$E$4:$E$33,1),"")</f>
        <v>#NAME?</v>
      </c>
      <c r="G13" s="716" t="str">
        <f t="shared" si="2"/>
        <v/>
      </c>
      <c r="H13" s="716" t="e">
        <f t="shared" ca="1" si="3"/>
        <v>#NAME?</v>
      </c>
      <c r="I13" s="700"/>
      <c r="J13" s="66" t="s">
        <v>1828</v>
      </c>
      <c r="K13" s="627">
        <f>K9+K11*NORMSINV(K4/2)-0.05</f>
        <v>116.87878915857742</v>
      </c>
      <c r="M13" t="s">
        <v>3742</v>
      </c>
      <c r="O13" t="s">
        <v>642</v>
      </c>
      <c r="P13" s="1073" t="e">
        <f ca="1">[1]!SRankPair(B4:B33,C4:C33)</f>
        <v>#NAME?</v>
      </c>
      <c r="R13" s="112"/>
      <c r="T13" t="s">
        <v>642</v>
      </c>
      <c r="U13" s="1073" t="e">
        <f ca="1">[1]!SRankPair(B4:B33,C4:C33)</f>
        <v>#NAME?</v>
      </c>
    </row>
    <row r="14" spans="1:27">
      <c r="A14" s="297">
        <f t="shared" si="4"/>
        <v>11</v>
      </c>
      <c r="B14" s="716">
        <v>12</v>
      </c>
      <c r="C14" s="716">
        <v>12</v>
      </c>
      <c r="D14" s="716">
        <f t="shared" si="0"/>
        <v>0</v>
      </c>
      <c r="E14" s="716" t="str">
        <f t="shared" si="1"/>
        <v/>
      </c>
      <c r="F14" s="716" t="str">
        <f>IF(D14&lt;&gt;0,[1]!RANK_AVG(E14,$E$4:$E$33,1),"")</f>
        <v/>
      </c>
      <c r="G14" s="716" t="str">
        <f t="shared" si="2"/>
        <v/>
      </c>
      <c r="H14" s="716" t="str">
        <f t="shared" si="3"/>
        <v/>
      </c>
      <c r="I14" s="700"/>
      <c r="J14" s="66" t="s">
        <v>200</v>
      </c>
      <c r="K14" s="627" t="e">
        <f ca="1">K5*(1-NORMSDIST(K12))</f>
        <v>#NAME?</v>
      </c>
      <c r="M14" s="23" t="s">
        <v>3744</v>
      </c>
      <c r="R14" s="112"/>
    </row>
    <row r="15" spans="1:27">
      <c r="A15" s="297">
        <f t="shared" si="4"/>
        <v>12</v>
      </c>
      <c r="B15" s="716">
        <v>11</v>
      </c>
      <c r="C15" s="716">
        <v>9</v>
      </c>
      <c r="D15" s="716">
        <f t="shared" si="0"/>
        <v>2</v>
      </c>
      <c r="E15" s="716">
        <f t="shared" si="1"/>
        <v>2</v>
      </c>
      <c r="F15" s="716" t="e">
        <f ca="1">IF(D15&lt;&gt;0,[1]!RANK_AVG(E15,$E$4:$E$33,1),"")</f>
        <v>#NAME?</v>
      </c>
      <c r="G15" s="716" t="e">
        <f t="shared" ca="1" si="2"/>
        <v>#NAME?</v>
      </c>
      <c r="H15" s="716" t="str">
        <f t="shared" si="3"/>
        <v/>
      </c>
      <c r="I15" s="700"/>
      <c r="J15" s="66" t="s">
        <v>948</v>
      </c>
      <c r="K15" s="538" t="e">
        <f ca="1">IF(K14&lt;K4,"yes","no")</f>
        <v>#NAME?</v>
      </c>
      <c r="M15" t="s">
        <v>3743</v>
      </c>
      <c r="P15" s="19" t="s">
        <v>2722</v>
      </c>
      <c r="Q15" s="19" t="s">
        <v>2723</v>
      </c>
      <c r="R15" s="112"/>
      <c r="U15" s="19" t="s">
        <v>2722</v>
      </c>
      <c r="V15" s="19" t="s">
        <v>2723</v>
      </c>
    </row>
    <row r="16" spans="1:27">
      <c r="A16" s="297">
        <f t="shared" si="4"/>
        <v>13</v>
      </c>
      <c r="B16" s="716">
        <v>14</v>
      </c>
      <c r="C16" s="716">
        <v>10</v>
      </c>
      <c r="D16" s="716">
        <f t="shared" si="0"/>
        <v>4</v>
      </c>
      <c r="E16" s="716">
        <f t="shared" si="1"/>
        <v>4</v>
      </c>
      <c r="F16" s="716" t="e">
        <f ca="1">IF(D16&lt;&gt;0,[1]!RANK_AVG(E16,$E$4:$E$33,1),"")</f>
        <v>#NAME?</v>
      </c>
      <c r="G16" s="716" t="e">
        <f t="shared" ca="1" si="2"/>
        <v>#NAME?</v>
      </c>
      <c r="H16" s="716" t="str">
        <f t="shared" si="3"/>
        <v/>
      </c>
      <c r="I16" s="700"/>
      <c r="O16" t="s">
        <v>337</v>
      </c>
      <c r="P16" s="1138">
        <v>0.05</v>
      </c>
      <c r="R16" s="112"/>
      <c r="T16" t="s">
        <v>337</v>
      </c>
      <c r="U16" s="1441">
        <v>0.05</v>
      </c>
    </row>
    <row r="17" spans="1:22">
      <c r="A17" s="297">
        <f t="shared" si="4"/>
        <v>14</v>
      </c>
      <c r="B17" s="716">
        <v>4</v>
      </c>
      <c r="C17" s="716">
        <v>17</v>
      </c>
      <c r="D17" s="716">
        <f t="shared" si="0"/>
        <v>-13</v>
      </c>
      <c r="E17" s="716">
        <f t="shared" si="1"/>
        <v>13</v>
      </c>
      <c r="F17" s="716" t="e">
        <f ca="1">IF(D17&lt;&gt;0,[1]!RANK_AVG(E17,$E$4:$E$33,1),"")</f>
        <v>#NAME?</v>
      </c>
      <c r="G17" s="716" t="str">
        <f t="shared" si="2"/>
        <v/>
      </c>
      <c r="H17" s="716" t="e">
        <f t="shared" ca="1" si="3"/>
        <v>#NAME?</v>
      </c>
      <c r="I17" s="700"/>
      <c r="J17" t="s">
        <v>1939</v>
      </c>
      <c r="O17" t="s">
        <v>63</v>
      </c>
      <c r="P17" s="946">
        <f>P10*(P10+1)/4</f>
        <v>203</v>
      </c>
      <c r="R17" s="112"/>
      <c r="T17" t="s">
        <v>63</v>
      </c>
      <c r="U17" s="946">
        <f>U10*(U10+1)/4</f>
        <v>203</v>
      </c>
    </row>
    <row r="18" spans="1:22">
      <c r="A18" s="297">
        <f t="shared" si="4"/>
        <v>15</v>
      </c>
      <c r="B18" s="716">
        <v>11</v>
      </c>
      <c r="C18" s="716">
        <v>12</v>
      </c>
      <c r="D18" s="716">
        <f t="shared" si="0"/>
        <v>-1</v>
      </c>
      <c r="E18" s="716">
        <f t="shared" si="1"/>
        <v>1</v>
      </c>
      <c r="F18" s="716" t="e">
        <f ca="1">IF(D18&lt;&gt;0,[1]!RANK_AVG(E18,$E$4:$E$33,1),"")</f>
        <v>#NAME?</v>
      </c>
      <c r="G18" s="716" t="str">
        <f t="shared" si="2"/>
        <v/>
      </c>
      <c r="H18" s="716" t="e">
        <f t="shared" ca="1" si="3"/>
        <v>#NAME?</v>
      </c>
      <c r="I18" s="716"/>
      <c r="O18" t="s">
        <v>218</v>
      </c>
      <c r="P18" s="946">
        <f>SQRT(P17*(2*P10+1)/6)</f>
        <v>43.914690025092973</v>
      </c>
      <c r="R18" s="112"/>
      <c r="T18" t="s">
        <v>218</v>
      </c>
      <c r="U18" s="946" t="e">
        <f ca="1">SQRT(U17*(2*U10+1)/6)-[1]!TiesCorrection(B4:B33,C4:C33,1)/48</f>
        <v>#NAME?</v>
      </c>
    </row>
    <row r="19" spans="1:22">
      <c r="A19" s="297">
        <f t="shared" si="4"/>
        <v>16</v>
      </c>
      <c r="B19" s="716">
        <v>17</v>
      </c>
      <c r="C19" s="716">
        <v>24</v>
      </c>
      <c r="D19" s="716">
        <f t="shared" ref="D19:D33" si="5">B19-C19</f>
        <v>-7</v>
      </c>
      <c r="E19" s="716">
        <f t="shared" si="1"/>
        <v>7</v>
      </c>
      <c r="F19" s="716" t="e">
        <f ca="1">IF(D19&lt;&gt;0,[1]!RANK_AVG(E19,$E$4:$E$33,1),"")</f>
        <v>#NAME?</v>
      </c>
      <c r="G19" s="716" t="str">
        <f t="shared" ref="G19:G33" si="6">IF(D19&gt;0,F19,"")</f>
        <v/>
      </c>
      <c r="H19" s="716" t="e">
        <f t="shared" ref="H19:H33" ca="1" si="7">IF(D19&lt;0,F19,"")</f>
        <v>#NAME?</v>
      </c>
      <c r="I19" s="201"/>
      <c r="J19" t="s">
        <v>2120</v>
      </c>
      <c r="K19" s="756" t="e">
        <f ca="1">[1]!SRankPair(B4:C33)</f>
        <v>#NAME?</v>
      </c>
      <c r="O19" t="s">
        <v>1730</v>
      </c>
      <c r="P19" s="946" t="e">
        <f ca="1">STANDARDIZE(P13,P17,P18)</f>
        <v>#NAME?</v>
      </c>
      <c r="R19" s="112"/>
      <c r="T19" t="s">
        <v>1730</v>
      </c>
      <c r="U19" s="946" t="e">
        <f ca="1">STANDARDIZE(U13,U17,U18)</f>
        <v>#NAME?</v>
      </c>
    </row>
    <row r="20" spans="1:22">
      <c r="A20" s="297">
        <f t="shared" si="4"/>
        <v>17</v>
      </c>
      <c r="B20" s="716">
        <v>14</v>
      </c>
      <c r="C20" s="716">
        <v>12</v>
      </c>
      <c r="D20" s="716">
        <f t="shared" si="5"/>
        <v>2</v>
      </c>
      <c r="E20" s="716">
        <f t="shared" si="1"/>
        <v>2</v>
      </c>
      <c r="F20" s="716" t="e">
        <f ca="1">IF(D20&lt;&gt;0,[1]!RANK_AVG(E20,$E$4:$E$33,1),"")</f>
        <v>#NAME?</v>
      </c>
      <c r="G20" s="716" t="e">
        <f t="shared" ca="1" si="6"/>
        <v>#NAME?</v>
      </c>
      <c r="H20" s="716" t="str">
        <f t="shared" si="7"/>
        <v/>
      </c>
      <c r="J20" t="s">
        <v>2121</v>
      </c>
      <c r="K20" s="627" t="e">
        <f ca="1">[1]!SRTESTPair(B4:C33)</f>
        <v>#NAME?</v>
      </c>
      <c r="O20" t="s">
        <v>1478</v>
      </c>
      <c r="P20" s="946" t="e">
        <f ca="1">ABS(P19)/SQRT(2*P9)</f>
        <v>#NAME?</v>
      </c>
      <c r="R20" s="112"/>
      <c r="T20" t="s">
        <v>1478</v>
      </c>
      <c r="U20" s="946" t="e">
        <f ca="1">ABS(U19)/SQRT(2*U9)</f>
        <v>#NAME?</v>
      </c>
    </row>
    <row r="21" spans="1:22">
      <c r="A21" s="297">
        <f t="shared" si="4"/>
        <v>18</v>
      </c>
      <c r="B21" s="716">
        <v>5</v>
      </c>
      <c r="C21" s="716">
        <v>12</v>
      </c>
      <c r="D21" s="716">
        <f t="shared" si="5"/>
        <v>-7</v>
      </c>
      <c r="E21" s="716">
        <f t="shared" si="1"/>
        <v>7</v>
      </c>
      <c r="F21" s="716" t="e">
        <f ca="1">IF(D21&lt;&gt;0,[1]!RANK_AVG(E21,$E$4:$E$33,1),"")</f>
        <v>#NAME?</v>
      </c>
      <c r="G21" s="716" t="str">
        <f t="shared" si="6"/>
        <v/>
      </c>
      <c r="H21" s="716" t="e">
        <f t="shared" ca="1" si="7"/>
        <v>#NAME?</v>
      </c>
      <c r="J21" t="s">
        <v>3475</v>
      </c>
      <c r="K21" s="544" t="e">
        <f ca="1">[1]!SRTESTPair(B4:C33,,2)</f>
        <v>#NAME?</v>
      </c>
      <c r="O21" t="s">
        <v>1828</v>
      </c>
      <c r="P21" s="1138">
        <f>P17+P18*NORMSINV(P16)-0.5</f>
        <v>130.26676283577615</v>
      </c>
      <c r="Q21" s="1233">
        <f>P17+P18*NORMSINV(P16/2)-0.5</f>
        <v>116.42878915857742</v>
      </c>
      <c r="R21" s="112"/>
      <c r="T21" t="s">
        <v>1828</v>
      </c>
      <c r="U21" s="1441" t="e">
        <f ca="1">U17+U18*NORMSINV(U16)-0.5</f>
        <v>#NAME?</v>
      </c>
      <c r="V21" s="1233" t="e">
        <f ca="1">U17+U18*NORMSINV(U16/2)-0.5</f>
        <v>#NAME?</v>
      </c>
    </row>
    <row r="22" spans="1:22">
      <c r="A22" s="297">
        <f t="shared" si="4"/>
        <v>19</v>
      </c>
      <c r="B22" s="716">
        <v>9</v>
      </c>
      <c r="C22" s="716">
        <v>8</v>
      </c>
      <c r="D22" s="716">
        <f t="shared" si="5"/>
        <v>1</v>
      </c>
      <c r="E22" s="716">
        <f t="shared" si="1"/>
        <v>1</v>
      </c>
      <c r="F22" s="716" t="e">
        <f ca="1">IF(D22&lt;&gt;0,[1]!RANK_AVG(E22,$E$4:$E$33,1),"")</f>
        <v>#NAME?</v>
      </c>
      <c r="G22" s="716" t="e">
        <f t="shared" ca="1" si="6"/>
        <v>#NAME?</v>
      </c>
      <c r="H22" s="716" t="str">
        <f t="shared" si="7"/>
        <v/>
      </c>
      <c r="O22" t="s">
        <v>200</v>
      </c>
      <c r="P22" s="946" t="e">
        <f ca="1">NORMSDIST(P19)</f>
        <v>#NAME?</v>
      </c>
      <c r="Q22" s="132" t="e">
        <f ca="1">2*P22</f>
        <v>#NAME?</v>
      </c>
      <c r="R22" s="112"/>
      <c r="T22" t="s">
        <v>200</v>
      </c>
      <c r="U22" s="946" t="e">
        <f ca="1">NORMSDIST(U19)</f>
        <v>#NAME?</v>
      </c>
      <c r="V22" s="132" t="e">
        <f ca="1">2*U22</f>
        <v>#NAME?</v>
      </c>
    </row>
    <row r="23" spans="1:22">
      <c r="A23" s="297">
        <f t="shared" si="4"/>
        <v>20</v>
      </c>
      <c r="B23" s="716">
        <v>8</v>
      </c>
      <c r="C23" s="716">
        <v>16</v>
      </c>
      <c r="D23" s="716">
        <f t="shared" si="5"/>
        <v>-8</v>
      </c>
      <c r="E23" s="716">
        <f t="shared" si="1"/>
        <v>8</v>
      </c>
      <c r="F23" s="716" t="e">
        <f ca="1">IF(D23&lt;&gt;0,[1]!RANK_AVG(E23,$E$4:$E$33,1),"")</f>
        <v>#NAME?</v>
      </c>
      <c r="G23" s="716" t="str">
        <f t="shared" si="6"/>
        <v/>
      </c>
      <c r="H23" s="716" t="e">
        <f t="shared" ca="1" si="7"/>
        <v>#NAME?</v>
      </c>
      <c r="J23" t="s">
        <v>379</v>
      </c>
      <c r="O23" t="s">
        <v>948</v>
      </c>
      <c r="P23" s="1074" t="e">
        <f ca="1">IF(P22&lt;P16,"yes","no")</f>
        <v>#NAME?</v>
      </c>
      <c r="Q23" s="1333" t="e">
        <f ca="1">IF(Q22&lt;P16,"yes","no")</f>
        <v>#NAME?</v>
      </c>
      <c r="R23" s="112"/>
      <c r="T23" t="s">
        <v>948</v>
      </c>
      <c r="U23" s="1074" t="e">
        <f ca="1">IF(U22&lt;U16,"yes","no")</f>
        <v>#NAME?</v>
      </c>
      <c r="V23" s="1333" t="e">
        <f ca="1">IF(V22&lt;U16,"yes","no")</f>
        <v>#NAME?</v>
      </c>
    </row>
    <row r="24" spans="1:22">
      <c r="A24" s="297">
        <f t="shared" si="4"/>
        <v>21</v>
      </c>
      <c r="B24" s="716">
        <v>9</v>
      </c>
      <c r="C24" s="716">
        <v>12</v>
      </c>
      <c r="D24" s="716">
        <f t="shared" si="5"/>
        <v>-3</v>
      </c>
      <c r="E24" s="716">
        <f t="shared" si="1"/>
        <v>3</v>
      </c>
      <c r="F24" s="716" t="e">
        <f ca="1">IF(D24&lt;&gt;0,[1]!RANK_AVG(E24,$E$4:$E$33,1),"")</f>
        <v>#NAME?</v>
      </c>
      <c r="G24" s="716" t="str">
        <f t="shared" si="6"/>
        <v/>
      </c>
      <c r="H24" s="716" t="e">
        <f t="shared" ca="1" si="7"/>
        <v>#NAME?</v>
      </c>
      <c r="R24" s="112"/>
    </row>
    <row r="25" spans="1:22">
      <c r="A25" s="297">
        <f t="shared" si="4"/>
        <v>22</v>
      </c>
      <c r="B25" s="716">
        <v>11</v>
      </c>
      <c r="C25" s="716">
        <v>7</v>
      </c>
      <c r="D25" s="716">
        <f t="shared" si="5"/>
        <v>4</v>
      </c>
      <c r="E25" s="716">
        <f t="shared" si="1"/>
        <v>4</v>
      </c>
      <c r="F25" s="716" t="e">
        <f ca="1">IF(D25&lt;&gt;0,[1]!RANK_AVG(E25,$E$4:$E$33,1),"")</f>
        <v>#NAME?</v>
      </c>
      <c r="G25" s="716" t="e">
        <f t="shared" ca="1" si="6"/>
        <v>#NAME?</v>
      </c>
      <c r="H25" s="716" t="str">
        <f t="shared" si="7"/>
        <v/>
      </c>
      <c r="J25" t="s">
        <v>368</v>
      </c>
      <c r="K25" s="756" t="e">
        <f ca="1">K12/SQRT(2*A33)</f>
        <v>#NAME?</v>
      </c>
      <c r="O25" t="s">
        <v>1828</v>
      </c>
      <c r="P25" s="1138" t="e">
        <f ca="1">[1]!SRankCRIT(P10,P16,1)</f>
        <v>#NAME?</v>
      </c>
      <c r="Q25" s="1138" t="e">
        <f ca="1">[1]!SRankCRIT(P10,P16,2)</f>
        <v>#NAME?</v>
      </c>
      <c r="R25" s="112"/>
      <c r="T25" t="s">
        <v>1828</v>
      </c>
      <c r="U25" s="1441" t="e">
        <f ca="1">[1]!SRankCRIT(U10,U16,1)</f>
        <v>#NAME?</v>
      </c>
      <c r="V25" s="1441" t="e">
        <f ca="1">[1]!SRankCRIT(U10,U16,2)</f>
        <v>#NAME?</v>
      </c>
    </row>
    <row r="26" spans="1:22">
      <c r="A26" s="297">
        <f t="shared" si="4"/>
        <v>23</v>
      </c>
      <c r="B26" s="716">
        <v>11</v>
      </c>
      <c r="C26" s="716">
        <v>17</v>
      </c>
      <c r="D26" s="716">
        <f t="shared" si="5"/>
        <v>-6</v>
      </c>
      <c r="E26" s="716">
        <f t="shared" si="1"/>
        <v>6</v>
      </c>
      <c r="F26" s="716" t="e">
        <f ca="1">IF(D26&lt;&gt;0,[1]!RANK_AVG(E26,$E$4:$E$33,1),"")</f>
        <v>#NAME?</v>
      </c>
      <c r="G26" s="716" t="str">
        <f t="shared" si="6"/>
        <v/>
      </c>
      <c r="H26" s="716" t="e">
        <f t="shared" ca="1" si="7"/>
        <v>#NAME?</v>
      </c>
      <c r="O26" t="s">
        <v>4115</v>
      </c>
      <c r="P26" s="1074" t="e">
        <f ca="1">IF(P13&lt;P25,"yes","no")</f>
        <v>#NAME?</v>
      </c>
      <c r="Q26" s="1074" t="e">
        <f ca="1">IF(P13&lt;Q25,"yes","no")</f>
        <v>#NAME?</v>
      </c>
      <c r="R26" s="112"/>
      <c r="T26" t="s">
        <v>4115</v>
      </c>
      <c r="U26" s="1074" t="e">
        <f ca="1">IF(U13&lt;U25,"yes","no")</f>
        <v>#NAME?</v>
      </c>
      <c r="V26" s="1074" t="e">
        <f ca="1">IF(U13&lt;V25,"yes","no")</f>
        <v>#NAME?</v>
      </c>
    </row>
    <row r="27" spans="1:22">
      <c r="A27" s="297">
        <f t="shared" si="4"/>
        <v>24</v>
      </c>
      <c r="B27" s="716">
        <v>12</v>
      </c>
      <c r="C27" s="716">
        <v>13</v>
      </c>
      <c r="D27" s="716">
        <f t="shared" si="5"/>
        <v>-1</v>
      </c>
      <c r="E27" s="716">
        <f t="shared" si="1"/>
        <v>1</v>
      </c>
      <c r="F27" s="716" t="e">
        <f ca="1">IF(D27&lt;&gt;0,[1]!RANK_AVG(E27,$E$4:$E$33,1),"")</f>
        <v>#NAME?</v>
      </c>
      <c r="G27" s="716" t="str">
        <f t="shared" si="6"/>
        <v/>
      </c>
      <c r="H27" s="716" t="e">
        <f t="shared" ca="1" si="7"/>
        <v>#NAME?</v>
      </c>
    </row>
    <row r="28" spans="1:22">
      <c r="A28" s="297">
        <f t="shared" si="4"/>
        <v>25</v>
      </c>
      <c r="B28" s="716">
        <v>17</v>
      </c>
      <c r="C28" s="716">
        <v>20</v>
      </c>
      <c r="D28" s="716">
        <f t="shared" si="5"/>
        <v>-3</v>
      </c>
      <c r="E28" s="716">
        <f t="shared" si="1"/>
        <v>3</v>
      </c>
      <c r="F28" s="716" t="e">
        <f ca="1">IF(D28&lt;&gt;0,[1]!RANK_AVG(E28,$E$4:$E$33,1),"")</f>
        <v>#NAME?</v>
      </c>
      <c r="G28" s="716" t="str">
        <f t="shared" si="6"/>
        <v/>
      </c>
      <c r="H28" s="716" t="e">
        <f t="shared" ca="1" si="7"/>
        <v>#NAME?</v>
      </c>
      <c r="O28" t="s">
        <v>3712</v>
      </c>
      <c r="P28" s="848" t="e">
        <f ca="1">[1]!SRankPROB(P13,P10,1)</f>
        <v>#NAME?</v>
      </c>
      <c r="Q28" s="756" t="e">
        <f ca="1">[1]!SRankPROB(P13,P10,2)</f>
        <v>#NAME?</v>
      </c>
    </row>
    <row r="29" spans="1:22">
      <c r="A29" s="297">
        <f t="shared" si="4"/>
        <v>26</v>
      </c>
      <c r="B29" s="716">
        <v>12</v>
      </c>
      <c r="C29" s="716">
        <v>9</v>
      </c>
      <c r="D29" s="716">
        <f t="shared" si="5"/>
        <v>3</v>
      </c>
      <c r="E29" s="716">
        <f t="shared" si="1"/>
        <v>3</v>
      </c>
      <c r="F29" s="716" t="e">
        <f ca="1">IF(D29&lt;&gt;0,[1]!RANK_AVG(E29,$E$4:$E$33,1),"")</f>
        <v>#NAME?</v>
      </c>
      <c r="G29" s="716" t="e">
        <f t="shared" ca="1" si="6"/>
        <v>#NAME?</v>
      </c>
      <c r="H29" s="716" t="str">
        <f t="shared" si="7"/>
        <v/>
      </c>
    </row>
    <row r="30" spans="1:22">
      <c r="A30" s="297">
        <f t="shared" si="4"/>
        <v>27</v>
      </c>
      <c r="B30" s="716">
        <v>5</v>
      </c>
      <c r="C30" s="716">
        <v>13</v>
      </c>
      <c r="D30" s="716">
        <f t="shared" si="5"/>
        <v>-8</v>
      </c>
      <c r="E30" s="716">
        <f t="shared" si="1"/>
        <v>8</v>
      </c>
      <c r="F30" s="716" t="e">
        <f ca="1">IF(D30&lt;&gt;0,[1]!RANK_AVG(E30,$E$4:$E$33,1),"")</f>
        <v>#NAME?</v>
      </c>
      <c r="G30" s="716" t="str">
        <f t="shared" si="6"/>
        <v/>
      </c>
      <c r="H30" s="716" t="e">
        <f t="shared" ca="1" si="7"/>
        <v>#NAME?</v>
      </c>
    </row>
    <row r="31" spans="1:22">
      <c r="A31" s="297">
        <f t="shared" si="4"/>
        <v>28</v>
      </c>
      <c r="B31" s="716">
        <v>5</v>
      </c>
      <c r="C31" s="716">
        <v>11</v>
      </c>
      <c r="D31" s="716">
        <f t="shared" si="5"/>
        <v>-6</v>
      </c>
      <c r="E31" s="716">
        <f t="shared" si="1"/>
        <v>6</v>
      </c>
      <c r="F31" s="716" t="e">
        <f ca="1">IF(D31&lt;&gt;0,[1]!RANK_AVG(E31,$E$4:$E$33,1),"")</f>
        <v>#NAME?</v>
      </c>
      <c r="G31" s="716" t="str">
        <f t="shared" si="6"/>
        <v/>
      </c>
      <c r="H31" s="716" t="e">
        <f t="shared" ca="1" si="7"/>
        <v>#NAME?</v>
      </c>
    </row>
    <row r="32" spans="1:22">
      <c r="A32" s="297">
        <f t="shared" si="4"/>
        <v>29</v>
      </c>
      <c r="B32" s="716">
        <v>15</v>
      </c>
      <c r="C32" s="716">
        <v>11</v>
      </c>
      <c r="D32" s="716">
        <f t="shared" si="5"/>
        <v>4</v>
      </c>
      <c r="E32" s="716">
        <f t="shared" si="1"/>
        <v>4</v>
      </c>
      <c r="F32" s="716" t="e">
        <f ca="1">IF(D32&lt;&gt;0,[1]!RANK_AVG(E32,$E$4:$E$33,1),"")</f>
        <v>#NAME?</v>
      </c>
      <c r="G32" s="716" t="e">
        <f t="shared" ca="1" si="6"/>
        <v>#NAME?</v>
      </c>
      <c r="H32" s="716" t="str">
        <f t="shared" si="7"/>
        <v/>
      </c>
    </row>
    <row r="33" spans="1:8">
      <c r="A33" s="755">
        <f t="shared" si="4"/>
        <v>30</v>
      </c>
      <c r="B33" s="755">
        <v>0</v>
      </c>
      <c r="C33" s="755">
        <v>12</v>
      </c>
      <c r="D33" s="701">
        <f t="shared" si="5"/>
        <v>-12</v>
      </c>
      <c r="E33" s="701">
        <f t="shared" si="1"/>
        <v>12</v>
      </c>
      <c r="F33" s="701" t="e">
        <f ca="1">IF(D33&lt;&gt;0,[1]!RANK_AVG(E33,$E$4:$E$33,1),"")</f>
        <v>#NAME?</v>
      </c>
      <c r="G33" s="701" t="str">
        <f t="shared" si="6"/>
        <v/>
      </c>
      <c r="H33" s="701" t="e">
        <f t="shared" ca="1" si="7"/>
        <v>#NAME?</v>
      </c>
    </row>
    <row r="34" spans="1:8">
      <c r="G34" s="201" t="e">
        <f ca="1">SUM(G4:G33)</f>
        <v>#NAME?</v>
      </c>
      <c r="H34" s="201" t="e">
        <f ca="1">SUM(H4:H33)</f>
        <v>#NAME?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sheetPr codeName="Sheet155"/>
  <dimension ref="A1:W34"/>
  <sheetViews>
    <sheetView workbookViewId="0"/>
  </sheetViews>
  <sheetFormatPr defaultRowHeight="14.4"/>
  <cols>
    <col min="2" max="2" width="3" customWidth="1"/>
    <col min="3" max="3" width="10" customWidth="1"/>
    <col min="4" max="4" width="3" customWidth="1"/>
    <col min="5" max="5" width="10" customWidth="1"/>
    <col min="6" max="6" width="3.33203125" customWidth="1"/>
    <col min="7" max="7" width="10" customWidth="1"/>
    <col min="12" max="12" width="6.44140625" customWidth="1"/>
    <col min="16" max="16" width="10" customWidth="1"/>
    <col min="17" max="17" width="9.5546875" customWidth="1"/>
    <col min="20" max="20" width="10.109375" customWidth="1"/>
  </cols>
  <sheetData>
    <row r="1" spans="1:23">
      <c r="A1" s="123" t="s">
        <v>1824</v>
      </c>
      <c r="B1" s="123"/>
    </row>
    <row r="2" spans="1:23">
      <c r="T2" t="s">
        <v>3217</v>
      </c>
    </row>
    <row r="3" spans="1:23" s="112" customFormat="1" ht="28.8">
      <c r="A3" s="754" t="s">
        <v>1831</v>
      </c>
      <c r="B3" s="965"/>
      <c r="C3" s="754" t="s">
        <v>1832</v>
      </c>
      <c r="D3" s="965"/>
      <c r="E3" s="754" t="s">
        <v>1833</v>
      </c>
      <c r="F3" s="965"/>
      <c r="G3" s="754" t="s">
        <v>1468</v>
      </c>
      <c r="H3" s="754" t="s">
        <v>1823</v>
      </c>
      <c r="I3" s="754" t="s">
        <v>1825</v>
      </c>
      <c r="J3" s="754" t="s">
        <v>1826</v>
      </c>
      <c r="K3" s="754" t="s">
        <v>1827</v>
      </c>
      <c r="L3" s="753"/>
      <c r="M3" s="753"/>
      <c r="N3"/>
      <c r="O3"/>
      <c r="P3"/>
      <c r="Q3"/>
      <c r="R3"/>
      <c r="S3"/>
      <c r="T3"/>
      <c r="U3"/>
      <c r="V3"/>
    </row>
    <row r="4" spans="1:23">
      <c r="A4" s="297">
        <v>1</v>
      </c>
      <c r="B4" s="297"/>
      <c r="C4" s="963">
        <v>15</v>
      </c>
      <c r="D4" s="963"/>
      <c r="E4" s="963">
        <v>17</v>
      </c>
      <c r="F4" s="963"/>
      <c r="G4" s="963">
        <f>C4-E4</f>
        <v>-2</v>
      </c>
      <c r="H4" s="963">
        <f>IF(G4=0,"",ABS(G4))</f>
        <v>2</v>
      </c>
      <c r="I4" s="963" t="e">
        <f ca="1">IF(G4&lt;&gt;0,[1]!RANK_AVG(H4,$H$4:$H$33,1),"")</f>
        <v>#NAME?</v>
      </c>
      <c r="J4" s="963" t="str">
        <f>IF(G4&gt;0,I4,"")</f>
        <v/>
      </c>
      <c r="K4" s="963" t="e">
        <f ca="1">IF(G4&lt;0,I4,"")</f>
        <v>#NAME?</v>
      </c>
      <c r="L4" s="962"/>
      <c r="M4" s="172" t="s">
        <v>157</v>
      </c>
      <c r="N4" s="542">
        <v>0.05</v>
      </c>
      <c r="P4" s="172" t="s">
        <v>157</v>
      </c>
      <c r="Q4" s="542">
        <v>0.05</v>
      </c>
      <c r="T4" t="s">
        <v>1824</v>
      </c>
      <c r="W4" s="112"/>
    </row>
    <row r="5" spans="1:23">
      <c r="A5" s="297">
        <f>A4+1</f>
        <v>2</v>
      </c>
      <c r="B5" s="297"/>
      <c r="C5" s="963">
        <v>8</v>
      </c>
      <c r="D5" s="963"/>
      <c r="E5" s="963">
        <v>19</v>
      </c>
      <c r="F5" s="963"/>
      <c r="G5" s="963">
        <f t="shared" ref="G5:G33" si="0">C5-E5</f>
        <v>-11</v>
      </c>
      <c r="H5" s="963">
        <f t="shared" ref="H5:H33" si="1">IF(G5=0,"",ABS(G5))</f>
        <v>11</v>
      </c>
      <c r="I5" s="963" t="e">
        <f ca="1">IF(G5&lt;&gt;0,[1]!RANK_AVG(H5,$H$4:$H$33,1),"")</f>
        <v>#NAME?</v>
      </c>
      <c r="J5" s="963" t="str">
        <f t="shared" ref="J5:J33" si="2">IF(G5&gt;0,I5,"")</f>
        <v/>
      </c>
      <c r="K5" s="963" t="e">
        <f t="shared" ref="K5:K33" ca="1" si="3">IF(G5&lt;0,I5,"")</f>
        <v>#NAME?</v>
      </c>
      <c r="L5" s="962"/>
      <c r="M5" s="172" t="s">
        <v>1178</v>
      </c>
      <c r="N5" s="627">
        <v>1</v>
      </c>
      <c r="P5" s="172" t="s">
        <v>1178</v>
      </c>
      <c r="Q5" s="627">
        <v>1</v>
      </c>
      <c r="W5" s="112"/>
    </row>
    <row r="6" spans="1:23">
      <c r="A6" s="297">
        <f t="shared" ref="A6:A33" si="4">A5+1</f>
        <v>3</v>
      </c>
      <c r="B6" s="297"/>
      <c r="C6" s="963">
        <v>11</v>
      </c>
      <c r="D6" s="963"/>
      <c r="E6" s="963">
        <v>18</v>
      </c>
      <c r="F6" s="963"/>
      <c r="G6" s="963">
        <f t="shared" si="0"/>
        <v>-7</v>
      </c>
      <c r="H6" s="963">
        <f t="shared" si="1"/>
        <v>7</v>
      </c>
      <c r="I6" s="963" t="e">
        <f ca="1">IF(G6&lt;&gt;0,[1]!RANK_AVG(H6,$H$4:$H$33,1),"")</f>
        <v>#NAME?</v>
      </c>
      <c r="J6" s="963" t="str">
        <f t="shared" si="2"/>
        <v/>
      </c>
      <c r="K6" s="963" t="e">
        <f t="shared" ca="1" si="3"/>
        <v>#NAME?</v>
      </c>
      <c r="L6" s="962"/>
      <c r="M6" t="s">
        <v>106</v>
      </c>
      <c r="N6" s="627">
        <f>COUNT(H4:H33)</f>
        <v>28</v>
      </c>
      <c r="P6" t="s">
        <v>106</v>
      </c>
      <c r="Q6" s="627">
        <f>COUNT(H4:H33)</f>
        <v>28</v>
      </c>
      <c r="U6" t="str">
        <f>C3</f>
        <v>Wife</v>
      </c>
      <c r="V6" t="str">
        <f>E3</f>
        <v>Husband</v>
      </c>
      <c r="W6" s="112"/>
    </row>
    <row r="7" spans="1:23">
      <c r="A7" s="297">
        <f t="shared" si="4"/>
        <v>4</v>
      </c>
      <c r="B7" s="297"/>
      <c r="C7" s="963">
        <v>19</v>
      </c>
      <c r="D7" s="963"/>
      <c r="E7" s="963">
        <v>19</v>
      </c>
      <c r="F7" s="963"/>
      <c r="G7" s="963">
        <f t="shared" si="0"/>
        <v>0</v>
      </c>
      <c r="H7" s="963" t="str">
        <f t="shared" si="1"/>
        <v/>
      </c>
      <c r="I7" s="963" t="str">
        <f>IF(G7&lt;&gt;0,[1]!RANK_AVG(H7,$H$4:$H$33,1),"")</f>
        <v/>
      </c>
      <c r="J7" s="963" t="str">
        <f t="shared" si="2"/>
        <v/>
      </c>
      <c r="K7" s="963" t="str">
        <f t="shared" si="3"/>
        <v/>
      </c>
      <c r="L7" s="962"/>
      <c r="M7" s="172" t="s">
        <v>642</v>
      </c>
      <c r="N7" s="627" t="e">
        <f ca="1">MIN(J34:K34)</f>
        <v>#NAME?</v>
      </c>
      <c r="P7" s="172" t="s">
        <v>642</v>
      </c>
      <c r="Q7" s="627" t="e">
        <f ca="1">MIN(J34:K34)</f>
        <v>#NAME?</v>
      </c>
      <c r="T7" t="s">
        <v>1001</v>
      </c>
      <c r="U7" s="1119">
        <f>MEDIAN(C4:C33)</f>
        <v>11</v>
      </c>
      <c r="V7" s="1120">
        <f>MEDIAN(E4:E33)</f>
        <v>12.5</v>
      </c>
      <c r="W7" s="112"/>
    </row>
    <row r="8" spans="1:23">
      <c r="A8" s="297">
        <f t="shared" si="4"/>
        <v>5</v>
      </c>
      <c r="B8" s="297"/>
      <c r="C8" s="963">
        <v>13</v>
      </c>
      <c r="D8" s="963"/>
      <c r="E8" s="963">
        <v>17</v>
      </c>
      <c r="F8" s="963"/>
      <c r="G8" s="963">
        <f t="shared" si="0"/>
        <v>-4</v>
      </c>
      <c r="H8" s="963">
        <f t="shared" si="1"/>
        <v>4</v>
      </c>
      <c r="I8" s="963" t="e">
        <f ca="1">IF(G8&lt;&gt;0,[1]!RANK_AVG(H8,$H$4:$H$33,1),"")</f>
        <v>#NAME?</v>
      </c>
      <c r="J8" s="963" t="str">
        <f t="shared" si="2"/>
        <v/>
      </c>
      <c r="K8" s="963" t="e">
        <f t="shared" ca="1" si="3"/>
        <v>#NAME?</v>
      </c>
      <c r="L8" s="962"/>
      <c r="M8" s="66" t="s">
        <v>1828</v>
      </c>
      <c r="N8" s="627">
        <f>'Signed Rank Table'!C29</f>
        <v>130</v>
      </c>
      <c r="P8" s="66" t="s">
        <v>63</v>
      </c>
      <c r="Q8" s="627">
        <f>Q6*(Q6+1)/4</f>
        <v>203</v>
      </c>
      <c r="W8" s="112"/>
    </row>
    <row r="9" spans="1:23">
      <c r="A9" s="297">
        <f t="shared" si="4"/>
        <v>6</v>
      </c>
      <c r="B9" s="297"/>
      <c r="C9" s="963">
        <v>4</v>
      </c>
      <c r="D9" s="963"/>
      <c r="E9" s="963">
        <v>5</v>
      </c>
      <c r="F9" s="963"/>
      <c r="G9" s="963">
        <f t="shared" si="0"/>
        <v>-1</v>
      </c>
      <c r="H9" s="963">
        <f t="shared" si="1"/>
        <v>1</v>
      </c>
      <c r="I9" s="963" t="e">
        <f ca="1">IF(G9&lt;&gt;0,[1]!RANK_AVG(H9,$H$4:$H$33,1),"")</f>
        <v>#NAME?</v>
      </c>
      <c r="J9" s="963" t="str">
        <f t="shared" si="2"/>
        <v/>
      </c>
      <c r="K9" s="963" t="e">
        <f t="shared" ca="1" si="3"/>
        <v>#NAME?</v>
      </c>
      <c r="L9" s="962"/>
      <c r="M9" s="66" t="s">
        <v>948</v>
      </c>
      <c r="N9" s="538" t="e">
        <f ca="1">IF(N7&lt;N8,"yes","no")</f>
        <v>#NAME?</v>
      </c>
      <c r="P9" s="66" t="s">
        <v>1533</v>
      </c>
      <c r="Q9" s="627">
        <f>Q8*(2*Q6+1)/6</f>
        <v>1928.5</v>
      </c>
      <c r="T9" t="s">
        <v>554</v>
      </c>
      <c r="U9" s="1138">
        <f>SUMPRODUCT(--ISNUMBER(C4:C33),--ISNUMBER(E4:E33))</f>
        <v>30</v>
      </c>
      <c r="W9" s="112"/>
    </row>
    <row r="10" spans="1:23">
      <c r="A10" s="297">
        <f t="shared" si="4"/>
        <v>7</v>
      </c>
      <c r="B10" s="297"/>
      <c r="C10" s="963">
        <v>16</v>
      </c>
      <c r="D10" s="963"/>
      <c r="E10" s="963">
        <v>13</v>
      </c>
      <c r="F10" s="963"/>
      <c r="G10" s="963">
        <f t="shared" si="0"/>
        <v>3</v>
      </c>
      <c r="H10" s="963">
        <f t="shared" si="1"/>
        <v>3</v>
      </c>
      <c r="I10" s="963" t="e">
        <f ca="1">IF(G10&lt;&gt;0,[1]!RANK_AVG(H10,$H$4:$H$33,1),"")</f>
        <v>#NAME?</v>
      </c>
      <c r="J10" s="963" t="e">
        <f t="shared" ca="1" si="2"/>
        <v>#NAME?</v>
      </c>
      <c r="K10" s="963" t="str">
        <f t="shared" si="3"/>
        <v/>
      </c>
      <c r="L10" s="962"/>
      <c r="M10" s="962"/>
      <c r="P10" s="66" t="s">
        <v>218</v>
      </c>
      <c r="Q10" s="627">
        <f>SQRT(Q9)</f>
        <v>43.914690025092973</v>
      </c>
      <c r="T10" t="s">
        <v>2710</v>
      </c>
      <c r="U10" s="946">
        <f>SUMPRODUCT(--ISNUMBER(C4:C33),--ISNUMBER(E4:E33),--(C4:C33&lt;&gt;E4:E33))</f>
        <v>28</v>
      </c>
      <c r="W10" s="112"/>
    </row>
    <row r="11" spans="1:23">
      <c r="A11" s="297">
        <f t="shared" si="4"/>
        <v>8</v>
      </c>
      <c r="B11" s="297"/>
      <c r="C11" s="963">
        <v>5</v>
      </c>
      <c r="D11" s="963"/>
      <c r="E11" s="963">
        <v>0</v>
      </c>
      <c r="F11" s="963"/>
      <c r="G11" s="963">
        <f t="shared" si="0"/>
        <v>5</v>
      </c>
      <c r="H11" s="963">
        <f t="shared" si="1"/>
        <v>5</v>
      </c>
      <c r="I11" s="963" t="e">
        <f ca="1">IF(G11&lt;&gt;0,[1]!RANK_AVG(H11,$H$4:$H$33,1),"")</f>
        <v>#NAME?</v>
      </c>
      <c r="J11" s="963" t="e">
        <f t="shared" ca="1" si="2"/>
        <v>#NAME?</v>
      </c>
      <c r="K11" s="963" t="str">
        <f t="shared" si="3"/>
        <v/>
      </c>
      <c r="L11" s="962"/>
      <c r="M11" s="962"/>
      <c r="P11" s="66" t="s">
        <v>1730</v>
      </c>
      <c r="Q11" s="627" t="e">
        <f ca="1">ABS(Q7-Q8)/Q10</f>
        <v>#NAME?</v>
      </c>
      <c r="T11" t="s">
        <v>2711</v>
      </c>
      <c r="U11" s="946" t="e">
        <f ca="1">IF(U19&lt;=0,U13,U10*(U10+1)/2)</f>
        <v>#NAME?</v>
      </c>
      <c r="W11" s="112"/>
    </row>
    <row r="12" spans="1:23">
      <c r="A12" s="297">
        <f t="shared" si="4"/>
        <v>9</v>
      </c>
      <c r="B12" s="297"/>
      <c r="C12" s="963">
        <v>9</v>
      </c>
      <c r="D12" s="963"/>
      <c r="E12" s="963">
        <v>16</v>
      </c>
      <c r="F12" s="963"/>
      <c r="G12" s="963">
        <f t="shared" si="0"/>
        <v>-7</v>
      </c>
      <c r="H12" s="963">
        <f t="shared" si="1"/>
        <v>7</v>
      </c>
      <c r="I12" s="963" t="e">
        <f ca="1">IF(G12&lt;&gt;0,[1]!RANK_AVG(H12,$H$4:$H$33,1),"")</f>
        <v>#NAME?</v>
      </c>
      <c r="J12" s="963" t="str">
        <f t="shared" si="2"/>
        <v/>
      </c>
      <c r="K12" s="963" t="e">
        <f t="shared" ca="1" si="3"/>
        <v>#NAME?</v>
      </c>
      <c r="L12" s="962"/>
      <c r="M12" s="962"/>
      <c r="P12" s="66" t="s">
        <v>200</v>
      </c>
      <c r="Q12" s="627" t="e">
        <f ca="1">1-NORMSDIST(Q11)</f>
        <v>#NAME?</v>
      </c>
      <c r="T12" t="s">
        <v>2712</v>
      </c>
      <c r="U12" s="946" t="e">
        <f ca="1">U10*(U10+1)/2-U11</f>
        <v>#NAME?</v>
      </c>
      <c r="W12" s="112"/>
    </row>
    <row r="13" spans="1:23">
      <c r="A13" s="297">
        <f t="shared" si="4"/>
        <v>10</v>
      </c>
      <c r="B13" s="297"/>
      <c r="C13" s="963">
        <v>15</v>
      </c>
      <c r="D13" s="963"/>
      <c r="E13" s="963">
        <v>21</v>
      </c>
      <c r="F13" s="963"/>
      <c r="G13" s="963">
        <f t="shared" si="0"/>
        <v>-6</v>
      </c>
      <c r="H13" s="963">
        <f t="shared" si="1"/>
        <v>6</v>
      </c>
      <c r="I13" s="963" t="e">
        <f ca="1">IF(G13&lt;&gt;0,[1]!RANK_AVG(H13,$H$4:$H$33,1),"")</f>
        <v>#NAME?</v>
      </c>
      <c r="J13" s="963" t="str">
        <f t="shared" si="2"/>
        <v/>
      </c>
      <c r="K13" s="963" t="e">
        <f t="shared" ca="1" si="3"/>
        <v>#NAME?</v>
      </c>
      <c r="L13" s="962"/>
      <c r="M13" s="962"/>
      <c r="P13" s="66" t="s">
        <v>948</v>
      </c>
      <c r="Q13" s="538" t="e">
        <f ca="1">IF(Q12&lt;Q4,"yes","no")</f>
        <v>#NAME?</v>
      </c>
      <c r="T13" t="s">
        <v>642</v>
      </c>
      <c r="U13" s="1073" t="e">
        <f ca="1">[1]!SRankPair(C4:C33,E4:E33)</f>
        <v>#NAME?</v>
      </c>
      <c r="W13" s="112"/>
    </row>
    <row r="14" spans="1:23">
      <c r="A14" s="297">
        <f t="shared" si="4"/>
        <v>11</v>
      </c>
      <c r="B14" s="297"/>
      <c r="C14" s="963">
        <v>12</v>
      </c>
      <c r="D14" s="963"/>
      <c r="E14" s="963">
        <v>12</v>
      </c>
      <c r="F14" s="963"/>
      <c r="G14" s="963">
        <f t="shared" si="0"/>
        <v>0</v>
      </c>
      <c r="H14" s="963" t="str">
        <f t="shared" si="1"/>
        <v/>
      </c>
      <c r="I14" s="963" t="str">
        <f>IF(G14&lt;&gt;0,[1]!RANK_AVG(H14,$H$4:$H$33,1),"")</f>
        <v/>
      </c>
      <c r="J14" s="963" t="str">
        <f t="shared" si="2"/>
        <v/>
      </c>
      <c r="K14" s="963" t="str">
        <f t="shared" si="3"/>
        <v/>
      </c>
      <c r="L14" s="962"/>
      <c r="M14" s="962"/>
      <c r="W14" s="112"/>
    </row>
    <row r="15" spans="1:23">
      <c r="A15" s="297">
        <f t="shared" si="4"/>
        <v>12</v>
      </c>
      <c r="B15" s="297"/>
      <c r="C15" s="963">
        <v>11</v>
      </c>
      <c r="D15" s="963"/>
      <c r="E15" s="963">
        <v>9</v>
      </c>
      <c r="F15" s="963"/>
      <c r="G15" s="963">
        <f t="shared" si="0"/>
        <v>2</v>
      </c>
      <c r="H15" s="963">
        <f t="shared" si="1"/>
        <v>2</v>
      </c>
      <c r="I15" s="963" t="e">
        <f ca="1">IF(G15&lt;&gt;0,[1]!RANK_AVG(H15,$H$4:$H$33,1),"")</f>
        <v>#NAME?</v>
      </c>
      <c r="J15" s="963" t="e">
        <f t="shared" ca="1" si="2"/>
        <v>#NAME?</v>
      </c>
      <c r="K15" s="963" t="str">
        <f t="shared" si="3"/>
        <v/>
      </c>
      <c r="L15" s="962"/>
      <c r="M15" s="962"/>
      <c r="U15" s="19" t="s">
        <v>2722</v>
      </c>
      <c r="V15" s="19" t="s">
        <v>2723</v>
      </c>
      <c r="W15" s="112"/>
    </row>
    <row r="16" spans="1:23">
      <c r="A16" s="297">
        <f t="shared" si="4"/>
        <v>13</v>
      </c>
      <c r="B16" s="297"/>
      <c r="C16" s="963">
        <v>14</v>
      </c>
      <c r="D16" s="963"/>
      <c r="E16" s="963">
        <v>10</v>
      </c>
      <c r="F16" s="963"/>
      <c r="G16" s="963">
        <f t="shared" si="0"/>
        <v>4</v>
      </c>
      <c r="H16" s="963">
        <f t="shared" si="1"/>
        <v>4</v>
      </c>
      <c r="I16" s="963" t="e">
        <f ca="1">IF(G16&lt;&gt;0,[1]!RANK_AVG(H16,$H$4:$H$33,1),"")</f>
        <v>#NAME?</v>
      </c>
      <c r="J16" s="963" t="e">
        <f t="shared" ca="1" si="2"/>
        <v>#NAME?</v>
      </c>
      <c r="K16" s="963" t="str">
        <f t="shared" si="3"/>
        <v/>
      </c>
      <c r="L16" s="962"/>
      <c r="M16" s="962"/>
      <c r="P16" t="s">
        <v>1939</v>
      </c>
      <c r="T16" t="s">
        <v>337</v>
      </c>
      <c r="U16" s="1138">
        <v>0.05</v>
      </c>
      <c r="W16" s="112"/>
    </row>
    <row r="17" spans="1:23">
      <c r="A17" s="297">
        <f t="shared" si="4"/>
        <v>14</v>
      </c>
      <c r="B17" s="297"/>
      <c r="C17" s="963">
        <v>4</v>
      </c>
      <c r="D17" s="963"/>
      <c r="E17" s="963">
        <v>17</v>
      </c>
      <c r="F17" s="963"/>
      <c r="G17" s="963">
        <f t="shared" si="0"/>
        <v>-13</v>
      </c>
      <c r="H17" s="963">
        <f t="shared" si="1"/>
        <v>13</v>
      </c>
      <c r="I17" s="963" t="e">
        <f ca="1">IF(G17&lt;&gt;0,[1]!RANK_AVG(H17,$H$4:$H$33,1),"")</f>
        <v>#NAME?</v>
      </c>
      <c r="J17" s="963" t="str">
        <f t="shared" si="2"/>
        <v/>
      </c>
      <c r="K17" s="963" t="e">
        <f t="shared" ca="1" si="3"/>
        <v>#NAME?</v>
      </c>
      <c r="L17" s="962"/>
      <c r="M17" s="962"/>
      <c r="T17" t="s">
        <v>63</v>
      </c>
      <c r="U17" s="946">
        <f>U10*(U10+1)/4</f>
        <v>203</v>
      </c>
      <c r="W17" s="112"/>
    </row>
    <row r="18" spans="1:23">
      <c r="A18" s="297">
        <f t="shared" si="4"/>
        <v>15</v>
      </c>
      <c r="B18" s="297"/>
      <c r="C18" s="963">
        <v>11</v>
      </c>
      <c r="D18" s="963"/>
      <c r="E18" s="963">
        <v>12</v>
      </c>
      <c r="F18" s="963"/>
      <c r="G18" s="963">
        <f t="shared" si="0"/>
        <v>-1</v>
      </c>
      <c r="H18" s="963">
        <f t="shared" si="1"/>
        <v>1</v>
      </c>
      <c r="I18" s="963" t="e">
        <f ca="1">IF(G18&lt;&gt;0,[1]!RANK_AVG(H18,$H$4:$H$33,1),"")</f>
        <v>#NAME?</v>
      </c>
      <c r="J18" s="963" t="str">
        <f t="shared" si="2"/>
        <v/>
      </c>
      <c r="K18" s="963" t="e">
        <f t="shared" ca="1" si="3"/>
        <v>#NAME?</v>
      </c>
      <c r="L18" s="963"/>
      <c r="M18" s="963"/>
      <c r="P18" t="s">
        <v>2120</v>
      </c>
      <c r="Q18" s="756" t="e">
        <f ca="1">[1]!SRankPair(C4:C33,E4:E33)</f>
        <v>#NAME?</v>
      </c>
      <c r="T18" t="s">
        <v>218</v>
      </c>
      <c r="U18" s="946">
        <f>SQRT(U17*(2*U10+1)/6)</f>
        <v>43.914690025092973</v>
      </c>
      <c r="W18" s="112"/>
    </row>
    <row r="19" spans="1:23">
      <c r="A19" s="297">
        <f t="shared" si="4"/>
        <v>16</v>
      </c>
      <c r="B19" s="297"/>
      <c r="C19" s="963">
        <v>17</v>
      </c>
      <c r="D19" s="963"/>
      <c r="E19" s="963">
        <v>24</v>
      </c>
      <c r="F19" s="963"/>
      <c r="G19" s="963">
        <f t="shared" si="0"/>
        <v>-7</v>
      </c>
      <c r="H19" s="963">
        <f t="shared" si="1"/>
        <v>7</v>
      </c>
      <c r="I19" s="963" t="e">
        <f ca="1">IF(G19&lt;&gt;0,[1]!RANK_AVG(H19,$H$4:$H$33,1),"")</f>
        <v>#NAME?</v>
      </c>
      <c r="J19" s="963" t="str">
        <f t="shared" si="2"/>
        <v/>
      </c>
      <c r="K19" s="963" t="e">
        <f t="shared" ca="1" si="3"/>
        <v>#NAME?</v>
      </c>
      <c r="L19" s="201"/>
      <c r="M19" s="201"/>
      <c r="P19" t="s">
        <v>2121</v>
      </c>
      <c r="Q19" s="627" t="e">
        <f ca="1">[1]!SRTESTPair(C4:C33,E4:E33)</f>
        <v>#NAME?</v>
      </c>
      <c r="T19" t="s">
        <v>1730</v>
      </c>
      <c r="U19" s="946" t="e">
        <f ca="1">STANDARDIZE(U13,U17,U18)</f>
        <v>#NAME?</v>
      </c>
      <c r="W19" s="112"/>
    </row>
    <row r="20" spans="1:23">
      <c r="A20" s="297">
        <f t="shared" si="4"/>
        <v>17</v>
      </c>
      <c r="B20" s="297"/>
      <c r="C20" s="963">
        <v>14</v>
      </c>
      <c r="D20" s="963"/>
      <c r="E20" s="963">
        <v>12</v>
      </c>
      <c r="F20" s="963"/>
      <c r="G20" s="963">
        <f t="shared" si="0"/>
        <v>2</v>
      </c>
      <c r="H20" s="963">
        <f t="shared" si="1"/>
        <v>2</v>
      </c>
      <c r="I20" s="963" t="e">
        <f ca="1">IF(G20&lt;&gt;0,[1]!RANK_AVG(H20,$H$4:$H$33,1),"")</f>
        <v>#NAME?</v>
      </c>
      <c r="J20" s="963" t="e">
        <f t="shared" ca="1" si="2"/>
        <v>#NAME?</v>
      </c>
      <c r="K20" s="963" t="str">
        <f t="shared" si="3"/>
        <v/>
      </c>
      <c r="P20" t="s">
        <v>3475</v>
      </c>
      <c r="Q20" s="544" t="e">
        <f ca="1">[1]!SRTESTPair(C4:C33,E4:E33,2)</f>
        <v>#NAME?</v>
      </c>
      <c r="T20" t="s">
        <v>1478</v>
      </c>
      <c r="U20" s="946" t="e">
        <f ca="1">ABS(U19)/SQRT(2*U9)</f>
        <v>#NAME?</v>
      </c>
      <c r="W20" s="112"/>
    </row>
    <row r="21" spans="1:23">
      <c r="A21" s="297">
        <f t="shared" si="4"/>
        <v>18</v>
      </c>
      <c r="B21" s="297"/>
      <c r="C21" s="963">
        <v>5</v>
      </c>
      <c r="D21" s="963"/>
      <c r="E21" s="963">
        <v>12</v>
      </c>
      <c r="F21" s="963"/>
      <c r="G21" s="963">
        <f t="shared" si="0"/>
        <v>-7</v>
      </c>
      <c r="H21" s="963">
        <f t="shared" si="1"/>
        <v>7</v>
      </c>
      <c r="I21" s="963" t="e">
        <f ca="1">IF(G21&lt;&gt;0,[1]!RANK_AVG(H21,$H$4:$H$33,1),"")</f>
        <v>#NAME?</v>
      </c>
      <c r="J21" s="963" t="str">
        <f t="shared" si="2"/>
        <v/>
      </c>
      <c r="K21" s="963" t="e">
        <f t="shared" ca="1" si="3"/>
        <v>#NAME?</v>
      </c>
      <c r="T21" t="s">
        <v>1828</v>
      </c>
      <c r="U21" s="1138">
        <f>U17+U18*NORMSINV(U16)-0.5</f>
        <v>130.26676283577615</v>
      </c>
      <c r="V21" s="1233">
        <f>U17+U18*NORMSINV(U16/2)-0.5</f>
        <v>116.42878915857742</v>
      </c>
      <c r="W21" s="112"/>
    </row>
    <row r="22" spans="1:23">
      <c r="A22" s="297">
        <f t="shared" si="4"/>
        <v>19</v>
      </c>
      <c r="B22" s="297"/>
      <c r="C22" s="963">
        <v>9</v>
      </c>
      <c r="D22" s="963"/>
      <c r="E22" s="963">
        <v>8</v>
      </c>
      <c r="F22" s="963"/>
      <c r="G22" s="963">
        <f t="shared" si="0"/>
        <v>1</v>
      </c>
      <c r="H22" s="963">
        <f t="shared" si="1"/>
        <v>1</v>
      </c>
      <c r="I22" s="963" t="e">
        <f ca="1">IF(G22&lt;&gt;0,[1]!RANK_AVG(H22,$H$4:$H$33,1),"")</f>
        <v>#NAME?</v>
      </c>
      <c r="J22" s="963" t="e">
        <f t="shared" ca="1" si="2"/>
        <v>#NAME?</v>
      </c>
      <c r="K22" s="963" t="str">
        <f t="shared" si="3"/>
        <v/>
      </c>
      <c r="T22" t="s">
        <v>200</v>
      </c>
      <c r="U22" s="946" t="e">
        <f ca="1">NORMSDIST(U19)</f>
        <v>#NAME?</v>
      </c>
      <c r="V22" s="132" t="e">
        <f ca="1">2*U22</f>
        <v>#NAME?</v>
      </c>
      <c r="W22" s="112"/>
    </row>
    <row r="23" spans="1:23">
      <c r="A23" s="297">
        <f t="shared" si="4"/>
        <v>20</v>
      </c>
      <c r="B23" s="297"/>
      <c r="C23" s="963">
        <v>8</v>
      </c>
      <c r="D23" s="963"/>
      <c r="E23" s="963">
        <v>16</v>
      </c>
      <c r="F23" s="963"/>
      <c r="G23" s="963">
        <f t="shared" si="0"/>
        <v>-8</v>
      </c>
      <c r="H23" s="963">
        <f t="shared" si="1"/>
        <v>8</v>
      </c>
      <c r="I23" s="963" t="e">
        <f ca="1">IF(G23&lt;&gt;0,[1]!RANK_AVG(H23,$H$4:$H$33,1),"")</f>
        <v>#NAME?</v>
      </c>
      <c r="J23" s="963" t="str">
        <f t="shared" si="2"/>
        <v/>
      </c>
      <c r="K23" s="963" t="e">
        <f t="shared" ca="1" si="3"/>
        <v>#NAME?</v>
      </c>
      <c r="T23" t="s">
        <v>948</v>
      </c>
      <c r="U23" s="1074" t="e">
        <f ca="1">IF(U22&lt;U16,"yes","no")</f>
        <v>#NAME?</v>
      </c>
      <c r="V23" s="1333" t="e">
        <f ca="1">IF(V22&lt;U16,"yes","no")</f>
        <v>#NAME?</v>
      </c>
      <c r="W23" s="112"/>
    </row>
    <row r="24" spans="1:23">
      <c r="A24" s="297">
        <f t="shared" si="4"/>
        <v>21</v>
      </c>
      <c r="B24" s="297"/>
      <c r="C24" s="963">
        <v>9</v>
      </c>
      <c r="D24" s="963"/>
      <c r="E24" s="963">
        <v>12</v>
      </c>
      <c r="F24" s="963"/>
      <c r="G24" s="963">
        <f t="shared" si="0"/>
        <v>-3</v>
      </c>
      <c r="H24" s="963">
        <f t="shared" si="1"/>
        <v>3</v>
      </c>
      <c r="I24" s="963" t="e">
        <f ca="1">IF(G24&lt;&gt;0,[1]!RANK_AVG(H24,$H$4:$H$33,1),"")</f>
        <v>#NAME?</v>
      </c>
      <c r="J24" s="963" t="str">
        <f t="shared" si="2"/>
        <v/>
      </c>
      <c r="K24" s="963" t="e">
        <f t="shared" ca="1" si="3"/>
        <v>#NAME?</v>
      </c>
      <c r="W24" s="112"/>
    </row>
    <row r="25" spans="1:23">
      <c r="A25" s="297">
        <f t="shared" si="4"/>
        <v>22</v>
      </c>
      <c r="B25" s="297"/>
      <c r="C25" s="963">
        <v>11</v>
      </c>
      <c r="D25" s="963"/>
      <c r="E25" s="963">
        <v>7</v>
      </c>
      <c r="F25" s="963"/>
      <c r="G25" s="963">
        <f t="shared" si="0"/>
        <v>4</v>
      </c>
      <c r="H25" s="963">
        <f t="shared" si="1"/>
        <v>4</v>
      </c>
      <c r="I25" s="963" t="e">
        <f ca="1">IF(G25&lt;&gt;0,[1]!RANK_AVG(H25,$H$4:$H$33,1),"")</f>
        <v>#NAME?</v>
      </c>
      <c r="J25" s="963" t="e">
        <f t="shared" ca="1" si="2"/>
        <v>#NAME?</v>
      </c>
      <c r="K25" s="963" t="str">
        <f t="shared" si="3"/>
        <v/>
      </c>
      <c r="T25" t="s">
        <v>1828</v>
      </c>
      <c r="U25" s="1138" t="e">
        <f ca="1">[1]!SRankCRIT(U10,U16,1)</f>
        <v>#NAME?</v>
      </c>
      <c r="V25" s="1138" t="e">
        <f ca="1">[1]!SRankCRIT(U10,U16,2)</f>
        <v>#NAME?</v>
      </c>
      <c r="W25" s="112"/>
    </row>
    <row r="26" spans="1:23">
      <c r="A26" s="297">
        <f t="shared" si="4"/>
        <v>23</v>
      </c>
      <c r="B26" s="297"/>
      <c r="C26" s="963">
        <v>11</v>
      </c>
      <c r="D26" s="963"/>
      <c r="E26" s="963">
        <v>17</v>
      </c>
      <c r="F26" s="963"/>
      <c r="G26" s="963">
        <f t="shared" si="0"/>
        <v>-6</v>
      </c>
      <c r="H26" s="963">
        <f t="shared" si="1"/>
        <v>6</v>
      </c>
      <c r="I26" s="963" t="e">
        <f ca="1">IF(G26&lt;&gt;0,[1]!RANK_AVG(H26,$H$4:$H$33,1),"")</f>
        <v>#NAME?</v>
      </c>
      <c r="J26" s="963" t="str">
        <f t="shared" si="2"/>
        <v/>
      </c>
      <c r="K26" s="963" t="e">
        <f t="shared" ca="1" si="3"/>
        <v>#NAME?</v>
      </c>
      <c r="T26" t="s">
        <v>4115</v>
      </c>
      <c r="U26" s="1074" t="e">
        <f ca="1">IF(U13&lt;U25,"yes","no")</f>
        <v>#NAME?</v>
      </c>
      <c r="V26" s="1074" t="e">
        <f ca="1">IF(U13&lt;V25,"yes","no")</f>
        <v>#NAME?</v>
      </c>
      <c r="W26" s="112"/>
    </row>
    <row r="27" spans="1:23">
      <c r="A27" s="297">
        <f t="shared" si="4"/>
        <v>24</v>
      </c>
      <c r="B27" s="297"/>
      <c r="C27" s="963">
        <v>12</v>
      </c>
      <c r="D27" s="963"/>
      <c r="E27" s="963">
        <v>13</v>
      </c>
      <c r="F27" s="963"/>
      <c r="G27" s="963">
        <f t="shared" si="0"/>
        <v>-1</v>
      </c>
      <c r="H27" s="963">
        <f t="shared" si="1"/>
        <v>1</v>
      </c>
      <c r="I27" s="963" t="e">
        <f ca="1">IF(G27&lt;&gt;0,[1]!RANK_AVG(H27,$H$4:$H$33,1),"")</f>
        <v>#NAME?</v>
      </c>
      <c r="J27" s="963" t="str">
        <f t="shared" si="2"/>
        <v/>
      </c>
      <c r="K27" s="963" t="e">
        <f t="shared" ca="1" si="3"/>
        <v>#NAME?</v>
      </c>
      <c r="W27" s="112"/>
    </row>
    <row r="28" spans="1:23">
      <c r="A28" s="297">
        <f t="shared" si="4"/>
        <v>25</v>
      </c>
      <c r="B28" s="297"/>
      <c r="C28" s="963">
        <v>17</v>
      </c>
      <c r="D28" s="963"/>
      <c r="E28" s="963">
        <v>20</v>
      </c>
      <c r="F28" s="963"/>
      <c r="G28" s="963">
        <f t="shared" si="0"/>
        <v>-3</v>
      </c>
      <c r="H28" s="963">
        <f t="shared" si="1"/>
        <v>3</v>
      </c>
      <c r="I28" s="963" t="e">
        <f ca="1">IF(G28&lt;&gt;0,[1]!RANK_AVG(H28,$H$4:$H$33,1),"")</f>
        <v>#NAME?</v>
      </c>
      <c r="J28" s="963" t="str">
        <f t="shared" si="2"/>
        <v/>
      </c>
      <c r="K28" s="963" t="e">
        <f t="shared" ca="1" si="3"/>
        <v>#NAME?</v>
      </c>
      <c r="W28" s="112"/>
    </row>
    <row r="29" spans="1:23">
      <c r="A29" s="297">
        <f t="shared" si="4"/>
        <v>26</v>
      </c>
      <c r="B29" s="297"/>
      <c r="C29" s="963">
        <v>12</v>
      </c>
      <c r="D29" s="963"/>
      <c r="E29" s="963">
        <v>9</v>
      </c>
      <c r="F29" s="963"/>
      <c r="G29" s="963">
        <f t="shared" si="0"/>
        <v>3</v>
      </c>
      <c r="H29" s="963">
        <f t="shared" si="1"/>
        <v>3</v>
      </c>
      <c r="I29" s="963" t="e">
        <f ca="1">IF(G29&lt;&gt;0,[1]!RANK_AVG(H29,$H$4:$H$33,1),"")</f>
        <v>#NAME?</v>
      </c>
      <c r="J29" s="963" t="e">
        <f t="shared" ca="1" si="2"/>
        <v>#NAME?</v>
      </c>
      <c r="K29" s="963" t="str">
        <f t="shared" si="3"/>
        <v/>
      </c>
    </row>
    <row r="30" spans="1:23">
      <c r="A30" s="297">
        <f t="shared" si="4"/>
        <v>27</v>
      </c>
      <c r="B30" s="297"/>
      <c r="C30" s="963">
        <v>5</v>
      </c>
      <c r="D30" s="963"/>
      <c r="E30" s="963">
        <v>13</v>
      </c>
      <c r="F30" s="963"/>
      <c r="G30" s="963">
        <f t="shared" si="0"/>
        <v>-8</v>
      </c>
      <c r="H30" s="963">
        <f t="shared" si="1"/>
        <v>8</v>
      </c>
      <c r="I30" s="963" t="e">
        <f ca="1">IF(G30&lt;&gt;0,[1]!RANK_AVG(H30,$H$4:$H$33,1),"")</f>
        <v>#NAME?</v>
      </c>
      <c r="J30" s="963" t="str">
        <f t="shared" si="2"/>
        <v/>
      </c>
      <c r="K30" s="963" t="e">
        <f t="shared" ca="1" si="3"/>
        <v>#NAME?</v>
      </c>
    </row>
    <row r="31" spans="1:23">
      <c r="A31" s="297">
        <f t="shared" si="4"/>
        <v>28</v>
      </c>
      <c r="B31" s="297"/>
      <c r="C31" s="963">
        <v>5</v>
      </c>
      <c r="D31" s="963"/>
      <c r="E31" s="963">
        <v>11</v>
      </c>
      <c r="F31" s="963"/>
      <c r="G31" s="963">
        <f t="shared" si="0"/>
        <v>-6</v>
      </c>
      <c r="H31" s="963">
        <f t="shared" si="1"/>
        <v>6</v>
      </c>
      <c r="I31" s="963" t="e">
        <f ca="1">IF(G31&lt;&gt;0,[1]!RANK_AVG(H31,$H$4:$H$33,1),"")</f>
        <v>#NAME?</v>
      </c>
      <c r="J31" s="963" t="str">
        <f t="shared" si="2"/>
        <v/>
      </c>
      <c r="K31" s="963" t="e">
        <f t="shared" ca="1" si="3"/>
        <v>#NAME?</v>
      </c>
    </row>
    <row r="32" spans="1:23">
      <c r="A32" s="297">
        <f t="shared" si="4"/>
        <v>29</v>
      </c>
      <c r="B32" s="297"/>
      <c r="C32" s="963">
        <v>15</v>
      </c>
      <c r="D32" s="963"/>
      <c r="E32" s="963">
        <v>11</v>
      </c>
      <c r="F32" s="963"/>
      <c r="G32" s="963">
        <f t="shared" si="0"/>
        <v>4</v>
      </c>
      <c r="H32" s="963">
        <f t="shared" si="1"/>
        <v>4</v>
      </c>
      <c r="I32" s="963" t="e">
        <f ca="1">IF(G32&lt;&gt;0,[1]!RANK_AVG(H32,$H$4:$H$33,1),"")</f>
        <v>#NAME?</v>
      </c>
      <c r="J32" s="963" t="e">
        <f t="shared" ca="1" si="2"/>
        <v>#NAME?</v>
      </c>
      <c r="K32" s="963" t="str">
        <f t="shared" si="3"/>
        <v/>
      </c>
    </row>
    <row r="33" spans="1:11">
      <c r="A33" s="755">
        <f t="shared" si="4"/>
        <v>30</v>
      </c>
      <c r="B33" s="755"/>
      <c r="C33" s="755">
        <v>0</v>
      </c>
      <c r="D33" s="755"/>
      <c r="E33" s="755">
        <v>12</v>
      </c>
      <c r="F33" s="755"/>
      <c r="G33" s="964">
        <f t="shared" si="0"/>
        <v>-12</v>
      </c>
      <c r="H33" s="964">
        <f t="shared" si="1"/>
        <v>12</v>
      </c>
      <c r="I33" s="964" t="e">
        <f ca="1">IF(G33&lt;&gt;0,[1]!RANK_AVG(H33,$H$4:$H$33,1),"")</f>
        <v>#NAME?</v>
      </c>
      <c r="J33" s="964" t="str">
        <f t="shared" si="2"/>
        <v/>
      </c>
      <c r="K33" s="964" t="e">
        <f t="shared" ca="1" si="3"/>
        <v>#NAME?</v>
      </c>
    </row>
    <row r="34" spans="1:11">
      <c r="J34" s="201" t="e">
        <f ca="1">SUM(J4:J33)</f>
        <v>#NAME?</v>
      </c>
      <c r="K34" s="201" t="e">
        <f ca="1">SUM(K4:K33)</f>
        <v>#NAME?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sheetPr codeName="Sheet218"/>
  <dimension ref="A1:AN25"/>
  <sheetViews>
    <sheetView topLeftCell="W1" workbookViewId="0">
      <selection activeCell="AN12" sqref="AN12"/>
    </sheetView>
  </sheetViews>
  <sheetFormatPr defaultRowHeight="14.4"/>
  <cols>
    <col min="5" max="5" width="5.6640625" customWidth="1"/>
    <col min="8" max="8" width="4" customWidth="1"/>
    <col min="22" max="22" width="16.88671875" customWidth="1"/>
    <col min="27" max="27" width="16" customWidth="1"/>
    <col min="36" max="36" width="3.109375" customWidth="1"/>
    <col min="37" max="37" width="26.44140625" customWidth="1"/>
  </cols>
  <sheetData>
    <row r="1" spans="1:40">
      <c r="A1" s="1" t="s">
        <v>4118</v>
      </c>
      <c r="V1" t="s">
        <v>2116</v>
      </c>
      <c r="AA1" t="s">
        <v>4114</v>
      </c>
    </row>
    <row r="3" spans="1:40">
      <c r="A3" s="67" t="s">
        <v>178</v>
      </c>
      <c r="B3" s="68" t="s">
        <v>1794</v>
      </c>
      <c r="C3" s="68" t="s">
        <v>78</v>
      </c>
      <c r="D3" s="774" t="s">
        <v>1468</v>
      </c>
      <c r="F3" s="772" t="s">
        <v>642</v>
      </c>
      <c r="G3" s="743" t="e">
        <f ca="1">[1]!SRankPair(B4:C18)</f>
        <v>#NAME?</v>
      </c>
      <c r="J3" s="773" t="s">
        <v>178</v>
      </c>
      <c r="K3" s="774" t="s">
        <v>1794</v>
      </c>
      <c r="L3" s="774" t="s">
        <v>78</v>
      </c>
      <c r="M3" s="775" t="s">
        <v>1468</v>
      </c>
      <c r="N3" s="775" t="s">
        <v>1823</v>
      </c>
      <c r="O3" s="775" t="s">
        <v>548</v>
      </c>
      <c r="P3" s="775" t="s">
        <v>1850</v>
      </c>
      <c r="Q3" s="776" t="s">
        <v>1849</v>
      </c>
      <c r="S3" s="780" t="s">
        <v>642</v>
      </c>
      <c r="T3" s="743" t="e">
        <f ca="1">MIN(P19,Q19)</f>
        <v>#NAME?</v>
      </c>
      <c r="V3" t="s">
        <v>2713</v>
      </c>
      <c r="AA3" t="s">
        <v>2713</v>
      </c>
      <c r="AF3" t="s">
        <v>3747</v>
      </c>
      <c r="AI3" t="s">
        <v>4119</v>
      </c>
      <c r="AM3" t="s">
        <v>4121</v>
      </c>
    </row>
    <row r="4" spans="1:40">
      <c r="A4" s="724">
        <v>1</v>
      </c>
      <c r="B4" s="727">
        <v>50</v>
      </c>
      <c r="C4" s="712">
        <v>20</v>
      </c>
      <c r="D4" s="782">
        <f>B4-C4</f>
        <v>30</v>
      </c>
      <c r="F4" t="s">
        <v>106</v>
      </c>
      <c r="G4" s="627">
        <f>COUNTIF(B4:B18,"&lt;&gt;"&amp;20)</f>
        <v>14</v>
      </c>
      <c r="J4" s="777">
        <v>1</v>
      </c>
      <c r="K4" s="778">
        <v>50</v>
      </c>
      <c r="L4" s="779">
        <v>20</v>
      </c>
      <c r="M4" s="740">
        <f>K4-L4</f>
        <v>30</v>
      </c>
      <c r="N4" s="740">
        <f>IF(M4=0,"",ABS(M4))</f>
        <v>30</v>
      </c>
      <c r="O4" s="740" t="e">
        <f ca="1">IF(M4&lt;&gt;0,[1]!RANK_AVG(N4,$N$4:$N$18,1),"")</f>
        <v>#NAME?</v>
      </c>
      <c r="P4" s="740" t="e">
        <f ca="1">IF(M4&gt;0,O4,"")</f>
        <v>#NAME?</v>
      </c>
      <c r="Q4" s="618" t="str">
        <f>IF(M4&lt;0,O4,"")</f>
        <v/>
      </c>
      <c r="S4" t="s">
        <v>106</v>
      </c>
      <c r="T4" s="627">
        <f>COUNT(N4:N18)</f>
        <v>14</v>
      </c>
    </row>
    <row r="5" spans="1:40">
      <c r="A5" s="725">
        <f t="shared" ref="A5:A18" si="0">A4+1</f>
        <v>2</v>
      </c>
      <c r="B5" s="728">
        <v>15</v>
      </c>
      <c r="C5" s="714">
        <v>20</v>
      </c>
      <c r="D5" s="781">
        <f t="shared" ref="D5:D18" si="1">B5-C5</f>
        <v>-5</v>
      </c>
      <c r="F5" t="s">
        <v>1828</v>
      </c>
      <c r="G5" s="627">
        <f>'Signed Rank Table'!C15</f>
        <v>25</v>
      </c>
      <c r="J5" s="725">
        <f t="shared" ref="J5:J18" si="2">J4+1</f>
        <v>2</v>
      </c>
      <c r="K5" s="728">
        <v>15</v>
      </c>
      <c r="L5" s="714">
        <v>20</v>
      </c>
      <c r="M5" s="740">
        <f t="shared" ref="M5:M18" si="3">K5-L5</f>
        <v>-5</v>
      </c>
      <c r="N5" s="740">
        <f t="shared" ref="N5:N18" si="4">IF(M5=0,"",ABS(M5))</f>
        <v>5</v>
      </c>
      <c r="O5" s="740" t="e">
        <f ca="1">IF(M5&lt;&gt;0,[1]!RANK_AVG(N5,$N$4:$N$18,1),"")</f>
        <v>#NAME?</v>
      </c>
      <c r="P5" s="963" t="str">
        <f t="shared" ref="P5:P18" si="5">IF(M5&gt;0,O5,"")</f>
        <v/>
      </c>
      <c r="Q5" s="618" t="e">
        <f t="shared" ref="Q5:Q18" ca="1" si="6">IF(M5&lt;0,O5,"")</f>
        <v>#NAME?</v>
      </c>
      <c r="S5" t="s">
        <v>63</v>
      </c>
      <c r="T5" s="627">
        <f>T4*(T4+1)/4</f>
        <v>52.5</v>
      </c>
      <c r="V5" t="s">
        <v>2714</v>
      </c>
      <c r="W5" s="1355">
        <f>MEDIAN(B4:B18)</f>
        <v>12</v>
      </c>
      <c r="AA5" t="s">
        <v>2714</v>
      </c>
      <c r="AB5" s="1501">
        <f>MEDIAN(B4:B18)</f>
        <v>12</v>
      </c>
      <c r="AF5" t="e">
        <f t="array" aca="1" ref="AF5:AG11" ca="1">[1]!SRANK_TEST(B4:B18,C4,TRUE)</f>
        <v>#NAME?</v>
      </c>
      <c r="AG5" s="1235" t="e">
        <f ca="1"/>
        <v>#NAME?</v>
      </c>
      <c r="AI5" s="1235" t="e">
        <f ca="1">[1]!PERMDIST(AG5,G4,TRUE)</f>
        <v>#NAME?</v>
      </c>
      <c r="AK5" t="e">
        <f ca="1">[1]!FTEXT(AI5)</f>
        <v>#NAME?</v>
      </c>
      <c r="AM5" t="e">
        <f t="array" aca="1" ref="AM5:AN13" ca="1">[1]!SRANK_TEST(B4:B18,C4,TRUE)</f>
        <v>#NAME?</v>
      </c>
      <c r="AN5" s="1235" t="e">
        <f ca="1"/>
        <v>#NAME?</v>
      </c>
    </row>
    <row r="6" spans="1:40">
      <c r="A6" s="725">
        <f t="shared" si="0"/>
        <v>3</v>
      </c>
      <c r="B6" s="728">
        <v>25</v>
      </c>
      <c r="C6" s="714">
        <v>20</v>
      </c>
      <c r="D6" s="781">
        <f t="shared" si="1"/>
        <v>5</v>
      </c>
      <c r="F6" t="s">
        <v>200</v>
      </c>
      <c r="G6" s="544" t="e">
        <f ca="1">[1]!SRTEST(D4:D18)</f>
        <v>#NAME?</v>
      </c>
      <c r="J6" s="725">
        <f t="shared" si="2"/>
        <v>3</v>
      </c>
      <c r="K6" s="728">
        <v>25</v>
      </c>
      <c r="L6" s="714">
        <v>20</v>
      </c>
      <c r="M6" s="740">
        <f t="shared" si="3"/>
        <v>5</v>
      </c>
      <c r="N6" s="740">
        <f t="shared" si="4"/>
        <v>5</v>
      </c>
      <c r="O6" s="740" t="e">
        <f ca="1">IF(M6&lt;&gt;0,[1]!RANK_AVG(N6,$N$4:$N$18,1),"")</f>
        <v>#NAME?</v>
      </c>
      <c r="P6" s="740" t="e">
        <f t="shared" ca="1" si="5"/>
        <v>#NAME?</v>
      </c>
      <c r="Q6" s="618" t="str">
        <f t="shared" si="6"/>
        <v/>
      </c>
      <c r="S6" t="s">
        <v>1533</v>
      </c>
      <c r="T6" s="627">
        <f>T5*(2*T4+1)/6</f>
        <v>253.75</v>
      </c>
      <c r="V6" t="s">
        <v>2715</v>
      </c>
      <c r="W6" s="946">
        <v>20</v>
      </c>
      <c r="AA6" t="s">
        <v>2715</v>
      </c>
      <c r="AB6" s="946">
        <v>20</v>
      </c>
      <c r="AF6" t="e">
        <f ca="1"/>
        <v>#NAME?</v>
      </c>
      <c r="AG6" s="627" t="e">
        <f ca="1"/>
        <v>#NAME?</v>
      </c>
      <c r="AI6" s="544" t="e">
        <f ca="1">[1]!PERMINV(AG6,G4)</f>
        <v>#NAME?</v>
      </c>
      <c r="AK6" t="e">
        <f ca="1">[1]!FTEXT(AI6)</f>
        <v>#NAME?</v>
      </c>
      <c r="AM6" t="e">
        <f ca="1"/>
        <v>#NAME?</v>
      </c>
      <c r="AN6" s="627" t="e">
        <f ca="1"/>
        <v>#NAME?</v>
      </c>
    </row>
    <row r="7" spans="1:40">
      <c r="A7" s="725">
        <f t="shared" si="0"/>
        <v>4</v>
      </c>
      <c r="B7" s="728">
        <v>12</v>
      </c>
      <c r="C7" s="714">
        <v>20</v>
      </c>
      <c r="D7" s="781">
        <f t="shared" si="1"/>
        <v>-8</v>
      </c>
      <c r="J7" s="725">
        <f t="shared" si="2"/>
        <v>4</v>
      </c>
      <c r="K7" s="728">
        <v>12</v>
      </c>
      <c r="L7" s="714">
        <v>20</v>
      </c>
      <c r="M7" s="740">
        <f t="shared" si="3"/>
        <v>-8</v>
      </c>
      <c r="N7" s="740">
        <f t="shared" si="4"/>
        <v>8</v>
      </c>
      <c r="O7" s="740" t="e">
        <f ca="1">IF(M7&lt;&gt;0,[1]!RANK_AVG(N7,$N$4:$N$18,1),"")</f>
        <v>#NAME?</v>
      </c>
      <c r="P7" s="740" t="str">
        <f t="shared" si="5"/>
        <v/>
      </c>
      <c r="Q7" s="618" t="e">
        <f t="shared" ca="1" si="6"/>
        <v>#NAME?</v>
      </c>
      <c r="S7" t="s">
        <v>218</v>
      </c>
      <c r="T7" s="627">
        <f>SQRT(T6)</f>
        <v>15.929532322073991</v>
      </c>
      <c r="V7" t="s">
        <v>554</v>
      </c>
      <c r="W7" s="946">
        <f>COUNT(B4:B18)</f>
        <v>15</v>
      </c>
      <c r="AA7" t="s">
        <v>554</v>
      </c>
      <c r="AB7" s="946">
        <f>COUNT(B4:B18)</f>
        <v>15</v>
      </c>
      <c r="AF7" t="e">
        <f ca="1"/>
        <v>#NAME?</v>
      </c>
      <c r="AG7" s="627" t="e">
        <f ca="1"/>
        <v>#NAME?</v>
      </c>
      <c r="AM7" t="e">
        <f ca="1"/>
        <v>#NAME?</v>
      </c>
      <c r="AN7" s="627" t="e">
        <f ca="1"/>
        <v>#NAME?</v>
      </c>
    </row>
    <row r="8" spans="1:40">
      <c r="A8" s="725">
        <f t="shared" si="0"/>
        <v>5</v>
      </c>
      <c r="B8" s="728">
        <v>45</v>
      </c>
      <c r="C8" s="714">
        <v>20</v>
      </c>
      <c r="D8" s="781">
        <f t="shared" si="1"/>
        <v>25</v>
      </c>
      <c r="J8" s="725">
        <f t="shared" si="2"/>
        <v>5</v>
      </c>
      <c r="K8" s="728">
        <v>45</v>
      </c>
      <c r="L8" s="714">
        <v>20</v>
      </c>
      <c r="M8" s="740">
        <f t="shared" si="3"/>
        <v>25</v>
      </c>
      <c r="N8" s="740">
        <f t="shared" si="4"/>
        <v>25</v>
      </c>
      <c r="O8" s="740" t="e">
        <f ca="1">IF(M8&lt;&gt;0,[1]!RANK_AVG(N8,$N$4:$N$18,1),"")</f>
        <v>#NAME?</v>
      </c>
      <c r="P8" s="740" t="e">
        <f t="shared" ca="1" si="5"/>
        <v>#NAME?</v>
      </c>
      <c r="Q8" s="618" t="str">
        <f t="shared" si="6"/>
        <v/>
      </c>
      <c r="S8" t="s">
        <v>200</v>
      </c>
      <c r="T8" s="544" t="e">
        <f ca="1">NORMDIST(T3,T5,T7,TRUE)</f>
        <v>#NAME?</v>
      </c>
      <c r="V8" t="s">
        <v>2710</v>
      </c>
      <c r="W8" s="946">
        <f>SUMPRODUCT(--ISNUMBER(B4:B18),--(B4:B18&lt;&gt;W6))</f>
        <v>14</v>
      </c>
      <c r="AA8" t="s">
        <v>2710</v>
      </c>
      <c r="AB8" s="946">
        <f>SUMPRODUCT(--ISNUMBER(B4:B18),--(B4:B18&lt;&gt;AB6))</f>
        <v>14</v>
      </c>
      <c r="AF8" t="e">
        <f ca="1"/>
        <v>#NAME?</v>
      </c>
      <c r="AG8" s="627" t="e">
        <f ca="1"/>
        <v>#NAME?</v>
      </c>
      <c r="AI8" t="s">
        <v>4120</v>
      </c>
      <c r="AM8" t="e">
        <f ca="1"/>
        <v>#NAME?</v>
      </c>
      <c r="AN8" s="627" t="e">
        <f ca="1"/>
        <v>#NAME?</v>
      </c>
    </row>
    <row r="9" spans="1:40">
      <c r="A9" s="725">
        <f t="shared" si="0"/>
        <v>6</v>
      </c>
      <c r="B9" s="728">
        <v>3</v>
      </c>
      <c r="C9" s="714">
        <v>20</v>
      </c>
      <c r="D9" s="781">
        <f t="shared" si="1"/>
        <v>-17</v>
      </c>
      <c r="J9" s="725">
        <f t="shared" si="2"/>
        <v>6</v>
      </c>
      <c r="K9" s="728">
        <v>3</v>
      </c>
      <c r="L9" s="714">
        <v>20</v>
      </c>
      <c r="M9" s="740">
        <f t="shared" si="3"/>
        <v>-17</v>
      </c>
      <c r="N9" s="740">
        <f t="shared" si="4"/>
        <v>17</v>
      </c>
      <c r="O9" s="740" t="e">
        <f ca="1">IF(M9&lt;&gt;0,[1]!RANK_AVG(N9,$N$4:$N$18,1),"")</f>
        <v>#NAME?</v>
      </c>
      <c r="P9" s="740" t="str">
        <f t="shared" si="5"/>
        <v/>
      </c>
      <c r="Q9" s="618" t="e">
        <f t="shared" ca="1" si="6"/>
        <v>#NAME?</v>
      </c>
      <c r="V9" t="s">
        <v>2711</v>
      </c>
      <c r="W9" s="946" t="e">
        <f ca="1">IF(W17&lt;=0,W11,W8*(W8+1)/2)</f>
        <v>#NAME?</v>
      </c>
      <c r="AA9" t="s">
        <v>2711</v>
      </c>
      <c r="AB9" s="946" t="e">
        <f ca="1">IF(AB17&lt;=0,AB11,AB8*(AB8+1)/2)</f>
        <v>#NAME?</v>
      </c>
      <c r="AF9" t="e">
        <f ca="1"/>
        <v>#NAME?</v>
      </c>
      <c r="AG9" s="627" t="e">
        <f ca="1"/>
        <v>#NAME?</v>
      </c>
      <c r="AM9" t="e">
        <f ca="1"/>
        <v>#NAME?</v>
      </c>
      <c r="AN9" s="627" t="e">
        <f ca="1"/>
        <v>#NAME?</v>
      </c>
    </row>
    <row r="10" spans="1:40">
      <c r="A10" s="725">
        <f t="shared" si="0"/>
        <v>7</v>
      </c>
      <c r="B10" s="728">
        <v>45</v>
      </c>
      <c r="C10" s="714">
        <v>20</v>
      </c>
      <c r="D10" s="781">
        <f t="shared" si="1"/>
        <v>25</v>
      </c>
      <c r="J10" s="725">
        <f t="shared" si="2"/>
        <v>7</v>
      </c>
      <c r="K10" s="728">
        <v>45</v>
      </c>
      <c r="L10" s="714">
        <v>20</v>
      </c>
      <c r="M10" s="740">
        <f t="shared" si="3"/>
        <v>25</v>
      </c>
      <c r="N10" s="740">
        <f t="shared" si="4"/>
        <v>25</v>
      </c>
      <c r="O10" s="740" t="e">
        <f ca="1">IF(M10&lt;&gt;0,[1]!RANK_AVG(N10,$N$4:$N$18,1),"")</f>
        <v>#NAME?</v>
      </c>
      <c r="P10" s="740" t="e">
        <f t="shared" ca="1" si="5"/>
        <v>#NAME?</v>
      </c>
      <c r="Q10" s="618" t="str">
        <f t="shared" si="6"/>
        <v/>
      </c>
      <c r="V10" t="s">
        <v>2712</v>
      </c>
      <c r="W10" s="946" t="e">
        <f ca="1">W8*(W8+1)/2-W9</f>
        <v>#NAME?</v>
      </c>
      <c r="AA10" t="s">
        <v>2712</v>
      </c>
      <c r="AB10" s="946" t="e">
        <f ca="1">AB8*(AB8+1)/2-AB9</f>
        <v>#NAME?</v>
      </c>
      <c r="AF10" t="e">
        <f ca="1"/>
        <v>#NAME?</v>
      </c>
      <c r="AG10" s="627" t="e">
        <f ca="1"/>
        <v>#NAME?</v>
      </c>
      <c r="AI10" s="1235" t="e">
        <f ca="1">2*[1]!PERMDIST(AG5,G4,TRUE)</f>
        <v>#NAME?</v>
      </c>
      <c r="AK10" t="e">
        <f ca="1">[1]!FTEXT(AI10)</f>
        <v>#NAME?</v>
      </c>
      <c r="AM10" t="e">
        <f ca="1"/>
        <v>#NAME?</v>
      </c>
      <c r="AN10" s="627" t="e">
        <f ca="1"/>
        <v>#NAME?</v>
      </c>
    </row>
    <row r="11" spans="1:40">
      <c r="A11" s="725">
        <f t="shared" si="0"/>
        <v>8</v>
      </c>
      <c r="B11" s="728">
        <v>8</v>
      </c>
      <c r="C11" s="714">
        <v>20</v>
      </c>
      <c r="D11" s="781">
        <f t="shared" si="1"/>
        <v>-12</v>
      </c>
      <c r="J11" s="725">
        <f t="shared" si="2"/>
        <v>8</v>
      </c>
      <c r="K11" s="728">
        <v>8</v>
      </c>
      <c r="L11" s="714">
        <v>20</v>
      </c>
      <c r="M11" s="740">
        <f t="shared" si="3"/>
        <v>-12</v>
      </c>
      <c r="N11" s="740">
        <f t="shared" si="4"/>
        <v>12</v>
      </c>
      <c r="O11" s="740" t="e">
        <f ca="1">IF(M11&lt;&gt;0,[1]!RANK_AVG(N11,$N$4:$N$18,1),"")</f>
        <v>#NAME?</v>
      </c>
      <c r="P11" s="740" t="str">
        <f t="shared" si="5"/>
        <v/>
      </c>
      <c r="Q11" s="618" t="e">
        <f t="shared" ca="1" si="6"/>
        <v>#NAME?</v>
      </c>
      <c r="V11" t="s">
        <v>642</v>
      </c>
      <c r="W11" s="1073" t="e">
        <f ca="1">[1]!SRank(B4:B18,W6)</f>
        <v>#NAME?</v>
      </c>
      <c r="AA11" t="s">
        <v>642</v>
      </c>
      <c r="AB11" s="1073" t="e">
        <f ca="1">[1]!SRank(B4:B18,AB6)</f>
        <v>#NAME?</v>
      </c>
      <c r="AF11" t="e">
        <f ca="1"/>
        <v>#NAME?</v>
      </c>
      <c r="AG11" s="544" t="e">
        <f ca="1"/>
        <v>#NAME?</v>
      </c>
      <c r="AI11" s="544" t="e">
        <f ca="1">[1]!PERMINV(AG6/2,G4)</f>
        <v>#NAME?</v>
      </c>
      <c r="AK11" t="e">
        <f ca="1">[1]!FTEXT(AI11)</f>
        <v>#NAME?</v>
      </c>
      <c r="AM11" t="e">
        <f ca="1"/>
        <v>#NAME?</v>
      </c>
      <c r="AN11" s="627" t="e">
        <f ca="1"/>
        <v>#NAME?</v>
      </c>
    </row>
    <row r="12" spans="1:40">
      <c r="A12" s="725">
        <f t="shared" si="0"/>
        <v>9</v>
      </c>
      <c r="B12" s="728">
        <v>10</v>
      </c>
      <c r="C12" s="714">
        <v>20</v>
      </c>
      <c r="D12" s="781">
        <f t="shared" si="1"/>
        <v>-10</v>
      </c>
      <c r="J12" s="725">
        <f t="shared" si="2"/>
        <v>9</v>
      </c>
      <c r="K12" s="728">
        <v>10</v>
      </c>
      <c r="L12" s="714">
        <v>20</v>
      </c>
      <c r="M12" s="740">
        <f t="shared" si="3"/>
        <v>-10</v>
      </c>
      <c r="N12" s="740">
        <f t="shared" si="4"/>
        <v>10</v>
      </c>
      <c r="O12" s="740" t="e">
        <f ca="1">IF(M12&lt;&gt;0,[1]!RANK_AVG(N12,$N$4:$N$18,1),"")</f>
        <v>#NAME?</v>
      </c>
      <c r="P12" s="740" t="str">
        <f t="shared" si="5"/>
        <v/>
      </c>
      <c r="Q12" s="618" t="e">
        <f t="shared" ca="1" si="6"/>
        <v>#NAME?</v>
      </c>
      <c r="AM12" t="e">
        <f ca="1"/>
        <v>#NAME?</v>
      </c>
      <c r="AN12" s="627" t="e">
        <f ca="1"/>
        <v>#NAME?</v>
      </c>
    </row>
    <row r="13" spans="1:40">
      <c r="A13" s="725">
        <f t="shared" si="0"/>
        <v>10</v>
      </c>
      <c r="B13" s="728">
        <v>8</v>
      </c>
      <c r="C13" s="714">
        <v>20</v>
      </c>
      <c r="D13" s="781">
        <f t="shared" si="1"/>
        <v>-12</v>
      </c>
      <c r="J13" s="725">
        <f t="shared" si="2"/>
        <v>10</v>
      </c>
      <c r="K13" s="728">
        <v>8</v>
      </c>
      <c r="L13" s="714">
        <v>20</v>
      </c>
      <c r="M13" s="740">
        <f t="shared" si="3"/>
        <v>-12</v>
      </c>
      <c r="N13" s="740">
        <f t="shared" si="4"/>
        <v>12</v>
      </c>
      <c r="O13" s="740" t="e">
        <f ca="1">IF(M13&lt;&gt;0,[1]!RANK_AVG(N13,$N$4:$N$18,1),"")</f>
        <v>#NAME?</v>
      </c>
      <c r="P13" s="740" t="str">
        <f t="shared" si="5"/>
        <v/>
      </c>
      <c r="Q13" s="618" t="e">
        <f t="shared" ca="1" si="6"/>
        <v>#NAME?</v>
      </c>
      <c r="W13" s="19" t="s">
        <v>2722</v>
      </c>
      <c r="X13" s="19" t="s">
        <v>2723</v>
      </c>
      <c r="AB13" s="19" t="s">
        <v>2722</v>
      </c>
      <c r="AC13" s="19" t="s">
        <v>2723</v>
      </c>
      <c r="AM13" t="e">
        <f ca="1"/>
        <v>#NAME?</v>
      </c>
      <c r="AN13" s="544" t="e">
        <f ca="1"/>
        <v>#NAME?</v>
      </c>
    </row>
    <row r="14" spans="1:40">
      <c r="A14" s="725">
        <f t="shared" si="0"/>
        <v>11</v>
      </c>
      <c r="B14" s="728">
        <v>7</v>
      </c>
      <c r="C14" s="714">
        <v>20</v>
      </c>
      <c r="D14" s="781">
        <f t="shared" si="1"/>
        <v>-13</v>
      </c>
      <c r="J14" s="725">
        <f t="shared" si="2"/>
        <v>11</v>
      </c>
      <c r="K14" s="728">
        <v>7</v>
      </c>
      <c r="L14" s="714">
        <v>20</v>
      </c>
      <c r="M14" s="740">
        <f t="shared" si="3"/>
        <v>-13</v>
      </c>
      <c r="N14" s="740">
        <f t="shared" si="4"/>
        <v>13</v>
      </c>
      <c r="O14" s="740" t="e">
        <f ca="1">IF(M14&lt;&gt;0,[1]!RANK_AVG(N14,$N$4:$N$18,1),"")</f>
        <v>#NAME?</v>
      </c>
      <c r="P14" s="740" t="str">
        <f t="shared" si="5"/>
        <v/>
      </c>
      <c r="Q14" s="618" t="e">
        <f t="shared" ca="1" si="6"/>
        <v>#NAME?</v>
      </c>
      <c r="V14" t="s">
        <v>337</v>
      </c>
      <c r="W14" s="1138">
        <v>0.05</v>
      </c>
      <c r="AA14" t="s">
        <v>337</v>
      </c>
      <c r="AB14" s="1441">
        <v>0.05</v>
      </c>
    </row>
    <row r="15" spans="1:40">
      <c r="A15" s="725">
        <f t="shared" si="0"/>
        <v>12</v>
      </c>
      <c r="B15" s="728">
        <v>20</v>
      </c>
      <c r="C15" s="714">
        <v>20</v>
      </c>
      <c r="D15" s="781">
        <f t="shared" si="1"/>
        <v>0</v>
      </c>
      <c r="J15" s="725">
        <f t="shared" si="2"/>
        <v>12</v>
      </c>
      <c r="K15" s="728">
        <v>20</v>
      </c>
      <c r="L15" s="714">
        <v>20</v>
      </c>
      <c r="M15" s="740">
        <f t="shared" si="3"/>
        <v>0</v>
      </c>
      <c r="N15" s="740" t="str">
        <f t="shared" si="4"/>
        <v/>
      </c>
      <c r="O15" s="740" t="str">
        <f>IF(M15&lt;&gt;0,[1]!RANK_AVG(N15,$N$4:$N$18,1),"")</f>
        <v/>
      </c>
      <c r="P15" s="740" t="str">
        <f t="shared" si="5"/>
        <v/>
      </c>
      <c r="Q15" s="618" t="str">
        <f t="shared" si="6"/>
        <v/>
      </c>
      <c r="V15" t="s">
        <v>63</v>
      </c>
      <c r="W15" s="946">
        <f>W8*(W8+1)/4</f>
        <v>52.5</v>
      </c>
      <c r="AA15" t="s">
        <v>63</v>
      </c>
      <c r="AB15" s="946">
        <f>AB8*(AB8+1)/4</f>
        <v>52.5</v>
      </c>
    </row>
    <row r="16" spans="1:40">
      <c r="A16" s="725">
        <f t="shared" si="0"/>
        <v>13</v>
      </c>
      <c r="B16" s="728">
        <v>9</v>
      </c>
      <c r="C16" s="714">
        <v>20</v>
      </c>
      <c r="D16" s="781">
        <f t="shared" si="1"/>
        <v>-11</v>
      </c>
      <c r="J16" s="725">
        <f t="shared" si="2"/>
        <v>13</v>
      </c>
      <c r="K16" s="728">
        <v>9</v>
      </c>
      <c r="L16" s="714">
        <v>20</v>
      </c>
      <c r="M16" s="740">
        <f t="shared" si="3"/>
        <v>-11</v>
      </c>
      <c r="N16" s="740">
        <f t="shared" si="4"/>
        <v>11</v>
      </c>
      <c r="O16" s="740" t="e">
        <f ca="1">IF(M16&lt;&gt;0,[1]!RANK_AVG(N16,$N$4:$N$18,1),"")</f>
        <v>#NAME?</v>
      </c>
      <c r="P16" s="740" t="str">
        <f t="shared" si="5"/>
        <v/>
      </c>
      <c r="Q16" s="618" t="e">
        <f t="shared" ca="1" si="6"/>
        <v>#NAME?</v>
      </c>
      <c r="V16" t="s">
        <v>218</v>
      </c>
      <c r="W16" s="946">
        <f>SQRT(W15*(2*W8+1)/6)</f>
        <v>15.929532322073991</v>
      </c>
      <c r="AA16" t="s">
        <v>218</v>
      </c>
      <c r="AB16" s="946" t="e">
        <f ca="1">SQRT(AB15*(2*AB8+1)/6)-[1]!TiesCorrection(B4:B18)/48</f>
        <v>#NAME?</v>
      </c>
    </row>
    <row r="17" spans="1:29">
      <c r="A17" s="725">
        <f t="shared" si="0"/>
        <v>14</v>
      </c>
      <c r="B17" s="728">
        <v>9</v>
      </c>
      <c r="C17" s="714">
        <v>20</v>
      </c>
      <c r="D17" s="781">
        <f t="shared" si="1"/>
        <v>-11</v>
      </c>
      <c r="J17" s="725">
        <f t="shared" si="2"/>
        <v>14</v>
      </c>
      <c r="K17" s="728">
        <v>9</v>
      </c>
      <c r="L17" s="714">
        <v>20</v>
      </c>
      <c r="M17" s="740">
        <f t="shared" si="3"/>
        <v>-11</v>
      </c>
      <c r="N17" s="740">
        <f t="shared" si="4"/>
        <v>11</v>
      </c>
      <c r="O17" s="740" t="e">
        <f ca="1">IF(M17&lt;&gt;0,[1]!RANK_AVG(N17,$N$4:$N$18,1),"")</f>
        <v>#NAME?</v>
      </c>
      <c r="P17" s="740" t="str">
        <f t="shared" si="5"/>
        <v/>
      </c>
      <c r="Q17" s="618" t="e">
        <f t="shared" ca="1" si="6"/>
        <v>#NAME?</v>
      </c>
      <c r="V17" t="s">
        <v>1730</v>
      </c>
      <c r="W17" s="946" t="e">
        <f ca="1">STANDARDIZE(W11,W15,W16)</f>
        <v>#NAME?</v>
      </c>
      <c r="AA17" t="s">
        <v>1730</v>
      </c>
      <c r="AB17" s="946" t="e">
        <f ca="1">STANDARDIZE(AB11,AB15,AB16)</f>
        <v>#NAME?</v>
      </c>
    </row>
    <row r="18" spans="1:29">
      <c r="A18" s="726">
        <f t="shared" si="0"/>
        <v>15</v>
      </c>
      <c r="B18" s="729">
        <v>12</v>
      </c>
      <c r="C18" s="713">
        <v>20</v>
      </c>
      <c r="D18" s="783">
        <f t="shared" si="1"/>
        <v>-8</v>
      </c>
      <c r="J18" s="726">
        <f t="shared" si="2"/>
        <v>15</v>
      </c>
      <c r="K18" s="729">
        <v>12</v>
      </c>
      <c r="L18" s="713">
        <v>20</v>
      </c>
      <c r="M18" s="739">
        <f t="shared" si="3"/>
        <v>-8</v>
      </c>
      <c r="N18" s="739">
        <f t="shared" si="4"/>
        <v>8</v>
      </c>
      <c r="O18" s="739" t="e">
        <f ca="1">IF(M18&lt;&gt;0,[1]!RANK_AVG(N18,$N$4:$N$18,1),"")</f>
        <v>#NAME?</v>
      </c>
      <c r="P18" s="739" t="str">
        <f t="shared" si="5"/>
        <v/>
      </c>
      <c r="Q18" s="536" t="e">
        <f t="shared" ca="1" si="6"/>
        <v>#NAME?</v>
      </c>
      <c r="V18" t="s">
        <v>1478</v>
      </c>
      <c r="W18" s="946" t="e">
        <f ca="1">ABS(W17)/SQRT(W7)</f>
        <v>#NAME?</v>
      </c>
      <c r="AA18" t="s">
        <v>1478</v>
      </c>
      <c r="AB18" s="946" t="e">
        <f ca="1">ABS(AB17)/SQRT(AB7)</f>
        <v>#NAME?</v>
      </c>
    </row>
    <row r="19" spans="1:29">
      <c r="O19" s="738"/>
      <c r="P19" s="201" t="e">
        <f ca="1">SUM(P4:P18)</f>
        <v>#NAME?</v>
      </c>
      <c r="Q19" s="201" t="e">
        <f ca="1">SUM(Q4:Q18)</f>
        <v>#NAME?</v>
      </c>
      <c r="V19" t="s">
        <v>1828</v>
      </c>
      <c r="W19" s="1138">
        <f>W15+W16*NORMSINV(W14)-0.5</f>
        <v>25.798250984395882</v>
      </c>
      <c r="X19" s="1233">
        <f>W15+W16*NORMSINV(W14/2)-0.5</f>
        <v>20.778690358168284</v>
      </c>
      <c r="AA19" t="s">
        <v>1828</v>
      </c>
      <c r="AB19" s="1441" t="e">
        <f ca="1">AB15+AB16*NORMSINV(AB14)-0.5</f>
        <v>#NAME?</v>
      </c>
      <c r="AC19" s="1233" t="e">
        <f ca="1">AB15+AB16*NORMSINV(AB14/2)-0.5</f>
        <v>#NAME?</v>
      </c>
    </row>
    <row r="20" spans="1:29">
      <c r="V20" t="s">
        <v>200</v>
      </c>
      <c r="W20" s="946" t="e">
        <f ca="1">NORMSDIST(W17)</f>
        <v>#NAME?</v>
      </c>
      <c r="X20" s="132" t="e">
        <f ca="1">2*W20</f>
        <v>#NAME?</v>
      </c>
      <c r="AA20" t="s">
        <v>200</v>
      </c>
      <c r="AB20" s="946" t="e">
        <f ca="1">NORMSDIST(AB17)</f>
        <v>#NAME?</v>
      </c>
      <c r="AC20" s="132" t="e">
        <f ca="1">2*AB20</f>
        <v>#NAME?</v>
      </c>
    </row>
    <row r="21" spans="1:29">
      <c r="F21" t="s">
        <v>1939</v>
      </c>
      <c r="V21" t="s">
        <v>948</v>
      </c>
      <c r="W21" s="1074" t="e">
        <f ca="1">IF(W20&lt;W14,"yes","no")</f>
        <v>#NAME?</v>
      </c>
      <c r="X21" s="1333" t="e">
        <f ca="1">IF(X20&lt;W14,"yes","no")</f>
        <v>#NAME?</v>
      </c>
      <c r="AA21" t="s">
        <v>948</v>
      </c>
      <c r="AB21" s="1074" t="e">
        <f ca="1">IF(AB20&lt;AB14,"yes","no")</f>
        <v>#NAME?</v>
      </c>
      <c r="AC21" s="1333" t="e">
        <f ca="1">IF(AC20&lt;AB14,"yes","no")</f>
        <v>#NAME?</v>
      </c>
    </row>
    <row r="23" spans="1:29">
      <c r="F23" t="s">
        <v>2120</v>
      </c>
      <c r="G23" s="1235" t="e">
        <f ca="1">[1]!SRank(D4:D18)</f>
        <v>#NAME?</v>
      </c>
      <c r="I23" s="1235" t="e">
        <f ca="1">[1]!SRank(B4:B18,20)</f>
        <v>#NAME?</v>
      </c>
      <c r="V23" t="s">
        <v>1828</v>
      </c>
      <c r="W23" s="1138" t="e">
        <f ca="1">[1]!SRankCRIT(W8,W14,1)</f>
        <v>#NAME?</v>
      </c>
      <c r="X23" s="1138" t="e">
        <f ca="1">[1]!SRankCRIT(W8,W14,2)</f>
        <v>#NAME?</v>
      </c>
      <c r="AA23" t="s">
        <v>1828</v>
      </c>
      <c r="AB23" s="1441" t="e">
        <f ca="1">[1]!SRankCRIT(AB8,AB14,1)</f>
        <v>#NAME?</v>
      </c>
      <c r="AC23" s="1441" t="e">
        <f ca="1">[1]!SRankCRIT(AB8,AB14,2)</f>
        <v>#NAME?</v>
      </c>
    </row>
    <row r="24" spans="1:29">
      <c r="F24" t="s">
        <v>2121</v>
      </c>
      <c r="G24" s="627" t="e">
        <f ca="1">[1]!SRTEST(D4:D18)</f>
        <v>#NAME?</v>
      </c>
      <c r="I24" s="627" t="e">
        <f ca="1">[1]!SRTEST(B4:B18,20)</f>
        <v>#NAME?</v>
      </c>
      <c r="V24" t="s">
        <v>4115</v>
      </c>
      <c r="W24" s="1074" t="e">
        <f ca="1">IF(W11&lt;W23,"yes","no")</f>
        <v>#NAME?</v>
      </c>
      <c r="X24" s="1074" t="e">
        <f ca="1">IF(W11&lt;X23,"yes","no")</f>
        <v>#NAME?</v>
      </c>
      <c r="AA24" t="s">
        <v>4115</v>
      </c>
      <c r="AB24" s="1074" t="e">
        <f ca="1">IF(AB11&lt;AB23,"yes","no")</f>
        <v>#NAME?</v>
      </c>
      <c r="AC24" s="1074" t="e">
        <f ca="1">IF(AB11&lt;AC23,"yes","no")</f>
        <v>#NAME?</v>
      </c>
    </row>
    <row r="25" spans="1:29">
      <c r="F25" t="s">
        <v>3475</v>
      </c>
      <c r="G25" s="544" t="e">
        <f ca="1">[1]!SRTEST(D4:D18,,2)</f>
        <v>#NAME?</v>
      </c>
      <c r="I25" s="544" t="e">
        <f ca="1">[1]!SRTEST(B4:B18,20,2)</f>
        <v>#NAME?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sheetPr codeName="Sheet366"/>
  <dimension ref="A1:BM17"/>
  <sheetViews>
    <sheetView workbookViewId="0">
      <selection sqref="A1:XFD1048576"/>
    </sheetView>
  </sheetViews>
  <sheetFormatPr defaultRowHeight="14.4"/>
  <cols>
    <col min="1" max="1" width="4.88671875" customWidth="1"/>
    <col min="2" max="65" width="5.6640625" customWidth="1"/>
  </cols>
  <sheetData>
    <row r="1" spans="1:65">
      <c r="A1" s="1" t="s">
        <v>4196</v>
      </c>
    </row>
    <row r="3" spans="1:65">
      <c r="A3" t="s">
        <v>106</v>
      </c>
      <c r="B3" s="756">
        <v>6</v>
      </c>
    </row>
    <row r="5" spans="1:65">
      <c r="B5">
        <v>1</v>
      </c>
      <c r="C5">
        <f>B5+1</f>
        <v>2</v>
      </c>
      <c r="D5">
        <f t="shared" ref="D5:BM5" si="0">C5+1</f>
        <v>3</v>
      </c>
      <c r="E5">
        <f t="shared" si="0"/>
        <v>4</v>
      </c>
      <c r="F5">
        <f t="shared" si="0"/>
        <v>5</v>
      </c>
      <c r="G5">
        <f t="shared" si="0"/>
        <v>6</v>
      </c>
      <c r="H5">
        <f t="shared" si="0"/>
        <v>7</v>
      </c>
      <c r="I5">
        <f t="shared" si="0"/>
        <v>8</v>
      </c>
      <c r="J5">
        <f t="shared" si="0"/>
        <v>9</v>
      </c>
      <c r="K5">
        <f t="shared" si="0"/>
        <v>10</v>
      </c>
      <c r="L5">
        <f t="shared" si="0"/>
        <v>11</v>
      </c>
      <c r="M5">
        <f t="shared" si="0"/>
        <v>12</v>
      </c>
      <c r="N5">
        <f t="shared" si="0"/>
        <v>13</v>
      </c>
      <c r="O5">
        <f t="shared" si="0"/>
        <v>14</v>
      </c>
      <c r="P5">
        <f t="shared" si="0"/>
        <v>15</v>
      </c>
      <c r="Q5">
        <f t="shared" si="0"/>
        <v>16</v>
      </c>
      <c r="R5">
        <f t="shared" si="0"/>
        <v>17</v>
      </c>
      <c r="S5">
        <f t="shared" si="0"/>
        <v>18</v>
      </c>
      <c r="T5">
        <f t="shared" si="0"/>
        <v>19</v>
      </c>
      <c r="U5">
        <f t="shared" si="0"/>
        <v>20</v>
      </c>
      <c r="V5">
        <f t="shared" si="0"/>
        <v>21</v>
      </c>
      <c r="W5">
        <f t="shared" si="0"/>
        <v>22</v>
      </c>
      <c r="X5">
        <f t="shared" si="0"/>
        <v>23</v>
      </c>
      <c r="Y5">
        <f t="shared" si="0"/>
        <v>24</v>
      </c>
      <c r="Z5">
        <f t="shared" si="0"/>
        <v>25</v>
      </c>
      <c r="AA5">
        <f t="shared" si="0"/>
        <v>26</v>
      </c>
      <c r="AB5">
        <f t="shared" si="0"/>
        <v>27</v>
      </c>
      <c r="AC5">
        <f t="shared" si="0"/>
        <v>28</v>
      </c>
      <c r="AD5">
        <f t="shared" si="0"/>
        <v>29</v>
      </c>
      <c r="AE5">
        <f t="shared" si="0"/>
        <v>30</v>
      </c>
      <c r="AF5">
        <f t="shared" si="0"/>
        <v>31</v>
      </c>
      <c r="AG5">
        <f t="shared" si="0"/>
        <v>32</v>
      </c>
      <c r="AH5">
        <f t="shared" si="0"/>
        <v>33</v>
      </c>
      <c r="AI5">
        <f t="shared" si="0"/>
        <v>34</v>
      </c>
      <c r="AJ5">
        <f t="shared" si="0"/>
        <v>35</v>
      </c>
      <c r="AK5">
        <f t="shared" si="0"/>
        <v>36</v>
      </c>
      <c r="AL5">
        <f t="shared" si="0"/>
        <v>37</v>
      </c>
      <c r="AM5">
        <f t="shared" si="0"/>
        <v>38</v>
      </c>
      <c r="AN5">
        <f t="shared" si="0"/>
        <v>39</v>
      </c>
      <c r="AO5">
        <f t="shared" si="0"/>
        <v>40</v>
      </c>
      <c r="AP5">
        <f t="shared" si="0"/>
        <v>41</v>
      </c>
      <c r="AQ5">
        <f t="shared" si="0"/>
        <v>42</v>
      </c>
      <c r="AR5">
        <f t="shared" si="0"/>
        <v>43</v>
      </c>
      <c r="AS5">
        <f t="shared" si="0"/>
        <v>44</v>
      </c>
      <c r="AT5">
        <f t="shared" si="0"/>
        <v>45</v>
      </c>
      <c r="AU5">
        <f t="shared" si="0"/>
        <v>46</v>
      </c>
      <c r="AV5">
        <f t="shared" si="0"/>
        <v>47</v>
      </c>
      <c r="AW5">
        <f t="shared" si="0"/>
        <v>48</v>
      </c>
      <c r="AX5">
        <f t="shared" si="0"/>
        <v>49</v>
      </c>
      <c r="AY5">
        <f t="shared" si="0"/>
        <v>50</v>
      </c>
      <c r="AZ5">
        <f t="shared" si="0"/>
        <v>51</v>
      </c>
      <c r="BA5">
        <f t="shared" si="0"/>
        <v>52</v>
      </c>
      <c r="BB5">
        <f t="shared" si="0"/>
        <v>53</v>
      </c>
      <c r="BC5">
        <f t="shared" si="0"/>
        <v>54</v>
      </c>
      <c r="BD5">
        <f t="shared" si="0"/>
        <v>55</v>
      </c>
      <c r="BE5">
        <f t="shared" si="0"/>
        <v>56</v>
      </c>
      <c r="BF5">
        <f t="shared" si="0"/>
        <v>57</v>
      </c>
      <c r="BG5">
        <f t="shared" si="0"/>
        <v>58</v>
      </c>
      <c r="BH5">
        <f t="shared" si="0"/>
        <v>59</v>
      </c>
      <c r="BI5">
        <f t="shared" si="0"/>
        <v>60</v>
      </c>
      <c r="BJ5">
        <f t="shared" si="0"/>
        <v>61</v>
      </c>
      <c r="BK5">
        <f t="shared" si="0"/>
        <v>62</v>
      </c>
      <c r="BL5">
        <f t="shared" si="0"/>
        <v>63</v>
      </c>
      <c r="BM5">
        <f t="shared" si="0"/>
        <v>64</v>
      </c>
    </row>
    <row r="6" spans="1:65">
      <c r="A6">
        <v>1</v>
      </c>
      <c r="B6" s="1236">
        <v>1</v>
      </c>
      <c r="C6" s="1152">
        <v>1</v>
      </c>
      <c r="D6" s="1152">
        <v>1</v>
      </c>
      <c r="E6" s="1152">
        <v>1</v>
      </c>
      <c r="F6" s="1152">
        <v>1</v>
      </c>
      <c r="G6" s="1152">
        <v>1</v>
      </c>
      <c r="H6" s="1152">
        <v>1</v>
      </c>
      <c r="I6" s="1152">
        <v>1</v>
      </c>
      <c r="J6" s="1152">
        <v>1</v>
      </c>
      <c r="K6" s="1152">
        <v>1</v>
      </c>
      <c r="L6" s="1152">
        <v>1</v>
      </c>
      <c r="M6" s="1152">
        <v>1</v>
      </c>
      <c r="N6" s="1152">
        <v>1</v>
      </c>
      <c r="O6" s="1152">
        <v>1</v>
      </c>
      <c r="P6" s="1152">
        <v>1</v>
      </c>
      <c r="Q6" s="1152">
        <v>1</v>
      </c>
      <c r="R6" s="1152">
        <v>1</v>
      </c>
      <c r="S6" s="1152">
        <v>1</v>
      </c>
      <c r="T6" s="1152">
        <v>1</v>
      </c>
      <c r="U6" s="1152">
        <v>1</v>
      </c>
      <c r="V6" s="1152">
        <v>1</v>
      </c>
      <c r="W6" s="1152">
        <v>1</v>
      </c>
      <c r="X6" s="1152">
        <v>1</v>
      </c>
      <c r="Y6" s="1152">
        <v>1</v>
      </c>
      <c r="Z6" s="1152">
        <v>1</v>
      </c>
      <c r="AA6" s="1152">
        <v>1</v>
      </c>
      <c r="AB6" s="1152">
        <v>1</v>
      </c>
      <c r="AC6" s="1152">
        <v>1</v>
      </c>
      <c r="AD6" s="1152">
        <v>1</v>
      </c>
      <c r="AE6" s="1152">
        <v>1</v>
      </c>
      <c r="AF6" s="1152">
        <v>1</v>
      </c>
      <c r="AG6" s="1152">
        <v>1</v>
      </c>
      <c r="AH6" s="1152">
        <v>0</v>
      </c>
      <c r="AI6" s="1152">
        <v>0</v>
      </c>
      <c r="AJ6" s="1152">
        <v>0</v>
      </c>
      <c r="AK6" s="1152">
        <v>0</v>
      </c>
      <c r="AL6" s="1152">
        <v>0</v>
      </c>
      <c r="AM6" s="1152">
        <v>0</v>
      </c>
      <c r="AN6" s="1152">
        <v>0</v>
      </c>
      <c r="AO6" s="1152">
        <v>0</v>
      </c>
      <c r="AP6" s="1152">
        <v>0</v>
      </c>
      <c r="AQ6" s="1152">
        <v>0</v>
      </c>
      <c r="AR6" s="1152">
        <v>0</v>
      </c>
      <c r="AS6" s="1152">
        <v>0</v>
      </c>
      <c r="AT6" s="1152">
        <v>0</v>
      </c>
      <c r="AU6" s="1152">
        <v>0</v>
      </c>
      <c r="AV6" s="1152">
        <v>0</v>
      </c>
      <c r="AW6" s="1152">
        <v>0</v>
      </c>
      <c r="AX6" s="1152">
        <v>0</v>
      </c>
      <c r="AY6" s="1152">
        <v>0</v>
      </c>
      <c r="AZ6" s="1152">
        <v>0</v>
      </c>
      <c r="BA6" s="1152">
        <v>0</v>
      </c>
      <c r="BB6" s="1152">
        <v>0</v>
      </c>
      <c r="BC6" s="1152">
        <v>0</v>
      </c>
      <c r="BD6" s="1152">
        <v>0</v>
      </c>
      <c r="BE6" s="1152">
        <v>0</v>
      </c>
      <c r="BF6" s="1152">
        <v>0</v>
      </c>
      <c r="BG6" s="1152">
        <v>0</v>
      </c>
      <c r="BH6" s="1152">
        <v>0</v>
      </c>
      <c r="BI6" s="1152">
        <v>0</v>
      </c>
      <c r="BJ6" s="1152">
        <v>0</v>
      </c>
      <c r="BK6" s="1152">
        <v>0</v>
      </c>
      <c r="BL6" s="1152">
        <v>0</v>
      </c>
      <c r="BM6" s="1237">
        <v>0</v>
      </c>
    </row>
    <row r="7" spans="1:65">
      <c r="A7">
        <f>A6+1</f>
        <v>2</v>
      </c>
      <c r="B7" s="656">
        <v>1</v>
      </c>
      <c r="C7" s="8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1</v>
      </c>
      <c r="AI7" s="8">
        <v>1</v>
      </c>
      <c r="AJ7" s="8">
        <v>1</v>
      </c>
      <c r="AK7" s="8">
        <v>1</v>
      </c>
      <c r="AL7" s="8">
        <v>1</v>
      </c>
      <c r="AM7" s="8">
        <v>1</v>
      </c>
      <c r="AN7" s="8">
        <v>1</v>
      </c>
      <c r="AO7" s="8">
        <v>1</v>
      </c>
      <c r="AP7" s="8">
        <v>1</v>
      </c>
      <c r="AQ7" s="8">
        <v>1</v>
      </c>
      <c r="AR7" s="8">
        <v>1</v>
      </c>
      <c r="AS7" s="8">
        <v>1</v>
      </c>
      <c r="AT7" s="8">
        <v>1</v>
      </c>
      <c r="AU7" s="8">
        <v>1</v>
      </c>
      <c r="AV7" s="8">
        <v>1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657">
        <v>0</v>
      </c>
    </row>
    <row r="8" spans="1:65">
      <c r="A8">
        <f>A7+1</f>
        <v>3</v>
      </c>
      <c r="B8" s="656">
        <v>1</v>
      </c>
      <c r="C8" s="8">
        <v>1</v>
      </c>
      <c r="D8" s="8">
        <v>1</v>
      </c>
      <c r="E8" s="8">
        <v>1</v>
      </c>
      <c r="F8" s="8">
        <v>1</v>
      </c>
      <c r="G8" s="8">
        <v>1</v>
      </c>
      <c r="H8" s="8">
        <v>1</v>
      </c>
      <c r="I8" s="8">
        <v>1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8">
        <v>1</v>
      </c>
      <c r="X8" s="8">
        <v>1</v>
      </c>
      <c r="Y8" s="8">
        <v>1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1</v>
      </c>
      <c r="AI8" s="8">
        <v>1</v>
      </c>
      <c r="AJ8" s="8">
        <v>1</v>
      </c>
      <c r="AK8" s="8">
        <v>1</v>
      </c>
      <c r="AL8" s="8">
        <v>1</v>
      </c>
      <c r="AM8" s="8">
        <v>1</v>
      </c>
      <c r="AN8" s="8">
        <v>1</v>
      </c>
      <c r="AO8" s="8">
        <v>1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1</v>
      </c>
      <c r="AY8" s="8">
        <v>1</v>
      </c>
      <c r="AZ8" s="8">
        <v>1</v>
      </c>
      <c r="BA8" s="8">
        <v>1</v>
      </c>
      <c r="BB8" s="8">
        <v>1</v>
      </c>
      <c r="BC8" s="8">
        <v>1</v>
      </c>
      <c r="BD8" s="8">
        <v>1</v>
      </c>
      <c r="BE8" s="8">
        <v>1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657">
        <v>0</v>
      </c>
    </row>
    <row r="9" spans="1:65">
      <c r="A9">
        <f>A8+1</f>
        <v>4</v>
      </c>
      <c r="B9" s="656">
        <v>1</v>
      </c>
      <c r="C9" s="8">
        <v>1</v>
      </c>
      <c r="D9" s="8">
        <v>1</v>
      </c>
      <c r="E9" s="8">
        <v>1</v>
      </c>
      <c r="F9" s="8">
        <v>0</v>
      </c>
      <c r="G9" s="8">
        <v>0</v>
      </c>
      <c r="H9" s="8">
        <v>0</v>
      </c>
      <c r="I9" s="8">
        <v>0</v>
      </c>
      <c r="J9" s="8">
        <v>1</v>
      </c>
      <c r="K9" s="8">
        <v>1</v>
      </c>
      <c r="L9" s="8">
        <v>1</v>
      </c>
      <c r="M9" s="8">
        <v>1</v>
      </c>
      <c r="N9" s="8">
        <v>0</v>
      </c>
      <c r="O9" s="8">
        <v>0</v>
      </c>
      <c r="P9" s="8">
        <v>0</v>
      </c>
      <c r="Q9" s="8">
        <v>0</v>
      </c>
      <c r="R9" s="8">
        <v>1</v>
      </c>
      <c r="S9" s="8">
        <v>1</v>
      </c>
      <c r="T9" s="8">
        <v>1</v>
      </c>
      <c r="U9" s="8">
        <v>1</v>
      </c>
      <c r="V9" s="8">
        <v>0</v>
      </c>
      <c r="W9" s="8">
        <v>0</v>
      </c>
      <c r="X9" s="8">
        <v>0</v>
      </c>
      <c r="Y9" s="8">
        <v>0</v>
      </c>
      <c r="Z9" s="8">
        <v>1</v>
      </c>
      <c r="AA9" s="8">
        <v>1</v>
      </c>
      <c r="AB9" s="8">
        <v>1</v>
      </c>
      <c r="AC9" s="8">
        <v>1</v>
      </c>
      <c r="AD9" s="8">
        <v>0</v>
      </c>
      <c r="AE9" s="8">
        <v>0</v>
      </c>
      <c r="AF9" s="8">
        <v>0</v>
      </c>
      <c r="AG9" s="8">
        <v>0</v>
      </c>
      <c r="AH9" s="8">
        <v>1</v>
      </c>
      <c r="AI9" s="8">
        <v>1</v>
      </c>
      <c r="AJ9" s="8">
        <v>1</v>
      </c>
      <c r="AK9" s="8">
        <v>1</v>
      </c>
      <c r="AL9" s="8">
        <v>0</v>
      </c>
      <c r="AM9" s="8">
        <v>0</v>
      </c>
      <c r="AN9" s="8">
        <v>0</v>
      </c>
      <c r="AO9" s="8">
        <v>0</v>
      </c>
      <c r="AP9" s="8">
        <v>1</v>
      </c>
      <c r="AQ9" s="8">
        <v>1</v>
      </c>
      <c r="AR9" s="8">
        <v>1</v>
      </c>
      <c r="AS9" s="8">
        <v>1</v>
      </c>
      <c r="AT9" s="8">
        <v>0</v>
      </c>
      <c r="AU9" s="8">
        <v>0</v>
      </c>
      <c r="AV9" s="8">
        <v>0</v>
      </c>
      <c r="AW9" s="8">
        <v>0</v>
      </c>
      <c r="AX9" s="8">
        <v>1</v>
      </c>
      <c r="AY9" s="8">
        <v>1</v>
      </c>
      <c r="AZ9" s="8">
        <v>1</v>
      </c>
      <c r="BA9" s="8">
        <v>1</v>
      </c>
      <c r="BB9" s="8">
        <v>0</v>
      </c>
      <c r="BC9" s="8">
        <v>0</v>
      </c>
      <c r="BD9" s="8">
        <v>0</v>
      </c>
      <c r="BE9" s="8">
        <v>0</v>
      </c>
      <c r="BF9" s="8">
        <v>1</v>
      </c>
      <c r="BG9" s="8">
        <v>1</v>
      </c>
      <c r="BH9" s="8">
        <v>1</v>
      </c>
      <c r="BI9" s="8">
        <v>1</v>
      </c>
      <c r="BJ9" s="8">
        <v>0</v>
      </c>
      <c r="BK9" s="8">
        <v>0</v>
      </c>
      <c r="BL9" s="8">
        <v>0</v>
      </c>
      <c r="BM9" s="657">
        <v>0</v>
      </c>
    </row>
    <row r="10" spans="1:65">
      <c r="A10">
        <f>A9+1</f>
        <v>5</v>
      </c>
      <c r="B10" s="656">
        <v>1</v>
      </c>
      <c r="C10" s="8">
        <v>1</v>
      </c>
      <c r="D10" s="8">
        <v>0</v>
      </c>
      <c r="E10" s="8">
        <v>0</v>
      </c>
      <c r="F10" s="8">
        <v>1</v>
      </c>
      <c r="G10" s="8">
        <v>1</v>
      </c>
      <c r="H10" s="8">
        <v>0</v>
      </c>
      <c r="I10" s="8">
        <v>0</v>
      </c>
      <c r="J10" s="8">
        <v>1</v>
      </c>
      <c r="K10" s="8">
        <v>1</v>
      </c>
      <c r="L10" s="8">
        <v>0</v>
      </c>
      <c r="M10" s="8">
        <v>0</v>
      </c>
      <c r="N10" s="8">
        <v>1</v>
      </c>
      <c r="O10" s="8">
        <v>1</v>
      </c>
      <c r="P10" s="8">
        <v>0</v>
      </c>
      <c r="Q10" s="8">
        <v>0</v>
      </c>
      <c r="R10" s="8">
        <v>1</v>
      </c>
      <c r="S10" s="8">
        <v>1</v>
      </c>
      <c r="T10" s="8">
        <v>0</v>
      </c>
      <c r="U10" s="8">
        <v>0</v>
      </c>
      <c r="V10" s="8">
        <v>1</v>
      </c>
      <c r="W10" s="8">
        <v>1</v>
      </c>
      <c r="X10" s="8">
        <v>0</v>
      </c>
      <c r="Y10" s="8">
        <v>0</v>
      </c>
      <c r="Z10" s="8">
        <v>1</v>
      </c>
      <c r="AA10" s="8">
        <v>1</v>
      </c>
      <c r="AB10" s="8">
        <v>0</v>
      </c>
      <c r="AC10" s="8">
        <v>0</v>
      </c>
      <c r="AD10" s="8">
        <v>1</v>
      </c>
      <c r="AE10" s="8">
        <v>1</v>
      </c>
      <c r="AF10" s="8">
        <v>0</v>
      </c>
      <c r="AG10" s="8">
        <v>0</v>
      </c>
      <c r="AH10" s="8">
        <v>1</v>
      </c>
      <c r="AI10" s="8">
        <v>1</v>
      </c>
      <c r="AJ10" s="8">
        <v>0</v>
      </c>
      <c r="AK10" s="8">
        <v>0</v>
      </c>
      <c r="AL10" s="8">
        <v>1</v>
      </c>
      <c r="AM10" s="8">
        <v>1</v>
      </c>
      <c r="AN10" s="8">
        <v>0</v>
      </c>
      <c r="AO10" s="8">
        <v>0</v>
      </c>
      <c r="AP10" s="8">
        <v>1</v>
      </c>
      <c r="AQ10" s="8">
        <v>1</v>
      </c>
      <c r="AR10" s="8">
        <v>0</v>
      </c>
      <c r="AS10" s="8">
        <v>0</v>
      </c>
      <c r="AT10" s="8">
        <v>1</v>
      </c>
      <c r="AU10" s="8">
        <v>1</v>
      </c>
      <c r="AV10" s="8">
        <v>0</v>
      </c>
      <c r="AW10" s="8">
        <v>0</v>
      </c>
      <c r="AX10" s="8">
        <v>1</v>
      </c>
      <c r="AY10" s="8">
        <v>1</v>
      </c>
      <c r="AZ10" s="8">
        <v>0</v>
      </c>
      <c r="BA10" s="8">
        <v>0</v>
      </c>
      <c r="BB10" s="8">
        <v>1</v>
      </c>
      <c r="BC10" s="8">
        <v>1</v>
      </c>
      <c r="BD10" s="8">
        <v>0</v>
      </c>
      <c r="BE10" s="8">
        <v>0</v>
      </c>
      <c r="BF10" s="8">
        <v>1</v>
      </c>
      <c r="BG10" s="8">
        <v>1</v>
      </c>
      <c r="BH10" s="8">
        <v>0</v>
      </c>
      <c r="BI10" s="8">
        <v>0</v>
      </c>
      <c r="BJ10" s="8">
        <v>1</v>
      </c>
      <c r="BK10" s="8">
        <v>1</v>
      </c>
      <c r="BL10" s="8">
        <v>0</v>
      </c>
      <c r="BM10" s="657">
        <v>0</v>
      </c>
    </row>
    <row r="11" spans="1:65">
      <c r="A11">
        <f>A10+1</f>
        <v>6</v>
      </c>
      <c r="B11" s="533">
        <v>1</v>
      </c>
      <c r="C11" s="1078">
        <v>0</v>
      </c>
      <c r="D11" s="1078">
        <v>1</v>
      </c>
      <c r="E11" s="1078">
        <v>0</v>
      </c>
      <c r="F11" s="1078">
        <v>1</v>
      </c>
      <c r="G11" s="1078">
        <v>0</v>
      </c>
      <c r="H11" s="1078">
        <v>1</v>
      </c>
      <c r="I11" s="1078">
        <v>0</v>
      </c>
      <c r="J11" s="1078">
        <v>1</v>
      </c>
      <c r="K11" s="1078">
        <v>0</v>
      </c>
      <c r="L11" s="1078">
        <v>1</v>
      </c>
      <c r="M11" s="1078">
        <v>0</v>
      </c>
      <c r="N11" s="1078">
        <v>1</v>
      </c>
      <c r="O11" s="1078">
        <v>0</v>
      </c>
      <c r="P11" s="1078">
        <v>1</v>
      </c>
      <c r="Q11" s="1078">
        <v>0</v>
      </c>
      <c r="R11" s="1078">
        <v>1</v>
      </c>
      <c r="S11" s="1078">
        <v>0</v>
      </c>
      <c r="T11" s="1078">
        <v>1</v>
      </c>
      <c r="U11" s="1078">
        <v>0</v>
      </c>
      <c r="V11" s="1078">
        <v>1</v>
      </c>
      <c r="W11" s="1078">
        <v>0</v>
      </c>
      <c r="X11" s="1078">
        <v>1</v>
      </c>
      <c r="Y11" s="1078">
        <v>0</v>
      </c>
      <c r="Z11" s="1078">
        <v>1</v>
      </c>
      <c r="AA11" s="1078">
        <v>0</v>
      </c>
      <c r="AB11" s="1078">
        <v>1</v>
      </c>
      <c r="AC11" s="1078">
        <v>0</v>
      </c>
      <c r="AD11" s="1078">
        <v>1</v>
      </c>
      <c r="AE11" s="1078">
        <v>0</v>
      </c>
      <c r="AF11" s="1078">
        <v>1</v>
      </c>
      <c r="AG11" s="1078">
        <v>0</v>
      </c>
      <c r="AH11" s="1078">
        <v>1</v>
      </c>
      <c r="AI11" s="1078">
        <v>0</v>
      </c>
      <c r="AJ11" s="1078">
        <v>1</v>
      </c>
      <c r="AK11" s="1078">
        <v>0</v>
      </c>
      <c r="AL11" s="1078">
        <v>1</v>
      </c>
      <c r="AM11" s="1078">
        <v>0</v>
      </c>
      <c r="AN11" s="1078">
        <v>1</v>
      </c>
      <c r="AO11" s="1078">
        <v>0</v>
      </c>
      <c r="AP11" s="1078">
        <v>1</v>
      </c>
      <c r="AQ11" s="1078">
        <v>0</v>
      </c>
      <c r="AR11" s="1078">
        <v>1</v>
      </c>
      <c r="AS11" s="1078">
        <v>0</v>
      </c>
      <c r="AT11" s="1078">
        <v>1</v>
      </c>
      <c r="AU11" s="1078">
        <v>0</v>
      </c>
      <c r="AV11" s="1078">
        <v>1</v>
      </c>
      <c r="AW11" s="1078">
        <v>0</v>
      </c>
      <c r="AX11" s="1078">
        <v>1</v>
      </c>
      <c r="AY11" s="1078">
        <v>0</v>
      </c>
      <c r="AZ11" s="1078">
        <v>1</v>
      </c>
      <c r="BA11" s="1078">
        <v>0</v>
      </c>
      <c r="BB11" s="1078">
        <v>1</v>
      </c>
      <c r="BC11" s="1078">
        <v>0</v>
      </c>
      <c r="BD11" s="1078">
        <v>1</v>
      </c>
      <c r="BE11" s="1078">
        <v>0</v>
      </c>
      <c r="BF11" s="1078">
        <v>1</v>
      </c>
      <c r="BG11" s="1078">
        <v>0</v>
      </c>
      <c r="BH11" s="1078">
        <v>1</v>
      </c>
      <c r="BI11" s="1078">
        <v>0</v>
      </c>
      <c r="BJ11" s="1078">
        <v>1</v>
      </c>
      <c r="BK11" s="1078">
        <v>0</v>
      </c>
      <c r="BL11" s="1078">
        <v>1</v>
      </c>
      <c r="BM11" s="541">
        <v>0</v>
      </c>
    </row>
    <row r="12" spans="1:65">
      <c r="B12">
        <f>SUMPRODUCT($A6:$A11,B6:B11)</f>
        <v>21</v>
      </c>
      <c r="C12">
        <f t="shared" ref="C12:BM12" si="1">SUMPRODUCT($A6:$A11,C6:C11)</f>
        <v>15</v>
      </c>
      <c r="D12">
        <f t="shared" si="1"/>
        <v>16</v>
      </c>
      <c r="E12">
        <f t="shared" si="1"/>
        <v>10</v>
      </c>
      <c r="F12">
        <f t="shared" si="1"/>
        <v>17</v>
      </c>
      <c r="G12">
        <f t="shared" si="1"/>
        <v>11</v>
      </c>
      <c r="H12">
        <f t="shared" si="1"/>
        <v>12</v>
      </c>
      <c r="I12">
        <f t="shared" si="1"/>
        <v>6</v>
      </c>
      <c r="J12">
        <f t="shared" si="1"/>
        <v>18</v>
      </c>
      <c r="K12">
        <f t="shared" si="1"/>
        <v>12</v>
      </c>
      <c r="L12">
        <f t="shared" si="1"/>
        <v>13</v>
      </c>
      <c r="M12">
        <f t="shared" si="1"/>
        <v>7</v>
      </c>
      <c r="N12">
        <f t="shared" si="1"/>
        <v>14</v>
      </c>
      <c r="O12">
        <f t="shared" si="1"/>
        <v>8</v>
      </c>
      <c r="P12">
        <f t="shared" si="1"/>
        <v>9</v>
      </c>
      <c r="Q12">
        <f t="shared" si="1"/>
        <v>3</v>
      </c>
      <c r="R12">
        <f t="shared" si="1"/>
        <v>19</v>
      </c>
      <c r="S12">
        <f t="shared" si="1"/>
        <v>13</v>
      </c>
      <c r="T12">
        <f t="shared" si="1"/>
        <v>14</v>
      </c>
      <c r="U12">
        <f t="shared" si="1"/>
        <v>8</v>
      </c>
      <c r="V12">
        <f t="shared" si="1"/>
        <v>15</v>
      </c>
      <c r="W12">
        <f t="shared" si="1"/>
        <v>9</v>
      </c>
      <c r="X12">
        <f t="shared" si="1"/>
        <v>10</v>
      </c>
      <c r="Y12">
        <f t="shared" si="1"/>
        <v>4</v>
      </c>
      <c r="Z12">
        <f t="shared" si="1"/>
        <v>16</v>
      </c>
      <c r="AA12">
        <f t="shared" si="1"/>
        <v>10</v>
      </c>
      <c r="AB12">
        <f t="shared" si="1"/>
        <v>11</v>
      </c>
      <c r="AC12">
        <f t="shared" si="1"/>
        <v>5</v>
      </c>
      <c r="AD12">
        <f t="shared" si="1"/>
        <v>12</v>
      </c>
      <c r="AE12">
        <f t="shared" si="1"/>
        <v>6</v>
      </c>
      <c r="AF12">
        <f t="shared" si="1"/>
        <v>7</v>
      </c>
      <c r="AG12">
        <f t="shared" si="1"/>
        <v>1</v>
      </c>
      <c r="AH12">
        <f t="shared" si="1"/>
        <v>20</v>
      </c>
      <c r="AI12">
        <f t="shared" si="1"/>
        <v>14</v>
      </c>
      <c r="AJ12">
        <f t="shared" si="1"/>
        <v>15</v>
      </c>
      <c r="AK12">
        <f t="shared" si="1"/>
        <v>9</v>
      </c>
      <c r="AL12">
        <f t="shared" si="1"/>
        <v>16</v>
      </c>
      <c r="AM12">
        <f t="shared" si="1"/>
        <v>10</v>
      </c>
      <c r="AN12">
        <f t="shared" si="1"/>
        <v>11</v>
      </c>
      <c r="AO12">
        <f t="shared" si="1"/>
        <v>5</v>
      </c>
      <c r="AP12">
        <f t="shared" si="1"/>
        <v>17</v>
      </c>
      <c r="AQ12">
        <f t="shared" si="1"/>
        <v>11</v>
      </c>
      <c r="AR12">
        <f t="shared" si="1"/>
        <v>12</v>
      </c>
      <c r="AS12">
        <f t="shared" si="1"/>
        <v>6</v>
      </c>
      <c r="AT12">
        <f t="shared" si="1"/>
        <v>13</v>
      </c>
      <c r="AU12">
        <f t="shared" si="1"/>
        <v>7</v>
      </c>
      <c r="AV12">
        <f t="shared" si="1"/>
        <v>8</v>
      </c>
      <c r="AW12">
        <f t="shared" si="1"/>
        <v>2</v>
      </c>
      <c r="AX12">
        <f t="shared" si="1"/>
        <v>18</v>
      </c>
      <c r="AY12">
        <f t="shared" si="1"/>
        <v>12</v>
      </c>
      <c r="AZ12">
        <f t="shared" si="1"/>
        <v>13</v>
      </c>
      <c r="BA12">
        <f t="shared" si="1"/>
        <v>7</v>
      </c>
      <c r="BB12">
        <f t="shared" si="1"/>
        <v>14</v>
      </c>
      <c r="BC12">
        <f t="shared" si="1"/>
        <v>8</v>
      </c>
      <c r="BD12">
        <f t="shared" si="1"/>
        <v>9</v>
      </c>
      <c r="BE12">
        <f t="shared" si="1"/>
        <v>3</v>
      </c>
      <c r="BF12">
        <f t="shared" si="1"/>
        <v>15</v>
      </c>
      <c r="BG12">
        <f t="shared" si="1"/>
        <v>9</v>
      </c>
      <c r="BH12">
        <f t="shared" si="1"/>
        <v>10</v>
      </c>
      <c r="BI12">
        <f t="shared" si="1"/>
        <v>4</v>
      </c>
      <c r="BJ12">
        <f t="shared" si="1"/>
        <v>11</v>
      </c>
      <c r="BK12">
        <f t="shared" si="1"/>
        <v>5</v>
      </c>
      <c r="BL12">
        <f t="shared" si="1"/>
        <v>6</v>
      </c>
      <c r="BM12">
        <f t="shared" si="1"/>
        <v>0</v>
      </c>
    </row>
    <row r="14" spans="1:65">
      <c r="A14" s="19" t="s">
        <v>2711</v>
      </c>
      <c r="B14">
        <v>0</v>
      </c>
      <c r="C14">
        <f>B14+1</f>
        <v>1</v>
      </c>
      <c r="D14">
        <f t="shared" ref="D14:W14" si="2">C14+1</f>
        <v>2</v>
      </c>
      <c r="E14">
        <f t="shared" si="2"/>
        <v>3</v>
      </c>
      <c r="F14">
        <f t="shared" si="2"/>
        <v>4</v>
      </c>
      <c r="G14">
        <f t="shared" si="2"/>
        <v>5</v>
      </c>
      <c r="H14">
        <f t="shared" si="2"/>
        <v>6</v>
      </c>
      <c r="I14">
        <f t="shared" si="2"/>
        <v>7</v>
      </c>
      <c r="J14">
        <f t="shared" si="2"/>
        <v>8</v>
      </c>
      <c r="K14">
        <f t="shared" si="2"/>
        <v>9</v>
      </c>
      <c r="L14">
        <f t="shared" si="2"/>
        <v>10</v>
      </c>
      <c r="M14">
        <f t="shared" si="2"/>
        <v>11</v>
      </c>
      <c r="N14">
        <f t="shared" si="2"/>
        <v>12</v>
      </c>
      <c r="O14">
        <f t="shared" si="2"/>
        <v>13</v>
      </c>
      <c r="P14">
        <f t="shared" si="2"/>
        <v>14</v>
      </c>
      <c r="Q14">
        <f t="shared" si="2"/>
        <v>15</v>
      </c>
      <c r="R14">
        <f t="shared" si="2"/>
        <v>16</v>
      </c>
      <c r="S14">
        <f t="shared" si="2"/>
        <v>17</v>
      </c>
      <c r="T14">
        <f t="shared" si="2"/>
        <v>18</v>
      </c>
      <c r="U14">
        <f t="shared" si="2"/>
        <v>19</v>
      </c>
      <c r="V14">
        <f t="shared" si="2"/>
        <v>20</v>
      </c>
      <c r="W14">
        <f t="shared" si="2"/>
        <v>21</v>
      </c>
    </row>
    <row r="15" spans="1:65">
      <c r="A15" s="19" t="s">
        <v>100</v>
      </c>
      <c r="B15" s="1236">
        <f>COUNTIF($B12:$BM12,B14)</f>
        <v>1</v>
      </c>
      <c r="C15" s="1152">
        <f t="shared" ref="C15:W15" si="3">COUNTIF($B12:$BM12,C14)</f>
        <v>1</v>
      </c>
      <c r="D15" s="1152">
        <f t="shared" si="3"/>
        <v>1</v>
      </c>
      <c r="E15" s="1152">
        <f t="shared" si="3"/>
        <v>2</v>
      </c>
      <c r="F15" s="1152">
        <f t="shared" si="3"/>
        <v>2</v>
      </c>
      <c r="G15" s="1152">
        <f t="shared" si="3"/>
        <v>3</v>
      </c>
      <c r="H15" s="1152">
        <f t="shared" si="3"/>
        <v>4</v>
      </c>
      <c r="I15" s="1152">
        <f t="shared" si="3"/>
        <v>4</v>
      </c>
      <c r="J15" s="1152">
        <f>COUNTIF($B12:$BM12,J14)</f>
        <v>4</v>
      </c>
      <c r="K15" s="1152">
        <f t="shared" si="3"/>
        <v>5</v>
      </c>
      <c r="L15" s="1152">
        <f t="shared" si="3"/>
        <v>5</v>
      </c>
      <c r="M15" s="1152">
        <f t="shared" si="3"/>
        <v>5</v>
      </c>
      <c r="N15" s="1152">
        <f t="shared" si="3"/>
        <v>5</v>
      </c>
      <c r="O15" s="1152">
        <f t="shared" si="3"/>
        <v>4</v>
      </c>
      <c r="P15" s="1152">
        <f t="shared" si="3"/>
        <v>4</v>
      </c>
      <c r="Q15" s="1152">
        <f t="shared" si="3"/>
        <v>4</v>
      </c>
      <c r="R15" s="1152">
        <f t="shared" si="3"/>
        <v>3</v>
      </c>
      <c r="S15" s="1152">
        <f t="shared" si="3"/>
        <v>2</v>
      </c>
      <c r="T15" s="1152">
        <f t="shared" si="3"/>
        <v>2</v>
      </c>
      <c r="U15" s="1152">
        <f t="shared" si="3"/>
        <v>1</v>
      </c>
      <c r="V15" s="1152">
        <f t="shared" si="3"/>
        <v>1</v>
      </c>
      <c r="W15" s="1237">
        <f t="shared" si="3"/>
        <v>1</v>
      </c>
      <c r="X15" s="66">
        <f>SUM(B15:W15)</f>
        <v>64</v>
      </c>
    </row>
    <row r="16" spans="1:65">
      <c r="A16" s="19" t="s">
        <v>1707</v>
      </c>
      <c r="B16" s="656">
        <f>B15/$X15</f>
        <v>1.5625E-2</v>
      </c>
      <c r="C16" s="8">
        <f t="shared" ref="C16:W16" si="4">C15/$X15</f>
        <v>1.5625E-2</v>
      </c>
      <c r="D16" s="8">
        <f t="shared" si="4"/>
        <v>1.5625E-2</v>
      </c>
      <c r="E16" s="8">
        <f t="shared" si="4"/>
        <v>3.125E-2</v>
      </c>
      <c r="F16" s="8">
        <f t="shared" si="4"/>
        <v>3.125E-2</v>
      </c>
      <c r="G16" s="8">
        <f t="shared" si="4"/>
        <v>4.6875E-2</v>
      </c>
      <c r="H16" s="8">
        <f t="shared" si="4"/>
        <v>6.25E-2</v>
      </c>
      <c r="I16" s="8">
        <f t="shared" si="4"/>
        <v>6.25E-2</v>
      </c>
      <c r="J16" s="8">
        <f t="shared" si="4"/>
        <v>6.25E-2</v>
      </c>
      <c r="K16" s="8">
        <f t="shared" si="4"/>
        <v>7.8125E-2</v>
      </c>
      <c r="L16" s="8">
        <f t="shared" si="4"/>
        <v>7.8125E-2</v>
      </c>
      <c r="M16" s="8">
        <f t="shared" si="4"/>
        <v>7.8125E-2</v>
      </c>
      <c r="N16" s="8">
        <f t="shared" si="4"/>
        <v>7.8125E-2</v>
      </c>
      <c r="O16" s="8">
        <f t="shared" si="4"/>
        <v>6.25E-2</v>
      </c>
      <c r="P16" s="8">
        <f t="shared" si="4"/>
        <v>6.25E-2</v>
      </c>
      <c r="Q16" s="8">
        <f t="shared" si="4"/>
        <v>6.25E-2</v>
      </c>
      <c r="R16" s="8">
        <f t="shared" si="4"/>
        <v>4.6875E-2</v>
      </c>
      <c r="S16" s="8">
        <f t="shared" si="4"/>
        <v>3.125E-2</v>
      </c>
      <c r="T16" s="8">
        <f t="shared" si="4"/>
        <v>3.125E-2</v>
      </c>
      <c r="U16" s="8">
        <f t="shared" si="4"/>
        <v>1.5625E-2</v>
      </c>
      <c r="V16" s="8">
        <f t="shared" si="4"/>
        <v>1.5625E-2</v>
      </c>
      <c r="W16" s="657">
        <f t="shared" si="4"/>
        <v>1.5625E-2</v>
      </c>
    </row>
    <row r="17" spans="1:23">
      <c r="A17" s="43" t="s">
        <v>2948</v>
      </c>
      <c r="B17" s="533">
        <f>B16</f>
        <v>1.5625E-2</v>
      </c>
      <c r="C17" s="1078">
        <f>B17+C16</f>
        <v>3.125E-2</v>
      </c>
      <c r="D17" s="1078">
        <f t="shared" ref="D17:W17" si="5">C17+D16</f>
        <v>4.6875E-2</v>
      </c>
      <c r="E17" s="1078">
        <f t="shared" si="5"/>
        <v>7.8125E-2</v>
      </c>
      <c r="F17" s="1078">
        <f t="shared" si="5"/>
        <v>0.109375</v>
      </c>
      <c r="G17" s="1078">
        <f t="shared" si="5"/>
        <v>0.15625</v>
      </c>
      <c r="H17" s="1078">
        <f t="shared" si="5"/>
        <v>0.21875</v>
      </c>
      <c r="I17" s="1078">
        <f t="shared" si="5"/>
        <v>0.28125</v>
      </c>
      <c r="J17" s="1078">
        <f t="shared" si="5"/>
        <v>0.34375</v>
      </c>
      <c r="K17" s="1078">
        <f t="shared" si="5"/>
        <v>0.421875</v>
      </c>
      <c r="L17" s="1078">
        <f t="shared" si="5"/>
        <v>0.5</v>
      </c>
      <c r="M17" s="1078">
        <f t="shared" si="5"/>
        <v>0.578125</v>
      </c>
      <c r="N17" s="1078">
        <f t="shared" si="5"/>
        <v>0.65625</v>
      </c>
      <c r="O17" s="1078">
        <f t="shared" si="5"/>
        <v>0.71875</v>
      </c>
      <c r="P17" s="1078">
        <f t="shared" si="5"/>
        <v>0.78125</v>
      </c>
      <c r="Q17" s="1078">
        <f t="shared" si="5"/>
        <v>0.84375</v>
      </c>
      <c r="R17" s="1078">
        <f t="shared" si="5"/>
        <v>0.890625</v>
      </c>
      <c r="S17" s="1078">
        <f t="shared" si="5"/>
        <v>0.921875</v>
      </c>
      <c r="T17" s="1078">
        <f t="shared" si="5"/>
        <v>0.953125</v>
      </c>
      <c r="U17" s="1078">
        <f t="shared" si="5"/>
        <v>0.96875</v>
      </c>
      <c r="V17" s="1078">
        <f t="shared" si="5"/>
        <v>0.984375</v>
      </c>
      <c r="W17" s="541">
        <f t="shared" si="5"/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sheetPr codeName="Sheet377"/>
  <dimension ref="A1:K11"/>
  <sheetViews>
    <sheetView workbookViewId="0">
      <selection activeCell="J3" sqref="J3"/>
    </sheetView>
  </sheetViews>
  <sheetFormatPr defaultRowHeight="14.4"/>
  <sheetData>
    <row r="1" spans="1:11">
      <c r="A1" s="1" t="s">
        <v>4197</v>
      </c>
    </row>
    <row r="3" spans="1:11">
      <c r="A3" s="773" t="s">
        <v>178</v>
      </c>
      <c r="B3" s="774" t="s">
        <v>1794</v>
      </c>
      <c r="C3" s="774" t="s">
        <v>78</v>
      </c>
      <c r="D3" s="775" t="s">
        <v>1468</v>
      </c>
      <c r="E3" s="775" t="s">
        <v>1823</v>
      </c>
      <c r="F3" s="775" t="s">
        <v>548</v>
      </c>
      <c r="G3" s="775" t="s">
        <v>1850</v>
      </c>
      <c r="H3" s="776" t="s">
        <v>1849</v>
      </c>
      <c r="J3" t="e">
        <f t="array" aca="1" ref="J3:K9" ca="1">[1]!SRANK_TEST(B3:B10,C4,TRUE,2)</f>
        <v>#NAME?</v>
      </c>
      <c r="K3" s="1235" t="e">
        <f ca="1"/>
        <v>#NAME?</v>
      </c>
    </row>
    <row r="4" spans="1:11">
      <c r="A4" s="1526">
        <v>1</v>
      </c>
      <c r="B4" s="1527">
        <v>48</v>
      </c>
      <c r="C4" s="1528">
        <v>30</v>
      </c>
      <c r="D4" s="1529">
        <f>B4-C4</f>
        <v>18</v>
      </c>
      <c r="E4" s="1227">
        <f>IF(D4=0,"",ABS(D4))</f>
        <v>18</v>
      </c>
      <c r="F4" s="1227" t="e">
        <f ca="1">IF(D4&lt;&gt;0,[1]!RANK_AVG(E4,$E$4:$E$10,1),"")</f>
        <v>#NAME?</v>
      </c>
      <c r="G4" s="1227" t="e">
        <f ca="1">IF(D4&gt;0,F4,"")</f>
        <v>#NAME?</v>
      </c>
      <c r="H4" s="1531" t="str">
        <f>IF(D4&lt;0,F4,"")</f>
        <v/>
      </c>
      <c r="J4" t="e">
        <f ca="1"/>
        <v>#NAME?</v>
      </c>
      <c r="K4" s="627" t="e">
        <f ca="1"/>
        <v>#NAME?</v>
      </c>
    </row>
    <row r="5" spans="1:11">
      <c r="A5" s="725">
        <f t="shared" ref="A5:A10" si="0">A4+1</f>
        <v>2</v>
      </c>
      <c r="B5" s="728">
        <v>10</v>
      </c>
      <c r="C5" s="714">
        <v>30</v>
      </c>
      <c r="D5" s="781">
        <f t="shared" ref="D5:D10" si="1">B5-C5</f>
        <v>-20</v>
      </c>
      <c r="E5" s="1525">
        <f t="shared" ref="E5:E10" si="2">IF(D5=0,"",ABS(D5))</f>
        <v>20</v>
      </c>
      <c r="F5" s="1525" t="e">
        <f ca="1">IF(D5&lt;&gt;0,[1]!RANK_AVG(E5,$E$4:$E$10,1),"")</f>
        <v>#NAME?</v>
      </c>
      <c r="G5" s="1525" t="str">
        <f t="shared" ref="G5:G10" si="3">IF(D5&gt;0,F5,"")</f>
        <v/>
      </c>
      <c r="H5" s="618" t="e">
        <f t="shared" ref="H5:H10" ca="1" si="4">IF(D5&lt;0,F5,"")</f>
        <v>#NAME?</v>
      </c>
      <c r="J5" t="e">
        <f ca="1"/>
        <v>#NAME?</v>
      </c>
      <c r="K5" s="627" t="e">
        <f ca="1"/>
        <v>#NAME?</v>
      </c>
    </row>
    <row r="6" spans="1:11">
      <c r="A6" s="725">
        <f t="shared" si="0"/>
        <v>3</v>
      </c>
      <c r="B6" s="728">
        <v>15</v>
      </c>
      <c r="C6" s="714">
        <v>30</v>
      </c>
      <c r="D6" s="781">
        <f t="shared" si="1"/>
        <v>-15</v>
      </c>
      <c r="E6" s="1525">
        <f t="shared" si="2"/>
        <v>15</v>
      </c>
      <c r="F6" s="1525" t="e">
        <f ca="1">IF(D6&lt;&gt;0,[1]!RANK_AVG(E6,$E$4:$E$10,1),"")</f>
        <v>#NAME?</v>
      </c>
      <c r="G6" s="1525" t="str">
        <f t="shared" si="3"/>
        <v/>
      </c>
      <c r="H6" s="618" t="e">
        <f t="shared" ca="1" si="4"/>
        <v>#NAME?</v>
      </c>
      <c r="J6" t="e">
        <f ca="1"/>
        <v>#NAME?</v>
      </c>
      <c r="K6" s="627" t="e">
        <f ca="1"/>
        <v>#NAME?</v>
      </c>
    </row>
    <row r="7" spans="1:11">
      <c r="A7" s="725">
        <f t="shared" si="0"/>
        <v>4</v>
      </c>
      <c r="B7" s="728">
        <v>4</v>
      </c>
      <c r="C7" s="714">
        <v>30</v>
      </c>
      <c r="D7" s="781">
        <f t="shared" si="1"/>
        <v>-26</v>
      </c>
      <c r="E7" s="1525">
        <f t="shared" si="2"/>
        <v>26</v>
      </c>
      <c r="F7" s="1525" t="e">
        <f ca="1">IF(D7&lt;&gt;0,[1]!RANK_AVG(E7,$E$4:$E$10,1),"")</f>
        <v>#NAME?</v>
      </c>
      <c r="G7" s="1525" t="str">
        <f t="shared" si="3"/>
        <v/>
      </c>
      <c r="H7" s="618" t="e">
        <f t="shared" ca="1" si="4"/>
        <v>#NAME?</v>
      </c>
      <c r="J7" t="e">
        <f ca="1"/>
        <v>#NAME?</v>
      </c>
      <c r="K7" s="627" t="e">
        <f ca="1"/>
        <v>#NAME?</v>
      </c>
    </row>
    <row r="8" spans="1:11">
      <c r="A8" s="725">
        <f t="shared" si="0"/>
        <v>5</v>
      </c>
      <c r="B8" s="728">
        <v>44</v>
      </c>
      <c r="C8" s="714">
        <v>30</v>
      </c>
      <c r="D8" s="781">
        <f t="shared" si="1"/>
        <v>14</v>
      </c>
      <c r="E8" s="1525">
        <f t="shared" si="2"/>
        <v>14</v>
      </c>
      <c r="F8" s="1525" t="e">
        <f ca="1">IF(D8&lt;&gt;0,[1]!RANK_AVG(E8,$E$4:$E$10,1),"")</f>
        <v>#NAME?</v>
      </c>
      <c r="G8" s="1525" t="e">
        <f t="shared" ca="1" si="3"/>
        <v>#NAME?</v>
      </c>
      <c r="H8" s="618" t="str">
        <f t="shared" si="4"/>
        <v/>
      </c>
      <c r="J8" t="e">
        <f ca="1"/>
        <v>#NAME?</v>
      </c>
      <c r="K8" s="627" t="e">
        <f ca="1"/>
        <v>#NAME?</v>
      </c>
    </row>
    <row r="9" spans="1:11">
      <c r="A9" s="725">
        <f t="shared" si="0"/>
        <v>6</v>
      </c>
      <c r="B9" s="728">
        <v>30</v>
      </c>
      <c r="C9" s="714">
        <v>30</v>
      </c>
      <c r="D9" s="781">
        <f t="shared" si="1"/>
        <v>0</v>
      </c>
      <c r="E9" s="1525" t="str">
        <f t="shared" si="2"/>
        <v/>
      </c>
      <c r="F9" s="1525" t="str">
        <f>IF(D9&lt;&gt;0,[1]!RANK_AVG(E9,$E$4:$E$10,1),"")</f>
        <v/>
      </c>
      <c r="G9" s="1525" t="str">
        <f t="shared" si="3"/>
        <v/>
      </c>
      <c r="H9" s="618" t="str">
        <f t="shared" si="4"/>
        <v/>
      </c>
      <c r="J9" t="e">
        <f ca="1"/>
        <v>#NAME?</v>
      </c>
      <c r="K9" s="544" t="e">
        <f ca="1"/>
        <v>#NAME?</v>
      </c>
    </row>
    <row r="10" spans="1:11">
      <c r="A10" s="726">
        <f t="shared" si="0"/>
        <v>7</v>
      </c>
      <c r="B10" s="1530">
        <v>25</v>
      </c>
      <c r="C10" s="713">
        <v>30</v>
      </c>
      <c r="D10" s="783">
        <f t="shared" si="1"/>
        <v>-5</v>
      </c>
      <c r="E10" s="1219">
        <f t="shared" si="2"/>
        <v>5</v>
      </c>
      <c r="F10" s="1219" t="e">
        <f ca="1">IF(D10&lt;&gt;0,[1]!RANK_AVG(E10,$E$4:$E$10,1),"")</f>
        <v>#NAME?</v>
      </c>
      <c r="G10" s="1219" t="str">
        <f t="shared" si="3"/>
        <v/>
      </c>
      <c r="H10" s="536" t="e">
        <f t="shared" ca="1" si="4"/>
        <v>#NAME?</v>
      </c>
    </row>
    <row r="11" spans="1:11">
      <c r="F11" s="1524"/>
      <c r="G11" s="201" t="e">
        <f ca="1">SUM(G4:G10)</f>
        <v>#NAME?</v>
      </c>
      <c r="H11" s="201" t="e">
        <f ca="1">SUM(H4:H10)</f>
        <v>#NAME?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sheetPr codeName="Sheet216"/>
  <dimension ref="A1:G11"/>
  <sheetViews>
    <sheetView workbookViewId="0"/>
  </sheetViews>
  <sheetFormatPr defaultRowHeight="14.4"/>
  <cols>
    <col min="5" max="5" width="9.6640625" customWidth="1"/>
    <col min="6" max="6" width="4.109375" customWidth="1"/>
    <col min="7" max="7" width="37.33203125" customWidth="1"/>
  </cols>
  <sheetData>
    <row r="1" spans="1:7">
      <c r="A1" s="1" t="s">
        <v>1838</v>
      </c>
    </row>
    <row r="3" spans="1:7">
      <c r="A3" t="s">
        <v>1839</v>
      </c>
      <c r="C3" s="743">
        <v>6</v>
      </c>
      <c r="E3" s="743">
        <v>115</v>
      </c>
    </row>
    <row r="4" spans="1:7">
      <c r="A4" t="s">
        <v>1840</v>
      </c>
      <c r="C4" s="544">
        <v>11</v>
      </c>
      <c r="E4" s="544">
        <v>73</v>
      </c>
    </row>
    <row r="6" spans="1:7">
      <c r="A6" s="65" t="s">
        <v>346</v>
      </c>
      <c r="C6" s="743">
        <f>(ABS(C4-C3)-0.5)^2/(C3+C4)</f>
        <v>1.1911764705882353</v>
      </c>
      <c r="E6" s="743">
        <f>(ABS(E4-E3)-0.5)^2/(E3+E4)</f>
        <v>9.1609042553191493</v>
      </c>
      <c r="G6" s="23" t="s">
        <v>1842</v>
      </c>
    </row>
    <row r="7" spans="1:7">
      <c r="A7" t="s">
        <v>347</v>
      </c>
      <c r="C7" s="627">
        <f>CHIINV(0.05,1)</f>
        <v>3.8414588206941236</v>
      </c>
      <c r="E7" s="627">
        <f>CHIINV(0.05,1)</f>
        <v>3.8414588206941236</v>
      </c>
      <c r="G7" s="23" t="s">
        <v>1843</v>
      </c>
    </row>
    <row r="8" spans="1:7">
      <c r="A8" t="s">
        <v>948</v>
      </c>
      <c r="C8" s="713" t="str">
        <f>IF(C6&lt;C7,"no","yes")</f>
        <v>no</v>
      </c>
      <c r="D8" s="700"/>
      <c r="E8" s="713" t="str">
        <f>IF(E6&lt;E7,"no","yes")</f>
        <v>yes</v>
      </c>
      <c r="G8" s="23" t="s">
        <v>1844</v>
      </c>
    </row>
    <row r="10" spans="1:7">
      <c r="A10" t="s">
        <v>1841</v>
      </c>
      <c r="C10" s="743">
        <f>BINOMDIST(C3,C3+C4,0.5,TRUE)</f>
        <v>0.16615295410156253</v>
      </c>
      <c r="E10" s="743">
        <f>BINOMDIST(MIN(E3,E4),E3+E4,0.5,TRUE)</f>
        <v>1.3457385012834305E-3</v>
      </c>
      <c r="G10" s="23" t="s">
        <v>1846</v>
      </c>
    </row>
    <row r="11" spans="1:7">
      <c r="A11" t="s">
        <v>948</v>
      </c>
      <c r="C11" s="713" t="str">
        <f>IF(C10&lt;0.05,"yes","no")</f>
        <v>no</v>
      </c>
      <c r="D11" s="700"/>
      <c r="E11" s="713" t="str">
        <f>IF(E10&lt;0.05,"yes","no")</f>
        <v>yes</v>
      </c>
      <c r="G11" s="23" t="s">
        <v>1845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sheetPr codeName="Sheet362"/>
  <dimension ref="A1:M23"/>
  <sheetViews>
    <sheetView workbookViewId="0"/>
  </sheetViews>
  <sheetFormatPr defaultRowHeight="14.4"/>
  <cols>
    <col min="5" max="5" width="6" customWidth="1"/>
    <col min="6" max="6" width="19.33203125" customWidth="1"/>
    <col min="12" max="12" width="5.5546875" customWidth="1"/>
  </cols>
  <sheetData>
    <row r="1" spans="1:13">
      <c r="A1" s="1" t="s">
        <v>1857</v>
      </c>
      <c r="I1" t="s">
        <v>1939</v>
      </c>
    </row>
    <row r="3" spans="1:13">
      <c r="A3" s="19" t="s">
        <v>291</v>
      </c>
      <c r="B3" s="1235">
        <v>10</v>
      </c>
      <c r="I3" s="19" t="s">
        <v>291</v>
      </c>
      <c r="J3" s="1235">
        <v>10</v>
      </c>
    </row>
    <row r="4" spans="1:13">
      <c r="A4" s="19" t="s">
        <v>292</v>
      </c>
      <c r="B4" s="544">
        <v>7</v>
      </c>
      <c r="I4" s="19" t="s">
        <v>292</v>
      </c>
      <c r="J4" s="544">
        <v>7</v>
      </c>
    </row>
    <row r="5" spans="1:13">
      <c r="A5" s="19"/>
      <c r="M5" t="s">
        <v>4124</v>
      </c>
    </row>
    <row r="6" spans="1:13">
      <c r="A6" s="19" t="s">
        <v>368</v>
      </c>
      <c r="B6" s="19" t="s">
        <v>554</v>
      </c>
      <c r="C6" s="19" t="s">
        <v>1707</v>
      </c>
      <c r="D6" s="19" t="s">
        <v>2948</v>
      </c>
      <c r="H6" s="19" t="s">
        <v>368</v>
      </c>
      <c r="I6" s="19" t="s">
        <v>554</v>
      </c>
      <c r="J6" s="19" t="s">
        <v>1707</v>
      </c>
      <c r="K6" s="19" t="s">
        <v>2948</v>
      </c>
    </row>
    <row r="7" spans="1:13">
      <c r="A7">
        <v>2</v>
      </c>
      <c r="B7" s="1483">
        <f>2*COMBIN(B$3-1,QUOTIENT(A7,2)-1)*COMBIN(B$4-1,QUOTIENT(A7,2)-1)</f>
        <v>2</v>
      </c>
      <c r="C7" s="1479">
        <f t="shared" ref="C7:C20" si="0">B7/B$21</f>
        <v>1.0283833813245579E-4</v>
      </c>
      <c r="D7" s="1484">
        <f>C7</f>
        <v>1.0283833813245579E-4</v>
      </c>
      <c r="H7">
        <v>2</v>
      </c>
      <c r="I7" s="1483" t="e">
        <f ca="1">J7*$I$21</f>
        <v>#NAME?</v>
      </c>
      <c r="J7" s="1500" t="e">
        <f ca="1">[1]!RUNSDIST(H7,J$3,J$4,FALSE)</f>
        <v>#NAME?</v>
      </c>
      <c r="K7" s="1484" t="e">
        <f ca="1">[1]!RUNSDIST(H7,J$3,J$4,TRUE)</f>
        <v>#NAME?</v>
      </c>
      <c r="M7" t="e">
        <f ca="1">[1]!FTEXT(J7)</f>
        <v>#NAME?</v>
      </c>
    </row>
    <row r="8" spans="1:13">
      <c r="A8">
        <f>A7+1</f>
        <v>3</v>
      </c>
      <c r="B8" s="1402">
        <f>COMBIN(B$3-1,QUOTIENT(A8,2))*COMBIN(B$4-1,QUOTIENT(A8,2)-1)+COMBIN(B$4-1,QUOTIENT(A8,2))*COMBIN(B$3-1,QUOTIENT(A8,2)-1)</f>
        <v>15</v>
      </c>
      <c r="C8" s="98">
        <f t="shared" si="0"/>
        <v>7.7128753599341833E-4</v>
      </c>
      <c r="D8" s="1485">
        <f>C8+D7</f>
        <v>8.7412587412587413E-4</v>
      </c>
      <c r="H8">
        <f>H7+1</f>
        <v>3</v>
      </c>
      <c r="I8" s="1402" t="e">
        <f t="shared" ref="I8:I20" ca="1" si="1">J8*$I$21</f>
        <v>#NAME?</v>
      </c>
      <c r="J8" s="98" t="e">
        <f ca="1">[1]!RUNSDIST(H8,J$3,J$4,FALSE)</f>
        <v>#NAME?</v>
      </c>
      <c r="K8" s="1485" t="e">
        <f ca="1">[1]!RUNSDIST(H8,J$3,J$4,TRUE)</f>
        <v>#NAME?</v>
      </c>
    </row>
    <row r="9" spans="1:13">
      <c r="A9">
        <f t="shared" ref="A9:A20" si="2">A8+1</f>
        <v>4</v>
      </c>
      <c r="B9" s="1402">
        <f>2*COMBIN(B$3-1,QUOTIENT(A9,2)-1)*COMBIN(B$4-1,QUOTIENT(A9,2)-1)</f>
        <v>108</v>
      </c>
      <c r="C9" s="98">
        <f t="shared" si="0"/>
        <v>5.5532702591526125E-3</v>
      </c>
      <c r="D9" s="1485">
        <f t="shared" ref="D9:D19" si="3">C9+D8</f>
        <v>6.4273961332784865E-3</v>
      </c>
      <c r="H9">
        <f t="shared" ref="H9:H20" si="4">H8+1</f>
        <v>4</v>
      </c>
      <c r="I9" s="1402" t="e">
        <f t="shared" ca="1" si="1"/>
        <v>#NAME?</v>
      </c>
      <c r="J9" s="98" t="e">
        <f ca="1">[1]!RUNSDIST(H9,J$3,J$4,FALSE)</f>
        <v>#NAME?</v>
      </c>
      <c r="K9" s="1485" t="e">
        <f ca="1">[1]!RUNSDIST(H9,J$3,J$4,TRUE)</f>
        <v>#NAME?</v>
      </c>
    </row>
    <row r="10" spans="1:13">
      <c r="A10">
        <f t="shared" si="2"/>
        <v>5</v>
      </c>
      <c r="B10" s="1402">
        <f>COMBIN(B$3-1,QUOTIENT(A10,2))*COMBIN(B$4-1,QUOTIENT(A10,2)-1)+COMBIN(B$4-1,QUOTIENT(A10,2))*COMBIN(B$3-1,QUOTIENT(A10,2)-1)</f>
        <v>351</v>
      </c>
      <c r="C10" s="98">
        <f t="shared" si="0"/>
        <v>1.8048128342245989E-2</v>
      </c>
      <c r="D10" s="1485">
        <f t="shared" si="3"/>
        <v>2.4475524475524476E-2</v>
      </c>
      <c r="H10">
        <f t="shared" si="4"/>
        <v>5</v>
      </c>
      <c r="I10" s="1402" t="e">
        <f t="shared" ca="1" si="1"/>
        <v>#NAME?</v>
      </c>
      <c r="J10" s="98" t="e">
        <f ca="1">[1]!RUNSDIST(H10,J$3,J$4,FALSE)</f>
        <v>#NAME?</v>
      </c>
      <c r="K10" s="1485" t="e">
        <f ca="1">[1]!RUNSDIST(H10,J$3,J$4,TRUE)</f>
        <v>#NAME?</v>
      </c>
    </row>
    <row r="11" spans="1:13">
      <c r="A11">
        <f t="shared" si="2"/>
        <v>6</v>
      </c>
      <c r="B11" s="1402">
        <f>2*COMBIN(B$3-1,QUOTIENT(A11,2)-1)*COMBIN(B$4-1,QUOTIENT(A11,2)-1)</f>
        <v>1080</v>
      </c>
      <c r="C11" s="98">
        <f t="shared" si="0"/>
        <v>5.5532702591526123E-2</v>
      </c>
      <c r="D11" s="1485">
        <f t="shared" si="3"/>
        <v>8.0008227067050602E-2</v>
      </c>
      <c r="H11">
        <f t="shared" si="4"/>
        <v>6</v>
      </c>
      <c r="I11" s="1402" t="e">
        <f t="shared" ca="1" si="1"/>
        <v>#NAME?</v>
      </c>
      <c r="J11" s="98" t="e">
        <f ca="1">[1]!RUNSDIST(H11,J$3,J$4,FALSE)</f>
        <v>#NAME?</v>
      </c>
      <c r="K11" s="1485" t="e">
        <f ca="1">[1]!RUNSDIST(H11,J$3,J$4,TRUE)</f>
        <v>#NAME?</v>
      </c>
    </row>
    <row r="12" spans="1:13">
      <c r="A12">
        <f t="shared" si="2"/>
        <v>7</v>
      </c>
      <c r="B12" s="1402">
        <f>COMBIN(B$3-1,QUOTIENT(A12,2))*COMBIN(B$4-1,QUOTIENT(A12,2)-1)+COMBIN(B$4-1,QUOTIENT(A12,2))*COMBIN(B$3-1,QUOTIENT(A12,2)-1)</f>
        <v>1979.9999999999998</v>
      </c>
      <c r="C12" s="98">
        <f t="shared" si="0"/>
        <v>0.10180995475113121</v>
      </c>
      <c r="D12" s="1485">
        <f t="shared" si="3"/>
        <v>0.18181818181818182</v>
      </c>
      <c r="H12">
        <f t="shared" si="4"/>
        <v>7</v>
      </c>
      <c r="I12" s="1402" t="e">
        <f t="shared" ca="1" si="1"/>
        <v>#NAME?</v>
      </c>
      <c r="J12" s="98" t="e">
        <f ca="1">[1]!RUNSDIST(H12,J$3,J$4,FALSE)</f>
        <v>#NAME?</v>
      </c>
      <c r="K12" s="1485" t="e">
        <f ca="1">[1]!RUNSDIST(H12,J$3,J$4,TRUE)</f>
        <v>#NAME?</v>
      </c>
    </row>
    <row r="13" spans="1:13">
      <c r="A13">
        <f t="shared" si="2"/>
        <v>8</v>
      </c>
      <c r="B13" s="1402">
        <f>2*COMBIN(B$3-1,QUOTIENT(A13,2)-1)*COMBIN(B$4-1,QUOTIENT(A13,2)-1)</f>
        <v>3359.9999999999995</v>
      </c>
      <c r="C13" s="98">
        <f t="shared" si="0"/>
        <v>0.17276840806252569</v>
      </c>
      <c r="D13" s="1485">
        <f t="shared" si="3"/>
        <v>0.35458658988070751</v>
      </c>
      <c r="H13">
        <f t="shared" si="4"/>
        <v>8</v>
      </c>
      <c r="I13" s="1402" t="e">
        <f t="shared" ca="1" si="1"/>
        <v>#NAME?</v>
      </c>
      <c r="J13" s="98" t="e">
        <f ca="1">[1]!RUNSDIST(H13,J$3,J$4,FALSE)</f>
        <v>#NAME?</v>
      </c>
      <c r="K13" s="1485" t="e">
        <f ca="1">[1]!RUNSDIST(H13,J$3,J$4,TRUE)</f>
        <v>#NAME?</v>
      </c>
    </row>
    <row r="14" spans="1:13">
      <c r="A14">
        <f t="shared" si="2"/>
        <v>9</v>
      </c>
      <c r="B14" s="1402">
        <f>COMBIN(B$3-1,QUOTIENT(A14,2))*COMBIN(B$4-1,QUOTIENT(A14,2)-1)+COMBIN(B$4-1,QUOTIENT(A14,2))*COMBIN(B$3-1,QUOTIENT(A14,2)-1)</f>
        <v>3780</v>
      </c>
      <c r="C14" s="98">
        <f t="shared" si="0"/>
        <v>0.19436445907034142</v>
      </c>
      <c r="D14" s="1485">
        <f t="shared" si="3"/>
        <v>0.54895104895104896</v>
      </c>
      <c r="H14">
        <f t="shared" si="4"/>
        <v>9</v>
      </c>
      <c r="I14" s="1402" t="e">
        <f t="shared" ca="1" si="1"/>
        <v>#NAME?</v>
      </c>
      <c r="J14" s="98" t="e">
        <f ca="1">[1]!RUNSDIST(H14,J$3,J$4,FALSE)</f>
        <v>#NAME?</v>
      </c>
      <c r="K14" s="1485" t="e">
        <f ca="1">[1]!RUNSDIST(H14,J$3,J$4,TRUE)</f>
        <v>#NAME?</v>
      </c>
    </row>
    <row r="15" spans="1:13">
      <c r="A15">
        <f t="shared" si="2"/>
        <v>10</v>
      </c>
      <c r="B15" s="1402">
        <f>2*COMBIN(B$3-1,QUOTIENT(A15,2)-1)*COMBIN(B$4-1,QUOTIENT(A15,2)-1)</f>
        <v>3780</v>
      </c>
      <c r="C15" s="98">
        <f t="shared" si="0"/>
        <v>0.19436445907034142</v>
      </c>
      <c r="D15" s="1485">
        <f t="shared" si="3"/>
        <v>0.74331550802139035</v>
      </c>
      <c r="H15">
        <f t="shared" si="4"/>
        <v>10</v>
      </c>
      <c r="I15" s="1402" t="e">
        <f t="shared" ca="1" si="1"/>
        <v>#NAME?</v>
      </c>
      <c r="J15" s="98" t="e">
        <f ca="1">[1]!RUNSDIST(H15,J$3,J$4,FALSE)</f>
        <v>#NAME?</v>
      </c>
      <c r="K15" s="1485" t="e">
        <f ca="1">[1]!RUNSDIST(H15,J$3,J$4,TRUE)</f>
        <v>#NAME?</v>
      </c>
    </row>
    <row r="16" spans="1:13">
      <c r="A16">
        <f t="shared" si="2"/>
        <v>11</v>
      </c>
      <c r="B16" s="1402">
        <f>COMBIN(B$3-1,QUOTIENT(A16,2))*COMBIN(B$4-1,QUOTIENT(A16,2)-1)+COMBIN(B$4-1,QUOTIENT(A16,2))*COMBIN(B$3-1,QUOTIENT(A16,2)-1)</f>
        <v>2646</v>
      </c>
      <c r="C16" s="98">
        <f t="shared" si="0"/>
        <v>0.136055121349239</v>
      </c>
      <c r="D16" s="1485">
        <f t="shared" si="3"/>
        <v>0.87937062937062938</v>
      </c>
      <c r="H16">
        <f t="shared" si="4"/>
        <v>11</v>
      </c>
      <c r="I16" s="1402" t="e">
        <f t="shared" ca="1" si="1"/>
        <v>#NAME?</v>
      </c>
      <c r="J16" s="98" t="e">
        <f ca="1">[1]!RUNSDIST(H16,J$3,J$4,FALSE)</f>
        <v>#NAME?</v>
      </c>
      <c r="K16" s="1485" t="e">
        <f ca="1">[1]!RUNSDIST(H16,J$3,J$4,TRUE)</f>
        <v>#NAME?</v>
      </c>
    </row>
    <row r="17" spans="1:11">
      <c r="A17">
        <f t="shared" si="2"/>
        <v>12</v>
      </c>
      <c r="B17" s="1402">
        <f>2*COMBIN(B$3-1,QUOTIENT(A17,2)-1)*COMBIN(B$4-1,QUOTIENT(A17,2)-1)</f>
        <v>1512</v>
      </c>
      <c r="C17" s="98">
        <f t="shared" si="0"/>
        <v>7.7745783628136569E-2</v>
      </c>
      <c r="D17" s="1485">
        <f t="shared" si="3"/>
        <v>0.95711641299876593</v>
      </c>
      <c r="H17">
        <f t="shared" si="4"/>
        <v>12</v>
      </c>
      <c r="I17" s="1402" t="e">
        <f t="shared" ca="1" si="1"/>
        <v>#NAME?</v>
      </c>
      <c r="J17" s="98" t="e">
        <f ca="1">[1]!RUNSDIST(H17,J$3,J$4,FALSE)</f>
        <v>#NAME?</v>
      </c>
      <c r="K17" s="1485" t="e">
        <f ca="1">[1]!RUNSDIST(H17,J$3,J$4,TRUE)</f>
        <v>#NAME?</v>
      </c>
    </row>
    <row r="18" spans="1:11">
      <c r="A18">
        <f t="shared" si="2"/>
        <v>13</v>
      </c>
      <c r="B18" s="1402">
        <f>COMBIN(B$3-1,QUOTIENT(A18,2))*COMBIN(B$4-1,QUOTIENT(A18,2)-1)+COMBIN(B$4-1,QUOTIENT(A18,2))*COMBIN(B$3-1,QUOTIENT(A18,2)-1)</f>
        <v>629.99999999999989</v>
      </c>
      <c r="C18" s="98">
        <f t="shared" si="0"/>
        <v>3.2394076511723567E-2</v>
      </c>
      <c r="D18" s="1485">
        <f t="shared" si="3"/>
        <v>0.98951048951048948</v>
      </c>
      <c r="H18">
        <f t="shared" si="4"/>
        <v>13</v>
      </c>
      <c r="I18" s="1402" t="e">
        <f t="shared" ca="1" si="1"/>
        <v>#NAME?</v>
      </c>
      <c r="J18" s="98" t="e">
        <f ca="1">[1]!RUNSDIST(H18,J$3,J$4,FALSE)</f>
        <v>#NAME?</v>
      </c>
      <c r="K18" s="1485" t="e">
        <f ca="1">[1]!RUNSDIST(H18,J$3,J$4,TRUE)</f>
        <v>#NAME?</v>
      </c>
    </row>
    <row r="19" spans="1:11">
      <c r="A19">
        <f t="shared" si="2"/>
        <v>14</v>
      </c>
      <c r="B19" s="1402">
        <f>2*COMBIN(B$3-1,QUOTIENT(A19,2)-1)*COMBIN(B$4-1,QUOTIENT(A19,2)-1)</f>
        <v>167.99999999999997</v>
      </c>
      <c r="C19" s="98">
        <f t="shared" si="0"/>
        <v>8.6384204031262832E-3</v>
      </c>
      <c r="D19" s="1485">
        <f t="shared" si="3"/>
        <v>0.99814890991361571</v>
      </c>
      <c r="H19">
        <f t="shared" si="4"/>
        <v>14</v>
      </c>
      <c r="I19" s="1402" t="e">
        <f t="shared" ca="1" si="1"/>
        <v>#NAME?</v>
      </c>
      <c r="J19" s="98" t="e">
        <f ca="1">[1]!RUNSDIST(H19,J$3,J$4,FALSE)</f>
        <v>#NAME?</v>
      </c>
      <c r="K19" s="1485" t="e">
        <f ca="1">[1]!RUNSDIST(H19,J$3,J$4,TRUE)</f>
        <v>#NAME?</v>
      </c>
    </row>
    <row r="20" spans="1:11">
      <c r="A20">
        <f t="shared" si="2"/>
        <v>15</v>
      </c>
      <c r="B20" s="1304">
        <f>COMBIN(B$3-1,QUOTIENT(A20,2))</f>
        <v>36</v>
      </c>
      <c r="C20" s="1486">
        <f t="shared" si="0"/>
        <v>1.8510900863842039E-3</v>
      </c>
      <c r="D20" s="1305">
        <f>C20+D19</f>
        <v>0.99999999999999989</v>
      </c>
      <c r="H20">
        <f t="shared" si="4"/>
        <v>15</v>
      </c>
      <c r="I20" s="1304" t="e">
        <f t="shared" ca="1" si="1"/>
        <v>#NAME?</v>
      </c>
      <c r="J20" s="1486" t="e">
        <f ca="1">[1]!RUNSDIST(H20,J$3,J$4,FALSE)</f>
        <v>#NAME?</v>
      </c>
      <c r="K20" s="1305" t="e">
        <f ca="1">[1]!RUNSDIST(H20,J$3,J$4,TRUE)</f>
        <v>#NAME?</v>
      </c>
    </row>
    <row r="21" spans="1:11">
      <c r="A21" s="19" t="s">
        <v>2781</v>
      </c>
      <c r="B21">
        <f>SUM(B7:B20)</f>
        <v>19448</v>
      </c>
      <c r="F21" t="e">
        <f ca="1">[1]!FTEXT(B21)</f>
        <v>#NAME?</v>
      </c>
      <c r="H21" s="19" t="s">
        <v>2781</v>
      </c>
      <c r="I21">
        <f>COMBIN(J3+J4,J4)</f>
        <v>19448</v>
      </c>
    </row>
    <row r="23" spans="1:11">
      <c r="B23">
        <f>COMBIN(B3+B4,B3)</f>
        <v>19448</v>
      </c>
      <c r="F23" t="e">
        <f ca="1">[1]!FTEXT(B23)</f>
        <v>#NAME?</v>
      </c>
    </row>
  </sheetData>
  <pageMargins left="0.7" right="0.7" top="0.75" bottom="0.75" header="0.3" footer="0.3"/>
  <ignoredErrors>
    <ignoredError sqref="B8:B9 B15 B17 B11 B13" formula="1"/>
  </ignoredErrors>
</worksheet>
</file>

<file path=xl/worksheets/sheet125.xml><?xml version="1.0" encoding="utf-8"?>
<worksheet xmlns="http://schemas.openxmlformats.org/spreadsheetml/2006/main" xmlns:r="http://schemas.openxmlformats.org/officeDocument/2006/relationships">
  <sheetPr codeName="Sheet222"/>
  <dimension ref="A1:M17"/>
  <sheetViews>
    <sheetView workbookViewId="0">
      <selection activeCell="F1" sqref="F1"/>
    </sheetView>
  </sheetViews>
  <sheetFormatPr defaultRowHeight="14.4"/>
  <cols>
    <col min="3" max="3" width="3.5546875" customWidth="1"/>
    <col min="4" max="4" width="33.109375" customWidth="1"/>
    <col min="9" max="9" width="12.33203125" customWidth="1"/>
    <col min="12" max="12" width="12" bestFit="1" customWidth="1"/>
    <col min="13" max="13" width="9.33203125" bestFit="1" customWidth="1"/>
  </cols>
  <sheetData>
    <row r="1" spans="1:13">
      <c r="A1" s="1" t="s">
        <v>1857</v>
      </c>
      <c r="L1" t="s">
        <v>4117</v>
      </c>
    </row>
    <row r="3" spans="1:13">
      <c r="A3" t="s">
        <v>291</v>
      </c>
      <c r="B3" s="1235">
        <v>18</v>
      </c>
      <c r="F3" t="s">
        <v>291</v>
      </c>
      <c r="G3" s="743">
        <v>17</v>
      </c>
      <c r="L3" s="1502" t="s">
        <v>4116</v>
      </c>
    </row>
    <row r="4" spans="1:13">
      <c r="A4" t="s">
        <v>292</v>
      </c>
      <c r="B4" s="627">
        <v>22</v>
      </c>
      <c r="F4" t="s">
        <v>292</v>
      </c>
      <c r="G4" s="627">
        <v>9</v>
      </c>
    </row>
    <row r="5" spans="1:13">
      <c r="A5" t="s">
        <v>106</v>
      </c>
      <c r="B5" s="627">
        <f>B3+B4</f>
        <v>40</v>
      </c>
      <c r="D5" t="e">
        <f ca="1">[1]!FTEXT(B5)</f>
        <v>#NAME?</v>
      </c>
      <c r="F5" t="s">
        <v>106</v>
      </c>
      <c r="G5" s="627">
        <f>G3+G4</f>
        <v>26</v>
      </c>
      <c r="I5" t="s">
        <v>1939</v>
      </c>
      <c r="L5" t="e">
        <f t="array" aca="1" ref="L5:M13" ca="1">[1]!RUNSTEST(L3,TRUE)</f>
        <v>#NAME?</v>
      </c>
      <c r="M5" s="1235" t="e">
        <f ca="1"/>
        <v>#NAME?</v>
      </c>
    </row>
    <row r="6" spans="1:13">
      <c r="A6" t="s">
        <v>1858</v>
      </c>
      <c r="B6" s="627">
        <v>20</v>
      </c>
      <c r="F6" t="s">
        <v>1858</v>
      </c>
      <c r="G6" s="627">
        <v>10</v>
      </c>
      <c r="L6" t="e">
        <f ca="1"/>
        <v>#NAME?</v>
      </c>
      <c r="M6" s="627" t="e">
        <f ca="1"/>
        <v>#NAME?</v>
      </c>
    </row>
    <row r="7" spans="1:13">
      <c r="A7" t="s">
        <v>63</v>
      </c>
      <c r="B7" s="627">
        <f>2*B3*B4/B5+1</f>
        <v>20.8</v>
      </c>
      <c r="D7" t="e">
        <f ca="1">[1]!FTEXT(B7)</f>
        <v>#NAME?</v>
      </c>
      <c r="F7" t="s">
        <v>103</v>
      </c>
      <c r="G7" s="627">
        <f>'Runs Table'!R12</f>
        <v>8</v>
      </c>
      <c r="I7" t="s">
        <v>2109</v>
      </c>
      <c r="J7" s="929" t="e">
        <f ca="1">[1]!RLowerCRIT(G3,G4)</f>
        <v>#NAME?</v>
      </c>
      <c r="L7" t="e">
        <f ca="1"/>
        <v>#NAME?</v>
      </c>
      <c r="M7" s="627" t="e">
        <f ca="1"/>
        <v>#NAME?</v>
      </c>
    </row>
    <row r="8" spans="1:13">
      <c r="A8" t="s">
        <v>66</v>
      </c>
      <c r="B8" s="627">
        <f>2*B3*B4*(2*B3*B4-B5)/B5^2/(B5-1)</f>
        <v>9.5446153846153852</v>
      </c>
      <c r="D8" t="e">
        <f ca="1">[1]!FTEXT(B8)</f>
        <v>#NAME?</v>
      </c>
      <c r="F8" t="s">
        <v>104</v>
      </c>
      <c r="G8" s="627">
        <f>'Runs Table'!S12</f>
        <v>19</v>
      </c>
      <c r="I8" t="s">
        <v>2110</v>
      </c>
      <c r="J8" s="544" t="e">
        <f ca="1">[1]!RUpperCRIT(G3,G4)</f>
        <v>#NAME?</v>
      </c>
      <c r="L8" t="e">
        <f ca="1"/>
        <v>#NAME?</v>
      </c>
      <c r="M8" s="627" t="e">
        <f ca="1"/>
        <v>#NAME?</v>
      </c>
    </row>
    <row r="9" spans="1:13">
      <c r="A9" t="s">
        <v>67</v>
      </c>
      <c r="B9" s="627">
        <f>SQRT(B8)</f>
        <v>3.0894360949233737</v>
      </c>
      <c r="D9" t="e">
        <f ca="1">[1]!FTEXT(B9)</f>
        <v>#NAME?</v>
      </c>
      <c r="F9" t="s">
        <v>948</v>
      </c>
      <c r="G9" s="538" t="str">
        <f>IF(OR(G6&lt;=G7,G8 &lt;= G7),"yes","no")</f>
        <v>no</v>
      </c>
      <c r="L9" t="e">
        <f ca="1"/>
        <v>#NAME?</v>
      </c>
      <c r="M9" s="627" t="e">
        <f ca="1"/>
        <v>#NAME?</v>
      </c>
    </row>
    <row r="10" spans="1:13">
      <c r="A10" s="65" t="s">
        <v>157</v>
      </c>
      <c r="B10" s="627">
        <v>0.05</v>
      </c>
      <c r="L10" t="e">
        <f ca="1"/>
        <v>#NAME?</v>
      </c>
      <c r="M10" s="627" t="e">
        <f ca="1"/>
        <v>#NAME?</v>
      </c>
    </row>
    <row r="11" spans="1:13">
      <c r="A11" t="s">
        <v>127</v>
      </c>
      <c r="B11" s="627">
        <f>ABS(B6-B7)/B9</f>
        <v>0.25894693252097933</v>
      </c>
      <c r="D11" t="e">
        <f ca="1">[1]!FTEXT(B11)</f>
        <v>#NAME?</v>
      </c>
      <c r="L11" t="e">
        <f ca="1"/>
        <v>#NAME?</v>
      </c>
      <c r="M11" s="627" t="e">
        <f ca="1"/>
        <v>#NAME?</v>
      </c>
    </row>
    <row r="12" spans="1:13">
      <c r="A12" t="s">
        <v>1178</v>
      </c>
      <c r="B12" s="627">
        <v>2</v>
      </c>
      <c r="L12" t="e">
        <f ca="1"/>
        <v>#NAME?</v>
      </c>
      <c r="M12" s="627" t="e">
        <f ca="1"/>
        <v>#NAME?</v>
      </c>
    </row>
    <row r="13" spans="1:13">
      <c r="A13" t="s">
        <v>200</v>
      </c>
      <c r="B13" s="627">
        <f>2*(1-NORMSDIST(B11))</f>
        <v>0.79567618588609479</v>
      </c>
      <c r="D13" t="e">
        <f ca="1">[1]!FTEXT(B13)</f>
        <v>#NAME?</v>
      </c>
      <c r="L13" t="e">
        <f ca="1"/>
        <v>#NAME?</v>
      </c>
      <c r="M13" s="544" t="e">
        <f ca="1"/>
        <v>#NAME?</v>
      </c>
    </row>
    <row r="14" spans="1:13">
      <c r="A14" t="s">
        <v>491</v>
      </c>
      <c r="B14" s="627">
        <f>NORMSINV(1-B10/2)</f>
        <v>1.9599639845400536</v>
      </c>
      <c r="D14" t="e">
        <f ca="1">[1]!FTEXT(B14)</f>
        <v>#NAME?</v>
      </c>
    </row>
    <row r="15" spans="1:13">
      <c r="A15" t="s">
        <v>948</v>
      </c>
      <c r="B15" s="538" t="str">
        <f>IF(B13&lt;B10,"yes","no")</f>
        <v>no</v>
      </c>
      <c r="D15" t="e">
        <f ca="1">[1]!FTEXT(B15)</f>
        <v>#NAME?</v>
      </c>
    </row>
    <row r="17" spans="1:4">
      <c r="A17" t="s">
        <v>200</v>
      </c>
      <c r="B17" s="756">
        <f>BINOMDIST(18,40,0.5,TRUE)</f>
        <v>0.31791400131442066</v>
      </c>
      <c r="D17" t="e">
        <f ca="1">[1]!FTEXT(B17)</f>
        <v>#NAME?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sheetPr codeName="Sheet367"/>
  <dimension ref="A1:F11"/>
  <sheetViews>
    <sheetView workbookViewId="0"/>
  </sheetViews>
  <sheetFormatPr defaultRowHeight="14.4"/>
  <sheetData>
    <row r="1" spans="1:6">
      <c r="A1" s="1" t="s">
        <v>4123</v>
      </c>
    </row>
    <row r="3" spans="1:6">
      <c r="A3" s="1236">
        <v>56</v>
      </c>
      <c r="B3" s="1152">
        <v>79</v>
      </c>
      <c r="C3" s="1237">
        <v>78</v>
      </c>
      <c r="E3" t="e">
        <f t="array" aca="1" ref="E3:F11" ca="1">[1]!RUNSTEST(A3:C7,TRUE)</f>
        <v>#NAME?</v>
      </c>
      <c r="F3" s="1235" t="e">
        <f ca="1"/>
        <v>#NAME?</v>
      </c>
    </row>
    <row r="4" spans="1:6">
      <c r="A4" s="656">
        <v>67</v>
      </c>
      <c r="B4" s="8">
        <v>34</v>
      </c>
      <c r="C4" s="657">
        <v>23</v>
      </c>
      <c r="E4" t="e">
        <f ca="1"/>
        <v>#NAME?</v>
      </c>
      <c r="F4" s="627" t="e">
        <f ca="1"/>
        <v>#NAME?</v>
      </c>
    </row>
    <row r="5" spans="1:6">
      <c r="A5" s="656">
        <v>38</v>
      </c>
      <c r="B5" s="8">
        <v>2</v>
      </c>
      <c r="C5" s="657">
        <v>90</v>
      </c>
      <c r="E5" t="e">
        <f ca="1"/>
        <v>#NAME?</v>
      </c>
      <c r="F5" s="627" t="e">
        <f ca="1"/>
        <v>#NAME?</v>
      </c>
    </row>
    <row r="6" spans="1:6">
      <c r="A6" s="656">
        <v>-8</v>
      </c>
      <c r="B6" s="8">
        <v>0</v>
      </c>
      <c r="C6" s="657">
        <v>4</v>
      </c>
      <c r="E6" t="e">
        <f ca="1"/>
        <v>#NAME?</v>
      </c>
      <c r="F6" s="627" t="e">
        <f ca="1"/>
        <v>#NAME?</v>
      </c>
    </row>
    <row r="7" spans="1:6">
      <c r="A7" s="533">
        <v>66</v>
      </c>
      <c r="B7" s="1078">
        <v>12</v>
      </c>
      <c r="C7" s="541">
        <v>78</v>
      </c>
      <c r="E7" t="e">
        <f ca="1"/>
        <v>#NAME?</v>
      </c>
      <c r="F7" s="627" t="e">
        <f ca="1"/>
        <v>#NAME?</v>
      </c>
    </row>
    <row r="8" spans="1:6">
      <c r="E8" t="e">
        <f ca="1"/>
        <v>#NAME?</v>
      </c>
      <c r="F8" s="627" t="e">
        <f ca="1"/>
        <v>#NAME?</v>
      </c>
    </row>
    <row r="9" spans="1:6">
      <c r="E9" t="e">
        <f ca="1"/>
        <v>#NAME?</v>
      </c>
      <c r="F9" s="627" t="e">
        <f ca="1"/>
        <v>#NAME?</v>
      </c>
    </row>
    <row r="10" spans="1:6">
      <c r="E10" t="e">
        <f ca="1"/>
        <v>#NAME?</v>
      </c>
      <c r="F10" s="627" t="e">
        <f ca="1"/>
        <v>#NAME?</v>
      </c>
    </row>
    <row r="11" spans="1:6">
      <c r="E11" t="e">
        <f ca="1"/>
        <v>#NAME?</v>
      </c>
      <c r="F11" s="544" t="e">
        <f ca="1"/>
        <v>#NAME?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sheetPr codeName="Sheet219"/>
  <dimension ref="A1:H23"/>
  <sheetViews>
    <sheetView workbookViewId="0"/>
  </sheetViews>
  <sheetFormatPr defaultRowHeight="14.4"/>
  <cols>
    <col min="3" max="3" width="5.88671875" customWidth="1"/>
  </cols>
  <sheetData>
    <row r="1" spans="1:8">
      <c r="A1" s="1" t="s">
        <v>1851</v>
      </c>
    </row>
    <row r="2" spans="1:8" ht="15" thickBot="1">
      <c r="A2" s="1"/>
    </row>
    <row r="3" spans="1:8">
      <c r="A3" s="773" t="s">
        <v>178</v>
      </c>
      <c r="B3" s="774" t="s">
        <v>1794</v>
      </c>
      <c r="D3" s="741" t="s">
        <v>112</v>
      </c>
      <c r="E3" s="741" t="s">
        <v>133</v>
      </c>
      <c r="F3" s="741" t="s">
        <v>108</v>
      </c>
      <c r="G3" s="741" t="s">
        <v>1258</v>
      </c>
      <c r="H3" s="741" t="s">
        <v>1852</v>
      </c>
    </row>
    <row r="4" spans="1:8">
      <c r="A4" s="664">
        <v>1</v>
      </c>
      <c r="B4" s="714">
        <v>3</v>
      </c>
      <c r="D4" s="29">
        <v>4</v>
      </c>
      <c r="E4" s="29">
        <v>0</v>
      </c>
      <c r="F4" s="28">
        <f>E4</f>
        <v>0</v>
      </c>
      <c r="G4" s="127">
        <f>F4/$F$14</f>
        <v>0</v>
      </c>
      <c r="H4" s="127">
        <f>E4/$F$14</f>
        <v>0</v>
      </c>
    </row>
    <row r="5" spans="1:8">
      <c r="A5" s="664">
        <f>A4+1</f>
        <v>2</v>
      </c>
      <c r="B5" s="714">
        <v>4</v>
      </c>
      <c r="D5" s="29">
        <v>5</v>
      </c>
      <c r="E5" s="29">
        <v>1</v>
      </c>
      <c r="F5" s="28">
        <f>E5-E4</f>
        <v>1</v>
      </c>
      <c r="G5" s="127">
        <f t="shared" ref="G5:G13" si="0">F5/$F$14</f>
        <v>5.0000000000000001E-4</v>
      </c>
      <c r="H5" s="127">
        <f t="shared" ref="H5:H13" si="1">E5/$F$14</f>
        <v>5.0000000000000001E-4</v>
      </c>
    </row>
    <row r="6" spans="1:8">
      <c r="A6" s="664">
        <f t="shared" ref="A6:A23" si="2">A5+1</f>
        <v>3</v>
      </c>
      <c r="B6" s="714">
        <v>4</v>
      </c>
      <c r="D6" s="29">
        <v>6</v>
      </c>
      <c r="E6" s="29">
        <v>30</v>
      </c>
      <c r="F6" s="28">
        <f t="shared" ref="F6:F13" si="3">E6-E5</f>
        <v>29</v>
      </c>
      <c r="G6" s="127">
        <f t="shared" si="0"/>
        <v>1.4500000000000001E-2</v>
      </c>
      <c r="H6" s="127">
        <f t="shared" si="1"/>
        <v>1.4999999999999999E-2</v>
      </c>
    </row>
    <row r="7" spans="1:8">
      <c r="A7" s="664">
        <f t="shared" si="2"/>
        <v>4</v>
      </c>
      <c r="B7" s="714">
        <v>6</v>
      </c>
      <c r="D7" s="29">
        <v>7</v>
      </c>
      <c r="E7" s="29">
        <v>257</v>
      </c>
      <c r="F7" s="28">
        <f t="shared" si="3"/>
        <v>227</v>
      </c>
      <c r="G7" s="127">
        <f t="shared" si="0"/>
        <v>0.1135</v>
      </c>
      <c r="H7" s="127">
        <f t="shared" si="1"/>
        <v>0.1285</v>
      </c>
    </row>
    <row r="8" spans="1:8">
      <c r="A8" s="664">
        <f t="shared" si="2"/>
        <v>5</v>
      </c>
      <c r="B8" s="714">
        <v>6</v>
      </c>
      <c r="D8" s="29">
        <v>8</v>
      </c>
      <c r="E8" s="29">
        <v>451</v>
      </c>
      <c r="F8" s="28">
        <f t="shared" si="3"/>
        <v>194</v>
      </c>
      <c r="G8" s="127">
        <f t="shared" si="0"/>
        <v>9.7000000000000003E-2</v>
      </c>
      <c r="H8" s="127">
        <f t="shared" si="1"/>
        <v>0.22550000000000001</v>
      </c>
    </row>
    <row r="9" spans="1:8">
      <c r="A9" s="664">
        <f t="shared" si="2"/>
        <v>6</v>
      </c>
      <c r="B9" s="714">
        <v>6</v>
      </c>
      <c r="D9" s="29">
        <v>9</v>
      </c>
      <c r="E9" s="29">
        <v>856</v>
      </c>
      <c r="F9" s="28">
        <f t="shared" si="3"/>
        <v>405</v>
      </c>
      <c r="G9" s="127">
        <f t="shared" si="0"/>
        <v>0.20250000000000001</v>
      </c>
      <c r="H9" s="127">
        <f t="shared" si="1"/>
        <v>0.42799999999999999</v>
      </c>
    </row>
    <row r="10" spans="1:8">
      <c r="A10" s="664">
        <f t="shared" si="2"/>
        <v>7</v>
      </c>
      <c r="B10" s="714">
        <v>7</v>
      </c>
      <c r="D10" s="29">
        <v>10</v>
      </c>
      <c r="E10" s="29">
        <v>1283</v>
      </c>
      <c r="F10" s="28">
        <f t="shared" si="3"/>
        <v>427</v>
      </c>
      <c r="G10" s="127">
        <f t="shared" si="0"/>
        <v>0.2135</v>
      </c>
      <c r="H10" s="127">
        <f t="shared" si="1"/>
        <v>0.64149999999999996</v>
      </c>
    </row>
    <row r="11" spans="1:8">
      <c r="A11" s="664">
        <f t="shared" si="2"/>
        <v>8</v>
      </c>
      <c r="B11" s="714">
        <v>7</v>
      </c>
      <c r="D11" s="29">
        <v>11</v>
      </c>
      <c r="E11" s="29">
        <v>1978</v>
      </c>
      <c r="F11" s="28">
        <f t="shared" si="3"/>
        <v>695</v>
      </c>
      <c r="G11" s="127">
        <f t="shared" si="0"/>
        <v>0.34749999999999998</v>
      </c>
      <c r="H11" s="127">
        <f t="shared" si="1"/>
        <v>0.98899999999999999</v>
      </c>
    </row>
    <row r="12" spans="1:8">
      <c r="A12" s="664">
        <f t="shared" si="2"/>
        <v>9</v>
      </c>
      <c r="B12" s="714">
        <v>9</v>
      </c>
      <c r="D12" s="29">
        <v>12</v>
      </c>
      <c r="E12" s="29">
        <v>1999</v>
      </c>
      <c r="F12" s="28">
        <f t="shared" si="3"/>
        <v>21</v>
      </c>
      <c r="G12" s="127">
        <f t="shared" si="0"/>
        <v>1.0500000000000001E-2</v>
      </c>
      <c r="H12" s="127">
        <f t="shared" si="1"/>
        <v>0.99950000000000006</v>
      </c>
    </row>
    <row r="13" spans="1:8" ht="15" thickBot="1">
      <c r="A13" s="664">
        <f t="shared" si="2"/>
        <v>10</v>
      </c>
      <c r="B13" s="714">
        <v>9</v>
      </c>
      <c r="D13" s="31" t="s">
        <v>113</v>
      </c>
      <c r="E13" s="31">
        <v>2000</v>
      </c>
      <c r="F13" s="31">
        <f t="shared" si="3"/>
        <v>1</v>
      </c>
      <c r="G13" s="33">
        <f t="shared" si="0"/>
        <v>5.0000000000000001E-4</v>
      </c>
      <c r="H13" s="33">
        <f t="shared" si="1"/>
        <v>1</v>
      </c>
    </row>
    <row r="14" spans="1:8">
      <c r="A14" s="664">
        <f t="shared" si="2"/>
        <v>11</v>
      </c>
      <c r="B14" s="714">
        <v>10</v>
      </c>
      <c r="F14">
        <f>SUM(F4:F13)</f>
        <v>2000</v>
      </c>
    </row>
    <row r="15" spans="1:8">
      <c r="A15" s="664">
        <f t="shared" si="2"/>
        <v>12</v>
      </c>
      <c r="B15" s="714">
        <v>11</v>
      </c>
    </row>
    <row r="16" spans="1:8">
      <c r="A16" s="664">
        <f t="shared" si="2"/>
        <v>13</v>
      </c>
      <c r="B16" s="714">
        <v>11</v>
      </c>
    </row>
    <row r="17" spans="1:5">
      <c r="A17" s="664">
        <f t="shared" si="2"/>
        <v>14</v>
      </c>
      <c r="B17" s="714">
        <v>11</v>
      </c>
    </row>
    <row r="18" spans="1:5">
      <c r="A18" s="664">
        <f t="shared" si="2"/>
        <v>15</v>
      </c>
      <c r="B18" s="714">
        <v>11</v>
      </c>
    </row>
    <row r="19" spans="1:5">
      <c r="A19" s="664">
        <f t="shared" si="2"/>
        <v>16</v>
      </c>
      <c r="B19" s="714">
        <v>12</v>
      </c>
      <c r="D19" t="s">
        <v>63</v>
      </c>
      <c r="E19" s="743">
        <f>AVERAGE(B4:B23)</f>
        <v>9</v>
      </c>
    </row>
    <row r="20" spans="1:5">
      <c r="A20" s="664">
        <f t="shared" si="2"/>
        <v>17</v>
      </c>
      <c r="B20" s="714">
        <v>12</v>
      </c>
      <c r="D20" t="s">
        <v>1001</v>
      </c>
      <c r="E20" s="627">
        <f>MEDIAN(B4:B23)</f>
        <v>9.5</v>
      </c>
    </row>
    <row r="21" spans="1:5">
      <c r="A21" s="664">
        <f t="shared" si="2"/>
        <v>18</v>
      </c>
      <c r="B21" s="714">
        <v>13</v>
      </c>
      <c r="D21" t="s">
        <v>218</v>
      </c>
      <c r="E21" s="544">
        <f>STDEV(B4:B23)</f>
        <v>3.4335803011158084</v>
      </c>
    </row>
    <row r="22" spans="1:5">
      <c r="A22" s="664">
        <f t="shared" si="2"/>
        <v>19</v>
      </c>
      <c r="B22" s="714">
        <v>13</v>
      </c>
    </row>
    <row r="23" spans="1:5">
      <c r="A23" s="560">
        <f t="shared" si="2"/>
        <v>20</v>
      </c>
      <c r="B23" s="713">
        <v>15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sheetPr codeName="Sheet220"/>
  <dimension ref="A1:N31"/>
  <sheetViews>
    <sheetView workbookViewId="0"/>
  </sheetViews>
  <sheetFormatPr defaultRowHeight="14.4"/>
  <cols>
    <col min="1" max="8" width="5.109375" customWidth="1"/>
  </cols>
  <sheetData>
    <row r="1" spans="1:14">
      <c r="A1" s="1" t="s">
        <v>1853</v>
      </c>
    </row>
    <row r="2" spans="1:14" ht="15" thickBot="1">
      <c r="B2" s="1"/>
    </row>
    <row r="3" spans="1:14">
      <c r="A3" s="1554" t="s">
        <v>1815</v>
      </c>
      <c r="B3" s="1554"/>
      <c r="C3" s="1554"/>
      <c r="D3" s="1554"/>
      <c r="E3" s="1554" t="s">
        <v>1816</v>
      </c>
      <c r="F3" s="1554"/>
      <c r="G3" s="1554"/>
      <c r="H3" s="1554"/>
      <c r="J3" s="741" t="s">
        <v>112</v>
      </c>
      <c r="K3" s="741" t="s">
        <v>133</v>
      </c>
      <c r="L3" s="741" t="s">
        <v>132</v>
      </c>
      <c r="M3" s="741" t="s">
        <v>1258</v>
      </c>
      <c r="N3" s="741" t="s">
        <v>1852</v>
      </c>
    </row>
    <row r="4" spans="1:14">
      <c r="A4" s="785">
        <v>81</v>
      </c>
      <c r="B4" s="786">
        <v>62</v>
      </c>
      <c r="C4" s="786">
        <v>90</v>
      </c>
      <c r="D4" s="786">
        <v>79</v>
      </c>
      <c r="E4" s="785">
        <v>72</v>
      </c>
      <c r="F4" s="786">
        <v>86</v>
      </c>
      <c r="G4" s="786">
        <v>77</v>
      </c>
      <c r="H4" s="787">
        <v>66</v>
      </c>
      <c r="J4" s="29">
        <v>-8</v>
      </c>
      <c r="K4" s="29">
        <v>1</v>
      </c>
      <c r="L4" s="28">
        <f>K4</f>
        <v>1</v>
      </c>
      <c r="M4" s="127">
        <f t="shared" ref="M4:M21" si="0">L4/$L$22</f>
        <v>5.0000000000000001E-4</v>
      </c>
      <c r="N4" s="127">
        <f>M4</f>
        <v>5.0000000000000001E-4</v>
      </c>
    </row>
    <row r="5" spans="1:14">
      <c r="A5" s="664">
        <v>65</v>
      </c>
      <c r="B5" s="740">
        <v>86</v>
      </c>
      <c r="C5" s="740">
        <v>88</v>
      </c>
      <c r="D5" s="740">
        <v>72</v>
      </c>
      <c r="E5" s="664">
        <v>80</v>
      </c>
      <c r="F5" s="740">
        <v>35</v>
      </c>
      <c r="G5" s="740">
        <v>87</v>
      </c>
      <c r="H5" s="618">
        <v>79</v>
      </c>
      <c r="J5" s="29">
        <f>J4+1</f>
        <v>-7</v>
      </c>
      <c r="K5" s="29">
        <v>6</v>
      </c>
      <c r="L5" s="28">
        <f>K5-K4</f>
        <v>5</v>
      </c>
      <c r="M5" s="127">
        <f t="shared" si="0"/>
        <v>2.5000000000000001E-3</v>
      </c>
      <c r="N5" s="127">
        <f>N4+M5</f>
        <v>3.0000000000000001E-3</v>
      </c>
    </row>
    <row r="6" spans="1:14">
      <c r="A6" s="664">
        <v>89</v>
      </c>
      <c r="B6" s="740">
        <v>89</v>
      </c>
      <c r="C6" s="740">
        <v>74</v>
      </c>
      <c r="D6" s="740">
        <v>92</v>
      </c>
      <c r="E6" s="664">
        <v>63</v>
      </c>
      <c r="F6" s="740">
        <v>78</v>
      </c>
      <c r="G6" s="740">
        <v>77</v>
      </c>
      <c r="H6" s="618">
        <v>67</v>
      </c>
      <c r="J6" s="29">
        <f t="shared" ref="J6:J19" si="1">J5+1</f>
        <v>-6</v>
      </c>
      <c r="K6" s="29">
        <v>32</v>
      </c>
      <c r="L6" s="28">
        <f t="shared" ref="L6:L20" si="2">K6-K5</f>
        <v>26</v>
      </c>
      <c r="M6" s="127">
        <f t="shared" si="0"/>
        <v>1.2999999999999999E-2</v>
      </c>
      <c r="N6" s="127">
        <f t="shared" ref="N6:N11" si="3">N5+M6</f>
        <v>1.6E-2</v>
      </c>
    </row>
    <row r="7" spans="1:14">
      <c r="A7" s="664">
        <v>70</v>
      </c>
      <c r="B7" s="740">
        <v>75</v>
      </c>
      <c r="C7" s="740">
        <v>88</v>
      </c>
      <c r="D7" s="740">
        <v>77</v>
      </c>
      <c r="E7" s="664">
        <v>67</v>
      </c>
      <c r="F7" s="740">
        <v>72</v>
      </c>
      <c r="G7" s="740">
        <v>65</v>
      </c>
      <c r="H7" s="618">
        <v>65</v>
      </c>
      <c r="J7" s="29">
        <f t="shared" si="1"/>
        <v>-5</v>
      </c>
      <c r="K7" s="29">
        <v>106</v>
      </c>
      <c r="L7" s="28">
        <f t="shared" si="2"/>
        <v>74</v>
      </c>
      <c r="M7" s="127">
        <f t="shared" si="0"/>
        <v>3.6999999999999998E-2</v>
      </c>
      <c r="N7" s="127">
        <f t="shared" si="3"/>
        <v>5.2999999999999999E-2</v>
      </c>
    </row>
    <row r="8" spans="1:14">
      <c r="A8" s="664">
        <v>87</v>
      </c>
      <c r="B8" s="740">
        <v>76</v>
      </c>
      <c r="C8" s="740">
        <v>90</v>
      </c>
      <c r="D8" s="740">
        <v>45</v>
      </c>
      <c r="E8" s="664">
        <v>69</v>
      </c>
      <c r="F8" s="740">
        <v>75</v>
      </c>
      <c r="G8" s="740">
        <v>90</v>
      </c>
      <c r="H8" s="618">
        <v>76</v>
      </c>
      <c r="J8" s="29">
        <f t="shared" si="1"/>
        <v>-4</v>
      </c>
      <c r="K8" s="29">
        <v>268</v>
      </c>
      <c r="L8" s="28">
        <f t="shared" si="2"/>
        <v>162</v>
      </c>
      <c r="M8" s="127">
        <f t="shared" si="0"/>
        <v>8.1000000000000003E-2</v>
      </c>
      <c r="N8" s="127">
        <f t="shared" si="3"/>
        <v>0.13400000000000001</v>
      </c>
    </row>
    <row r="9" spans="1:14">
      <c r="A9" s="664">
        <v>61</v>
      </c>
      <c r="B9" s="740">
        <v>69</v>
      </c>
      <c r="C9" s="740">
        <v>87</v>
      </c>
      <c r="D9" s="740">
        <v>75</v>
      </c>
      <c r="E9" s="664">
        <v>62</v>
      </c>
      <c r="F9" s="740">
        <v>73</v>
      </c>
      <c r="G9" s="740">
        <v>55</v>
      </c>
      <c r="H9" s="618">
        <v>70</v>
      </c>
      <c r="J9" s="29">
        <f t="shared" si="1"/>
        <v>-3</v>
      </c>
      <c r="K9" s="29">
        <v>506</v>
      </c>
      <c r="L9" s="28">
        <f t="shared" si="2"/>
        <v>238</v>
      </c>
      <c r="M9" s="127">
        <f t="shared" si="0"/>
        <v>0.11899999999999999</v>
      </c>
      <c r="N9" s="127">
        <f t="shared" si="3"/>
        <v>0.253</v>
      </c>
    </row>
    <row r="10" spans="1:14">
      <c r="A10" s="664">
        <v>94</v>
      </c>
      <c r="B10" s="740">
        <v>69</v>
      </c>
      <c r="C10" s="740">
        <v>95</v>
      </c>
      <c r="D10" s="740">
        <v>70</v>
      </c>
      <c r="E10" s="664">
        <v>67</v>
      </c>
      <c r="F10" s="740">
        <v>71</v>
      </c>
      <c r="G10" s="740">
        <v>69</v>
      </c>
      <c r="H10" s="618">
        <v>64</v>
      </c>
      <c r="J10" s="29">
        <f t="shared" si="1"/>
        <v>-2</v>
      </c>
      <c r="K10" s="29">
        <v>726</v>
      </c>
      <c r="L10" s="28">
        <f t="shared" si="2"/>
        <v>220</v>
      </c>
      <c r="M10" s="127">
        <f t="shared" si="0"/>
        <v>0.11</v>
      </c>
      <c r="N10" s="127">
        <f t="shared" si="3"/>
        <v>0.36299999999999999</v>
      </c>
    </row>
    <row r="11" spans="1:14">
      <c r="A11" s="664">
        <v>98</v>
      </c>
      <c r="B11" s="740">
        <v>61</v>
      </c>
      <c r="C11" s="740">
        <v>66</v>
      </c>
      <c r="D11" s="740">
        <v>91</v>
      </c>
      <c r="E11" s="664">
        <v>62</v>
      </c>
      <c r="F11" s="740">
        <v>78</v>
      </c>
      <c r="G11" s="740">
        <v>91</v>
      </c>
      <c r="H11" s="618">
        <v>64</v>
      </c>
      <c r="J11" s="29">
        <f t="shared" si="1"/>
        <v>-1</v>
      </c>
      <c r="K11" s="29">
        <v>913</v>
      </c>
      <c r="L11" s="28">
        <f t="shared" si="2"/>
        <v>187</v>
      </c>
      <c r="M11" s="127">
        <f t="shared" si="0"/>
        <v>9.35E-2</v>
      </c>
      <c r="N11" s="127">
        <f t="shared" si="3"/>
        <v>0.45650000000000002</v>
      </c>
    </row>
    <row r="12" spans="1:14">
      <c r="A12" s="664">
        <v>81</v>
      </c>
      <c r="B12" s="740">
        <v>72</v>
      </c>
      <c r="C12" s="740">
        <v>72</v>
      </c>
      <c r="D12" s="740">
        <v>73</v>
      </c>
      <c r="E12" s="664">
        <v>71</v>
      </c>
      <c r="F12" s="740">
        <v>80</v>
      </c>
      <c r="G12" s="740">
        <v>30</v>
      </c>
      <c r="H12" s="618"/>
      <c r="J12" s="29">
        <f t="shared" si="1"/>
        <v>0</v>
      </c>
      <c r="K12" s="29">
        <v>1041</v>
      </c>
      <c r="L12" s="28">
        <f t="shared" si="2"/>
        <v>128</v>
      </c>
      <c r="M12" s="127">
        <f t="shared" si="0"/>
        <v>6.4000000000000001E-2</v>
      </c>
      <c r="N12" s="127">
        <f>N11+M12</f>
        <v>0.52049999999999996</v>
      </c>
    </row>
    <row r="13" spans="1:14">
      <c r="A13" s="560">
        <v>70</v>
      </c>
      <c r="B13" s="739">
        <v>77</v>
      </c>
      <c r="C13" s="739">
        <v>84</v>
      </c>
      <c r="D13" s="739">
        <v>67</v>
      </c>
      <c r="E13" s="560">
        <v>70</v>
      </c>
      <c r="F13" s="739">
        <v>45</v>
      </c>
      <c r="G13" s="739">
        <v>71</v>
      </c>
      <c r="H13" s="536"/>
      <c r="J13" s="29">
        <f t="shared" si="1"/>
        <v>1</v>
      </c>
      <c r="K13" s="29">
        <v>1178</v>
      </c>
      <c r="L13" s="28">
        <f t="shared" si="2"/>
        <v>137</v>
      </c>
      <c r="M13" s="127">
        <f t="shared" si="0"/>
        <v>6.8500000000000005E-2</v>
      </c>
      <c r="N13" s="127">
        <f t="shared" ref="N13:N19" si="4">N12+M13</f>
        <v>0.58899999999999997</v>
      </c>
    </row>
    <row r="14" spans="1:14">
      <c r="J14" s="29">
        <f t="shared" si="1"/>
        <v>2</v>
      </c>
      <c r="K14" s="29">
        <v>1380</v>
      </c>
      <c r="L14" s="28">
        <f t="shared" si="2"/>
        <v>202</v>
      </c>
      <c r="M14" s="127">
        <f t="shared" si="0"/>
        <v>0.10100000000000001</v>
      </c>
      <c r="N14" s="127">
        <f t="shared" si="4"/>
        <v>0.69</v>
      </c>
    </row>
    <row r="15" spans="1:14">
      <c r="J15" s="29">
        <f t="shared" si="1"/>
        <v>3</v>
      </c>
      <c r="K15" s="29">
        <v>1621</v>
      </c>
      <c r="L15" s="28">
        <f t="shared" si="2"/>
        <v>241</v>
      </c>
      <c r="M15" s="127">
        <f t="shared" si="0"/>
        <v>0.1205</v>
      </c>
      <c r="N15" s="127">
        <f t="shared" si="4"/>
        <v>0.8105</v>
      </c>
    </row>
    <row r="16" spans="1:14">
      <c r="J16" s="29">
        <f t="shared" si="1"/>
        <v>4</v>
      </c>
      <c r="K16" s="29">
        <v>1794</v>
      </c>
      <c r="L16" s="28">
        <f t="shared" si="2"/>
        <v>173</v>
      </c>
      <c r="M16" s="127">
        <f t="shared" si="0"/>
        <v>8.6499999999999994E-2</v>
      </c>
      <c r="N16" s="127">
        <f t="shared" si="4"/>
        <v>0.89700000000000002</v>
      </c>
    </row>
    <row r="17" spans="10:14">
      <c r="J17" s="29">
        <f t="shared" si="1"/>
        <v>5</v>
      </c>
      <c r="K17" s="29">
        <v>1902</v>
      </c>
      <c r="L17" s="28">
        <f t="shared" si="2"/>
        <v>108</v>
      </c>
      <c r="M17" s="127">
        <f t="shared" si="0"/>
        <v>5.3999999999999999E-2</v>
      </c>
      <c r="N17" s="127">
        <f t="shared" si="4"/>
        <v>0.95100000000000007</v>
      </c>
    </row>
    <row r="18" spans="10:14">
      <c r="J18" s="29">
        <f t="shared" si="1"/>
        <v>6</v>
      </c>
      <c r="K18" s="29">
        <v>1970</v>
      </c>
      <c r="L18" s="28">
        <f t="shared" si="2"/>
        <v>68</v>
      </c>
      <c r="M18" s="127">
        <f t="shared" si="0"/>
        <v>3.4000000000000002E-2</v>
      </c>
      <c r="N18" s="127">
        <f t="shared" si="4"/>
        <v>0.9850000000000001</v>
      </c>
    </row>
    <row r="19" spans="10:14">
      <c r="J19" s="29">
        <f t="shared" si="1"/>
        <v>7</v>
      </c>
      <c r="K19" s="29">
        <v>1997</v>
      </c>
      <c r="L19" s="28">
        <f t="shared" si="2"/>
        <v>27</v>
      </c>
      <c r="M19" s="127">
        <f t="shared" si="0"/>
        <v>1.35E-2</v>
      </c>
      <c r="N19" s="127">
        <f t="shared" si="4"/>
        <v>0.99850000000000005</v>
      </c>
    </row>
    <row r="20" spans="10:14">
      <c r="J20" s="29">
        <f>J19+1</f>
        <v>8</v>
      </c>
      <c r="K20" s="29">
        <v>2000</v>
      </c>
      <c r="L20" s="28">
        <f t="shared" si="2"/>
        <v>3</v>
      </c>
      <c r="M20" s="127">
        <f t="shared" si="0"/>
        <v>1.5E-3</v>
      </c>
      <c r="N20" s="127">
        <f>N19+M20</f>
        <v>1</v>
      </c>
    </row>
    <row r="21" spans="10:14" ht="15" thickBot="1">
      <c r="J21" s="31" t="s">
        <v>113</v>
      </c>
      <c r="K21" s="31">
        <v>2000</v>
      </c>
      <c r="L21" s="31">
        <f>K21-K20</f>
        <v>0</v>
      </c>
      <c r="M21" s="784">
        <f t="shared" si="0"/>
        <v>0</v>
      </c>
      <c r="N21" s="784">
        <f>N20+M21</f>
        <v>1</v>
      </c>
    </row>
    <row r="22" spans="10:14">
      <c r="J22" s="304"/>
      <c r="K22" s="28"/>
      <c r="L22" s="29">
        <f>SUM(L4:L21)</f>
        <v>2000</v>
      </c>
      <c r="M22" s="30"/>
    </row>
    <row r="23" spans="10:14">
      <c r="K23" s="28"/>
    </row>
    <row r="24" spans="10:14">
      <c r="J24" s="788" t="s">
        <v>1854</v>
      </c>
      <c r="K24" s="28">
        <v>32</v>
      </c>
      <c r="N24" s="127">
        <f>K24/$L$22</f>
        <v>1.6E-2</v>
      </c>
    </row>
    <row r="25" spans="10:14" ht="15" thickBot="1">
      <c r="J25" s="305" t="s">
        <v>1855</v>
      </c>
      <c r="K25" s="31">
        <v>47</v>
      </c>
      <c r="L25" s="31"/>
      <c r="M25" s="31"/>
      <c r="N25" s="784">
        <f>K25/$L$22</f>
        <v>2.35E-2</v>
      </c>
    </row>
    <row r="26" spans="10:14">
      <c r="K26">
        <f>K24+K25</f>
        <v>79</v>
      </c>
      <c r="N26" s="127">
        <f>K26/$L$22</f>
        <v>3.95E-2</v>
      </c>
    </row>
    <row r="28" spans="10:14">
      <c r="K28" s="19" t="s">
        <v>1818</v>
      </c>
      <c r="L28" s="19" t="s">
        <v>1816</v>
      </c>
      <c r="M28" s="19" t="s">
        <v>1468</v>
      </c>
    </row>
    <row r="29" spans="10:14">
      <c r="J29" t="s">
        <v>63</v>
      </c>
      <c r="K29" s="747">
        <f>AVERAGE(A4:D13)</f>
        <v>77.674999999999997</v>
      </c>
      <c r="L29" s="748">
        <f>AVERAGE(E4:H13)</f>
        <v>69.44736842105263</v>
      </c>
      <c r="M29" s="749">
        <f>K29-L29</f>
        <v>8.2276315789473671</v>
      </c>
    </row>
    <row r="30" spans="10:14">
      <c r="J30" t="s">
        <v>1001</v>
      </c>
      <c r="K30" s="656">
        <f>MEDIAN(A4:D13)</f>
        <v>76.5</v>
      </c>
      <c r="L30" s="8">
        <f>MEDIAN(E4:H13)</f>
        <v>70.5</v>
      </c>
      <c r="M30" s="657">
        <f>K30-L30</f>
        <v>6</v>
      </c>
    </row>
    <row r="31" spans="10:14">
      <c r="J31" t="s">
        <v>218</v>
      </c>
      <c r="K31" s="533">
        <f>STDEV(A4:D13)</f>
        <v>11.547865825692858</v>
      </c>
      <c r="L31" s="534">
        <f>STDEV(E4:H13)</f>
        <v>12.714531733884218</v>
      </c>
      <c r="M31" s="541"/>
    </row>
  </sheetData>
  <mergeCells count="2">
    <mergeCell ref="A3:D3"/>
    <mergeCell ref="E3:H3"/>
  </mergeCells>
  <pageMargins left="0.7" right="0.7" top="0.75" bottom="0.75" header="0.3" footer="0.3"/>
  <ignoredErrors>
    <ignoredError sqref="M4" formula="1"/>
  </ignoredError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sheetPr codeName="Sheet221"/>
  <dimension ref="A1:J19"/>
  <sheetViews>
    <sheetView workbookViewId="0"/>
  </sheetViews>
  <sheetFormatPr defaultRowHeight="14.4"/>
  <sheetData>
    <row r="1" spans="1:10">
      <c r="A1" s="1" t="s">
        <v>1856</v>
      </c>
    </row>
    <row r="2" spans="1:10" ht="15" thickBot="1"/>
    <row r="3" spans="1:10">
      <c r="A3" s="752" t="s">
        <v>243</v>
      </c>
      <c r="B3" s="752" t="s">
        <v>1829</v>
      </c>
      <c r="C3" s="752" t="s">
        <v>1830</v>
      </c>
      <c r="D3" s="752" t="s">
        <v>1468</v>
      </c>
      <c r="F3" s="741" t="s">
        <v>112</v>
      </c>
      <c r="G3" s="741" t="s">
        <v>133</v>
      </c>
      <c r="H3" s="741" t="s">
        <v>132</v>
      </c>
      <c r="I3" s="741" t="s">
        <v>1258</v>
      </c>
      <c r="J3" s="741" t="s">
        <v>1852</v>
      </c>
    </row>
    <row r="4" spans="1:10">
      <c r="A4" s="738">
        <v>1</v>
      </c>
      <c r="B4" s="738">
        <v>50</v>
      </c>
      <c r="C4" s="738">
        <v>47</v>
      </c>
      <c r="D4" s="738">
        <f>B4-C4</f>
        <v>3</v>
      </c>
      <c r="F4" s="29">
        <v>-4</v>
      </c>
      <c r="G4" s="29">
        <v>31</v>
      </c>
      <c r="H4" s="28">
        <f>G4</f>
        <v>31</v>
      </c>
      <c r="I4" s="127">
        <f>H4/$H$14</f>
        <v>1.55E-2</v>
      </c>
      <c r="J4" s="127">
        <f>I4</f>
        <v>1.55E-2</v>
      </c>
    </row>
    <row r="5" spans="1:10">
      <c r="A5" s="738">
        <f>A4+1</f>
        <v>2</v>
      </c>
      <c r="B5" s="738">
        <v>45</v>
      </c>
      <c r="C5" s="738">
        <v>45</v>
      </c>
      <c r="D5" s="738">
        <f t="shared" ref="D5:D18" si="0">B5-C5</f>
        <v>0</v>
      </c>
      <c r="F5" s="29">
        <f>F4+1</f>
        <v>-3</v>
      </c>
      <c r="G5" s="29">
        <v>200</v>
      </c>
      <c r="H5" s="28">
        <f>G5-G4</f>
        <v>169</v>
      </c>
      <c r="I5" s="127">
        <f t="shared" ref="I5:I13" si="1">H5/$H$14</f>
        <v>8.4500000000000006E-2</v>
      </c>
      <c r="J5" s="127">
        <f>J4+I5</f>
        <v>0.1</v>
      </c>
    </row>
    <row r="6" spans="1:10">
      <c r="A6" s="738">
        <f t="shared" ref="A6:A18" si="2">A5+1</f>
        <v>3</v>
      </c>
      <c r="B6" s="738">
        <v>33</v>
      </c>
      <c r="C6" s="738">
        <v>31</v>
      </c>
      <c r="D6" s="738">
        <f t="shared" si="0"/>
        <v>2</v>
      </c>
      <c r="F6" s="29">
        <f t="shared" ref="F6:F12" si="3">F5+1</f>
        <v>-2</v>
      </c>
      <c r="G6" s="29">
        <v>538</v>
      </c>
      <c r="H6" s="28">
        <f t="shared" ref="H6:H12" si="4">G6-G5</f>
        <v>338</v>
      </c>
      <c r="I6" s="127">
        <f t="shared" si="1"/>
        <v>0.16900000000000001</v>
      </c>
      <c r="J6" s="127">
        <f t="shared" ref="J6:J11" si="5">J5+I6</f>
        <v>0.26900000000000002</v>
      </c>
    </row>
    <row r="7" spans="1:10">
      <c r="A7" s="738">
        <f t="shared" si="2"/>
        <v>4</v>
      </c>
      <c r="B7" s="738">
        <v>22</v>
      </c>
      <c r="C7" s="738">
        <v>24</v>
      </c>
      <c r="D7" s="738">
        <f t="shared" si="0"/>
        <v>-2</v>
      </c>
      <c r="F7" s="29">
        <f t="shared" si="3"/>
        <v>-1</v>
      </c>
      <c r="G7" s="29">
        <v>768</v>
      </c>
      <c r="H7" s="28">
        <f t="shared" si="4"/>
        <v>230</v>
      </c>
      <c r="I7" s="127">
        <f t="shared" si="1"/>
        <v>0.115</v>
      </c>
      <c r="J7" s="127">
        <f t="shared" si="5"/>
        <v>0.38400000000000001</v>
      </c>
    </row>
    <row r="8" spans="1:10">
      <c r="A8" s="738">
        <f t="shared" si="2"/>
        <v>5</v>
      </c>
      <c r="B8" s="738">
        <v>99</v>
      </c>
      <c r="C8" s="738">
        <v>78</v>
      </c>
      <c r="D8" s="738">
        <f t="shared" si="0"/>
        <v>21</v>
      </c>
      <c r="F8" s="29">
        <f t="shared" si="3"/>
        <v>0</v>
      </c>
      <c r="G8" s="29">
        <v>1193</v>
      </c>
      <c r="H8" s="28">
        <f t="shared" si="4"/>
        <v>425</v>
      </c>
      <c r="I8" s="127">
        <f t="shared" si="1"/>
        <v>0.21249999999999999</v>
      </c>
      <c r="J8" s="127">
        <f t="shared" si="5"/>
        <v>0.59650000000000003</v>
      </c>
    </row>
    <row r="9" spans="1:10">
      <c r="A9" s="738">
        <f t="shared" si="2"/>
        <v>6</v>
      </c>
      <c r="B9" s="738">
        <v>79</v>
      </c>
      <c r="C9" s="738">
        <v>76</v>
      </c>
      <c r="D9" s="738">
        <f t="shared" si="0"/>
        <v>3</v>
      </c>
      <c r="F9" s="29">
        <f t="shared" si="3"/>
        <v>1</v>
      </c>
      <c r="G9" s="29">
        <v>1407</v>
      </c>
      <c r="H9" s="28">
        <f t="shared" si="4"/>
        <v>214</v>
      </c>
      <c r="I9" s="127">
        <f t="shared" si="1"/>
        <v>0.107</v>
      </c>
      <c r="J9" s="127">
        <f t="shared" si="5"/>
        <v>0.70350000000000001</v>
      </c>
    </row>
    <row r="10" spans="1:10">
      <c r="A10" s="738">
        <f t="shared" si="2"/>
        <v>7</v>
      </c>
      <c r="B10" s="738">
        <v>4</v>
      </c>
      <c r="C10" s="738">
        <v>13</v>
      </c>
      <c r="D10" s="738">
        <f t="shared" si="0"/>
        <v>-9</v>
      </c>
      <c r="F10" s="29">
        <f t="shared" si="3"/>
        <v>2</v>
      </c>
      <c r="G10" s="29">
        <v>1754</v>
      </c>
      <c r="H10" s="28">
        <f t="shared" si="4"/>
        <v>347</v>
      </c>
      <c r="I10" s="127">
        <f t="shared" si="1"/>
        <v>0.17349999999999999</v>
      </c>
      <c r="J10" s="127">
        <f t="shared" si="5"/>
        <v>0.877</v>
      </c>
    </row>
    <row r="11" spans="1:10">
      <c r="A11" s="738">
        <f t="shared" si="2"/>
        <v>8</v>
      </c>
      <c r="B11" s="738">
        <v>36</v>
      </c>
      <c r="C11" s="738">
        <v>46</v>
      </c>
      <c r="D11" s="738">
        <f t="shared" si="0"/>
        <v>-10</v>
      </c>
      <c r="F11" s="29">
        <f t="shared" si="3"/>
        <v>3</v>
      </c>
      <c r="G11" s="29">
        <v>1954</v>
      </c>
      <c r="H11" s="28">
        <f t="shared" si="4"/>
        <v>200</v>
      </c>
      <c r="I11" s="127">
        <f t="shared" si="1"/>
        <v>0.1</v>
      </c>
      <c r="J11" s="127">
        <f t="shared" si="5"/>
        <v>0.97699999999999998</v>
      </c>
    </row>
    <row r="12" spans="1:10">
      <c r="A12" s="738">
        <f t="shared" si="2"/>
        <v>9</v>
      </c>
      <c r="B12" s="738">
        <v>62</v>
      </c>
      <c r="C12" s="738">
        <v>45</v>
      </c>
      <c r="D12" s="738">
        <f t="shared" si="0"/>
        <v>17</v>
      </c>
      <c r="F12" s="29">
        <f t="shared" si="3"/>
        <v>4</v>
      </c>
      <c r="G12" s="29">
        <v>2000</v>
      </c>
      <c r="H12" s="28">
        <f t="shared" si="4"/>
        <v>46</v>
      </c>
      <c r="I12" s="127">
        <f t="shared" si="1"/>
        <v>2.3E-2</v>
      </c>
      <c r="J12" s="127">
        <f>J11+I12</f>
        <v>1</v>
      </c>
    </row>
    <row r="13" spans="1:10" ht="15" thickBot="1">
      <c r="A13" s="738">
        <f t="shared" si="2"/>
        <v>10</v>
      </c>
      <c r="B13" s="738">
        <v>51</v>
      </c>
      <c r="C13" s="738">
        <v>44</v>
      </c>
      <c r="D13" s="738">
        <f t="shared" si="0"/>
        <v>7</v>
      </c>
      <c r="F13" s="31" t="s">
        <v>113</v>
      </c>
      <c r="G13" s="31">
        <v>2000</v>
      </c>
      <c r="H13" s="31">
        <f>G13-G12</f>
        <v>0</v>
      </c>
      <c r="I13" s="784">
        <f t="shared" si="1"/>
        <v>0</v>
      </c>
      <c r="J13" s="784">
        <f>J12+I13</f>
        <v>1</v>
      </c>
    </row>
    <row r="14" spans="1:10">
      <c r="A14" s="738">
        <f t="shared" si="2"/>
        <v>11</v>
      </c>
      <c r="B14" s="738">
        <v>27</v>
      </c>
      <c r="C14" s="738">
        <v>23</v>
      </c>
      <c r="D14" s="738">
        <f t="shared" si="0"/>
        <v>4</v>
      </c>
      <c r="F14" s="304"/>
      <c r="G14" s="28"/>
      <c r="H14" s="29">
        <f>SUM(H4:H13)</f>
        <v>2000</v>
      </c>
      <c r="I14" s="30"/>
    </row>
    <row r="15" spans="1:10">
      <c r="A15" s="738">
        <f t="shared" si="2"/>
        <v>12</v>
      </c>
      <c r="B15" s="738">
        <v>15</v>
      </c>
      <c r="C15" s="738">
        <v>14</v>
      </c>
      <c r="D15" s="738">
        <f t="shared" si="0"/>
        <v>1</v>
      </c>
    </row>
    <row r="16" spans="1:10">
      <c r="A16" s="738">
        <f t="shared" si="2"/>
        <v>13</v>
      </c>
      <c r="B16" s="738">
        <v>26</v>
      </c>
      <c r="C16" s="738">
        <v>34</v>
      </c>
      <c r="D16" s="738">
        <f t="shared" si="0"/>
        <v>-8</v>
      </c>
    </row>
    <row r="17" spans="1:4">
      <c r="A17" s="738">
        <f t="shared" si="2"/>
        <v>14</v>
      </c>
      <c r="B17" s="738">
        <v>83</v>
      </c>
      <c r="C17" s="738">
        <v>79</v>
      </c>
      <c r="D17" s="738">
        <f t="shared" si="0"/>
        <v>4</v>
      </c>
    </row>
    <row r="18" spans="1:4">
      <c r="A18" s="742">
        <f t="shared" si="2"/>
        <v>15</v>
      </c>
      <c r="B18" s="742">
        <v>86</v>
      </c>
      <c r="C18" s="742">
        <v>81</v>
      </c>
      <c r="D18" s="742">
        <f t="shared" si="0"/>
        <v>5</v>
      </c>
    </row>
    <row r="19" spans="1:4">
      <c r="A19" t="s">
        <v>1001</v>
      </c>
      <c r="D19" s="201">
        <f>MEDIAN(D4:D18)</f>
        <v>3</v>
      </c>
    </row>
  </sheetData>
  <pageMargins left="0.7" right="0.7" top="0.75" bottom="0.75" header="0.3" footer="0.3"/>
  <ignoredErrors>
    <ignoredError sqref="I4" formula="1"/>
  </ignoredError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sheetPr codeName="Sheet173"/>
  <dimension ref="A1:P32"/>
  <sheetViews>
    <sheetView workbookViewId="0">
      <selection activeCell="H18" sqref="H18"/>
    </sheetView>
  </sheetViews>
  <sheetFormatPr defaultRowHeight="14.4"/>
  <cols>
    <col min="5" max="5" width="15.33203125" customWidth="1"/>
  </cols>
  <sheetData>
    <row r="1" spans="1:16">
      <c r="A1" s="1" t="s">
        <v>877</v>
      </c>
    </row>
    <row r="3" spans="1:16">
      <c r="A3" s="231" t="s">
        <v>874</v>
      </c>
      <c r="B3" s="231" t="s">
        <v>875</v>
      </c>
      <c r="C3" s="231" t="s">
        <v>876</v>
      </c>
      <c r="E3" t="s">
        <v>878</v>
      </c>
    </row>
    <row r="4" spans="1:16">
      <c r="A4" s="229">
        <v>13</v>
      </c>
      <c r="B4" s="229">
        <v>12</v>
      </c>
      <c r="C4" s="193">
        <v>7</v>
      </c>
      <c r="M4" t="s">
        <v>889</v>
      </c>
    </row>
    <row r="5" spans="1:16" ht="15" thickBot="1">
      <c r="A5" s="117">
        <v>17</v>
      </c>
      <c r="B5" s="117">
        <v>8</v>
      </c>
      <c r="C5" s="193">
        <v>19</v>
      </c>
      <c r="E5" t="s">
        <v>879</v>
      </c>
    </row>
    <row r="6" spans="1:16" ht="15" thickTop="1">
      <c r="A6" s="117">
        <v>19</v>
      </c>
      <c r="B6" s="117">
        <v>6</v>
      </c>
      <c r="C6" s="193">
        <v>15</v>
      </c>
      <c r="E6" s="76" t="s">
        <v>222</v>
      </c>
      <c r="F6" s="76" t="s">
        <v>88</v>
      </c>
      <c r="G6" s="76" t="s">
        <v>87</v>
      </c>
      <c r="H6" s="76" t="s">
        <v>76</v>
      </c>
      <c r="I6" s="76" t="s">
        <v>223</v>
      </c>
      <c r="J6" s="76" t="s">
        <v>578</v>
      </c>
      <c r="M6" s="76" t="s">
        <v>222</v>
      </c>
      <c r="N6" s="76" t="s">
        <v>88</v>
      </c>
      <c r="O6" s="76" t="s">
        <v>76</v>
      </c>
      <c r="P6" s="76" t="s">
        <v>578</v>
      </c>
    </row>
    <row r="7" spans="1:16">
      <c r="A7" s="117">
        <v>11</v>
      </c>
      <c r="B7" s="117">
        <v>16</v>
      </c>
      <c r="C7" s="193">
        <v>14</v>
      </c>
      <c r="E7" t="s">
        <v>874</v>
      </c>
      <c r="F7">
        <f>COUNT(A4:A13)</f>
        <v>10</v>
      </c>
      <c r="G7">
        <f>SUM(A4:A13)</f>
        <v>150</v>
      </c>
      <c r="H7">
        <f>AVERAGE(A4:A13)</f>
        <v>15</v>
      </c>
      <c r="I7">
        <f>VAR(A4:A13)</f>
        <v>13.333333333333334</v>
      </c>
      <c r="J7">
        <f>DEVSQ(A4:A13)</f>
        <v>120</v>
      </c>
      <c r="M7" t="s">
        <v>874</v>
      </c>
      <c r="N7">
        <f>F7</f>
        <v>10</v>
      </c>
      <c r="O7">
        <f>H7</f>
        <v>15</v>
      </c>
      <c r="P7">
        <f>(O7-$O$10)^2</f>
        <v>3.2400000000000024</v>
      </c>
    </row>
    <row r="8" spans="1:16">
      <c r="A8" s="117">
        <v>20</v>
      </c>
      <c r="B8" s="117">
        <v>12</v>
      </c>
      <c r="C8" s="193">
        <v>10</v>
      </c>
      <c r="E8" t="s">
        <v>875</v>
      </c>
      <c r="F8">
        <f>COUNT(B4:B13)</f>
        <v>10</v>
      </c>
      <c r="G8">
        <f>SUM(B4:B13)</f>
        <v>111</v>
      </c>
      <c r="H8">
        <f>AVERAGE(B4:B13)</f>
        <v>11.1</v>
      </c>
      <c r="I8">
        <f>VAR(B4:B13)</f>
        <v>18.766666666666676</v>
      </c>
      <c r="J8">
        <f>DEVSQ(B4:B13)</f>
        <v>168.89999999999998</v>
      </c>
      <c r="M8" t="s">
        <v>875</v>
      </c>
      <c r="N8">
        <f>F8</f>
        <v>10</v>
      </c>
      <c r="O8">
        <f>H8</f>
        <v>11.1</v>
      </c>
      <c r="P8">
        <f>(O8-$O$10)^2</f>
        <v>4.4099999999999984</v>
      </c>
    </row>
    <row r="9" spans="1:16">
      <c r="A9" s="117">
        <v>15</v>
      </c>
      <c r="B9" s="117">
        <v>14</v>
      </c>
      <c r="C9" s="193">
        <v>16</v>
      </c>
      <c r="E9" t="s">
        <v>876</v>
      </c>
      <c r="F9">
        <f>COUNT(C4:C13)</f>
        <v>10</v>
      </c>
      <c r="G9">
        <f>SUM(C4:C13)</f>
        <v>135</v>
      </c>
      <c r="H9">
        <f>AVERAGE(C4:C13)</f>
        <v>13.5</v>
      </c>
      <c r="I9">
        <f>VAR(C4:C13)</f>
        <v>14.055555555555555</v>
      </c>
      <c r="J9">
        <f>DEVSQ(C4:C13)</f>
        <v>126.5</v>
      </c>
      <c r="M9" s="235" t="s">
        <v>876</v>
      </c>
      <c r="N9" s="235">
        <f>F9</f>
        <v>10</v>
      </c>
      <c r="O9" s="235">
        <f>H9</f>
        <v>13.5</v>
      </c>
      <c r="P9" s="235">
        <f>(O9-$O$10)^2</f>
        <v>9.0000000000000427E-2</v>
      </c>
    </row>
    <row r="10" spans="1:16">
      <c r="A10" s="117">
        <v>18</v>
      </c>
      <c r="B10" s="117">
        <v>10</v>
      </c>
      <c r="C10" s="193">
        <v>18</v>
      </c>
      <c r="E10" s="270"/>
      <c r="F10" s="270"/>
      <c r="G10" s="270"/>
      <c r="H10" s="270"/>
      <c r="I10" s="270"/>
      <c r="J10" s="270"/>
      <c r="O10">
        <f>AVERAGE(A4:C13)</f>
        <v>13.2</v>
      </c>
      <c r="P10">
        <f>SUMPRODUCT(N7:N9,P7:P9)</f>
        <v>77.400000000000006</v>
      </c>
    </row>
    <row r="11" spans="1:16" ht="15" thickBot="1">
      <c r="A11" s="117">
        <v>9</v>
      </c>
      <c r="B11" s="117">
        <v>18</v>
      </c>
      <c r="C11" s="193">
        <v>11</v>
      </c>
      <c r="E11" t="s">
        <v>695</v>
      </c>
      <c r="H11" t="s">
        <v>116</v>
      </c>
      <c r="I11">
        <v>0.05</v>
      </c>
    </row>
    <row r="12" spans="1:16" ht="15" thickTop="1">
      <c r="A12" s="117">
        <v>12</v>
      </c>
      <c r="B12" s="117">
        <v>4</v>
      </c>
      <c r="C12" s="193">
        <v>14</v>
      </c>
      <c r="E12" s="76" t="s">
        <v>880</v>
      </c>
      <c r="F12" s="76" t="s">
        <v>578</v>
      </c>
      <c r="G12" s="76" t="s">
        <v>186</v>
      </c>
      <c r="H12" s="76" t="s">
        <v>641</v>
      </c>
      <c r="I12" s="76" t="s">
        <v>388</v>
      </c>
      <c r="J12" s="76" t="s">
        <v>881</v>
      </c>
      <c r="K12" s="76" t="s">
        <v>882</v>
      </c>
    </row>
    <row r="13" spans="1:16">
      <c r="A13" s="230">
        <v>16</v>
      </c>
      <c r="B13" s="230">
        <v>11</v>
      </c>
      <c r="C13" s="230">
        <v>11</v>
      </c>
      <c r="E13" t="s">
        <v>883</v>
      </c>
      <c r="F13">
        <f>F15-F14</f>
        <v>77.400000000000091</v>
      </c>
      <c r="G13">
        <f>COUNTA(E7:E9)-1</f>
        <v>2</v>
      </c>
      <c r="H13">
        <f>F13/G13</f>
        <v>38.700000000000045</v>
      </c>
      <c r="I13">
        <f>H13/H14</f>
        <v>2.5154068367838258</v>
      </c>
      <c r="J13">
        <f>FDIST(I13,G13,G14)</f>
        <v>9.9596300316961456E-2</v>
      </c>
      <c r="K13">
        <f>FINV(I11,G13,G14)</f>
        <v>3.3541308285291991</v>
      </c>
    </row>
    <row r="14" spans="1:16">
      <c r="E14" t="s">
        <v>884</v>
      </c>
      <c r="F14">
        <f>SUM(J7:J9)</f>
        <v>415.4</v>
      </c>
      <c r="G14">
        <f>G15-G13</f>
        <v>27</v>
      </c>
      <c r="H14">
        <f>F14/G14</f>
        <v>15.385185185185184</v>
      </c>
    </row>
    <row r="15" spans="1:16">
      <c r="E15" s="235" t="s">
        <v>12</v>
      </c>
      <c r="F15" s="235">
        <f>DEVSQ(A4:C13)</f>
        <v>492.80000000000007</v>
      </c>
      <c r="G15" s="235">
        <f>COUNT(A4:C13)-1</f>
        <v>29</v>
      </c>
      <c r="H15" s="235">
        <f>F15/G15</f>
        <v>16.993103448275864</v>
      </c>
      <c r="I15" s="235"/>
      <c r="J15" s="235"/>
      <c r="K15" s="235"/>
      <c r="M15" t="s">
        <v>2086</v>
      </c>
    </row>
    <row r="17" spans="5:14">
      <c r="M17" t="s">
        <v>907</v>
      </c>
      <c r="N17" s="929" t="e">
        <f ca="1">[1]!MSW(A4:C13)</f>
        <v>#NAME?</v>
      </c>
    </row>
    <row r="18" spans="5:14">
      <c r="E18" t="s">
        <v>885</v>
      </c>
      <c r="M18" t="s">
        <v>200</v>
      </c>
      <c r="N18" s="544" t="e">
        <f ca="1">[1]!Atest(A4:C13)</f>
        <v>#NAME?</v>
      </c>
    </row>
    <row r="20" spans="5:14" ht="15" thickBot="1">
      <c r="E20" t="s">
        <v>194</v>
      </c>
    </row>
    <row r="21" spans="5:14">
      <c r="E21" s="27" t="s">
        <v>222</v>
      </c>
      <c r="F21" s="27" t="s">
        <v>88</v>
      </c>
      <c r="G21" s="27" t="s">
        <v>87</v>
      </c>
      <c r="H21" s="27" t="s">
        <v>886</v>
      </c>
      <c r="I21" s="27" t="s">
        <v>223</v>
      </c>
    </row>
    <row r="22" spans="5:14">
      <c r="E22" s="28" t="s">
        <v>874</v>
      </c>
      <c r="F22" s="28">
        <v>10</v>
      </c>
      <c r="G22" s="28">
        <v>150</v>
      </c>
      <c r="H22" s="28">
        <v>15</v>
      </c>
      <c r="I22" s="28">
        <v>13.333333333333334</v>
      </c>
    </row>
    <row r="23" spans="5:14">
      <c r="E23" s="28" t="s">
        <v>875</v>
      </c>
      <c r="F23" s="28">
        <v>10</v>
      </c>
      <c r="G23" s="28">
        <v>111</v>
      </c>
      <c r="H23" s="28">
        <v>11.1</v>
      </c>
      <c r="I23" s="28">
        <v>18.766666666666676</v>
      </c>
    </row>
    <row r="24" spans="5:14" ht="15" thickBot="1">
      <c r="E24" s="31" t="s">
        <v>876</v>
      </c>
      <c r="F24" s="31">
        <v>10</v>
      </c>
      <c r="G24" s="31">
        <v>135</v>
      </c>
      <c r="H24" s="31">
        <v>13.5</v>
      </c>
      <c r="I24" s="31">
        <v>14.055555555555555</v>
      </c>
    </row>
    <row r="27" spans="5:14" ht="15" thickBot="1">
      <c r="E27" t="s">
        <v>695</v>
      </c>
    </row>
    <row r="28" spans="5:14">
      <c r="E28" s="27" t="s">
        <v>887</v>
      </c>
      <c r="F28" s="27" t="s">
        <v>578</v>
      </c>
      <c r="G28" s="27" t="s">
        <v>186</v>
      </c>
      <c r="H28" s="27" t="s">
        <v>641</v>
      </c>
      <c r="I28" s="27" t="s">
        <v>388</v>
      </c>
      <c r="J28" s="27" t="s">
        <v>367</v>
      </c>
      <c r="K28" s="27" t="s">
        <v>888</v>
      </c>
    </row>
    <row r="29" spans="5:14">
      <c r="E29" s="28" t="s">
        <v>883</v>
      </c>
      <c r="F29" s="28">
        <v>77.400000000000091</v>
      </c>
      <c r="G29" s="28">
        <v>2</v>
      </c>
      <c r="H29" s="28">
        <v>38.700000000000045</v>
      </c>
      <c r="I29" s="28">
        <v>2.5154068367838258</v>
      </c>
      <c r="J29" s="28">
        <v>9.9596300316961456E-2</v>
      </c>
      <c r="K29" s="28">
        <v>3.3541308285291991</v>
      </c>
    </row>
    <row r="30" spans="5:14">
      <c r="E30" s="28" t="s">
        <v>884</v>
      </c>
      <c r="F30" s="28">
        <v>415.4</v>
      </c>
      <c r="G30" s="28">
        <v>27</v>
      </c>
      <c r="H30" s="28">
        <v>15.385185185185184</v>
      </c>
      <c r="I30" s="28"/>
      <c r="J30" s="28"/>
      <c r="K30" s="28"/>
    </row>
    <row r="31" spans="5:14">
      <c r="E31" s="28"/>
      <c r="F31" s="28"/>
      <c r="G31" s="28"/>
      <c r="H31" s="28"/>
      <c r="I31" s="28"/>
      <c r="J31" s="28"/>
      <c r="K31" s="28"/>
    </row>
    <row r="32" spans="5:14" ht="15" thickBot="1">
      <c r="E32" s="31" t="s">
        <v>12</v>
      </c>
      <c r="F32" s="31">
        <v>492.80000000000007</v>
      </c>
      <c r="G32" s="31">
        <v>29</v>
      </c>
      <c r="H32" s="31"/>
      <c r="I32" s="31"/>
      <c r="J32" s="31"/>
      <c r="K32" s="31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sheetPr codeName="Sheet174"/>
  <dimension ref="A1:T35"/>
  <sheetViews>
    <sheetView workbookViewId="0">
      <selection activeCell="G16" sqref="G16"/>
    </sheetView>
  </sheetViews>
  <sheetFormatPr defaultRowHeight="14.4"/>
  <cols>
    <col min="5" max="5" width="4.5546875" customWidth="1"/>
    <col min="6" max="6" width="16.88671875" customWidth="1"/>
    <col min="7" max="7" width="8" customWidth="1"/>
    <col min="8" max="8" width="7.44140625" customWidth="1"/>
    <col min="9" max="9" width="8.33203125" customWidth="1"/>
    <col min="11" max="12" width="8.33203125" customWidth="1"/>
    <col min="19" max="19" width="5.109375" customWidth="1"/>
  </cols>
  <sheetData>
    <row r="1" spans="1:20">
      <c r="A1" s="1" t="s">
        <v>877</v>
      </c>
    </row>
    <row r="3" spans="1:20">
      <c r="A3" s="279" t="s">
        <v>139</v>
      </c>
      <c r="B3" s="279" t="s">
        <v>140</v>
      </c>
      <c r="C3" s="279" t="s">
        <v>150</v>
      </c>
      <c r="D3" s="279" t="s">
        <v>151</v>
      </c>
      <c r="F3" t="s">
        <v>885</v>
      </c>
      <c r="N3" t="s">
        <v>905</v>
      </c>
    </row>
    <row r="4" spans="1:20" ht="15" thickBot="1">
      <c r="A4" s="279">
        <v>51</v>
      </c>
      <c r="B4" s="279">
        <v>82</v>
      </c>
      <c r="C4" s="279">
        <v>79</v>
      </c>
      <c r="D4" s="279">
        <v>85</v>
      </c>
    </row>
    <row r="5" spans="1:20" ht="15" thickBot="1">
      <c r="A5" s="117">
        <v>87</v>
      </c>
      <c r="B5" s="117">
        <v>91</v>
      </c>
      <c r="C5" s="117">
        <v>84</v>
      </c>
      <c r="D5" s="117">
        <v>80</v>
      </c>
      <c r="F5" t="s">
        <v>194</v>
      </c>
      <c r="N5" s="27" t="s">
        <v>222</v>
      </c>
      <c r="O5" s="27" t="s">
        <v>88</v>
      </c>
      <c r="P5" s="27" t="s">
        <v>186</v>
      </c>
      <c r="Q5" s="27" t="s">
        <v>223</v>
      </c>
      <c r="R5" s="27" t="s">
        <v>906</v>
      </c>
    </row>
    <row r="6" spans="1:20">
      <c r="A6" s="117">
        <v>50</v>
      </c>
      <c r="B6" s="117">
        <v>92</v>
      </c>
      <c r="C6" s="117">
        <v>74</v>
      </c>
      <c r="D6" s="117">
        <v>65</v>
      </c>
      <c r="F6" s="27" t="s">
        <v>222</v>
      </c>
      <c r="G6" s="27" t="s">
        <v>88</v>
      </c>
      <c r="H6" s="27" t="s">
        <v>87</v>
      </c>
      <c r="I6" s="27" t="s">
        <v>886</v>
      </c>
      <c r="J6" s="27" t="s">
        <v>223</v>
      </c>
      <c r="N6" s="28" t="s">
        <v>139</v>
      </c>
      <c r="O6" s="28">
        <v>8</v>
      </c>
      <c r="P6" s="28">
        <f>O6-1</f>
        <v>7</v>
      </c>
      <c r="Q6" s="28">
        <f>J7</f>
        <v>214.26785714285714</v>
      </c>
      <c r="R6">
        <f>P6*Q6</f>
        <v>1499.875</v>
      </c>
    </row>
    <row r="7" spans="1:20">
      <c r="A7" s="117">
        <v>48</v>
      </c>
      <c r="B7" s="117">
        <v>80</v>
      </c>
      <c r="C7" s="117">
        <v>98</v>
      </c>
      <c r="D7" s="117">
        <v>71</v>
      </c>
      <c r="F7" s="28" t="s">
        <v>139</v>
      </c>
      <c r="G7" s="28">
        <v>8</v>
      </c>
      <c r="H7" s="28">
        <v>483</v>
      </c>
      <c r="I7" s="28">
        <v>60.375</v>
      </c>
      <c r="J7" s="28">
        <v>214.26785714285714</v>
      </c>
      <c r="N7" s="28" t="s">
        <v>140</v>
      </c>
      <c r="O7" s="28">
        <v>8</v>
      </c>
      <c r="P7" s="28">
        <f>O7-1</f>
        <v>7</v>
      </c>
      <c r="Q7" s="28">
        <f>J8</f>
        <v>157.55357142857142</v>
      </c>
      <c r="R7">
        <f>P7*Q7</f>
        <v>1102.875</v>
      </c>
    </row>
    <row r="8" spans="1:20">
      <c r="A8" s="117">
        <v>79</v>
      </c>
      <c r="B8" s="117">
        <v>52</v>
      </c>
      <c r="C8" s="117">
        <v>63</v>
      </c>
      <c r="D8" s="117">
        <v>67</v>
      </c>
      <c r="F8" s="28" t="s">
        <v>140</v>
      </c>
      <c r="G8" s="28">
        <v>8</v>
      </c>
      <c r="H8" s="28">
        <v>623</v>
      </c>
      <c r="I8" s="28">
        <v>77.875</v>
      </c>
      <c r="J8" s="28">
        <v>157.55357142857142</v>
      </c>
      <c r="N8" s="28" t="s">
        <v>150</v>
      </c>
      <c r="O8" s="28">
        <v>8</v>
      </c>
      <c r="P8" s="28">
        <f>O8-1</f>
        <v>7</v>
      </c>
      <c r="Q8" s="28">
        <f>J9</f>
        <v>164.57142857142858</v>
      </c>
      <c r="R8">
        <f>P8*Q8</f>
        <v>1152</v>
      </c>
    </row>
    <row r="9" spans="1:20" ht="15" thickBot="1">
      <c r="A9" s="117">
        <v>61</v>
      </c>
      <c r="B9" s="117">
        <v>79</v>
      </c>
      <c r="C9" s="117">
        <v>83</v>
      </c>
      <c r="D9" s="117">
        <v>51</v>
      </c>
      <c r="F9" s="28" t="s">
        <v>150</v>
      </c>
      <c r="G9" s="28">
        <v>8</v>
      </c>
      <c r="H9" s="28">
        <v>624</v>
      </c>
      <c r="I9" s="28">
        <v>78</v>
      </c>
      <c r="J9" s="28">
        <v>164.57142857142858</v>
      </c>
      <c r="N9" s="31" t="s">
        <v>151</v>
      </c>
      <c r="O9" s="31">
        <v>8</v>
      </c>
      <c r="P9" s="31">
        <f>O9-1</f>
        <v>7</v>
      </c>
      <c r="Q9" s="31">
        <f>J10</f>
        <v>181.55357142857142</v>
      </c>
      <c r="R9" s="31">
        <f>P9*Q9</f>
        <v>1270.875</v>
      </c>
      <c r="T9" s="193" t="s">
        <v>907</v>
      </c>
    </row>
    <row r="10" spans="1:20" ht="15" thickBot="1">
      <c r="A10" s="117">
        <v>53</v>
      </c>
      <c r="B10" s="117">
        <v>73</v>
      </c>
      <c r="C10" s="117">
        <v>85</v>
      </c>
      <c r="D10" s="117">
        <v>63</v>
      </c>
      <c r="F10" s="31" t="s">
        <v>151</v>
      </c>
      <c r="G10" s="31">
        <v>8</v>
      </c>
      <c r="H10" s="31">
        <v>575</v>
      </c>
      <c r="I10" s="31">
        <v>71.875</v>
      </c>
      <c r="J10" s="31">
        <v>181.55357142857142</v>
      </c>
      <c r="P10" s="28">
        <f>SUM(P6:P9)</f>
        <v>28</v>
      </c>
      <c r="R10">
        <f>SUM(R5:R9)</f>
        <v>5025.625</v>
      </c>
      <c r="T10" s="312">
        <f>R10/P10</f>
        <v>179.48660714285714</v>
      </c>
    </row>
    <row r="11" spans="1:20">
      <c r="A11" s="262">
        <v>54</v>
      </c>
      <c r="B11" s="262">
        <v>74</v>
      </c>
      <c r="C11" s="262">
        <v>58</v>
      </c>
      <c r="D11" s="262">
        <v>93</v>
      </c>
    </row>
    <row r="12" spans="1:20">
      <c r="A12" s="117"/>
      <c r="B12" s="117"/>
      <c r="C12" s="193"/>
      <c r="D12" s="193"/>
    </row>
    <row r="13" spans="1:20" ht="15" thickBot="1">
      <c r="A13" s="117"/>
      <c r="B13" s="117"/>
      <c r="F13" t="s">
        <v>695</v>
      </c>
      <c r="N13" t="s">
        <v>2025</v>
      </c>
      <c r="Q13" s="756">
        <f>DEVSQ(H7:H10)/G7</f>
        <v>1645.34375</v>
      </c>
    </row>
    <row r="14" spans="1:20">
      <c r="A14" s="117"/>
      <c r="B14" s="117"/>
      <c r="F14" s="27" t="s">
        <v>887</v>
      </c>
      <c r="G14" s="27" t="s">
        <v>578</v>
      </c>
      <c r="H14" s="27" t="s">
        <v>186</v>
      </c>
      <c r="I14" s="27" t="s">
        <v>641</v>
      </c>
      <c r="J14" s="27" t="s">
        <v>388</v>
      </c>
      <c r="K14" s="27" t="s">
        <v>367</v>
      </c>
      <c r="L14" s="27" t="s">
        <v>888</v>
      </c>
    </row>
    <row r="15" spans="1:20">
      <c r="A15" s="117"/>
      <c r="B15" s="117"/>
      <c r="F15" s="28" t="s">
        <v>883</v>
      </c>
      <c r="G15" s="28">
        <v>1645.34375</v>
      </c>
      <c r="H15" s="28">
        <v>3</v>
      </c>
      <c r="I15" s="28">
        <v>548.44791666666663</v>
      </c>
      <c r="J15" s="28">
        <v>3.0556481366330885</v>
      </c>
      <c r="K15" s="28">
        <v>4.4662597948147184E-2</v>
      </c>
      <c r="L15" s="28">
        <v>2.9466852660172647</v>
      </c>
      <c r="N15" t="s">
        <v>379</v>
      </c>
    </row>
    <row r="16" spans="1:20">
      <c r="A16" s="117"/>
      <c r="B16" s="117"/>
      <c r="F16" s="28" t="s">
        <v>884</v>
      </c>
      <c r="G16" s="28">
        <v>5025.625</v>
      </c>
      <c r="H16" s="28">
        <v>28</v>
      </c>
      <c r="I16" s="28">
        <v>179.48660714285714</v>
      </c>
      <c r="J16" s="28"/>
      <c r="K16" s="28"/>
      <c r="L16" s="28"/>
    </row>
    <row r="17" spans="1:15">
      <c r="A17" s="117"/>
      <c r="B17" s="117"/>
      <c r="F17" s="28"/>
      <c r="G17" s="28"/>
      <c r="H17" s="28"/>
      <c r="I17" s="28"/>
      <c r="J17" s="28"/>
      <c r="K17" s="28"/>
      <c r="L17" s="28"/>
      <c r="N17" t="s">
        <v>144</v>
      </c>
      <c r="O17" s="743">
        <f>SQRT(DEVSQ(I7:I10)/(H15*I16))</f>
        <v>0.61802590324284634</v>
      </c>
    </row>
    <row r="18" spans="1:15" ht="16.8" thickBot="1">
      <c r="A18" s="117"/>
      <c r="B18" s="117"/>
      <c r="F18" s="31" t="s">
        <v>12</v>
      </c>
      <c r="G18" s="31">
        <v>6670.96875</v>
      </c>
      <c r="H18" s="31">
        <v>31</v>
      </c>
      <c r="I18" s="31"/>
      <c r="J18" s="31"/>
      <c r="K18" s="31"/>
      <c r="L18" s="31"/>
      <c r="N18" s="65" t="s">
        <v>999</v>
      </c>
      <c r="O18" s="544">
        <f>(G18-H18*I16)/(G18+I16)</f>
        <v>0.16157815369416265</v>
      </c>
    </row>
    <row r="19" spans="1:15">
      <c r="A19" s="117"/>
      <c r="B19" s="117"/>
    </row>
    <row r="20" spans="1:15">
      <c r="A20" s="117"/>
      <c r="B20" s="117"/>
    </row>
    <row r="21" spans="1:15">
      <c r="A21" s="117"/>
      <c r="B21" s="117"/>
    </row>
    <row r="22" spans="1:15">
      <c r="A22" s="117"/>
      <c r="B22" s="117"/>
    </row>
    <row r="23" spans="1:15">
      <c r="A23" s="117"/>
      <c r="B23" s="117"/>
    </row>
    <row r="24" spans="1:15">
      <c r="A24" s="117"/>
      <c r="B24" s="117"/>
    </row>
    <row r="25" spans="1:15">
      <c r="A25" s="117"/>
      <c r="B25" s="117"/>
    </row>
    <row r="26" spans="1:15">
      <c r="A26" s="117"/>
      <c r="B26" s="117"/>
    </row>
    <row r="27" spans="1:15">
      <c r="A27" s="117"/>
      <c r="B27" s="117"/>
    </row>
    <row r="28" spans="1:15">
      <c r="A28" s="117"/>
      <c r="B28" s="117"/>
    </row>
    <row r="29" spans="1:15">
      <c r="A29" s="117"/>
      <c r="B29" s="117"/>
    </row>
    <row r="30" spans="1:15">
      <c r="A30" s="117"/>
      <c r="B30" s="117"/>
    </row>
    <row r="31" spans="1:15">
      <c r="A31" s="117"/>
      <c r="B31" s="117"/>
    </row>
    <row r="32" spans="1:15">
      <c r="A32" s="117"/>
      <c r="B32" s="117"/>
    </row>
    <row r="33" spans="1:2">
      <c r="A33" s="117"/>
      <c r="B33" s="117"/>
    </row>
    <row r="34" spans="1:2">
      <c r="A34" s="117"/>
      <c r="B34" s="117"/>
    </row>
    <row r="35" spans="1:2">
      <c r="A35" s="117"/>
      <c r="B35" s="117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sheetPr codeName="Sheet175"/>
  <dimension ref="A1:O26"/>
  <sheetViews>
    <sheetView workbookViewId="0"/>
  </sheetViews>
  <sheetFormatPr defaultRowHeight="14.4"/>
  <cols>
    <col min="1" max="1" width="6.33203125" customWidth="1"/>
    <col min="7" max="7" width="7.5546875" customWidth="1"/>
    <col min="13" max="13" width="15" customWidth="1"/>
    <col min="16" max="16" width="15.33203125" customWidth="1"/>
  </cols>
  <sheetData>
    <row r="1" spans="1:14">
      <c r="A1" s="1" t="s">
        <v>900</v>
      </c>
    </row>
    <row r="3" spans="1:14" ht="15.6">
      <c r="B3" s="279" t="s">
        <v>892</v>
      </c>
      <c r="C3" s="279" t="s">
        <v>893</v>
      </c>
      <c r="D3" s="279" t="s">
        <v>894</v>
      </c>
      <c r="E3" s="279" t="s">
        <v>895</v>
      </c>
      <c r="H3" s="279" t="s">
        <v>896</v>
      </c>
      <c r="I3" s="279" t="s">
        <v>897</v>
      </c>
      <c r="J3" s="279" t="s">
        <v>898</v>
      </c>
      <c r="K3" s="279" t="s">
        <v>899</v>
      </c>
      <c r="M3" t="s">
        <v>901</v>
      </c>
      <c r="N3" s="743">
        <f>VAR(H4:K11)</f>
        <v>162.11693548387098</v>
      </c>
    </row>
    <row r="4" spans="1:14" ht="15.6">
      <c r="B4" s="279">
        <v>51</v>
      </c>
      <c r="C4" s="279">
        <v>82</v>
      </c>
      <c r="D4" s="279">
        <v>79</v>
      </c>
      <c r="E4" s="279">
        <v>85</v>
      </c>
      <c r="H4" s="311">
        <f>B4-$F$12-B$13</f>
        <v>-9.375</v>
      </c>
      <c r="I4" s="311">
        <f>C4-$F$12-C$13</f>
        <v>4.125</v>
      </c>
      <c r="J4" s="311">
        <f>D4-$F$12-D$13</f>
        <v>1</v>
      </c>
      <c r="K4" s="311">
        <f>E4-$F$12-E$13</f>
        <v>13.125</v>
      </c>
      <c r="M4" t="s">
        <v>902</v>
      </c>
      <c r="N4" s="627">
        <f>'ANOVA 2'!I16</f>
        <v>179.48660714285714</v>
      </c>
    </row>
    <row r="5" spans="1:14">
      <c r="B5" s="117">
        <v>87</v>
      </c>
      <c r="C5" s="117">
        <v>91</v>
      </c>
      <c r="D5" s="117">
        <v>84</v>
      </c>
      <c r="E5" s="117">
        <v>80</v>
      </c>
      <c r="H5" s="42">
        <f t="shared" ref="H5:H11" si="0">B5-$F$12-B$13</f>
        <v>26.625</v>
      </c>
      <c r="I5" s="42">
        <f t="shared" ref="I5:I11" si="1">C5-$F$12-C$13</f>
        <v>13.125</v>
      </c>
      <c r="J5" s="42">
        <f t="shared" ref="J5:J11" si="2">D5-$F$12-D$13</f>
        <v>6</v>
      </c>
      <c r="K5" s="42">
        <f t="shared" ref="K5:K11" si="3">E5-$F$12-E$13</f>
        <v>8.125</v>
      </c>
      <c r="M5" t="s">
        <v>106</v>
      </c>
      <c r="N5" s="627">
        <f>COUNT(B4:E11)</f>
        <v>32</v>
      </c>
    </row>
    <row r="6" spans="1:14">
      <c r="B6" s="117">
        <v>50</v>
      </c>
      <c r="C6" s="117">
        <v>92</v>
      </c>
      <c r="D6" s="117">
        <v>74</v>
      </c>
      <c r="E6" s="117">
        <v>65</v>
      </c>
      <c r="H6" s="42">
        <f t="shared" si="0"/>
        <v>-10.375</v>
      </c>
      <c r="I6" s="42">
        <f t="shared" si="1"/>
        <v>14.125</v>
      </c>
      <c r="J6" s="42">
        <f t="shared" si="2"/>
        <v>-4</v>
      </c>
      <c r="K6" s="42">
        <f t="shared" si="3"/>
        <v>-6.875</v>
      </c>
      <c r="M6" t="s">
        <v>903</v>
      </c>
      <c r="N6" s="627">
        <f>COUNT(B4:E4)</f>
        <v>4</v>
      </c>
    </row>
    <row r="7" spans="1:14" ht="15.6">
      <c r="B7" s="117">
        <v>48</v>
      </c>
      <c r="C7" s="117">
        <v>80</v>
      </c>
      <c r="D7" s="117">
        <v>98</v>
      </c>
      <c r="E7" s="117">
        <v>71</v>
      </c>
      <c r="H7" s="42">
        <f t="shared" si="0"/>
        <v>-12.375</v>
      </c>
      <c r="I7" s="42">
        <f t="shared" si="1"/>
        <v>2.125</v>
      </c>
      <c r="J7" s="42">
        <f t="shared" si="2"/>
        <v>20</v>
      </c>
      <c r="K7" s="42">
        <f t="shared" si="3"/>
        <v>-0.875</v>
      </c>
      <c r="M7" t="s">
        <v>904</v>
      </c>
      <c r="N7" s="544">
        <f>(N5-N6)/(N5-1)*N4</f>
        <v>162.11693548387095</v>
      </c>
    </row>
    <row r="8" spans="1:14">
      <c r="B8" s="117">
        <v>79</v>
      </c>
      <c r="C8" s="117">
        <v>52</v>
      </c>
      <c r="D8" s="117">
        <v>63</v>
      </c>
      <c r="E8" s="117">
        <v>67</v>
      </c>
      <c r="H8" s="42">
        <f t="shared" si="0"/>
        <v>18.625</v>
      </c>
      <c r="I8" s="42">
        <f t="shared" si="1"/>
        <v>-25.875</v>
      </c>
      <c r="J8" s="42">
        <f t="shared" si="2"/>
        <v>-15</v>
      </c>
      <c r="K8" s="42">
        <f t="shared" si="3"/>
        <v>-4.875</v>
      </c>
    </row>
    <row r="9" spans="1:14">
      <c r="B9" s="117">
        <v>61</v>
      </c>
      <c r="C9" s="117">
        <v>79</v>
      </c>
      <c r="D9" s="117">
        <v>83</v>
      </c>
      <c r="E9" s="117">
        <v>51</v>
      </c>
      <c r="H9" s="42">
        <f t="shared" si="0"/>
        <v>0.625</v>
      </c>
      <c r="I9" s="42">
        <f t="shared" si="1"/>
        <v>1.125</v>
      </c>
      <c r="J9" s="42">
        <f t="shared" si="2"/>
        <v>5</v>
      </c>
      <c r="K9" s="42">
        <f t="shared" si="3"/>
        <v>-20.875</v>
      </c>
    </row>
    <row r="10" spans="1:14">
      <c r="B10" s="117">
        <v>53</v>
      </c>
      <c r="C10" s="117">
        <v>73</v>
      </c>
      <c r="D10" s="117">
        <v>85</v>
      </c>
      <c r="E10" s="117">
        <v>63</v>
      </c>
      <c r="H10" s="42">
        <f t="shared" si="0"/>
        <v>-7.375</v>
      </c>
      <c r="I10" s="42">
        <f t="shared" si="1"/>
        <v>-4.875</v>
      </c>
      <c r="J10" s="42">
        <f t="shared" si="2"/>
        <v>7</v>
      </c>
      <c r="K10" s="42">
        <f t="shared" si="3"/>
        <v>-8.875</v>
      </c>
    </row>
    <row r="11" spans="1:14">
      <c r="B11" s="262">
        <v>54</v>
      </c>
      <c r="C11" s="262">
        <v>74</v>
      </c>
      <c r="D11" s="262">
        <v>58</v>
      </c>
      <c r="E11" s="262">
        <v>93</v>
      </c>
      <c r="F11" s="307" t="s">
        <v>865</v>
      </c>
      <c r="H11" s="309">
        <f t="shared" si="0"/>
        <v>-6.375</v>
      </c>
      <c r="I11" s="309">
        <f t="shared" si="1"/>
        <v>-3.875</v>
      </c>
      <c r="J11" s="309">
        <f t="shared" si="2"/>
        <v>-20</v>
      </c>
      <c r="K11" s="309">
        <f t="shared" si="3"/>
        <v>21.125</v>
      </c>
    </row>
    <row r="12" spans="1:14" ht="15.6">
      <c r="A12" s="310" t="s">
        <v>891</v>
      </c>
      <c r="B12" s="193">
        <f>AVERAGE(B4:B11)</f>
        <v>60.375</v>
      </c>
      <c r="C12" s="193">
        <f>AVERAGE(C4:C11)</f>
        <v>77.875</v>
      </c>
      <c r="D12" s="193">
        <f>AVERAGE(D4:D11)</f>
        <v>78</v>
      </c>
      <c r="E12" s="193">
        <f>AVERAGE(E4:E11)</f>
        <v>71.875</v>
      </c>
      <c r="F12" s="270">
        <f>AVERAGE(B4:E11)</f>
        <v>72.03125</v>
      </c>
      <c r="H12" s="42">
        <f>SUM(H4:H11)</f>
        <v>0</v>
      </c>
      <c r="I12" s="42">
        <f>SUM(I4:I11)</f>
        <v>0</v>
      </c>
      <c r="J12" s="42">
        <f>SUM(J4:J11)</f>
        <v>0</v>
      </c>
      <c r="K12" s="42">
        <f>SUM(K4:K11)</f>
        <v>0</v>
      </c>
    </row>
    <row r="13" spans="1:14" ht="15.6">
      <c r="A13" s="310" t="s">
        <v>890</v>
      </c>
      <c r="B13" s="262">
        <f>B12-$F$12</f>
        <v>-11.65625</v>
      </c>
      <c r="C13" s="262">
        <f>C12-$F$12</f>
        <v>5.84375</v>
      </c>
      <c r="D13" s="262">
        <f>D12-$F$12</f>
        <v>5.96875</v>
      </c>
      <c r="E13" s="262">
        <f>E12-$F$12</f>
        <v>-0.15625</v>
      </c>
      <c r="F13" s="235">
        <f>SUM(B13:E13)</f>
        <v>0</v>
      </c>
    </row>
    <row r="14" spans="1:14">
      <c r="A14" s="310"/>
    </row>
    <row r="15" spans="1:14">
      <c r="A15" s="310"/>
    </row>
    <row r="21" spans="7:15">
      <c r="G21" s="117"/>
      <c r="H21" s="117"/>
      <c r="I21" s="117"/>
      <c r="J21" s="117"/>
      <c r="K21" s="117"/>
      <c r="L21" s="117"/>
      <c r="M21" s="117"/>
      <c r="N21" s="117"/>
      <c r="O21" s="117"/>
    </row>
    <row r="26" spans="7:15">
      <c r="G26" s="117"/>
      <c r="H26" s="117"/>
      <c r="I26" s="117"/>
      <c r="J26" s="117"/>
      <c r="K26" s="117"/>
      <c r="L26" s="117"/>
      <c r="M26" s="117"/>
      <c r="N26" s="117"/>
      <c r="O26" s="117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sheetPr codeName="Sheet176"/>
  <dimension ref="A1:T27"/>
  <sheetViews>
    <sheetView workbookViewId="0">
      <selection activeCell="G16" sqref="G16"/>
    </sheetView>
  </sheetViews>
  <sheetFormatPr defaultRowHeight="14.4"/>
  <cols>
    <col min="5" max="5" width="4.5546875" customWidth="1"/>
    <col min="6" max="6" width="16.88671875" customWidth="1"/>
    <col min="7" max="7" width="8" customWidth="1"/>
    <col min="8" max="8" width="7.44140625" customWidth="1"/>
    <col min="9" max="9" width="8.33203125" customWidth="1"/>
    <col min="11" max="12" width="8.33203125" customWidth="1"/>
    <col min="15" max="15" width="8.5546875" customWidth="1"/>
    <col min="16" max="16" width="6.5546875" customWidth="1"/>
    <col min="17" max="17" width="9.6640625" customWidth="1"/>
    <col min="18" max="18" width="9.109375" customWidth="1"/>
    <col min="19" max="19" width="5.109375" customWidth="1"/>
  </cols>
  <sheetData>
    <row r="1" spans="1:18">
      <c r="A1" s="1" t="s">
        <v>877</v>
      </c>
    </row>
    <row r="2" spans="1:18">
      <c r="A2" s="117"/>
      <c r="B2" s="117"/>
    </row>
    <row r="3" spans="1:18">
      <c r="A3" s="279" t="s">
        <v>139</v>
      </c>
      <c r="B3" s="279" t="s">
        <v>140</v>
      </c>
      <c r="C3" s="279" t="s">
        <v>150</v>
      </c>
      <c r="D3" s="279" t="s">
        <v>151</v>
      </c>
      <c r="F3" t="s">
        <v>885</v>
      </c>
      <c r="N3" t="s">
        <v>908</v>
      </c>
    </row>
    <row r="4" spans="1:18" ht="15" thickBot="1">
      <c r="A4" s="279">
        <v>51</v>
      </c>
      <c r="B4" s="279">
        <v>82</v>
      </c>
      <c r="C4" s="279">
        <v>79</v>
      </c>
      <c r="D4" s="279">
        <v>85</v>
      </c>
    </row>
    <row r="5" spans="1:18" ht="15.6" thickTop="1" thickBot="1">
      <c r="A5" s="117">
        <v>87</v>
      </c>
      <c r="B5" s="117">
        <v>91</v>
      </c>
      <c r="C5" s="117">
        <v>84</v>
      </c>
      <c r="D5" s="117">
        <v>80</v>
      </c>
      <c r="F5" t="s">
        <v>194</v>
      </c>
      <c r="N5" s="76" t="s">
        <v>222</v>
      </c>
      <c r="O5" s="76" t="s">
        <v>88</v>
      </c>
      <c r="P5" s="76" t="s">
        <v>76</v>
      </c>
      <c r="Q5" s="76" t="s">
        <v>578</v>
      </c>
    </row>
    <row r="6" spans="1:18">
      <c r="A6" s="117">
        <v>50</v>
      </c>
      <c r="B6" s="117">
        <v>92</v>
      </c>
      <c r="C6" s="117">
        <v>74</v>
      </c>
      <c r="D6" s="117">
        <v>65</v>
      </c>
      <c r="F6" s="27" t="s">
        <v>222</v>
      </c>
      <c r="G6" s="27" t="s">
        <v>88</v>
      </c>
      <c r="H6" s="27" t="s">
        <v>87</v>
      </c>
      <c r="I6" s="27" t="s">
        <v>886</v>
      </c>
      <c r="J6" s="27" t="s">
        <v>223</v>
      </c>
      <c r="N6" t="s">
        <v>139</v>
      </c>
      <c r="O6">
        <f>G7</f>
        <v>7</v>
      </c>
      <c r="P6">
        <f>I7</f>
        <v>61.285714285714285</v>
      </c>
      <c r="Q6">
        <f>(P6-$P$10)^2</f>
        <v>120.02659613191291</v>
      </c>
    </row>
    <row r="7" spans="1:18">
      <c r="A7" s="117">
        <v>48</v>
      </c>
      <c r="B7" s="117">
        <v>80</v>
      </c>
      <c r="C7" s="117">
        <v>98</v>
      </c>
      <c r="D7" s="117">
        <v>71</v>
      </c>
      <c r="F7" s="28" t="s">
        <v>139</v>
      </c>
      <c r="G7" s="28">
        <v>7</v>
      </c>
      <c r="H7" s="28">
        <v>429</v>
      </c>
      <c r="I7" s="28">
        <v>61.285714285714285</v>
      </c>
      <c r="J7" s="28">
        <v>242.23809523809541</v>
      </c>
      <c r="N7" t="s">
        <v>140</v>
      </c>
      <c r="O7">
        <f>G8</f>
        <v>8</v>
      </c>
      <c r="P7">
        <f>I8</f>
        <v>77.875</v>
      </c>
      <c r="Q7">
        <f>(P7-$P$10)^2</f>
        <v>31.737682074910843</v>
      </c>
    </row>
    <row r="8" spans="1:18">
      <c r="A8" s="117">
        <v>79</v>
      </c>
      <c r="B8" s="117">
        <v>52</v>
      </c>
      <c r="C8" s="117">
        <v>63</v>
      </c>
      <c r="D8" s="117">
        <v>67</v>
      </c>
      <c r="F8" s="28" t="s">
        <v>140</v>
      </c>
      <c r="G8" s="28">
        <v>8</v>
      </c>
      <c r="H8" s="28">
        <v>623</v>
      </c>
      <c r="I8" s="28">
        <v>77.875</v>
      </c>
      <c r="J8" s="28">
        <v>157.55357142857142</v>
      </c>
      <c r="N8" t="s">
        <v>150</v>
      </c>
      <c r="O8">
        <f>G9</f>
        <v>8</v>
      </c>
      <c r="P8">
        <f>I9</f>
        <v>78</v>
      </c>
      <c r="Q8">
        <f>(P8-$P$10)^2</f>
        <v>33.161712247324637</v>
      </c>
    </row>
    <row r="9" spans="1:18">
      <c r="A9" s="117">
        <v>61</v>
      </c>
      <c r="B9" s="117">
        <v>79</v>
      </c>
      <c r="C9" s="117">
        <v>83</v>
      </c>
      <c r="D9" s="117">
        <v>51</v>
      </c>
      <c r="F9" s="28" t="s">
        <v>150</v>
      </c>
      <c r="G9" s="28">
        <v>8</v>
      </c>
      <c r="H9" s="28">
        <v>624</v>
      </c>
      <c r="I9" s="28">
        <v>78</v>
      </c>
      <c r="J9" s="28">
        <v>164.57142857142858</v>
      </c>
      <c r="N9" s="235" t="s">
        <v>151</v>
      </c>
      <c r="O9" s="235">
        <f>G10</f>
        <v>6</v>
      </c>
      <c r="P9" s="235">
        <f>I10</f>
        <v>69.833333333333329</v>
      </c>
      <c r="Q9" s="235">
        <f>(P9-$P$10)^2</f>
        <v>5.7986854274012556</v>
      </c>
    </row>
    <row r="10" spans="1:18" ht="15" thickBot="1">
      <c r="A10" s="117">
        <v>53</v>
      </c>
      <c r="B10" s="117">
        <v>73</v>
      </c>
      <c r="C10" s="117">
        <v>85</v>
      </c>
      <c r="D10" s="117"/>
      <c r="F10" s="31" t="s">
        <v>151</v>
      </c>
      <c r="G10" s="31">
        <v>6</v>
      </c>
      <c r="H10" s="31">
        <v>419</v>
      </c>
      <c r="I10" s="31">
        <v>69.833333333333329</v>
      </c>
      <c r="J10" s="31">
        <v>144.16666666666643</v>
      </c>
      <c r="O10" s="66">
        <f>SUM(O6:O9)</f>
        <v>29</v>
      </c>
      <c r="P10">
        <f>SUMPRODUCT(O6:O9,P6:P9)/O10</f>
        <v>72.241379310344826</v>
      </c>
      <c r="Q10">
        <f>SUMPRODUCT(O6:O9,Q6:Q9)</f>
        <v>1394.1734400656817</v>
      </c>
    </row>
    <row r="11" spans="1:18">
      <c r="A11" s="262"/>
      <c r="B11" s="262">
        <v>74</v>
      </c>
      <c r="C11" s="262">
        <v>58</v>
      </c>
      <c r="D11" s="262"/>
    </row>
    <row r="12" spans="1:18">
      <c r="A12" s="117"/>
      <c r="B12" s="117"/>
      <c r="N12" t="s">
        <v>909</v>
      </c>
    </row>
    <row r="13" spans="1:18" ht="15" thickBot="1">
      <c r="A13" s="117"/>
      <c r="B13" s="117"/>
      <c r="F13" t="s">
        <v>695</v>
      </c>
    </row>
    <row r="14" spans="1:18" ht="15" thickTop="1">
      <c r="A14" s="809"/>
      <c r="B14" s="117"/>
      <c r="F14" s="27" t="s">
        <v>887</v>
      </c>
      <c r="G14" s="27" t="s">
        <v>578</v>
      </c>
      <c r="H14" s="27" t="s">
        <v>186</v>
      </c>
      <c r="I14" s="27" t="s">
        <v>641</v>
      </c>
      <c r="J14" s="27" t="s">
        <v>388</v>
      </c>
      <c r="K14" s="27" t="s">
        <v>367</v>
      </c>
      <c r="L14" s="27" t="s">
        <v>888</v>
      </c>
      <c r="N14" s="76" t="s">
        <v>222</v>
      </c>
      <c r="O14" s="76" t="s">
        <v>88</v>
      </c>
      <c r="P14" s="76" t="s">
        <v>186</v>
      </c>
      <c r="Q14" s="76" t="s">
        <v>223</v>
      </c>
      <c r="R14" s="76" t="s">
        <v>578</v>
      </c>
    </row>
    <row r="15" spans="1:18">
      <c r="A15" s="809"/>
      <c r="B15" s="117"/>
      <c r="F15" s="28" t="s">
        <v>883</v>
      </c>
      <c r="G15" s="28">
        <v>1394.1734400656824</v>
      </c>
      <c r="H15" s="28">
        <v>3</v>
      </c>
      <c r="I15" s="28">
        <v>464.72448002189412</v>
      </c>
      <c r="J15" s="28">
        <v>2.6231097052015611</v>
      </c>
      <c r="K15" s="28">
        <v>7.2760576413978123E-2</v>
      </c>
      <c r="L15" s="28">
        <v>2.9912409095499513</v>
      </c>
      <c r="N15" s="28" t="s">
        <v>139</v>
      </c>
      <c r="O15" s="28">
        <f>G7</f>
        <v>7</v>
      </c>
      <c r="P15" s="28">
        <f>O15-1</f>
        <v>6</v>
      </c>
      <c r="Q15" s="28">
        <f>J7</f>
        <v>242.23809523809541</v>
      </c>
      <c r="R15">
        <f>P15*Q15</f>
        <v>1453.4285714285725</v>
      </c>
    </row>
    <row r="16" spans="1:18">
      <c r="A16" s="117"/>
      <c r="B16" s="117"/>
      <c r="F16" s="28" t="s">
        <v>884</v>
      </c>
      <c r="G16" s="28">
        <v>4429.1369047619046</v>
      </c>
      <c r="H16" s="28">
        <v>25</v>
      </c>
      <c r="I16" s="28">
        <v>177.16547619047617</v>
      </c>
      <c r="J16" s="28"/>
      <c r="K16" s="28"/>
      <c r="L16" s="28"/>
      <c r="N16" s="28" t="s">
        <v>140</v>
      </c>
      <c r="O16" s="28">
        <f>G8</f>
        <v>8</v>
      </c>
      <c r="P16" s="28">
        <f>O16-1</f>
        <v>7</v>
      </c>
      <c r="Q16" s="28">
        <f>J8</f>
        <v>157.55357142857142</v>
      </c>
      <c r="R16">
        <f>P16*Q16</f>
        <v>1102.875</v>
      </c>
    </row>
    <row r="17" spans="1:20">
      <c r="A17" s="117"/>
      <c r="B17" s="117"/>
      <c r="F17" s="28"/>
      <c r="G17" s="28"/>
      <c r="H17" s="28"/>
      <c r="I17" s="28"/>
      <c r="J17" s="28"/>
      <c r="K17" s="28"/>
      <c r="L17" s="28"/>
      <c r="N17" s="28" t="s">
        <v>150</v>
      </c>
      <c r="O17" s="28">
        <f>G9</f>
        <v>8</v>
      </c>
      <c r="P17" s="28">
        <f>O17-1</f>
        <v>7</v>
      </c>
      <c r="Q17" s="28">
        <f>J9</f>
        <v>164.57142857142858</v>
      </c>
      <c r="R17">
        <f>P17*Q17</f>
        <v>1152</v>
      </c>
    </row>
    <row r="18" spans="1:20" ht="15" thickBot="1">
      <c r="F18" s="31" t="s">
        <v>12</v>
      </c>
      <c r="G18" s="31">
        <v>5823.310344827587</v>
      </c>
      <c r="H18" s="31">
        <v>28</v>
      </c>
      <c r="I18" s="31"/>
      <c r="J18" s="31"/>
      <c r="K18" s="31"/>
      <c r="L18" s="31"/>
      <c r="N18" s="235" t="s">
        <v>151</v>
      </c>
      <c r="O18" s="235">
        <f>G10</f>
        <v>6</v>
      </c>
      <c r="P18" s="235">
        <f>O18-1</f>
        <v>5</v>
      </c>
      <c r="Q18" s="235">
        <f>J10</f>
        <v>144.16666666666643</v>
      </c>
      <c r="R18" s="235">
        <f>P18*Q18</f>
        <v>720.83333333333212</v>
      </c>
      <c r="T18" s="117" t="s">
        <v>907</v>
      </c>
    </row>
    <row r="19" spans="1:20">
      <c r="P19" s="28">
        <f>SUM(P15:P18)</f>
        <v>25</v>
      </c>
      <c r="R19">
        <f>SUM(R14:R18)</f>
        <v>4429.1369047619046</v>
      </c>
      <c r="T19" s="303">
        <f>R19/P19</f>
        <v>177.16547619047617</v>
      </c>
    </row>
    <row r="21" spans="1:20">
      <c r="F21" t="s">
        <v>2086</v>
      </c>
    </row>
    <row r="23" spans="1:20" ht="15" thickBot="1">
      <c r="F23" t="s">
        <v>695</v>
      </c>
    </row>
    <row r="24" spans="1:20">
      <c r="F24" s="933" t="s">
        <v>887</v>
      </c>
      <c r="G24" s="933" t="s">
        <v>578</v>
      </c>
      <c r="H24" s="933" t="s">
        <v>186</v>
      </c>
      <c r="I24" s="933" t="s">
        <v>641</v>
      </c>
      <c r="J24" s="933" t="s">
        <v>388</v>
      </c>
      <c r="K24" s="933" t="s">
        <v>367</v>
      </c>
    </row>
    <row r="25" spans="1:20">
      <c r="F25" s="28" t="s">
        <v>883</v>
      </c>
      <c r="G25" s="28" t="e">
        <f ca="1">[1]!SSBet(A4:D11)</f>
        <v>#NAME?</v>
      </c>
      <c r="H25" s="28" t="e">
        <f ca="1">[1]!dfBet(A4:D11)</f>
        <v>#NAME?</v>
      </c>
      <c r="I25" s="28" t="e">
        <f ca="1">[1]!MSBet(A4:D11)</f>
        <v>#NAME?</v>
      </c>
      <c r="J25" s="28" t="e">
        <f ca="1">[1]!ANOVA1(A4:D11)</f>
        <v>#NAME?</v>
      </c>
      <c r="K25" s="28" t="e">
        <f ca="1">[1]!Atest(A4:D11)</f>
        <v>#NAME?</v>
      </c>
    </row>
    <row r="26" spans="1:20">
      <c r="F26" s="28" t="s">
        <v>884</v>
      </c>
      <c r="G26" s="28" t="e">
        <f ca="1">[1]!SSW(A4:D11)</f>
        <v>#NAME?</v>
      </c>
      <c r="H26" s="28" t="e">
        <f ca="1">[1]!dfw(A4:D11)</f>
        <v>#NAME?</v>
      </c>
      <c r="I26" s="8" t="e">
        <f ca="1">[1]!MSW(A4:D11)</f>
        <v>#NAME?</v>
      </c>
      <c r="J26" s="28"/>
      <c r="K26" s="28"/>
    </row>
    <row r="27" spans="1:20" ht="15" thickBot="1">
      <c r="F27" s="31" t="s">
        <v>12</v>
      </c>
      <c r="G27" s="31" t="e">
        <f ca="1">[1]!sstot(A4:D11)</f>
        <v>#NAME?</v>
      </c>
      <c r="H27" s="31" t="e">
        <f ca="1">[1]!dftot(A4:D11)</f>
        <v>#NAME?</v>
      </c>
      <c r="I27" s="31"/>
      <c r="J27" s="31"/>
      <c r="K27" s="31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sheetPr codeName="Sheet177"/>
  <dimension ref="A1:S17"/>
  <sheetViews>
    <sheetView workbookViewId="0">
      <selection activeCell="G16" sqref="G16"/>
    </sheetView>
  </sheetViews>
  <sheetFormatPr defaultRowHeight="14.4"/>
  <cols>
    <col min="5" max="5" width="4.5546875" customWidth="1"/>
    <col min="6" max="6" width="16.33203125" customWidth="1"/>
    <col min="7" max="7" width="8" customWidth="1"/>
    <col min="8" max="8" width="7.44140625" customWidth="1"/>
    <col min="9" max="9" width="8.33203125" customWidth="1"/>
    <col min="11" max="12" width="8.33203125" customWidth="1"/>
    <col min="15" max="15" width="8.5546875" customWidth="1"/>
    <col min="16" max="16" width="10.88671875" customWidth="1"/>
    <col min="17" max="17" width="9.109375" customWidth="1"/>
    <col min="19" max="19" width="6.6640625" hidden="1" customWidth="1"/>
  </cols>
  <sheetData>
    <row r="1" spans="1:14">
      <c r="A1" s="1" t="s">
        <v>910</v>
      </c>
    </row>
    <row r="2" spans="1:14">
      <c r="A2" s="117"/>
      <c r="B2" s="117"/>
    </row>
    <row r="3" spans="1:14">
      <c r="A3" s="279" t="s">
        <v>139</v>
      </c>
      <c r="B3" s="279" t="s">
        <v>140</v>
      </c>
      <c r="C3" s="279" t="s">
        <v>150</v>
      </c>
      <c r="D3" s="279" t="s">
        <v>151</v>
      </c>
      <c r="F3" t="s">
        <v>878</v>
      </c>
    </row>
    <row r="4" spans="1:14">
      <c r="A4" s="279">
        <v>51</v>
      </c>
      <c r="B4" s="279">
        <v>82</v>
      </c>
      <c r="C4" s="279">
        <v>79</v>
      </c>
      <c r="D4" s="279">
        <v>85</v>
      </c>
    </row>
    <row r="5" spans="1:14" ht="15" thickBot="1">
      <c r="A5" s="117">
        <v>87</v>
      </c>
      <c r="B5" s="117">
        <v>91</v>
      </c>
      <c r="C5" s="117">
        <v>84</v>
      </c>
      <c r="D5" s="117">
        <v>80</v>
      </c>
      <c r="F5" t="s">
        <v>879</v>
      </c>
      <c r="K5" t="s">
        <v>116</v>
      </c>
      <c r="L5">
        <v>0.05</v>
      </c>
    </row>
    <row r="6" spans="1:14" ht="15" thickTop="1">
      <c r="A6" s="117">
        <v>50</v>
      </c>
      <c r="B6" s="117">
        <v>92</v>
      </c>
      <c r="C6" s="117">
        <v>74</v>
      </c>
      <c r="D6" s="117">
        <v>65</v>
      </c>
      <c r="F6" s="76" t="s">
        <v>222</v>
      </c>
      <c r="G6" s="76" t="s">
        <v>88</v>
      </c>
      <c r="H6" s="76" t="s">
        <v>87</v>
      </c>
      <c r="I6" s="76" t="s">
        <v>76</v>
      </c>
      <c r="J6" s="76" t="s">
        <v>223</v>
      </c>
      <c r="K6" s="76" t="s">
        <v>578</v>
      </c>
      <c r="L6" s="76" t="s">
        <v>183</v>
      </c>
      <c r="M6" s="76" t="s">
        <v>744</v>
      </c>
      <c r="N6" s="76" t="s">
        <v>745</v>
      </c>
    </row>
    <row r="7" spans="1:14">
      <c r="A7" s="117">
        <v>48</v>
      </c>
      <c r="B7" s="117">
        <v>80</v>
      </c>
      <c r="C7" s="117">
        <v>98</v>
      </c>
      <c r="D7" s="117">
        <v>71</v>
      </c>
      <c r="F7" t="s">
        <v>139</v>
      </c>
      <c r="G7">
        <f>COUNT(A4:A11)</f>
        <v>7</v>
      </c>
      <c r="H7">
        <f>SUM(A4:A11)</f>
        <v>429</v>
      </c>
      <c r="I7">
        <f>AVERAGE(A4:A11)</f>
        <v>61.285714285714285</v>
      </c>
      <c r="J7">
        <f>VAR(A4:A11)</f>
        <v>242.23809523809541</v>
      </c>
      <c r="K7">
        <f>DEVSQ(A4:A11)</f>
        <v>1453.4285714285713</v>
      </c>
      <c r="L7">
        <f>SQRT(I15/G7)</f>
        <v>5.0308402619737986</v>
      </c>
      <c r="M7">
        <f>I7-L7*TINV(L5,G7-1)</f>
        <v>48.975691627473331</v>
      </c>
      <c r="N7">
        <f>I7+L7*TINV(L5,G7-1)</f>
        <v>73.595736943955231</v>
      </c>
    </row>
    <row r="8" spans="1:14">
      <c r="A8" s="117">
        <v>79</v>
      </c>
      <c r="B8" s="117">
        <v>52</v>
      </c>
      <c r="C8" s="117">
        <v>63</v>
      </c>
      <c r="D8" s="117">
        <v>67</v>
      </c>
      <c r="F8" t="s">
        <v>140</v>
      </c>
      <c r="G8">
        <f>COUNT(B4:B11)</f>
        <v>8</v>
      </c>
      <c r="H8">
        <f>SUM(B4:B11)</f>
        <v>623</v>
      </c>
      <c r="I8">
        <f>AVERAGE(B4:B11)</f>
        <v>77.875</v>
      </c>
      <c r="J8">
        <f>VAR(B4:B11)</f>
        <v>157.55357142857142</v>
      </c>
      <c r="K8">
        <f>DEVSQ(B4:B11)</f>
        <v>1102.875</v>
      </c>
      <c r="L8">
        <f>SQRT(I15/G8)</f>
        <v>4.7059201569735034</v>
      </c>
      <c r="M8">
        <f>I8-L8*TINV(L5,G8-1)</f>
        <v>66.747267070761126</v>
      </c>
      <c r="N8">
        <f>I8+L8*TINV(L5,G8-1)</f>
        <v>89.002732929238874</v>
      </c>
    </row>
    <row r="9" spans="1:14">
      <c r="A9" s="117">
        <v>61</v>
      </c>
      <c r="B9" s="117">
        <v>79</v>
      </c>
      <c r="C9" s="117">
        <v>83</v>
      </c>
      <c r="D9" s="117">
        <v>51</v>
      </c>
      <c r="F9" t="s">
        <v>150</v>
      </c>
      <c r="G9">
        <f>COUNT(C4:C11)</f>
        <v>8</v>
      </c>
      <c r="H9">
        <f>SUM(C4:C11)</f>
        <v>624</v>
      </c>
      <c r="I9">
        <f>AVERAGE(C4:C11)</f>
        <v>78</v>
      </c>
      <c r="J9">
        <f>VAR(C4:C11)</f>
        <v>164.57142857142858</v>
      </c>
      <c r="K9">
        <f>DEVSQ(C4:C11)</f>
        <v>1152</v>
      </c>
      <c r="L9">
        <f>SQRT(I15/G9)</f>
        <v>4.7059201569735034</v>
      </c>
      <c r="M9">
        <f>I9-L9*TINV(L5,G9-1)</f>
        <v>66.872267070761126</v>
      </c>
      <c r="N9">
        <f>I9+L9*TINV(L5,G9-1)</f>
        <v>89.127732929238874</v>
      </c>
    </row>
    <row r="10" spans="1:14">
      <c r="A10" s="117">
        <v>53</v>
      </c>
      <c r="B10" s="117">
        <v>73</v>
      </c>
      <c r="C10" s="117">
        <v>85</v>
      </c>
      <c r="D10" s="117"/>
      <c r="F10" t="s">
        <v>151</v>
      </c>
      <c r="G10">
        <f>COUNT(D4:D11)</f>
        <v>6</v>
      </c>
      <c r="H10">
        <f>SUM(D4:D11)</f>
        <v>419</v>
      </c>
      <c r="I10">
        <f>AVERAGE(D4:D11)</f>
        <v>69.833333333333329</v>
      </c>
      <c r="J10">
        <f>VAR(D4:D11)</f>
        <v>144.16666666666643</v>
      </c>
      <c r="K10">
        <f>DEVSQ(D4:D11)</f>
        <v>720.83333333333348</v>
      </c>
      <c r="L10">
        <f>SQRT(I15/G10)</f>
        <v>5.4339285388270762</v>
      </c>
      <c r="M10">
        <f>I10-L10*TINV(L5,G10-1)</f>
        <v>55.864975335278665</v>
      </c>
      <c r="N10">
        <f>I10+L10*TINV(L5,G10-1)</f>
        <v>83.801691331387985</v>
      </c>
    </row>
    <row r="11" spans="1:14">
      <c r="A11" s="262"/>
      <c r="B11" s="262">
        <v>74</v>
      </c>
      <c r="C11" s="262">
        <v>58</v>
      </c>
      <c r="D11" s="262"/>
      <c r="F11" s="666"/>
      <c r="G11" s="666"/>
      <c r="H11" s="666"/>
      <c r="I11" s="666"/>
      <c r="J11" s="666"/>
      <c r="K11" s="666"/>
      <c r="L11" s="666"/>
      <c r="M11" s="666"/>
      <c r="N11" s="666"/>
    </row>
    <row r="12" spans="1:14" ht="15" thickBot="1">
      <c r="A12" s="117"/>
      <c r="B12" s="117"/>
      <c r="F12" t="s">
        <v>695</v>
      </c>
    </row>
    <row r="13" spans="1:14" ht="15" thickTop="1">
      <c r="A13" s="117"/>
      <c r="B13" s="117"/>
      <c r="F13" s="76" t="s">
        <v>880</v>
      </c>
      <c r="G13" s="76" t="s">
        <v>578</v>
      </c>
      <c r="H13" s="76" t="s">
        <v>186</v>
      </c>
      <c r="I13" s="76" t="s">
        <v>641</v>
      </c>
      <c r="J13" s="76" t="s">
        <v>388</v>
      </c>
      <c r="K13" s="76" t="s">
        <v>881</v>
      </c>
      <c r="L13" s="76" t="s">
        <v>888</v>
      </c>
      <c r="M13" s="76" t="s">
        <v>1932</v>
      </c>
      <c r="N13" s="76" t="s">
        <v>1933</v>
      </c>
    </row>
    <row r="14" spans="1:14">
      <c r="A14" s="117"/>
      <c r="B14" s="117"/>
      <c r="F14" t="s">
        <v>883</v>
      </c>
      <c r="G14">
        <f>G16-G15</f>
        <v>1394.1734400656824</v>
      </c>
      <c r="H14">
        <f>COUNTA(F7:F10)-1</f>
        <v>3</v>
      </c>
      <c r="I14">
        <f>G14/H14</f>
        <v>464.72448002189412</v>
      </c>
      <c r="J14">
        <f>I14/I15</f>
        <v>2.6231097052015611</v>
      </c>
      <c r="K14">
        <f>FDIST(J14,H14,H15)</f>
        <v>7.2760576413978123E-2</v>
      </c>
      <c r="L14">
        <f>FINV(L5,H14,H15)</f>
        <v>2.9912409095499513</v>
      </c>
      <c r="M14">
        <f>SQRT(DEVSQ(I7:I10)/(I15*H14))</f>
        <v>0.59750859005399493</v>
      </c>
      <c r="N14">
        <f>(G16-H16*I15)/(G16+I15)</f>
        <v>0.14376810060171005</v>
      </c>
    </row>
    <row r="15" spans="1:14">
      <c r="A15" s="117"/>
      <c r="B15" s="117"/>
      <c r="F15" t="s">
        <v>884</v>
      </c>
      <c r="G15">
        <f>SUM(K7:K10)</f>
        <v>4429.1369047619046</v>
      </c>
      <c r="H15">
        <f>H16-H14</f>
        <v>25</v>
      </c>
      <c r="I15">
        <f>G15/H15</f>
        <v>177.16547619047617</v>
      </c>
    </row>
    <row r="16" spans="1:14">
      <c r="A16" s="117"/>
      <c r="B16" s="117"/>
      <c r="F16" s="11" t="s">
        <v>12</v>
      </c>
      <c r="G16" s="11">
        <f>DEVSQ(A4:D11)</f>
        <v>5823.310344827587</v>
      </c>
      <c r="H16" s="11">
        <f>COUNT(A4:D11)-1</f>
        <v>28</v>
      </c>
      <c r="I16" s="11">
        <f>G16/H16</f>
        <v>207.97536945812811</v>
      </c>
      <c r="J16" s="11"/>
      <c r="K16" s="11"/>
      <c r="L16" s="11"/>
      <c r="M16" s="534"/>
      <c r="N16" s="534"/>
    </row>
    <row r="17" spans="1:2">
      <c r="A17" s="117"/>
      <c r="B17" s="117"/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sheetPr codeName="Sheet256"/>
  <dimension ref="A1:T35"/>
  <sheetViews>
    <sheetView zoomScaleNormal="100" workbookViewId="0"/>
  </sheetViews>
  <sheetFormatPr defaultRowHeight="14.4"/>
  <cols>
    <col min="1" max="1" width="9.88671875" customWidth="1"/>
    <col min="2" max="2" width="5.6640625" customWidth="1"/>
    <col min="3" max="3" width="4.6640625" customWidth="1"/>
    <col min="8" max="8" width="5.109375" customWidth="1"/>
    <col min="9" max="9" width="16.33203125" customWidth="1"/>
    <col min="19" max="19" width="10.44140625" customWidth="1"/>
  </cols>
  <sheetData>
    <row r="1" spans="1:20">
      <c r="A1" s="1" t="s">
        <v>2832</v>
      </c>
    </row>
    <row r="3" spans="1:20">
      <c r="A3" s="1067" t="s">
        <v>139</v>
      </c>
      <c r="B3" s="1071">
        <v>48</v>
      </c>
      <c r="D3" t="s">
        <v>2830</v>
      </c>
      <c r="S3" t="s">
        <v>2833</v>
      </c>
    </row>
    <row r="4" spans="1:20">
      <c r="A4" s="656" t="s">
        <v>139</v>
      </c>
      <c r="B4" s="657">
        <v>50</v>
      </c>
    </row>
    <row r="5" spans="1:20">
      <c r="A5" s="656" t="s">
        <v>139</v>
      </c>
      <c r="B5" s="657">
        <v>51</v>
      </c>
      <c r="D5" t="e">
        <f t="array" aca="1" ref="D5:G13" ca="1">[1]!StdAnova1(A3:B31)</f>
        <v>#NAME?</v>
      </c>
      <c r="E5" t="e">
        <f ca="1"/>
        <v>#NAME?</v>
      </c>
      <c r="F5" t="e">
        <f ca="1"/>
        <v>#NAME?</v>
      </c>
      <c r="G5" t="e">
        <f ca="1"/>
        <v>#NAME?</v>
      </c>
      <c r="I5" t="s">
        <v>878</v>
      </c>
      <c r="S5" s="1067" t="e">
        <f t="array" aca="1" ref="S5:T35" ca="1">[1]!Anova1Std(D5:G13)</f>
        <v>#NAME?</v>
      </c>
      <c r="T5" s="1071" t="e">
        <f ca="1"/>
        <v>#NAME?</v>
      </c>
    </row>
    <row r="6" spans="1:20">
      <c r="A6" s="656" t="s">
        <v>151</v>
      </c>
      <c r="B6" s="657">
        <v>51</v>
      </c>
      <c r="D6" s="1097" t="e">
        <f ca="1"/>
        <v>#NAME?</v>
      </c>
      <c r="E6" s="1098" t="e">
        <f ca="1"/>
        <v>#NAME?</v>
      </c>
      <c r="F6" s="1098" t="e">
        <f ca="1"/>
        <v>#NAME?</v>
      </c>
      <c r="G6" s="1099" t="e">
        <f ca="1"/>
        <v>#NAME?</v>
      </c>
      <c r="S6" s="656" t="e">
        <f ca="1"/>
        <v>#NAME?</v>
      </c>
      <c r="T6" s="657" t="e">
        <f ca="1"/>
        <v>#NAME?</v>
      </c>
    </row>
    <row r="7" spans="1:20" ht="15" thickBot="1">
      <c r="A7" s="656" t="s">
        <v>140</v>
      </c>
      <c r="B7" s="657">
        <v>52</v>
      </c>
      <c r="D7" s="625" t="e">
        <f ca="1"/>
        <v>#NAME?</v>
      </c>
      <c r="E7" s="8" t="e">
        <f ca="1"/>
        <v>#NAME?</v>
      </c>
      <c r="F7" s="8" t="e">
        <f ca="1"/>
        <v>#NAME?</v>
      </c>
      <c r="G7" s="132" t="e">
        <f ca="1"/>
        <v>#NAME?</v>
      </c>
      <c r="I7" t="s">
        <v>879</v>
      </c>
      <c r="N7" t="s">
        <v>116</v>
      </c>
      <c r="O7">
        <v>0.05</v>
      </c>
      <c r="S7" s="656" t="e">
        <f ca="1"/>
        <v>#NAME?</v>
      </c>
      <c r="T7" s="657" t="e">
        <f ca="1"/>
        <v>#NAME?</v>
      </c>
    </row>
    <row r="8" spans="1:20" ht="15" thickTop="1">
      <c r="A8" s="656" t="s">
        <v>139</v>
      </c>
      <c r="B8" s="657">
        <v>53</v>
      </c>
      <c r="D8" s="625" t="e">
        <f ca="1"/>
        <v>#NAME?</v>
      </c>
      <c r="E8" s="8" t="e">
        <f ca="1"/>
        <v>#NAME?</v>
      </c>
      <c r="F8" s="8" t="e">
        <f ca="1"/>
        <v>#NAME?</v>
      </c>
      <c r="G8" s="132" t="e">
        <f ca="1"/>
        <v>#NAME?</v>
      </c>
      <c r="I8" s="1070" t="s">
        <v>222</v>
      </c>
      <c r="J8" s="1070" t="s">
        <v>88</v>
      </c>
      <c r="K8" s="1070" t="s">
        <v>87</v>
      </c>
      <c r="L8" s="1070" t="s">
        <v>76</v>
      </c>
      <c r="M8" s="1070" t="s">
        <v>223</v>
      </c>
      <c r="N8" s="1070" t="s">
        <v>578</v>
      </c>
      <c r="O8" s="1070" t="s">
        <v>183</v>
      </c>
      <c r="P8" s="1070" t="s">
        <v>744</v>
      </c>
      <c r="Q8" s="1070" t="s">
        <v>745</v>
      </c>
      <c r="S8" s="656" t="e">
        <f ca="1"/>
        <v>#NAME?</v>
      </c>
      <c r="T8" s="657" t="e">
        <f ca="1"/>
        <v>#NAME?</v>
      </c>
    </row>
    <row r="9" spans="1:20">
      <c r="A9" s="656" t="s">
        <v>150</v>
      </c>
      <c r="B9" s="657">
        <v>58</v>
      </c>
      <c r="D9" s="625" t="e">
        <f ca="1"/>
        <v>#NAME?</v>
      </c>
      <c r="E9" s="8" t="e">
        <f ca="1"/>
        <v>#NAME?</v>
      </c>
      <c r="F9" s="8" t="e">
        <f ca="1"/>
        <v>#NAME?</v>
      </c>
      <c r="G9" s="132" t="e">
        <f ca="1"/>
        <v>#NAME?</v>
      </c>
      <c r="I9" t="e">
        <f ca="1">D5</f>
        <v>#NAME?</v>
      </c>
      <c r="J9">
        <f ca="1">COUNT(D6:D13)</f>
        <v>0</v>
      </c>
      <c r="K9" t="e">
        <f ca="1">SUM(D6:D13)</f>
        <v>#NAME?</v>
      </c>
      <c r="L9" t="e">
        <f ca="1">AVERAGE(D6:D13)</f>
        <v>#NAME?</v>
      </c>
      <c r="M9" t="e">
        <f ca="1">VAR(D6:D13)</f>
        <v>#NAME?</v>
      </c>
      <c r="N9" t="e">
        <f ca="1">DEVSQ(D6:D13)</f>
        <v>#NAME?</v>
      </c>
      <c r="O9" t="e">
        <f ca="1">SQRT(L17/J9)</f>
        <v>#NAME?</v>
      </c>
      <c r="P9" t="e">
        <f ca="1">L9-O9*TINV(O7,J9-1)</f>
        <v>#NAME?</v>
      </c>
      <c r="Q9" t="e">
        <f ca="1">L9+O9*TINV(O7,J9-1)</f>
        <v>#NAME?</v>
      </c>
      <c r="S9" s="656" t="e">
        <f ca="1"/>
        <v>#NAME?</v>
      </c>
      <c r="T9" s="657" t="e">
        <f ca="1"/>
        <v>#NAME?</v>
      </c>
    </row>
    <row r="10" spans="1:20">
      <c r="A10" s="656" t="s">
        <v>139</v>
      </c>
      <c r="B10" s="657">
        <v>61</v>
      </c>
      <c r="D10" s="625" t="e">
        <f ca="1"/>
        <v>#NAME?</v>
      </c>
      <c r="E10" s="8" t="e">
        <f ca="1"/>
        <v>#NAME?</v>
      </c>
      <c r="F10" s="8" t="e">
        <f ca="1"/>
        <v>#NAME?</v>
      </c>
      <c r="G10" s="132" t="e">
        <f ca="1"/>
        <v>#NAME?</v>
      </c>
      <c r="I10" t="e">
        <f ca="1">E5</f>
        <v>#NAME?</v>
      </c>
      <c r="J10">
        <f ca="1">COUNT(E6:E13)</f>
        <v>0</v>
      </c>
      <c r="K10" t="e">
        <f ca="1">SUM(E6:E13)</f>
        <v>#NAME?</v>
      </c>
      <c r="L10" t="e">
        <f ca="1">AVERAGE(E6:E13)</f>
        <v>#NAME?</v>
      </c>
      <c r="M10" t="e">
        <f ca="1">VAR(E6:E13)</f>
        <v>#NAME?</v>
      </c>
      <c r="N10" t="e">
        <f ca="1">DEVSQ(E6:E13)</f>
        <v>#NAME?</v>
      </c>
      <c r="O10" t="e">
        <f ca="1">SQRT(L17/J10)</f>
        <v>#NAME?</v>
      </c>
      <c r="P10" t="e">
        <f ca="1">L10-O10*TINV(O7,J10-1)</f>
        <v>#NAME?</v>
      </c>
      <c r="Q10" t="e">
        <f ca="1">L10+O10*TINV(O7,J10-1)</f>
        <v>#NAME?</v>
      </c>
      <c r="S10" s="656" t="e">
        <f ca="1"/>
        <v>#NAME?</v>
      </c>
      <c r="T10" s="657" t="e">
        <f ca="1"/>
        <v>#NAME?</v>
      </c>
    </row>
    <row r="11" spans="1:20">
      <c r="A11" s="656" t="s">
        <v>150</v>
      </c>
      <c r="B11" s="657">
        <v>63</v>
      </c>
      <c r="D11" s="625" t="e">
        <f ca="1"/>
        <v>#NAME?</v>
      </c>
      <c r="E11" s="8" t="e">
        <f ca="1"/>
        <v>#NAME?</v>
      </c>
      <c r="F11" s="8" t="e">
        <f ca="1"/>
        <v>#NAME?</v>
      </c>
      <c r="G11" s="132" t="e">
        <f ca="1"/>
        <v>#NAME?</v>
      </c>
      <c r="I11" t="e">
        <f ca="1">F5</f>
        <v>#NAME?</v>
      </c>
      <c r="J11">
        <f ca="1">COUNT(F6:F13)</f>
        <v>0</v>
      </c>
      <c r="K11" t="e">
        <f ca="1">SUM(F6:F13)</f>
        <v>#NAME?</v>
      </c>
      <c r="L11" t="e">
        <f ca="1">AVERAGE(F6:F13)</f>
        <v>#NAME?</v>
      </c>
      <c r="M11" t="e">
        <f ca="1">VAR(F6:F13)</f>
        <v>#NAME?</v>
      </c>
      <c r="N11" t="e">
        <f ca="1">DEVSQ(F6:F13)</f>
        <v>#NAME?</v>
      </c>
      <c r="O11" t="e">
        <f ca="1">SQRT(L17/J11)</f>
        <v>#NAME?</v>
      </c>
      <c r="P11" t="e">
        <f ca="1">L11-O11*TINV(O7,J11-1)</f>
        <v>#NAME?</v>
      </c>
      <c r="Q11" t="e">
        <f ca="1">L11+O11*TINV(O7,J11-1)</f>
        <v>#NAME?</v>
      </c>
      <c r="S11" s="656" t="e">
        <f ca="1"/>
        <v>#NAME?</v>
      </c>
      <c r="T11" s="657" t="e">
        <f ca="1"/>
        <v>#NAME?</v>
      </c>
    </row>
    <row r="12" spans="1:20">
      <c r="A12" s="656" t="s">
        <v>151</v>
      </c>
      <c r="B12" s="657">
        <v>65</v>
      </c>
      <c r="D12" s="625" t="e">
        <f ca="1"/>
        <v>#NAME?</v>
      </c>
      <c r="E12" s="8" t="e">
        <f ca="1"/>
        <v>#NAME?</v>
      </c>
      <c r="F12" s="8" t="e">
        <f ca="1"/>
        <v>#NAME?</v>
      </c>
      <c r="G12" s="132" t="e">
        <f ca="1"/>
        <v>#NAME?</v>
      </c>
      <c r="I12" t="e">
        <f ca="1">G5</f>
        <v>#NAME?</v>
      </c>
      <c r="J12">
        <f ca="1">COUNT(G6:G13)</f>
        <v>0</v>
      </c>
      <c r="K12" t="e">
        <f ca="1">SUM(G6:G13)</f>
        <v>#NAME?</v>
      </c>
      <c r="L12" t="e">
        <f ca="1">AVERAGE(G6:G13)</f>
        <v>#NAME?</v>
      </c>
      <c r="M12" t="e">
        <f ca="1">VAR(G6:G13)</f>
        <v>#NAME?</v>
      </c>
      <c r="N12" t="e">
        <f ca="1">DEVSQ(G6:G13)</f>
        <v>#NAME?</v>
      </c>
      <c r="O12" t="e">
        <f ca="1">SQRT(L17/J12)</f>
        <v>#NAME?</v>
      </c>
      <c r="P12" t="e">
        <f ca="1">L12-O12*TINV(O7,J12-1)</f>
        <v>#NAME?</v>
      </c>
      <c r="Q12" t="e">
        <f ca="1">L12+O12*TINV(O7,J12-1)</f>
        <v>#NAME?</v>
      </c>
      <c r="S12" s="656" t="e">
        <f ca="1"/>
        <v>#NAME?</v>
      </c>
      <c r="T12" s="657" t="e">
        <f ca="1"/>
        <v>#NAME?</v>
      </c>
    </row>
    <row r="13" spans="1:20">
      <c r="A13" s="656" t="s">
        <v>151</v>
      </c>
      <c r="B13" s="657">
        <v>67</v>
      </c>
      <c r="D13" s="1075" t="e">
        <f ca="1"/>
        <v>#NAME?</v>
      </c>
      <c r="E13" s="1076" t="e">
        <f ca="1"/>
        <v>#NAME?</v>
      </c>
      <c r="F13" s="1076" t="e">
        <f ca="1"/>
        <v>#NAME?</v>
      </c>
      <c r="G13" s="1077" t="e">
        <f ca="1"/>
        <v>#NAME?</v>
      </c>
      <c r="I13" s="5"/>
      <c r="J13" s="5"/>
      <c r="K13" s="5"/>
      <c r="L13" s="5"/>
      <c r="M13" s="5"/>
      <c r="N13" s="5"/>
      <c r="O13" s="5"/>
      <c r="P13" s="5"/>
      <c r="Q13" s="5"/>
      <c r="S13" s="656" t="e">
        <f ca="1"/>
        <v>#NAME?</v>
      </c>
      <c r="T13" s="657" t="e">
        <f ca="1"/>
        <v>#NAME?</v>
      </c>
    </row>
    <row r="14" spans="1:20" ht="15" thickBot="1">
      <c r="A14" s="656" t="s">
        <v>151</v>
      </c>
      <c r="B14" s="657">
        <v>71</v>
      </c>
      <c r="I14" t="s">
        <v>695</v>
      </c>
      <c r="S14" s="656" t="e">
        <f ca="1"/>
        <v>#NAME?</v>
      </c>
      <c r="T14" s="657" t="e">
        <f ca="1"/>
        <v>#NAME?</v>
      </c>
    </row>
    <row r="15" spans="1:20" ht="15" thickTop="1">
      <c r="A15" s="656" t="s">
        <v>140</v>
      </c>
      <c r="B15" s="657">
        <v>73</v>
      </c>
      <c r="I15" s="1070" t="s">
        <v>880</v>
      </c>
      <c r="J15" s="1070" t="s">
        <v>578</v>
      </c>
      <c r="K15" s="1070" t="s">
        <v>186</v>
      </c>
      <c r="L15" s="1070" t="s">
        <v>641</v>
      </c>
      <c r="M15" s="1070" t="s">
        <v>388</v>
      </c>
      <c r="N15" s="1070" t="s">
        <v>881</v>
      </c>
      <c r="O15" s="1070" t="s">
        <v>888</v>
      </c>
      <c r="P15" s="1070" t="s">
        <v>1932</v>
      </c>
      <c r="Q15" s="1070" t="s">
        <v>1933</v>
      </c>
      <c r="S15" s="656" t="e">
        <f ca="1"/>
        <v>#NAME?</v>
      </c>
      <c r="T15" s="657" t="e">
        <f ca="1"/>
        <v>#NAME?</v>
      </c>
    </row>
    <row r="16" spans="1:20">
      <c r="A16" s="656" t="s">
        <v>140</v>
      </c>
      <c r="B16" s="657">
        <v>74</v>
      </c>
      <c r="I16" t="s">
        <v>883</v>
      </c>
      <c r="J16" t="e">
        <f ca="1">J18-J17</f>
        <v>#NAME?</v>
      </c>
      <c r="K16">
        <f ca="1">COUNTA(I9:I12)-1</f>
        <v>3</v>
      </c>
      <c r="L16" t="e">
        <f ca="1">J16/K16</f>
        <v>#NAME?</v>
      </c>
      <c r="M16" t="e">
        <f ca="1">L16/L17</f>
        <v>#NAME?</v>
      </c>
      <c r="N16" t="e">
        <f ca="1">FDIST(M16,K16,K17)</f>
        <v>#NAME?</v>
      </c>
      <c r="O16" t="e">
        <f ca="1">FINV(O7,K16,K17)</f>
        <v>#NUM!</v>
      </c>
      <c r="P16" t="e">
        <f ca="1">SQRT(DEVSQ(L9:L12)/(L17*K16))</f>
        <v>#NAME?</v>
      </c>
      <c r="Q16" t="e">
        <f ca="1">(J18-K18*L17)/(J18+L17)</f>
        <v>#NAME?</v>
      </c>
      <c r="S16" s="656" t="e">
        <f ca="1"/>
        <v>#NAME?</v>
      </c>
      <c r="T16" s="657" t="e">
        <f ca="1"/>
        <v>#NAME?</v>
      </c>
    </row>
    <row r="17" spans="1:20">
      <c r="A17" s="656" t="s">
        <v>150</v>
      </c>
      <c r="B17" s="657">
        <v>74</v>
      </c>
      <c r="I17" t="s">
        <v>884</v>
      </c>
      <c r="J17" t="e">
        <f ca="1">SUM(N9:N12)</f>
        <v>#NAME?</v>
      </c>
      <c r="K17">
        <f ca="1">K18-K16</f>
        <v>-4</v>
      </c>
      <c r="L17" t="e">
        <f ca="1">J17/K17</f>
        <v>#NAME?</v>
      </c>
      <c r="S17" s="656" t="e">
        <f ca="1"/>
        <v>#NAME?</v>
      </c>
      <c r="T17" s="657" t="e">
        <f ca="1"/>
        <v>#NAME?</v>
      </c>
    </row>
    <row r="18" spans="1:20">
      <c r="A18" s="656" t="s">
        <v>139</v>
      </c>
      <c r="B18" s="657">
        <v>79</v>
      </c>
      <c r="I18" s="1078" t="s">
        <v>12</v>
      </c>
      <c r="J18" s="1078" t="e">
        <f ca="1">DEVSQ(D6:G13)</f>
        <v>#NAME?</v>
      </c>
      <c r="K18" s="1078">
        <f ca="1">COUNT(D6:G13)-1</f>
        <v>-1</v>
      </c>
      <c r="L18" s="1078" t="e">
        <f ca="1">J18/K18</f>
        <v>#NAME?</v>
      </c>
      <c r="M18" s="1078"/>
      <c r="N18" s="1078"/>
      <c r="O18" s="1078"/>
      <c r="P18" s="1078"/>
      <c r="Q18" s="1078"/>
      <c r="S18" s="656" t="e">
        <f ca="1"/>
        <v>#NAME?</v>
      </c>
      <c r="T18" s="657" t="e">
        <f ca="1"/>
        <v>#NAME?</v>
      </c>
    </row>
    <row r="19" spans="1:20">
      <c r="A19" s="656" t="s">
        <v>140</v>
      </c>
      <c r="B19" s="657">
        <v>79</v>
      </c>
      <c r="S19" s="656" t="e">
        <f ca="1"/>
        <v>#NAME?</v>
      </c>
      <c r="T19" s="657" t="e">
        <f ca="1"/>
        <v>#NAME?</v>
      </c>
    </row>
    <row r="20" spans="1:20">
      <c r="A20" s="656" t="s">
        <v>150</v>
      </c>
      <c r="B20" s="657">
        <v>79</v>
      </c>
      <c r="S20" s="656" t="e">
        <f ca="1"/>
        <v>#NAME?</v>
      </c>
      <c r="T20" s="657" t="e">
        <f ca="1"/>
        <v>#NAME?</v>
      </c>
    </row>
    <row r="21" spans="1:20">
      <c r="A21" s="656" t="s">
        <v>140</v>
      </c>
      <c r="B21" s="657">
        <v>80</v>
      </c>
      <c r="S21" s="656" t="e">
        <f ca="1"/>
        <v>#NAME?</v>
      </c>
      <c r="T21" s="657" t="e">
        <f ca="1"/>
        <v>#NAME?</v>
      </c>
    </row>
    <row r="22" spans="1:20">
      <c r="A22" s="656" t="s">
        <v>151</v>
      </c>
      <c r="B22" s="657">
        <v>80</v>
      </c>
      <c r="S22" s="656" t="e">
        <f ca="1"/>
        <v>#NAME?</v>
      </c>
      <c r="T22" s="657" t="e">
        <f ca="1"/>
        <v>#NAME?</v>
      </c>
    </row>
    <row r="23" spans="1:20">
      <c r="A23" s="656" t="s">
        <v>140</v>
      </c>
      <c r="B23" s="657">
        <v>82</v>
      </c>
      <c r="S23" s="656" t="e">
        <f ca="1"/>
        <v>#NAME?</v>
      </c>
      <c r="T23" s="657" t="e">
        <f ca="1"/>
        <v>#NAME?</v>
      </c>
    </row>
    <row r="24" spans="1:20">
      <c r="A24" s="656" t="s">
        <v>150</v>
      </c>
      <c r="B24" s="657">
        <v>83</v>
      </c>
      <c r="S24" s="656" t="e">
        <f ca="1"/>
        <v>#NAME?</v>
      </c>
      <c r="T24" s="657" t="e">
        <f ca="1"/>
        <v>#NAME?</v>
      </c>
    </row>
    <row r="25" spans="1:20">
      <c r="A25" s="656" t="s">
        <v>150</v>
      </c>
      <c r="B25" s="657">
        <v>84</v>
      </c>
      <c r="S25" s="656" t="e">
        <f ca="1"/>
        <v>#NAME?</v>
      </c>
      <c r="T25" s="657" t="e">
        <f ca="1"/>
        <v>#NAME?</v>
      </c>
    </row>
    <row r="26" spans="1:20">
      <c r="A26" s="656" t="s">
        <v>150</v>
      </c>
      <c r="B26" s="657">
        <v>85</v>
      </c>
      <c r="S26" s="656" t="e">
        <f ca="1"/>
        <v>#NAME?</v>
      </c>
      <c r="T26" s="657" t="e">
        <f ca="1"/>
        <v>#NAME?</v>
      </c>
    </row>
    <row r="27" spans="1:20">
      <c r="A27" s="656" t="s">
        <v>151</v>
      </c>
      <c r="B27" s="657">
        <v>85</v>
      </c>
      <c r="S27" s="656" t="e">
        <f ca="1"/>
        <v>#NAME?</v>
      </c>
      <c r="T27" s="657" t="e">
        <f ca="1"/>
        <v>#NAME?</v>
      </c>
    </row>
    <row r="28" spans="1:20">
      <c r="A28" s="656" t="s">
        <v>139</v>
      </c>
      <c r="B28" s="657">
        <v>87</v>
      </c>
      <c r="S28" s="656" t="e">
        <f ca="1"/>
        <v>#NAME?</v>
      </c>
      <c r="T28" s="657" t="e">
        <f ca="1"/>
        <v>#NAME?</v>
      </c>
    </row>
    <row r="29" spans="1:20">
      <c r="A29" s="656" t="s">
        <v>140</v>
      </c>
      <c r="B29" s="657">
        <v>91</v>
      </c>
      <c r="S29" s="656" t="e">
        <f ca="1"/>
        <v>#NAME?</v>
      </c>
      <c r="T29" s="657" t="e">
        <f ca="1"/>
        <v>#NAME?</v>
      </c>
    </row>
    <row r="30" spans="1:20">
      <c r="A30" s="656" t="s">
        <v>140</v>
      </c>
      <c r="B30" s="657">
        <v>92</v>
      </c>
      <c r="S30" s="656" t="e">
        <f ca="1"/>
        <v>#NAME?</v>
      </c>
      <c r="T30" s="657" t="e">
        <f ca="1"/>
        <v>#NAME?</v>
      </c>
    </row>
    <row r="31" spans="1:20">
      <c r="A31" s="533" t="s">
        <v>150</v>
      </c>
      <c r="B31" s="541">
        <v>98</v>
      </c>
      <c r="S31" s="656" t="e">
        <f ca="1"/>
        <v>#NAME?</v>
      </c>
      <c r="T31" s="657" t="e">
        <f ca="1"/>
        <v>#NAME?</v>
      </c>
    </row>
    <row r="32" spans="1:20">
      <c r="S32" s="656" t="e">
        <f ca="1"/>
        <v>#NAME?</v>
      </c>
      <c r="T32" s="657" t="e">
        <f ca="1"/>
        <v>#NAME?</v>
      </c>
    </row>
    <row r="33" spans="19:20">
      <c r="S33" s="656" t="e">
        <f ca="1"/>
        <v>#NAME?</v>
      </c>
      <c r="T33" s="657" t="e">
        <f ca="1"/>
        <v>#NAME?</v>
      </c>
    </row>
    <row r="34" spans="19:20">
      <c r="S34" s="656" t="e">
        <f ca="1"/>
        <v>#NAME?</v>
      </c>
      <c r="T34" s="657" t="e">
        <f ca="1"/>
        <v>#NAME?</v>
      </c>
    </row>
    <row r="35" spans="19:20">
      <c r="S35" s="533" t="e">
        <f ca="1"/>
        <v>#NAME?</v>
      </c>
      <c r="T35" s="541" t="e">
        <f ca="1"/>
        <v>#NAME?</v>
      </c>
    </row>
  </sheetData>
  <sortState ref="A3:B31">
    <sortCondition ref="B3:B31"/>
  </sortState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sheetPr codeName="Sheet102"/>
  <dimension ref="A1:P18"/>
  <sheetViews>
    <sheetView workbookViewId="0"/>
  </sheetViews>
  <sheetFormatPr defaultRowHeight="14.4"/>
  <cols>
    <col min="5" max="5" width="4.5546875" customWidth="1"/>
    <col min="6" max="6" width="16.88671875" customWidth="1"/>
    <col min="7" max="7" width="8" customWidth="1"/>
    <col min="8" max="8" width="7.44140625" customWidth="1"/>
    <col min="9" max="9" width="8.33203125" customWidth="1"/>
    <col min="11" max="12" width="8.33203125" customWidth="1"/>
    <col min="14" max="14" width="8.5546875" customWidth="1"/>
    <col min="15" max="15" width="4.88671875" customWidth="1"/>
    <col min="16" max="16" width="22" customWidth="1"/>
    <col min="17" max="17" width="9.6640625" customWidth="1"/>
    <col min="18" max="18" width="0" hidden="1" customWidth="1"/>
    <col min="19" max="19" width="5.109375" customWidth="1"/>
  </cols>
  <sheetData>
    <row r="1" spans="1:16">
      <c r="A1" s="1" t="s">
        <v>1006</v>
      </c>
    </row>
    <row r="2" spans="1:16">
      <c r="A2" s="117"/>
      <c r="B2" s="117"/>
    </row>
    <row r="3" spans="1:16">
      <c r="A3" s="279" t="s">
        <v>139</v>
      </c>
      <c r="B3" s="279" t="s">
        <v>140</v>
      </c>
      <c r="C3" s="279" t="s">
        <v>150</v>
      </c>
      <c r="D3" s="279" t="s">
        <v>151</v>
      </c>
      <c r="F3" t="s">
        <v>885</v>
      </c>
    </row>
    <row r="4" spans="1:16">
      <c r="A4" s="279">
        <v>51</v>
      </c>
      <c r="B4" s="279">
        <v>82</v>
      </c>
      <c r="C4" s="279">
        <v>79</v>
      </c>
      <c r="D4" s="279">
        <v>85</v>
      </c>
    </row>
    <row r="5" spans="1:16" ht="16.2" thickBot="1">
      <c r="A5" s="117">
        <v>87</v>
      </c>
      <c r="B5" s="117">
        <v>91</v>
      </c>
      <c r="C5" s="117">
        <v>84</v>
      </c>
      <c r="D5" s="117">
        <v>80</v>
      </c>
      <c r="F5" t="s">
        <v>194</v>
      </c>
      <c r="M5" s="126" t="s">
        <v>934</v>
      </c>
      <c r="N5" s="317">
        <f>I7-I8</f>
        <v>-16.589285714285715</v>
      </c>
      <c r="O5" s="8"/>
      <c r="P5" s="23" t="s">
        <v>935</v>
      </c>
    </row>
    <row r="6" spans="1:16" ht="15.6">
      <c r="A6" s="117">
        <v>50</v>
      </c>
      <c r="B6" s="117">
        <v>92</v>
      </c>
      <c r="C6" s="117">
        <v>74</v>
      </c>
      <c r="D6" s="117">
        <v>65</v>
      </c>
      <c r="F6" s="261" t="s">
        <v>222</v>
      </c>
      <c r="G6" s="261" t="s">
        <v>88</v>
      </c>
      <c r="H6" s="261" t="s">
        <v>87</v>
      </c>
      <c r="I6" s="261" t="s">
        <v>886</v>
      </c>
      <c r="J6" s="261" t="s">
        <v>223</v>
      </c>
      <c r="M6" s="126" t="s">
        <v>902</v>
      </c>
      <c r="N6" s="40">
        <f>I16</f>
        <v>177.16547619047617</v>
      </c>
      <c r="O6" s="8"/>
      <c r="P6" s="23" t="s">
        <v>936</v>
      </c>
    </row>
    <row r="7" spans="1:16">
      <c r="A7" s="117">
        <v>48</v>
      </c>
      <c r="B7" s="117">
        <v>80</v>
      </c>
      <c r="C7" s="117">
        <v>98</v>
      </c>
      <c r="D7" s="117">
        <v>71</v>
      </c>
      <c r="F7" s="28" t="s">
        <v>139</v>
      </c>
      <c r="G7" s="28">
        <v>7</v>
      </c>
      <c r="H7" s="28">
        <v>429</v>
      </c>
      <c r="I7" s="28">
        <v>61.285714285714285</v>
      </c>
      <c r="J7" s="28">
        <v>242.23809523809541</v>
      </c>
      <c r="M7" s="126" t="s">
        <v>826</v>
      </c>
      <c r="N7" s="40">
        <f>SQRT(N6*(1/G7+1/G8))</f>
        <v>6.888761736720622</v>
      </c>
      <c r="O7" s="8"/>
      <c r="P7" s="23" t="s">
        <v>937</v>
      </c>
    </row>
    <row r="8" spans="1:16">
      <c r="A8" s="117">
        <v>79</v>
      </c>
      <c r="B8" s="117">
        <v>52</v>
      </c>
      <c r="C8" s="117">
        <v>63</v>
      </c>
      <c r="D8" s="117">
        <v>67</v>
      </c>
      <c r="F8" s="28" t="s">
        <v>140</v>
      </c>
      <c r="G8" s="28">
        <v>8</v>
      </c>
      <c r="H8" s="28">
        <v>623</v>
      </c>
      <c r="I8" s="28">
        <v>77.875</v>
      </c>
      <c r="J8" s="28">
        <v>157.55357142857142</v>
      </c>
      <c r="M8" s="126" t="s">
        <v>195</v>
      </c>
      <c r="N8" s="40">
        <f>N5/N7</f>
        <v>-2.4081665687254561</v>
      </c>
      <c r="O8" s="8"/>
      <c r="P8" s="23" t="s">
        <v>938</v>
      </c>
    </row>
    <row r="9" spans="1:16" ht="15.6">
      <c r="A9" s="117">
        <v>61</v>
      </c>
      <c r="B9" s="117">
        <v>79</v>
      </c>
      <c r="C9" s="117">
        <v>83</v>
      </c>
      <c r="D9" s="117">
        <v>51</v>
      </c>
      <c r="F9" s="28" t="s">
        <v>150</v>
      </c>
      <c r="G9" s="28">
        <v>8</v>
      </c>
      <c r="H9" s="28">
        <v>624</v>
      </c>
      <c r="I9" s="28">
        <v>78</v>
      </c>
      <c r="J9" s="28">
        <v>164.57142857142858</v>
      </c>
      <c r="M9" s="126" t="s">
        <v>941</v>
      </c>
      <c r="N9" s="40">
        <f>H16</f>
        <v>25</v>
      </c>
      <c r="O9" s="8"/>
      <c r="P9" s="23" t="s">
        <v>939</v>
      </c>
    </row>
    <row r="10" spans="1:16" ht="15" thickBot="1">
      <c r="A10" s="117">
        <v>53</v>
      </c>
      <c r="B10" s="117">
        <v>73</v>
      </c>
      <c r="C10" s="117">
        <v>85</v>
      </c>
      <c r="D10" s="117"/>
      <c r="F10" s="31" t="s">
        <v>151</v>
      </c>
      <c r="G10" s="31">
        <v>6</v>
      </c>
      <c r="H10" s="31">
        <v>419</v>
      </c>
      <c r="I10" s="31">
        <v>69.833333333333329</v>
      </c>
      <c r="J10" s="31">
        <v>144.16666666666643</v>
      </c>
      <c r="M10" s="126" t="s">
        <v>200</v>
      </c>
      <c r="N10" s="268">
        <f>TDIST(ABS(N8),N9,2)</f>
        <v>2.3734329328748829E-2</v>
      </c>
      <c r="O10" s="8"/>
      <c r="P10" s="23" t="s">
        <v>940</v>
      </c>
    </row>
    <row r="11" spans="1:16">
      <c r="A11" s="288"/>
      <c r="B11" s="288">
        <v>74</v>
      </c>
      <c r="C11" s="288">
        <v>58</v>
      </c>
      <c r="D11" s="288"/>
    </row>
    <row r="12" spans="1:16">
      <c r="A12" s="117"/>
      <c r="B12" s="117"/>
    </row>
    <row r="13" spans="1:16" ht="15" thickBot="1">
      <c r="A13" s="117"/>
      <c r="B13" s="117"/>
      <c r="F13" t="s">
        <v>695</v>
      </c>
    </row>
    <row r="14" spans="1:16">
      <c r="A14" s="117"/>
      <c r="B14" s="117"/>
      <c r="F14" s="261" t="s">
        <v>887</v>
      </c>
      <c r="G14" s="261" t="s">
        <v>578</v>
      </c>
      <c r="H14" s="261" t="s">
        <v>186</v>
      </c>
      <c r="I14" s="261" t="s">
        <v>641</v>
      </c>
      <c r="J14" s="261" t="s">
        <v>388</v>
      </c>
      <c r="K14" s="261" t="s">
        <v>367</v>
      </c>
      <c r="L14" s="261" t="s">
        <v>888</v>
      </c>
    </row>
    <row r="15" spans="1:16">
      <c r="A15" s="117"/>
      <c r="B15" s="117"/>
      <c r="F15" s="28" t="s">
        <v>883</v>
      </c>
      <c r="G15" s="28">
        <v>1394.1734400656824</v>
      </c>
      <c r="H15" s="28">
        <v>3</v>
      </c>
      <c r="I15" s="28">
        <v>464.72448002189412</v>
      </c>
      <c r="J15" s="28">
        <v>2.6231097052015611</v>
      </c>
      <c r="K15" s="28">
        <v>7.2760576413978123E-2</v>
      </c>
      <c r="L15" s="28">
        <v>2.9912409095499513</v>
      </c>
    </row>
    <row r="16" spans="1:16">
      <c r="A16" s="117"/>
      <c r="B16" s="117"/>
      <c r="F16" s="28" t="s">
        <v>884</v>
      </c>
      <c r="G16" s="28">
        <v>4429.1369047619046</v>
      </c>
      <c r="H16" s="28">
        <v>25</v>
      </c>
      <c r="I16" s="28">
        <v>177.16547619047617</v>
      </c>
      <c r="J16" s="28"/>
      <c r="K16" s="28"/>
      <c r="L16" s="28"/>
    </row>
    <row r="17" spans="1:12">
      <c r="A17" s="117"/>
      <c r="B17" s="117"/>
      <c r="F17" s="28"/>
      <c r="G17" s="28"/>
      <c r="H17" s="28"/>
      <c r="I17" s="28"/>
      <c r="J17" s="28"/>
      <c r="K17" s="28"/>
      <c r="L17" s="28"/>
    </row>
    <row r="18" spans="1:12" ht="15" thickBot="1">
      <c r="F18" s="31" t="s">
        <v>12</v>
      </c>
      <c r="G18" s="31">
        <v>5823.310344827587</v>
      </c>
      <c r="H18" s="31">
        <v>28</v>
      </c>
      <c r="I18" s="31"/>
      <c r="J18" s="31"/>
      <c r="K18" s="31"/>
      <c r="L18" s="31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sheetPr codeName="Sheet103"/>
  <dimension ref="A1:X39"/>
  <sheetViews>
    <sheetView topLeftCell="A26" workbookViewId="0"/>
  </sheetViews>
  <sheetFormatPr defaultRowHeight="14.4"/>
  <cols>
    <col min="5" max="5" width="4.5546875" customWidth="1"/>
    <col min="6" max="6" width="16.33203125" customWidth="1"/>
    <col min="7" max="7" width="8" customWidth="1"/>
    <col min="8" max="8" width="7.44140625" customWidth="1"/>
    <col min="9" max="9" width="8.33203125" customWidth="1"/>
    <col min="11" max="12" width="8.33203125" customWidth="1"/>
    <col min="13" max="13" width="6.6640625" customWidth="1"/>
    <col min="14" max="14" width="9.44140625" customWidth="1"/>
    <col min="15" max="15" width="7.6640625" customWidth="1"/>
    <col min="17" max="17" width="7.5546875" customWidth="1"/>
  </cols>
  <sheetData>
    <row r="1" spans="1:19">
      <c r="A1" s="1" t="s">
        <v>1005</v>
      </c>
    </row>
    <row r="2" spans="1:19">
      <c r="A2" s="117"/>
      <c r="B2" s="117"/>
    </row>
    <row r="3" spans="1:19">
      <c r="A3" s="279" t="s">
        <v>139</v>
      </c>
      <c r="B3" s="279" t="s">
        <v>140</v>
      </c>
      <c r="C3" s="279" t="s">
        <v>150</v>
      </c>
      <c r="D3" s="279" t="s">
        <v>151</v>
      </c>
      <c r="F3" t="s">
        <v>878</v>
      </c>
      <c r="N3" t="s">
        <v>928</v>
      </c>
    </row>
    <row r="4" spans="1:19">
      <c r="A4" s="279">
        <v>51</v>
      </c>
      <c r="B4" s="279">
        <v>82</v>
      </c>
      <c r="C4" s="279">
        <v>79</v>
      </c>
      <c r="D4" s="279">
        <v>85</v>
      </c>
    </row>
    <row r="5" spans="1:19" ht="15" thickBot="1">
      <c r="A5" s="117">
        <v>87</v>
      </c>
      <c r="B5" s="117">
        <v>91</v>
      </c>
      <c r="C5" s="117">
        <v>84</v>
      </c>
      <c r="D5" s="117">
        <v>80</v>
      </c>
      <c r="F5" t="s">
        <v>879</v>
      </c>
      <c r="N5" t="s">
        <v>933</v>
      </c>
      <c r="R5" s="252" t="s">
        <v>116</v>
      </c>
      <c r="S5" s="252">
        <v>0.05</v>
      </c>
    </row>
    <row r="6" spans="1:19" ht="15" thickTop="1">
      <c r="A6" s="117">
        <v>50</v>
      </c>
      <c r="B6" s="117">
        <v>92</v>
      </c>
      <c r="C6" s="117">
        <v>74</v>
      </c>
      <c r="D6" s="117">
        <v>65</v>
      </c>
      <c r="F6" s="76" t="s">
        <v>222</v>
      </c>
      <c r="G6" s="76" t="s">
        <v>88</v>
      </c>
      <c r="H6" s="76" t="s">
        <v>87</v>
      </c>
      <c r="I6" s="76" t="s">
        <v>76</v>
      </c>
      <c r="J6" s="76" t="s">
        <v>223</v>
      </c>
      <c r="K6" s="76" t="s">
        <v>578</v>
      </c>
      <c r="N6" s="76" t="s">
        <v>222</v>
      </c>
      <c r="O6" s="76" t="s">
        <v>143</v>
      </c>
      <c r="P6" s="76" t="s">
        <v>63</v>
      </c>
      <c r="Q6" s="76" t="s">
        <v>106</v>
      </c>
      <c r="R6" s="76" t="s">
        <v>929</v>
      </c>
      <c r="S6" s="76" t="s">
        <v>931</v>
      </c>
    </row>
    <row r="7" spans="1:19">
      <c r="A7" s="117">
        <v>48</v>
      </c>
      <c r="B7" s="117">
        <v>80</v>
      </c>
      <c r="C7" s="117">
        <v>98</v>
      </c>
      <c r="D7" s="117">
        <v>71</v>
      </c>
      <c r="F7" t="s">
        <v>139</v>
      </c>
      <c r="G7">
        <f>COUNT(A4:A11)</f>
        <v>7</v>
      </c>
      <c r="H7">
        <f>SUM(A4:A11)</f>
        <v>429</v>
      </c>
      <c r="I7">
        <f>AVERAGE(A4:A11)</f>
        <v>61.285714285714285</v>
      </c>
      <c r="J7">
        <f>VAR(A4:A11)</f>
        <v>242.23809523809541</v>
      </c>
      <c r="K7">
        <f>DEVSQ(A4:A11)</f>
        <v>1453.4285714285713</v>
      </c>
      <c r="N7" t="s">
        <v>139</v>
      </c>
      <c r="O7">
        <v>-0.5</v>
      </c>
      <c r="P7">
        <f>I7</f>
        <v>61.285714285714285</v>
      </c>
      <c r="Q7">
        <f>G7</f>
        <v>7</v>
      </c>
      <c r="R7">
        <f>O7^2/Q7</f>
        <v>3.5714285714285712E-2</v>
      </c>
      <c r="S7">
        <f>O7*P7</f>
        <v>-30.642857142857142</v>
      </c>
    </row>
    <row r="8" spans="1:19">
      <c r="A8" s="117">
        <v>79</v>
      </c>
      <c r="B8" s="117">
        <v>52</v>
      </c>
      <c r="C8" s="117">
        <v>63</v>
      </c>
      <c r="D8" s="117">
        <v>67</v>
      </c>
      <c r="F8" t="s">
        <v>140</v>
      </c>
      <c r="G8">
        <f>COUNT(B4:B11)</f>
        <v>8</v>
      </c>
      <c r="H8">
        <f>SUM(B4:B11)</f>
        <v>623</v>
      </c>
      <c r="I8">
        <f>AVERAGE(B4:B11)</f>
        <v>77.875</v>
      </c>
      <c r="J8">
        <f>VAR(B4:B11)</f>
        <v>157.55357142857142</v>
      </c>
      <c r="K8">
        <f>DEVSQ(B4:B11)</f>
        <v>1102.875</v>
      </c>
      <c r="N8" t="s">
        <v>140</v>
      </c>
      <c r="O8">
        <v>0.5</v>
      </c>
      <c r="P8">
        <f>I8</f>
        <v>77.875</v>
      </c>
      <c r="Q8">
        <f>G8</f>
        <v>8</v>
      </c>
      <c r="R8">
        <f>O8^2/Q8</f>
        <v>3.125E-2</v>
      </c>
      <c r="S8">
        <f>O8*P8</f>
        <v>38.9375</v>
      </c>
    </row>
    <row r="9" spans="1:19">
      <c r="A9" s="117">
        <v>61</v>
      </c>
      <c r="B9" s="117">
        <v>79</v>
      </c>
      <c r="C9" s="117">
        <v>83</v>
      </c>
      <c r="D9" s="117">
        <v>51</v>
      </c>
      <c r="F9" t="s">
        <v>150</v>
      </c>
      <c r="G9">
        <f>COUNT(C4:C11)</f>
        <v>8</v>
      </c>
      <c r="H9">
        <f>SUM(C4:C11)</f>
        <v>624</v>
      </c>
      <c r="I9">
        <f>AVERAGE(C4:C11)</f>
        <v>78</v>
      </c>
      <c r="J9">
        <f>VAR(C4:C11)</f>
        <v>164.57142857142858</v>
      </c>
      <c r="K9">
        <f>DEVSQ(C4:C11)</f>
        <v>1152</v>
      </c>
      <c r="N9" t="s">
        <v>150</v>
      </c>
    </row>
    <row r="10" spans="1:19">
      <c r="A10" s="117">
        <v>53</v>
      </c>
      <c r="B10" s="117">
        <v>73</v>
      </c>
      <c r="C10" s="117">
        <v>85</v>
      </c>
      <c r="D10" s="117"/>
      <c r="F10" t="s">
        <v>151</v>
      </c>
      <c r="G10">
        <f>COUNT(D4:D11)</f>
        <v>6</v>
      </c>
      <c r="H10">
        <f>SUM(D4:D11)</f>
        <v>419</v>
      </c>
      <c r="I10">
        <f>AVERAGE(D4:D11)</f>
        <v>69.833333333333329</v>
      </c>
      <c r="J10">
        <f>VAR(D4:D11)</f>
        <v>144.16666666666643</v>
      </c>
      <c r="K10">
        <f>DEVSQ(D4:D11)</f>
        <v>720.83333333333348</v>
      </c>
      <c r="N10" t="s">
        <v>151</v>
      </c>
      <c r="O10" s="235"/>
      <c r="P10" s="235"/>
      <c r="Q10" s="235"/>
      <c r="R10" s="235"/>
      <c r="S10" s="235"/>
    </row>
    <row r="11" spans="1:19">
      <c r="A11" s="288"/>
      <c r="B11" s="288">
        <v>74</v>
      </c>
      <c r="C11" s="288">
        <v>58</v>
      </c>
      <c r="D11" s="288"/>
      <c r="F11" s="270"/>
      <c r="G11" s="270"/>
      <c r="H11" s="270"/>
      <c r="I11" s="270"/>
      <c r="J11" s="270"/>
      <c r="K11" s="270"/>
      <c r="N11" s="270"/>
      <c r="O11" s="8"/>
      <c r="P11" s="8"/>
      <c r="R11">
        <f>SUM(R7:R10)</f>
        <v>6.6964285714285712E-2</v>
      </c>
      <c r="S11">
        <f>SUM(S7:S10)</f>
        <v>8.2946428571428577</v>
      </c>
    </row>
    <row r="12" spans="1:19" ht="15" thickBot="1">
      <c r="A12" s="117"/>
      <c r="B12" s="117"/>
      <c r="F12" t="s">
        <v>695</v>
      </c>
      <c r="I12" t="s">
        <v>116</v>
      </c>
      <c r="J12">
        <v>0.05</v>
      </c>
      <c r="N12" t="s">
        <v>930</v>
      </c>
    </row>
    <row r="13" spans="1:19" ht="15" thickTop="1">
      <c r="A13" s="117"/>
      <c r="B13" s="117"/>
      <c r="F13" s="76" t="s">
        <v>880</v>
      </c>
      <c r="G13" s="76" t="s">
        <v>578</v>
      </c>
      <c r="H13" s="76" t="s">
        <v>186</v>
      </c>
      <c r="I13" s="76" t="s">
        <v>641</v>
      </c>
      <c r="J13" s="76" t="s">
        <v>388</v>
      </c>
      <c r="K13" s="76" t="s">
        <v>881</v>
      </c>
      <c r="L13" s="76" t="s">
        <v>882</v>
      </c>
      <c r="N13" s="76" t="s">
        <v>522</v>
      </c>
      <c r="O13" s="76" t="s">
        <v>264</v>
      </c>
      <c r="P13" s="76" t="s">
        <v>186</v>
      </c>
      <c r="Q13" s="76" t="s">
        <v>200</v>
      </c>
      <c r="R13" s="76" t="s">
        <v>948</v>
      </c>
    </row>
    <row r="14" spans="1:19">
      <c r="A14" s="117"/>
      <c r="B14" s="117"/>
      <c r="F14" t="s">
        <v>883</v>
      </c>
      <c r="G14">
        <f>G16-G15</f>
        <v>1394.1734400656824</v>
      </c>
      <c r="H14">
        <f>COUNTA(F7:F10)-1</f>
        <v>3</v>
      </c>
      <c r="I14">
        <f>G14/H14</f>
        <v>464.72448002189412</v>
      </c>
      <c r="J14">
        <f>I14/I15</f>
        <v>2.6231097052015611</v>
      </c>
      <c r="K14">
        <f>FDIST(J14,H14,H15)</f>
        <v>7.2760576413978123E-2</v>
      </c>
      <c r="L14">
        <f>FINV(J12,H14,H15)</f>
        <v>2.9912409095499513</v>
      </c>
      <c r="N14" s="321">
        <f>SQRT($I$15*R11)</f>
        <v>3.444380868360311</v>
      </c>
      <c r="O14" s="321">
        <f>S11/N14</f>
        <v>2.4081665687254561</v>
      </c>
      <c r="P14" s="321">
        <f>$H$15</f>
        <v>25</v>
      </c>
      <c r="Q14" s="321">
        <f>TDIST(ABS(O14),P14,2)</f>
        <v>2.3734329328748829E-2</v>
      </c>
      <c r="R14" s="322" t="str">
        <f>IF(Q14&lt;S5,"yes","no")</f>
        <v>yes</v>
      </c>
    </row>
    <row r="15" spans="1:19">
      <c r="A15" s="117"/>
      <c r="B15" s="117"/>
      <c r="F15" t="s">
        <v>884</v>
      </c>
      <c r="G15">
        <f>SUM(K7:K10)</f>
        <v>4429.1369047619046</v>
      </c>
      <c r="H15">
        <f>H16-H14</f>
        <v>25</v>
      </c>
      <c r="I15">
        <f>G15/H15</f>
        <v>177.16547619047617</v>
      </c>
    </row>
    <row r="16" spans="1:19">
      <c r="A16" s="117"/>
      <c r="B16" s="117"/>
      <c r="F16" s="235" t="s">
        <v>12</v>
      </c>
      <c r="G16" s="235">
        <f>DEVSQ(A4:D11)</f>
        <v>5823.310344827587</v>
      </c>
      <c r="H16" s="235">
        <f>COUNT(A4:D11)-1</f>
        <v>28</v>
      </c>
      <c r="I16" s="235">
        <f>G16/H16</f>
        <v>207.97536945812811</v>
      </c>
      <c r="J16" s="235"/>
      <c r="K16" s="235"/>
      <c r="L16" s="235"/>
    </row>
    <row r="17" spans="1:21" ht="15" thickBot="1">
      <c r="A17" s="117"/>
      <c r="B17" s="117"/>
      <c r="N17" t="s">
        <v>932</v>
      </c>
      <c r="R17" s="252" t="s">
        <v>116</v>
      </c>
      <c r="S17" s="252">
        <v>0.05</v>
      </c>
    </row>
    <row r="18" spans="1:21" ht="15" thickTop="1">
      <c r="N18" s="76" t="s">
        <v>222</v>
      </c>
      <c r="O18" s="76" t="s">
        <v>143</v>
      </c>
      <c r="P18" s="76" t="s">
        <v>63</v>
      </c>
      <c r="Q18" s="76" t="s">
        <v>106</v>
      </c>
      <c r="R18" s="76" t="s">
        <v>929</v>
      </c>
      <c r="S18" s="76" t="s">
        <v>931</v>
      </c>
    </row>
    <row r="19" spans="1:21">
      <c r="N19" t="s">
        <v>139</v>
      </c>
      <c r="O19">
        <v>-0.5</v>
      </c>
      <c r="P19">
        <f>I7</f>
        <v>61.285714285714285</v>
      </c>
      <c r="Q19">
        <f>G7</f>
        <v>7</v>
      </c>
      <c r="R19">
        <f>O19^2/Q19</f>
        <v>3.5714285714285712E-2</v>
      </c>
      <c r="S19">
        <f>O19*P19</f>
        <v>-30.642857142857142</v>
      </c>
    </row>
    <row r="20" spans="1:21">
      <c r="N20" t="s">
        <v>140</v>
      </c>
      <c r="O20">
        <v>-0.5</v>
      </c>
      <c r="P20">
        <f>I8</f>
        <v>77.875</v>
      </c>
      <c r="Q20">
        <f>G8</f>
        <v>8</v>
      </c>
      <c r="R20">
        <f>O20^2/Q20</f>
        <v>3.125E-2</v>
      </c>
      <c r="S20">
        <f>O20*P20</f>
        <v>-38.9375</v>
      </c>
    </row>
    <row r="21" spans="1:21">
      <c r="N21" t="s">
        <v>150</v>
      </c>
    </row>
    <row r="22" spans="1:21">
      <c r="N22" t="s">
        <v>151</v>
      </c>
      <c r="O22" s="235">
        <v>1</v>
      </c>
      <c r="P22" s="235">
        <f>I10</f>
        <v>69.833333333333329</v>
      </c>
      <c r="Q22" s="235">
        <f>G10</f>
        <v>6</v>
      </c>
      <c r="R22" s="235">
        <f>O22^2/Q22</f>
        <v>0.16666666666666666</v>
      </c>
      <c r="S22" s="235">
        <f>O22*P22</f>
        <v>69.833333333333329</v>
      </c>
    </row>
    <row r="23" spans="1:21">
      <c r="N23" s="270"/>
      <c r="O23" s="8"/>
      <c r="P23" s="8"/>
      <c r="R23">
        <f>SUM(R19:R22)</f>
        <v>0.23363095238095238</v>
      </c>
      <c r="S23">
        <f>SUM(S19:S22)</f>
        <v>0.2529761904761898</v>
      </c>
    </row>
    <row r="24" spans="1:21" ht="15" thickBot="1">
      <c r="N24" t="s">
        <v>930</v>
      </c>
    </row>
    <row r="25" spans="1:21" ht="15" thickTop="1">
      <c r="N25" s="76" t="s">
        <v>522</v>
      </c>
      <c r="O25" s="76" t="s">
        <v>264</v>
      </c>
      <c r="P25" s="76" t="s">
        <v>186</v>
      </c>
      <c r="Q25" s="76" t="s">
        <v>200</v>
      </c>
      <c r="R25" s="76" t="s">
        <v>948</v>
      </c>
      <c r="S25" s="76" t="s">
        <v>201</v>
      </c>
      <c r="T25" s="76" t="s">
        <v>103</v>
      </c>
      <c r="U25" s="76" t="s">
        <v>104</v>
      </c>
    </row>
    <row r="26" spans="1:21">
      <c r="N26" s="321">
        <f>SQRT($I$15*R23)</f>
        <v>6.4336101009779796</v>
      </c>
      <c r="O26" s="321">
        <f>S23/N26</f>
        <v>3.9321032282906704E-2</v>
      </c>
      <c r="P26" s="321">
        <f>$H$15</f>
        <v>25</v>
      </c>
      <c r="Q26" s="321">
        <f>TDIST(ABS(O26),P26,2)</f>
        <v>0.96894676801306101</v>
      </c>
      <c r="R26" s="322" t="str">
        <f>IF(Q26&lt;S17,"yes","no")</f>
        <v>no</v>
      </c>
      <c r="S26" s="322">
        <f>TINV(S17,P26)</f>
        <v>2.0595385527532977</v>
      </c>
      <c r="T26" s="322">
        <f>S23-N26*S26</f>
        <v>-12.997291845870995</v>
      </c>
      <c r="U26" s="322">
        <f>S23+N26*S26</f>
        <v>13.503244226823375</v>
      </c>
    </row>
    <row r="28" spans="1:21">
      <c r="N28" t="s">
        <v>2116</v>
      </c>
    </row>
    <row r="30" spans="1:21" ht="15" thickBot="1">
      <c r="N30" t="s">
        <v>932</v>
      </c>
      <c r="S30" t="s">
        <v>116</v>
      </c>
      <c r="T30">
        <v>0.05</v>
      </c>
    </row>
    <row r="31" spans="1:21" ht="15" thickTop="1">
      <c r="N31" s="76" t="s">
        <v>222</v>
      </c>
      <c r="O31" s="76" t="s">
        <v>143</v>
      </c>
      <c r="P31" s="76" t="s">
        <v>63</v>
      </c>
      <c r="Q31" s="76" t="s">
        <v>106</v>
      </c>
      <c r="R31" s="76" t="s">
        <v>1934</v>
      </c>
      <c r="S31" s="76" t="s">
        <v>929</v>
      </c>
      <c r="T31" s="76" t="s">
        <v>1935</v>
      </c>
    </row>
    <row r="32" spans="1:21">
      <c r="N32" t="s">
        <v>139</v>
      </c>
      <c r="O32">
        <v>-0.5</v>
      </c>
      <c r="P32">
        <f>AVERAGE(A4:A11)</f>
        <v>61.285714285714285</v>
      </c>
      <c r="Q32">
        <f>COUNT(A4:A11)</f>
        <v>7</v>
      </c>
      <c r="R32">
        <f>DEVSQ(A4:A11)</f>
        <v>1453.4285714285713</v>
      </c>
      <c r="S32">
        <f>O32^2/Q32</f>
        <v>3.5714285714285712E-2</v>
      </c>
      <c r="T32">
        <f>O32*P32</f>
        <v>-30.642857142857142</v>
      </c>
    </row>
    <row r="33" spans="14:24">
      <c r="N33" t="s">
        <v>140</v>
      </c>
      <c r="O33">
        <v>-0.5</v>
      </c>
      <c r="P33">
        <f>AVERAGE(B4:B11)</f>
        <v>77.875</v>
      </c>
      <c r="Q33">
        <f>COUNT(B4:B11)</f>
        <v>8</v>
      </c>
      <c r="R33">
        <f>DEVSQ(B4:B11)</f>
        <v>1102.875</v>
      </c>
      <c r="S33">
        <f>O33^2/Q33</f>
        <v>3.125E-2</v>
      </c>
      <c r="T33">
        <f>O33*P33</f>
        <v>-38.9375</v>
      </c>
    </row>
    <row r="34" spans="14:24">
      <c r="N34" t="s">
        <v>150</v>
      </c>
      <c r="P34">
        <f>AVERAGE(C4:C11)</f>
        <v>78</v>
      </c>
      <c r="Q34">
        <f>COUNT(C4:C11)</f>
        <v>8</v>
      </c>
      <c r="R34">
        <f>DEVSQ(C4:C11)</f>
        <v>1152</v>
      </c>
      <c r="S34">
        <f>O34^2/Q34</f>
        <v>0</v>
      </c>
      <c r="T34">
        <f>O34*P34</f>
        <v>0</v>
      </c>
    </row>
    <row r="35" spans="14:24">
      <c r="N35" t="s">
        <v>151</v>
      </c>
      <c r="O35" s="235">
        <v>1</v>
      </c>
      <c r="P35">
        <f>AVERAGE(D4:D11)</f>
        <v>69.833333333333329</v>
      </c>
      <c r="Q35">
        <f>COUNT(D4:D11)</f>
        <v>6</v>
      </c>
      <c r="R35">
        <f>DEVSQ(D4:D11)</f>
        <v>720.83333333333348</v>
      </c>
      <c r="S35">
        <f>O35^2/Q35</f>
        <v>0.16666666666666666</v>
      </c>
      <c r="T35">
        <f>O35*P35</f>
        <v>69.833333333333329</v>
      </c>
    </row>
    <row r="36" spans="14:24">
      <c r="N36" s="666"/>
      <c r="O36" s="666"/>
      <c r="P36" s="666"/>
      <c r="Q36" s="666">
        <f>SUM(Q32:Q35)</f>
        <v>29</v>
      </c>
      <c r="R36" s="666">
        <f>SUM(R32:R35)</f>
        <v>4429.1369047619046</v>
      </c>
      <c r="S36" s="666">
        <f>SUM(S32:S35)</f>
        <v>0.23363095238095238</v>
      </c>
      <c r="T36" s="666">
        <f>SUM(T32:T35)</f>
        <v>0.2529761904761898</v>
      </c>
    </row>
    <row r="37" spans="14:24" ht="15" thickBot="1">
      <c r="N37" t="s">
        <v>198</v>
      </c>
    </row>
    <row r="38" spans="14:24" ht="15" thickTop="1">
      <c r="N38" s="820" t="s">
        <v>1469</v>
      </c>
      <c r="O38" s="820" t="s">
        <v>264</v>
      </c>
      <c r="P38" s="820" t="s">
        <v>186</v>
      </c>
      <c r="Q38" s="820" t="s">
        <v>200</v>
      </c>
      <c r="R38" s="820" t="s">
        <v>201</v>
      </c>
      <c r="S38" s="820" t="s">
        <v>103</v>
      </c>
      <c r="T38" s="820" t="s">
        <v>104</v>
      </c>
      <c r="U38" s="820" t="s">
        <v>948</v>
      </c>
      <c r="V38" s="820" t="s">
        <v>1936</v>
      </c>
      <c r="W38" s="820" t="s">
        <v>1478</v>
      </c>
    </row>
    <row r="39" spans="14:24">
      <c r="N39" s="821">
        <f>SQRT(S36*R36/P39)</f>
        <v>6.4336101009779805</v>
      </c>
      <c r="O39" s="821">
        <f>T36/N39</f>
        <v>3.9321032282906697E-2</v>
      </c>
      <c r="P39" s="821">
        <f>Q36-COUNT(Q32:Q35)</f>
        <v>25</v>
      </c>
      <c r="Q39" s="821">
        <f>TDIST(ABS(O39),P39,2)</f>
        <v>0.96894676801306101</v>
      </c>
      <c r="R39" s="821">
        <f>TINV(T30,P39)</f>
        <v>2.0595385527532977</v>
      </c>
      <c r="S39" s="821">
        <f>T36-N39*R39</f>
        <v>-12.997291845870997</v>
      </c>
      <c r="T39" s="821">
        <f>T36+N39*R39</f>
        <v>13.503244226823377</v>
      </c>
      <c r="U39" s="822" t="str">
        <f>IF(Q39&lt;T30,"yes","no")</f>
        <v>no</v>
      </c>
      <c r="V39" s="822">
        <f>ABS(T36)/N39</f>
        <v>3.9321032282906697E-2</v>
      </c>
      <c r="W39" s="821">
        <f>SQRT(O39^2/(O39^2+P39))</f>
        <v>7.8639632840142113E-3</v>
      </c>
      <c r="X39" s="808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sheetPr codeName="Sheet104"/>
  <dimension ref="A1:U107"/>
  <sheetViews>
    <sheetView workbookViewId="0"/>
  </sheetViews>
  <sheetFormatPr defaultRowHeight="14.4"/>
  <cols>
    <col min="1" max="4" width="8" customWidth="1"/>
    <col min="5" max="5" width="4.5546875" customWidth="1"/>
    <col min="6" max="6" width="17.109375" customWidth="1"/>
    <col min="7" max="7" width="8" customWidth="1"/>
    <col min="8" max="8" width="7.44140625" customWidth="1"/>
    <col min="9" max="9" width="8.33203125" customWidth="1"/>
    <col min="11" max="12" width="8.33203125" customWidth="1"/>
    <col min="13" max="13" width="6.6640625" customWidth="1"/>
    <col min="14" max="14" width="13" customWidth="1"/>
    <col min="15" max="15" width="7.6640625" customWidth="1"/>
    <col min="17" max="17" width="7.5546875" customWidth="1"/>
  </cols>
  <sheetData>
    <row r="1" spans="1:21">
      <c r="A1" s="1" t="s">
        <v>1005</v>
      </c>
    </row>
    <row r="2" spans="1:21">
      <c r="A2" s="1"/>
    </row>
    <row r="3" spans="1:21">
      <c r="A3" s="1556" t="s">
        <v>725</v>
      </c>
      <c r="B3" s="1556"/>
      <c r="C3" s="1556" t="s">
        <v>726</v>
      </c>
      <c r="D3" s="1556"/>
      <c r="F3" t="s">
        <v>885</v>
      </c>
      <c r="N3" t="s">
        <v>928</v>
      </c>
    </row>
    <row r="4" spans="1:21">
      <c r="A4" s="323" t="s">
        <v>240</v>
      </c>
      <c r="B4" s="322" t="s">
        <v>239</v>
      </c>
      <c r="C4" s="323" t="s">
        <v>240</v>
      </c>
      <c r="D4" s="326" t="s">
        <v>239</v>
      </c>
    </row>
    <row r="5" spans="1:21" ht="15" thickBot="1">
      <c r="A5" s="324">
        <v>3</v>
      </c>
      <c r="B5" s="316">
        <v>2</v>
      </c>
      <c r="C5" s="324">
        <v>5</v>
      </c>
      <c r="D5" s="325">
        <v>4</v>
      </c>
      <c r="F5" t="s">
        <v>194</v>
      </c>
      <c r="N5" t="s">
        <v>933</v>
      </c>
    </row>
    <row r="6" spans="1:21" ht="15" thickTop="1">
      <c r="A6" s="87">
        <v>5</v>
      </c>
      <c r="B6" s="117">
        <v>4</v>
      </c>
      <c r="C6" s="87">
        <v>8</v>
      </c>
      <c r="D6" s="88">
        <v>5</v>
      </c>
      <c r="F6" s="261" t="s">
        <v>222</v>
      </c>
      <c r="G6" s="261" t="s">
        <v>88</v>
      </c>
      <c r="H6" s="261" t="s">
        <v>87</v>
      </c>
      <c r="I6" s="261" t="s">
        <v>886</v>
      </c>
      <c r="J6" s="261" t="s">
        <v>223</v>
      </c>
      <c r="K6" s="261" t="s">
        <v>578</v>
      </c>
      <c r="N6" s="76" t="s">
        <v>222</v>
      </c>
      <c r="O6" s="76" t="s">
        <v>143</v>
      </c>
      <c r="P6" s="76" t="s">
        <v>63</v>
      </c>
      <c r="Q6" s="76" t="s">
        <v>106</v>
      </c>
      <c r="R6" s="76" t="s">
        <v>929</v>
      </c>
      <c r="S6" s="76" t="s">
        <v>931</v>
      </c>
    </row>
    <row r="7" spans="1:21">
      <c r="A7" s="87">
        <v>6</v>
      </c>
      <c r="B7" s="117">
        <v>3</v>
      </c>
      <c r="C7" s="87">
        <v>6</v>
      </c>
      <c r="D7" s="88">
        <v>3</v>
      </c>
      <c r="F7" s="28" t="s">
        <v>942</v>
      </c>
      <c r="G7">
        <f>COUNT(A5:A16)</f>
        <v>12</v>
      </c>
      <c r="H7">
        <f>SUM(A5:A16)</f>
        <v>51</v>
      </c>
      <c r="I7">
        <f>AVERAGE(A5:A16)</f>
        <v>4.25</v>
      </c>
      <c r="J7">
        <f>VAR(A5:A16)</f>
        <v>3.1136363636363638</v>
      </c>
      <c r="K7">
        <f>DEVSQ(A5:A16)</f>
        <v>34.25</v>
      </c>
      <c r="N7" s="28" t="s">
        <v>942</v>
      </c>
      <c r="O7">
        <v>0.5</v>
      </c>
      <c r="P7">
        <f>$I$7</f>
        <v>4.25</v>
      </c>
      <c r="Q7">
        <f>$G$7</f>
        <v>12</v>
      </c>
      <c r="R7">
        <f>O7^2/Q7</f>
        <v>2.0833333333333332E-2</v>
      </c>
      <c r="S7">
        <f>O7*P7</f>
        <v>2.125</v>
      </c>
    </row>
    <row r="8" spans="1:21">
      <c r="A8" s="87">
        <v>1</v>
      </c>
      <c r="B8" s="117">
        <v>5</v>
      </c>
      <c r="C8" s="87">
        <v>4</v>
      </c>
      <c r="D8" s="88">
        <v>7</v>
      </c>
      <c r="F8" s="28" t="s">
        <v>943</v>
      </c>
      <c r="G8">
        <f>COUNT(B5:B16)</f>
        <v>12</v>
      </c>
      <c r="H8">
        <f>SUM(B5:B16)</f>
        <v>38</v>
      </c>
      <c r="I8">
        <f>AVERAGE(B5:B16)</f>
        <v>3.1666666666666665</v>
      </c>
      <c r="J8">
        <f>VAR(B5:B16)</f>
        <v>2.6969696969696972</v>
      </c>
      <c r="K8">
        <f>DEVSQ(B5:B16)</f>
        <v>29.666666666666664</v>
      </c>
      <c r="N8" s="28" t="s">
        <v>943</v>
      </c>
      <c r="O8">
        <v>-0.5</v>
      </c>
      <c r="P8">
        <f>$I$8</f>
        <v>3.1666666666666665</v>
      </c>
      <c r="Q8">
        <f>$G$8</f>
        <v>12</v>
      </c>
      <c r="R8">
        <f>O8^2/Q8</f>
        <v>2.0833333333333332E-2</v>
      </c>
      <c r="S8">
        <f>O8*P8</f>
        <v>-1.5833333333333333</v>
      </c>
    </row>
    <row r="9" spans="1:21">
      <c r="A9" s="87">
        <v>5</v>
      </c>
      <c r="B9" s="117">
        <v>1</v>
      </c>
      <c r="C9" s="87">
        <v>7</v>
      </c>
      <c r="D9" s="88">
        <v>6</v>
      </c>
      <c r="F9" s="28" t="s">
        <v>944</v>
      </c>
      <c r="G9">
        <f>COUNT(C5:C16)</f>
        <v>12</v>
      </c>
      <c r="H9">
        <f>SUM(C5:C16)</f>
        <v>67</v>
      </c>
      <c r="I9">
        <f>AVERAGE(C5:C16)</f>
        <v>5.583333333333333</v>
      </c>
      <c r="J9">
        <f>VAR(C5:C16)</f>
        <v>2.4469696969696986</v>
      </c>
      <c r="K9">
        <f>DEVSQ(C5:C16)</f>
        <v>26.916666666666668</v>
      </c>
      <c r="N9" s="28" t="s">
        <v>946</v>
      </c>
      <c r="O9">
        <v>0.5</v>
      </c>
      <c r="P9">
        <f>$I$9</f>
        <v>5.583333333333333</v>
      </c>
      <c r="Q9">
        <f>$G$9</f>
        <v>12</v>
      </c>
      <c r="R9">
        <f>O9^2/Q9</f>
        <v>2.0833333333333332E-2</v>
      </c>
      <c r="S9">
        <f>O9*P9</f>
        <v>2.7916666666666665</v>
      </c>
    </row>
    <row r="10" spans="1:21" ht="15" thickBot="1">
      <c r="A10" s="87">
        <v>6</v>
      </c>
      <c r="B10" s="117">
        <v>5</v>
      </c>
      <c r="C10" s="87">
        <v>8</v>
      </c>
      <c r="D10" s="88">
        <v>3</v>
      </c>
      <c r="F10" s="31" t="s">
        <v>945</v>
      </c>
      <c r="G10" s="31">
        <f>COUNT(D5:D16)</f>
        <v>12</v>
      </c>
      <c r="H10" s="31">
        <f>SUM(D5:D16)</f>
        <v>46</v>
      </c>
      <c r="I10" s="31">
        <f>AVERAGE(D5:D16)</f>
        <v>3.8333333333333335</v>
      </c>
      <c r="J10" s="31">
        <f>VAR(D5:D16)</f>
        <v>2.6969696969696959</v>
      </c>
      <c r="K10" s="31">
        <f>DEVSQ(D5:D16)</f>
        <v>29.666666666666664</v>
      </c>
      <c r="N10" s="263" t="s">
        <v>947</v>
      </c>
      <c r="O10" s="235">
        <v>-0.5</v>
      </c>
      <c r="P10" s="235">
        <f>$I$10</f>
        <v>3.8333333333333335</v>
      </c>
      <c r="Q10" s="235">
        <f>$G$10</f>
        <v>12</v>
      </c>
      <c r="R10" s="235">
        <f>O10^2/Q10</f>
        <v>2.0833333333333332E-2</v>
      </c>
      <c r="S10" s="235">
        <f>O10*P10</f>
        <v>-1.9166666666666667</v>
      </c>
    </row>
    <row r="11" spans="1:21">
      <c r="A11" s="87">
        <v>4</v>
      </c>
      <c r="B11" s="117">
        <v>2</v>
      </c>
      <c r="C11" s="87">
        <v>5</v>
      </c>
      <c r="D11" s="88">
        <v>2</v>
      </c>
      <c r="N11" s="8"/>
      <c r="O11" s="8"/>
      <c r="P11" s="8"/>
      <c r="R11">
        <f>SUM(R7:R10)</f>
        <v>8.3333333333333329E-2</v>
      </c>
      <c r="S11">
        <f>SUM(S7:S10)</f>
        <v>1.4166666666666663</v>
      </c>
    </row>
    <row r="12" spans="1:21">
      <c r="A12" s="87">
        <v>3</v>
      </c>
      <c r="B12" s="117">
        <v>3</v>
      </c>
      <c r="C12" s="87">
        <v>6</v>
      </c>
      <c r="D12" s="88">
        <v>2</v>
      </c>
    </row>
    <row r="13" spans="1:21" ht="15" thickBot="1">
      <c r="A13" s="87">
        <v>7</v>
      </c>
      <c r="B13" s="117">
        <v>6</v>
      </c>
      <c r="C13" s="87">
        <v>6</v>
      </c>
      <c r="D13" s="88">
        <v>4</v>
      </c>
      <c r="F13" t="s">
        <v>695</v>
      </c>
      <c r="I13" t="s">
        <v>116</v>
      </c>
      <c r="J13">
        <v>0.05</v>
      </c>
      <c r="N13" t="s">
        <v>930</v>
      </c>
      <c r="R13" s="252" t="s">
        <v>116</v>
      </c>
      <c r="S13" s="252">
        <v>0.05</v>
      </c>
    </row>
    <row r="14" spans="1:21" ht="15" thickTop="1">
      <c r="A14" s="87">
        <v>4</v>
      </c>
      <c r="B14" s="117">
        <v>2</v>
      </c>
      <c r="C14" s="87">
        <v>3</v>
      </c>
      <c r="D14" s="88">
        <v>5</v>
      </c>
      <c r="F14" s="261" t="s">
        <v>887</v>
      </c>
      <c r="G14" s="261" t="s">
        <v>578</v>
      </c>
      <c r="H14" s="261" t="s">
        <v>186</v>
      </c>
      <c r="I14" s="261" t="s">
        <v>641</v>
      </c>
      <c r="J14" s="261" t="s">
        <v>388</v>
      </c>
      <c r="K14" s="261" t="s">
        <v>367</v>
      </c>
      <c r="L14" s="261" t="s">
        <v>888</v>
      </c>
      <c r="N14" s="76" t="s">
        <v>522</v>
      </c>
      <c r="O14" s="76" t="s">
        <v>264</v>
      </c>
      <c r="P14" s="76" t="s">
        <v>186</v>
      </c>
      <c r="Q14" s="76" t="s">
        <v>200</v>
      </c>
      <c r="R14" s="76" t="s">
        <v>948</v>
      </c>
      <c r="S14" s="76" t="s">
        <v>201</v>
      </c>
      <c r="T14" s="76" t="s">
        <v>103</v>
      </c>
      <c r="U14" s="76" t="s">
        <v>104</v>
      </c>
    </row>
    <row r="15" spans="1:21">
      <c r="A15" s="87">
        <v>5</v>
      </c>
      <c r="B15" s="117">
        <v>4</v>
      </c>
      <c r="C15" s="87">
        <v>4</v>
      </c>
      <c r="D15" s="88">
        <v>2</v>
      </c>
      <c r="F15" s="28" t="s">
        <v>883</v>
      </c>
      <c r="G15">
        <f>G18-G16</f>
        <v>37.416666666666714</v>
      </c>
      <c r="H15">
        <f>COUNTA(A4:D4)-1</f>
        <v>3</v>
      </c>
      <c r="I15">
        <f>G15/H15</f>
        <v>12.472222222222237</v>
      </c>
      <c r="J15">
        <f>I15/I16</f>
        <v>4.554172429691107</v>
      </c>
      <c r="K15">
        <f>FDIST(J15,H15,H16)</f>
        <v>7.2835322244351394E-3</v>
      </c>
      <c r="L15">
        <f>FINV(J13,H15,H16)</f>
        <v>2.8164658165656813</v>
      </c>
      <c r="N15" s="321">
        <f>SQRT($I$16*R11)</f>
        <v>0.47772345239656905</v>
      </c>
      <c r="O15" s="321">
        <f>ABS(S11/N15)</f>
        <v>2.9654534638392827</v>
      </c>
      <c r="P15" s="321">
        <f>$H$16</f>
        <v>44</v>
      </c>
      <c r="Q15" s="321">
        <f>TDIST(ABS(O15),P15,2)</f>
        <v>4.8678818348383687E-3</v>
      </c>
      <c r="R15" s="322" t="str">
        <f>IF(Q15&lt;S13,"yes","no")</f>
        <v>yes</v>
      </c>
      <c r="S15" s="322">
        <f>TINV(S13,P15)</f>
        <v>2.0153675744437649</v>
      </c>
      <c r="T15" s="322">
        <f>S11-N15*S15</f>
        <v>0.45387831115529154</v>
      </c>
      <c r="U15" s="322">
        <f>S11+N15*S15</f>
        <v>2.3794550221780408</v>
      </c>
    </row>
    <row r="16" spans="1:21">
      <c r="A16" s="281">
        <v>2</v>
      </c>
      <c r="B16" s="288">
        <v>1</v>
      </c>
      <c r="C16" s="281">
        <v>5</v>
      </c>
      <c r="D16" s="282">
        <v>3</v>
      </c>
      <c r="F16" s="28" t="s">
        <v>884</v>
      </c>
      <c r="G16">
        <f>SUM(K7:K10)</f>
        <v>120.5</v>
      </c>
      <c r="H16">
        <f>H18-H15</f>
        <v>44</v>
      </c>
      <c r="I16">
        <f>G16/H16</f>
        <v>2.7386363636363638</v>
      </c>
    </row>
    <row r="17" spans="1:21" ht="15" thickBot="1">
      <c r="A17" s="117"/>
      <c r="B17" s="117"/>
      <c r="F17" s="28"/>
      <c r="G17" s="28"/>
      <c r="H17" s="28"/>
      <c r="I17" s="28"/>
      <c r="J17" s="28"/>
      <c r="K17" s="28"/>
      <c r="L17" s="28"/>
      <c r="N17" t="s">
        <v>950</v>
      </c>
      <c r="R17" s="252" t="s">
        <v>116</v>
      </c>
      <c r="S17" s="252">
        <f>S13/$H$15</f>
        <v>1.6666666666666666E-2</v>
      </c>
    </row>
    <row r="18" spans="1:21" ht="15.6" thickTop="1" thickBot="1">
      <c r="F18" s="31" t="s">
        <v>12</v>
      </c>
      <c r="G18" s="31">
        <f>DEVSQ(A5:D16)</f>
        <v>157.91666666666671</v>
      </c>
      <c r="H18" s="31">
        <f>COUNT(A5:D16)-1</f>
        <v>47</v>
      </c>
      <c r="I18" s="31">
        <f>G18/H18</f>
        <v>3.3599290780141855</v>
      </c>
      <c r="J18" s="31"/>
      <c r="K18" s="31"/>
      <c r="L18" s="31"/>
      <c r="N18" s="76" t="s">
        <v>522</v>
      </c>
      <c r="O18" s="76" t="s">
        <v>264</v>
      </c>
      <c r="P18" s="76" t="s">
        <v>186</v>
      </c>
      <c r="Q18" s="76" t="s">
        <v>200</v>
      </c>
      <c r="R18" s="76" t="s">
        <v>948</v>
      </c>
      <c r="S18" s="76" t="s">
        <v>201</v>
      </c>
      <c r="T18" s="76" t="s">
        <v>103</v>
      </c>
      <c r="U18" s="76" t="s">
        <v>104</v>
      </c>
    </row>
    <row r="19" spans="1:21">
      <c r="N19" s="321">
        <f>N15</f>
        <v>0.47772345239656905</v>
      </c>
      <c r="O19" s="321">
        <f>O15</f>
        <v>2.9654534638392827</v>
      </c>
      <c r="P19" s="321">
        <f>P15</f>
        <v>44</v>
      </c>
      <c r="Q19" s="321">
        <f>TDIST(ABS(O19),P19,2)</f>
        <v>4.8678818348383687E-3</v>
      </c>
      <c r="R19" s="322" t="str">
        <f>IF(Q19&lt;S17,"yes","no")</f>
        <v>yes</v>
      </c>
      <c r="S19" s="322">
        <f>TINV(S17,P19)</f>
        <v>2.4889679492395662</v>
      </c>
      <c r="T19" s="322">
        <f>S11-N19*S19</f>
        <v>0.2276283050515322</v>
      </c>
      <c r="U19" s="322">
        <f>S11+N19*S19</f>
        <v>2.6057050282818004</v>
      </c>
    </row>
    <row r="21" spans="1:21" ht="15" thickBot="1">
      <c r="N21" s="122" t="s">
        <v>949</v>
      </c>
      <c r="R21" s="252" t="s">
        <v>116</v>
      </c>
      <c r="S21" s="252">
        <f>1-(1-S13)^(1/$H$15)</f>
        <v>1.6952427508441503E-2</v>
      </c>
    </row>
    <row r="22" spans="1:21" ht="15" thickTop="1">
      <c r="N22" s="76" t="s">
        <v>522</v>
      </c>
      <c r="O22" s="76" t="s">
        <v>264</v>
      </c>
      <c r="P22" s="76" t="s">
        <v>186</v>
      </c>
      <c r="Q22" s="76" t="s">
        <v>200</v>
      </c>
      <c r="R22" s="76" t="s">
        <v>948</v>
      </c>
      <c r="S22" s="76" t="s">
        <v>201</v>
      </c>
      <c r="T22" s="76" t="s">
        <v>103</v>
      </c>
      <c r="U22" s="76" t="s">
        <v>104</v>
      </c>
    </row>
    <row r="23" spans="1:21">
      <c r="N23" s="321">
        <f>N15</f>
        <v>0.47772345239656905</v>
      </c>
      <c r="O23" s="321">
        <f>O15</f>
        <v>2.9654534638392827</v>
      </c>
      <c r="P23" s="321">
        <f>P15</f>
        <v>44</v>
      </c>
      <c r="Q23" s="321">
        <f>TDIST(ABS(O23),P23,2)</f>
        <v>4.8678818348383687E-3</v>
      </c>
      <c r="R23" s="322" t="str">
        <f>IF(Q23&lt;S21,"yes","no")</f>
        <v>yes</v>
      </c>
      <c r="S23" s="322">
        <f>TINV(S21,P23)</f>
        <v>2.4820442076580118</v>
      </c>
      <c r="T23" s="322">
        <f>S11-N23*S23</f>
        <v>0.23093593878337404</v>
      </c>
      <c r="U23" s="322">
        <f>S11+N23*S23</f>
        <v>2.6023973945499588</v>
      </c>
    </row>
    <row r="26" spans="1:21" ht="15" thickBot="1">
      <c r="N26" t="s">
        <v>933</v>
      </c>
    </row>
    <row r="27" spans="1:21" ht="15" thickTop="1">
      <c r="N27" s="76" t="s">
        <v>222</v>
      </c>
      <c r="O27" s="76" t="s">
        <v>143</v>
      </c>
      <c r="P27" s="76" t="s">
        <v>63</v>
      </c>
      <c r="Q27" s="76" t="s">
        <v>106</v>
      </c>
      <c r="R27" s="76" t="s">
        <v>929</v>
      </c>
      <c r="S27" s="76" t="s">
        <v>931</v>
      </c>
    </row>
    <row r="28" spans="1:21">
      <c r="N28" s="28" t="s">
        <v>942</v>
      </c>
      <c r="O28">
        <v>1</v>
      </c>
      <c r="P28">
        <f>$I$7</f>
        <v>4.25</v>
      </c>
      <c r="Q28">
        <f>$G$7</f>
        <v>12</v>
      </c>
      <c r="R28">
        <f>O28^2/Q28</f>
        <v>8.3333333333333329E-2</v>
      </c>
      <c r="S28">
        <f>O28*P28</f>
        <v>4.25</v>
      </c>
    </row>
    <row r="29" spans="1:21">
      <c r="N29" s="28" t="s">
        <v>943</v>
      </c>
      <c r="O29">
        <v>-1</v>
      </c>
      <c r="P29">
        <f>$I$8</f>
        <v>3.1666666666666665</v>
      </c>
      <c r="Q29">
        <f>$G$8</f>
        <v>12</v>
      </c>
      <c r="R29">
        <f>O29^2/Q29</f>
        <v>8.3333333333333329E-2</v>
      </c>
      <c r="S29">
        <f>O29*P29</f>
        <v>-3.1666666666666665</v>
      </c>
    </row>
    <row r="30" spans="1:21">
      <c r="N30" s="28" t="s">
        <v>946</v>
      </c>
      <c r="O30">
        <v>0</v>
      </c>
      <c r="P30">
        <f>$I$9</f>
        <v>5.583333333333333</v>
      </c>
      <c r="Q30">
        <f>$G$9</f>
        <v>12</v>
      </c>
      <c r="R30">
        <f>O30^2/Q30</f>
        <v>0</v>
      </c>
      <c r="S30">
        <f>O30*P30</f>
        <v>0</v>
      </c>
    </row>
    <row r="31" spans="1:21">
      <c r="N31" s="263" t="s">
        <v>947</v>
      </c>
      <c r="O31" s="235">
        <v>0</v>
      </c>
      <c r="P31" s="235">
        <f>$I$10</f>
        <v>3.8333333333333335</v>
      </c>
      <c r="Q31" s="235">
        <f>$G$10</f>
        <v>12</v>
      </c>
      <c r="R31" s="235">
        <f>O31^2/Q31</f>
        <v>0</v>
      </c>
      <c r="S31" s="235">
        <f>O31*P31</f>
        <v>0</v>
      </c>
    </row>
    <row r="32" spans="1:21">
      <c r="N32" s="8"/>
      <c r="O32" s="8"/>
      <c r="P32" s="8"/>
      <c r="R32">
        <f>SUM(R28:R31)</f>
        <v>0.16666666666666666</v>
      </c>
      <c r="S32">
        <f>SUM(S28:S31)</f>
        <v>1.0833333333333335</v>
      </c>
    </row>
    <row r="34" spans="14:21" ht="15" thickBot="1">
      <c r="N34" t="s">
        <v>930</v>
      </c>
      <c r="R34" s="252" t="s">
        <v>116</v>
      </c>
      <c r="S34" s="252">
        <v>0.05</v>
      </c>
    </row>
    <row r="35" spans="14:21" ht="15" thickTop="1">
      <c r="N35" s="76" t="s">
        <v>522</v>
      </c>
      <c r="O35" s="76" t="s">
        <v>264</v>
      </c>
      <c r="P35" s="76" t="s">
        <v>186</v>
      </c>
      <c r="Q35" s="76" t="s">
        <v>200</v>
      </c>
      <c r="R35" s="76" t="s">
        <v>948</v>
      </c>
      <c r="S35" s="76" t="s">
        <v>201</v>
      </c>
      <c r="T35" s="76" t="s">
        <v>103</v>
      </c>
      <c r="U35" s="76" t="s">
        <v>104</v>
      </c>
    </row>
    <row r="36" spans="14:21">
      <c r="N36" s="321">
        <f>SQRT($I$16*R32)</f>
        <v>0.67560298544292563</v>
      </c>
      <c r="O36" s="321">
        <f>ABS(S32/N36)</f>
        <v>1.6035058409682716</v>
      </c>
      <c r="P36" s="321">
        <f>$H$16</f>
        <v>44</v>
      </c>
      <c r="Q36" s="321">
        <f>TDIST(O36,P36,2)</f>
        <v>0.1159782554107413</v>
      </c>
      <c r="R36" s="322" t="str">
        <f>IF(Q36&lt;S34,"yes","no")</f>
        <v>no</v>
      </c>
      <c r="S36" s="322">
        <f>TINV(S34,P36)</f>
        <v>2.0153675744437649</v>
      </c>
      <c r="T36" s="322">
        <f>S32-N36*S36</f>
        <v>-0.27825501672574182</v>
      </c>
      <c r="U36" s="322">
        <f>S32+N36*S36</f>
        <v>2.4449216833924088</v>
      </c>
    </row>
    <row r="38" spans="14:21" ht="15" thickBot="1">
      <c r="N38" t="s">
        <v>950</v>
      </c>
      <c r="R38" s="252" t="s">
        <v>116</v>
      </c>
      <c r="S38" s="252">
        <f>S34/$H$15</f>
        <v>1.6666666666666666E-2</v>
      </c>
    </row>
    <row r="39" spans="14:21" ht="15" thickTop="1">
      <c r="N39" s="76" t="s">
        <v>522</v>
      </c>
      <c r="O39" s="76" t="s">
        <v>264</v>
      </c>
      <c r="P39" s="76" t="s">
        <v>186</v>
      </c>
      <c r="Q39" s="76" t="s">
        <v>200</v>
      </c>
      <c r="R39" s="76" t="s">
        <v>948</v>
      </c>
      <c r="S39" s="76" t="s">
        <v>201</v>
      </c>
      <c r="T39" s="76" t="s">
        <v>103</v>
      </c>
      <c r="U39" s="76" t="s">
        <v>104</v>
      </c>
    </row>
    <row r="40" spans="14:21">
      <c r="N40" s="321">
        <f>N36</f>
        <v>0.67560298544292563</v>
      </c>
      <c r="O40" s="321">
        <f>O36</f>
        <v>1.6035058409682716</v>
      </c>
      <c r="P40" s="321">
        <f>P36</f>
        <v>44</v>
      </c>
      <c r="Q40" s="321">
        <f>TDIST(O40,P40,2)</f>
        <v>0.1159782554107413</v>
      </c>
      <c r="R40" s="322" t="str">
        <f>IF(Q40&lt;S38,"yes","no")</f>
        <v>no</v>
      </c>
      <c r="S40" s="322">
        <f>TINV(S38,P40)</f>
        <v>2.4889679492395662</v>
      </c>
      <c r="T40" s="322">
        <f>S32-N40*S40</f>
        <v>-0.59822084384467367</v>
      </c>
      <c r="U40" s="322">
        <f>S32+N40*S40</f>
        <v>2.7648875105113406</v>
      </c>
    </row>
    <row r="42" spans="14:21" ht="15" thickBot="1">
      <c r="N42" s="122" t="s">
        <v>949</v>
      </c>
      <c r="R42" s="252" t="s">
        <v>116</v>
      </c>
      <c r="S42" s="252">
        <f>1-(1-S34)^(1/$H$15)</f>
        <v>1.6952427508441503E-2</v>
      </c>
    </row>
    <row r="43" spans="14:21" ht="15" thickTop="1">
      <c r="N43" s="76" t="s">
        <v>522</v>
      </c>
      <c r="O43" s="76" t="s">
        <v>264</v>
      </c>
      <c r="P43" s="76" t="s">
        <v>186</v>
      </c>
      <c r="Q43" s="76" t="s">
        <v>200</v>
      </c>
      <c r="R43" s="76" t="s">
        <v>948</v>
      </c>
      <c r="S43" s="76" t="s">
        <v>201</v>
      </c>
      <c r="T43" s="76" t="s">
        <v>103</v>
      </c>
      <c r="U43" s="76" t="s">
        <v>104</v>
      </c>
    </row>
    <row r="44" spans="14:21">
      <c r="N44" s="321">
        <f>N36</f>
        <v>0.67560298544292563</v>
      </c>
      <c r="O44" s="321">
        <f>O36</f>
        <v>1.6035058409682716</v>
      </c>
      <c r="P44" s="321">
        <f>P36</f>
        <v>44</v>
      </c>
      <c r="Q44" s="321">
        <f>TDIST(O44,P44,2)</f>
        <v>0.1159782554107413</v>
      </c>
      <c r="R44" s="322" t="str">
        <f>IF(Q44&lt;S42,"yes","no")</f>
        <v>no</v>
      </c>
      <c r="S44" s="322">
        <f>TINV(S42,P44)</f>
        <v>2.4820442076580118</v>
      </c>
      <c r="T44" s="322">
        <f>S32-N44*S44</f>
        <v>-0.59354314336174019</v>
      </c>
      <c r="U44" s="322">
        <f>S32+N44*S44</f>
        <v>2.7602098100284072</v>
      </c>
    </row>
    <row r="47" spans="14:21" ht="15" thickBot="1">
      <c r="N47" t="s">
        <v>933</v>
      </c>
    </row>
    <row r="48" spans="14:21" ht="15" thickTop="1">
      <c r="N48" s="76" t="s">
        <v>222</v>
      </c>
      <c r="O48" s="76" t="s">
        <v>143</v>
      </c>
      <c r="P48" s="76" t="s">
        <v>63</v>
      </c>
      <c r="Q48" s="76" t="s">
        <v>106</v>
      </c>
      <c r="R48" s="76" t="s">
        <v>929</v>
      </c>
      <c r="S48" s="76" t="s">
        <v>931</v>
      </c>
    </row>
    <row r="49" spans="14:21">
      <c r="N49" s="28" t="s">
        <v>942</v>
      </c>
      <c r="O49">
        <v>0</v>
      </c>
      <c r="P49">
        <f>$I$7</f>
        <v>4.25</v>
      </c>
      <c r="Q49">
        <f>$G$7</f>
        <v>12</v>
      </c>
      <c r="R49">
        <f>O49^2/Q49</f>
        <v>0</v>
      </c>
      <c r="S49">
        <f>O49*P49</f>
        <v>0</v>
      </c>
    </row>
    <row r="50" spans="14:21">
      <c r="N50" s="28" t="s">
        <v>943</v>
      </c>
      <c r="O50">
        <v>0</v>
      </c>
      <c r="P50">
        <f>$I$8</f>
        <v>3.1666666666666665</v>
      </c>
      <c r="Q50">
        <f>$G$8</f>
        <v>12</v>
      </c>
      <c r="R50">
        <f>O50^2/Q50</f>
        <v>0</v>
      </c>
      <c r="S50">
        <f>O50*P50</f>
        <v>0</v>
      </c>
    </row>
    <row r="51" spans="14:21">
      <c r="N51" s="28" t="s">
        <v>946</v>
      </c>
      <c r="O51">
        <v>1</v>
      </c>
      <c r="P51">
        <f>$I$9</f>
        <v>5.583333333333333</v>
      </c>
      <c r="Q51">
        <f>$G$9</f>
        <v>12</v>
      </c>
      <c r="R51">
        <f>O51^2/Q51</f>
        <v>8.3333333333333329E-2</v>
      </c>
      <c r="S51">
        <f>O51*P51</f>
        <v>5.583333333333333</v>
      </c>
    </row>
    <row r="52" spans="14:21">
      <c r="N52" s="263" t="s">
        <v>947</v>
      </c>
      <c r="O52" s="235">
        <v>-1</v>
      </c>
      <c r="P52" s="235">
        <f>$I$10</f>
        <v>3.8333333333333335</v>
      </c>
      <c r="Q52" s="235">
        <f>$G$10</f>
        <v>12</v>
      </c>
      <c r="R52" s="235">
        <f>O52^2/Q52</f>
        <v>8.3333333333333329E-2</v>
      </c>
      <c r="S52" s="235">
        <f>O52*P52</f>
        <v>-3.8333333333333335</v>
      </c>
    </row>
    <row r="53" spans="14:21">
      <c r="N53" s="8"/>
      <c r="O53" s="8"/>
      <c r="P53" s="8"/>
      <c r="R53">
        <f>SUM(R49:R52)</f>
        <v>0.16666666666666666</v>
      </c>
      <c r="S53">
        <f>SUM(S49:S52)</f>
        <v>1.7499999999999996</v>
      </c>
    </row>
    <row r="55" spans="14:21" ht="15" thickBot="1">
      <c r="N55" t="s">
        <v>930</v>
      </c>
      <c r="R55" s="252" t="s">
        <v>116</v>
      </c>
      <c r="S55" s="252">
        <v>0.05</v>
      </c>
    </row>
    <row r="56" spans="14:21" ht="15" thickTop="1">
      <c r="N56" s="76" t="s">
        <v>522</v>
      </c>
      <c r="O56" s="76" t="s">
        <v>264</v>
      </c>
      <c r="P56" s="76" t="s">
        <v>186</v>
      </c>
      <c r="Q56" s="76" t="s">
        <v>200</v>
      </c>
      <c r="R56" s="76" t="s">
        <v>948</v>
      </c>
      <c r="S56" s="76" t="s">
        <v>201</v>
      </c>
      <c r="T56" s="76" t="s">
        <v>103</v>
      </c>
      <c r="U56" s="76" t="s">
        <v>104</v>
      </c>
    </row>
    <row r="57" spans="14:21">
      <c r="N57" s="321">
        <f>SQRT($I$16*R53)</f>
        <v>0.67560298544292563</v>
      </c>
      <c r="O57" s="321">
        <f>ABS(S53/N57)</f>
        <v>2.5902786661795147</v>
      </c>
      <c r="P57" s="321">
        <f>$H$16</f>
        <v>44</v>
      </c>
      <c r="Q57" s="321">
        <f>TDIST(O57,P57,2)</f>
        <v>1.295706923393301E-2</v>
      </c>
      <c r="R57" s="322" t="str">
        <f>IF(Q57&lt;S55,"yes","no")</f>
        <v>yes</v>
      </c>
      <c r="S57" s="322">
        <f>TINV(S55,P57)</f>
        <v>2.0153675744437649</v>
      </c>
      <c r="T57" s="322">
        <f>S53-N57*S57</f>
        <v>0.38841164994092425</v>
      </c>
      <c r="U57" s="322">
        <f>S53+N57*S57</f>
        <v>3.1115883500590749</v>
      </c>
    </row>
    <row r="59" spans="14:21" ht="15" thickBot="1">
      <c r="N59" t="s">
        <v>950</v>
      </c>
      <c r="R59" s="252" t="s">
        <v>116</v>
      </c>
      <c r="S59" s="252">
        <f>S55/$H$15</f>
        <v>1.6666666666666666E-2</v>
      </c>
    </row>
    <row r="60" spans="14:21" ht="15" thickTop="1">
      <c r="N60" s="76" t="s">
        <v>522</v>
      </c>
      <c r="O60" s="76" t="s">
        <v>264</v>
      </c>
      <c r="P60" s="76" t="s">
        <v>186</v>
      </c>
      <c r="Q60" s="76" t="s">
        <v>200</v>
      </c>
      <c r="R60" s="76" t="s">
        <v>948</v>
      </c>
      <c r="S60" s="76" t="s">
        <v>201</v>
      </c>
      <c r="T60" s="76" t="s">
        <v>103</v>
      </c>
      <c r="U60" s="76" t="s">
        <v>104</v>
      </c>
    </row>
    <row r="61" spans="14:21">
      <c r="N61" s="321">
        <f>N57</f>
        <v>0.67560298544292563</v>
      </c>
      <c r="O61" s="321">
        <f>O57</f>
        <v>2.5902786661795147</v>
      </c>
      <c r="P61" s="321">
        <f>P57</f>
        <v>44</v>
      </c>
      <c r="Q61" s="321">
        <f>TDIST(O61,P61,2)</f>
        <v>1.295706923393301E-2</v>
      </c>
      <c r="R61" s="322" t="str">
        <f>IF(Q61&lt;S59,"yes","no")</f>
        <v>yes</v>
      </c>
      <c r="S61" s="322">
        <f>TINV(S59,P61)</f>
        <v>2.4889679492395662</v>
      </c>
      <c r="T61" s="322">
        <f>S53-N61*S61</f>
        <v>6.8445822821992408E-2</v>
      </c>
      <c r="U61" s="322">
        <f>S53+N61*S61</f>
        <v>3.4315541771780067</v>
      </c>
    </row>
    <row r="63" spans="14:21" ht="15" thickBot="1">
      <c r="N63" s="122" t="s">
        <v>949</v>
      </c>
      <c r="R63" s="252" t="s">
        <v>116</v>
      </c>
      <c r="S63" s="252">
        <f>1-(1-S55)^(1/$H$15)</f>
        <v>1.6952427508441503E-2</v>
      </c>
    </row>
    <row r="64" spans="14:21" ht="15" thickTop="1">
      <c r="N64" s="76" t="s">
        <v>522</v>
      </c>
      <c r="O64" s="76" t="s">
        <v>264</v>
      </c>
      <c r="P64" s="76" t="s">
        <v>186</v>
      </c>
      <c r="Q64" s="76" t="s">
        <v>200</v>
      </c>
      <c r="R64" s="76" t="s">
        <v>948</v>
      </c>
      <c r="S64" s="76" t="s">
        <v>201</v>
      </c>
      <c r="T64" s="76" t="s">
        <v>103</v>
      </c>
      <c r="U64" s="76" t="s">
        <v>104</v>
      </c>
    </row>
    <row r="65" spans="14:21">
      <c r="N65" s="321">
        <f>N57</f>
        <v>0.67560298544292563</v>
      </c>
      <c r="O65" s="321">
        <f>O57</f>
        <v>2.5902786661795147</v>
      </c>
      <c r="P65" s="321">
        <f>P57</f>
        <v>44</v>
      </c>
      <c r="Q65" s="321">
        <f>TDIST(O65,P65,2)</f>
        <v>1.295706923393301E-2</v>
      </c>
      <c r="R65" s="322" t="str">
        <f>IF(Q65&lt;S63,"yes","no")</f>
        <v>yes</v>
      </c>
      <c r="S65" s="322">
        <f>TINV(S63,P65)</f>
        <v>2.4820442076580118</v>
      </c>
      <c r="T65" s="322">
        <f>S53-N65*S65</f>
        <v>7.3123523304925886E-2</v>
      </c>
      <c r="U65" s="322">
        <f>S53+N65*S65</f>
        <v>3.4268764766950732</v>
      </c>
    </row>
    <row r="68" spans="14:21" ht="15" thickBot="1">
      <c r="N68" t="s">
        <v>933</v>
      </c>
    </row>
    <row r="69" spans="14:21" ht="15" thickTop="1">
      <c r="N69" s="76" t="s">
        <v>222</v>
      </c>
      <c r="O69" s="76" t="s">
        <v>143</v>
      </c>
      <c r="P69" s="76" t="s">
        <v>63</v>
      </c>
      <c r="Q69" s="76" t="s">
        <v>106</v>
      </c>
      <c r="R69" s="76" t="s">
        <v>929</v>
      </c>
      <c r="S69" s="76" t="s">
        <v>931</v>
      </c>
    </row>
    <row r="70" spans="14:21">
      <c r="N70" s="28" t="s">
        <v>942</v>
      </c>
      <c r="O70">
        <v>-0.5</v>
      </c>
      <c r="P70">
        <f>$I$7</f>
        <v>4.25</v>
      </c>
      <c r="Q70">
        <f>$G$7</f>
        <v>12</v>
      </c>
      <c r="R70">
        <f>O70^2/Q70</f>
        <v>2.0833333333333332E-2</v>
      </c>
      <c r="S70">
        <f>O70*P70</f>
        <v>-2.125</v>
      </c>
    </row>
    <row r="71" spans="14:21">
      <c r="N71" s="28" t="s">
        <v>943</v>
      </c>
      <c r="O71">
        <v>-0.5</v>
      </c>
      <c r="P71">
        <f>$I$8</f>
        <v>3.1666666666666665</v>
      </c>
      <c r="Q71">
        <f>$G$8</f>
        <v>12</v>
      </c>
      <c r="R71">
        <f>O71^2/Q71</f>
        <v>2.0833333333333332E-2</v>
      </c>
      <c r="S71">
        <f>O71*P71</f>
        <v>-1.5833333333333333</v>
      </c>
    </row>
    <row r="72" spans="14:21">
      <c r="N72" s="28" t="s">
        <v>946</v>
      </c>
      <c r="O72">
        <v>0.5</v>
      </c>
      <c r="P72">
        <f>$I$9</f>
        <v>5.583333333333333</v>
      </c>
      <c r="Q72">
        <f>$G$9</f>
        <v>12</v>
      </c>
      <c r="R72">
        <f>O72^2/Q72</f>
        <v>2.0833333333333332E-2</v>
      </c>
      <c r="S72">
        <f>O72*P72</f>
        <v>2.7916666666666665</v>
      </c>
    </row>
    <row r="73" spans="14:21">
      <c r="N73" s="263" t="s">
        <v>947</v>
      </c>
      <c r="O73" s="235">
        <v>0.5</v>
      </c>
      <c r="P73" s="235">
        <f>$I$10</f>
        <v>3.8333333333333335</v>
      </c>
      <c r="Q73" s="235">
        <f>$G$10</f>
        <v>12</v>
      </c>
      <c r="R73" s="235">
        <f>O73^2/Q73</f>
        <v>2.0833333333333332E-2</v>
      </c>
      <c r="S73" s="235">
        <f>O73*P73</f>
        <v>1.9166666666666667</v>
      </c>
    </row>
    <row r="74" spans="14:21">
      <c r="N74" s="8"/>
      <c r="O74" s="8"/>
      <c r="P74" s="8"/>
      <c r="R74">
        <f>SUM(R70:R73)</f>
        <v>8.3333333333333329E-2</v>
      </c>
      <c r="S74">
        <f>SUM(S70:S73)</f>
        <v>1.0000000000000002</v>
      </c>
    </row>
    <row r="76" spans="14:21" ht="15" thickBot="1">
      <c r="N76" t="s">
        <v>930</v>
      </c>
      <c r="R76" s="252" t="s">
        <v>116</v>
      </c>
      <c r="S76" s="252">
        <v>0.05</v>
      </c>
    </row>
    <row r="77" spans="14:21" ht="15" thickTop="1">
      <c r="N77" s="76" t="s">
        <v>522</v>
      </c>
      <c r="O77" s="76" t="s">
        <v>264</v>
      </c>
      <c r="P77" s="76" t="s">
        <v>186</v>
      </c>
      <c r="Q77" s="76" t="s">
        <v>200</v>
      </c>
      <c r="R77" s="76" t="s">
        <v>948</v>
      </c>
      <c r="S77" s="76" t="s">
        <v>201</v>
      </c>
      <c r="T77" s="76" t="s">
        <v>103</v>
      </c>
      <c r="U77" s="76" t="s">
        <v>104</v>
      </c>
    </row>
    <row r="78" spans="14:21">
      <c r="N78" s="321">
        <f>SQRT($I$16*R74)</f>
        <v>0.47772345239656905</v>
      </c>
      <c r="O78" s="321">
        <f>ABS(S74/N78)</f>
        <v>2.0932612685924359</v>
      </c>
      <c r="P78" s="321">
        <f>$H$16</f>
        <v>44</v>
      </c>
      <c r="Q78" s="321">
        <f>TDIST(O78,P78,2)</f>
        <v>4.2123653011693532E-2</v>
      </c>
      <c r="R78" s="322" t="str">
        <f>IF(Q78&lt;S76,"yes","no")</f>
        <v>yes</v>
      </c>
      <c r="S78" s="322">
        <f>TINV(S76,P78)</f>
        <v>2.0153675744437649</v>
      </c>
      <c r="T78" s="322">
        <f>S74-N78*S78</f>
        <v>3.7211644488625462E-2</v>
      </c>
      <c r="U78" s="322">
        <f>S74+N78*S78</f>
        <v>1.962788355511375</v>
      </c>
    </row>
    <row r="80" spans="14:21" ht="15" thickBot="1">
      <c r="N80" t="s">
        <v>950</v>
      </c>
      <c r="R80" s="252" t="s">
        <v>116</v>
      </c>
      <c r="S80" s="252">
        <f>S76/$H$15</f>
        <v>1.6666666666666666E-2</v>
      </c>
    </row>
    <row r="81" spans="14:21" ht="15" thickTop="1">
      <c r="N81" s="76" t="s">
        <v>522</v>
      </c>
      <c r="O81" s="76" t="s">
        <v>264</v>
      </c>
      <c r="P81" s="76" t="s">
        <v>186</v>
      </c>
      <c r="Q81" s="76" t="s">
        <v>200</v>
      </c>
      <c r="R81" s="76" t="s">
        <v>948</v>
      </c>
      <c r="S81" s="76" t="s">
        <v>201</v>
      </c>
      <c r="T81" s="76" t="s">
        <v>103</v>
      </c>
      <c r="U81" s="76" t="s">
        <v>104</v>
      </c>
    </row>
    <row r="82" spans="14:21">
      <c r="N82" s="321">
        <f>N78</f>
        <v>0.47772345239656905</v>
      </c>
      <c r="O82" s="321">
        <f>O78</f>
        <v>2.0932612685924359</v>
      </c>
      <c r="P82" s="321">
        <f>P78</f>
        <v>44</v>
      </c>
      <c r="Q82" s="321">
        <f>TDIST(O82,P82,2)</f>
        <v>4.2123653011693532E-2</v>
      </c>
      <c r="R82" s="322" t="str">
        <f>IF(Q82&lt;S80,"yes","no")</f>
        <v>no</v>
      </c>
      <c r="S82" s="322">
        <f>TINV(S80,P82)</f>
        <v>2.4889679492395662</v>
      </c>
      <c r="T82" s="322">
        <f>S74-N82*S82</f>
        <v>-0.18903836161513388</v>
      </c>
      <c r="U82" s="322">
        <f>S74+N82*S82</f>
        <v>2.1890383616151343</v>
      </c>
    </row>
    <row r="84" spans="14:21" ht="15" thickBot="1">
      <c r="N84" s="122" t="s">
        <v>949</v>
      </c>
      <c r="R84" s="252" t="s">
        <v>116</v>
      </c>
      <c r="S84" s="252">
        <f>1-(1-S76)^(1/$H$15)</f>
        <v>1.6952427508441503E-2</v>
      </c>
    </row>
    <row r="85" spans="14:21" ht="15" thickTop="1">
      <c r="N85" s="76" t="s">
        <v>522</v>
      </c>
      <c r="O85" s="76" t="s">
        <v>264</v>
      </c>
      <c r="P85" s="76" t="s">
        <v>186</v>
      </c>
      <c r="Q85" s="76" t="s">
        <v>200</v>
      </c>
      <c r="R85" s="76" t="s">
        <v>948</v>
      </c>
      <c r="S85" s="76" t="s">
        <v>201</v>
      </c>
      <c r="T85" s="76" t="s">
        <v>103</v>
      </c>
      <c r="U85" s="76" t="s">
        <v>104</v>
      </c>
    </row>
    <row r="86" spans="14:21">
      <c r="N86" s="321">
        <f>N78</f>
        <v>0.47772345239656905</v>
      </c>
      <c r="O86" s="321">
        <f>O78</f>
        <v>2.0932612685924359</v>
      </c>
      <c r="P86" s="321">
        <f>P78</f>
        <v>44</v>
      </c>
      <c r="Q86" s="321">
        <f>TDIST(O86,P86,2)</f>
        <v>4.2123653011693532E-2</v>
      </c>
      <c r="R86" s="322" t="str">
        <f>IF(Q86&lt;S84,"yes","no")</f>
        <v>no</v>
      </c>
      <c r="S86" s="322">
        <f>TINV(S84,P86)</f>
        <v>2.4820442076580118</v>
      </c>
      <c r="T86" s="322">
        <f>S74-N86*S86</f>
        <v>-0.18573072788329203</v>
      </c>
      <c r="U86" s="322">
        <f>S74+N86*S86</f>
        <v>2.1857307278832927</v>
      </c>
    </row>
    <row r="89" spans="14:21" ht="15" thickBot="1">
      <c r="N89" t="s">
        <v>933</v>
      </c>
    </row>
    <row r="90" spans="14:21" ht="15" thickTop="1">
      <c r="N90" s="76" t="s">
        <v>222</v>
      </c>
      <c r="O90" s="76" t="s">
        <v>143</v>
      </c>
      <c r="P90" s="76" t="s">
        <v>63</v>
      </c>
      <c r="Q90" s="76" t="s">
        <v>106</v>
      </c>
      <c r="R90" s="76" t="s">
        <v>929</v>
      </c>
      <c r="S90" s="76" t="s">
        <v>931</v>
      </c>
    </row>
    <row r="91" spans="14:21">
      <c r="N91" s="28" t="s">
        <v>942</v>
      </c>
      <c r="O91">
        <v>1</v>
      </c>
      <c r="P91">
        <f>$I$7</f>
        <v>4.25</v>
      </c>
      <c r="Q91">
        <f>$G$7</f>
        <v>12</v>
      </c>
      <c r="R91">
        <f>O91^2/Q91</f>
        <v>8.3333333333333329E-2</v>
      </c>
      <c r="S91">
        <f>O91*P91</f>
        <v>4.25</v>
      </c>
    </row>
    <row r="92" spans="14:21">
      <c r="N92" s="28" t="s">
        <v>943</v>
      </c>
      <c r="O92">
        <v>0</v>
      </c>
      <c r="P92">
        <f>$I$8</f>
        <v>3.1666666666666665</v>
      </c>
      <c r="Q92">
        <f>$G$8</f>
        <v>12</v>
      </c>
      <c r="R92">
        <f>O92^2/Q92</f>
        <v>0</v>
      </c>
      <c r="S92">
        <f>O92*P92</f>
        <v>0</v>
      </c>
    </row>
    <row r="93" spans="14:21">
      <c r="N93" s="28" t="s">
        <v>946</v>
      </c>
      <c r="O93">
        <v>-1</v>
      </c>
      <c r="P93">
        <f>$I$9</f>
        <v>5.583333333333333</v>
      </c>
      <c r="Q93">
        <f>$G$9</f>
        <v>12</v>
      </c>
      <c r="R93">
        <f>O93^2/Q93</f>
        <v>8.3333333333333329E-2</v>
      </c>
      <c r="S93">
        <f>O93*P93</f>
        <v>-5.583333333333333</v>
      </c>
    </row>
    <row r="94" spans="14:21">
      <c r="N94" s="263" t="s">
        <v>947</v>
      </c>
      <c r="O94" s="235">
        <v>0</v>
      </c>
      <c r="P94" s="235">
        <f>$I$10</f>
        <v>3.8333333333333335</v>
      </c>
      <c r="Q94" s="235">
        <f>$G$10</f>
        <v>12</v>
      </c>
      <c r="R94" s="235">
        <f>O94^2/Q94</f>
        <v>0</v>
      </c>
      <c r="S94" s="235">
        <f>O94*P94</f>
        <v>0</v>
      </c>
    </row>
    <row r="95" spans="14:21">
      <c r="N95" s="8"/>
      <c r="O95" s="8"/>
      <c r="P95" s="8"/>
      <c r="R95">
        <f>SUM(R91:R94)</f>
        <v>0.16666666666666666</v>
      </c>
      <c r="S95">
        <f>SUM(S91:S94)</f>
        <v>-1.333333333333333</v>
      </c>
    </row>
    <row r="97" spans="14:21" ht="15" thickBot="1">
      <c r="N97" t="s">
        <v>930</v>
      </c>
      <c r="R97" s="252" t="s">
        <v>116</v>
      </c>
      <c r="S97" s="252">
        <v>0.05</v>
      </c>
    </row>
    <row r="98" spans="14:21" ht="15" thickTop="1">
      <c r="N98" s="76" t="s">
        <v>522</v>
      </c>
      <c r="O98" s="76" t="s">
        <v>264</v>
      </c>
      <c r="P98" s="76" t="s">
        <v>186</v>
      </c>
      <c r="Q98" s="76" t="s">
        <v>200</v>
      </c>
      <c r="R98" s="76" t="s">
        <v>948</v>
      </c>
      <c r="S98" s="76" t="s">
        <v>201</v>
      </c>
      <c r="T98" s="76" t="s">
        <v>103</v>
      </c>
      <c r="U98" s="76" t="s">
        <v>104</v>
      </c>
    </row>
    <row r="99" spans="14:21">
      <c r="N99" s="321">
        <f>SQRT($I$16*R95)</f>
        <v>0.67560298544292563</v>
      </c>
      <c r="O99" s="321">
        <f>ABS(S95/N99)</f>
        <v>1.9735456504224875</v>
      </c>
      <c r="P99" s="321">
        <f>$H$16</f>
        <v>44</v>
      </c>
      <c r="Q99" s="321">
        <f>TDIST(O99,P99,2)</f>
        <v>5.4734006390896719E-2</v>
      </c>
      <c r="R99" s="322" t="str">
        <f>IF(Q99&lt;S97,"yes","no")</f>
        <v>no</v>
      </c>
      <c r="S99" s="322">
        <f>TINV(S97,P99)</f>
        <v>2.0153675744437649</v>
      </c>
      <c r="T99" s="322">
        <f>S95-N99*S99</f>
        <v>-2.6949216833924083</v>
      </c>
      <c r="U99" s="322">
        <f>S95+N99*S99</f>
        <v>2.8255016725742266E-2</v>
      </c>
    </row>
    <row r="101" spans="14:21" ht="15" thickBot="1">
      <c r="N101" t="s">
        <v>950</v>
      </c>
      <c r="R101" s="252" t="s">
        <v>116</v>
      </c>
      <c r="S101" s="252">
        <f>S97/$H$15</f>
        <v>1.6666666666666666E-2</v>
      </c>
    </row>
    <row r="102" spans="14:21" ht="15" thickTop="1">
      <c r="N102" s="76" t="s">
        <v>522</v>
      </c>
      <c r="O102" s="76" t="s">
        <v>264</v>
      </c>
      <c r="P102" s="76" t="s">
        <v>186</v>
      </c>
      <c r="Q102" s="76" t="s">
        <v>200</v>
      </c>
      <c r="R102" s="76" t="s">
        <v>948</v>
      </c>
      <c r="S102" s="76" t="s">
        <v>201</v>
      </c>
      <c r="T102" s="76" t="s">
        <v>103</v>
      </c>
      <c r="U102" s="76" t="s">
        <v>104</v>
      </c>
    </row>
    <row r="103" spans="14:21">
      <c r="N103" s="321">
        <f>N99</f>
        <v>0.67560298544292563</v>
      </c>
      <c r="O103" s="321">
        <f>O99</f>
        <v>1.9735456504224875</v>
      </c>
      <c r="P103" s="321">
        <f>P99</f>
        <v>44</v>
      </c>
      <c r="Q103" s="321">
        <f>TDIST(O103,P103,2)</f>
        <v>5.4734006390896719E-2</v>
      </c>
      <c r="R103" s="322" t="str">
        <f>IF(Q103&lt;S101,"yes","no")</f>
        <v>no</v>
      </c>
      <c r="S103" s="322">
        <f>TINV(S101,P103)</f>
        <v>2.4889679492395662</v>
      </c>
      <c r="T103" s="322">
        <f>S95-N103*S103</f>
        <v>-3.0148875105113402</v>
      </c>
      <c r="U103" s="322">
        <f>S95+N103*S103</f>
        <v>0.34822084384467411</v>
      </c>
    </row>
    <row r="105" spans="14:21" ht="15" thickBot="1">
      <c r="N105" s="122" t="s">
        <v>949</v>
      </c>
      <c r="R105" s="252" t="s">
        <v>116</v>
      </c>
      <c r="S105" s="252">
        <f>1-(1-S97)^(1/$H$15)</f>
        <v>1.6952427508441503E-2</v>
      </c>
    </row>
    <row r="106" spans="14:21" ht="15" thickTop="1">
      <c r="N106" s="76" t="s">
        <v>522</v>
      </c>
      <c r="O106" s="76" t="s">
        <v>264</v>
      </c>
      <c r="P106" s="76" t="s">
        <v>186</v>
      </c>
      <c r="Q106" s="76" t="s">
        <v>200</v>
      </c>
      <c r="R106" s="76" t="s">
        <v>948</v>
      </c>
      <c r="S106" s="76" t="s">
        <v>201</v>
      </c>
      <c r="T106" s="76" t="s">
        <v>103</v>
      </c>
      <c r="U106" s="76" t="s">
        <v>104</v>
      </c>
    </row>
    <row r="107" spans="14:21">
      <c r="N107" s="321">
        <f>N99</f>
        <v>0.67560298544292563</v>
      </c>
      <c r="O107" s="321">
        <f>O99</f>
        <v>1.9735456504224875</v>
      </c>
      <c r="P107" s="321">
        <f>P99</f>
        <v>44</v>
      </c>
      <c r="Q107" s="321">
        <f>TDIST(O107,P107,2)</f>
        <v>5.4734006390896719E-2</v>
      </c>
      <c r="R107" s="322" t="str">
        <f>IF(Q107&lt;S105,"yes","no")</f>
        <v>no</v>
      </c>
      <c r="S107" s="322">
        <f>TINV(S105,P107)</f>
        <v>2.4820442076580118</v>
      </c>
      <c r="T107" s="322">
        <f>S95-N107*S107</f>
        <v>-3.0102098100284067</v>
      </c>
      <c r="U107" s="322">
        <f>S95+N107*S107</f>
        <v>0.34354314336174063</v>
      </c>
    </row>
  </sheetData>
  <mergeCells count="2">
    <mergeCell ref="A3:B3"/>
    <mergeCell ref="C3:D3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sheetPr codeName="Sheet110"/>
  <dimension ref="A1:AC22"/>
  <sheetViews>
    <sheetView topLeftCell="I1" workbookViewId="0"/>
  </sheetViews>
  <sheetFormatPr defaultRowHeight="14.4"/>
  <cols>
    <col min="1" max="4" width="7" customWidth="1"/>
    <col min="5" max="5" width="5.33203125" customWidth="1"/>
    <col min="6" max="6" width="17.88671875" customWidth="1"/>
    <col min="7" max="7" width="7.88671875" customWidth="1"/>
    <col min="8" max="8" width="7.109375" customWidth="1"/>
    <col min="13" max="13" width="5.109375" customWidth="1"/>
    <col min="16" max="16" width="8.44140625" customWidth="1"/>
    <col min="17" max="17" width="7.88671875" customWidth="1"/>
    <col min="19" max="19" width="6.109375" customWidth="1"/>
    <col min="20" max="21" width="8.33203125" customWidth="1"/>
    <col min="26" max="26" width="12" customWidth="1"/>
  </cols>
  <sheetData>
    <row r="1" spans="1:29">
      <c r="A1" s="1" t="s">
        <v>951</v>
      </c>
    </row>
    <row r="3" spans="1:29">
      <c r="A3" s="1556" t="s">
        <v>725</v>
      </c>
      <c r="B3" s="1556"/>
      <c r="C3" s="1556" t="s">
        <v>726</v>
      </c>
      <c r="D3" s="1556"/>
      <c r="F3" t="s">
        <v>885</v>
      </c>
      <c r="N3" t="s">
        <v>952</v>
      </c>
      <c r="W3" t="s">
        <v>958</v>
      </c>
    </row>
    <row r="4" spans="1:29">
      <c r="A4" s="330" t="s">
        <v>240</v>
      </c>
      <c r="B4" s="331" t="s">
        <v>239</v>
      </c>
      <c r="C4" s="330" t="s">
        <v>240</v>
      </c>
      <c r="D4" s="332" t="s">
        <v>239</v>
      </c>
    </row>
    <row r="5" spans="1:29" ht="16.2" thickBot="1">
      <c r="A5" s="333">
        <v>3</v>
      </c>
      <c r="B5" s="334">
        <v>2</v>
      </c>
      <c r="C5" s="333">
        <v>5</v>
      </c>
      <c r="D5" s="335">
        <v>4</v>
      </c>
      <c r="F5" t="s">
        <v>194</v>
      </c>
      <c r="N5" t="s">
        <v>953</v>
      </c>
      <c r="P5" s="65" t="s">
        <v>954</v>
      </c>
      <c r="W5" s="336" t="s">
        <v>157</v>
      </c>
      <c r="X5" s="340">
        <v>0.05</v>
      </c>
      <c r="AA5" t="s">
        <v>953</v>
      </c>
      <c r="AC5" s="65"/>
    </row>
    <row r="6" spans="1:29">
      <c r="A6" s="87">
        <v>5</v>
      </c>
      <c r="B6" s="117">
        <v>4</v>
      </c>
      <c r="C6" s="87">
        <v>8</v>
      </c>
      <c r="D6" s="88">
        <v>5</v>
      </c>
      <c r="F6" s="329" t="s">
        <v>222</v>
      </c>
      <c r="G6" s="329" t="s">
        <v>88</v>
      </c>
      <c r="H6" s="329" t="s">
        <v>87</v>
      </c>
      <c r="I6" s="329" t="s">
        <v>886</v>
      </c>
      <c r="J6" s="329" t="s">
        <v>223</v>
      </c>
      <c r="N6" s="329" t="s">
        <v>63</v>
      </c>
      <c r="O6" s="329" t="s">
        <v>522</v>
      </c>
      <c r="P6" s="329" t="s">
        <v>264</v>
      </c>
      <c r="Q6" s="344" t="s">
        <v>955</v>
      </c>
      <c r="R6" s="344" t="s">
        <v>956</v>
      </c>
      <c r="S6" s="344" t="s">
        <v>948</v>
      </c>
      <c r="T6" s="344" t="s">
        <v>103</v>
      </c>
      <c r="U6" s="344" t="s">
        <v>104</v>
      </c>
      <c r="W6" s="337" t="s">
        <v>186</v>
      </c>
      <c r="X6" s="341">
        <f>H16</f>
        <v>44</v>
      </c>
      <c r="AA6" s="329" t="s">
        <v>63</v>
      </c>
      <c r="AB6" s="329" t="s">
        <v>979</v>
      </c>
      <c r="AC6" s="344" t="s">
        <v>948</v>
      </c>
    </row>
    <row r="7" spans="1:29">
      <c r="A7" s="87">
        <v>6</v>
      </c>
      <c r="B7" s="117">
        <v>3</v>
      </c>
      <c r="C7" s="87">
        <v>6</v>
      </c>
      <c r="D7" s="88">
        <v>3</v>
      </c>
      <c r="F7" s="28" t="s">
        <v>942</v>
      </c>
      <c r="G7" s="28">
        <v>12</v>
      </c>
      <c r="H7" s="28">
        <v>51</v>
      </c>
      <c r="I7" s="28">
        <v>4.25</v>
      </c>
      <c r="J7" s="28">
        <v>3.1136363636363638</v>
      </c>
      <c r="N7">
        <f>ABS(I9-I10)</f>
        <v>1.7499999999999996</v>
      </c>
      <c r="O7">
        <f>SQRT(2*$I$16/G7)</f>
        <v>0.67560298544292563</v>
      </c>
      <c r="P7">
        <f>N7/O7</f>
        <v>2.5902786661795147</v>
      </c>
      <c r="Q7">
        <f ca="1">X16</f>
        <v>3.7774999999999999</v>
      </c>
      <c r="R7" s="327">
        <f ca="1">Q7/SQRT(2)</f>
        <v>2.6710958659321831</v>
      </c>
      <c r="S7" s="327" t="str">
        <f ca="1">IF(ABS(P7)&gt;R7,"yes","no")</f>
        <v>no</v>
      </c>
      <c r="T7">
        <f ca="1">N7-O7*R7</f>
        <v>-5.4600341428040045E-2</v>
      </c>
      <c r="U7">
        <f ca="1">N7+O7*R7</f>
        <v>3.5546003414280394</v>
      </c>
      <c r="W7" s="338" t="s">
        <v>169</v>
      </c>
      <c r="X7" s="342">
        <f>COUNTA(A4:D4)</f>
        <v>4</v>
      </c>
      <c r="Z7" s="91" t="s">
        <v>971</v>
      </c>
      <c r="AA7">
        <f>ABS(I7-I8)</f>
        <v>1.0833333333333335</v>
      </c>
      <c r="AB7">
        <f t="shared" ref="AB7:AB12" ca="1" si="0">$X$18</f>
        <v>1.8046003414280396</v>
      </c>
      <c r="AC7" s="327" t="str">
        <f t="shared" ref="AC7:AC12" ca="1" si="1">IF(AA7&gt;AB7,"Yes","No")</f>
        <v>No</v>
      </c>
    </row>
    <row r="8" spans="1:29">
      <c r="A8" s="87">
        <v>1</v>
      </c>
      <c r="B8" s="117">
        <v>5</v>
      </c>
      <c r="C8" s="87">
        <v>4</v>
      </c>
      <c r="D8" s="88">
        <v>7</v>
      </c>
      <c r="F8" s="28" t="s">
        <v>943</v>
      </c>
      <c r="G8" s="28">
        <v>12</v>
      </c>
      <c r="H8" s="28">
        <v>38</v>
      </c>
      <c r="I8" s="28">
        <v>3.1666666666666665</v>
      </c>
      <c r="J8" s="28">
        <v>2.6969696969696972</v>
      </c>
      <c r="W8" s="126"/>
      <c r="Z8" s="348" t="s">
        <v>972</v>
      </c>
      <c r="AA8">
        <f>ABS(I7-I9)</f>
        <v>1.333333333333333</v>
      </c>
      <c r="AB8">
        <f t="shared" ca="1" si="0"/>
        <v>1.8046003414280396</v>
      </c>
      <c r="AC8" s="327" t="str">
        <f t="shared" ca="1" si="1"/>
        <v>No</v>
      </c>
    </row>
    <row r="9" spans="1:29" ht="16.2" thickBot="1">
      <c r="A9" s="87">
        <v>5</v>
      </c>
      <c r="B9" s="117">
        <v>1</v>
      </c>
      <c r="C9" s="87">
        <v>7</v>
      </c>
      <c r="D9" s="88">
        <v>6</v>
      </c>
      <c r="F9" s="28" t="s">
        <v>944</v>
      </c>
      <c r="G9" s="28">
        <v>12</v>
      </c>
      <c r="H9" s="28">
        <v>67</v>
      </c>
      <c r="I9" s="28">
        <v>5.583333333333333</v>
      </c>
      <c r="J9" s="28">
        <v>2.4469696969696986</v>
      </c>
      <c r="N9" t="s">
        <v>953</v>
      </c>
      <c r="P9" s="65" t="s">
        <v>957</v>
      </c>
      <c r="W9" s="126" t="s">
        <v>158</v>
      </c>
      <c r="X9" s="19">
        <f>IF(X5=0.01,50,IF(X5=0.1,-50,0))</f>
        <v>0</v>
      </c>
      <c r="Z9" s="348" t="s">
        <v>973</v>
      </c>
      <c r="AA9">
        <f>ABS(I7-I10)</f>
        <v>0.41666666666666652</v>
      </c>
      <c r="AB9">
        <f t="shared" ca="1" si="0"/>
        <v>1.8046003414280396</v>
      </c>
      <c r="AC9" s="327" t="str">
        <f t="shared" ca="1" si="1"/>
        <v>No</v>
      </c>
    </row>
    <row r="10" spans="1:29" ht="15" thickBot="1">
      <c r="A10" s="87">
        <v>6</v>
      </c>
      <c r="B10" s="117">
        <v>5</v>
      </c>
      <c r="C10" s="87">
        <v>8</v>
      </c>
      <c r="D10" s="88">
        <v>3</v>
      </c>
      <c r="F10" s="31" t="s">
        <v>945</v>
      </c>
      <c r="G10" s="31">
        <v>12</v>
      </c>
      <c r="H10" s="31">
        <v>46</v>
      </c>
      <c r="I10" s="31">
        <v>3.8333333333333335</v>
      </c>
      <c r="J10" s="31">
        <v>2.6969696969696959</v>
      </c>
      <c r="N10" s="329" t="s">
        <v>63</v>
      </c>
      <c r="O10" s="329" t="s">
        <v>522</v>
      </c>
      <c r="P10" s="329" t="s">
        <v>264</v>
      </c>
      <c r="Q10" s="344" t="s">
        <v>955</v>
      </c>
      <c r="R10" s="344" t="s">
        <v>956</v>
      </c>
      <c r="S10" s="344" t="s">
        <v>948</v>
      </c>
      <c r="T10" s="344" t="s">
        <v>103</v>
      </c>
      <c r="U10" s="344" t="s">
        <v>104</v>
      </c>
      <c r="W10" s="126" t="s">
        <v>959</v>
      </c>
      <c r="X10">
        <f>MATCH(X6,'Stud. Q Table'!A56:A100)</f>
        <v>40</v>
      </c>
      <c r="Z10" s="348" t="s">
        <v>974</v>
      </c>
      <c r="AA10">
        <f>ABS(I8-I9)</f>
        <v>2.4166666666666665</v>
      </c>
      <c r="AB10">
        <f t="shared" ca="1" si="0"/>
        <v>1.8046003414280396</v>
      </c>
      <c r="AC10" s="327" t="str">
        <f t="shared" ca="1" si="1"/>
        <v>Yes</v>
      </c>
    </row>
    <row r="11" spans="1:29">
      <c r="A11" s="87">
        <v>4</v>
      </c>
      <c r="B11" s="117">
        <v>2</v>
      </c>
      <c r="C11" s="87">
        <v>5</v>
      </c>
      <c r="D11" s="88">
        <v>2</v>
      </c>
      <c r="N11">
        <f>I9-I8</f>
        <v>2.4166666666666665</v>
      </c>
      <c r="O11">
        <f>SQRT($I$16*(1/G9+1/G8))</f>
        <v>0.67560298544292563</v>
      </c>
      <c r="P11">
        <f>N11/O11</f>
        <v>3.5770514913907592</v>
      </c>
      <c r="Q11">
        <f ca="1">Q7</f>
        <v>3.7774999999999999</v>
      </c>
      <c r="R11" s="327">
        <f ca="1">Q11/SQRT(2)</f>
        <v>2.6710958659321831</v>
      </c>
      <c r="S11" s="327" t="str">
        <f ca="1">IF(ABS(P11)&gt;=R11,"yes","no")</f>
        <v>yes</v>
      </c>
      <c r="T11">
        <f ca="1">N11-O11*R11</f>
        <v>0.61206632523862692</v>
      </c>
      <c r="U11">
        <f ca="1">N11+O11*R11</f>
        <v>4.2212670080947063</v>
      </c>
      <c r="W11" s="126" t="s">
        <v>960</v>
      </c>
      <c r="X11">
        <f>INDEX('Stud. Q Table'!A56:A100,X10)</f>
        <v>40</v>
      </c>
      <c r="Z11" s="348" t="s">
        <v>975</v>
      </c>
      <c r="AA11">
        <f>ABS(I8-I10)</f>
        <v>0.66666666666666696</v>
      </c>
      <c r="AB11">
        <f t="shared" ca="1" si="0"/>
        <v>1.8046003414280396</v>
      </c>
      <c r="AC11" s="327" t="str">
        <f t="shared" ca="1" si="1"/>
        <v>No</v>
      </c>
    </row>
    <row r="12" spans="1:29">
      <c r="A12" s="87">
        <v>3</v>
      </c>
      <c r="B12" s="117">
        <v>3</v>
      </c>
      <c r="C12" s="87">
        <v>6</v>
      </c>
      <c r="D12" s="88">
        <v>2</v>
      </c>
      <c r="W12" s="126" t="s">
        <v>961</v>
      </c>
      <c r="X12">
        <f>INDEX('Stud. Q Table'!A56:A100,1+X10)</f>
        <v>48</v>
      </c>
      <c r="Z12" s="348" t="s">
        <v>976</v>
      </c>
      <c r="AA12" s="235">
        <f>ABS(I9-I10)</f>
        <v>1.7499999999999996</v>
      </c>
      <c r="AB12" s="235">
        <f t="shared" ca="1" si="0"/>
        <v>1.8046003414280396</v>
      </c>
      <c r="AC12" s="328" t="str">
        <f t="shared" ca="1" si="1"/>
        <v>No</v>
      </c>
    </row>
    <row r="13" spans="1:29" ht="15" thickBot="1">
      <c r="A13" s="87">
        <v>7</v>
      </c>
      <c r="B13" s="117">
        <v>6</v>
      </c>
      <c r="C13" s="87">
        <v>6</v>
      </c>
      <c r="D13" s="88">
        <v>4</v>
      </c>
      <c r="F13" t="s">
        <v>695</v>
      </c>
      <c r="W13" s="126" t="s">
        <v>962</v>
      </c>
      <c r="X13">
        <f ca="1">INDEX(OFFSET('Stud. Q Table'!B56:T100,X9,0),X10,X7-1)</f>
        <v>3.7909999999999999</v>
      </c>
    </row>
    <row r="14" spans="1:29">
      <c r="A14" s="87">
        <v>4</v>
      </c>
      <c r="B14" s="117">
        <v>2</v>
      </c>
      <c r="C14" s="87">
        <v>3</v>
      </c>
      <c r="D14" s="88">
        <v>5</v>
      </c>
      <c r="F14" s="329" t="s">
        <v>887</v>
      </c>
      <c r="G14" s="329" t="s">
        <v>578</v>
      </c>
      <c r="H14" s="329" t="s">
        <v>186</v>
      </c>
      <c r="I14" s="329" t="s">
        <v>641</v>
      </c>
      <c r="J14" s="329" t="s">
        <v>388</v>
      </c>
      <c r="K14" s="329" t="s">
        <v>367</v>
      </c>
      <c r="L14" s="329" t="s">
        <v>888</v>
      </c>
      <c r="W14" s="126" t="s">
        <v>963</v>
      </c>
      <c r="X14">
        <f ca="1">INDEX(OFFSET('Stud. Q Table'!B56:T100,X9,0),1+X10,X7-1)</f>
        <v>3.7639999999999998</v>
      </c>
    </row>
    <row r="15" spans="1:29">
      <c r="A15" s="87">
        <v>5</v>
      </c>
      <c r="B15" s="117">
        <v>4</v>
      </c>
      <c r="C15" s="87">
        <v>4</v>
      </c>
      <c r="D15" s="88">
        <v>2</v>
      </c>
      <c r="F15" s="28" t="s">
        <v>883</v>
      </c>
      <c r="G15" s="28">
        <v>37.416666666666714</v>
      </c>
      <c r="H15" s="28">
        <v>3</v>
      </c>
      <c r="I15" s="28">
        <v>12.472222222222237</v>
      </c>
      <c r="J15" s="28">
        <v>4.554172429691107</v>
      </c>
      <c r="K15" s="28">
        <v>7.2835322244351394E-3</v>
      </c>
      <c r="L15" s="28">
        <v>2.8164658165656813</v>
      </c>
    </row>
    <row r="16" spans="1:29">
      <c r="A16" s="281">
        <v>2</v>
      </c>
      <c r="B16" s="328">
        <v>1</v>
      </c>
      <c r="C16" s="281">
        <v>5</v>
      </c>
      <c r="D16" s="282">
        <v>3</v>
      </c>
      <c r="F16" s="28" t="s">
        <v>884</v>
      </c>
      <c r="G16" s="28">
        <v>120.5</v>
      </c>
      <c r="H16" s="28">
        <v>44</v>
      </c>
      <c r="I16" s="28">
        <v>2.7386363636363638</v>
      </c>
      <c r="J16" s="28"/>
      <c r="K16" s="28"/>
      <c r="L16" s="28"/>
      <c r="W16" s="339" t="s">
        <v>955</v>
      </c>
      <c r="X16" s="343">
        <f ca="1">IF(X6&gt;240,INDEX(OFFSET('Stud. Q Table'!B101:T101,X9,0),1,W20-1),IF(X6=X11,X13,X13+(X14-X13)*(X6-X11)/(X12-X11)))</f>
        <v>3.7774999999999999</v>
      </c>
    </row>
    <row r="17" spans="6:24">
      <c r="F17" s="28"/>
      <c r="G17" s="28"/>
      <c r="H17" s="28"/>
      <c r="I17" s="28"/>
      <c r="J17" s="28"/>
      <c r="K17" s="28"/>
      <c r="L17" s="28"/>
    </row>
    <row r="18" spans="6:24" ht="15" thickBot="1">
      <c r="F18" s="31" t="s">
        <v>12</v>
      </c>
      <c r="G18" s="31">
        <v>157.91666666666671</v>
      </c>
      <c r="H18" s="31">
        <v>47</v>
      </c>
      <c r="I18" s="31"/>
      <c r="J18" s="31"/>
      <c r="K18" s="31"/>
      <c r="L18" s="31"/>
      <c r="W18" s="339" t="s">
        <v>979</v>
      </c>
      <c r="X18" s="343">
        <f ca="1">X16*SQRT(I16/G7)</f>
        <v>1.8046003414280396</v>
      </c>
    </row>
    <row r="20" spans="6:24">
      <c r="W20" t="s">
        <v>2107</v>
      </c>
    </row>
    <row r="22" spans="6:24">
      <c r="W22" s="339" t="s">
        <v>955</v>
      </c>
      <c r="X22" s="343" t="e">
        <f ca="1">[1]!QCRIT(X7,X6,X5,2)</f>
        <v>#NAME?</v>
      </c>
    </row>
  </sheetData>
  <mergeCells count="2">
    <mergeCell ref="A3:B3"/>
    <mergeCell ref="C3:D3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sheetPr codeName="Sheet129"/>
  <dimension ref="A1:L15"/>
  <sheetViews>
    <sheetView workbookViewId="0"/>
  </sheetViews>
  <sheetFormatPr defaultRowHeight="14.4"/>
  <cols>
    <col min="1" max="4" width="6.88671875" customWidth="1"/>
    <col min="5" max="5" width="6.109375" customWidth="1"/>
  </cols>
  <sheetData>
    <row r="1" spans="1:12">
      <c r="A1" s="1" t="s">
        <v>951</v>
      </c>
    </row>
    <row r="3" spans="1:12" ht="15" thickBot="1">
      <c r="A3" s="803" t="s">
        <v>2100</v>
      </c>
      <c r="B3" s="822" t="s">
        <v>2101</v>
      </c>
      <c r="C3" s="803" t="s">
        <v>2102</v>
      </c>
      <c r="D3" s="948" t="s">
        <v>2103</v>
      </c>
      <c r="F3" t="s">
        <v>2763</v>
      </c>
      <c r="K3" t="s">
        <v>116</v>
      </c>
      <c r="L3">
        <v>0.05</v>
      </c>
    </row>
    <row r="4" spans="1:12" ht="15" thickTop="1">
      <c r="A4" s="949">
        <v>3</v>
      </c>
      <c r="B4" s="115">
        <v>2</v>
      </c>
      <c r="C4" s="949">
        <v>5</v>
      </c>
      <c r="D4" s="86">
        <v>4</v>
      </c>
      <c r="F4" s="973" t="s">
        <v>222</v>
      </c>
      <c r="G4" s="973" t="s">
        <v>143</v>
      </c>
      <c r="H4" s="973" t="s">
        <v>63</v>
      </c>
      <c r="I4" s="973" t="s">
        <v>106</v>
      </c>
      <c r="J4" s="973" t="s">
        <v>1934</v>
      </c>
      <c r="K4" s="973" t="s">
        <v>929</v>
      </c>
      <c r="L4" s="973" t="s">
        <v>1935</v>
      </c>
    </row>
    <row r="5" spans="1:12">
      <c r="A5" s="87">
        <v>5</v>
      </c>
      <c r="B5" s="936">
        <v>4</v>
      </c>
      <c r="C5" s="87">
        <v>8</v>
      </c>
      <c r="D5" s="618">
        <v>5</v>
      </c>
      <c r="F5" t="str">
        <f>A3</f>
        <v>MD</v>
      </c>
      <c r="G5" s="1041"/>
      <c r="H5">
        <f>AVERAGE(A4:A15)</f>
        <v>4.25</v>
      </c>
      <c r="I5">
        <f>COUNT(A4:A15)</f>
        <v>12</v>
      </c>
      <c r="J5">
        <f>DEVSQ(A4:A15)</f>
        <v>34.25</v>
      </c>
      <c r="K5">
        <f>G5^2/I5</f>
        <v>0</v>
      </c>
      <c r="L5">
        <f>G5*H5</f>
        <v>0</v>
      </c>
    </row>
    <row r="6" spans="1:12">
      <c r="A6" s="87">
        <v>6</v>
      </c>
      <c r="B6" s="936">
        <v>3</v>
      </c>
      <c r="C6" s="87">
        <v>6</v>
      </c>
      <c r="D6" s="618">
        <v>3</v>
      </c>
      <c r="F6" t="str">
        <f>B3</f>
        <v>MC</v>
      </c>
      <c r="G6" s="1041"/>
      <c r="H6">
        <f>AVERAGE(B4:B15)</f>
        <v>3.1666666666666665</v>
      </c>
      <c r="I6">
        <f>COUNT(B4:B15)</f>
        <v>12</v>
      </c>
      <c r="J6">
        <f>DEVSQ(B4:B15)</f>
        <v>29.666666666666664</v>
      </c>
      <c r="K6">
        <f>G6^2/I6</f>
        <v>0</v>
      </c>
      <c r="L6">
        <f>G6*H6</f>
        <v>0</v>
      </c>
    </row>
    <row r="7" spans="1:12">
      <c r="A7" s="87">
        <v>1</v>
      </c>
      <c r="B7" s="936">
        <v>5</v>
      </c>
      <c r="C7" s="87">
        <v>4</v>
      </c>
      <c r="D7" s="618">
        <v>7</v>
      </c>
      <c r="F7" t="str">
        <f>C3</f>
        <v>WD</v>
      </c>
      <c r="G7" s="1041">
        <v>1</v>
      </c>
      <c r="H7">
        <f>AVERAGE(C4:C15)</f>
        <v>5.583333333333333</v>
      </c>
      <c r="I7">
        <f>COUNT(C4:C15)</f>
        <v>12</v>
      </c>
      <c r="J7">
        <f>DEVSQ(C4:C15)</f>
        <v>26.916666666666668</v>
      </c>
      <c r="K7">
        <f>G7^2/I7</f>
        <v>8.3333333333333329E-2</v>
      </c>
      <c r="L7">
        <f>G7*H7</f>
        <v>5.583333333333333</v>
      </c>
    </row>
    <row r="8" spans="1:12">
      <c r="A8" s="87">
        <v>5</v>
      </c>
      <c r="B8" s="936">
        <v>1</v>
      </c>
      <c r="C8" s="87">
        <v>7</v>
      </c>
      <c r="D8" s="618">
        <v>6</v>
      </c>
      <c r="F8" t="str">
        <f>D3</f>
        <v>WC</v>
      </c>
      <c r="G8" s="1041">
        <v>-1</v>
      </c>
      <c r="H8">
        <f>AVERAGE(D4:D15)</f>
        <v>3.8333333333333335</v>
      </c>
      <c r="I8">
        <f>COUNT(D4:D15)</f>
        <v>12</v>
      </c>
      <c r="J8">
        <f>DEVSQ(D4:D15)</f>
        <v>29.666666666666664</v>
      </c>
      <c r="K8">
        <f>G8^2/I8</f>
        <v>8.3333333333333329E-2</v>
      </c>
      <c r="L8">
        <f>G8*H8</f>
        <v>-3.8333333333333335</v>
      </c>
    </row>
    <row r="9" spans="1:12">
      <c r="A9" s="87">
        <v>6</v>
      </c>
      <c r="B9" s="936">
        <v>5</v>
      </c>
      <c r="C9" s="87">
        <v>8</v>
      </c>
      <c r="D9" s="618">
        <v>3</v>
      </c>
      <c r="F9" s="5"/>
      <c r="G9" s="5"/>
      <c r="H9" s="5"/>
      <c r="I9" s="5">
        <f>SUM(I5:I8)</f>
        <v>48</v>
      </c>
      <c r="J9" s="5">
        <f>SUM(J5:J8)</f>
        <v>120.5</v>
      </c>
      <c r="K9" s="5">
        <f>SUM(K5:K8)</f>
        <v>0.16666666666666666</v>
      </c>
      <c r="L9" s="5">
        <f>SUM(L5:L8)</f>
        <v>1.7499999999999996</v>
      </c>
    </row>
    <row r="10" spans="1:12" ht="15" thickBot="1">
      <c r="A10" s="87">
        <v>4</v>
      </c>
      <c r="B10" s="936">
        <v>2</v>
      </c>
      <c r="C10" s="87">
        <v>5</v>
      </c>
      <c r="D10" s="618">
        <v>2</v>
      </c>
      <c r="F10" t="s">
        <v>2764</v>
      </c>
    </row>
    <row r="11" spans="1:12" ht="15" thickTop="1">
      <c r="A11" s="87">
        <v>3</v>
      </c>
      <c r="B11" s="936">
        <v>3</v>
      </c>
      <c r="C11" s="87">
        <v>6</v>
      </c>
      <c r="D11" s="618">
        <v>2</v>
      </c>
      <c r="F11" s="973" t="s">
        <v>1469</v>
      </c>
      <c r="G11" s="973" t="s">
        <v>2762</v>
      </c>
      <c r="H11" s="973" t="s">
        <v>186</v>
      </c>
      <c r="I11" s="973" t="s">
        <v>955</v>
      </c>
      <c r="J11" s="973" t="s">
        <v>103</v>
      </c>
      <c r="K11" s="973" t="s">
        <v>104</v>
      </c>
      <c r="L11" s="973" t="s">
        <v>948</v>
      </c>
    </row>
    <row r="12" spans="1:12">
      <c r="A12" s="87">
        <v>7</v>
      </c>
      <c r="B12" s="936">
        <v>6</v>
      </c>
      <c r="C12" s="87">
        <v>6</v>
      </c>
      <c r="D12" s="618">
        <v>4</v>
      </c>
      <c r="F12" s="821">
        <f>SQRT(K9*J9/(2*H12))</f>
        <v>0.47772345239656905</v>
      </c>
      <c r="G12" s="821">
        <f>L9/F12</f>
        <v>3.6632072200367607</v>
      </c>
      <c r="H12" s="821">
        <f>I9-COUNT(I5:I8)</f>
        <v>44</v>
      </c>
      <c r="I12" s="821" t="e">
        <f ca="1">[1]!QCRIT(COUNT(I5:I8),H12,L3,2)</f>
        <v>#NAME?</v>
      </c>
      <c r="J12" s="821" t="e">
        <f ca="1">L9-F12*I12</f>
        <v>#NAME?</v>
      </c>
      <c r="K12" s="821" t="e">
        <f ca="1">L9+F12*I12</f>
        <v>#NAME?</v>
      </c>
      <c r="L12" s="1055" t="e">
        <f ca="1">IF(ABS(G12)&gt;I12,"yes","no")</f>
        <v>#NAME?</v>
      </c>
    </row>
    <row r="13" spans="1:12">
      <c r="A13" s="87">
        <v>4</v>
      </c>
      <c r="B13" s="936">
        <v>2</v>
      </c>
      <c r="C13" s="87">
        <v>3</v>
      </c>
      <c r="D13" s="618">
        <v>5</v>
      </c>
    </row>
    <row r="14" spans="1:12">
      <c r="A14" s="87">
        <v>5</v>
      </c>
      <c r="B14" s="936">
        <v>4</v>
      </c>
      <c r="C14" s="87">
        <v>4</v>
      </c>
      <c r="D14" s="618">
        <v>2</v>
      </c>
    </row>
    <row r="15" spans="1:12">
      <c r="A15" s="560">
        <v>2</v>
      </c>
      <c r="B15" s="935">
        <v>1</v>
      </c>
      <c r="C15" s="560">
        <v>5</v>
      </c>
      <c r="D15" s="536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>
  <sheetPr codeName="Sheet250"/>
  <dimension ref="A1:V16"/>
  <sheetViews>
    <sheetView workbookViewId="0"/>
  </sheetViews>
  <sheetFormatPr defaultRowHeight="14.4"/>
  <cols>
    <col min="6" max="6" width="16.6640625" customWidth="1"/>
  </cols>
  <sheetData>
    <row r="1" spans="1:22">
      <c r="A1" s="1" t="s">
        <v>2726</v>
      </c>
    </row>
    <row r="3" spans="1:22" ht="15" thickBot="1">
      <c r="A3" s="803" t="s">
        <v>2100</v>
      </c>
      <c r="B3" s="1042" t="s">
        <v>2101</v>
      </c>
      <c r="C3" s="803" t="s">
        <v>2102</v>
      </c>
      <c r="D3" s="948" t="s">
        <v>2103</v>
      </c>
      <c r="F3" t="s">
        <v>878</v>
      </c>
      <c r="P3" t="s">
        <v>2763</v>
      </c>
      <c r="U3" t="s">
        <v>116</v>
      </c>
      <c r="V3">
        <v>0.05</v>
      </c>
    </row>
    <row r="4" spans="1:22" ht="15" thickTop="1">
      <c r="A4" s="949">
        <v>3</v>
      </c>
      <c r="B4" s="115">
        <v>2</v>
      </c>
      <c r="C4" s="949">
        <v>5</v>
      </c>
      <c r="D4" s="86">
        <v>4</v>
      </c>
      <c r="P4" s="973" t="s">
        <v>222</v>
      </c>
      <c r="Q4" s="973" t="s">
        <v>143</v>
      </c>
      <c r="R4" s="973" t="s">
        <v>63</v>
      </c>
      <c r="S4" s="973" t="s">
        <v>106</v>
      </c>
      <c r="T4" s="973" t="s">
        <v>1934</v>
      </c>
      <c r="U4" s="973" t="s">
        <v>929</v>
      </c>
      <c r="V4" s="973" t="s">
        <v>1935</v>
      </c>
    </row>
    <row r="5" spans="1:22" ht="15" thickBot="1">
      <c r="A5" s="87">
        <v>5</v>
      </c>
      <c r="B5" s="1044">
        <v>4</v>
      </c>
      <c r="C5" s="87">
        <v>8</v>
      </c>
      <c r="D5" s="618">
        <v>5</v>
      </c>
      <c r="F5" t="s">
        <v>879</v>
      </c>
      <c r="K5" t="s">
        <v>116</v>
      </c>
      <c r="L5">
        <v>0.05</v>
      </c>
      <c r="P5" t="str">
        <f>A3</f>
        <v>MD</v>
      </c>
      <c r="Q5" s="1041"/>
      <c r="R5">
        <f>AVERAGE(A4:A15)</f>
        <v>4.4545454545454541</v>
      </c>
      <c r="S5">
        <f>COUNT(A4:A15)</f>
        <v>11</v>
      </c>
      <c r="T5">
        <f>DEVSQ(A4:A15)</f>
        <v>28.72727272727273</v>
      </c>
      <c r="U5">
        <f>Q5^2/S5</f>
        <v>0</v>
      </c>
      <c r="V5">
        <f>Q5*R5</f>
        <v>0</v>
      </c>
    </row>
    <row r="6" spans="1:22" ht="15" thickTop="1">
      <c r="A6" s="87">
        <v>6</v>
      </c>
      <c r="B6" s="1044">
        <v>3</v>
      </c>
      <c r="C6" s="87">
        <v>6</v>
      </c>
      <c r="D6" s="618">
        <v>3</v>
      </c>
      <c r="F6" s="973" t="s">
        <v>222</v>
      </c>
      <c r="G6" s="973" t="s">
        <v>88</v>
      </c>
      <c r="H6" s="973" t="s">
        <v>87</v>
      </c>
      <c r="I6" s="973" t="s">
        <v>76</v>
      </c>
      <c r="J6" s="973" t="s">
        <v>223</v>
      </c>
      <c r="K6" s="973" t="s">
        <v>578</v>
      </c>
      <c r="L6" s="973" t="s">
        <v>183</v>
      </c>
      <c r="M6" s="973" t="s">
        <v>744</v>
      </c>
      <c r="N6" s="973" t="s">
        <v>745</v>
      </c>
      <c r="P6" t="str">
        <f>B3</f>
        <v>MC</v>
      </c>
      <c r="Q6" s="1041"/>
      <c r="R6">
        <f>AVERAGE(B4:B15)</f>
        <v>3.1666666666666665</v>
      </c>
      <c r="S6">
        <f>COUNT(B4:B15)</f>
        <v>12</v>
      </c>
      <c r="T6">
        <f>DEVSQ(B4:B15)</f>
        <v>29.666666666666664</v>
      </c>
      <c r="U6">
        <f>Q6^2/S6</f>
        <v>0</v>
      </c>
      <c r="V6">
        <f>Q6*R6</f>
        <v>0</v>
      </c>
    </row>
    <row r="7" spans="1:22">
      <c r="A7" s="87">
        <v>1</v>
      </c>
      <c r="B7" s="1044">
        <v>5</v>
      </c>
      <c r="C7" s="87">
        <v>4</v>
      </c>
      <c r="D7" s="618">
        <v>7</v>
      </c>
      <c r="F7" t="str">
        <f>A3</f>
        <v>MD</v>
      </c>
      <c r="G7">
        <f>COUNT(A4:A15)</f>
        <v>11</v>
      </c>
      <c r="H7">
        <f>SUM(A4:A15)</f>
        <v>49</v>
      </c>
      <c r="I7">
        <f>AVERAGE(A4:A15)</f>
        <v>4.4545454545454541</v>
      </c>
      <c r="J7">
        <f>VAR(A4:A15)</f>
        <v>2.8727272727272721</v>
      </c>
      <c r="K7">
        <f>DEVSQ(A4:A15)</f>
        <v>28.72727272727273</v>
      </c>
      <c r="L7">
        <f>SQRT(I15/G7)</f>
        <v>0.48465157484731392</v>
      </c>
      <c r="M7">
        <f>I7-L7*TINV(L5,G7-1)</f>
        <v>3.3746744509518205</v>
      </c>
      <c r="N7">
        <f>I7+L7*TINV(L5,G7-1)</f>
        <v>5.5344164581390878</v>
      </c>
      <c r="P7" t="str">
        <f>C3</f>
        <v>WD</v>
      </c>
      <c r="Q7" s="1041">
        <v>1</v>
      </c>
      <c r="R7">
        <f>AVERAGE(C4:C15)</f>
        <v>6.1111111111111107</v>
      </c>
      <c r="S7">
        <f>COUNT(C4:C15)</f>
        <v>9</v>
      </c>
      <c r="T7">
        <f>DEVSQ(C4:C15)</f>
        <v>14.888888888888886</v>
      </c>
      <c r="U7">
        <f>Q7^2/S7</f>
        <v>0.1111111111111111</v>
      </c>
      <c r="V7">
        <f>Q7*R7</f>
        <v>6.1111111111111107</v>
      </c>
    </row>
    <row r="8" spans="1:22">
      <c r="A8" s="87">
        <v>5</v>
      </c>
      <c r="B8" s="1044">
        <v>1</v>
      </c>
      <c r="C8" s="87">
        <v>7</v>
      </c>
      <c r="D8" s="618">
        <v>6</v>
      </c>
      <c r="F8" t="str">
        <f>B3</f>
        <v>MC</v>
      </c>
      <c r="G8">
        <f>COUNT(B4:B15)</f>
        <v>12</v>
      </c>
      <c r="H8">
        <f>SUM(B4:B15)</f>
        <v>38</v>
      </c>
      <c r="I8">
        <f>AVERAGE(B4:B15)</f>
        <v>3.1666666666666665</v>
      </c>
      <c r="J8">
        <f>VAR(B4:B15)</f>
        <v>2.6969696969696972</v>
      </c>
      <c r="K8">
        <f>DEVSQ(B4:B15)</f>
        <v>29.666666666666664</v>
      </c>
      <c r="L8">
        <f>SQRT(I15/G8)</f>
        <v>0.46401855557561816</v>
      </c>
      <c r="M8">
        <f>I8-L8*TINV(L5,G8-1)</f>
        <v>2.1453687118375737</v>
      </c>
      <c r="N8">
        <f>I8+L8*TINV(L5,G8-1)</f>
        <v>4.1879646214957589</v>
      </c>
      <c r="P8" t="str">
        <f>D3</f>
        <v>WC</v>
      </c>
      <c r="Q8" s="1041">
        <v>-1</v>
      </c>
      <c r="R8">
        <f>AVERAGE(D4:D15)</f>
        <v>4.0999999999999996</v>
      </c>
      <c r="S8">
        <f>COUNT(D4:D15)</f>
        <v>10</v>
      </c>
      <c r="T8">
        <f>DEVSQ(D4:D15)</f>
        <v>24.900000000000002</v>
      </c>
      <c r="U8">
        <f>Q8^2/S8</f>
        <v>0.1</v>
      </c>
      <c r="V8">
        <f>Q8*R8</f>
        <v>-4.0999999999999996</v>
      </c>
    </row>
    <row r="9" spans="1:22">
      <c r="A9" s="87">
        <v>6</v>
      </c>
      <c r="B9" s="1044">
        <v>5</v>
      </c>
      <c r="C9" s="87">
        <v>8</v>
      </c>
      <c r="D9" s="618">
        <v>3</v>
      </c>
      <c r="F9" t="str">
        <f>C3</f>
        <v>WD</v>
      </c>
      <c r="G9">
        <f>COUNT(C4:C15)</f>
        <v>9</v>
      </c>
      <c r="H9">
        <f>SUM(C4:C15)</f>
        <v>55</v>
      </c>
      <c r="I9">
        <f>AVERAGE(C4:C15)</f>
        <v>6.1111111111111107</v>
      </c>
      <c r="J9">
        <f>VAR(C4:C15)</f>
        <v>1.8611111111111143</v>
      </c>
      <c r="K9">
        <f>DEVSQ(C4:C15)</f>
        <v>14.888888888888886</v>
      </c>
      <c r="L9">
        <f>SQRT(I15/G9)</f>
        <v>0.53580247594112895</v>
      </c>
      <c r="M9">
        <f>I9-L9*TINV(L5,G9-1)</f>
        <v>4.8755483859382363</v>
      </c>
      <c r="N9">
        <f>I9+L9*TINV(L5,G9-1)</f>
        <v>7.3466738362839852</v>
      </c>
      <c r="P9" s="5"/>
      <c r="Q9" s="5"/>
      <c r="R9" s="5"/>
      <c r="S9" s="5">
        <f>SUM(S5:S8)</f>
        <v>42</v>
      </c>
      <c r="T9" s="5">
        <f>SUM(T5:T8)</f>
        <v>98.182828282828282</v>
      </c>
      <c r="U9" s="5">
        <f>SUM(U5:U8)</f>
        <v>0.21111111111111111</v>
      </c>
      <c r="V9" s="5">
        <f>SUM(V5:V8)</f>
        <v>2.0111111111111111</v>
      </c>
    </row>
    <row r="10" spans="1:22" ht="15" thickBot="1">
      <c r="A10" s="87">
        <v>4</v>
      </c>
      <c r="B10" s="1044">
        <v>2</v>
      </c>
      <c r="C10" s="87">
        <v>5</v>
      </c>
      <c r="D10" s="618">
        <v>2</v>
      </c>
      <c r="F10" t="str">
        <f>D3</f>
        <v>WC</v>
      </c>
      <c r="G10">
        <f>COUNT(D4:D15)</f>
        <v>10</v>
      </c>
      <c r="H10">
        <f>SUM(D4:D15)</f>
        <v>41</v>
      </c>
      <c r="I10">
        <f>AVERAGE(D4:D15)</f>
        <v>4.0999999999999996</v>
      </c>
      <c r="J10">
        <f>VAR(D4:D15)</f>
        <v>2.7666666666666675</v>
      </c>
      <c r="K10">
        <f>DEVSQ(D4:D15)</f>
        <v>24.900000000000002</v>
      </c>
      <c r="L10">
        <f>SQRT(I15/G10)</f>
        <v>0.50830685997946135</v>
      </c>
      <c r="M10">
        <f>I10-L10*TINV(L5,G10-1)</f>
        <v>2.9501299957979965</v>
      </c>
      <c r="N10">
        <f>I10+L10*TINV(L5,G10-1)</f>
        <v>5.2498700042020028</v>
      </c>
      <c r="P10" t="s">
        <v>2764</v>
      </c>
    </row>
    <row r="11" spans="1:22" ht="15" thickTop="1">
      <c r="A11" s="87">
        <v>3</v>
      </c>
      <c r="B11" s="1044">
        <v>3</v>
      </c>
      <c r="C11" s="87">
        <v>6</v>
      </c>
      <c r="D11" s="618">
        <v>2</v>
      </c>
      <c r="F11" s="5"/>
      <c r="G11" s="5"/>
      <c r="H11" s="5"/>
      <c r="I11" s="5"/>
      <c r="J11" s="5"/>
      <c r="K11" s="5"/>
      <c r="L11" s="5"/>
      <c r="M11" s="5"/>
      <c r="N11" s="5"/>
      <c r="P11" s="973" t="s">
        <v>1469</v>
      </c>
      <c r="Q11" s="973" t="s">
        <v>2762</v>
      </c>
      <c r="R11" s="973" t="s">
        <v>186</v>
      </c>
      <c r="S11" s="973" t="s">
        <v>955</v>
      </c>
      <c r="T11" s="973" t="s">
        <v>103</v>
      </c>
      <c r="U11" s="973" t="s">
        <v>104</v>
      </c>
      <c r="V11" s="973" t="s">
        <v>948</v>
      </c>
    </row>
    <row r="12" spans="1:22" ht="15" thickBot="1">
      <c r="A12" s="87">
        <v>7</v>
      </c>
      <c r="B12" s="1044">
        <v>6</v>
      </c>
      <c r="C12" s="87">
        <v>6</v>
      </c>
      <c r="D12" s="618">
        <v>4</v>
      </c>
      <c r="F12" t="s">
        <v>695</v>
      </c>
      <c r="P12" s="821">
        <f>SQRT(U9*T9/(2*R12))</f>
        <v>0.52223565424376373</v>
      </c>
      <c r="Q12" s="821">
        <f>V9/P12</f>
        <v>3.8509647795368362</v>
      </c>
      <c r="R12" s="821">
        <f>S9-COUNT(S5:S8)</f>
        <v>38</v>
      </c>
      <c r="S12" s="821" t="e">
        <f ca="1">[1]!QCRIT(COUNT(S5:S8),R12,V3,2)</f>
        <v>#NAME?</v>
      </c>
      <c r="T12" s="821" t="e">
        <f ca="1">V9-P12*S12</f>
        <v>#NAME?</v>
      </c>
      <c r="U12" s="821" t="e">
        <f ca="1">V9+P12*S12</f>
        <v>#NAME?</v>
      </c>
      <c r="V12" s="1055" t="e">
        <f ca="1">IF(ABS(Q12)&gt;S12,"yes","no")</f>
        <v>#NAME?</v>
      </c>
    </row>
    <row r="13" spans="1:22" ht="15" thickTop="1">
      <c r="A13" s="87">
        <v>4</v>
      </c>
      <c r="B13" s="1044">
        <v>2</v>
      </c>
      <c r="C13" s="87"/>
      <c r="D13" s="618">
        <v>5</v>
      </c>
      <c r="F13" s="973" t="s">
        <v>880</v>
      </c>
      <c r="G13" s="973" t="s">
        <v>578</v>
      </c>
      <c r="H13" s="973" t="s">
        <v>186</v>
      </c>
      <c r="I13" s="973" t="s">
        <v>641</v>
      </c>
      <c r="J13" s="973" t="s">
        <v>388</v>
      </c>
      <c r="K13" s="973" t="s">
        <v>881</v>
      </c>
      <c r="L13" s="973" t="s">
        <v>888</v>
      </c>
      <c r="M13" s="973" t="s">
        <v>1932</v>
      </c>
      <c r="N13" s="973" t="s">
        <v>1933</v>
      </c>
    </row>
    <row r="14" spans="1:22">
      <c r="A14" s="87">
        <v>5</v>
      </c>
      <c r="B14" s="1044">
        <v>4</v>
      </c>
      <c r="C14" s="87"/>
      <c r="D14" s="618"/>
      <c r="F14" t="s">
        <v>883</v>
      </c>
      <c r="G14">
        <f>G16-G15</f>
        <v>45.4600288600288</v>
      </c>
      <c r="H14">
        <f>COUNTA(F7:F10)-1</f>
        <v>3</v>
      </c>
      <c r="I14">
        <f>G14/H14</f>
        <v>15.153342953342934</v>
      </c>
      <c r="J14">
        <f>I14/I15</f>
        <v>5.8648446199603006</v>
      </c>
      <c r="K14">
        <f>FDIST(J14,H14,H15)</f>
        <v>2.1504945159401918E-3</v>
      </c>
      <c r="L14">
        <f>FINV(L5,H14,H15)</f>
        <v>2.8517413363298969</v>
      </c>
      <c r="M14">
        <f>SQRT(DEVSQ(I7:I10)/(I15*H14))</f>
        <v>0.76434653581314205</v>
      </c>
      <c r="N14">
        <f>(G16-H16*I15)/(G16+I15)</f>
        <v>0.25787885975021291</v>
      </c>
    </row>
    <row r="15" spans="1:22">
      <c r="A15" s="560"/>
      <c r="B15" s="1043">
        <v>1</v>
      </c>
      <c r="C15" s="560"/>
      <c r="D15" s="536"/>
      <c r="F15" t="s">
        <v>884</v>
      </c>
      <c r="G15">
        <f>SUM(K7:K10)</f>
        <v>98.182828282828282</v>
      </c>
      <c r="H15">
        <f>H16-H14</f>
        <v>38</v>
      </c>
      <c r="I15">
        <f>G15/H15</f>
        <v>2.5837586390217968</v>
      </c>
    </row>
    <row r="16" spans="1:22">
      <c r="F16" s="534" t="s">
        <v>12</v>
      </c>
      <c r="G16" s="534">
        <f>DEVSQ(A4:D15)</f>
        <v>143.64285714285708</v>
      </c>
      <c r="H16" s="534">
        <f>COUNT(A4:D15)-1</f>
        <v>41</v>
      </c>
      <c r="I16" s="534">
        <f>G16/H16</f>
        <v>3.5034843205574897</v>
      </c>
      <c r="J16" s="534"/>
      <c r="K16" s="534"/>
      <c r="L16" s="534"/>
      <c r="M16" s="534"/>
      <c r="N16" s="534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sheetPr codeName="Sheet251"/>
  <dimension ref="A1:P15"/>
  <sheetViews>
    <sheetView workbookViewId="0"/>
  </sheetViews>
  <sheetFormatPr defaultRowHeight="14.4"/>
  <sheetData>
    <row r="1" spans="1:16">
      <c r="A1" s="1" t="s">
        <v>2772</v>
      </c>
    </row>
    <row r="3" spans="1:16" ht="15" thickBot="1">
      <c r="A3" s="803" t="s">
        <v>2100</v>
      </c>
      <c r="B3" s="1042" t="s">
        <v>2101</v>
      </c>
      <c r="C3" s="803" t="s">
        <v>2102</v>
      </c>
      <c r="D3" s="948" t="s">
        <v>2103</v>
      </c>
      <c r="F3" t="s">
        <v>2727</v>
      </c>
      <c r="K3" t="s">
        <v>116</v>
      </c>
      <c r="L3">
        <v>0.05</v>
      </c>
    </row>
    <row r="4" spans="1:16" ht="15" thickTop="1">
      <c r="A4" s="949">
        <v>3</v>
      </c>
      <c r="B4" s="115">
        <v>2</v>
      </c>
      <c r="C4" s="949">
        <v>5</v>
      </c>
      <c r="D4" s="86">
        <v>4</v>
      </c>
      <c r="F4" s="973" t="s">
        <v>222</v>
      </c>
      <c r="G4" s="973" t="s">
        <v>143</v>
      </c>
      <c r="H4" s="973" t="s">
        <v>63</v>
      </c>
      <c r="I4" s="973" t="s">
        <v>106</v>
      </c>
      <c r="J4" s="973" t="s">
        <v>1533</v>
      </c>
      <c r="K4" s="973" t="s">
        <v>2728</v>
      </c>
      <c r="L4" s="973" t="s">
        <v>1935</v>
      </c>
    </row>
    <row r="5" spans="1:16">
      <c r="A5" s="87">
        <v>5</v>
      </c>
      <c r="B5" s="1044">
        <v>4</v>
      </c>
      <c r="C5" s="87">
        <v>8</v>
      </c>
      <c r="D5" s="618">
        <v>5</v>
      </c>
      <c r="F5" t="str">
        <f>A3</f>
        <v>MD</v>
      </c>
      <c r="G5" s="1041"/>
      <c r="H5">
        <f>AVERAGE(A4:A15)</f>
        <v>4.4545454545454541</v>
      </c>
      <c r="I5">
        <f>COUNT(A4:A15)</f>
        <v>11</v>
      </c>
      <c r="J5">
        <f>VAR(A4:A15)</f>
        <v>2.8727272727272721</v>
      </c>
      <c r="K5">
        <f>G5^2*J5/I5</f>
        <v>0</v>
      </c>
      <c r="L5">
        <f>G5*H5</f>
        <v>0</v>
      </c>
    </row>
    <row r="6" spans="1:16">
      <c r="A6" s="87">
        <v>6</v>
      </c>
      <c r="B6" s="1044">
        <v>3</v>
      </c>
      <c r="C6" s="87">
        <v>6</v>
      </c>
      <c r="D6" s="618">
        <v>3</v>
      </c>
      <c r="F6" t="str">
        <f>B3</f>
        <v>MC</v>
      </c>
      <c r="G6" s="1041"/>
      <c r="H6">
        <f>AVERAGE(B4:B15)</f>
        <v>3.1666666666666665</v>
      </c>
      <c r="I6">
        <f>COUNT(B4:B15)</f>
        <v>12</v>
      </c>
      <c r="J6">
        <f>VAR(B4:B15)</f>
        <v>2.6969696969696972</v>
      </c>
      <c r="K6">
        <f>G6^2*J6/I6</f>
        <v>0</v>
      </c>
      <c r="L6">
        <f>G6*H6</f>
        <v>0</v>
      </c>
    </row>
    <row r="7" spans="1:16">
      <c r="A7" s="87">
        <v>1</v>
      </c>
      <c r="B7" s="1044">
        <v>5</v>
      </c>
      <c r="C7" s="87">
        <v>4</v>
      </c>
      <c r="D7" s="618">
        <v>7</v>
      </c>
      <c r="F7" t="str">
        <f>C3</f>
        <v>WD</v>
      </c>
      <c r="G7" s="1041">
        <v>1</v>
      </c>
      <c r="H7">
        <f>AVERAGE(C4:C15)</f>
        <v>6.1111111111111107</v>
      </c>
      <c r="I7">
        <f>COUNT(C4:C15)</f>
        <v>9</v>
      </c>
      <c r="J7">
        <f>VAR(C4:C15)</f>
        <v>1.8611111111111143</v>
      </c>
      <c r="K7">
        <f>G7^2*J7/I7</f>
        <v>0.20679012345679049</v>
      </c>
      <c r="L7">
        <f>G7*H7</f>
        <v>6.1111111111111107</v>
      </c>
    </row>
    <row r="8" spans="1:16">
      <c r="A8" s="87">
        <v>5</v>
      </c>
      <c r="B8" s="1044">
        <v>1</v>
      </c>
      <c r="C8" s="87">
        <v>7</v>
      </c>
      <c r="D8" s="618">
        <v>6</v>
      </c>
      <c r="F8" t="str">
        <f>D3</f>
        <v>WC</v>
      </c>
      <c r="G8" s="1041">
        <v>-1</v>
      </c>
      <c r="H8">
        <f>AVERAGE(D4:D15)</f>
        <v>4.0999999999999996</v>
      </c>
      <c r="I8">
        <f>COUNT(D4:D15)</f>
        <v>10</v>
      </c>
      <c r="J8">
        <f>VAR(D4:D15)</f>
        <v>2.7666666666666675</v>
      </c>
      <c r="K8">
        <f>G8^2*J8/I8</f>
        <v>0.27666666666666673</v>
      </c>
      <c r="L8">
        <f>G8*H8</f>
        <v>-4.0999999999999996</v>
      </c>
    </row>
    <row r="9" spans="1:16">
      <c r="A9" s="87">
        <v>6</v>
      </c>
      <c r="B9" s="1044">
        <v>5</v>
      </c>
      <c r="C9" s="87">
        <v>8</v>
      </c>
      <c r="D9" s="618">
        <v>3</v>
      </c>
      <c r="F9" s="5"/>
      <c r="G9" s="5"/>
      <c r="H9" s="5"/>
      <c r="I9" s="5"/>
      <c r="J9" s="5"/>
      <c r="K9" s="5">
        <f>SUM(K5:K8)</f>
        <v>0.48345679012345721</v>
      </c>
      <c r="L9" s="5">
        <f>SUM(L5:L8)</f>
        <v>2.0111111111111111</v>
      </c>
    </row>
    <row r="10" spans="1:16" ht="15" thickBot="1">
      <c r="A10" s="87">
        <v>4</v>
      </c>
      <c r="B10" s="1044">
        <v>2</v>
      </c>
      <c r="C10" s="87">
        <v>5</v>
      </c>
      <c r="D10" s="618">
        <v>2</v>
      </c>
      <c r="F10" t="s">
        <v>2764</v>
      </c>
      <c r="O10" t="s">
        <v>2729</v>
      </c>
    </row>
    <row r="11" spans="1:16" ht="15" thickTop="1">
      <c r="A11" s="87">
        <v>3</v>
      </c>
      <c r="B11" s="1044">
        <v>3</v>
      </c>
      <c r="C11" s="87">
        <v>6</v>
      </c>
      <c r="D11" s="618">
        <v>2</v>
      </c>
      <c r="F11" s="973" t="s">
        <v>1469</v>
      </c>
      <c r="G11" s="973" t="s">
        <v>264</v>
      </c>
      <c r="H11" s="973" t="s">
        <v>186</v>
      </c>
      <c r="I11" s="973" t="s">
        <v>955</v>
      </c>
      <c r="J11" s="973" t="s">
        <v>201</v>
      </c>
      <c r="K11" s="973" t="s">
        <v>103</v>
      </c>
      <c r="L11" s="973" t="s">
        <v>104</v>
      </c>
    </row>
    <row r="12" spans="1:16">
      <c r="A12" s="87">
        <v>7</v>
      </c>
      <c r="B12" s="1044">
        <v>6</v>
      </c>
      <c r="C12" s="87">
        <v>6</v>
      </c>
      <c r="D12" s="618">
        <v>4</v>
      </c>
      <c r="F12" s="821">
        <f>SQRT(K9/2)</f>
        <v>0.49165881977416881</v>
      </c>
      <c r="G12" s="821">
        <f>L9/F12</f>
        <v>4.0904607630853951</v>
      </c>
      <c r="H12" s="821">
        <f>K9^2/SUMPRODUCT(K5:K8^2,1/(I5:I8-1))</f>
        <v>16.875593026779523</v>
      </c>
      <c r="I12" s="821" t="e">
        <f ca="1">[1]!QCRIT(COUNT(I5:I8),H12,L3,2)</f>
        <v>#NAME?</v>
      </c>
      <c r="J12" s="821" t="e">
        <f ca="1">L9-F12*I12</f>
        <v>#NAME?</v>
      </c>
      <c r="K12" s="821" t="e">
        <f ca="1">L9+F12*I12</f>
        <v>#NAME?</v>
      </c>
      <c r="L12" s="1055" t="e">
        <f ca="1">IF(ABS(G12)&gt;I12,"yes","no")</f>
        <v>#NAME?</v>
      </c>
      <c r="O12" t="s">
        <v>186</v>
      </c>
      <c r="P12" s="756" t="e">
        <f ca="1">[1]!DF_POOLED(C4:C15,D4:D15)</f>
        <v>#NAME?</v>
      </c>
    </row>
    <row r="13" spans="1:16">
      <c r="A13" s="87">
        <v>4</v>
      </c>
      <c r="B13" s="1044">
        <v>2</v>
      </c>
      <c r="C13" s="87"/>
      <c r="D13" s="618">
        <v>5</v>
      </c>
    </row>
    <row r="14" spans="1:16">
      <c r="A14" s="87">
        <v>5</v>
      </c>
      <c r="B14" s="1044">
        <v>4</v>
      </c>
      <c r="C14" s="87"/>
      <c r="D14" s="618"/>
    </row>
    <row r="15" spans="1:16">
      <c r="A15" s="560"/>
      <c r="B15" s="1043">
        <v>1</v>
      </c>
      <c r="C15" s="560"/>
      <c r="D15" s="536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sheetPr codeName="Sheet106"/>
  <dimension ref="A1:AB22"/>
  <sheetViews>
    <sheetView workbookViewId="0"/>
  </sheetViews>
  <sheetFormatPr defaultRowHeight="14.4"/>
  <cols>
    <col min="1" max="4" width="7.109375" customWidth="1"/>
    <col min="5" max="5" width="5.109375" customWidth="1"/>
    <col min="6" max="6" width="17.109375" customWidth="1"/>
    <col min="7" max="12" width="8.33203125" customWidth="1"/>
    <col min="13" max="13" width="9.5546875" customWidth="1"/>
    <col min="14" max="14" width="15.44140625" customWidth="1"/>
    <col min="22" max="22" width="17" customWidth="1"/>
  </cols>
  <sheetData>
    <row r="1" spans="1:28">
      <c r="A1" s="1" t="s">
        <v>969</v>
      </c>
    </row>
    <row r="3" spans="1:28">
      <c r="A3" s="1556" t="s">
        <v>725</v>
      </c>
      <c r="B3" s="1556"/>
      <c r="C3" s="1556" t="s">
        <v>726</v>
      </c>
      <c r="D3" s="1556"/>
      <c r="E3" s="117"/>
      <c r="F3" t="s">
        <v>885</v>
      </c>
      <c r="M3" s="117"/>
      <c r="N3" t="s">
        <v>964</v>
      </c>
      <c r="V3" t="s">
        <v>3193</v>
      </c>
    </row>
    <row r="4" spans="1:28" ht="15" thickBot="1">
      <c r="A4" s="330" t="s">
        <v>240</v>
      </c>
      <c r="B4" s="331" t="s">
        <v>239</v>
      </c>
      <c r="C4" s="330" t="s">
        <v>240</v>
      </c>
      <c r="D4" s="332" t="s">
        <v>239</v>
      </c>
      <c r="E4" s="117"/>
      <c r="M4" s="117"/>
      <c r="N4" s="117"/>
      <c r="O4" s="117"/>
      <c r="P4" s="117"/>
    </row>
    <row r="5" spans="1:28" ht="15" thickBot="1">
      <c r="A5" s="333">
        <v>3</v>
      </c>
      <c r="B5" s="334">
        <v>2</v>
      </c>
      <c r="C5" s="333">
        <v>5</v>
      </c>
      <c r="D5" s="335">
        <v>4</v>
      </c>
      <c r="E5" s="117"/>
      <c r="F5" t="s">
        <v>194</v>
      </c>
      <c r="M5" s="117"/>
      <c r="N5" s="313" t="s">
        <v>222</v>
      </c>
      <c r="O5" s="313" t="s">
        <v>76</v>
      </c>
      <c r="Q5" s="65" t="s">
        <v>169</v>
      </c>
      <c r="R5" s="345">
        <v>4</v>
      </c>
      <c r="S5" s="346">
        <v>4</v>
      </c>
      <c r="T5" s="347">
        <v>4</v>
      </c>
      <c r="V5" t="s">
        <v>964</v>
      </c>
    </row>
    <row r="6" spans="1:28" ht="15" thickBot="1">
      <c r="A6" s="87">
        <v>5</v>
      </c>
      <c r="B6" s="117">
        <v>4</v>
      </c>
      <c r="C6" s="87">
        <v>8</v>
      </c>
      <c r="D6" s="88">
        <v>5</v>
      </c>
      <c r="E6" s="117"/>
      <c r="F6" s="313" t="s">
        <v>222</v>
      </c>
      <c r="G6" s="313" t="s">
        <v>88</v>
      </c>
      <c r="H6" s="313" t="s">
        <v>87</v>
      </c>
      <c r="I6" s="313" t="s">
        <v>886</v>
      </c>
      <c r="J6" s="313" t="s">
        <v>223</v>
      </c>
      <c r="M6" s="117"/>
      <c r="N6" s="28" t="s">
        <v>944</v>
      </c>
      <c r="O6" s="28">
        <v>5.583333333333333</v>
      </c>
      <c r="Q6" t="s">
        <v>325</v>
      </c>
      <c r="R6" s="7">
        <v>4</v>
      </c>
      <c r="S6" s="8">
        <f>R6-1</f>
        <v>3</v>
      </c>
      <c r="T6" s="9">
        <f>S6-1</f>
        <v>2</v>
      </c>
      <c r="V6" s="1180"/>
      <c r="W6" s="1180"/>
      <c r="X6" s="1180"/>
    </row>
    <row r="7" spans="1:28">
      <c r="A7" s="87">
        <v>6</v>
      </c>
      <c r="B7" s="117">
        <v>3</v>
      </c>
      <c r="C7" s="87">
        <v>6</v>
      </c>
      <c r="D7" s="88">
        <v>3</v>
      </c>
      <c r="E7" s="117"/>
      <c r="F7" s="28" t="s">
        <v>942</v>
      </c>
      <c r="G7" s="28">
        <v>12</v>
      </c>
      <c r="H7" s="28">
        <v>51</v>
      </c>
      <c r="I7" s="28">
        <v>4.25</v>
      </c>
      <c r="J7" s="28">
        <v>3.1136363636363638</v>
      </c>
      <c r="M7" s="117"/>
      <c r="N7" s="28" t="s">
        <v>942</v>
      </c>
      <c r="O7" s="28">
        <v>4.25</v>
      </c>
      <c r="Q7" s="65" t="s">
        <v>157</v>
      </c>
      <c r="R7" s="345">
        <v>0.05</v>
      </c>
      <c r="S7" s="346">
        <v>0.05</v>
      </c>
      <c r="T7" s="347">
        <v>0.05</v>
      </c>
      <c r="V7" s="1181" t="s">
        <v>222</v>
      </c>
      <c r="W7" s="1181" t="s">
        <v>76</v>
      </c>
      <c r="Y7" s="65" t="s">
        <v>169</v>
      </c>
      <c r="Z7" s="345">
        <v>4</v>
      </c>
      <c r="AA7" s="346">
        <v>4</v>
      </c>
      <c r="AB7" s="347">
        <v>4</v>
      </c>
    </row>
    <row r="8" spans="1:28" ht="15.6">
      <c r="A8" s="87">
        <v>1</v>
      </c>
      <c r="B8" s="117">
        <v>5</v>
      </c>
      <c r="C8" s="87">
        <v>4</v>
      </c>
      <c r="D8" s="88">
        <v>7</v>
      </c>
      <c r="E8" s="117"/>
      <c r="F8" s="28" t="s">
        <v>943</v>
      </c>
      <c r="G8" s="28">
        <v>12</v>
      </c>
      <c r="H8" s="28">
        <v>38</v>
      </c>
      <c r="I8" s="28">
        <v>3.1666666666666665</v>
      </c>
      <c r="J8" s="28">
        <v>2.6969696969696972</v>
      </c>
      <c r="M8" s="117"/>
      <c r="N8" s="28" t="s">
        <v>945</v>
      </c>
      <c r="O8" s="28">
        <v>3.8333333333333335</v>
      </c>
      <c r="Q8" s="65" t="s">
        <v>981</v>
      </c>
      <c r="R8" s="234">
        <f>IF(R6&lt;R5-1,1-(1-R7)^(R6/R5),R7)</f>
        <v>0.05</v>
      </c>
      <c r="S8" s="235">
        <f>IF(S6&lt;S5-1,1-(1-S7)^(S6/S5),S7)</f>
        <v>0.05</v>
      </c>
      <c r="T8" s="236">
        <f>IF(T6&lt;T5-1,1-(1-T7)^(T6/T5),T7)</f>
        <v>2.5320565519103666E-2</v>
      </c>
      <c r="V8" s="28" t="s">
        <v>944</v>
      </c>
      <c r="W8" s="28">
        <v>5.583333333333333</v>
      </c>
      <c r="Y8" t="s">
        <v>325</v>
      </c>
      <c r="Z8" s="7">
        <v>4</v>
      </c>
      <c r="AA8" s="8">
        <f>Z8-1</f>
        <v>3</v>
      </c>
      <c r="AB8" s="9">
        <f>AA8-1</f>
        <v>2</v>
      </c>
    </row>
    <row r="9" spans="1:28" ht="15" thickBot="1">
      <c r="A9" s="87">
        <v>5</v>
      </c>
      <c r="B9" s="117">
        <v>1</v>
      </c>
      <c r="C9" s="87">
        <v>7</v>
      </c>
      <c r="D9" s="88">
        <v>6</v>
      </c>
      <c r="E9" s="117"/>
      <c r="F9" s="28" t="s">
        <v>944</v>
      </c>
      <c r="G9" s="28">
        <v>12</v>
      </c>
      <c r="H9" s="28">
        <v>67</v>
      </c>
      <c r="I9" s="28">
        <v>5.583333333333333</v>
      </c>
      <c r="J9" s="28">
        <v>2.4469696969696986</v>
      </c>
      <c r="M9" s="117"/>
      <c r="N9" s="31" t="s">
        <v>943</v>
      </c>
      <c r="O9" s="31">
        <v>3.1666666666666665</v>
      </c>
      <c r="Q9" s="65" t="s">
        <v>186</v>
      </c>
      <c r="R9" s="353">
        <f>H16</f>
        <v>44</v>
      </c>
      <c r="S9" s="354">
        <f>R9</f>
        <v>44</v>
      </c>
      <c r="T9" s="355">
        <f>S9</f>
        <v>44</v>
      </c>
      <c r="V9" s="28" t="s">
        <v>942</v>
      </c>
      <c r="W9" s="28">
        <v>4.25</v>
      </c>
      <c r="Y9" s="65" t="s">
        <v>157</v>
      </c>
      <c r="Z9" s="345">
        <v>0.05</v>
      </c>
      <c r="AA9" s="346">
        <v>0.05</v>
      </c>
      <c r="AB9" s="347">
        <v>0.05</v>
      </c>
    </row>
    <row r="10" spans="1:28" ht="16.2" thickBot="1">
      <c r="A10" s="87">
        <v>6</v>
      </c>
      <c r="B10" s="117">
        <v>5</v>
      </c>
      <c r="C10" s="87">
        <v>8</v>
      </c>
      <c r="D10" s="88">
        <v>3</v>
      </c>
      <c r="E10" s="117"/>
      <c r="F10" s="31" t="s">
        <v>945</v>
      </c>
      <c r="G10" s="31">
        <v>12</v>
      </c>
      <c r="H10" s="31">
        <v>46</v>
      </c>
      <c r="I10" s="31">
        <v>3.8333333333333335</v>
      </c>
      <c r="J10" s="31">
        <v>2.6969696969696959</v>
      </c>
      <c r="M10" s="117"/>
      <c r="P10" s="19" t="s">
        <v>978</v>
      </c>
      <c r="Q10" s="351">
        <v>2.5000000000000001E-2</v>
      </c>
      <c r="R10" s="7"/>
      <c r="S10" s="8"/>
      <c r="T10" s="9">
        <f>0.75*'Stud. Q Table 2'!B58+0.25*'Stud. Q Table 2'!B59</f>
        <v>3.2832499999999998</v>
      </c>
      <c r="V10" s="28" t="s">
        <v>945</v>
      </c>
      <c r="W10" s="28">
        <v>3.8333333333333335</v>
      </c>
      <c r="Y10" s="65" t="s">
        <v>981</v>
      </c>
      <c r="Z10" s="234">
        <f>IF(Z8&lt;Z7-1,1-(1-Z9)^(Z8/Z7),Z9)</f>
        <v>0.05</v>
      </c>
      <c r="AA10" s="235">
        <f>IF(AA8&lt;AA7-1,1-(1-AA9)^(AA8/AA7),AA9)</f>
        <v>0.05</v>
      </c>
      <c r="AB10" s="236">
        <f>IF(AB8&lt;AB7-1,1-(1-AB9)^(AB8/AB7),AB9)</f>
        <v>2.5320565519103666E-2</v>
      </c>
    </row>
    <row r="11" spans="1:28" ht="15" thickBot="1">
      <c r="A11" s="87">
        <v>4</v>
      </c>
      <c r="B11" s="117">
        <v>2</v>
      </c>
      <c r="C11" s="87">
        <v>5</v>
      </c>
      <c r="D11" s="88">
        <v>2</v>
      </c>
      <c r="E11" s="117"/>
      <c r="P11" s="19" t="s">
        <v>978</v>
      </c>
      <c r="Q11" s="351">
        <v>0.05</v>
      </c>
      <c r="R11" s="234">
        <f>('Stud. Q Table'!D95+'Stud. Q Table'!D96)/2</f>
        <v>3.7774999999999999</v>
      </c>
      <c r="S11" s="235">
        <f>('Stud. Q Table'!C95+'Stud. Q Table'!C96)/2</f>
        <v>3.431</v>
      </c>
      <c r="T11" s="236">
        <f>('Stud. Q Table'!B95+'Stud. Q Table'!B96)/2</f>
        <v>2.8505000000000003</v>
      </c>
      <c r="V11" s="31" t="s">
        <v>943</v>
      </c>
      <c r="W11" s="31">
        <v>3.1666666666666665</v>
      </c>
      <c r="Y11" s="65" t="s">
        <v>186</v>
      </c>
      <c r="Z11" s="353">
        <f>H16</f>
        <v>44</v>
      </c>
      <c r="AA11" s="354">
        <f>Z11</f>
        <v>44</v>
      </c>
      <c r="AB11" s="355">
        <f>AA11</f>
        <v>44</v>
      </c>
    </row>
    <row r="12" spans="1:28">
      <c r="A12" s="87">
        <v>3</v>
      </c>
      <c r="B12" s="117">
        <v>3</v>
      </c>
      <c r="C12" s="87">
        <v>6</v>
      </c>
      <c r="D12" s="88">
        <v>2</v>
      </c>
      <c r="E12" s="117"/>
      <c r="Q12" t="s">
        <v>955</v>
      </c>
      <c r="R12" s="7">
        <f>R11</f>
        <v>3.7774999999999999</v>
      </c>
      <c r="S12" s="8">
        <f>S11</f>
        <v>3.431</v>
      </c>
      <c r="T12" s="9">
        <f>T10+(T8-Q10)*(T11-T10)/(Q11-Q10)</f>
        <v>3.2777010108643152</v>
      </c>
      <c r="Y12" t="s">
        <v>955</v>
      </c>
      <c r="Z12" s="1067" t="e">
        <f ca="1">[1]!QINV(Z10,Z8,Z11)</f>
        <v>#NAME?</v>
      </c>
      <c r="AA12" s="1068" t="e">
        <f ca="1">[1]!QINV(AA10,AA8,AA11)</f>
        <v>#NAME?</v>
      </c>
      <c r="AB12" s="1071" t="e">
        <f ca="1">[1]!QINV(AB10,AB8,AB11)</f>
        <v>#NAME?</v>
      </c>
    </row>
    <row r="13" spans="1:28" ht="15" thickBot="1">
      <c r="A13" s="87">
        <v>7</v>
      </c>
      <c r="B13" s="117">
        <v>6</v>
      </c>
      <c r="C13" s="87">
        <v>6</v>
      </c>
      <c r="D13" s="88">
        <v>4</v>
      </c>
      <c r="E13" s="117"/>
      <c r="F13" t="s">
        <v>695</v>
      </c>
      <c r="Q13" t="s">
        <v>979</v>
      </c>
      <c r="R13" s="234">
        <f>R12*SQRT($I$16/$G$7)</f>
        <v>1.8046003414280396</v>
      </c>
      <c r="S13" s="235">
        <f>S12*SQRT($I$16/$G$7)</f>
        <v>1.6390691651726284</v>
      </c>
      <c r="T13" s="236">
        <f>T12*SQRT($I$16/$G$7)</f>
        <v>1.565834642833825</v>
      </c>
      <c r="Y13" t="s">
        <v>979</v>
      </c>
      <c r="Z13" s="533" t="e">
        <f ca="1">Z12*SQRT($I$16/$G$7)</f>
        <v>#NAME?</v>
      </c>
      <c r="AA13" s="1078" t="e">
        <f ca="1">AA12*SQRT($I$16/$G$7)</f>
        <v>#NAME?</v>
      </c>
      <c r="AB13" s="541" t="e">
        <f ca="1">AB12*SQRT($I$16/$G$7)</f>
        <v>#NAME?</v>
      </c>
    </row>
    <row r="14" spans="1:28">
      <c r="A14" s="87">
        <v>4</v>
      </c>
      <c r="B14" s="117">
        <v>2</v>
      </c>
      <c r="C14" s="87">
        <v>3</v>
      </c>
      <c r="D14" s="88">
        <v>5</v>
      </c>
      <c r="E14" s="117"/>
      <c r="F14" s="313" t="s">
        <v>887</v>
      </c>
      <c r="G14" s="313" t="s">
        <v>578</v>
      </c>
      <c r="H14" s="313" t="s">
        <v>186</v>
      </c>
      <c r="I14" s="313" t="s">
        <v>641</v>
      </c>
      <c r="J14" s="313" t="s">
        <v>388</v>
      </c>
      <c r="K14" s="313" t="s">
        <v>367</v>
      </c>
      <c r="L14" s="313" t="s">
        <v>888</v>
      </c>
    </row>
    <row r="15" spans="1:28">
      <c r="A15" s="87">
        <v>5</v>
      </c>
      <c r="B15" s="117">
        <v>4</v>
      </c>
      <c r="C15" s="87">
        <v>4</v>
      </c>
      <c r="D15" s="88">
        <v>2</v>
      </c>
      <c r="E15" s="117"/>
      <c r="F15" s="28" t="s">
        <v>883</v>
      </c>
      <c r="G15" s="28">
        <v>37.416666666666714</v>
      </c>
      <c r="H15" s="28">
        <v>3</v>
      </c>
      <c r="I15" s="28">
        <v>12.472222222222237</v>
      </c>
      <c r="J15" s="28">
        <v>4.554172429691107</v>
      </c>
      <c r="K15" s="28">
        <v>7.2835322244351394E-3</v>
      </c>
      <c r="L15" s="28">
        <v>2.8164658165656813</v>
      </c>
      <c r="N15" t="s">
        <v>965</v>
      </c>
      <c r="O15" s="345">
        <v>1</v>
      </c>
      <c r="P15" s="346">
        <v>1</v>
      </c>
      <c r="Q15" s="346">
        <v>2</v>
      </c>
      <c r="R15" s="346">
        <v>1</v>
      </c>
      <c r="S15" s="346">
        <v>2</v>
      </c>
      <c r="T15" s="347">
        <v>3</v>
      </c>
      <c r="V15" t="s">
        <v>965</v>
      </c>
      <c r="W15" s="345">
        <v>1</v>
      </c>
      <c r="X15" s="346">
        <v>1</v>
      </c>
      <c r="Y15" s="346">
        <v>2</v>
      </c>
      <c r="Z15" s="346">
        <v>1</v>
      </c>
      <c r="AA15" s="346">
        <v>2</v>
      </c>
      <c r="AB15" s="347">
        <v>3</v>
      </c>
    </row>
    <row r="16" spans="1:28">
      <c r="A16" s="281">
        <v>2</v>
      </c>
      <c r="B16" s="314">
        <v>1</v>
      </c>
      <c r="C16" s="281">
        <v>5</v>
      </c>
      <c r="D16" s="282">
        <v>3</v>
      </c>
      <c r="E16" s="117"/>
      <c r="F16" s="28" t="s">
        <v>884</v>
      </c>
      <c r="G16" s="28">
        <v>120.5</v>
      </c>
      <c r="H16" s="28">
        <v>44</v>
      </c>
      <c r="I16" s="28">
        <v>2.7386363636363638</v>
      </c>
      <c r="J16" s="28"/>
      <c r="K16" s="28"/>
      <c r="L16" s="28"/>
      <c r="N16" t="s">
        <v>966</v>
      </c>
      <c r="O16" s="7">
        <v>4</v>
      </c>
      <c r="P16" s="8">
        <v>3</v>
      </c>
      <c r="Q16" s="8">
        <v>4</v>
      </c>
      <c r="R16" s="8">
        <v>2</v>
      </c>
      <c r="S16" s="8">
        <v>3</v>
      </c>
      <c r="T16" s="9">
        <v>4</v>
      </c>
      <c r="V16" t="s">
        <v>966</v>
      </c>
      <c r="W16" s="7">
        <v>4</v>
      </c>
      <c r="X16" s="8">
        <v>3</v>
      </c>
      <c r="Y16" s="8">
        <v>4</v>
      </c>
      <c r="Z16" s="8">
        <v>2</v>
      </c>
      <c r="AA16" s="8">
        <v>3</v>
      </c>
      <c r="AB16" s="9">
        <v>4</v>
      </c>
    </row>
    <row r="17" spans="6:28">
      <c r="F17" s="28"/>
      <c r="G17" s="28"/>
      <c r="H17" s="28"/>
      <c r="I17" s="28"/>
      <c r="J17" s="28"/>
      <c r="K17" s="28"/>
      <c r="L17" s="28"/>
      <c r="N17" t="s">
        <v>325</v>
      </c>
      <c r="O17" s="7">
        <f t="shared" ref="O17:T17" si="0">O16-O15+1</f>
        <v>4</v>
      </c>
      <c r="P17" s="8">
        <f t="shared" si="0"/>
        <v>3</v>
      </c>
      <c r="Q17" s="8">
        <f t="shared" si="0"/>
        <v>3</v>
      </c>
      <c r="R17" s="8">
        <f t="shared" si="0"/>
        <v>2</v>
      </c>
      <c r="S17" s="8">
        <f t="shared" si="0"/>
        <v>2</v>
      </c>
      <c r="T17" s="9">
        <f t="shared" si="0"/>
        <v>2</v>
      </c>
      <c r="V17" t="s">
        <v>325</v>
      </c>
      <c r="W17" s="7">
        <f t="shared" ref="W17:AB17" si="1">W16-W15+1</f>
        <v>4</v>
      </c>
      <c r="X17" s="8">
        <f t="shared" si="1"/>
        <v>3</v>
      </c>
      <c r="Y17" s="8">
        <f t="shared" si="1"/>
        <v>3</v>
      </c>
      <c r="Z17" s="8">
        <f t="shared" si="1"/>
        <v>2</v>
      </c>
      <c r="AA17" s="8">
        <f t="shared" si="1"/>
        <v>2</v>
      </c>
      <c r="AB17" s="9">
        <f t="shared" si="1"/>
        <v>2</v>
      </c>
    </row>
    <row r="18" spans="6:28" ht="15" thickBot="1">
      <c r="F18" s="31" t="s">
        <v>12</v>
      </c>
      <c r="G18" s="31">
        <v>157.91666666666671</v>
      </c>
      <c r="H18" s="31">
        <v>47</v>
      </c>
      <c r="I18" s="31"/>
      <c r="J18" s="31"/>
      <c r="K18" s="31"/>
      <c r="L18" s="31"/>
      <c r="N18" s="25" t="s">
        <v>967</v>
      </c>
      <c r="O18" s="345">
        <f t="shared" ref="O18:T19" si="2">INDEX($O$6:$O$9,O15)</f>
        <v>5.583333333333333</v>
      </c>
      <c r="P18" s="346">
        <f t="shared" si="2"/>
        <v>5.583333333333333</v>
      </c>
      <c r="Q18" s="346">
        <f t="shared" si="2"/>
        <v>4.25</v>
      </c>
      <c r="R18" s="346">
        <f t="shared" si="2"/>
        <v>5.583333333333333</v>
      </c>
      <c r="S18" s="346">
        <f t="shared" si="2"/>
        <v>4.25</v>
      </c>
      <c r="T18" s="347">
        <f t="shared" si="2"/>
        <v>3.8333333333333335</v>
      </c>
      <c r="V18" s="25" t="s">
        <v>967</v>
      </c>
      <c r="W18" s="1067">
        <f t="shared" ref="W18:AB19" si="3">INDEX($W$8:$W$11,W15)</f>
        <v>5.583333333333333</v>
      </c>
      <c r="X18" s="1068">
        <f t="shared" si="3"/>
        <v>5.583333333333333</v>
      </c>
      <c r="Y18" s="1068">
        <f t="shared" si="3"/>
        <v>4.25</v>
      </c>
      <c r="Z18" s="1068">
        <f t="shared" si="3"/>
        <v>5.583333333333333</v>
      </c>
      <c r="AA18" s="1068">
        <f t="shared" si="3"/>
        <v>4.25</v>
      </c>
      <c r="AB18" s="1071">
        <f t="shared" si="3"/>
        <v>3.8333333333333335</v>
      </c>
    </row>
    <row r="19" spans="6:28">
      <c r="N19" s="25" t="s">
        <v>968</v>
      </c>
      <c r="O19" s="234">
        <f t="shared" si="2"/>
        <v>3.1666666666666665</v>
      </c>
      <c r="P19" s="235">
        <f t="shared" si="2"/>
        <v>3.8333333333333335</v>
      </c>
      <c r="Q19" s="235">
        <f t="shared" si="2"/>
        <v>3.1666666666666665</v>
      </c>
      <c r="R19" s="235">
        <f t="shared" si="2"/>
        <v>4.25</v>
      </c>
      <c r="S19" s="235">
        <f t="shared" si="2"/>
        <v>3.8333333333333335</v>
      </c>
      <c r="T19" s="236">
        <f t="shared" si="2"/>
        <v>3.1666666666666665</v>
      </c>
      <c r="V19" s="25" t="s">
        <v>968</v>
      </c>
      <c r="W19" s="656">
        <f t="shared" si="3"/>
        <v>3.1666666666666665</v>
      </c>
      <c r="X19" s="8">
        <f t="shared" si="3"/>
        <v>3.8333333333333335</v>
      </c>
      <c r="Y19" s="8">
        <f t="shared" si="3"/>
        <v>3.1666666666666665</v>
      </c>
      <c r="Z19" s="8">
        <f t="shared" si="3"/>
        <v>4.25</v>
      </c>
      <c r="AA19" s="8">
        <f t="shared" si="3"/>
        <v>3.8333333333333335</v>
      </c>
      <c r="AB19" s="657">
        <f t="shared" si="3"/>
        <v>3.1666666666666665</v>
      </c>
    </row>
    <row r="20" spans="6:28">
      <c r="N20" s="25" t="s">
        <v>970</v>
      </c>
      <c r="O20" s="7">
        <f t="shared" ref="O20:T20" si="4">O18-O19</f>
        <v>2.4166666666666665</v>
      </c>
      <c r="P20" s="8">
        <f t="shared" si="4"/>
        <v>1.7499999999999996</v>
      </c>
      <c r="Q20" s="8">
        <f t="shared" si="4"/>
        <v>1.0833333333333335</v>
      </c>
      <c r="R20" s="8">
        <f t="shared" si="4"/>
        <v>1.333333333333333</v>
      </c>
      <c r="S20" s="8">
        <f t="shared" si="4"/>
        <v>0.41666666666666652</v>
      </c>
      <c r="T20" s="9">
        <f t="shared" si="4"/>
        <v>0.66666666666666696</v>
      </c>
      <c r="V20" s="25" t="s">
        <v>970</v>
      </c>
      <c r="W20" s="1067">
        <f t="shared" ref="W20:AB20" si="5">W18-W19</f>
        <v>2.4166666666666665</v>
      </c>
      <c r="X20" s="1068">
        <f t="shared" si="5"/>
        <v>1.7499999999999996</v>
      </c>
      <c r="Y20" s="1068">
        <f t="shared" si="5"/>
        <v>1.0833333333333335</v>
      </c>
      <c r="Z20" s="1068">
        <f t="shared" si="5"/>
        <v>1.333333333333333</v>
      </c>
      <c r="AA20" s="1068">
        <f t="shared" si="5"/>
        <v>0.41666666666666652</v>
      </c>
      <c r="AB20" s="1071">
        <f t="shared" si="5"/>
        <v>0.66666666666666696</v>
      </c>
    </row>
    <row r="21" spans="6:28">
      <c r="N21" s="25" t="s">
        <v>979</v>
      </c>
      <c r="O21" s="7">
        <f t="shared" ref="O21:T21" si="6">INDEX($R$13:$T$13,5-O17)</f>
        <v>1.8046003414280396</v>
      </c>
      <c r="P21" s="8">
        <f t="shared" si="6"/>
        <v>1.6390691651726284</v>
      </c>
      <c r="Q21" s="8">
        <f t="shared" si="6"/>
        <v>1.6390691651726284</v>
      </c>
      <c r="R21" s="8">
        <f t="shared" si="6"/>
        <v>1.565834642833825</v>
      </c>
      <c r="S21" s="8">
        <f t="shared" si="6"/>
        <v>1.565834642833825</v>
      </c>
      <c r="T21" s="9">
        <f t="shared" si="6"/>
        <v>1.565834642833825</v>
      </c>
      <c r="V21" s="25" t="s">
        <v>979</v>
      </c>
      <c r="W21" s="533" t="e">
        <f t="shared" ref="W21:AB21" ca="1" si="7">INDEX($Z$13:$AB$13,5-W17)</f>
        <v>#NAME?</v>
      </c>
      <c r="X21" s="1078" t="e">
        <f t="shared" ca="1" si="7"/>
        <v>#NAME?</v>
      </c>
      <c r="Y21" s="1078" t="e">
        <f t="shared" ca="1" si="7"/>
        <v>#NAME?</v>
      </c>
      <c r="Z21" s="1078" t="e">
        <f t="shared" ca="1" si="7"/>
        <v>#NAME?</v>
      </c>
      <c r="AA21" s="1078" t="e">
        <f t="shared" ca="1" si="7"/>
        <v>#NAME?</v>
      </c>
      <c r="AB21" s="541" t="e">
        <f t="shared" ca="1" si="7"/>
        <v>#NAME?</v>
      </c>
    </row>
    <row r="22" spans="6:28">
      <c r="N22" t="s">
        <v>948</v>
      </c>
      <c r="O22" s="349" t="str">
        <f t="shared" ref="O22:T22" si="8">IF(O20&gt;=O21,"Yes","No")</f>
        <v>Yes</v>
      </c>
      <c r="P22" s="356" t="str">
        <f t="shared" si="8"/>
        <v>Yes</v>
      </c>
      <c r="Q22" s="356" t="str">
        <f t="shared" si="8"/>
        <v>No</v>
      </c>
      <c r="R22" s="356" t="str">
        <f t="shared" si="8"/>
        <v>No</v>
      </c>
      <c r="S22" s="356" t="str">
        <f t="shared" si="8"/>
        <v>No</v>
      </c>
      <c r="T22" s="350" t="str">
        <f t="shared" si="8"/>
        <v>No</v>
      </c>
      <c r="V22" t="s">
        <v>948</v>
      </c>
      <c r="W22" s="349" t="e">
        <f t="shared" ref="W22:AB22" ca="1" si="9">IF(W20&gt;=W21,"Yes","No")</f>
        <v>#NAME?</v>
      </c>
      <c r="X22" s="356" t="e">
        <f t="shared" ca="1" si="9"/>
        <v>#NAME?</v>
      </c>
      <c r="Y22" s="356" t="e">
        <f t="shared" ca="1" si="9"/>
        <v>#NAME?</v>
      </c>
      <c r="Z22" s="356" t="e">
        <f t="shared" ca="1" si="9"/>
        <v>#NAME?</v>
      </c>
      <c r="AA22" s="356" t="e">
        <f t="shared" ca="1" si="9"/>
        <v>#NAME?</v>
      </c>
      <c r="AB22" s="350" t="e">
        <f t="shared" ca="1" si="9"/>
        <v>#NAME?</v>
      </c>
    </row>
  </sheetData>
  <sortState ref="N6:P9">
    <sortCondition descending="1" ref="P6:P9"/>
  </sortState>
  <mergeCells count="2">
    <mergeCell ref="A3:B3"/>
    <mergeCell ref="C3:D3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sheetPr codeName="Sheet113"/>
  <dimension ref="A1:U30"/>
  <sheetViews>
    <sheetView workbookViewId="0"/>
  </sheetViews>
  <sheetFormatPr defaultRowHeight="14.4"/>
  <cols>
    <col min="5" max="5" width="4.5546875" customWidth="1"/>
    <col min="6" max="6" width="16.33203125" customWidth="1"/>
    <col min="7" max="7" width="8" customWidth="1"/>
    <col min="8" max="8" width="7.44140625" customWidth="1"/>
    <col min="9" max="12" width="9.88671875" customWidth="1"/>
    <col min="13" max="13" width="6.6640625" customWidth="1"/>
    <col min="14" max="14" width="9.44140625" customWidth="1"/>
    <col min="15" max="15" width="7.6640625" customWidth="1"/>
    <col min="17" max="17" width="7.5546875" customWidth="1"/>
  </cols>
  <sheetData>
    <row r="1" spans="1:20">
      <c r="A1" s="1" t="s">
        <v>982</v>
      </c>
    </row>
    <row r="2" spans="1:20">
      <c r="A2" s="117"/>
      <c r="B2" s="117"/>
    </row>
    <row r="3" spans="1:20" ht="15" thickBot="1">
      <c r="A3" s="279" t="s">
        <v>139</v>
      </c>
      <c r="B3" s="279" t="s">
        <v>140</v>
      </c>
      <c r="C3" s="279" t="s">
        <v>150</v>
      </c>
      <c r="D3" s="279" t="s">
        <v>151</v>
      </c>
      <c r="F3" t="s">
        <v>878</v>
      </c>
      <c r="N3" t="s">
        <v>977</v>
      </c>
      <c r="R3" s="327" t="s">
        <v>116</v>
      </c>
      <c r="S3" s="327">
        <v>0.05</v>
      </c>
    </row>
    <row r="4" spans="1:20" ht="15" thickTop="1">
      <c r="A4" s="279">
        <v>51</v>
      </c>
      <c r="B4" s="279">
        <v>82</v>
      </c>
      <c r="C4" s="279">
        <v>79</v>
      </c>
      <c r="D4" s="279">
        <v>85</v>
      </c>
      <c r="N4" s="76" t="s">
        <v>222</v>
      </c>
      <c r="O4" s="76" t="s">
        <v>143</v>
      </c>
      <c r="P4" s="76" t="s">
        <v>63</v>
      </c>
      <c r="Q4" s="76" t="s">
        <v>106</v>
      </c>
      <c r="R4" s="76" t="s">
        <v>929</v>
      </c>
      <c r="S4" s="76" t="s">
        <v>931</v>
      </c>
    </row>
    <row r="5" spans="1:20" ht="15" thickBot="1">
      <c r="A5" s="117">
        <v>87</v>
      </c>
      <c r="B5" s="117">
        <v>91</v>
      </c>
      <c r="C5" s="117">
        <v>84</v>
      </c>
      <c r="D5" s="117">
        <v>80</v>
      </c>
      <c r="F5" t="s">
        <v>879</v>
      </c>
      <c r="N5" t="s">
        <v>139</v>
      </c>
      <c r="O5">
        <v>-0.5</v>
      </c>
      <c r="P5">
        <f>I7</f>
        <v>61.285714285714285</v>
      </c>
      <c r="Q5">
        <f>G7</f>
        <v>7</v>
      </c>
      <c r="R5">
        <f>O5^2/Q5</f>
        <v>3.5714285714285712E-2</v>
      </c>
      <c r="S5">
        <f>O5*P5</f>
        <v>-30.642857142857142</v>
      </c>
    </row>
    <row r="6" spans="1:20" ht="15" thickTop="1">
      <c r="A6" s="117">
        <v>50</v>
      </c>
      <c r="B6" s="117">
        <v>92</v>
      </c>
      <c r="C6" s="117">
        <v>74</v>
      </c>
      <c r="D6" s="117">
        <v>65</v>
      </c>
      <c r="F6" s="76" t="s">
        <v>222</v>
      </c>
      <c r="G6" s="76" t="s">
        <v>88</v>
      </c>
      <c r="H6" s="76" t="s">
        <v>87</v>
      </c>
      <c r="I6" s="76" t="s">
        <v>76</v>
      </c>
      <c r="J6" s="76" t="s">
        <v>223</v>
      </c>
      <c r="K6" s="76" t="s">
        <v>578</v>
      </c>
      <c r="N6" t="s">
        <v>140</v>
      </c>
      <c r="O6">
        <v>-0.5</v>
      </c>
      <c r="P6">
        <f>I8</f>
        <v>77.875</v>
      </c>
      <c r="Q6">
        <f>G8</f>
        <v>8</v>
      </c>
      <c r="R6">
        <f>O6^2/Q6</f>
        <v>3.125E-2</v>
      </c>
      <c r="S6">
        <f>O6*P6</f>
        <v>-38.9375</v>
      </c>
    </row>
    <row r="7" spans="1:20">
      <c r="A7" s="117">
        <v>48</v>
      </c>
      <c r="B7" s="117">
        <v>80</v>
      </c>
      <c r="C7" s="117">
        <v>98</v>
      </c>
      <c r="D7" s="117">
        <v>71</v>
      </c>
      <c r="F7" t="s">
        <v>139</v>
      </c>
      <c r="G7">
        <f>COUNT(A4:A11)</f>
        <v>7</v>
      </c>
      <c r="H7">
        <f>SUM(A4:A11)</f>
        <v>429</v>
      </c>
      <c r="I7">
        <f>AVERAGE(A4:A11)</f>
        <v>61.285714285714285</v>
      </c>
      <c r="J7">
        <f>VAR(A4:A11)</f>
        <v>242.23809523809541</v>
      </c>
      <c r="K7">
        <f>DEVSQ(A4:A11)</f>
        <v>1453.4285714285713</v>
      </c>
      <c r="N7" t="s">
        <v>150</v>
      </c>
    </row>
    <row r="8" spans="1:20">
      <c r="A8" s="117">
        <v>79</v>
      </c>
      <c r="B8" s="117">
        <v>52</v>
      </c>
      <c r="C8" s="117">
        <v>63</v>
      </c>
      <c r="D8" s="117">
        <v>67</v>
      </c>
      <c r="F8" t="s">
        <v>140</v>
      </c>
      <c r="G8">
        <f>COUNT(B4:B11)</f>
        <v>8</v>
      </c>
      <c r="H8">
        <f>SUM(B4:B11)</f>
        <v>623</v>
      </c>
      <c r="I8">
        <f>AVERAGE(B4:B11)</f>
        <v>77.875</v>
      </c>
      <c r="J8">
        <f>VAR(B4:B11)</f>
        <v>157.55357142857142</v>
      </c>
      <c r="K8">
        <f>DEVSQ(B4:B11)</f>
        <v>1102.875</v>
      </c>
      <c r="N8" t="s">
        <v>151</v>
      </c>
      <c r="O8" s="235">
        <v>1</v>
      </c>
      <c r="P8" s="235">
        <f>I10</f>
        <v>69.833333333333329</v>
      </c>
      <c r="Q8" s="235">
        <f>G10</f>
        <v>6</v>
      </c>
      <c r="R8" s="235">
        <f>O8^2/Q8</f>
        <v>0.16666666666666666</v>
      </c>
      <c r="S8" s="235">
        <f>O8*P8</f>
        <v>69.833333333333329</v>
      </c>
    </row>
    <row r="9" spans="1:20">
      <c r="A9" s="117">
        <v>61</v>
      </c>
      <c r="B9" s="117">
        <v>79</v>
      </c>
      <c r="C9" s="117">
        <v>83</v>
      </c>
      <c r="D9" s="117">
        <v>51</v>
      </c>
      <c r="F9" t="s">
        <v>150</v>
      </c>
      <c r="G9">
        <f>COUNT(C4:C11)</f>
        <v>8</v>
      </c>
      <c r="H9">
        <f>SUM(C4:C11)</f>
        <v>624</v>
      </c>
      <c r="I9">
        <f>AVERAGE(C4:C11)</f>
        <v>78</v>
      </c>
      <c r="J9">
        <f>VAR(C4:C11)</f>
        <v>164.57142857142858</v>
      </c>
      <c r="K9">
        <f>DEVSQ(C4:C11)</f>
        <v>1152</v>
      </c>
      <c r="N9" s="270"/>
      <c r="O9" s="8"/>
      <c r="P9" s="8"/>
      <c r="R9">
        <f>SUM(R5:R8)</f>
        <v>0.23363095238095238</v>
      </c>
      <c r="S9">
        <f>SUM(S5:S8)</f>
        <v>0.2529761904761898</v>
      </c>
    </row>
    <row r="10" spans="1:20" ht="15" thickBot="1">
      <c r="A10" s="117">
        <v>53</v>
      </c>
      <c r="B10" s="117">
        <v>73</v>
      </c>
      <c r="C10" s="117">
        <v>85</v>
      </c>
      <c r="D10" s="117"/>
      <c r="F10" t="s">
        <v>151</v>
      </c>
      <c r="G10">
        <f>COUNT(D4:D11)</f>
        <v>6</v>
      </c>
      <c r="H10">
        <f>SUM(D4:D11)</f>
        <v>419</v>
      </c>
      <c r="I10">
        <f>AVERAGE(D4:D11)</f>
        <v>69.833333333333329</v>
      </c>
      <c r="J10">
        <f>VAR(D4:D11)</f>
        <v>144.16666666666643</v>
      </c>
      <c r="K10">
        <f>DEVSQ(D4:D11)</f>
        <v>720.83333333333348</v>
      </c>
      <c r="N10" t="s">
        <v>986</v>
      </c>
    </row>
    <row r="11" spans="1:20" ht="15" thickTop="1">
      <c r="A11" s="328"/>
      <c r="B11" s="328">
        <v>74</v>
      </c>
      <c r="C11" s="328">
        <v>58</v>
      </c>
      <c r="D11" s="328"/>
      <c r="F11" s="270"/>
      <c r="G11" s="270"/>
      <c r="H11" s="270"/>
      <c r="I11" s="270"/>
      <c r="J11" s="270"/>
      <c r="K11" s="270"/>
      <c r="N11" s="76" t="s">
        <v>522</v>
      </c>
      <c r="O11" s="76" t="s">
        <v>264</v>
      </c>
      <c r="P11" s="76" t="s">
        <v>983</v>
      </c>
      <c r="Q11" s="76" t="s">
        <v>984</v>
      </c>
      <c r="R11" s="76" t="s">
        <v>985</v>
      </c>
      <c r="S11" s="76" t="s">
        <v>647</v>
      </c>
      <c r="T11" s="76" t="s">
        <v>948</v>
      </c>
    </row>
    <row r="12" spans="1:20" ht="15" thickBot="1">
      <c r="A12" s="117"/>
      <c r="B12" s="117"/>
      <c r="F12" t="s">
        <v>695</v>
      </c>
      <c r="I12" t="s">
        <v>116</v>
      </c>
      <c r="J12">
        <v>0.05</v>
      </c>
      <c r="N12" s="321">
        <f>SQRT($I$15*R9)</f>
        <v>6.4336101009779796</v>
      </c>
      <c r="O12" s="321">
        <f>S9/N12</f>
        <v>3.9321032282906704E-2</v>
      </c>
      <c r="P12" s="321">
        <f>O12^2</f>
        <v>1.5461435797933913E-3</v>
      </c>
      <c r="Q12" s="322">
        <f>H14</f>
        <v>3</v>
      </c>
      <c r="R12" s="322">
        <f>H15</f>
        <v>25</v>
      </c>
      <c r="S12" s="322">
        <f>Q12*FINV(S3,Q12,R12)</f>
        <v>8.9737227286498538</v>
      </c>
      <c r="T12" s="322" t="str">
        <f>IF(P12&gt;=S12,"yes","no")</f>
        <v>no</v>
      </c>
    </row>
    <row r="13" spans="1:20" ht="15" thickTop="1">
      <c r="A13" s="117"/>
      <c r="B13" s="117"/>
      <c r="F13" s="76" t="s">
        <v>880</v>
      </c>
      <c r="G13" s="76" t="s">
        <v>578</v>
      </c>
      <c r="H13" s="76" t="s">
        <v>186</v>
      </c>
      <c r="I13" s="76" t="s">
        <v>641</v>
      </c>
      <c r="J13" s="76" t="s">
        <v>388</v>
      </c>
      <c r="K13" s="76" t="s">
        <v>881</v>
      </c>
      <c r="L13" s="76" t="s">
        <v>882</v>
      </c>
    </row>
    <row r="14" spans="1:20">
      <c r="A14" s="117"/>
      <c r="B14" s="117"/>
      <c r="F14" t="s">
        <v>883</v>
      </c>
      <c r="G14">
        <f>G16-G15</f>
        <v>1394.1734400656824</v>
      </c>
      <c r="H14">
        <f>COUNTA(F7:F10)-1</f>
        <v>3</v>
      </c>
      <c r="I14">
        <f>G14/H14</f>
        <v>464.72448002189412</v>
      </c>
      <c r="J14">
        <f>I14/I15</f>
        <v>2.6231097052015611</v>
      </c>
      <c r="K14">
        <f>FDIST(J14,H14,H15)</f>
        <v>7.2760576413978123E-2</v>
      </c>
      <c r="L14">
        <f>FINV(J12,H14,H15)</f>
        <v>2.9912409095499513</v>
      </c>
    </row>
    <row r="15" spans="1:20">
      <c r="A15" s="117"/>
      <c r="B15" s="117"/>
      <c r="F15" t="s">
        <v>884</v>
      </c>
      <c r="G15">
        <f>SUM(K7:K10)</f>
        <v>4429.1369047619046</v>
      </c>
      <c r="H15">
        <f>H16-H14</f>
        <v>25</v>
      </c>
      <c r="I15">
        <f>G15/H15</f>
        <v>177.16547619047617</v>
      </c>
    </row>
    <row r="16" spans="1:20">
      <c r="A16" s="117"/>
      <c r="B16" s="117"/>
      <c r="F16" s="235" t="s">
        <v>12</v>
      </c>
      <c r="G16" s="235">
        <f>DEVSQ(A4:D11)</f>
        <v>5823.310344827587</v>
      </c>
      <c r="H16" s="235">
        <f>COUNT(A4:D11)-1</f>
        <v>28</v>
      </c>
      <c r="I16" s="235">
        <f>G16/H16</f>
        <v>207.97536945812811</v>
      </c>
      <c r="J16" s="235"/>
      <c r="K16" s="235"/>
      <c r="L16" s="235"/>
    </row>
    <row r="17" spans="1:21">
      <c r="A17" s="117"/>
      <c r="B17" s="117"/>
    </row>
    <row r="19" spans="1:21">
      <c r="I19" t="s">
        <v>211</v>
      </c>
      <c r="N19" t="s">
        <v>2116</v>
      </c>
    </row>
    <row r="21" spans="1:21" ht="15" thickBot="1">
      <c r="I21" s="279" t="s">
        <v>139</v>
      </c>
      <c r="J21" s="279" t="s">
        <v>140</v>
      </c>
      <c r="K21" s="279" t="s">
        <v>150</v>
      </c>
      <c r="L21" s="279" t="s">
        <v>151</v>
      </c>
      <c r="N21" t="s">
        <v>977</v>
      </c>
      <c r="S21" t="s">
        <v>116</v>
      </c>
      <c r="T21">
        <v>0.05</v>
      </c>
    </row>
    <row r="22" spans="1:21" ht="15" thickTop="1">
      <c r="I22" s="279">
        <v>51</v>
      </c>
      <c r="J22" s="279">
        <v>82</v>
      </c>
      <c r="K22" s="279">
        <v>79</v>
      </c>
      <c r="L22" s="279">
        <v>85</v>
      </c>
      <c r="N22" s="76" t="s">
        <v>222</v>
      </c>
      <c r="O22" s="76" t="s">
        <v>143</v>
      </c>
      <c r="P22" s="76" t="s">
        <v>63</v>
      </c>
      <c r="Q22" s="76" t="s">
        <v>106</v>
      </c>
      <c r="R22" s="76" t="s">
        <v>1934</v>
      </c>
      <c r="S22" s="76" t="s">
        <v>929</v>
      </c>
      <c r="T22" s="76" t="s">
        <v>1935</v>
      </c>
    </row>
    <row r="23" spans="1:21">
      <c r="I23" s="1036">
        <v>87</v>
      </c>
      <c r="J23" s="1036">
        <v>91</v>
      </c>
      <c r="K23" s="1036">
        <v>84</v>
      </c>
      <c r="L23" s="1036">
        <v>80</v>
      </c>
      <c r="N23" t="s">
        <v>139</v>
      </c>
      <c r="O23" s="1041">
        <v>-0.5</v>
      </c>
      <c r="P23">
        <f>AVERAGE(A4:A11)</f>
        <v>61.285714285714285</v>
      </c>
      <c r="Q23">
        <f>COUNT(A4:A11)</f>
        <v>7</v>
      </c>
      <c r="R23">
        <f>DEVSQ(A4:A11)</f>
        <v>1453.4285714285713</v>
      </c>
      <c r="S23">
        <f>O23^2/Q23</f>
        <v>3.5714285714285712E-2</v>
      </c>
      <c r="T23">
        <f>O23*P23</f>
        <v>-30.642857142857142</v>
      </c>
    </row>
    <row r="24" spans="1:21">
      <c r="I24" s="1036">
        <v>50</v>
      </c>
      <c r="J24" s="1036">
        <v>92</v>
      </c>
      <c r="K24" s="1036">
        <v>74</v>
      </c>
      <c r="L24" s="1036">
        <v>65</v>
      </c>
      <c r="N24" t="s">
        <v>140</v>
      </c>
      <c r="O24" s="1041">
        <v>-0.5</v>
      </c>
      <c r="P24">
        <f>AVERAGE(B4:B11)</f>
        <v>77.875</v>
      </c>
      <c r="Q24">
        <f>COUNT(B4:B11)</f>
        <v>8</v>
      </c>
      <c r="R24">
        <f>DEVSQ(B4:B11)</f>
        <v>1102.875</v>
      </c>
      <c r="S24">
        <f>O24^2/Q24</f>
        <v>3.125E-2</v>
      </c>
      <c r="T24">
        <f>O24*P24</f>
        <v>-38.9375</v>
      </c>
    </row>
    <row r="25" spans="1:21">
      <c r="I25" s="1036">
        <v>48</v>
      </c>
      <c r="J25" s="1036">
        <v>80</v>
      </c>
      <c r="K25" s="1036">
        <v>98</v>
      </c>
      <c r="L25" s="1036">
        <v>71</v>
      </c>
      <c r="N25" t="s">
        <v>150</v>
      </c>
      <c r="O25" s="1041"/>
      <c r="P25">
        <f>AVERAGE(C4:C11)</f>
        <v>78</v>
      </c>
      <c r="Q25">
        <f>COUNT(C4:C11)</f>
        <v>8</v>
      </c>
      <c r="R25">
        <f>DEVSQ(C4:C11)</f>
        <v>1152</v>
      </c>
      <c r="S25">
        <f>O25^2/Q25</f>
        <v>0</v>
      </c>
      <c r="T25">
        <f>O25*P25</f>
        <v>0</v>
      </c>
    </row>
    <row r="26" spans="1:21">
      <c r="I26" s="1036">
        <v>79</v>
      </c>
      <c r="J26" s="1036">
        <v>52</v>
      </c>
      <c r="K26" s="1036">
        <v>63</v>
      </c>
      <c r="L26" s="1036">
        <v>67</v>
      </c>
      <c r="N26" t="s">
        <v>151</v>
      </c>
      <c r="O26" s="1041">
        <v>1</v>
      </c>
      <c r="P26">
        <f>AVERAGE(D4:D11)</f>
        <v>69.833333333333329</v>
      </c>
      <c r="Q26">
        <f>COUNT(D4:D11)</f>
        <v>6</v>
      </c>
      <c r="R26">
        <f>DEVSQ(D4:D11)</f>
        <v>720.83333333333348</v>
      </c>
      <c r="S26">
        <f>O26^2/Q26</f>
        <v>0.16666666666666666</v>
      </c>
      <c r="T26">
        <f>O26*P26</f>
        <v>69.833333333333329</v>
      </c>
      <c r="U26" s="808"/>
    </row>
    <row r="27" spans="1:21">
      <c r="I27" s="1036">
        <v>61</v>
      </c>
      <c r="J27" s="1036">
        <v>79</v>
      </c>
      <c r="K27" s="1036">
        <v>83</v>
      </c>
      <c r="L27" s="1036">
        <v>51</v>
      </c>
      <c r="N27" s="666"/>
      <c r="O27" s="666"/>
      <c r="P27" s="666"/>
      <c r="Q27" s="666">
        <f>SUM(Q23:Q26)</f>
        <v>29</v>
      </c>
      <c r="R27" s="666">
        <f>SUM(R23:R26)</f>
        <v>4429.1369047619046</v>
      </c>
      <c r="S27" s="666">
        <f>SUM(S23:S26)</f>
        <v>0.23363095238095238</v>
      </c>
      <c r="T27" s="666">
        <f>SUM(T23:T26)</f>
        <v>0.2529761904761898</v>
      </c>
    </row>
    <row r="28" spans="1:21" ht="15" thickBot="1">
      <c r="I28" s="1036">
        <v>53</v>
      </c>
      <c r="J28" s="1036">
        <v>73</v>
      </c>
      <c r="K28" s="1036">
        <v>85</v>
      </c>
      <c r="L28" s="1036"/>
      <c r="N28" t="s">
        <v>1940</v>
      </c>
    </row>
    <row r="29" spans="1:21" ht="15" thickTop="1">
      <c r="I29" s="1037"/>
      <c r="J29" s="1037">
        <v>74</v>
      </c>
      <c r="K29" s="1037">
        <v>58</v>
      </c>
      <c r="L29" s="1037"/>
      <c r="N29" s="76" t="s">
        <v>1469</v>
      </c>
      <c r="O29" s="76" t="s">
        <v>264</v>
      </c>
      <c r="P29" s="76" t="s">
        <v>983</v>
      </c>
      <c r="Q29" s="76" t="s">
        <v>984</v>
      </c>
      <c r="R29" s="76" t="s">
        <v>985</v>
      </c>
      <c r="S29" s="76" t="s">
        <v>647</v>
      </c>
      <c r="T29" s="76" t="s">
        <v>948</v>
      </c>
    </row>
    <row r="30" spans="1:21">
      <c r="N30" s="823">
        <f>SQRT(S27*R27/R30)</f>
        <v>6.4336101009779805</v>
      </c>
      <c r="O30" s="823">
        <f>T27/N30</f>
        <v>3.9321032282906697E-2</v>
      </c>
      <c r="P30" s="823">
        <f>O30^2</f>
        <v>1.5461435797933906E-3</v>
      </c>
      <c r="Q30" s="824">
        <f>COUNT(Q23:Q26)-1</f>
        <v>3</v>
      </c>
      <c r="R30" s="824">
        <f>Q27-Q30-1</f>
        <v>25</v>
      </c>
      <c r="S30" s="823">
        <f>Q30*FINV(T21,Q30,R30)</f>
        <v>8.9737227286498538</v>
      </c>
      <c r="T30" s="824" t="str">
        <f>IF(P30&gt;=S30,"yes","no")</f>
        <v>no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sheetPr codeName="Sheet98"/>
  <dimension ref="A1:S82"/>
  <sheetViews>
    <sheetView topLeftCell="A27" zoomScale="95" zoomScaleNormal="95" workbookViewId="0">
      <selection activeCell="C42" sqref="C42"/>
    </sheetView>
  </sheetViews>
  <sheetFormatPr defaultRowHeight="14.4"/>
  <cols>
    <col min="1" max="1" width="6.33203125" customWidth="1"/>
    <col min="6" max="6" width="5.88671875" customWidth="1"/>
    <col min="7" max="7" width="16.6640625" customWidth="1"/>
    <col min="8" max="8" width="7.88671875" customWidth="1"/>
    <col min="9" max="9" width="6.5546875" customWidth="1"/>
    <col min="10" max="10" width="10.44140625" customWidth="1"/>
    <col min="12" max="12" width="8.44140625" customWidth="1"/>
    <col min="13" max="13" width="7.88671875" customWidth="1"/>
    <col min="15" max="15" width="15.88671875" customWidth="1"/>
  </cols>
  <sheetData>
    <row r="1" spans="1:19">
      <c r="A1" s="1" t="s">
        <v>911</v>
      </c>
    </row>
    <row r="2" spans="1:19">
      <c r="A2" s="1"/>
    </row>
    <row r="3" spans="1:19">
      <c r="A3" s="25" t="s">
        <v>1937</v>
      </c>
      <c r="G3" t="s">
        <v>885</v>
      </c>
      <c r="O3" t="s">
        <v>2112</v>
      </c>
      <c r="R3" t="s">
        <v>2765</v>
      </c>
    </row>
    <row r="5" spans="1:19" ht="15" thickBot="1">
      <c r="B5" s="279" t="s">
        <v>139</v>
      </c>
      <c r="C5" s="279" t="s">
        <v>140</v>
      </c>
      <c r="D5" s="279" t="s">
        <v>150</v>
      </c>
      <c r="E5" s="279" t="s">
        <v>151</v>
      </c>
      <c r="G5" t="s">
        <v>194</v>
      </c>
      <c r="O5" t="s">
        <v>2578</v>
      </c>
      <c r="P5" s="756" t="e">
        <f ca="1">[1]!Levene(B6:E13)</f>
        <v>#NAME?</v>
      </c>
      <c r="R5" t="s">
        <v>2766</v>
      </c>
      <c r="S5" s="19" t="s">
        <v>200</v>
      </c>
    </row>
    <row r="6" spans="1:19">
      <c r="B6" s="279">
        <v>51</v>
      </c>
      <c r="C6" s="279">
        <v>82</v>
      </c>
      <c r="D6" s="279">
        <v>79</v>
      </c>
      <c r="E6" s="279">
        <v>85</v>
      </c>
      <c r="G6" s="261" t="s">
        <v>222</v>
      </c>
      <c r="H6" s="261" t="s">
        <v>88</v>
      </c>
      <c r="I6" s="261" t="s">
        <v>87</v>
      </c>
      <c r="J6" s="261" t="s">
        <v>886</v>
      </c>
      <c r="K6" s="261" t="s">
        <v>223</v>
      </c>
      <c r="R6" t="s">
        <v>2767</v>
      </c>
      <c r="S6" s="1066" t="e">
        <f ca="1">[1]!Levene(B6:E13)</f>
        <v>#NAME?</v>
      </c>
    </row>
    <row r="7" spans="1:19">
      <c r="B7" s="117">
        <v>87</v>
      </c>
      <c r="C7" s="117">
        <v>91</v>
      </c>
      <c r="D7" s="117">
        <v>84</v>
      </c>
      <c r="E7" s="117">
        <v>80</v>
      </c>
      <c r="G7" s="28" t="s">
        <v>139</v>
      </c>
      <c r="H7" s="28">
        <v>8</v>
      </c>
      <c r="I7" s="28">
        <v>91.75</v>
      </c>
      <c r="J7" s="28">
        <v>11.46875</v>
      </c>
      <c r="K7" s="28">
        <v>63.9453125</v>
      </c>
      <c r="R7" t="s">
        <v>2768</v>
      </c>
      <c r="S7" s="946" t="e">
        <f ca="1">[1]!Levene(B6:E13,1)</f>
        <v>#NAME?</v>
      </c>
    </row>
    <row r="8" spans="1:19">
      <c r="B8" s="117">
        <v>50</v>
      </c>
      <c r="C8" s="117">
        <v>92</v>
      </c>
      <c r="D8" s="117">
        <v>74</v>
      </c>
      <c r="E8" s="117">
        <v>65</v>
      </c>
      <c r="G8" s="28" t="s">
        <v>140</v>
      </c>
      <c r="H8" s="28">
        <v>8</v>
      </c>
      <c r="I8" s="28">
        <v>69.25</v>
      </c>
      <c r="J8" s="28">
        <v>8.65625</v>
      </c>
      <c r="K8" s="28">
        <v>71.918526785714292</v>
      </c>
      <c r="R8" t="s">
        <v>2769</v>
      </c>
      <c r="S8" s="947" t="e">
        <f ca="1">[1]!Levene(B6:E13,-1)</f>
        <v>#NAME?</v>
      </c>
    </row>
    <row r="9" spans="1:19">
      <c r="B9" s="117">
        <v>48</v>
      </c>
      <c r="C9" s="117">
        <v>80</v>
      </c>
      <c r="D9" s="117">
        <v>98</v>
      </c>
      <c r="E9" s="117">
        <v>71</v>
      </c>
      <c r="G9" s="28" t="s">
        <v>150</v>
      </c>
      <c r="H9" s="28">
        <v>8</v>
      </c>
      <c r="I9" s="28">
        <v>78</v>
      </c>
      <c r="J9" s="28">
        <v>9.75</v>
      </c>
      <c r="K9" s="28">
        <v>55.928571428571431</v>
      </c>
    </row>
    <row r="10" spans="1:19" ht="15" thickBot="1">
      <c r="B10" s="117">
        <v>79</v>
      </c>
      <c r="C10" s="117">
        <v>52</v>
      </c>
      <c r="D10" s="117">
        <v>63</v>
      </c>
      <c r="E10" s="117">
        <v>67</v>
      </c>
      <c r="G10" s="31" t="s">
        <v>151</v>
      </c>
      <c r="H10" s="31">
        <v>8</v>
      </c>
      <c r="I10" s="31">
        <v>84.75</v>
      </c>
      <c r="J10" s="31">
        <v>10.59375</v>
      </c>
      <c r="K10" s="31">
        <v>53.293526785714285</v>
      </c>
    </row>
    <row r="11" spans="1:19">
      <c r="B11" s="117">
        <v>61</v>
      </c>
      <c r="C11" s="117">
        <v>79</v>
      </c>
      <c r="D11" s="117">
        <v>83</v>
      </c>
      <c r="E11" s="117">
        <v>51</v>
      </c>
    </row>
    <row r="12" spans="1:19">
      <c r="B12" s="117">
        <v>53</v>
      </c>
      <c r="C12" s="117">
        <v>73</v>
      </c>
      <c r="D12" s="117">
        <v>85</v>
      </c>
      <c r="E12" s="117">
        <v>63</v>
      </c>
    </row>
    <row r="13" spans="1:19" ht="15" thickBot="1">
      <c r="B13" s="288">
        <v>54</v>
      </c>
      <c r="C13" s="288">
        <v>74</v>
      </c>
      <c r="D13" s="288">
        <v>58</v>
      </c>
      <c r="E13" s="288">
        <v>93</v>
      </c>
      <c r="G13" t="s">
        <v>695</v>
      </c>
    </row>
    <row r="14" spans="1:19" ht="15.6">
      <c r="A14" s="310" t="s">
        <v>891</v>
      </c>
      <c r="B14" s="252">
        <f>AVERAGE(B6:B13)</f>
        <v>60.375</v>
      </c>
      <c r="C14" s="252">
        <f>AVERAGE(C6:C13)</f>
        <v>77.875</v>
      </c>
      <c r="D14" s="252">
        <f>AVERAGE(D6:D13)</f>
        <v>78</v>
      </c>
      <c r="E14" s="252">
        <f>AVERAGE(E6:E13)</f>
        <v>71.875</v>
      </c>
      <c r="G14" s="261" t="s">
        <v>887</v>
      </c>
      <c r="H14" s="261" t="s">
        <v>578</v>
      </c>
      <c r="I14" s="261" t="s">
        <v>186</v>
      </c>
      <c r="J14" s="261" t="s">
        <v>641</v>
      </c>
      <c r="K14" s="261" t="s">
        <v>388</v>
      </c>
      <c r="L14" s="261" t="s">
        <v>367</v>
      </c>
      <c r="M14" s="261" t="s">
        <v>888</v>
      </c>
    </row>
    <row r="15" spans="1:19" ht="16.8">
      <c r="A15" s="310" t="s">
        <v>912</v>
      </c>
      <c r="B15" s="288">
        <f>VAR(B6:B13)</f>
        <v>214.26785714285714</v>
      </c>
      <c r="C15" s="288">
        <f>VAR(C6:C13)</f>
        <v>157.55357142857142</v>
      </c>
      <c r="D15" s="288">
        <f>VAR(D6:D13)</f>
        <v>164.57142857142858</v>
      </c>
      <c r="E15" s="288">
        <f>VAR(E6:E13)</f>
        <v>181.55357142857142</v>
      </c>
      <c r="G15" s="28" t="s">
        <v>883</v>
      </c>
      <c r="H15" s="28">
        <v>34.583984375</v>
      </c>
      <c r="I15" s="28">
        <v>3</v>
      </c>
      <c r="J15" s="28">
        <v>11.527994791666666</v>
      </c>
      <c r="K15" s="28">
        <v>0.18814616471688289</v>
      </c>
      <c r="L15" s="28">
        <v>0.90357218992034294</v>
      </c>
      <c r="M15" s="28">
        <v>2.9466852660172647</v>
      </c>
    </row>
    <row r="16" spans="1:19">
      <c r="A16" s="310"/>
      <c r="G16" s="28" t="s">
        <v>884</v>
      </c>
      <c r="H16" s="28">
        <v>1715.6015625</v>
      </c>
      <c r="I16" s="28">
        <v>28</v>
      </c>
      <c r="J16" s="28">
        <v>61.271484375</v>
      </c>
      <c r="K16" s="28"/>
      <c r="L16" s="28"/>
      <c r="M16" s="28"/>
    </row>
    <row r="17" spans="1:16">
      <c r="A17" s="310"/>
      <c r="B17" t="s">
        <v>914</v>
      </c>
      <c r="G17" s="28"/>
      <c r="H17" s="28"/>
      <c r="I17" s="28"/>
      <c r="J17" s="28"/>
      <c r="K17" s="28"/>
      <c r="L17" s="28"/>
      <c r="M17" s="28"/>
    </row>
    <row r="18" spans="1:16" ht="15" thickBot="1">
      <c r="G18" s="31" t="s">
        <v>12</v>
      </c>
      <c r="H18" s="31">
        <v>1750.185546875</v>
      </c>
      <c r="I18" s="31">
        <v>31</v>
      </c>
      <c r="J18" s="31"/>
      <c r="K18" s="31"/>
      <c r="L18" s="31"/>
      <c r="M18" s="31"/>
    </row>
    <row r="19" spans="1:16">
      <c r="B19" s="279" t="s">
        <v>139</v>
      </c>
      <c r="C19" s="279" t="s">
        <v>140</v>
      </c>
      <c r="D19" s="279" t="s">
        <v>150</v>
      </c>
      <c r="E19" s="279" t="s">
        <v>151</v>
      </c>
    </row>
    <row r="20" spans="1:16">
      <c r="B20" s="311">
        <f t="shared" ref="B20:E27" si="0">IF(ISNUMBER(B6),ABS(B6-B$14),"")</f>
        <v>9.375</v>
      </c>
      <c r="C20" s="311">
        <f t="shared" si="0"/>
        <v>4.125</v>
      </c>
      <c r="D20" s="311">
        <f t="shared" si="0"/>
        <v>1</v>
      </c>
      <c r="E20" s="311">
        <f t="shared" si="0"/>
        <v>13.125</v>
      </c>
    </row>
    <row r="21" spans="1:16">
      <c r="B21" s="42">
        <f t="shared" si="0"/>
        <v>26.625</v>
      </c>
      <c r="C21" s="42">
        <f t="shared" si="0"/>
        <v>13.125</v>
      </c>
      <c r="D21" s="42">
        <f t="shared" si="0"/>
        <v>6</v>
      </c>
      <c r="E21" s="42">
        <f t="shared" si="0"/>
        <v>8.125</v>
      </c>
    </row>
    <row r="22" spans="1:16">
      <c r="B22" s="42">
        <f t="shared" si="0"/>
        <v>10.375</v>
      </c>
      <c r="C22" s="42">
        <f t="shared" si="0"/>
        <v>14.125</v>
      </c>
      <c r="D22" s="42">
        <f t="shared" si="0"/>
        <v>4</v>
      </c>
      <c r="E22" s="42">
        <f t="shared" si="0"/>
        <v>6.875</v>
      </c>
    </row>
    <row r="23" spans="1:16">
      <c r="B23" s="42">
        <f t="shared" si="0"/>
        <v>12.375</v>
      </c>
      <c r="C23" s="42">
        <f t="shared" si="0"/>
        <v>2.125</v>
      </c>
      <c r="D23" s="42">
        <f t="shared" si="0"/>
        <v>20</v>
      </c>
      <c r="E23" s="42">
        <f t="shared" si="0"/>
        <v>0.875</v>
      </c>
      <c r="F23" s="117"/>
      <c r="G23" s="117"/>
      <c r="H23" s="117"/>
      <c r="I23" s="117"/>
    </row>
    <row r="24" spans="1:16">
      <c r="B24" s="42">
        <f t="shared" si="0"/>
        <v>18.625</v>
      </c>
      <c r="C24" s="42">
        <f t="shared" si="0"/>
        <v>25.875</v>
      </c>
      <c r="D24" s="42">
        <f t="shared" si="0"/>
        <v>15</v>
      </c>
      <c r="E24" s="42">
        <f t="shared" si="0"/>
        <v>4.875</v>
      </c>
    </row>
    <row r="25" spans="1:16">
      <c r="B25" s="42">
        <f t="shared" si="0"/>
        <v>0.625</v>
      </c>
      <c r="C25" s="42">
        <f t="shared" si="0"/>
        <v>1.125</v>
      </c>
      <c r="D25" s="42">
        <f t="shared" si="0"/>
        <v>5</v>
      </c>
      <c r="E25" s="42">
        <f t="shared" si="0"/>
        <v>20.875</v>
      </c>
    </row>
    <row r="26" spans="1:16">
      <c r="B26" s="42">
        <f t="shared" si="0"/>
        <v>7.375</v>
      </c>
      <c r="C26" s="42">
        <f t="shared" si="0"/>
        <v>4.875</v>
      </c>
      <c r="D26" s="42">
        <f t="shared" si="0"/>
        <v>7</v>
      </c>
      <c r="E26" s="42">
        <f t="shared" si="0"/>
        <v>8.875</v>
      </c>
    </row>
    <row r="27" spans="1:16">
      <c r="B27" s="309">
        <f t="shared" si="0"/>
        <v>6.375</v>
      </c>
      <c r="C27" s="309">
        <f t="shared" si="0"/>
        <v>3.875</v>
      </c>
      <c r="D27" s="309">
        <f t="shared" si="0"/>
        <v>20</v>
      </c>
      <c r="E27" s="309">
        <f t="shared" si="0"/>
        <v>21.125</v>
      </c>
    </row>
    <row r="28" spans="1:16">
      <c r="B28" s="1093"/>
      <c r="C28" s="1093"/>
      <c r="D28" s="1093"/>
      <c r="E28" s="1093"/>
      <c r="F28" s="117"/>
      <c r="G28" s="117"/>
      <c r="H28" s="117"/>
      <c r="I28" s="117"/>
    </row>
    <row r="30" spans="1:16">
      <c r="A30" s="25" t="s">
        <v>1938</v>
      </c>
      <c r="G30" t="s">
        <v>885</v>
      </c>
      <c r="O30" t="s">
        <v>2112</v>
      </c>
    </row>
    <row r="32" spans="1:16" ht="15" thickBot="1">
      <c r="B32" s="279" t="s">
        <v>139</v>
      </c>
      <c r="C32" s="279" t="s">
        <v>140</v>
      </c>
      <c r="D32" s="279" t="s">
        <v>150</v>
      </c>
      <c r="E32" s="279" t="s">
        <v>151</v>
      </c>
      <c r="G32" t="s">
        <v>194</v>
      </c>
      <c r="O32" t="s">
        <v>2576</v>
      </c>
      <c r="P32" s="756" t="e">
        <f ca="1">[1]!Levene(B33:E40,1)</f>
        <v>#NAME?</v>
      </c>
    </row>
    <row r="33" spans="1:13">
      <c r="B33" s="279">
        <v>51</v>
      </c>
      <c r="C33" s="279">
        <v>82</v>
      </c>
      <c r="D33" s="279">
        <v>79</v>
      </c>
      <c r="E33" s="279">
        <v>85</v>
      </c>
      <c r="G33" s="960" t="s">
        <v>222</v>
      </c>
      <c r="H33" s="960" t="s">
        <v>88</v>
      </c>
      <c r="I33" s="960" t="s">
        <v>87</v>
      </c>
      <c r="J33" s="960" t="s">
        <v>886</v>
      </c>
      <c r="K33" s="960" t="s">
        <v>223</v>
      </c>
    </row>
    <row r="34" spans="1:13">
      <c r="B34" s="117">
        <v>87</v>
      </c>
      <c r="C34" s="117">
        <v>91</v>
      </c>
      <c r="D34" s="117">
        <v>84</v>
      </c>
      <c r="E34" s="117">
        <v>80</v>
      </c>
      <c r="G34" s="28" t="s">
        <v>139</v>
      </c>
      <c r="H34" s="28">
        <v>8</v>
      </c>
      <c r="I34" s="28">
        <v>79</v>
      </c>
      <c r="J34" s="28">
        <v>9.875</v>
      </c>
      <c r="K34" s="28">
        <v>156.83928571428572</v>
      </c>
    </row>
    <row r="35" spans="1:13">
      <c r="B35" s="117">
        <v>50</v>
      </c>
      <c r="C35" s="117">
        <v>92</v>
      </c>
      <c r="D35" s="117">
        <v>74</v>
      </c>
      <c r="E35" s="117">
        <v>65</v>
      </c>
      <c r="G35" s="28" t="s">
        <v>140</v>
      </c>
      <c r="H35" s="28">
        <v>8</v>
      </c>
      <c r="I35" s="28">
        <v>67</v>
      </c>
      <c r="J35" s="28">
        <v>8.375</v>
      </c>
      <c r="K35" s="28">
        <v>80.410714285714292</v>
      </c>
    </row>
    <row r="36" spans="1:13">
      <c r="B36" s="117">
        <v>48</v>
      </c>
      <c r="C36" s="117">
        <v>80</v>
      </c>
      <c r="D36" s="117">
        <v>98</v>
      </c>
      <c r="E36" s="117">
        <v>71</v>
      </c>
      <c r="G36" s="28" t="s">
        <v>150</v>
      </c>
      <c r="H36" s="28">
        <v>8</v>
      </c>
      <c r="I36" s="28">
        <v>76</v>
      </c>
      <c r="J36" s="28">
        <v>9.5</v>
      </c>
      <c r="K36" s="28">
        <v>71.714285714285708</v>
      </c>
    </row>
    <row r="37" spans="1:13" ht="15" thickBot="1">
      <c r="B37" s="117">
        <v>79</v>
      </c>
      <c r="C37" s="117">
        <v>52</v>
      </c>
      <c r="D37" s="117">
        <v>63</v>
      </c>
      <c r="E37" s="117">
        <v>67</v>
      </c>
      <c r="G37" s="31" t="s">
        <v>151</v>
      </c>
      <c r="H37" s="31">
        <v>8</v>
      </c>
      <c r="I37" s="31">
        <v>83</v>
      </c>
      <c r="J37" s="31">
        <v>10.375</v>
      </c>
      <c r="K37" s="31">
        <v>67.982142857142861</v>
      </c>
    </row>
    <row r="38" spans="1:13">
      <c r="B38" s="117">
        <v>61</v>
      </c>
      <c r="C38" s="117">
        <v>79</v>
      </c>
      <c r="D38" s="117">
        <v>83</v>
      </c>
      <c r="E38" s="117">
        <v>51</v>
      </c>
    </row>
    <row r="39" spans="1:13">
      <c r="B39" s="117">
        <v>53</v>
      </c>
      <c r="C39" s="117">
        <v>73</v>
      </c>
      <c r="D39" s="117">
        <v>85</v>
      </c>
      <c r="E39" s="117">
        <v>63</v>
      </c>
    </row>
    <row r="40" spans="1:13" ht="15" thickBot="1">
      <c r="B40" s="288">
        <v>54</v>
      </c>
      <c r="C40" s="288">
        <v>74</v>
      </c>
      <c r="D40" s="288">
        <v>58</v>
      </c>
      <c r="E40" s="288">
        <v>93</v>
      </c>
      <c r="G40" t="s">
        <v>695</v>
      </c>
    </row>
    <row r="41" spans="1:13">
      <c r="A41" s="318" t="s">
        <v>923</v>
      </c>
      <c r="B41" s="252">
        <f>MEDIAN(B33:B40)</f>
        <v>53.5</v>
      </c>
      <c r="C41" s="252">
        <f>MEDIAN(C33:C40)</f>
        <v>79.5</v>
      </c>
      <c r="D41" s="252">
        <f>MEDIAN(D33:D40)</f>
        <v>81</v>
      </c>
      <c r="E41" s="252">
        <f>MEDIAN(E33:E40)</f>
        <v>69</v>
      </c>
      <c r="G41" s="960" t="s">
        <v>887</v>
      </c>
      <c r="H41" s="960" t="s">
        <v>578</v>
      </c>
      <c r="I41" s="960" t="s">
        <v>186</v>
      </c>
      <c r="J41" s="960" t="s">
        <v>641</v>
      </c>
      <c r="K41" s="960" t="s">
        <v>388</v>
      </c>
      <c r="L41" s="960" t="s">
        <v>367</v>
      </c>
      <c r="M41" s="960" t="s">
        <v>888</v>
      </c>
    </row>
    <row r="42" spans="1:13" ht="16.8">
      <c r="A42" s="310" t="s">
        <v>912</v>
      </c>
      <c r="B42" s="288">
        <f>VAR(B33:B40)</f>
        <v>214.26785714285714</v>
      </c>
      <c r="C42" s="288">
        <f>VAR(C33:C40)</f>
        <v>157.55357142857142</v>
      </c>
      <c r="D42" s="288">
        <f>VAR(D33:D40)</f>
        <v>164.57142857142858</v>
      </c>
      <c r="E42" s="288">
        <f>VAR(E33:E40)</f>
        <v>181.55357142857142</v>
      </c>
      <c r="G42" s="28" t="s">
        <v>883</v>
      </c>
      <c r="H42" s="28">
        <v>17.34375</v>
      </c>
      <c r="I42" s="28">
        <v>3</v>
      </c>
      <c r="J42" s="28">
        <v>5.78125</v>
      </c>
      <c r="K42" s="28">
        <v>6.1348240087166613E-2</v>
      </c>
      <c r="L42" s="28">
        <v>0.97971219945513577</v>
      </c>
      <c r="M42" s="28">
        <v>2.9466852660172647</v>
      </c>
    </row>
    <row r="43" spans="1:13">
      <c r="A43" s="310"/>
      <c r="G43" s="28" t="s">
        <v>884</v>
      </c>
      <c r="H43" s="28">
        <v>2638.625</v>
      </c>
      <c r="I43" s="28">
        <v>28</v>
      </c>
      <c r="J43" s="28">
        <v>94.236607142857139</v>
      </c>
      <c r="K43" s="28"/>
      <c r="L43" s="28"/>
      <c r="M43" s="28"/>
    </row>
    <row r="44" spans="1:13">
      <c r="A44" s="310"/>
      <c r="B44" t="s">
        <v>914</v>
      </c>
      <c r="G44" s="28"/>
      <c r="H44" s="28"/>
      <c r="I44" s="28"/>
      <c r="J44" s="28"/>
      <c r="K44" s="28"/>
      <c r="L44" s="28"/>
      <c r="M44" s="28"/>
    </row>
    <row r="45" spans="1:13" ht="15" thickBot="1">
      <c r="G45" s="31" t="s">
        <v>12</v>
      </c>
      <c r="H45" s="31">
        <v>2655.96875</v>
      </c>
      <c r="I45" s="31">
        <v>31</v>
      </c>
      <c r="J45" s="31"/>
      <c r="K45" s="31"/>
      <c r="L45" s="31"/>
      <c r="M45" s="31"/>
    </row>
    <row r="46" spans="1:13">
      <c r="B46" s="279" t="s">
        <v>139</v>
      </c>
      <c r="C46" s="279" t="s">
        <v>140</v>
      </c>
      <c r="D46" s="279" t="s">
        <v>150</v>
      </c>
      <c r="E46" s="279" t="s">
        <v>151</v>
      </c>
    </row>
    <row r="47" spans="1:13">
      <c r="B47" s="315">
        <f t="shared" ref="B47:E54" si="1">ABS(B33-B$41)</f>
        <v>2.5</v>
      </c>
      <c r="C47" s="315">
        <f t="shared" si="1"/>
        <v>2.5</v>
      </c>
      <c r="D47" s="315">
        <f t="shared" si="1"/>
        <v>2</v>
      </c>
      <c r="E47" s="315">
        <f t="shared" si="1"/>
        <v>16</v>
      </c>
    </row>
    <row r="48" spans="1:13">
      <c r="B48" s="42">
        <f t="shared" si="1"/>
        <v>33.5</v>
      </c>
      <c r="C48" s="42">
        <f t="shared" si="1"/>
        <v>11.5</v>
      </c>
      <c r="D48" s="42">
        <f t="shared" si="1"/>
        <v>3</v>
      </c>
      <c r="E48" s="42">
        <f t="shared" si="1"/>
        <v>11</v>
      </c>
    </row>
    <row r="49" spans="1:16">
      <c r="B49" s="42">
        <f t="shared" si="1"/>
        <v>3.5</v>
      </c>
      <c r="C49" s="42">
        <f t="shared" si="1"/>
        <v>12.5</v>
      </c>
      <c r="D49" s="42">
        <f t="shared" si="1"/>
        <v>7</v>
      </c>
      <c r="E49" s="42">
        <f t="shared" si="1"/>
        <v>4</v>
      </c>
    </row>
    <row r="50" spans="1:16">
      <c r="B50" s="42">
        <f t="shared" si="1"/>
        <v>5.5</v>
      </c>
      <c r="C50" s="42">
        <f t="shared" si="1"/>
        <v>0.5</v>
      </c>
      <c r="D50" s="42">
        <f t="shared" si="1"/>
        <v>17</v>
      </c>
      <c r="E50" s="42">
        <f t="shared" si="1"/>
        <v>2</v>
      </c>
    </row>
    <row r="51" spans="1:16">
      <c r="B51" s="42">
        <f t="shared" si="1"/>
        <v>25.5</v>
      </c>
      <c r="C51" s="42">
        <f t="shared" si="1"/>
        <v>27.5</v>
      </c>
      <c r="D51" s="42">
        <f t="shared" si="1"/>
        <v>18</v>
      </c>
      <c r="E51" s="42">
        <f t="shared" si="1"/>
        <v>2</v>
      </c>
    </row>
    <row r="52" spans="1:16">
      <c r="B52" s="42">
        <f t="shared" si="1"/>
        <v>7.5</v>
      </c>
      <c r="C52" s="42">
        <f t="shared" si="1"/>
        <v>0.5</v>
      </c>
      <c r="D52" s="42">
        <f t="shared" si="1"/>
        <v>2</v>
      </c>
      <c r="E52" s="42">
        <f t="shared" si="1"/>
        <v>18</v>
      </c>
    </row>
    <row r="53" spans="1:16">
      <c r="B53" s="42">
        <f t="shared" si="1"/>
        <v>0.5</v>
      </c>
      <c r="C53" s="42">
        <f t="shared" si="1"/>
        <v>6.5</v>
      </c>
      <c r="D53" s="42">
        <f t="shared" si="1"/>
        <v>4</v>
      </c>
      <c r="E53" s="42">
        <f t="shared" si="1"/>
        <v>6</v>
      </c>
    </row>
    <row r="54" spans="1:16">
      <c r="B54" s="309">
        <f t="shared" si="1"/>
        <v>0.5</v>
      </c>
      <c r="C54" s="309">
        <f t="shared" si="1"/>
        <v>5.5</v>
      </c>
      <c r="D54" s="309">
        <f t="shared" si="1"/>
        <v>23</v>
      </c>
      <c r="E54" s="309">
        <f t="shared" si="1"/>
        <v>24</v>
      </c>
    </row>
    <row r="57" spans="1:16">
      <c r="A57" s="25" t="s">
        <v>2574</v>
      </c>
      <c r="G57" t="s">
        <v>885</v>
      </c>
      <c r="O57" t="s">
        <v>2112</v>
      </c>
    </row>
    <row r="59" spans="1:16" ht="15" thickBot="1">
      <c r="B59" s="279" t="s">
        <v>139</v>
      </c>
      <c r="C59" s="279" t="s">
        <v>140</v>
      </c>
      <c r="D59" s="279" t="s">
        <v>150</v>
      </c>
      <c r="E59" s="279" t="s">
        <v>151</v>
      </c>
      <c r="G59" t="s">
        <v>194</v>
      </c>
      <c r="O59" t="s">
        <v>2577</v>
      </c>
      <c r="P59" s="756" t="e">
        <f ca="1">[1]!Levene(B60:E67,-1)</f>
        <v>#NAME?</v>
      </c>
    </row>
    <row r="60" spans="1:16">
      <c r="B60" s="279">
        <v>51</v>
      </c>
      <c r="C60" s="279">
        <v>82</v>
      </c>
      <c r="D60" s="279">
        <v>79</v>
      </c>
      <c r="E60" s="279">
        <v>85</v>
      </c>
      <c r="G60" s="960" t="s">
        <v>222</v>
      </c>
      <c r="H60" s="960" t="s">
        <v>88</v>
      </c>
      <c r="I60" s="960" t="s">
        <v>87</v>
      </c>
      <c r="J60" s="960" t="s">
        <v>886</v>
      </c>
      <c r="K60" s="960" t="s">
        <v>223</v>
      </c>
    </row>
    <row r="61" spans="1:16">
      <c r="B61" s="958">
        <v>87</v>
      </c>
      <c r="C61" s="958">
        <v>91</v>
      </c>
      <c r="D61" s="958">
        <v>84</v>
      </c>
      <c r="E61" s="958">
        <v>80</v>
      </c>
      <c r="G61" s="28" t="s">
        <v>139</v>
      </c>
      <c r="H61" s="28">
        <v>8</v>
      </c>
      <c r="I61" s="28">
        <v>91.75</v>
      </c>
      <c r="J61" s="28">
        <v>11.46875</v>
      </c>
      <c r="K61" s="28">
        <v>63.9453125</v>
      </c>
    </row>
    <row r="62" spans="1:16">
      <c r="B62" s="958">
        <v>50</v>
      </c>
      <c r="C62" s="958">
        <v>92</v>
      </c>
      <c r="D62" s="958">
        <v>74</v>
      </c>
      <c r="E62" s="958">
        <v>65</v>
      </c>
      <c r="G62" s="28" t="s">
        <v>140</v>
      </c>
      <c r="H62" s="28">
        <v>8</v>
      </c>
      <c r="I62" s="28">
        <v>69.25</v>
      </c>
      <c r="J62" s="28">
        <v>8.65625</v>
      </c>
      <c r="K62" s="28">
        <v>71.918526785714292</v>
      </c>
    </row>
    <row r="63" spans="1:16">
      <c r="B63" s="958">
        <v>48</v>
      </c>
      <c r="C63" s="958">
        <v>80</v>
      </c>
      <c r="D63" s="958">
        <v>98</v>
      </c>
      <c r="E63" s="958">
        <v>71</v>
      </c>
      <c r="G63" s="28" t="s">
        <v>150</v>
      </c>
      <c r="H63" s="28">
        <v>8</v>
      </c>
      <c r="I63" s="28">
        <v>78</v>
      </c>
      <c r="J63" s="28">
        <v>9.75</v>
      </c>
      <c r="K63" s="28">
        <v>55.928571428571431</v>
      </c>
    </row>
    <row r="64" spans="1:16" ht="15" thickBot="1">
      <c r="B64" s="958">
        <v>79</v>
      </c>
      <c r="C64" s="958">
        <v>52</v>
      </c>
      <c r="D64" s="958">
        <v>63</v>
      </c>
      <c r="E64" s="958">
        <v>67</v>
      </c>
      <c r="G64" s="31" t="s">
        <v>151</v>
      </c>
      <c r="H64" s="31">
        <v>8</v>
      </c>
      <c r="I64" s="31">
        <v>84.75</v>
      </c>
      <c r="J64" s="31">
        <v>10.59375</v>
      </c>
      <c r="K64" s="31">
        <v>53.293526785714285</v>
      </c>
    </row>
    <row r="65" spans="1:13">
      <c r="B65" s="958">
        <v>61</v>
      </c>
      <c r="C65" s="958">
        <v>79</v>
      </c>
      <c r="D65" s="958">
        <v>83</v>
      </c>
      <c r="E65" s="958">
        <v>51</v>
      </c>
    </row>
    <row r="66" spans="1:13">
      <c r="B66" s="958">
        <v>53</v>
      </c>
      <c r="C66" s="958">
        <v>73</v>
      </c>
      <c r="D66" s="958">
        <v>85</v>
      </c>
      <c r="E66" s="958">
        <v>63</v>
      </c>
    </row>
    <row r="67" spans="1:13" ht="15" thickBot="1">
      <c r="B67" s="959">
        <v>54</v>
      </c>
      <c r="C67" s="959">
        <v>74</v>
      </c>
      <c r="D67" s="959">
        <v>58</v>
      </c>
      <c r="E67" s="959">
        <v>93</v>
      </c>
      <c r="G67" t="s">
        <v>695</v>
      </c>
    </row>
    <row r="68" spans="1:13" ht="15.6">
      <c r="A68" s="310" t="s">
        <v>2575</v>
      </c>
      <c r="B68" s="957">
        <f>TRIMMEAN(B60:B67,0.1)</f>
        <v>60.375</v>
      </c>
      <c r="C68" s="957">
        <f>TRIMMEAN(C60:C67,0.1)</f>
        <v>77.875</v>
      </c>
      <c r="D68" s="957">
        <f>TRIMMEAN(D60:D67,0.1)</f>
        <v>78</v>
      </c>
      <c r="E68" s="957">
        <f>TRIMMEAN(E60:E67,0.1)</f>
        <v>71.875</v>
      </c>
      <c r="G68" s="960" t="s">
        <v>887</v>
      </c>
      <c r="H68" s="960" t="s">
        <v>578</v>
      </c>
      <c r="I68" s="960" t="s">
        <v>186</v>
      </c>
      <c r="J68" s="960" t="s">
        <v>641</v>
      </c>
      <c r="K68" s="960" t="s">
        <v>388</v>
      </c>
      <c r="L68" s="960" t="s">
        <v>367</v>
      </c>
      <c r="M68" s="960" t="s">
        <v>888</v>
      </c>
    </row>
    <row r="69" spans="1:13" ht="16.8">
      <c r="A69" s="310" t="s">
        <v>912</v>
      </c>
      <c r="B69" s="959">
        <f>VAR(B60:B67)</f>
        <v>214.26785714285714</v>
      </c>
      <c r="C69" s="959">
        <f>VAR(C60:C67)</f>
        <v>157.55357142857142</v>
      </c>
      <c r="D69" s="959">
        <f>VAR(D60:D67)</f>
        <v>164.57142857142858</v>
      </c>
      <c r="E69" s="959">
        <f>VAR(E60:E67)</f>
        <v>181.55357142857142</v>
      </c>
      <c r="G69" s="28" t="s">
        <v>883</v>
      </c>
      <c r="H69" s="28">
        <v>34.583984375</v>
      </c>
      <c r="I69" s="28">
        <v>3</v>
      </c>
      <c r="J69" s="28">
        <v>11.527994791666666</v>
      </c>
      <c r="K69" s="28">
        <v>0.18814616471688289</v>
      </c>
      <c r="L69" s="28">
        <v>0.90357218992034294</v>
      </c>
      <c r="M69" s="28">
        <v>2.9466852660172647</v>
      </c>
    </row>
    <row r="70" spans="1:13">
      <c r="A70" s="310"/>
      <c r="G70" s="28" t="s">
        <v>884</v>
      </c>
      <c r="H70" s="28">
        <v>1715.6015625</v>
      </c>
      <c r="I70" s="28">
        <v>28</v>
      </c>
      <c r="J70" s="28">
        <v>61.271484375</v>
      </c>
      <c r="K70" s="28"/>
      <c r="L70" s="28"/>
      <c r="M70" s="28"/>
    </row>
    <row r="71" spans="1:13">
      <c r="A71" s="310"/>
      <c r="B71" t="s">
        <v>914</v>
      </c>
      <c r="G71" s="28"/>
      <c r="H71" s="28"/>
      <c r="I71" s="28"/>
      <c r="J71" s="28"/>
      <c r="K71" s="28"/>
      <c r="L71" s="28"/>
      <c r="M71" s="28"/>
    </row>
    <row r="72" spans="1:13" ht="15" thickBot="1">
      <c r="G72" s="31" t="s">
        <v>12</v>
      </c>
      <c r="H72" s="31">
        <v>1750.185546875</v>
      </c>
      <c r="I72" s="31">
        <v>31</v>
      </c>
      <c r="J72" s="31"/>
      <c r="K72" s="31"/>
      <c r="L72" s="31"/>
      <c r="M72" s="31"/>
    </row>
    <row r="73" spans="1:13">
      <c r="B73" s="279" t="s">
        <v>139</v>
      </c>
      <c r="C73" s="279" t="s">
        <v>140</v>
      </c>
      <c r="D73" s="279" t="s">
        <v>150</v>
      </c>
      <c r="E73" s="279" t="s">
        <v>151</v>
      </c>
    </row>
    <row r="74" spans="1:13">
      <c r="B74" s="315">
        <f t="shared" ref="B74:E81" si="2">ABS(B60-B$14)</f>
        <v>9.375</v>
      </c>
      <c r="C74" s="315">
        <f t="shared" si="2"/>
        <v>4.125</v>
      </c>
      <c r="D74" s="315">
        <f t="shared" si="2"/>
        <v>1</v>
      </c>
      <c r="E74" s="315">
        <f t="shared" si="2"/>
        <v>13.125</v>
      </c>
    </row>
    <row r="75" spans="1:13">
      <c r="B75" s="42">
        <f t="shared" si="2"/>
        <v>26.625</v>
      </c>
      <c r="C75" s="42">
        <f t="shared" si="2"/>
        <v>13.125</v>
      </c>
      <c r="D75" s="42">
        <f t="shared" si="2"/>
        <v>6</v>
      </c>
      <c r="E75" s="42">
        <f t="shared" si="2"/>
        <v>8.125</v>
      </c>
    </row>
    <row r="76" spans="1:13">
      <c r="B76" s="42">
        <f t="shared" si="2"/>
        <v>10.375</v>
      </c>
      <c r="C76" s="42">
        <f t="shared" si="2"/>
        <v>14.125</v>
      </c>
      <c r="D76" s="42">
        <f t="shared" si="2"/>
        <v>4</v>
      </c>
      <c r="E76" s="42">
        <f t="shared" si="2"/>
        <v>6.875</v>
      </c>
    </row>
    <row r="77" spans="1:13">
      <c r="B77" s="42">
        <f t="shared" si="2"/>
        <v>12.375</v>
      </c>
      <c r="C77" s="42">
        <f t="shared" si="2"/>
        <v>2.125</v>
      </c>
      <c r="D77" s="42">
        <f t="shared" si="2"/>
        <v>20</v>
      </c>
      <c r="E77" s="42">
        <f t="shared" si="2"/>
        <v>0.875</v>
      </c>
      <c r="F77" s="958"/>
      <c r="G77" s="958"/>
      <c r="H77" s="958"/>
      <c r="I77" s="958"/>
    </row>
    <row r="78" spans="1:13">
      <c r="B78" s="42">
        <f t="shared" si="2"/>
        <v>18.625</v>
      </c>
      <c r="C78" s="42">
        <f t="shared" si="2"/>
        <v>25.875</v>
      </c>
      <c r="D78" s="42">
        <f t="shared" si="2"/>
        <v>15</v>
      </c>
      <c r="E78" s="42">
        <f t="shared" si="2"/>
        <v>4.875</v>
      </c>
    </row>
    <row r="79" spans="1:13">
      <c r="B79" s="42">
        <f t="shared" si="2"/>
        <v>0.625</v>
      </c>
      <c r="C79" s="42">
        <f t="shared" si="2"/>
        <v>1.125</v>
      </c>
      <c r="D79" s="42">
        <f t="shared" si="2"/>
        <v>5</v>
      </c>
      <c r="E79" s="42">
        <f t="shared" si="2"/>
        <v>20.875</v>
      </c>
    </row>
    <row r="80" spans="1:13">
      <c r="B80" s="42">
        <f t="shared" si="2"/>
        <v>7.375</v>
      </c>
      <c r="C80" s="42">
        <f t="shared" si="2"/>
        <v>4.875</v>
      </c>
      <c r="D80" s="42">
        <f t="shared" si="2"/>
        <v>7</v>
      </c>
      <c r="E80" s="42">
        <f t="shared" si="2"/>
        <v>8.875</v>
      </c>
    </row>
    <row r="81" spans="2:9">
      <c r="B81" s="309">
        <f t="shared" si="2"/>
        <v>6.375</v>
      </c>
      <c r="C81" s="309">
        <f t="shared" si="2"/>
        <v>3.875</v>
      </c>
      <c r="D81" s="309">
        <f t="shared" si="2"/>
        <v>20</v>
      </c>
      <c r="E81" s="309">
        <f t="shared" si="2"/>
        <v>21.125</v>
      </c>
    </row>
    <row r="82" spans="2:9">
      <c r="F82" s="958"/>
      <c r="G82" s="958"/>
      <c r="H82" s="958"/>
      <c r="I82" s="958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sheetPr codeName="Sheet99"/>
  <dimension ref="A1:S28"/>
  <sheetViews>
    <sheetView workbookViewId="0"/>
  </sheetViews>
  <sheetFormatPr defaultRowHeight="14.4"/>
  <cols>
    <col min="1" max="1" width="6.33203125" customWidth="1"/>
    <col min="5" max="5" width="7.5546875" customWidth="1"/>
    <col min="9" max="9" width="7" customWidth="1"/>
    <col min="10" max="10" width="16.6640625" customWidth="1"/>
    <col min="12" max="12" width="7.88671875" customWidth="1"/>
    <col min="13" max="13" width="11" customWidth="1"/>
  </cols>
  <sheetData>
    <row r="1" spans="1:19">
      <c r="A1" s="1" t="s">
        <v>911</v>
      </c>
    </row>
    <row r="2" spans="1:19">
      <c r="A2" s="1"/>
    </row>
    <row r="3" spans="1:19">
      <c r="A3" s="1" t="s">
        <v>913</v>
      </c>
      <c r="F3" t="s">
        <v>914</v>
      </c>
      <c r="J3" t="s">
        <v>885</v>
      </c>
      <c r="R3" t="s">
        <v>2765</v>
      </c>
    </row>
    <row r="5" spans="1:19" ht="15" thickBot="1">
      <c r="B5" s="231" t="s">
        <v>874</v>
      </c>
      <c r="C5" s="231" t="s">
        <v>875</v>
      </c>
      <c r="D5" s="231" t="s">
        <v>876</v>
      </c>
      <c r="F5" s="279" t="s">
        <v>139</v>
      </c>
      <c r="G5" s="279" t="s">
        <v>140</v>
      </c>
      <c r="H5" s="279" t="s">
        <v>150</v>
      </c>
      <c r="J5" t="s">
        <v>194</v>
      </c>
      <c r="R5" t="s">
        <v>2766</v>
      </c>
      <c r="S5" s="19" t="s">
        <v>200</v>
      </c>
    </row>
    <row r="6" spans="1:19">
      <c r="B6" s="229">
        <v>13</v>
      </c>
      <c r="C6" s="229">
        <v>12</v>
      </c>
      <c r="D6" s="252">
        <v>7</v>
      </c>
      <c r="F6" s="316">
        <f>ABS(B6-B$16)</f>
        <v>2</v>
      </c>
      <c r="G6" s="316">
        <f>ABS(C6-C$16)</f>
        <v>0.90000000000000036</v>
      </c>
      <c r="H6" s="316">
        <f>ABS(D6-D$16)</f>
        <v>6.5</v>
      </c>
      <c r="J6" s="261" t="s">
        <v>222</v>
      </c>
      <c r="K6" s="261" t="s">
        <v>88</v>
      </c>
      <c r="L6" s="261" t="s">
        <v>87</v>
      </c>
      <c r="M6" s="261" t="s">
        <v>886</v>
      </c>
      <c r="N6" s="261" t="s">
        <v>223</v>
      </c>
      <c r="R6" t="s">
        <v>2767</v>
      </c>
      <c r="S6" s="1060" t="e">
        <f ca="1">[1]!Levene(B6:D15)</f>
        <v>#NAME?</v>
      </c>
    </row>
    <row r="7" spans="1:19">
      <c r="B7" s="117">
        <v>17</v>
      </c>
      <c r="C7" s="117">
        <v>8</v>
      </c>
      <c r="D7" s="252">
        <v>19</v>
      </c>
      <c r="F7" s="117">
        <f t="shared" ref="F7:F15" si="0">ABS(B7-B$16)</f>
        <v>2</v>
      </c>
      <c r="G7" s="117">
        <f t="shared" ref="G7:G15" si="1">ABS(C7-C$16)</f>
        <v>3.0999999999999996</v>
      </c>
      <c r="H7" s="117">
        <f t="shared" ref="H7:H15" si="2">ABS(D7-D$16)</f>
        <v>5.5</v>
      </c>
      <c r="J7" s="28" t="s">
        <v>139</v>
      </c>
      <c r="K7" s="28">
        <v>10</v>
      </c>
      <c r="L7" s="28">
        <v>30</v>
      </c>
      <c r="M7" s="28">
        <v>3</v>
      </c>
      <c r="N7" s="28">
        <v>3.3333333333333335</v>
      </c>
      <c r="R7" t="s">
        <v>2768</v>
      </c>
      <c r="S7" s="946" t="e">
        <f ca="1">[1]!Levene(B6:D15,1)</f>
        <v>#NAME?</v>
      </c>
    </row>
    <row r="8" spans="1:19">
      <c r="B8" s="117">
        <v>19</v>
      </c>
      <c r="C8" s="117">
        <v>6</v>
      </c>
      <c r="D8" s="252">
        <v>15</v>
      </c>
      <c r="F8" s="117">
        <f t="shared" si="0"/>
        <v>4</v>
      </c>
      <c r="G8" s="117">
        <f t="shared" si="1"/>
        <v>5.0999999999999996</v>
      </c>
      <c r="H8" s="117">
        <f t="shared" si="2"/>
        <v>1.5</v>
      </c>
      <c r="J8" s="28" t="s">
        <v>140</v>
      </c>
      <c r="K8" s="28">
        <v>10</v>
      </c>
      <c r="L8" s="28">
        <v>33</v>
      </c>
      <c r="M8" s="28">
        <v>3.3</v>
      </c>
      <c r="N8" s="28">
        <v>6.6666666666666634</v>
      </c>
      <c r="R8" t="s">
        <v>2769</v>
      </c>
      <c r="S8" s="947" t="e">
        <f ca="1">[1]!Levene(B6:D15,-1)</f>
        <v>#NAME?</v>
      </c>
    </row>
    <row r="9" spans="1:19" ht="15" thickBot="1">
      <c r="B9" s="117">
        <v>11</v>
      </c>
      <c r="C9" s="117">
        <v>16</v>
      </c>
      <c r="D9" s="252">
        <v>14</v>
      </c>
      <c r="F9" s="117">
        <f t="shared" si="0"/>
        <v>4</v>
      </c>
      <c r="G9" s="117">
        <f t="shared" si="1"/>
        <v>4.9000000000000004</v>
      </c>
      <c r="H9" s="117">
        <f t="shared" si="2"/>
        <v>0.5</v>
      </c>
      <c r="J9" s="31" t="s">
        <v>150</v>
      </c>
      <c r="K9" s="31">
        <v>10</v>
      </c>
      <c r="L9" s="31">
        <v>30</v>
      </c>
      <c r="M9" s="31">
        <v>3</v>
      </c>
      <c r="N9" s="31">
        <v>4.0555555555555554</v>
      </c>
    </row>
    <row r="10" spans="1:19">
      <c r="B10" s="117">
        <v>20</v>
      </c>
      <c r="C10" s="117">
        <v>12</v>
      </c>
      <c r="D10" s="252">
        <v>10</v>
      </c>
      <c r="F10" s="117">
        <f t="shared" si="0"/>
        <v>5</v>
      </c>
      <c r="G10" s="117">
        <f t="shared" si="1"/>
        <v>0.90000000000000036</v>
      </c>
      <c r="H10" s="117">
        <f t="shared" si="2"/>
        <v>3.5</v>
      </c>
    </row>
    <row r="11" spans="1:19">
      <c r="B11" s="117">
        <v>15</v>
      </c>
      <c r="C11" s="117">
        <v>14</v>
      </c>
      <c r="D11" s="252">
        <v>16</v>
      </c>
      <c r="F11" s="117">
        <f t="shared" si="0"/>
        <v>0</v>
      </c>
      <c r="G11" s="117">
        <f t="shared" si="1"/>
        <v>2.9000000000000004</v>
      </c>
      <c r="H11" s="117">
        <f t="shared" si="2"/>
        <v>2.5</v>
      </c>
    </row>
    <row r="12" spans="1:19" ht="15" thickBot="1">
      <c r="B12" s="117">
        <v>18</v>
      </c>
      <c r="C12" s="117">
        <v>10</v>
      </c>
      <c r="D12" s="252">
        <v>18</v>
      </c>
      <c r="F12" s="117">
        <f t="shared" si="0"/>
        <v>3</v>
      </c>
      <c r="G12" s="117">
        <f t="shared" si="1"/>
        <v>1.0999999999999996</v>
      </c>
      <c r="H12" s="117">
        <f t="shared" si="2"/>
        <v>4.5</v>
      </c>
      <c r="J12" t="s">
        <v>695</v>
      </c>
    </row>
    <row r="13" spans="1:19">
      <c r="B13" s="117">
        <v>9</v>
      </c>
      <c r="C13" s="117">
        <v>18</v>
      </c>
      <c r="D13" s="252">
        <v>11</v>
      </c>
      <c r="F13" s="117">
        <f t="shared" si="0"/>
        <v>6</v>
      </c>
      <c r="G13" s="117">
        <f t="shared" si="1"/>
        <v>6.9</v>
      </c>
      <c r="H13" s="117">
        <f t="shared" si="2"/>
        <v>2.5</v>
      </c>
      <c r="J13" s="261" t="s">
        <v>887</v>
      </c>
      <c r="K13" s="261" t="s">
        <v>578</v>
      </c>
      <c r="L13" s="261" t="s">
        <v>186</v>
      </c>
      <c r="M13" s="261" t="s">
        <v>641</v>
      </c>
      <c r="N13" s="261" t="s">
        <v>388</v>
      </c>
      <c r="O13" s="261" t="s">
        <v>367</v>
      </c>
      <c r="P13" s="261" t="s">
        <v>888</v>
      </c>
    </row>
    <row r="14" spans="1:19">
      <c r="B14" s="117">
        <v>12</v>
      </c>
      <c r="C14" s="117">
        <v>4</v>
      </c>
      <c r="D14" s="252">
        <v>14</v>
      </c>
      <c r="F14" s="117">
        <f t="shared" si="0"/>
        <v>3</v>
      </c>
      <c r="G14" s="117">
        <f t="shared" si="1"/>
        <v>7.1</v>
      </c>
      <c r="H14" s="117">
        <f t="shared" si="2"/>
        <v>0.5</v>
      </c>
      <c r="J14" s="28" t="s">
        <v>883</v>
      </c>
      <c r="K14" s="28">
        <v>0.5999999999999801</v>
      </c>
      <c r="L14" s="28">
        <v>2</v>
      </c>
      <c r="M14" s="28">
        <v>0.29999999999999005</v>
      </c>
      <c r="N14" s="28">
        <v>6.4031620553357566E-2</v>
      </c>
      <c r="O14" s="28">
        <v>0.93811733669330666</v>
      </c>
      <c r="P14" s="28">
        <v>3.3541308285291991</v>
      </c>
    </row>
    <row r="15" spans="1:19">
      <c r="B15" s="253">
        <v>16</v>
      </c>
      <c r="C15" s="253">
        <v>11</v>
      </c>
      <c r="D15" s="253">
        <v>11</v>
      </c>
      <c r="F15" s="288">
        <f t="shared" si="0"/>
        <v>1</v>
      </c>
      <c r="G15" s="288">
        <f t="shared" si="1"/>
        <v>9.9999999999999645E-2</v>
      </c>
      <c r="H15" s="288">
        <f t="shared" si="2"/>
        <v>2.5</v>
      </c>
      <c r="J15" s="28" t="s">
        <v>884</v>
      </c>
      <c r="K15" s="28">
        <v>126.5</v>
      </c>
      <c r="L15" s="28">
        <v>27</v>
      </c>
      <c r="M15" s="28">
        <v>4.6851851851851851</v>
      </c>
      <c r="N15" s="28"/>
      <c r="O15" s="28"/>
      <c r="P15" s="28"/>
    </row>
    <row r="16" spans="1:19" ht="15.6">
      <c r="A16" s="310" t="s">
        <v>891</v>
      </c>
      <c r="B16" s="252">
        <f>AVERAGE(B6:B15)</f>
        <v>15</v>
      </c>
      <c r="C16" s="252">
        <f>AVERAGE(C6:C15)</f>
        <v>11.1</v>
      </c>
      <c r="D16" s="252">
        <f>AVERAGE(D6:D15)</f>
        <v>13.5</v>
      </c>
      <c r="J16" s="28"/>
      <c r="K16" s="28"/>
      <c r="L16" s="28"/>
      <c r="M16" s="28"/>
      <c r="N16" s="28"/>
      <c r="O16" s="28"/>
      <c r="P16" s="28"/>
    </row>
    <row r="17" spans="1:16" ht="17.399999999999999" thickBot="1">
      <c r="A17" s="310" t="s">
        <v>912</v>
      </c>
      <c r="B17" s="288">
        <f>VAR(B6:B15)</f>
        <v>13.333333333333334</v>
      </c>
      <c r="C17" s="288">
        <f>VAR(C6:C15)</f>
        <v>18.766666666666676</v>
      </c>
      <c r="D17" s="288">
        <f>VAR(D6:D15)</f>
        <v>14.055555555555555</v>
      </c>
      <c r="J17" s="31" t="s">
        <v>12</v>
      </c>
      <c r="K17" s="31">
        <v>127.09999999999998</v>
      </c>
      <c r="L17" s="31">
        <v>29</v>
      </c>
      <c r="M17" s="31"/>
      <c r="N17" s="31"/>
      <c r="O17" s="31"/>
      <c r="P17" s="31"/>
    </row>
    <row r="23" spans="1:16">
      <c r="E23" s="117"/>
      <c r="F23" s="117"/>
      <c r="G23" s="117"/>
      <c r="H23" s="117"/>
      <c r="I23" s="117"/>
      <c r="J23" s="117"/>
      <c r="K23" s="117"/>
      <c r="L23" s="117"/>
    </row>
    <row r="28" spans="1:16">
      <c r="E28" s="117"/>
      <c r="F28" s="117"/>
      <c r="G28" s="117"/>
      <c r="H28" s="117"/>
      <c r="I28" s="117"/>
      <c r="J28" s="117"/>
      <c r="K28" s="117"/>
      <c r="L28" s="117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sheetPr codeName="Sheet100"/>
  <dimension ref="A1:I33"/>
  <sheetViews>
    <sheetView workbookViewId="0"/>
  </sheetViews>
  <sheetFormatPr defaultRowHeight="14.4"/>
  <sheetData>
    <row r="1" spans="1:9">
      <c r="A1" s="1" t="s">
        <v>915</v>
      </c>
    </row>
    <row r="3" spans="1:9">
      <c r="B3" s="279" t="s">
        <v>139</v>
      </c>
      <c r="C3" s="279" t="s">
        <v>140</v>
      </c>
      <c r="D3" s="279" t="s">
        <v>150</v>
      </c>
      <c r="E3" s="279" t="s">
        <v>151</v>
      </c>
      <c r="H3" s="232" t="s">
        <v>186</v>
      </c>
      <c r="I3" s="317">
        <f>COUNT(B4:E4)-1</f>
        <v>3</v>
      </c>
    </row>
    <row r="4" spans="1:9">
      <c r="B4" s="279">
        <v>51</v>
      </c>
      <c r="C4" s="279">
        <v>82</v>
      </c>
      <c r="D4" s="279">
        <v>79</v>
      </c>
      <c r="E4" s="279">
        <v>85</v>
      </c>
      <c r="H4" t="s">
        <v>919</v>
      </c>
      <c r="I4" s="40">
        <f>F13*F16-SUMPRODUCT(B13:E13,B16:E16)</f>
        <v>0.19960131136477344</v>
      </c>
    </row>
    <row r="5" spans="1:9">
      <c r="B5" s="117">
        <v>87</v>
      </c>
      <c r="C5" s="117">
        <v>91</v>
      </c>
      <c r="D5" s="117">
        <v>84</v>
      </c>
      <c r="E5" s="117">
        <v>80</v>
      </c>
      <c r="H5" t="s">
        <v>920</v>
      </c>
      <c r="I5" s="40">
        <f>1+1/(3*I3)*(SUM(B14:E14)-F14)</f>
        <v>1.0595238095238095</v>
      </c>
    </row>
    <row r="6" spans="1:9">
      <c r="B6" s="117">
        <v>50</v>
      </c>
      <c r="C6" s="117">
        <v>92</v>
      </c>
      <c r="D6" s="117">
        <v>74</v>
      </c>
      <c r="E6" s="117">
        <v>65</v>
      </c>
      <c r="H6" t="s">
        <v>384</v>
      </c>
      <c r="I6" s="268">
        <f>I4/I5</f>
        <v>0.18838775454652773</v>
      </c>
    </row>
    <row r="7" spans="1:9">
      <c r="B7" s="117">
        <v>48</v>
      </c>
      <c r="C7" s="117">
        <v>80</v>
      </c>
      <c r="D7" s="117">
        <v>98</v>
      </c>
      <c r="E7" s="117">
        <v>71</v>
      </c>
    </row>
    <row r="8" spans="1:9">
      <c r="B8" s="117">
        <v>79</v>
      </c>
      <c r="C8" s="117">
        <v>52</v>
      </c>
      <c r="D8" s="117">
        <v>63</v>
      </c>
      <c r="E8" s="117">
        <v>67</v>
      </c>
      <c r="H8" s="65" t="s">
        <v>157</v>
      </c>
      <c r="I8" s="317">
        <v>0.05</v>
      </c>
    </row>
    <row r="9" spans="1:9">
      <c r="B9" s="117">
        <v>61</v>
      </c>
      <c r="C9" s="117">
        <v>79</v>
      </c>
      <c r="D9" s="117">
        <v>83</v>
      </c>
      <c r="E9" s="117">
        <v>51</v>
      </c>
      <c r="H9" t="s">
        <v>200</v>
      </c>
      <c r="I9" s="40">
        <f>CHIDIST(I6,I3)</f>
        <v>0.97944177773798269</v>
      </c>
    </row>
    <row r="10" spans="1:9">
      <c r="B10" s="117">
        <v>53</v>
      </c>
      <c r="C10" s="117">
        <v>73</v>
      </c>
      <c r="D10" s="117">
        <v>85</v>
      </c>
      <c r="E10" s="117">
        <v>63</v>
      </c>
      <c r="H10" t="s">
        <v>921</v>
      </c>
      <c r="I10" s="40">
        <f>CHIINV(I8,I3)</f>
        <v>7.8147279032511792</v>
      </c>
    </row>
    <row r="11" spans="1:9">
      <c r="B11" s="288">
        <v>54</v>
      </c>
      <c r="C11" s="288">
        <v>74</v>
      </c>
      <c r="D11" s="288">
        <v>58</v>
      </c>
      <c r="E11" s="288">
        <v>93</v>
      </c>
      <c r="F11" s="288" t="s">
        <v>918</v>
      </c>
      <c r="G11" s="117"/>
      <c r="H11" t="s">
        <v>948</v>
      </c>
      <c r="I11" s="266" t="str">
        <f>IF(I9&lt;I8,"yes","no")</f>
        <v>no</v>
      </c>
    </row>
    <row r="12" spans="1:9">
      <c r="A12" t="s">
        <v>63</v>
      </c>
      <c r="B12" s="117">
        <f>AVERAGE(B4:B11)</f>
        <v>60.375</v>
      </c>
      <c r="C12" s="117">
        <f>AVERAGE(C4:C11)</f>
        <v>77.875</v>
      </c>
      <c r="D12" s="117">
        <f>AVERAGE(D4:D11)</f>
        <v>78</v>
      </c>
      <c r="E12" s="117">
        <f>AVERAGE(E4:E11)</f>
        <v>71.875</v>
      </c>
      <c r="F12" s="117"/>
      <c r="G12" s="117"/>
    </row>
    <row r="13" spans="1:9">
      <c r="A13" t="s">
        <v>186</v>
      </c>
      <c r="B13" s="117">
        <f>COUNT(B4:B11)-1</f>
        <v>7</v>
      </c>
      <c r="C13" s="117">
        <f>COUNT(C4:C11)-1</f>
        <v>7</v>
      </c>
      <c r="D13" s="117">
        <f>COUNT(D4:D11)-1</f>
        <v>7</v>
      </c>
      <c r="E13" s="117">
        <f>COUNT(E4:E11)-1</f>
        <v>7</v>
      </c>
      <c r="F13" s="201">
        <f>SUM(B13:E13)</f>
        <v>28</v>
      </c>
      <c r="G13" s="201"/>
    </row>
    <row r="14" spans="1:9">
      <c r="A14" t="s">
        <v>916</v>
      </c>
      <c r="B14" s="117">
        <f>1/B13</f>
        <v>0.14285714285714285</v>
      </c>
      <c r="C14" s="117">
        <f>1/C13</f>
        <v>0.14285714285714285</v>
      </c>
      <c r="D14" s="117">
        <f>1/D13</f>
        <v>0.14285714285714285</v>
      </c>
      <c r="E14" s="117">
        <f>1/E13</f>
        <v>0.14285714285714285</v>
      </c>
      <c r="F14" s="117">
        <f>1/F13</f>
        <v>3.5714285714285712E-2</v>
      </c>
      <c r="G14" s="117"/>
    </row>
    <row r="15" spans="1:9">
      <c r="A15" t="s">
        <v>66</v>
      </c>
      <c r="B15" s="117">
        <f>VAR(B4:B11)</f>
        <v>214.26785714285714</v>
      </c>
      <c r="C15" s="117">
        <f>VAR(C4:C11)</f>
        <v>157.55357142857142</v>
      </c>
      <c r="D15" s="117">
        <f>VAR(D4:D11)</f>
        <v>164.57142857142858</v>
      </c>
      <c r="E15" s="117">
        <f>VAR(E4:E11)</f>
        <v>181.55357142857142</v>
      </c>
      <c r="F15" s="201">
        <f>SUMPRODUCT(B13:E13,B15:E15)/F13</f>
        <v>179.48660714285714</v>
      </c>
      <c r="G15" s="201"/>
    </row>
    <row r="16" spans="1:9">
      <c r="A16" t="s">
        <v>917</v>
      </c>
      <c r="B16" s="288">
        <f>LN(B15)</f>
        <v>5.3672269012292393</v>
      </c>
      <c r="C16" s="288">
        <f>LN(C15)</f>
        <v>5.0597655364869558</v>
      </c>
      <c r="D16" s="288">
        <f>LN(D15)</f>
        <v>5.1033446922005234</v>
      </c>
      <c r="E16" s="288">
        <f>LN(E15)</f>
        <v>5.2015507695400114</v>
      </c>
      <c r="F16" s="288">
        <f>LN(F15)</f>
        <v>5.1901005931272097</v>
      </c>
      <c r="G16" s="117"/>
    </row>
    <row r="18" spans="1:9">
      <c r="A18" t="s">
        <v>922</v>
      </c>
    </row>
    <row r="20" spans="1:9">
      <c r="B20" s="279" t="s">
        <v>139</v>
      </c>
      <c r="C20" s="279" t="s">
        <v>140</v>
      </c>
      <c r="D20" s="279" t="s">
        <v>150</v>
      </c>
      <c r="E20" s="279" t="s">
        <v>151</v>
      </c>
      <c r="H20" s="232" t="s">
        <v>186</v>
      </c>
      <c r="I20" s="317">
        <f>COUNT(B21:E21)-1</f>
        <v>3</v>
      </c>
    </row>
    <row r="21" spans="1:9">
      <c r="B21" s="279">
        <v>51</v>
      </c>
      <c r="C21" s="279">
        <v>82</v>
      </c>
      <c r="D21" s="279">
        <v>79</v>
      </c>
      <c r="E21" s="279">
        <v>185</v>
      </c>
      <c r="H21" t="s">
        <v>919</v>
      </c>
      <c r="I21" s="40">
        <f>F30*F33-SUMPRODUCT(B30:E30,B33:E33)</f>
        <v>17.233772610498249</v>
      </c>
    </row>
    <row r="22" spans="1:9">
      <c r="B22" s="117">
        <v>87</v>
      </c>
      <c r="C22" s="117">
        <v>91</v>
      </c>
      <c r="D22" s="117">
        <v>84</v>
      </c>
      <c r="E22" s="117">
        <v>80</v>
      </c>
      <c r="H22" t="s">
        <v>920</v>
      </c>
      <c r="I22" s="40">
        <f>1+1/(3*I20)*(SUM(B31:E31)-F31)</f>
        <v>1.0595238095238095</v>
      </c>
    </row>
    <row r="23" spans="1:9">
      <c r="B23" s="117">
        <v>50</v>
      </c>
      <c r="C23" s="117">
        <v>92</v>
      </c>
      <c r="D23" s="117">
        <v>74</v>
      </c>
      <c r="E23" s="117">
        <v>65</v>
      </c>
      <c r="H23" t="s">
        <v>384</v>
      </c>
      <c r="I23" s="268">
        <f>I21/I22</f>
        <v>16.265583137998348</v>
      </c>
    </row>
    <row r="24" spans="1:9">
      <c r="B24" s="117">
        <v>48</v>
      </c>
      <c r="C24" s="117">
        <v>80</v>
      </c>
      <c r="D24" s="117">
        <v>98</v>
      </c>
      <c r="E24" s="117">
        <v>71</v>
      </c>
    </row>
    <row r="25" spans="1:9">
      <c r="B25" s="117">
        <v>79</v>
      </c>
      <c r="C25" s="117">
        <v>52</v>
      </c>
      <c r="D25" s="117">
        <v>63</v>
      </c>
      <c r="E25" s="117">
        <v>67</v>
      </c>
      <c r="H25" s="65" t="s">
        <v>157</v>
      </c>
      <c r="I25" s="317">
        <v>0.05</v>
      </c>
    </row>
    <row r="26" spans="1:9">
      <c r="B26" s="117">
        <v>61</v>
      </c>
      <c r="C26" s="117">
        <v>79</v>
      </c>
      <c r="D26" s="117">
        <v>83</v>
      </c>
      <c r="E26" s="117">
        <v>51</v>
      </c>
      <c r="H26" t="s">
        <v>200</v>
      </c>
      <c r="I26" s="40">
        <f>CHIDIST(I23,I20)</f>
        <v>1.0003086055649175E-3</v>
      </c>
    </row>
    <row r="27" spans="1:9">
      <c r="B27" s="117">
        <v>53</v>
      </c>
      <c r="C27" s="117">
        <v>73</v>
      </c>
      <c r="D27" s="117">
        <v>85</v>
      </c>
      <c r="E27" s="117">
        <v>63</v>
      </c>
      <c r="H27" t="s">
        <v>921</v>
      </c>
      <c r="I27" s="40">
        <f>CHIINV(I25,I20)</f>
        <v>7.8147279032511792</v>
      </c>
    </row>
    <row r="28" spans="1:9">
      <c r="B28" s="288">
        <v>54</v>
      </c>
      <c r="C28" s="288">
        <v>74</v>
      </c>
      <c r="D28" s="288">
        <v>58</v>
      </c>
      <c r="E28" s="288">
        <v>93</v>
      </c>
      <c r="F28" s="288" t="s">
        <v>918</v>
      </c>
      <c r="G28" s="117"/>
      <c r="H28" t="s">
        <v>948</v>
      </c>
      <c r="I28" s="266" t="str">
        <f>IF(I26&lt;I25,"yes","no")</f>
        <v>yes</v>
      </c>
    </row>
    <row r="29" spans="1:9">
      <c r="A29" t="s">
        <v>63</v>
      </c>
      <c r="B29" s="117">
        <f>AVERAGE(B21:B28)</f>
        <v>60.375</v>
      </c>
      <c r="C29" s="117">
        <f>AVERAGE(C21:C28)</f>
        <v>77.875</v>
      </c>
      <c r="D29" s="117">
        <f>AVERAGE(D21:D28)</f>
        <v>78</v>
      </c>
      <c r="E29" s="117">
        <f>AVERAGE(E21:E28)</f>
        <v>84.375</v>
      </c>
      <c r="F29" s="117"/>
      <c r="G29" s="117"/>
    </row>
    <row r="30" spans="1:9">
      <c r="A30" t="s">
        <v>186</v>
      </c>
      <c r="B30" s="117">
        <f>COUNT(B21:B28)-1</f>
        <v>7</v>
      </c>
      <c r="C30" s="117">
        <f>COUNT(C21:C28)-1</f>
        <v>7</v>
      </c>
      <c r="D30" s="117">
        <f>COUNT(D21:D28)-1</f>
        <v>7</v>
      </c>
      <c r="E30" s="117">
        <f>COUNT(E21:E28)-1</f>
        <v>7</v>
      </c>
      <c r="F30" s="201">
        <f>SUM(B30:E30)</f>
        <v>28</v>
      </c>
      <c r="G30" s="201"/>
    </row>
    <row r="31" spans="1:9">
      <c r="A31" t="s">
        <v>916</v>
      </c>
      <c r="B31" s="117">
        <f>1/B30</f>
        <v>0.14285714285714285</v>
      </c>
      <c r="C31" s="117">
        <f>1/C30</f>
        <v>0.14285714285714285</v>
      </c>
      <c r="D31" s="117">
        <f>1/D30</f>
        <v>0.14285714285714285</v>
      </c>
      <c r="E31" s="117">
        <f>1/E30</f>
        <v>0.14285714285714285</v>
      </c>
      <c r="F31" s="117">
        <f>1/F30</f>
        <v>3.5714285714285712E-2</v>
      </c>
      <c r="G31" s="117"/>
    </row>
    <row r="32" spans="1:9">
      <c r="A32" t="s">
        <v>66</v>
      </c>
      <c r="B32" s="117">
        <f>VAR(B21:B28)</f>
        <v>214.26785714285714</v>
      </c>
      <c r="C32" s="117">
        <f>VAR(C21:C28)</f>
        <v>157.55357142857142</v>
      </c>
      <c r="D32" s="117">
        <f>VAR(D21:D28)</f>
        <v>164.57142857142858</v>
      </c>
      <c r="E32" s="117">
        <f>VAR(E21:E28)</f>
        <v>1806.5535714285713</v>
      </c>
      <c r="F32" s="201">
        <f>SUMPRODUCT(B30:E30,B32:E32)/F30</f>
        <v>585.73660714285711</v>
      </c>
      <c r="G32" s="201"/>
    </row>
    <row r="33" spans="1:7">
      <c r="A33" t="s">
        <v>917</v>
      </c>
      <c r="B33" s="288">
        <f>LN(B32)</f>
        <v>5.3672269012292393</v>
      </c>
      <c r="C33" s="288">
        <f>LN(C32)</f>
        <v>5.0597655364869558</v>
      </c>
      <c r="D33" s="288">
        <f>LN(D32)</f>
        <v>5.1033446922005234</v>
      </c>
      <c r="E33" s="288">
        <f>LN(E32)</f>
        <v>7.4991762049659192</v>
      </c>
      <c r="F33" s="288">
        <f>LN(F32)</f>
        <v>6.3728702126670251</v>
      </c>
      <c r="G33" s="117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sheetPr codeName="Sheet108"/>
  <dimension ref="A1:AC60"/>
  <sheetViews>
    <sheetView workbookViewId="0"/>
  </sheetViews>
  <sheetFormatPr defaultRowHeight="14.4"/>
  <cols>
    <col min="2" max="2" width="9.109375" customWidth="1"/>
    <col min="17" max="21" width="7.5546875" customWidth="1"/>
    <col min="22" max="22" width="5.109375" customWidth="1"/>
    <col min="23" max="23" width="17.5546875" customWidth="1"/>
  </cols>
  <sheetData>
    <row r="1" spans="1:29">
      <c r="A1" s="1" t="s">
        <v>618</v>
      </c>
    </row>
    <row r="3" spans="1:29">
      <c r="B3" t="s">
        <v>213</v>
      </c>
      <c r="I3" t="s">
        <v>1000</v>
      </c>
      <c r="Q3" t="s">
        <v>1003</v>
      </c>
    </row>
    <row r="5" spans="1:29">
      <c r="B5" s="19" t="s">
        <v>526</v>
      </c>
      <c r="C5" s="19" t="s">
        <v>384</v>
      </c>
      <c r="D5" s="19" t="s">
        <v>385</v>
      </c>
      <c r="E5" s="19" t="s">
        <v>386</v>
      </c>
      <c r="F5" s="93" t="s">
        <v>387</v>
      </c>
      <c r="I5" s="19" t="s">
        <v>526</v>
      </c>
      <c r="J5" s="19" t="s">
        <v>384</v>
      </c>
      <c r="K5" s="19" t="s">
        <v>385</v>
      </c>
      <c r="L5" s="19" t="s">
        <v>386</v>
      </c>
      <c r="M5" s="93" t="s">
        <v>387</v>
      </c>
      <c r="Q5" t="s">
        <v>1002</v>
      </c>
      <c r="W5" t="s">
        <v>885</v>
      </c>
    </row>
    <row r="6" spans="1:29">
      <c r="B6" s="364">
        <v>32</v>
      </c>
      <c r="C6" s="365">
        <v>63</v>
      </c>
      <c r="D6" s="365">
        <v>6</v>
      </c>
      <c r="E6" s="365">
        <v>15</v>
      </c>
      <c r="F6" s="366">
        <v>55</v>
      </c>
      <c r="I6" s="364">
        <f>LOG(B6)</f>
        <v>1.505149978319906</v>
      </c>
      <c r="J6" s="365">
        <f>LOG(C6)</f>
        <v>1.7993405494535817</v>
      </c>
      <c r="K6" s="365">
        <f>LOG(D6)</f>
        <v>0.77815125038364363</v>
      </c>
      <c r="L6" s="365">
        <f>LOG(E6)</f>
        <v>1.1760912590556813</v>
      </c>
      <c r="M6" s="366">
        <f>LOG(F6)</f>
        <v>1.7403626894942439</v>
      </c>
    </row>
    <row r="7" spans="1:29" ht="15" thickBot="1">
      <c r="B7" s="7">
        <v>13</v>
      </c>
      <c r="C7" s="8">
        <v>13</v>
      </c>
      <c r="D7" s="8">
        <v>16</v>
      </c>
      <c r="E7" s="8">
        <v>68</v>
      </c>
      <c r="F7" s="9">
        <v>59</v>
      </c>
      <c r="I7" s="7">
        <f t="shared" ref="I7:M15" si="0">LOG(B7)</f>
        <v>1.1139433523068367</v>
      </c>
      <c r="J7" s="8">
        <f t="shared" si="0"/>
        <v>1.1139433523068367</v>
      </c>
      <c r="K7" s="8">
        <f t="shared" si="0"/>
        <v>1.2041199826559248</v>
      </c>
      <c r="L7" s="8">
        <f t="shared" si="0"/>
        <v>1.8325089127062364</v>
      </c>
      <c r="M7" s="9">
        <f t="shared" si="0"/>
        <v>1.7708520116421442</v>
      </c>
      <c r="Q7" s="19" t="s">
        <v>526</v>
      </c>
      <c r="R7" s="19" t="s">
        <v>384</v>
      </c>
      <c r="S7" s="19" t="s">
        <v>385</v>
      </c>
      <c r="T7" s="19" t="s">
        <v>386</v>
      </c>
      <c r="U7" s="93" t="s">
        <v>387</v>
      </c>
      <c r="W7" t="s">
        <v>194</v>
      </c>
    </row>
    <row r="8" spans="1:29">
      <c r="B8" s="7">
        <v>19</v>
      </c>
      <c r="C8" s="8">
        <v>56</v>
      </c>
      <c r="D8" s="8">
        <v>31</v>
      </c>
      <c r="E8" s="8">
        <v>49</v>
      </c>
      <c r="F8" s="9">
        <v>21</v>
      </c>
      <c r="I8" s="7">
        <f t="shared" si="0"/>
        <v>1.2787536009528289</v>
      </c>
      <c r="J8" s="8">
        <f t="shared" si="0"/>
        <v>1.7481880270062005</v>
      </c>
      <c r="K8" s="8">
        <f t="shared" si="0"/>
        <v>1.4913616938342726</v>
      </c>
      <c r="L8" s="8">
        <f t="shared" si="0"/>
        <v>1.6901960800285136</v>
      </c>
      <c r="M8" s="9">
        <f t="shared" si="0"/>
        <v>1.3222192947339193</v>
      </c>
      <c r="Q8" s="364">
        <f>ABS(B6-B$19)</f>
        <v>19.5</v>
      </c>
      <c r="R8" s="365">
        <f>ABS(C6-C$19)</f>
        <v>23.5</v>
      </c>
      <c r="S8" s="365">
        <f>ABS(D6-D$19)</f>
        <v>12.5</v>
      </c>
      <c r="T8" s="365">
        <f>ABS(E6-E$19)</f>
        <v>18</v>
      </c>
      <c r="U8" s="366">
        <f>ABS(F6-F$19)</f>
        <v>2</v>
      </c>
      <c r="W8" s="362" t="s">
        <v>222</v>
      </c>
      <c r="X8" s="362" t="s">
        <v>88</v>
      </c>
      <c r="Y8" s="362" t="s">
        <v>87</v>
      </c>
      <c r="Z8" s="362" t="s">
        <v>886</v>
      </c>
      <c r="AA8" s="362" t="s">
        <v>223</v>
      </c>
    </row>
    <row r="9" spans="1:29">
      <c r="B9" s="7">
        <v>15</v>
      </c>
      <c r="C9" s="8">
        <v>28</v>
      </c>
      <c r="D9" s="8">
        <v>41</v>
      </c>
      <c r="E9" s="8">
        <v>39</v>
      </c>
      <c r="F9" s="9">
        <v>91</v>
      </c>
      <c r="I9" s="7">
        <f t="shared" si="0"/>
        <v>1.1760912590556813</v>
      </c>
      <c r="J9" s="8">
        <f t="shared" si="0"/>
        <v>1.4471580313422192</v>
      </c>
      <c r="K9" s="8">
        <f t="shared" si="0"/>
        <v>1.6127838567197355</v>
      </c>
      <c r="L9" s="8">
        <f t="shared" si="0"/>
        <v>1.5910646070264991</v>
      </c>
      <c r="M9" s="9">
        <f t="shared" si="0"/>
        <v>1.9590413923210936</v>
      </c>
      <c r="Q9" s="7">
        <f t="shared" ref="Q9:Q17" si="1">ABS(B7-B$19)</f>
        <v>0.5</v>
      </c>
      <c r="R9" s="8">
        <f t="shared" ref="R9:R17" si="2">ABS(C7-C$19)</f>
        <v>26.5</v>
      </c>
      <c r="S9" s="8">
        <f t="shared" ref="S9:S17" si="3">ABS(D7-D$19)</f>
        <v>2.5</v>
      </c>
      <c r="T9" s="8">
        <f t="shared" ref="T9:T15" si="4">ABS(E7-E$19)</f>
        <v>35</v>
      </c>
      <c r="U9" s="9">
        <f t="shared" ref="U9:U16" si="5">ABS(F7-F$19)</f>
        <v>2</v>
      </c>
      <c r="W9" s="28" t="s">
        <v>526</v>
      </c>
      <c r="X9" s="28">
        <v>10</v>
      </c>
      <c r="Y9" s="28">
        <v>52</v>
      </c>
      <c r="Z9" s="28">
        <v>5.2</v>
      </c>
      <c r="AA9" s="28">
        <v>35.56666666666667</v>
      </c>
    </row>
    <row r="10" spans="1:29">
      <c r="B10" s="7">
        <v>12</v>
      </c>
      <c r="C10" s="8">
        <v>11</v>
      </c>
      <c r="D10" s="8">
        <v>13</v>
      </c>
      <c r="E10" s="8">
        <v>23</v>
      </c>
      <c r="F10" s="9">
        <v>27</v>
      </c>
      <c r="I10" s="7">
        <f t="shared" si="0"/>
        <v>1.0791812460476249</v>
      </c>
      <c r="J10" s="8">
        <f t="shared" si="0"/>
        <v>1.0413926851582251</v>
      </c>
      <c r="K10" s="8">
        <f t="shared" si="0"/>
        <v>1.1139433523068367</v>
      </c>
      <c r="L10" s="8">
        <f t="shared" si="0"/>
        <v>1.3617278360175928</v>
      </c>
      <c r="M10" s="9">
        <f t="shared" si="0"/>
        <v>1.4313637641589874</v>
      </c>
      <c r="Q10" s="7">
        <f t="shared" si="1"/>
        <v>6.5</v>
      </c>
      <c r="R10" s="8">
        <f t="shared" si="2"/>
        <v>16.5</v>
      </c>
      <c r="S10" s="8">
        <f t="shared" si="3"/>
        <v>12.5</v>
      </c>
      <c r="T10" s="8">
        <f t="shared" si="4"/>
        <v>16</v>
      </c>
      <c r="U10" s="9">
        <f t="shared" si="5"/>
        <v>36</v>
      </c>
      <c r="W10" s="28" t="s">
        <v>384</v>
      </c>
      <c r="X10" s="28">
        <v>10</v>
      </c>
      <c r="Y10" s="28">
        <v>200</v>
      </c>
      <c r="Z10" s="28">
        <v>20</v>
      </c>
      <c r="AA10" s="28">
        <v>50.055555555555557</v>
      </c>
    </row>
    <row r="11" spans="1:29">
      <c r="B11" s="7">
        <v>9</v>
      </c>
      <c r="C11" s="8">
        <v>9</v>
      </c>
      <c r="D11" s="8">
        <v>14</v>
      </c>
      <c r="E11" s="8">
        <v>21</v>
      </c>
      <c r="F11" s="9">
        <v>64</v>
      </c>
      <c r="I11" s="7">
        <f t="shared" si="0"/>
        <v>0.95424250943932487</v>
      </c>
      <c r="J11" s="8">
        <f t="shared" si="0"/>
        <v>0.95424250943932487</v>
      </c>
      <c r="K11" s="8">
        <f t="shared" si="0"/>
        <v>1.146128035678238</v>
      </c>
      <c r="L11" s="8">
        <f t="shared" si="0"/>
        <v>1.3222192947339193</v>
      </c>
      <c r="M11" s="9">
        <f t="shared" si="0"/>
        <v>1.8061799739838871</v>
      </c>
      <c r="Q11" s="7">
        <f t="shared" si="1"/>
        <v>2.5</v>
      </c>
      <c r="R11" s="8">
        <f t="shared" si="2"/>
        <v>11.5</v>
      </c>
      <c r="S11" s="8">
        <f t="shared" si="3"/>
        <v>22.5</v>
      </c>
      <c r="T11" s="8">
        <f t="shared" si="4"/>
        <v>6</v>
      </c>
      <c r="U11" s="9">
        <f t="shared" si="5"/>
        <v>34</v>
      </c>
      <c r="W11" s="28" t="s">
        <v>385</v>
      </c>
      <c r="X11" s="28">
        <v>10</v>
      </c>
      <c r="Y11" s="28">
        <v>103</v>
      </c>
      <c r="Z11" s="28">
        <v>10.3</v>
      </c>
      <c r="AA11" s="28">
        <v>58.399999999999991</v>
      </c>
    </row>
    <row r="12" spans="1:29">
      <c r="B12" s="7">
        <v>5</v>
      </c>
      <c r="C12" s="8">
        <v>23</v>
      </c>
      <c r="D12" s="8">
        <v>21</v>
      </c>
      <c r="E12" s="8">
        <v>32</v>
      </c>
      <c r="F12" s="9">
        <v>54</v>
      </c>
      <c r="I12" s="7">
        <f t="shared" si="0"/>
        <v>0.69897000433601886</v>
      </c>
      <c r="J12" s="8">
        <f t="shared" si="0"/>
        <v>1.3617278360175928</v>
      </c>
      <c r="K12" s="8">
        <f t="shared" si="0"/>
        <v>1.3222192947339193</v>
      </c>
      <c r="L12" s="8">
        <f t="shared" si="0"/>
        <v>1.505149978319906</v>
      </c>
      <c r="M12" s="9">
        <f t="shared" si="0"/>
        <v>1.7323937598229686</v>
      </c>
      <c r="Q12" s="7">
        <f t="shared" si="1"/>
        <v>0.5</v>
      </c>
      <c r="R12" s="8">
        <f t="shared" si="2"/>
        <v>28.5</v>
      </c>
      <c r="S12" s="8">
        <f t="shared" si="3"/>
        <v>5.5</v>
      </c>
      <c r="T12" s="8">
        <f t="shared" si="4"/>
        <v>10</v>
      </c>
      <c r="U12" s="9">
        <f t="shared" si="5"/>
        <v>30</v>
      </c>
      <c r="W12" s="28" t="s">
        <v>386</v>
      </c>
      <c r="X12" s="28">
        <v>8</v>
      </c>
      <c r="Y12" s="28">
        <v>99</v>
      </c>
      <c r="Z12" s="28">
        <v>12.375</v>
      </c>
      <c r="AA12" s="28">
        <v>123.125</v>
      </c>
    </row>
    <row r="13" spans="1:29" ht="15" thickBot="1">
      <c r="B13" s="7">
        <v>22</v>
      </c>
      <c r="C13" s="8">
        <v>51</v>
      </c>
      <c r="D13" s="8">
        <v>29</v>
      </c>
      <c r="E13" s="8">
        <v>34</v>
      </c>
      <c r="F13" s="9">
        <v>57</v>
      </c>
      <c r="I13" s="7">
        <f t="shared" si="0"/>
        <v>1.3424226808222062</v>
      </c>
      <c r="J13" s="8">
        <f t="shared" si="0"/>
        <v>1.7075701760979363</v>
      </c>
      <c r="K13" s="8">
        <f t="shared" si="0"/>
        <v>1.4623979978989561</v>
      </c>
      <c r="L13" s="8">
        <f t="shared" si="0"/>
        <v>1.5314789170422551</v>
      </c>
      <c r="M13" s="9">
        <f t="shared" si="0"/>
        <v>1.7558748556724915</v>
      </c>
      <c r="Q13" s="7">
        <f t="shared" si="1"/>
        <v>3.5</v>
      </c>
      <c r="R13" s="8">
        <f t="shared" si="2"/>
        <v>30.5</v>
      </c>
      <c r="S13" s="8">
        <f t="shared" si="3"/>
        <v>4.5</v>
      </c>
      <c r="T13" s="8">
        <f t="shared" si="4"/>
        <v>12</v>
      </c>
      <c r="U13" s="9">
        <f t="shared" si="5"/>
        <v>7</v>
      </c>
      <c r="W13" s="31" t="s">
        <v>387</v>
      </c>
      <c r="X13" s="31">
        <v>9</v>
      </c>
      <c r="Y13" s="31">
        <v>130</v>
      </c>
      <c r="Z13" s="31">
        <v>14.444444444444445</v>
      </c>
      <c r="AA13" s="31">
        <v>224.52777777777777</v>
      </c>
    </row>
    <row r="14" spans="1:29">
      <c r="B14" s="7">
        <v>11</v>
      </c>
      <c r="C14" s="8">
        <v>53</v>
      </c>
      <c r="D14" s="8">
        <v>12</v>
      </c>
      <c r="E14" s="8"/>
      <c r="F14" s="9">
        <v>73</v>
      </c>
      <c r="I14" s="7">
        <f t="shared" si="0"/>
        <v>1.0413926851582251</v>
      </c>
      <c r="J14" s="8">
        <f t="shared" si="0"/>
        <v>1.7242758696007889</v>
      </c>
      <c r="K14" s="8">
        <f t="shared" si="0"/>
        <v>1.0791812460476249</v>
      </c>
      <c r="L14" s="66"/>
      <c r="M14" s="367">
        <f t="shared" si="0"/>
        <v>1.8633228601204559</v>
      </c>
      <c r="Q14" s="7">
        <f t="shared" si="1"/>
        <v>7.5</v>
      </c>
      <c r="R14" s="8">
        <f t="shared" si="2"/>
        <v>16.5</v>
      </c>
      <c r="S14" s="8">
        <f t="shared" si="3"/>
        <v>2.5</v>
      </c>
      <c r="T14" s="8">
        <f t="shared" si="4"/>
        <v>1</v>
      </c>
      <c r="U14" s="9">
        <f t="shared" si="5"/>
        <v>3</v>
      </c>
    </row>
    <row r="15" spans="1:29" ht="15" thickBot="1">
      <c r="B15" s="234">
        <v>12</v>
      </c>
      <c r="C15" s="11">
        <v>61</v>
      </c>
      <c r="D15" s="11">
        <v>42</v>
      </c>
      <c r="E15" s="11"/>
      <c r="F15" s="12"/>
      <c r="I15" s="234">
        <f t="shared" si="0"/>
        <v>1.0791812460476249</v>
      </c>
      <c r="J15" s="11">
        <f t="shared" si="0"/>
        <v>1.7853298350107671</v>
      </c>
      <c r="K15" s="11">
        <f>LOG(D15)</f>
        <v>1.6232492903979006</v>
      </c>
      <c r="L15" s="11"/>
      <c r="M15" s="12"/>
      <c r="Q15" s="7">
        <f t="shared" si="1"/>
        <v>9.5</v>
      </c>
      <c r="R15" s="8">
        <f t="shared" si="2"/>
        <v>11.5</v>
      </c>
      <c r="S15" s="8">
        <f t="shared" si="3"/>
        <v>10.5</v>
      </c>
      <c r="T15" s="8">
        <f t="shared" si="4"/>
        <v>1</v>
      </c>
      <c r="U15" s="9">
        <f t="shared" si="5"/>
        <v>0</v>
      </c>
      <c r="W15" t="s">
        <v>695</v>
      </c>
    </row>
    <row r="16" spans="1:29">
      <c r="A16" t="s">
        <v>63</v>
      </c>
      <c r="B16">
        <f>AVERAGE(B6:B15)</f>
        <v>15</v>
      </c>
      <c r="C16">
        <f>AVERAGE(C6:C15)</f>
        <v>36.799999999999997</v>
      </c>
      <c r="D16">
        <f>AVERAGE(D6:D15)</f>
        <v>22.5</v>
      </c>
      <c r="E16">
        <f>AVERAGE(E6:E15)</f>
        <v>35.125</v>
      </c>
      <c r="F16">
        <f>AVERAGE(F6:F15)</f>
        <v>55.666666666666664</v>
      </c>
      <c r="H16" t="s">
        <v>63</v>
      </c>
      <c r="I16">
        <f>AVERAGE(I6:I15)</f>
        <v>1.126932856248628</v>
      </c>
      <c r="J16">
        <f>AVERAGE(J6:J15)</f>
        <v>1.4683168871433474</v>
      </c>
      <c r="K16">
        <f>AVERAGE(K6:K15)</f>
        <v>1.2833536000657051</v>
      </c>
      <c r="L16">
        <f>AVERAGE(L6:L15)</f>
        <v>1.5013046106163257</v>
      </c>
      <c r="M16">
        <f>AVERAGE(M6:M15)</f>
        <v>1.7090678446611325</v>
      </c>
      <c r="Q16" s="7">
        <f t="shared" si="1"/>
        <v>1.5</v>
      </c>
      <c r="R16" s="8">
        <f t="shared" si="2"/>
        <v>13.5</v>
      </c>
      <c r="S16" s="8">
        <f t="shared" si="3"/>
        <v>6.5</v>
      </c>
      <c r="T16" s="8"/>
      <c r="U16" s="9">
        <f t="shared" si="5"/>
        <v>16</v>
      </c>
      <c r="W16" s="362" t="s">
        <v>887</v>
      </c>
      <c r="X16" s="362" t="s">
        <v>578</v>
      </c>
      <c r="Y16" s="362" t="s">
        <v>186</v>
      </c>
      <c r="Z16" s="362" t="s">
        <v>641</v>
      </c>
      <c r="AA16" s="362" t="s">
        <v>388</v>
      </c>
      <c r="AB16" s="362" t="s">
        <v>367</v>
      </c>
      <c r="AC16" s="362" t="s">
        <v>888</v>
      </c>
    </row>
    <row r="17" spans="1:29">
      <c r="A17" t="s">
        <v>67</v>
      </c>
      <c r="B17">
        <f>STDEV(B6:B15)</f>
        <v>7.6594168620507048</v>
      </c>
      <c r="C17">
        <f>STDEV(C6:C15)</f>
        <v>22.054478003344357</v>
      </c>
      <c r="D17">
        <f>STDEV(D6:D15)</f>
        <v>12.589678312014172</v>
      </c>
      <c r="E17">
        <f>STDEV(E6:E15)</f>
        <v>17.116721147963556</v>
      </c>
      <c r="F17">
        <f>STDEV(F6:F15)</f>
        <v>21.383404780343096</v>
      </c>
      <c r="H17" t="s">
        <v>67</v>
      </c>
      <c r="I17">
        <f>STDEV(I6:I15)</f>
        <v>0.22110092771964845</v>
      </c>
      <c r="J17">
        <f>STDEV(J6:J15)</f>
        <v>0.33251317956717924</v>
      </c>
      <c r="K17">
        <f>STDEV(K6:K15)</f>
        <v>0.26907508203739272</v>
      </c>
      <c r="L17">
        <f>STDEV(L6:L15)</f>
        <v>0.21100960029668439</v>
      </c>
      <c r="M17">
        <f>STDEV(M6:M15)</f>
        <v>0.20310562279716773</v>
      </c>
      <c r="Q17" s="234">
        <f t="shared" si="1"/>
        <v>0.5</v>
      </c>
      <c r="R17" s="11">
        <f t="shared" si="2"/>
        <v>21.5</v>
      </c>
      <c r="S17" s="11">
        <f t="shared" si="3"/>
        <v>23.5</v>
      </c>
      <c r="T17" s="11"/>
      <c r="U17" s="12"/>
      <c r="W17" s="28" t="s">
        <v>883</v>
      </c>
      <c r="X17" s="28">
        <v>1177.6921394799056</v>
      </c>
      <c r="Y17" s="28">
        <v>4</v>
      </c>
      <c r="Z17" s="28">
        <v>294.42303486997639</v>
      </c>
      <c r="AA17" s="28">
        <v>3.1271719776263396</v>
      </c>
      <c r="AB17" s="28">
        <v>2.4395522172030337E-2</v>
      </c>
      <c r="AC17" s="28">
        <v>2.5942633713457632</v>
      </c>
    </row>
    <row r="18" spans="1:29">
      <c r="A18" t="s">
        <v>66</v>
      </c>
      <c r="B18">
        <f>VAR(B6:B15)</f>
        <v>58.666666666666664</v>
      </c>
      <c r="C18">
        <f>VAR(C6:C15)</f>
        <v>486.40000000000003</v>
      </c>
      <c r="D18">
        <f>VAR(D6:D15)</f>
        <v>158.5</v>
      </c>
      <c r="E18">
        <f>VAR(E6:E15)</f>
        <v>292.98214285714283</v>
      </c>
      <c r="F18">
        <f>VAR(F6:F15)</f>
        <v>457.25</v>
      </c>
      <c r="H18" t="s">
        <v>66</v>
      </c>
      <c r="I18">
        <f>VAR(I6:I15)</f>
        <v>4.8885620238489205E-2</v>
      </c>
      <c r="J18">
        <f>VAR(J6:J15)</f>
        <v>0.11056501458587517</v>
      </c>
      <c r="K18">
        <f>VAR(K6:K15)</f>
        <v>7.2401399773429631E-2</v>
      </c>
      <c r="L18">
        <f>VAR(L6:L15)</f>
        <v>4.4525051417366512E-2</v>
      </c>
      <c r="M18">
        <f>VAR(M6:M15)</f>
        <v>4.1251894011825385E-2</v>
      </c>
      <c r="W18" s="28" t="s">
        <v>884</v>
      </c>
      <c r="X18" s="28">
        <v>3954.2972222222224</v>
      </c>
      <c r="Y18" s="28">
        <v>42</v>
      </c>
      <c r="Z18" s="28">
        <v>94.149933862433869</v>
      </c>
      <c r="AA18" s="28"/>
      <c r="AB18" s="28"/>
      <c r="AC18" s="28"/>
    </row>
    <row r="19" spans="1:29">
      <c r="A19" s="66" t="s">
        <v>1001</v>
      </c>
      <c r="B19">
        <f>MEDIAN(B6:B15)</f>
        <v>12.5</v>
      </c>
      <c r="C19">
        <f>MEDIAN(C6:C15)</f>
        <v>39.5</v>
      </c>
      <c r="D19">
        <f>MEDIAN(D6:D15)</f>
        <v>18.5</v>
      </c>
      <c r="E19">
        <f>MEDIAN(E6:E15)</f>
        <v>33</v>
      </c>
      <c r="F19">
        <f>MEDIAN(F6:F15)</f>
        <v>57</v>
      </c>
      <c r="H19" s="66" t="s">
        <v>1001</v>
      </c>
      <c r="I19">
        <f>MEDIAN(I6:I15)</f>
        <v>1.0965622991772308</v>
      </c>
      <c r="J19">
        <f>MEDIAN(J6:J15)</f>
        <v>1.5773641037200776</v>
      </c>
      <c r="K19">
        <f>MEDIAN(K6:K15)</f>
        <v>1.263169638694922</v>
      </c>
      <c r="L19">
        <f>MEDIAN(L6:L15)</f>
        <v>1.5183144476810806</v>
      </c>
      <c r="M19">
        <f>MEDIAN(M6:M15)</f>
        <v>1.7558748556724915</v>
      </c>
      <c r="W19" s="28"/>
      <c r="X19" s="28"/>
      <c r="Y19" s="28"/>
      <c r="Z19" s="28"/>
      <c r="AA19" s="28"/>
      <c r="AB19" s="28"/>
      <c r="AC19" s="28"/>
    </row>
    <row r="20" spans="1:29" ht="15" thickBot="1">
      <c r="A20" s="66"/>
      <c r="B20" s="66"/>
      <c r="C20" s="66"/>
      <c r="D20" s="66"/>
      <c r="E20" s="66"/>
      <c r="F20" s="66"/>
      <c r="W20" s="31" t="s">
        <v>12</v>
      </c>
      <c r="X20" s="31">
        <v>5131.989361702128</v>
      </c>
      <c r="Y20" s="31">
        <v>46</v>
      </c>
      <c r="Z20" s="31"/>
      <c r="AA20" s="31"/>
      <c r="AB20" s="31"/>
      <c r="AC20" s="31"/>
    </row>
    <row r="21" spans="1:29">
      <c r="A21" s="66" t="s">
        <v>368</v>
      </c>
      <c r="B21">
        <f>CORREL(B16:F16,B17:F17)</f>
        <v>0.88125862698759883</v>
      </c>
      <c r="H21" s="66" t="s">
        <v>368</v>
      </c>
      <c r="I21">
        <f>CORREL(I16:M16,I17:M17)</f>
        <v>-0.14386550617179239</v>
      </c>
    </row>
    <row r="22" spans="1:29">
      <c r="H22" s="66"/>
      <c r="W22" s="28"/>
      <c r="X22" s="28"/>
      <c r="Y22" s="28"/>
      <c r="Z22" s="28"/>
      <c r="AA22" s="28"/>
      <c r="AB22" s="28"/>
      <c r="AC22" s="28"/>
    </row>
    <row r="24" spans="1:29">
      <c r="B24" s="19" t="s">
        <v>526</v>
      </c>
      <c r="C24" s="19" t="s">
        <v>384</v>
      </c>
      <c r="D24" s="19" t="s">
        <v>385</v>
      </c>
      <c r="E24" s="19" t="s">
        <v>386</v>
      </c>
      <c r="F24" s="93" t="s">
        <v>387</v>
      </c>
      <c r="Q24" t="s">
        <v>1004</v>
      </c>
    </row>
    <row r="25" spans="1:29">
      <c r="A25" t="s">
        <v>160</v>
      </c>
      <c r="B25">
        <f>MIN(B6:B15)</f>
        <v>5</v>
      </c>
      <c r="C25">
        <f>MIN(C6:C15)</f>
        <v>9</v>
      </c>
      <c r="D25">
        <f>MIN(D6:D15)</f>
        <v>6</v>
      </c>
      <c r="E25">
        <f>MIN(E6:E15)</f>
        <v>15</v>
      </c>
      <c r="F25">
        <f>MIN(F6:F15)</f>
        <v>21</v>
      </c>
    </row>
    <row r="26" spans="1:29">
      <c r="A26" t="s">
        <v>161</v>
      </c>
      <c r="B26">
        <f>QUARTILE(B6:B15,1)-B25</f>
        <v>6.25</v>
      </c>
      <c r="C26">
        <f>QUARTILE(C6:C15,1)-C25</f>
        <v>6.5</v>
      </c>
      <c r="D26">
        <f>QUARTILE(D6:D15,1)-D25</f>
        <v>7.25</v>
      </c>
      <c r="E26">
        <f>QUARTILE(E6:E15,1)-E25</f>
        <v>7.5</v>
      </c>
      <c r="F26">
        <f>QUARTILE(F6:F15,1)-F25</f>
        <v>33</v>
      </c>
      <c r="Q26" t="s">
        <v>1002</v>
      </c>
      <c r="W26" t="s">
        <v>885</v>
      </c>
    </row>
    <row r="27" spans="1:29">
      <c r="A27" t="s">
        <v>162</v>
      </c>
      <c r="B27">
        <f>MEDIAN(B6:B15)-QUARTILE(B6:B15,1)</f>
        <v>1.25</v>
      </c>
      <c r="C27">
        <f>MEDIAN(C6:C15)-QUARTILE(C6:C15,1)</f>
        <v>24</v>
      </c>
      <c r="D27">
        <f>MEDIAN(D6:D15)-QUARTILE(D6:D15,1)</f>
        <v>5.25</v>
      </c>
      <c r="E27">
        <f>MEDIAN(E6:E15)-QUARTILE(E6:E15,1)</f>
        <v>10.5</v>
      </c>
      <c r="F27">
        <f>MEDIAN(F6:F15)-QUARTILE(F6:F15,1)</f>
        <v>3</v>
      </c>
    </row>
    <row r="28" spans="1:29" ht="15" thickBot="1">
      <c r="A28" t="s">
        <v>163</v>
      </c>
      <c r="B28">
        <f>QUARTILE(B6:B15,3)-MEDIAN(B6:B15)</f>
        <v>5.5</v>
      </c>
      <c r="C28">
        <f>QUARTILE(C6:C15,3)-MEDIAN(C6:C15)</f>
        <v>15.75</v>
      </c>
      <c r="D28">
        <f>QUARTILE(D6:D15,3)-MEDIAN(D6:D15)</f>
        <v>12</v>
      </c>
      <c r="E28">
        <f>QUARTILE(E6:E15,3)-MEDIAN(E6:E15)</f>
        <v>8.5</v>
      </c>
      <c r="F28">
        <f>QUARTILE(F6:F15,3)-MEDIAN(F6:F15)</f>
        <v>7</v>
      </c>
      <c r="Q28" s="19" t="s">
        <v>526</v>
      </c>
      <c r="R28" s="19" t="s">
        <v>384</v>
      </c>
      <c r="S28" s="19" t="s">
        <v>385</v>
      </c>
      <c r="T28" s="19" t="s">
        <v>386</v>
      </c>
      <c r="U28" s="93" t="s">
        <v>387</v>
      </c>
      <c r="W28" t="s">
        <v>194</v>
      </c>
    </row>
    <row r="29" spans="1:29">
      <c r="A29" t="s">
        <v>164</v>
      </c>
      <c r="B29">
        <f>MAX(B6:B15)-QUARTILE(B6:B15,3)</f>
        <v>14</v>
      </c>
      <c r="C29">
        <f>MAX(C6:C15)-QUARTILE(C6:C15,3)</f>
        <v>7.75</v>
      </c>
      <c r="D29">
        <f>MAX(D6:D15)-QUARTILE(D6:D15,3)</f>
        <v>11.5</v>
      </c>
      <c r="E29">
        <f>MAX(E6:E15)-QUARTILE(E6:E15,3)</f>
        <v>26.5</v>
      </c>
      <c r="F29">
        <f>MAX(F6:F15)-QUARTILE(F6:F15,3)</f>
        <v>27</v>
      </c>
      <c r="Q29" s="364">
        <f>ABS(I6-I$19)</f>
        <v>0.40858767914267524</v>
      </c>
      <c r="R29" s="365">
        <f>ABS(J6-J$19)</f>
        <v>0.22197644573350406</v>
      </c>
      <c r="S29" s="365">
        <f>ABS(K6-K$19)</f>
        <v>0.48501838831127841</v>
      </c>
      <c r="T29" s="365">
        <f>ABS(L6-L$19)</f>
        <v>0.34222318862539924</v>
      </c>
      <c r="U29" s="366">
        <f>ABS(M6-M$19)</f>
        <v>1.5512166178247577E-2</v>
      </c>
      <c r="W29" s="362" t="s">
        <v>222</v>
      </c>
      <c r="X29" s="362" t="s">
        <v>88</v>
      </c>
      <c r="Y29" s="362" t="s">
        <v>87</v>
      </c>
      <c r="Z29" s="362" t="s">
        <v>886</v>
      </c>
      <c r="AA29" s="362" t="s">
        <v>223</v>
      </c>
    </row>
    <row r="30" spans="1:29">
      <c r="Q30" s="7">
        <f t="shared" ref="Q30:Q36" si="6">ABS(I7-I$19)</f>
        <v>1.7381053129605917E-2</v>
      </c>
      <c r="R30" s="8">
        <f t="shared" ref="R30:R36" si="7">ABS(J7-J$19)</f>
        <v>0.46342075141324091</v>
      </c>
      <c r="S30" s="8">
        <f t="shared" ref="S30:S36" si="8">ABS(K7-K$19)</f>
        <v>5.9049656038997256E-2</v>
      </c>
      <c r="T30" s="8">
        <f t="shared" ref="T30:T36" si="9">ABS(L7-L$19)</f>
        <v>0.3141944650251558</v>
      </c>
      <c r="U30" s="9">
        <f t="shared" ref="U30:U37" si="10">ABS(M7-M$19)</f>
        <v>1.4977155969652767E-2</v>
      </c>
      <c r="W30" s="28" t="s">
        <v>526</v>
      </c>
      <c r="X30" s="28">
        <v>10</v>
      </c>
      <c r="Y30" s="28">
        <v>1.5633931804286405</v>
      </c>
      <c r="Z30" s="28">
        <v>0.15633931804286405</v>
      </c>
      <c r="AA30" s="28">
        <v>2.2752718428177721E-2</v>
      </c>
    </row>
    <row r="31" spans="1:29">
      <c r="Q31" s="7">
        <f t="shared" si="6"/>
        <v>0.18219130177559806</v>
      </c>
      <c r="R31" s="8">
        <f t="shared" si="7"/>
        <v>0.17082392328612284</v>
      </c>
      <c r="S31" s="8">
        <f t="shared" si="8"/>
        <v>0.22819205513935059</v>
      </c>
      <c r="T31" s="8">
        <f t="shared" si="9"/>
        <v>0.17188163234743303</v>
      </c>
      <c r="U31" s="9">
        <f t="shared" si="10"/>
        <v>0.43365556093857216</v>
      </c>
      <c r="W31" s="28" t="s">
        <v>384</v>
      </c>
      <c r="X31" s="28">
        <v>10</v>
      </c>
      <c r="Y31" s="28">
        <v>2.8462400429050754</v>
      </c>
      <c r="Z31" s="28">
        <v>0.28462400429050755</v>
      </c>
      <c r="AA31" s="28">
        <v>3.3765538613396928E-2</v>
      </c>
    </row>
    <row r="32" spans="1:29">
      <c r="Q32" s="7">
        <f t="shared" si="6"/>
        <v>7.9528959878450545E-2</v>
      </c>
      <c r="R32" s="8">
        <f t="shared" si="7"/>
        <v>0.13020607237785842</v>
      </c>
      <c r="S32" s="8">
        <f t="shared" si="8"/>
        <v>0.34961421802481341</v>
      </c>
      <c r="T32" s="8">
        <f t="shared" si="9"/>
        <v>7.2750159345418508E-2</v>
      </c>
      <c r="U32" s="9">
        <f t="shared" si="10"/>
        <v>0.20316653664860218</v>
      </c>
      <c r="W32" s="28" t="s">
        <v>385</v>
      </c>
      <c r="X32" s="28">
        <v>10</v>
      </c>
      <c r="Y32" s="28">
        <v>2.1904882665125163</v>
      </c>
      <c r="Z32" s="28">
        <v>0.21904882665125164</v>
      </c>
      <c r="AA32" s="28">
        <v>1.9540292928237682E-2</v>
      </c>
    </row>
    <row r="33" spans="1:29">
      <c r="Q33" s="7">
        <f t="shared" si="6"/>
        <v>1.7381053129605917E-2</v>
      </c>
      <c r="R33" s="8">
        <f t="shared" si="7"/>
        <v>0.53597141856185249</v>
      </c>
      <c r="S33" s="8">
        <f t="shared" si="8"/>
        <v>0.14922628638808533</v>
      </c>
      <c r="T33" s="8">
        <f t="shared" si="9"/>
        <v>0.15658661166348775</v>
      </c>
      <c r="U33" s="9">
        <f t="shared" si="10"/>
        <v>0.3245110915135041</v>
      </c>
      <c r="W33" s="28" t="s">
        <v>386</v>
      </c>
      <c r="X33" s="28">
        <v>8</v>
      </c>
      <c r="Y33" s="28">
        <v>1.2800601486764047</v>
      </c>
      <c r="Z33" s="28">
        <v>0.16000751858455059</v>
      </c>
      <c r="AA33" s="28">
        <v>1.559582690694915E-2</v>
      </c>
    </row>
    <row r="34" spans="1:29" ht="15" thickBot="1">
      <c r="Q34" s="7">
        <f t="shared" si="6"/>
        <v>0.14231978973790593</v>
      </c>
      <c r="R34" s="8">
        <f t="shared" si="7"/>
        <v>0.62312159428075276</v>
      </c>
      <c r="S34" s="8">
        <f t="shared" si="8"/>
        <v>0.11704160301668409</v>
      </c>
      <c r="T34" s="8">
        <f t="shared" si="9"/>
        <v>0.19609515294716129</v>
      </c>
      <c r="U34" s="9">
        <f t="shared" si="10"/>
        <v>5.0305118311395614E-2</v>
      </c>
      <c r="W34" s="31" t="s">
        <v>387</v>
      </c>
      <c r="X34" s="31">
        <v>9</v>
      </c>
      <c r="Y34" s="31">
        <v>1.1730567298574617</v>
      </c>
      <c r="Z34" s="31">
        <v>0.13033963665082907</v>
      </c>
      <c r="AA34" s="31">
        <v>2.4604678834067337E-2</v>
      </c>
    </row>
    <row r="35" spans="1:29">
      <c r="Q35" s="7">
        <f t="shared" si="6"/>
        <v>0.39759229484121195</v>
      </c>
      <c r="R35" s="8">
        <f t="shared" si="7"/>
        <v>0.21563626770248479</v>
      </c>
      <c r="S35" s="8">
        <f t="shared" si="8"/>
        <v>5.9049656038997256E-2</v>
      </c>
      <c r="T35" s="8">
        <f t="shared" si="9"/>
        <v>1.3164469361174547E-2</v>
      </c>
      <c r="U35" s="9">
        <f t="shared" si="10"/>
        <v>2.3481095849522848E-2</v>
      </c>
    </row>
    <row r="36" spans="1:29" ht="15" thickBot="1">
      <c r="Q36" s="7">
        <f t="shared" si="6"/>
        <v>0.24586038164497537</v>
      </c>
      <c r="R36" s="8">
        <f t="shared" si="7"/>
        <v>0.13020607237785864</v>
      </c>
      <c r="S36" s="8">
        <f t="shared" si="8"/>
        <v>0.19922835920403403</v>
      </c>
      <c r="T36" s="8">
        <f t="shared" si="9"/>
        <v>1.3164469361174547E-2</v>
      </c>
      <c r="U36" s="9">
        <f t="shared" si="10"/>
        <v>0</v>
      </c>
      <c r="W36" t="s">
        <v>695</v>
      </c>
    </row>
    <row r="37" spans="1:29">
      <c r="Q37" s="7">
        <f t="shared" ref="Q37:S38" si="11">ABS(I14-I$19)</f>
        <v>5.5169614019005664E-2</v>
      </c>
      <c r="R37" s="8">
        <f t="shared" si="11"/>
        <v>0.14691176588071131</v>
      </c>
      <c r="S37" s="8">
        <f t="shared" si="11"/>
        <v>0.18398839264729716</v>
      </c>
      <c r="T37" s="8"/>
      <c r="U37" s="9">
        <f t="shared" si="10"/>
        <v>0.10744800444796443</v>
      </c>
      <c r="W37" s="362" t="s">
        <v>887</v>
      </c>
      <c r="X37" s="362" t="s">
        <v>578</v>
      </c>
      <c r="Y37" s="362" t="s">
        <v>186</v>
      </c>
      <c r="Z37" s="362" t="s">
        <v>641</v>
      </c>
      <c r="AA37" s="362" t="s">
        <v>388</v>
      </c>
      <c r="AB37" s="362" t="s">
        <v>367</v>
      </c>
      <c r="AC37" s="362" t="s">
        <v>888</v>
      </c>
    </row>
    <row r="38" spans="1:29">
      <c r="Q38" s="234">
        <f t="shared" si="11"/>
        <v>1.7381053129605917E-2</v>
      </c>
      <c r="R38" s="11">
        <f t="shared" si="11"/>
        <v>0.20796573129068952</v>
      </c>
      <c r="S38" s="11">
        <f t="shared" si="11"/>
        <v>0.36007965170297851</v>
      </c>
      <c r="T38" s="11"/>
      <c r="U38" s="12"/>
      <c r="W38" s="28" t="s">
        <v>883</v>
      </c>
      <c r="X38" s="28">
        <v>0.14821325994609247</v>
      </c>
      <c r="Y38" s="28">
        <v>4</v>
      </c>
      <c r="Z38" s="28">
        <v>3.7053314986523117E-2</v>
      </c>
      <c r="AA38" s="28">
        <v>1.5711095158778194</v>
      </c>
      <c r="AB38" s="28">
        <v>0.19969665090150207</v>
      </c>
      <c r="AC38" s="28">
        <v>2.5942633713457632</v>
      </c>
    </row>
    <row r="39" spans="1:29">
      <c r="W39" s="28" t="s">
        <v>884</v>
      </c>
      <c r="X39" s="28">
        <v>0.99053516874949354</v>
      </c>
      <c r="Y39" s="28">
        <v>42</v>
      </c>
      <c r="Z39" s="28">
        <v>2.3584170684511751E-2</v>
      </c>
      <c r="AA39" s="28"/>
      <c r="AB39" s="28"/>
      <c r="AC39" s="28"/>
    </row>
    <row r="40" spans="1:29">
      <c r="B40" s="19" t="s">
        <v>526</v>
      </c>
      <c r="C40" s="19" t="s">
        <v>384</v>
      </c>
      <c r="D40" s="19" t="s">
        <v>385</v>
      </c>
      <c r="E40" s="19" t="s">
        <v>386</v>
      </c>
      <c r="F40" s="93" t="s">
        <v>387</v>
      </c>
      <c r="W40" s="28"/>
      <c r="X40" s="28"/>
      <c r="Y40" s="28"/>
      <c r="Z40" s="28"/>
      <c r="AA40" s="28"/>
      <c r="AB40" s="28"/>
      <c r="AC40" s="28"/>
    </row>
    <row r="41" spans="1:29" ht="15" thickBot="1">
      <c r="A41" t="s">
        <v>160</v>
      </c>
      <c r="B41">
        <f>MIN(I6:I15)</f>
        <v>0.69897000433601886</v>
      </c>
      <c r="C41">
        <f>MIN(J6:J15)</f>
        <v>0.95424250943932487</v>
      </c>
      <c r="D41">
        <f>MIN(K6:K15)</f>
        <v>0.77815125038364363</v>
      </c>
      <c r="E41">
        <f>MIN(L6:L15)</f>
        <v>1.1760912590556813</v>
      </c>
      <c r="F41">
        <f>MIN(M6:M15)</f>
        <v>1.3222192947339193</v>
      </c>
      <c r="W41" s="31" t="s">
        <v>12</v>
      </c>
      <c r="X41" s="31">
        <v>1.138748428695586</v>
      </c>
      <c r="Y41" s="31">
        <v>46</v>
      </c>
      <c r="Z41" s="31"/>
      <c r="AA41" s="31"/>
      <c r="AB41" s="31"/>
      <c r="AC41" s="31"/>
    </row>
    <row r="42" spans="1:29">
      <c r="A42" t="s">
        <v>161</v>
      </c>
      <c r="B42">
        <f>QUARTILE(I6:I15,1)-B41</f>
        <v>0.35186982104455622</v>
      </c>
      <c r="C42">
        <f>QUARTILE(J6:J15,1)-C41</f>
        <v>0.22164696379520088</v>
      </c>
      <c r="D42">
        <f>QUARTILE(K6:K15,1)-D41</f>
        <v>0.3438382727660434</v>
      </c>
      <c r="E42">
        <f>QUARTILE(L6:L15,1)-E41</f>
        <v>0.17575944164099311</v>
      </c>
      <c r="F42">
        <f>QUARTILE(M6:M15,1)-F41</f>
        <v>0.41017446508904931</v>
      </c>
    </row>
    <row r="43" spans="1:29">
      <c r="A43" t="s">
        <v>162</v>
      </c>
      <c r="B43">
        <f>MEDIAN(I6:I15)-QUARTILE(I6:I15,1)</f>
        <v>4.5722473796655727E-2</v>
      </c>
      <c r="C43">
        <f>MEDIAN(J6:J15)-QUARTILE(J6:J15,1)</f>
        <v>0.40147463048555188</v>
      </c>
      <c r="D43">
        <f>MEDIAN(K6:K15)-QUARTILE(K6:K15,1)</f>
        <v>0.14118011554523502</v>
      </c>
      <c r="E43">
        <f>MEDIAN(L6:L15)-QUARTILE(L6:L15,1)</f>
        <v>0.16646374698440614</v>
      </c>
      <c r="F43">
        <f>MEDIAN(M6:M15)-QUARTILE(M6:M15,1)</f>
        <v>2.3481095849522848E-2</v>
      </c>
    </row>
    <row r="44" spans="1:29">
      <c r="A44" t="s">
        <v>163</v>
      </c>
      <c r="B44">
        <f>QUARTILE(I6:I15,3)-MEDIAN(I6:I15)</f>
        <v>0.15652571630131118</v>
      </c>
      <c r="C44">
        <f>QUARTILE(J6:J15,3)-MEDIAN(J6:J15)</f>
        <v>0.16484588393476995</v>
      </c>
      <c r="D44">
        <f>QUARTILE(K6:K15,3)-MEDIAN(K6:K15)</f>
        <v>0.22095113115552145</v>
      </c>
      <c r="E44">
        <f>QUARTILE(L6:L15,3)-MEDIAN(L6:L15)</f>
        <v>9.7533027595922084E-2</v>
      </c>
      <c r="F44">
        <f>QUARTILE(M6:M15,3)-MEDIAN(M6:M15)</f>
        <v>5.0305118311395614E-2</v>
      </c>
      <c r="Q44" t="s">
        <v>1000</v>
      </c>
      <c r="W44" t="s">
        <v>885</v>
      </c>
    </row>
    <row r="45" spans="1:29">
      <c r="A45" t="s">
        <v>164</v>
      </c>
      <c r="B45">
        <f>MAX(I6:I15)-QUARTILE(I6:I15,3)</f>
        <v>0.25206196284136406</v>
      </c>
      <c r="C45">
        <f>MAX(J6:J15)-QUARTILE(J6:J15,3)</f>
        <v>5.7130561798734103E-2</v>
      </c>
      <c r="D45">
        <f>MAX(K6:K15)-QUARTILE(K6:K15,3)</f>
        <v>0.13912852054745706</v>
      </c>
      <c r="E45">
        <f>MAX(L6:L15)-QUARTILE(L6:L15,3)</f>
        <v>0.21666143742923372</v>
      </c>
      <c r="F45">
        <f>MAX(M6:M15)-QUARTILE(M6:M15,3)</f>
        <v>0.15286141833720657</v>
      </c>
    </row>
    <row r="46" spans="1:29" ht="15" thickBot="1">
      <c r="Q46" s="19" t="s">
        <v>526</v>
      </c>
      <c r="R46" s="19" t="s">
        <v>384</v>
      </c>
      <c r="S46" s="19" t="s">
        <v>385</v>
      </c>
      <c r="T46" s="19" t="s">
        <v>386</v>
      </c>
      <c r="U46" s="93" t="s">
        <v>387</v>
      </c>
      <c r="W46" t="s">
        <v>194</v>
      </c>
    </row>
    <row r="47" spans="1:29">
      <c r="Q47" s="364">
        <v>1.505149978319906</v>
      </c>
      <c r="R47" s="365">
        <v>1.7993405494535817</v>
      </c>
      <c r="S47" s="365">
        <v>0.77815125038364363</v>
      </c>
      <c r="T47" s="365">
        <v>1.1760912590556813</v>
      </c>
      <c r="U47" s="366">
        <v>1.7403626894942439</v>
      </c>
      <c r="W47" s="362" t="s">
        <v>222</v>
      </c>
      <c r="X47" s="362" t="s">
        <v>88</v>
      </c>
      <c r="Y47" s="362" t="s">
        <v>87</v>
      </c>
      <c r="Z47" s="362" t="s">
        <v>886</v>
      </c>
      <c r="AA47" s="362" t="s">
        <v>223</v>
      </c>
    </row>
    <row r="48" spans="1:29">
      <c r="Q48" s="7">
        <v>1.1139433523068367</v>
      </c>
      <c r="R48" s="8">
        <v>1.1139433523068367</v>
      </c>
      <c r="S48" s="8">
        <v>1.2041199826559248</v>
      </c>
      <c r="T48" s="8">
        <v>1.8325089127062364</v>
      </c>
      <c r="U48" s="9">
        <v>1.7708520116421442</v>
      </c>
      <c r="W48" s="28" t="s">
        <v>526</v>
      </c>
      <c r="X48" s="28">
        <v>10</v>
      </c>
      <c r="Y48" s="28">
        <v>1.5633931804286405</v>
      </c>
      <c r="Z48" s="28">
        <v>0.15633931804286405</v>
      </c>
      <c r="AA48" s="28">
        <v>2.2752718428177721E-2</v>
      </c>
    </row>
    <row r="49" spans="16:29">
      <c r="Q49" s="7">
        <v>1.2787536009528289</v>
      </c>
      <c r="R49" s="8">
        <v>1.7481880270062005</v>
      </c>
      <c r="S49" s="8">
        <v>1.4913616938342726</v>
      </c>
      <c r="T49" s="8">
        <v>1.6901960800285136</v>
      </c>
      <c r="U49" s="9">
        <v>1.3222192947339193</v>
      </c>
      <c r="W49" s="28" t="s">
        <v>384</v>
      </c>
      <c r="X49" s="28">
        <v>10</v>
      </c>
      <c r="Y49" s="28">
        <v>2.8462400429050754</v>
      </c>
      <c r="Z49" s="28">
        <v>0.28462400429050755</v>
      </c>
      <c r="AA49" s="28">
        <v>3.3765538613396928E-2</v>
      </c>
    </row>
    <row r="50" spans="16:29">
      <c r="Q50" s="7">
        <v>1.1760912590556813</v>
      </c>
      <c r="R50" s="8">
        <v>1.4471580313422192</v>
      </c>
      <c r="S50" s="8">
        <v>1.6127838567197355</v>
      </c>
      <c r="T50" s="8">
        <v>1.5910646070264991</v>
      </c>
      <c r="U50" s="9">
        <v>1.9590413923210936</v>
      </c>
      <c r="W50" s="28" t="s">
        <v>385</v>
      </c>
      <c r="X50" s="28">
        <v>10</v>
      </c>
      <c r="Y50" s="28">
        <v>2.1904882665125163</v>
      </c>
      <c r="Z50" s="28">
        <v>0.21904882665125164</v>
      </c>
      <c r="AA50" s="28">
        <v>1.9540292928237682E-2</v>
      </c>
    </row>
    <row r="51" spans="16:29">
      <c r="Q51" s="7">
        <v>1.0791812460476249</v>
      </c>
      <c r="R51" s="8">
        <v>1.0413926851582251</v>
      </c>
      <c r="S51" s="8">
        <v>1.1139433523068367</v>
      </c>
      <c r="T51" s="8">
        <v>1.3617278360175928</v>
      </c>
      <c r="U51" s="9">
        <v>1.4313637641589874</v>
      </c>
      <c r="W51" s="28" t="s">
        <v>386</v>
      </c>
      <c r="X51" s="28">
        <v>8</v>
      </c>
      <c r="Y51" s="28">
        <v>1.2800601486764047</v>
      </c>
      <c r="Z51" s="28">
        <v>0.16000751858455059</v>
      </c>
      <c r="AA51" s="28">
        <v>1.559582690694915E-2</v>
      </c>
    </row>
    <row r="52" spans="16:29" ht="15" thickBot="1">
      <c r="Q52" s="7">
        <v>0.95424250943932487</v>
      </c>
      <c r="R52" s="8">
        <v>0.95424250943932487</v>
      </c>
      <c r="S52" s="8">
        <v>1.146128035678238</v>
      </c>
      <c r="T52" s="8">
        <v>1.3222192947339193</v>
      </c>
      <c r="U52" s="9">
        <v>1.8061799739838871</v>
      </c>
      <c r="W52" s="31" t="s">
        <v>387</v>
      </c>
      <c r="X52" s="31">
        <v>9</v>
      </c>
      <c r="Y52" s="31">
        <v>1.1730567298574617</v>
      </c>
      <c r="Z52" s="31">
        <v>0.13033963665082907</v>
      </c>
      <c r="AA52" s="31">
        <v>2.4604678834067337E-2</v>
      </c>
    </row>
    <row r="53" spans="16:29">
      <c r="Q53" s="7">
        <v>0.69897000433601886</v>
      </c>
      <c r="R53" s="8">
        <v>1.3617278360175928</v>
      </c>
      <c r="S53" s="8">
        <v>1.3222192947339193</v>
      </c>
      <c r="T53" s="8">
        <v>1.505149978319906</v>
      </c>
      <c r="U53" s="9">
        <v>1.7323937598229686</v>
      </c>
    </row>
    <row r="54" spans="16:29" ht="15" thickBot="1">
      <c r="Q54" s="7">
        <v>1.3424226808222062</v>
      </c>
      <c r="R54" s="8">
        <v>1.7075701760979363</v>
      </c>
      <c r="S54" s="8">
        <v>1.4623979978989561</v>
      </c>
      <c r="T54" s="8">
        <v>1.5314789170422551</v>
      </c>
      <c r="U54" s="9">
        <v>1.7558748556724915</v>
      </c>
      <c r="W54" t="s">
        <v>695</v>
      </c>
    </row>
    <row r="55" spans="16:29">
      <c r="Q55" s="7">
        <v>1.0413926851582251</v>
      </c>
      <c r="R55" s="8">
        <v>1.7242758696007889</v>
      </c>
      <c r="S55" s="8">
        <v>1.0791812460476249</v>
      </c>
      <c r="T55" s="66"/>
      <c r="U55" s="367">
        <v>1.8633228601204559</v>
      </c>
      <c r="W55" s="362" t="s">
        <v>887</v>
      </c>
      <c r="X55" s="362" t="s">
        <v>578</v>
      </c>
      <c r="Y55" s="362" t="s">
        <v>186</v>
      </c>
      <c r="Z55" s="362" t="s">
        <v>641</v>
      </c>
      <c r="AA55" s="362" t="s">
        <v>388</v>
      </c>
      <c r="AB55" s="362" t="s">
        <v>367</v>
      </c>
      <c r="AC55" s="362" t="s">
        <v>888</v>
      </c>
    </row>
    <row r="56" spans="16:29">
      <c r="Q56" s="234">
        <v>1.0791812460476249</v>
      </c>
      <c r="R56" s="11">
        <v>1.7853298350107671</v>
      </c>
      <c r="S56" s="11">
        <v>1.6232492903979006</v>
      </c>
      <c r="T56" s="11"/>
      <c r="U56" s="12"/>
      <c r="W56" s="28" t="s">
        <v>883</v>
      </c>
      <c r="X56" s="28">
        <v>0.14821325994609247</v>
      </c>
      <c r="Y56" s="28">
        <v>4</v>
      </c>
      <c r="Z56" s="28">
        <v>3.7053314986523117E-2</v>
      </c>
      <c r="AA56" s="28">
        <v>1.5711095158778194</v>
      </c>
      <c r="AB56" s="28">
        <v>0.19969665090150207</v>
      </c>
      <c r="AC56" s="28">
        <v>2.5942633713457632</v>
      </c>
    </row>
    <row r="57" spans="16:29">
      <c r="P57" t="s">
        <v>63</v>
      </c>
      <c r="Q57">
        <v>1.126932856248628</v>
      </c>
      <c r="R57">
        <v>1.4683168871433474</v>
      </c>
      <c r="S57">
        <v>1.2833536000657051</v>
      </c>
      <c r="T57">
        <v>1.5013046106163257</v>
      </c>
      <c r="U57">
        <v>1.7090678446611325</v>
      </c>
      <c r="W57" s="28" t="s">
        <v>884</v>
      </c>
      <c r="X57" s="28">
        <v>0.99053516874949354</v>
      </c>
      <c r="Y57" s="28">
        <v>42</v>
      </c>
      <c r="Z57" s="28">
        <v>2.3584170684511751E-2</v>
      </c>
      <c r="AA57" s="28"/>
      <c r="AB57" s="28"/>
      <c r="AC57" s="28"/>
    </row>
    <row r="58" spans="16:29">
      <c r="P58" t="s">
        <v>67</v>
      </c>
      <c r="Q58">
        <v>0.22110092771964845</v>
      </c>
      <c r="R58">
        <v>0.33251317956717924</v>
      </c>
      <c r="S58">
        <v>0.26907508203739272</v>
      </c>
      <c r="T58">
        <v>0.21100960029668439</v>
      </c>
      <c r="U58">
        <v>0.20310562279716773</v>
      </c>
      <c r="W58" s="28"/>
      <c r="X58" s="28"/>
      <c r="Y58" s="28"/>
      <c r="Z58" s="28"/>
      <c r="AA58" s="28"/>
      <c r="AB58" s="28"/>
      <c r="AC58" s="28"/>
    </row>
    <row r="59" spans="16:29" ht="15" thickBot="1">
      <c r="P59" t="s">
        <v>66</v>
      </c>
      <c r="Q59">
        <v>4.8885620238489205E-2</v>
      </c>
      <c r="R59">
        <v>0.11056501458587517</v>
      </c>
      <c r="S59">
        <v>7.2401399773429631E-2</v>
      </c>
      <c r="T59">
        <v>4.4525051417366512E-2</v>
      </c>
      <c r="U59">
        <v>4.1251894011825385E-2</v>
      </c>
      <c r="W59" s="31" t="s">
        <v>12</v>
      </c>
      <c r="X59" s="31">
        <v>1.138748428695586</v>
      </c>
      <c r="Y59" s="31">
        <v>46</v>
      </c>
      <c r="Z59" s="31"/>
      <c r="AA59" s="31"/>
      <c r="AB59" s="31"/>
      <c r="AC59" s="31"/>
    </row>
    <row r="60" spans="16:29">
      <c r="P60" s="66" t="s">
        <v>1001</v>
      </c>
      <c r="Q60">
        <v>1.0965622991772308</v>
      </c>
      <c r="R60">
        <v>1.5773641037200776</v>
      </c>
      <c r="S60">
        <v>1.263169638694922</v>
      </c>
      <c r="T60">
        <v>1.5183144476810806</v>
      </c>
      <c r="U60">
        <v>1.7558748556724915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>
  <sheetPr codeName="Sheet101"/>
  <dimension ref="A1:J28"/>
  <sheetViews>
    <sheetView zoomScaleNormal="100" workbookViewId="0"/>
  </sheetViews>
  <sheetFormatPr defaultRowHeight="14.4"/>
  <cols>
    <col min="2" max="10" width="11.109375" customWidth="1"/>
  </cols>
  <sheetData>
    <row r="1" spans="1:7">
      <c r="A1" s="1" t="s">
        <v>924</v>
      </c>
    </row>
    <row r="3" spans="1:7">
      <c r="B3" s="279" t="s">
        <v>139</v>
      </c>
      <c r="C3" s="279" t="s">
        <v>140</v>
      </c>
      <c r="D3" s="279" t="s">
        <v>150</v>
      </c>
      <c r="E3" s="279" t="s">
        <v>151</v>
      </c>
    </row>
    <row r="4" spans="1:7">
      <c r="B4" s="279">
        <v>51</v>
      </c>
      <c r="C4" s="279">
        <v>82</v>
      </c>
      <c r="D4" s="279">
        <v>79</v>
      </c>
      <c r="E4" s="279">
        <v>185</v>
      </c>
    </row>
    <row r="5" spans="1:7">
      <c r="B5" s="117">
        <v>87</v>
      </c>
      <c r="C5" s="117">
        <v>91</v>
      </c>
      <c r="D5" s="117">
        <v>84</v>
      </c>
      <c r="E5" s="117">
        <v>80</v>
      </c>
    </row>
    <row r="6" spans="1:7">
      <c r="B6" s="117">
        <v>50</v>
      </c>
      <c r="C6" s="117">
        <v>92</v>
      </c>
      <c r="D6" s="117">
        <v>74</v>
      </c>
      <c r="E6" s="117">
        <v>65</v>
      </c>
    </row>
    <row r="7" spans="1:7">
      <c r="B7" s="117">
        <v>48</v>
      </c>
      <c r="C7" s="117">
        <v>80</v>
      </c>
      <c r="D7" s="117">
        <v>98</v>
      </c>
      <c r="E7" s="117">
        <v>71</v>
      </c>
    </row>
    <row r="8" spans="1:7">
      <c r="B8" s="117">
        <v>79</v>
      </c>
      <c r="C8" s="117">
        <v>52</v>
      </c>
      <c r="D8" s="117">
        <v>63</v>
      </c>
      <c r="E8" s="117">
        <v>67</v>
      </c>
    </row>
    <row r="9" spans="1:7">
      <c r="B9" s="117">
        <v>61</v>
      </c>
      <c r="C9" s="117">
        <v>79</v>
      </c>
      <c r="D9" s="117">
        <v>83</v>
      </c>
      <c r="E9" s="117">
        <v>51</v>
      </c>
    </row>
    <row r="10" spans="1:7">
      <c r="B10" s="117">
        <v>53</v>
      </c>
      <c r="C10" s="117">
        <v>73</v>
      </c>
      <c r="D10" s="117">
        <v>85</v>
      </c>
      <c r="E10" s="117">
        <v>63</v>
      </c>
    </row>
    <row r="11" spans="1:7">
      <c r="B11" s="288">
        <v>54</v>
      </c>
      <c r="C11" s="288">
        <v>74</v>
      </c>
      <c r="D11" s="288">
        <v>58</v>
      </c>
      <c r="E11" s="288">
        <v>93</v>
      </c>
      <c r="F11" t="s">
        <v>918</v>
      </c>
    </row>
    <row r="12" spans="1:7" ht="15.6">
      <c r="A12" s="310" t="s">
        <v>891</v>
      </c>
      <c r="B12" s="252">
        <f>AVERAGE(B4:B11)</f>
        <v>60.375</v>
      </c>
      <c r="C12" s="252">
        <f>AVERAGE(C4:C11)</f>
        <v>77.875</v>
      </c>
      <c r="D12" s="252">
        <f>AVERAGE(D4:D11)</f>
        <v>78</v>
      </c>
      <c r="E12" s="252">
        <f>AVERAGE(E4:E11)</f>
        <v>84.375</v>
      </c>
      <c r="F12" s="319"/>
      <c r="G12" s="252"/>
    </row>
    <row r="13" spans="1:7" ht="15.6">
      <c r="A13" s="310" t="s">
        <v>925</v>
      </c>
      <c r="B13" s="252">
        <f>COUNT(B4:B11)-1</f>
        <v>7</v>
      </c>
      <c r="C13" s="252">
        <f>COUNT(C4:C11)-1</f>
        <v>7</v>
      </c>
      <c r="D13" s="252">
        <f>COUNT(D4:D11)-1</f>
        <v>7</v>
      </c>
      <c r="E13" s="252">
        <f>COUNT(E4:E11)-1</f>
        <v>7</v>
      </c>
      <c r="F13" s="117">
        <f>SUM(B13:E13)</f>
        <v>28</v>
      </c>
      <c r="G13" s="252"/>
    </row>
    <row r="14" spans="1:7" ht="16.8">
      <c r="A14" s="310" t="s">
        <v>912</v>
      </c>
      <c r="B14" s="288">
        <f>VAR(B4:B11)</f>
        <v>214.26785714285714</v>
      </c>
      <c r="C14" s="288">
        <f>VAR(C4:C11)</f>
        <v>157.55357142857142</v>
      </c>
      <c r="D14" s="288">
        <f>VAR(D4:D11)</f>
        <v>164.57142857142858</v>
      </c>
      <c r="E14" s="288">
        <f>VAR(E4:E11)</f>
        <v>1806.5535714285713</v>
      </c>
      <c r="F14" s="320">
        <f>SUMPRODUCT(B13:E13,B14:E14)</f>
        <v>16400.625</v>
      </c>
    </row>
    <row r="15" spans="1:7" ht="15.6">
      <c r="A15" s="310"/>
      <c r="E15" s="19" t="s">
        <v>902</v>
      </c>
      <c r="F15">
        <f>F14/F13</f>
        <v>585.73660714285711</v>
      </c>
    </row>
    <row r="16" spans="1:7" ht="15.6">
      <c r="A16" s="310"/>
      <c r="E16" s="309" t="s">
        <v>927</v>
      </c>
      <c r="F16" s="235">
        <f>SQRT(F15)</f>
        <v>24.201995933039431</v>
      </c>
    </row>
    <row r="18" spans="2:10">
      <c r="B18" t="s">
        <v>926</v>
      </c>
      <c r="G18" t="s">
        <v>924</v>
      </c>
      <c r="I18" s="93" t="s">
        <v>157</v>
      </c>
      <c r="J18">
        <v>0.02</v>
      </c>
    </row>
    <row r="20" spans="2:10">
      <c r="B20" s="279" t="s">
        <v>139</v>
      </c>
      <c r="C20" s="279" t="s">
        <v>140</v>
      </c>
      <c r="D20" s="279" t="s">
        <v>150</v>
      </c>
      <c r="E20" s="279" t="s">
        <v>151</v>
      </c>
      <c r="G20" s="279" t="s">
        <v>139</v>
      </c>
      <c r="H20" s="279" t="s">
        <v>140</v>
      </c>
      <c r="I20" s="279" t="s">
        <v>150</v>
      </c>
      <c r="J20" s="279" t="s">
        <v>151</v>
      </c>
    </row>
    <row r="21" spans="2:10">
      <c r="B21" s="315">
        <f t="shared" ref="B21:E28" si="0">(B4-B$12)/$F$16</f>
        <v>-0.3873647456985847</v>
      </c>
      <c r="C21" s="315">
        <f t="shared" si="0"/>
        <v>0.17044048810737727</v>
      </c>
      <c r="D21" s="315">
        <f t="shared" si="0"/>
        <v>4.1318906207849032E-2</v>
      </c>
      <c r="E21" s="315">
        <f t="shared" si="0"/>
        <v>4.1577149371648092</v>
      </c>
      <c r="G21" s="316" t="str">
        <f>IF(NORMSDIST(ABS(B21))&gt;1-$J$18/2,"outlier","ok")</f>
        <v>ok</v>
      </c>
      <c r="H21" s="316" t="str">
        <f>IF(NORMSDIST(ABS(C21))&gt;1-$J$18/2,"outlier","ok")</f>
        <v>ok</v>
      </c>
      <c r="I21" s="316" t="str">
        <f>IF(NORMSDIST(ABS(D21))&gt;1-$J$18/2,"outlier","ok")</f>
        <v>ok</v>
      </c>
      <c r="J21" s="316" t="str">
        <f>IF(NORMSDIST(ABS(E21))&gt;1-$J$18/2,"outlier","ok")</f>
        <v>outlier</v>
      </c>
    </row>
    <row r="22" spans="2:10">
      <c r="B22" s="42">
        <f t="shared" si="0"/>
        <v>1.1001158777839806</v>
      </c>
      <c r="C22" s="42">
        <f t="shared" si="0"/>
        <v>0.54231064397801854</v>
      </c>
      <c r="D22" s="42">
        <f t="shared" si="0"/>
        <v>0.24791343724709419</v>
      </c>
      <c r="E22" s="42">
        <f t="shared" si="0"/>
        <v>-0.18077021465933951</v>
      </c>
      <c r="G22" s="117" t="str">
        <f t="shared" ref="G22:G28" si="1">IF(NORMSDIST(ABS(B22))&gt;1-$J$18/2,"outlier","ok")</f>
        <v>ok</v>
      </c>
      <c r="H22" s="117" t="str">
        <f t="shared" ref="H22:H28" si="2">IF(NORMSDIST(ABS(C22))&gt;1-$J$18/2,"outlier","ok")</f>
        <v>ok</v>
      </c>
      <c r="I22" s="117" t="str">
        <f t="shared" ref="I22:I28" si="3">IF(NORMSDIST(ABS(D22))&gt;1-$J$18/2,"outlier","ok")</f>
        <v>ok</v>
      </c>
      <c r="J22" s="117" t="str">
        <f t="shared" ref="J22:J28" si="4">IF(NORMSDIST(ABS(E22))&gt;1-$J$18/2,"outlier","ok")</f>
        <v>ok</v>
      </c>
    </row>
    <row r="23" spans="2:10">
      <c r="B23" s="42">
        <f t="shared" si="0"/>
        <v>-0.4286836519064337</v>
      </c>
      <c r="C23" s="42">
        <f t="shared" si="0"/>
        <v>0.5836295501858676</v>
      </c>
      <c r="D23" s="42">
        <f t="shared" si="0"/>
        <v>-0.16527562483139613</v>
      </c>
      <c r="E23" s="42">
        <f t="shared" si="0"/>
        <v>-0.80055380777707508</v>
      </c>
      <c r="G23" s="117" t="str">
        <f t="shared" si="1"/>
        <v>ok</v>
      </c>
      <c r="H23" s="117" t="str">
        <f t="shared" si="2"/>
        <v>ok</v>
      </c>
      <c r="I23" s="117" t="str">
        <f t="shared" si="3"/>
        <v>ok</v>
      </c>
      <c r="J23" s="117" t="str">
        <f t="shared" si="4"/>
        <v>ok</v>
      </c>
    </row>
    <row r="24" spans="2:10">
      <c r="B24" s="42">
        <f t="shared" si="0"/>
        <v>-0.51132146432213177</v>
      </c>
      <c r="C24" s="42">
        <f t="shared" si="0"/>
        <v>8.7802675691679197E-2</v>
      </c>
      <c r="D24" s="42">
        <f t="shared" si="0"/>
        <v>0.82637812415698064</v>
      </c>
      <c r="E24" s="42">
        <f t="shared" si="0"/>
        <v>-0.55264037052998083</v>
      </c>
      <c r="G24" s="117" t="str">
        <f t="shared" si="1"/>
        <v>ok</v>
      </c>
      <c r="H24" s="117" t="str">
        <f t="shared" si="2"/>
        <v>ok</v>
      </c>
      <c r="I24" s="117" t="str">
        <f t="shared" si="3"/>
        <v>ok</v>
      </c>
      <c r="J24" s="117" t="str">
        <f t="shared" si="4"/>
        <v>ok</v>
      </c>
    </row>
    <row r="25" spans="2:10">
      <c r="B25" s="42">
        <f t="shared" si="0"/>
        <v>0.7695646281211882</v>
      </c>
      <c r="C25" s="42">
        <f t="shared" si="0"/>
        <v>-1.0691266981280938</v>
      </c>
      <c r="D25" s="42">
        <f t="shared" si="0"/>
        <v>-0.61978359311773545</v>
      </c>
      <c r="E25" s="42">
        <f t="shared" si="0"/>
        <v>-0.71791599536137696</v>
      </c>
      <c r="G25" s="117" t="str">
        <f t="shared" si="1"/>
        <v>ok</v>
      </c>
      <c r="H25" s="117" t="str">
        <f t="shared" si="2"/>
        <v>ok</v>
      </c>
      <c r="I25" s="117" t="str">
        <f t="shared" si="3"/>
        <v>ok</v>
      </c>
      <c r="J25" s="117" t="str">
        <f t="shared" si="4"/>
        <v>ok</v>
      </c>
    </row>
    <row r="26" spans="2:10">
      <c r="B26" s="42">
        <f t="shared" si="0"/>
        <v>2.5824316379905645E-2</v>
      </c>
      <c r="C26" s="42">
        <f t="shared" si="0"/>
        <v>4.6483769483830165E-2</v>
      </c>
      <c r="D26" s="42">
        <f t="shared" si="0"/>
        <v>0.20659453103924516</v>
      </c>
      <c r="E26" s="42">
        <f t="shared" si="0"/>
        <v>-1.3790184946869615</v>
      </c>
      <c r="G26" s="117" t="str">
        <f t="shared" si="1"/>
        <v>ok</v>
      </c>
      <c r="H26" s="117" t="str">
        <f t="shared" si="2"/>
        <v>ok</v>
      </c>
      <c r="I26" s="117" t="str">
        <f t="shared" si="3"/>
        <v>ok</v>
      </c>
      <c r="J26" s="117" t="str">
        <f t="shared" si="4"/>
        <v>ok</v>
      </c>
    </row>
    <row r="27" spans="2:10">
      <c r="B27" s="42">
        <f t="shared" si="0"/>
        <v>-0.30472693328288664</v>
      </c>
      <c r="C27" s="42">
        <f t="shared" si="0"/>
        <v>-0.20142966776326404</v>
      </c>
      <c r="D27" s="42">
        <f t="shared" si="0"/>
        <v>0.28923234345494325</v>
      </c>
      <c r="E27" s="42">
        <f t="shared" si="0"/>
        <v>-0.88319162019277309</v>
      </c>
      <c r="G27" s="117" t="str">
        <f t="shared" si="1"/>
        <v>ok</v>
      </c>
      <c r="H27" s="117" t="str">
        <f t="shared" si="2"/>
        <v>ok</v>
      </c>
      <c r="I27" s="117" t="str">
        <f t="shared" si="3"/>
        <v>ok</v>
      </c>
      <c r="J27" s="117" t="str">
        <f t="shared" si="4"/>
        <v>ok</v>
      </c>
    </row>
    <row r="28" spans="2:10">
      <c r="B28" s="309">
        <f t="shared" si="0"/>
        <v>-0.26340802707503758</v>
      </c>
      <c r="C28" s="309">
        <f t="shared" si="0"/>
        <v>-0.16011076155541501</v>
      </c>
      <c r="D28" s="309">
        <f t="shared" si="0"/>
        <v>-0.82637812415698064</v>
      </c>
      <c r="E28" s="309">
        <f t="shared" si="0"/>
        <v>0.35637556604269793</v>
      </c>
      <c r="G28" s="288" t="str">
        <f t="shared" si="1"/>
        <v>ok</v>
      </c>
      <c r="H28" s="288" t="str">
        <f t="shared" si="2"/>
        <v>ok</v>
      </c>
      <c r="I28" s="288" t="str">
        <f t="shared" si="3"/>
        <v>ok</v>
      </c>
      <c r="J28" s="288" t="str">
        <f t="shared" si="4"/>
        <v>ok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sheetPr codeName="Sheet236"/>
  <dimension ref="A1:X41"/>
  <sheetViews>
    <sheetView workbookViewId="0">
      <selection activeCell="I22" sqref="I22"/>
    </sheetView>
  </sheetViews>
  <sheetFormatPr defaultRowHeight="14.4"/>
  <cols>
    <col min="1" max="1" width="9" customWidth="1"/>
    <col min="2" max="4" width="7" customWidth="1"/>
    <col min="6" max="6" width="12.33203125" customWidth="1"/>
    <col min="7" max="9" width="7" customWidth="1"/>
    <col min="10" max="10" width="8.33203125" customWidth="1"/>
    <col min="12" max="12" width="17.33203125" customWidth="1"/>
  </cols>
  <sheetData>
    <row r="1" spans="1:24">
      <c r="A1" s="1" t="s">
        <v>2002</v>
      </c>
    </row>
    <row r="3" spans="1:24">
      <c r="A3" s="1" t="s">
        <v>2003</v>
      </c>
      <c r="F3" s="25" t="s">
        <v>2004</v>
      </c>
      <c r="L3" t="s">
        <v>885</v>
      </c>
      <c r="T3" t="s">
        <v>2734</v>
      </c>
    </row>
    <row r="4" spans="1:24">
      <c r="B4" s="834" t="s">
        <v>216</v>
      </c>
      <c r="C4" s="834" t="s">
        <v>217</v>
      </c>
      <c r="D4" s="834" t="s">
        <v>239</v>
      </c>
      <c r="G4" s="834" t="s">
        <v>216</v>
      </c>
      <c r="H4" s="834" t="s">
        <v>217</v>
      </c>
      <c r="I4" s="834" t="s">
        <v>239</v>
      </c>
    </row>
    <row r="5" spans="1:24" ht="15" thickBot="1">
      <c r="B5" s="855">
        <v>46</v>
      </c>
      <c r="C5" s="856">
        <v>44</v>
      </c>
      <c r="D5" s="857">
        <v>26</v>
      </c>
      <c r="E5" s="8"/>
      <c r="G5" s="850" t="e">
        <f ca="1">IF(ISNUMBER(B5), [1]!RANK_AVG(B5,$B$5:$D$14,1),"")</f>
        <v>#NAME?</v>
      </c>
      <c r="H5" s="851" t="e">
        <f ca="1">IF(ISNUMBER(C5), [1]!RANK_AVG(C5,$B$5:$D$14,1),"")</f>
        <v>#NAME?</v>
      </c>
      <c r="I5" s="852" t="e">
        <f ca="1">IF(ISNUMBER(D5), [1]!RANK_AVG(D5,$B$5:$D$14,1),"")</f>
        <v>#NAME?</v>
      </c>
      <c r="L5" t="s">
        <v>194</v>
      </c>
      <c r="T5" t="s">
        <v>2735</v>
      </c>
    </row>
    <row r="6" spans="1:24">
      <c r="B6" s="664">
        <v>32</v>
      </c>
      <c r="C6" s="835">
        <v>31</v>
      </c>
      <c r="D6" s="618">
        <v>49</v>
      </c>
      <c r="E6" s="8"/>
      <c r="G6" s="656" t="e">
        <f ca="1">IF(ISNUMBER(B6), [1]!RANK_AVG(B6,$B$5:$D$14,1),"")</f>
        <v>#NAME?</v>
      </c>
      <c r="H6" s="8" t="e">
        <f ca="1">IF(ISNUMBER(C6), [1]!RANK_AVG(C6,$B$5:$D$14,1),"")</f>
        <v>#NAME?</v>
      </c>
      <c r="I6" s="657" t="e">
        <f ca="1">IF(ISNUMBER(D6), [1]!RANK_AVG(D6,$B$5:$D$14,1),"")</f>
        <v>#NAME?</v>
      </c>
      <c r="L6" s="836" t="s">
        <v>222</v>
      </c>
      <c r="M6" s="836" t="s">
        <v>88</v>
      </c>
      <c r="N6" s="836" t="s">
        <v>87</v>
      </c>
      <c r="O6" s="836" t="s">
        <v>886</v>
      </c>
      <c r="P6" s="836" t="s">
        <v>223</v>
      </c>
    </row>
    <row r="7" spans="1:24">
      <c r="B7" s="664">
        <v>42</v>
      </c>
      <c r="C7" s="835">
        <v>25</v>
      </c>
      <c r="D7" s="618">
        <v>33</v>
      </c>
      <c r="E7" s="8"/>
      <c r="G7" s="656" t="e">
        <f ca="1">IF(ISNUMBER(B7), [1]!RANK_AVG(B7,$B$5:$D$14,1),"")</f>
        <v>#NAME?</v>
      </c>
      <c r="H7" s="8" t="e">
        <f ca="1">IF(ISNUMBER(C7), [1]!RANK_AVG(C7,$B$5:$D$14,1),"")</f>
        <v>#NAME?</v>
      </c>
      <c r="I7" s="657" t="e">
        <f ca="1">IF(ISNUMBER(D7), [1]!RANK_AVG(D7,$B$5:$D$14,1),"")</f>
        <v>#NAME?</v>
      </c>
      <c r="L7" s="28" t="s">
        <v>216</v>
      </c>
      <c r="M7" s="28">
        <v>10</v>
      </c>
      <c r="N7" s="28">
        <v>187.5</v>
      </c>
      <c r="O7" s="28">
        <v>18.75</v>
      </c>
      <c r="P7" s="28">
        <v>25.125</v>
      </c>
      <c r="U7" t="str">
        <f>B4</f>
        <v>New</v>
      </c>
      <c r="V7" t="str">
        <f>C4</f>
        <v>Old</v>
      </c>
      <c r="W7" t="str">
        <f>D4</f>
        <v>Control</v>
      </c>
    </row>
    <row r="8" spans="1:24">
      <c r="B8" s="664">
        <v>45</v>
      </c>
      <c r="C8" s="835">
        <v>22</v>
      </c>
      <c r="D8" s="618">
        <v>19</v>
      </c>
      <c r="E8" s="8"/>
      <c r="G8" s="656" t="e">
        <f ca="1">IF(ISNUMBER(B8), [1]!RANK_AVG(B8,$B$5:$D$14,1),"")</f>
        <v>#NAME?</v>
      </c>
      <c r="H8" s="8" t="e">
        <f ca="1">IF(ISNUMBER(C8), [1]!RANK_AVG(C8,$B$5:$D$14,1),"")</f>
        <v>#NAME?</v>
      </c>
      <c r="I8" s="657" t="e">
        <f ca="1">IF(ISNUMBER(D8), [1]!RANK_AVG(D8,$B$5:$D$14,1),"")</f>
        <v>#NAME?</v>
      </c>
      <c r="L8" s="28" t="s">
        <v>217</v>
      </c>
      <c r="M8" s="28">
        <v>9</v>
      </c>
      <c r="N8" s="28">
        <v>76.5</v>
      </c>
      <c r="O8" s="28">
        <v>8.5</v>
      </c>
      <c r="P8" s="28">
        <v>37.5</v>
      </c>
      <c r="T8" t="s">
        <v>1001</v>
      </c>
      <c r="U8" s="1046">
        <f>MEDIAN(B5:B14)</f>
        <v>43</v>
      </c>
      <c r="V8" s="1047">
        <f>MEDIAN(C5:C14)</f>
        <v>30</v>
      </c>
      <c r="W8" s="1048">
        <f>MEDIAN(D5:D14)</f>
        <v>35.5</v>
      </c>
    </row>
    <row r="9" spans="1:24" ht="15" thickBot="1">
      <c r="B9" s="664">
        <v>37</v>
      </c>
      <c r="C9" s="835">
        <v>30</v>
      </c>
      <c r="D9" s="618">
        <v>31</v>
      </c>
      <c r="E9" s="8"/>
      <c r="G9" s="656" t="e">
        <f ca="1">IF(ISNUMBER(B9), [1]!RANK_AVG(B9,$B$5:$D$14,1),"")</f>
        <v>#NAME?</v>
      </c>
      <c r="H9" s="8" t="e">
        <f ca="1">IF(ISNUMBER(C9), [1]!RANK_AVG(C9,$B$5:$D$14,1),"")</f>
        <v>#NAME?</v>
      </c>
      <c r="I9" s="657" t="e">
        <f ca="1">IF(ISNUMBER(D9), [1]!RANK_AVG(D9,$B$5:$D$14,1),"")</f>
        <v>#NAME?</v>
      </c>
      <c r="L9" s="31" t="s">
        <v>239</v>
      </c>
      <c r="M9" s="31">
        <v>8</v>
      </c>
      <c r="N9" s="31">
        <v>114</v>
      </c>
      <c r="O9" s="31">
        <v>14.25</v>
      </c>
      <c r="P9" s="31">
        <v>86.928571428571431</v>
      </c>
      <c r="T9" t="s">
        <v>1813</v>
      </c>
      <c r="U9" s="625" t="e">
        <f ca="1">[1]!RANK_SUM(B5:D14, 1,1)</f>
        <v>#NAME?</v>
      </c>
      <c r="V9" s="8" t="e">
        <f ca="1">[1]!RANK_SUM(B5:D14, 2,1)</f>
        <v>#NAME?</v>
      </c>
      <c r="W9" s="132" t="e">
        <f ca="1">[1]!RANK_SUM(B5:D14, 3,1)</f>
        <v>#NAME?</v>
      </c>
    </row>
    <row r="10" spans="1:24">
      <c r="B10" s="664">
        <v>44</v>
      </c>
      <c r="C10" s="835">
        <v>30</v>
      </c>
      <c r="D10" s="618">
        <v>38</v>
      </c>
      <c r="E10" s="8"/>
      <c r="G10" s="656" t="e">
        <f ca="1">IF(ISNUMBER(B10), [1]!RANK_AVG(B10,$B$5:$D$14,1),"")</f>
        <v>#NAME?</v>
      </c>
      <c r="H10" s="8" t="e">
        <f ca="1">IF(ISNUMBER(C10), [1]!RANK_AVG(C10,$B$5:$D$14,1),"")</f>
        <v>#NAME?</v>
      </c>
      <c r="I10" s="657" t="e">
        <f ca="1">IF(ISNUMBER(D10), [1]!RANK_AVG(D10,$B$5:$D$14,1),"")</f>
        <v>#NAME?</v>
      </c>
      <c r="T10" t="s">
        <v>554</v>
      </c>
      <c r="U10" s="625">
        <f>COUNT(B5:B14)</f>
        <v>10</v>
      </c>
      <c r="V10" s="8">
        <f>COUNT(C5:C14)</f>
        <v>9</v>
      </c>
      <c r="W10" s="132">
        <f>COUNT(D5:D14)</f>
        <v>8</v>
      </c>
      <c r="X10" s="1049">
        <f>SUM(U10:W10)</f>
        <v>27</v>
      </c>
    </row>
    <row r="11" spans="1:24">
      <c r="B11" s="664">
        <v>38</v>
      </c>
      <c r="C11" s="835">
        <v>32</v>
      </c>
      <c r="D11" s="618">
        <v>44</v>
      </c>
      <c r="E11" s="8"/>
      <c r="G11" s="656" t="e">
        <f ca="1">IF(ISNUMBER(B11), [1]!RANK_AVG(B11,$B$5:$D$14,1),"")</f>
        <v>#NAME?</v>
      </c>
      <c r="H11" s="8" t="e">
        <f ca="1">IF(ISNUMBER(C11), [1]!RANK_AVG(C11,$B$5:$D$14,1),"")</f>
        <v>#NAME?</v>
      </c>
      <c r="I11" s="657" t="e">
        <f ca="1">IF(ISNUMBER(D11), [1]!RANK_AVG(D11,$B$5:$D$14,1),"")</f>
        <v>#NAME?</v>
      </c>
      <c r="T11" t="s">
        <v>2736</v>
      </c>
      <c r="U11" s="497" t="e">
        <f ca="1">U9^2/U10</f>
        <v>#NAME?</v>
      </c>
      <c r="V11" s="615" t="e">
        <f ca="1">V9^2/V10</f>
        <v>#NAME?</v>
      </c>
      <c r="W11" s="498" t="e">
        <f ca="1">W9^2/W10</f>
        <v>#NAME?</v>
      </c>
      <c r="X11" s="946" t="e">
        <f ca="1">SUM(U11:W11)</f>
        <v>#NAME?</v>
      </c>
    </row>
    <row r="12" spans="1:24" ht="15" thickBot="1">
      <c r="B12" s="664">
        <v>47</v>
      </c>
      <c r="C12" s="835">
        <v>19</v>
      </c>
      <c r="D12" s="618">
        <v>50</v>
      </c>
      <c r="E12" s="8"/>
      <c r="G12" s="656" t="e">
        <f ca="1">IF(ISNUMBER(B12), [1]!RANK_AVG(B12,$B$5:$D$14,1),"")</f>
        <v>#NAME?</v>
      </c>
      <c r="H12" s="8" t="e">
        <f ca="1">IF(ISNUMBER(C12), [1]!RANK_AVG(C12,$B$5:$D$14,1),"")</f>
        <v>#NAME?</v>
      </c>
      <c r="I12" s="657" t="e">
        <f ca="1">IF(ISNUMBER(D12), [1]!RANK_AVG(D12,$B$5:$D$14,1),"")</f>
        <v>#NAME?</v>
      </c>
      <c r="L12" t="s">
        <v>695</v>
      </c>
      <c r="T12" t="s">
        <v>2008</v>
      </c>
      <c r="X12" s="946" t="e">
        <f ca="1">12*X11/(X10*(X10+1))-3*(X10+1)</f>
        <v>#NAME?</v>
      </c>
    </row>
    <row r="13" spans="1:24">
      <c r="B13" s="664">
        <v>49</v>
      </c>
      <c r="C13" s="835">
        <v>40</v>
      </c>
      <c r="D13" s="618"/>
      <c r="E13" s="8"/>
      <c r="G13" s="656" t="e">
        <f ca="1">IF(ISNUMBER(B13), [1]!RANK_AVG(B13,$B$5:$D$14,1),"")</f>
        <v>#NAME?</v>
      </c>
      <c r="H13" s="8" t="e">
        <f ca="1">IF(ISNUMBER(C13), [1]!RANK_AVG(C13,$B$5:$D$14,1),"")</f>
        <v>#NAME?</v>
      </c>
      <c r="I13" s="657" t="str">
        <f>IF(ISNUMBER(D13), [1]!RANK_AVG(D13,$B$5:$D$14,1),"")</f>
        <v/>
      </c>
      <c r="L13" s="836" t="s">
        <v>887</v>
      </c>
      <c r="M13" s="836" t="s">
        <v>578</v>
      </c>
      <c r="N13" s="836" t="s">
        <v>186</v>
      </c>
      <c r="O13" s="836" t="s">
        <v>641</v>
      </c>
      <c r="P13" s="836" t="s">
        <v>388</v>
      </c>
      <c r="Q13" s="836" t="s">
        <v>367</v>
      </c>
      <c r="R13" s="836" t="s">
        <v>888</v>
      </c>
      <c r="T13" t="s">
        <v>186</v>
      </c>
      <c r="X13" s="946">
        <f>COUNTA(U7:W7)-1</f>
        <v>2</v>
      </c>
    </row>
    <row r="14" spans="1:24">
      <c r="B14" s="560">
        <v>41</v>
      </c>
      <c r="C14" s="837"/>
      <c r="D14" s="90"/>
      <c r="E14" s="8"/>
      <c r="G14" s="533" t="e">
        <f ca="1">IF(ISNUMBER(B14), [1]!RANK_AVG(B14,$B$5:$D$14,1),"")</f>
        <v>#NAME?</v>
      </c>
      <c r="H14" s="11" t="str">
        <f>IF(ISNUMBER(C14), [1]!RANK_AVG(C14,$B$5:$D$14,1),"")</f>
        <v/>
      </c>
      <c r="I14" s="12" t="str">
        <f>IF(ISNUMBER(D14), [1]!RANK_AVG(D14,$B$5:$D$14,1),"")</f>
        <v/>
      </c>
      <c r="L14" s="28" t="s">
        <v>883</v>
      </c>
      <c r="M14" s="28">
        <v>498.375</v>
      </c>
      <c r="N14" s="28">
        <v>2</v>
      </c>
      <c r="O14" s="28">
        <v>249.1875</v>
      </c>
      <c r="P14" s="28">
        <v>5.2709044838603063</v>
      </c>
      <c r="Q14" s="28">
        <v>1.2658841571623478E-2</v>
      </c>
      <c r="R14" s="28">
        <v>3.4028261053501945</v>
      </c>
      <c r="T14" t="s">
        <v>200</v>
      </c>
      <c r="X14" s="946" t="e">
        <f ca="1">CHIDIST(X12,X13)</f>
        <v>#NAME?</v>
      </c>
    </row>
    <row r="15" spans="1:24">
      <c r="A15" t="s">
        <v>63</v>
      </c>
      <c r="B15">
        <f>AVERAGE(B5:B14)</f>
        <v>42.1</v>
      </c>
      <c r="C15">
        <f>AVERAGE(C5:C14)</f>
        <v>30.333333333333332</v>
      </c>
      <c r="D15">
        <f>AVERAGE(D5:D14)</f>
        <v>36.25</v>
      </c>
      <c r="F15" t="s">
        <v>2005</v>
      </c>
      <c r="G15" s="850" t="e">
        <f ca="1">SUM(G5:G14)</f>
        <v>#NAME?</v>
      </c>
      <c r="H15" s="851" t="e">
        <f ca="1">SUM(H5:H14)</f>
        <v>#NAME?</v>
      </c>
      <c r="I15" s="852" t="e">
        <f ca="1">SUM(I5:I14)</f>
        <v>#NAME?</v>
      </c>
      <c r="L15" s="28" t="s">
        <v>884</v>
      </c>
      <c r="M15" s="28">
        <v>1134.625</v>
      </c>
      <c r="N15" s="28">
        <v>24</v>
      </c>
      <c r="O15" s="28">
        <v>47.276041666666664</v>
      </c>
      <c r="P15" s="28"/>
      <c r="Q15" s="28"/>
      <c r="R15" s="28"/>
      <c r="T15" t="s">
        <v>337</v>
      </c>
      <c r="X15" s="946">
        <v>0.05</v>
      </c>
    </row>
    <row r="16" spans="1:24">
      <c r="A16" t="s">
        <v>66</v>
      </c>
      <c r="B16">
        <f>VAR(B5:B14)</f>
        <v>27.211111111111272</v>
      </c>
      <c r="C16">
        <f>VAR(C5:C14)</f>
        <v>63.75</v>
      </c>
      <c r="D16">
        <f>VAR(D5:D14)</f>
        <v>122.21428571428571</v>
      </c>
      <c r="F16" t="s">
        <v>2006</v>
      </c>
      <c r="G16" s="656">
        <f ca="1">COUNT(G5:G14)</f>
        <v>0</v>
      </c>
      <c r="H16" s="8">
        <f ca="1">COUNT(H5:H14)</f>
        <v>0</v>
      </c>
      <c r="I16" s="657">
        <f ca="1">COUNT(I5:I14)</f>
        <v>0</v>
      </c>
      <c r="J16" s="853">
        <f ca="1">SUM(G16:I16)</f>
        <v>0</v>
      </c>
      <c r="L16" s="28"/>
      <c r="M16" s="28"/>
      <c r="N16" s="28"/>
      <c r="O16" s="28"/>
      <c r="P16" s="28"/>
      <c r="Q16" s="28"/>
      <c r="R16" s="28"/>
      <c r="T16" t="s">
        <v>948</v>
      </c>
      <c r="X16" s="971" t="e">
        <f ca="1">IF(X14&lt;X15,"yes","no")</f>
        <v>#NAME?</v>
      </c>
    </row>
    <row r="17" spans="1:18" ht="16.8" thickBot="1">
      <c r="F17" s="65" t="s">
        <v>2007</v>
      </c>
      <c r="G17" s="533" t="e">
        <f ca="1">G15^2/G16</f>
        <v>#NAME?</v>
      </c>
      <c r="H17" s="11" t="e">
        <f ca="1">H15^2/H16</f>
        <v>#NAME?</v>
      </c>
      <c r="I17" s="12" t="e">
        <f ca="1">I15^2/I16</f>
        <v>#NAME?</v>
      </c>
      <c r="J17" s="544" t="e">
        <f ca="1">SUM(G17:I17)</f>
        <v>#NAME?</v>
      </c>
      <c r="L17" s="31" t="s">
        <v>12</v>
      </c>
      <c r="M17" s="31">
        <v>1633</v>
      </c>
      <c r="N17" s="31">
        <v>26</v>
      </c>
      <c r="O17" s="31"/>
      <c r="P17" s="31"/>
      <c r="Q17" s="31"/>
      <c r="R17" s="31"/>
    </row>
    <row r="18" spans="1:18">
      <c r="F18" s="493" t="s">
        <v>2008</v>
      </c>
      <c r="J18" s="627" t="e">
        <f ca="1">12*J17/(J16*(J16+1))-3*(J16+1)</f>
        <v>#NAME?</v>
      </c>
    </row>
    <row r="19" spans="1:18" ht="15.6">
      <c r="F19" s="493" t="s">
        <v>186</v>
      </c>
      <c r="J19" s="627">
        <f>COUNTA(G4:I4)-1</f>
        <v>2</v>
      </c>
      <c r="L19" t="s">
        <v>2009</v>
      </c>
      <c r="M19" s="853">
        <f>M14</f>
        <v>498.375</v>
      </c>
    </row>
    <row r="20" spans="1:18">
      <c r="F20" s="493" t="s">
        <v>325</v>
      </c>
      <c r="J20" s="627" t="e">
        <f ca="1">CHIDIST(J18,J19)</f>
        <v>#NAME?</v>
      </c>
      <c r="L20" t="s">
        <v>2010</v>
      </c>
      <c r="M20" s="627">
        <f ca="1">J16*(J16+1)/12</f>
        <v>0</v>
      </c>
    </row>
    <row r="21" spans="1:18">
      <c r="F21" s="493" t="s">
        <v>157</v>
      </c>
      <c r="J21" s="627">
        <v>0.05</v>
      </c>
      <c r="L21" t="s">
        <v>2008</v>
      </c>
      <c r="M21" s="544" t="e">
        <f ca="1">M19/M20</f>
        <v>#DIV/0!</v>
      </c>
    </row>
    <row r="22" spans="1:18">
      <c r="F22" s="493" t="s">
        <v>948</v>
      </c>
      <c r="J22" s="538" t="e">
        <f ca="1">IF(J20&lt;J21,"yes","no")</f>
        <v>#NAME?</v>
      </c>
    </row>
    <row r="23" spans="1:18">
      <c r="L23" t="s">
        <v>1939</v>
      </c>
    </row>
    <row r="25" spans="1:18">
      <c r="L25" t="s">
        <v>2008</v>
      </c>
      <c r="M25" s="853" t="e">
        <f ca="1">[1]!KRUSKAL(B5:D14)</f>
        <v>#NAME?</v>
      </c>
    </row>
    <row r="26" spans="1:18">
      <c r="A26" s="1" t="s">
        <v>2011</v>
      </c>
      <c r="L26" t="s">
        <v>200</v>
      </c>
      <c r="M26" s="544" t="e">
        <f ca="1">[1]!Ktest(B5:D14)</f>
        <v>#NAME?</v>
      </c>
    </row>
    <row r="28" spans="1:18">
      <c r="B28" s="19" t="s">
        <v>106</v>
      </c>
      <c r="C28" s="19" t="s">
        <v>1111</v>
      </c>
      <c r="D28" s="19" t="s">
        <v>2012</v>
      </c>
    </row>
    <row r="29" spans="1:18">
      <c r="A29" t="s">
        <v>216</v>
      </c>
      <c r="B29" s="850">
        <f t="shared" ref="B29:C31" si="0">M7</f>
        <v>10</v>
      </c>
      <c r="C29" s="851">
        <f t="shared" si="0"/>
        <v>187.5</v>
      </c>
      <c r="D29" s="852">
        <f>C29/B29</f>
        <v>18.75</v>
      </c>
    </row>
    <row r="30" spans="1:18">
      <c r="A30" t="s">
        <v>217</v>
      </c>
      <c r="B30" s="656">
        <f t="shared" si="0"/>
        <v>9</v>
      </c>
      <c r="C30" s="8">
        <f t="shared" si="0"/>
        <v>76.5</v>
      </c>
      <c r="D30" s="657">
        <f>C30/B30</f>
        <v>8.5</v>
      </c>
    </row>
    <row r="31" spans="1:18">
      <c r="A31" t="s">
        <v>239</v>
      </c>
      <c r="B31" s="533">
        <f t="shared" si="0"/>
        <v>8</v>
      </c>
      <c r="C31" s="11">
        <f t="shared" si="0"/>
        <v>114</v>
      </c>
      <c r="D31" s="12">
        <f>C31/B31</f>
        <v>14.25</v>
      </c>
    </row>
    <row r="33" spans="1:4">
      <c r="A33" t="s">
        <v>106</v>
      </c>
      <c r="B33" s="853">
        <f>SUM(B29:B31)</f>
        <v>27</v>
      </c>
    </row>
    <row r="34" spans="1:4">
      <c r="A34" t="s">
        <v>169</v>
      </c>
      <c r="B34" s="627">
        <f>COUNTA(B4:D4)</f>
        <v>3</v>
      </c>
    </row>
    <row r="35" spans="1:4">
      <c r="A35" s="25" t="s">
        <v>157</v>
      </c>
      <c r="B35" s="627">
        <v>0.05</v>
      </c>
    </row>
    <row r="36" spans="1:4" ht="15.6">
      <c r="A36" t="s">
        <v>2013</v>
      </c>
      <c r="B36" s="544">
        <f>CHIINV(B35,B34-1)</f>
        <v>5.9914645471079817</v>
      </c>
    </row>
    <row r="38" spans="1:4">
      <c r="B38" s="19" t="s">
        <v>2014</v>
      </c>
      <c r="C38" s="19" t="s">
        <v>1867</v>
      </c>
      <c r="D38" s="19" t="s">
        <v>948</v>
      </c>
    </row>
    <row r="39" spans="1:4">
      <c r="A39" t="s">
        <v>2015</v>
      </c>
      <c r="B39" s="850">
        <f>ABS(D29-D30)</f>
        <v>10.25</v>
      </c>
      <c r="C39" s="851">
        <f>SQRT(B36*B33*(B33+1)/12*(1/B29+1/B30))</f>
        <v>8.926728318736723</v>
      </c>
      <c r="D39" s="854" t="str">
        <f>IF(B39&gt;C39,"yes","no")</f>
        <v>yes</v>
      </c>
    </row>
    <row r="40" spans="1:4">
      <c r="A40" t="s">
        <v>2016</v>
      </c>
      <c r="B40" s="656">
        <f>ABS(D29-D31)</f>
        <v>4.5</v>
      </c>
      <c r="C40" s="8">
        <f>SQRT(B36*B33*(B33+1)/12*(1/B29+1/B31))</f>
        <v>9.2156936773775016</v>
      </c>
      <c r="D40" s="838" t="str">
        <f>IF(B40&gt;C40,"yes","no")</f>
        <v>no</v>
      </c>
    </row>
    <row r="41" spans="1:4">
      <c r="A41" t="s">
        <v>2017</v>
      </c>
      <c r="B41" s="533">
        <f>ABS(D30-D31)</f>
        <v>5.75</v>
      </c>
      <c r="C41" s="11">
        <f>SQRT(B36*B33*(B33+1)/12*(1/B30+1/B31))</f>
        <v>9.4404997292638715</v>
      </c>
      <c r="D41" s="751" t="str">
        <f>IF(B41&gt;C41,"yes","no")</f>
        <v>no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sheetPr codeName="Sheet117"/>
  <dimension ref="A1:S23"/>
  <sheetViews>
    <sheetView workbookViewId="0"/>
  </sheetViews>
  <sheetFormatPr defaultRowHeight="14.4"/>
  <cols>
    <col min="1" max="4" width="9.109375" customWidth="1"/>
    <col min="5" max="5" width="7.6640625" customWidth="1"/>
    <col min="6" max="6" width="16.88671875" customWidth="1"/>
    <col min="7" max="7" width="8" customWidth="1"/>
    <col min="8" max="8" width="7.44140625" customWidth="1"/>
    <col min="9" max="9" width="8.33203125" customWidth="1"/>
    <col min="11" max="12" width="8.33203125" customWidth="1"/>
    <col min="13" max="13" width="4.6640625" customWidth="1"/>
    <col min="14" max="14" width="10.5546875" customWidth="1"/>
  </cols>
  <sheetData>
    <row r="1" spans="1:18">
      <c r="A1" s="1" t="s">
        <v>993</v>
      </c>
    </row>
    <row r="3" spans="1:18">
      <c r="A3" s="279" t="s">
        <v>139</v>
      </c>
      <c r="B3" s="279" t="s">
        <v>140</v>
      </c>
      <c r="C3" s="279" t="s">
        <v>150</v>
      </c>
      <c r="D3" s="279" t="s">
        <v>151</v>
      </c>
      <c r="F3" t="s">
        <v>885</v>
      </c>
      <c r="N3" t="s">
        <v>996</v>
      </c>
    </row>
    <row r="4" spans="1:18">
      <c r="A4" s="279">
        <v>51</v>
      </c>
      <c r="B4" s="279">
        <v>82</v>
      </c>
      <c r="C4" s="279">
        <v>79</v>
      </c>
      <c r="D4" s="279">
        <v>85</v>
      </c>
    </row>
    <row r="5" spans="1:18" ht="15" thickBot="1">
      <c r="A5" s="117">
        <v>87</v>
      </c>
      <c r="B5" s="117">
        <v>91</v>
      </c>
      <c r="C5" s="117">
        <v>84</v>
      </c>
      <c r="D5" s="117">
        <v>80</v>
      </c>
      <c r="F5" t="s">
        <v>194</v>
      </c>
    </row>
    <row r="6" spans="1:18">
      <c r="A6" s="117">
        <v>50</v>
      </c>
      <c r="B6" s="117">
        <v>92</v>
      </c>
      <c r="C6" s="117">
        <v>74</v>
      </c>
      <c r="D6" s="117">
        <v>65</v>
      </c>
      <c r="F6" s="329" t="s">
        <v>222</v>
      </c>
      <c r="G6" s="329" t="s">
        <v>88</v>
      </c>
      <c r="H6" s="329" t="s">
        <v>87</v>
      </c>
      <c r="I6" s="329" t="s">
        <v>886</v>
      </c>
      <c r="J6" s="329" t="s">
        <v>223</v>
      </c>
      <c r="N6" s="329" t="s">
        <v>997</v>
      </c>
      <c r="O6" s="329" t="s">
        <v>994</v>
      </c>
      <c r="P6" s="329" t="s">
        <v>995</v>
      </c>
    </row>
    <row r="7" spans="1:18">
      <c r="A7" s="117">
        <v>48</v>
      </c>
      <c r="B7" s="117">
        <v>80</v>
      </c>
      <c r="C7" s="117">
        <v>98</v>
      </c>
      <c r="D7" s="117">
        <v>71</v>
      </c>
      <c r="F7" s="28" t="s">
        <v>139</v>
      </c>
      <c r="G7" s="28">
        <v>8</v>
      </c>
      <c r="H7" s="28">
        <v>483</v>
      </c>
      <c r="I7" s="28">
        <v>60.375</v>
      </c>
      <c r="J7" s="28">
        <v>214.26785714285714</v>
      </c>
      <c r="N7" s="43">
        <f>(1-G7/$G$11)*J7</f>
        <v>160.70089285714286</v>
      </c>
      <c r="O7" s="19">
        <f>N7/$N$11</f>
        <v>0.2984454669817187</v>
      </c>
      <c r="P7" s="19">
        <f>O7^2/(G7-1)</f>
        <v>1.2724242394562307E-2</v>
      </c>
    </row>
    <row r="8" spans="1:18">
      <c r="A8" s="117">
        <v>79</v>
      </c>
      <c r="B8" s="117">
        <v>52</v>
      </c>
      <c r="C8" s="117">
        <v>63</v>
      </c>
      <c r="D8" s="117">
        <v>67</v>
      </c>
      <c r="F8" s="28" t="s">
        <v>140</v>
      </c>
      <c r="G8" s="28">
        <v>8</v>
      </c>
      <c r="H8" s="28">
        <v>623</v>
      </c>
      <c r="I8" s="28">
        <v>77.875</v>
      </c>
      <c r="J8" s="28">
        <v>157.55357142857142</v>
      </c>
      <c r="N8" s="43">
        <f>(1-G8/$G$11)*J8</f>
        <v>118.16517857142856</v>
      </c>
      <c r="O8" s="19">
        <f>N8/$N$11</f>
        <v>0.2194503171247357</v>
      </c>
      <c r="P8" s="19">
        <f>O8^2/(G8-1)</f>
        <v>6.8797773837352954E-3</v>
      </c>
    </row>
    <row r="9" spans="1:18">
      <c r="A9" s="117">
        <v>61</v>
      </c>
      <c r="B9" s="117">
        <v>79</v>
      </c>
      <c r="C9" s="117">
        <v>83</v>
      </c>
      <c r="D9" s="117">
        <v>51</v>
      </c>
      <c r="F9" s="28" t="s">
        <v>150</v>
      </c>
      <c r="G9" s="28">
        <v>8</v>
      </c>
      <c r="H9" s="28">
        <v>624</v>
      </c>
      <c r="I9" s="28">
        <v>78</v>
      </c>
      <c r="J9" s="28">
        <v>164.57142857142858</v>
      </c>
      <c r="N9" s="43">
        <f>(1-G9/$G$11)*J9</f>
        <v>123.42857142857144</v>
      </c>
      <c r="O9" s="19">
        <f>N9/$N$11</f>
        <v>0.22922522074368862</v>
      </c>
      <c r="P9" s="19">
        <f>O9^2/(G9-1)</f>
        <v>7.5063145464275395E-3</v>
      </c>
    </row>
    <row r="10" spans="1:18" ht="15" thickBot="1">
      <c r="A10" s="117">
        <v>53</v>
      </c>
      <c r="B10" s="117">
        <v>73</v>
      </c>
      <c r="C10" s="117">
        <v>85</v>
      </c>
      <c r="D10" s="117">
        <v>63</v>
      </c>
      <c r="F10" s="31" t="s">
        <v>151</v>
      </c>
      <c r="G10" s="31">
        <v>8</v>
      </c>
      <c r="H10" s="31">
        <v>575</v>
      </c>
      <c r="I10" s="31">
        <v>71.875</v>
      </c>
      <c r="J10" s="31">
        <v>181.55357142857142</v>
      </c>
      <c r="N10" s="305">
        <f>(1-G10/$G$11)*J10</f>
        <v>136.16517857142856</v>
      </c>
      <c r="O10" s="305">
        <f>N10/$N$11</f>
        <v>0.25287899514985696</v>
      </c>
      <c r="P10" s="305">
        <f>O10^2/(G10-1)</f>
        <v>9.1353980268573387E-3</v>
      </c>
    </row>
    <row r="11" spans="1:18">
      <c r="A11" s="328">
        <v>54</v>
      </c>
      <c r="B11" s="328">
        <v>74</v>
      </c>
      <c r="C11" s="328">
        <v>58</v>
      </c>
      <c r="D11" s="328">
        <v>93</v>
      </c>
      <c r="E11" s="327"/>
      <c r="F11" s="28" t="s">
        <v>12</v>
      </c>
      <c r="G11">
        <f>SUM(G7:G10)</f>
        <v>32</v>
      </c>
      <c r="N11" s="28">
        <f>SUM(N7:N10)</f>
        <v>538.45982142857144</v>
      </c>
      <c r="P11" s="28">
        <f>1/SUM(P7:P10)</f>
        <v>27.589454954311066</v>
      </c>
    </row>
    <row r="13" spans="1:18" ht="15" thickBot="1">
      <c r="F13" t="s">
        <v>695</v>
      </c>
    </row>
    <row r="14" spans="1:18">
      <c r="F14" s="329" t="s">
        <v>887</v>
      </c>
      <c r="G14" s="329" t="s">
        <v>578</v>
      </c>
      <c r="H14" s="329" t="s">
        <v>186</v>
      </c>
      <c r="I14" s="329" t="s">
        <v>641</v>
      </c>
      <c r="J14" s="329" t="s">
        <v>388</v>
      </c>
      <c r="K14" s="329" t="s">
        <v>367</v>
      </c>
      <c r="L14" s="329" t="s">
        <v>888</v>
      </c>
      <c r="N14" s="329" t="s">
        <v>998</v>
      </c>
      <c r="O14" s="329" t="s">
        <v>186</v>
      </c>
      <c r="P14" s="329" t="s">
        <v>388</v>
      </c>
      <c r="Q14" s="329" t="s">
        <v>367</v>
      </c>
      <c r="R14" s="329" t="s">
        <v>888</v>
      </c>
    </row>
    <row r="15" spans="1:18">
      <c r="F15" s="28" t="s">
        <v>883</v>
      </c>
      <c r="G15" s="28">
        <v>1645.34375</v>
      </c>
      <c r="H15" s="28">
        <v>3</v>
      </c>
      <c r="I15" s="28">
        <v>548.44791666666663</v>
      </c>
      <c r="J15" s="28">
        <v>3.0556481366330885</v>
      </c>
      <c r="K15" s="28">
        <v>4.4662597948147184E-2</v>
      </c>
      <c r="L15" s="28">
        <v>2.9466852660172647</v>
      </c>
      <c r="N15" s="28">
        <f>G15</f>
        <v>1645.34375</v>
      </c>
      <c r="O15" s="28">
        <v>3</v>
      </c>
      <c r="P15" s="28">
        <f>N15/N16</f>
        <v>3.0556481366330885</v>
      </c>
      <c r="Q15" s="28">
        <f>FDIST(P15,O15,O16)</f>
        <v>4.5340261877795773E-2</v>
      </c>
      <c r="R15" s="28">
        <f>FINV(0.05,O15,O16)</f>
        <v>2.9603513184112873</v>
      </c>
    </row>
    <row r="16" spans="1:18" ht="15" thickBot="1">
      <c r="F16" s="28" t="s">
        <v>884</v>
      </c>
      <c r="G16" s="28">
        <v>5025.625</v>
      </c>
      <c r="H16" s="28">
        <v>28</v>
      </c>
      <c r="I16" s="28">
        <v>179.48660714285714</v>
      </c>
      <c r="J16" s="28"/>
      <c r="K16" s="28"/>
      <c r="L16" s="28"/>
      <c r="N16" s="31">
        <f>N11</f>
        <v>538.45982142857144</v>
      </c>
      <c r="O16" s="31">
        <f>P11</f>
        <v>27.589454954311066</v>
      </c>
      <c r="P16" s="31"/>
      <c r="Q16" s="31"/>
      <c r="R16" s="31"/>
    </row>
    <row r="17" spans="6:19">
      <c r="F17" s="28"/>
      <c r="G17" s="28"/>
      <c r="H17" s="28"/>
      <c r="I17" s="28"/>
      <c r="J17" s="28"/>
      <c r="K17" s="28"/>
      <c r="L17" s="28"/>
      <c r="N17" s="28"/>
      <c r="O17" s="28"/>
      <c r="P17" s="28"/>
      <c r="Q17" s="28"/>
      <c r="R17" s="28"/>
    </row>
    <row r="18" spans="6:19" ht="15" thickBot="1">
      <c r="F18" s="31" t="s">
        <v>12</v>
      </c>
      <c r="G18" s="31">
        <v>6670.96875</v>
      </c>
      <c r="H18" s="31">
        <v>31</v>
      </c>
      <c r="I18" s="31"/>
      <c r="J18" s="31"/>
      <c r="K18" s="31"/>
      <c r="L18" s="31"/>
      <c r="N18" s="28"/>
      <c r="O18" s="28"/>
      <c r="P18" s="28"/>
      <c r="Q18" s="28"/>
      <c r="R18" s="28"/>
    </row>
    <row r="19" spans="6:19">
      <c r="N19" s="28" t="s">
        <v>2086</v>
      </c>
      <c r="O19" s="28"/>
      <c r="P19" s="28"/>
      <c r="Q19" s="28"/>
      <c r="R19" s="28"/>
      <c r="S19" s="28"/>
    </row>
    <row r="21" spans="6:19">
      <c r="N21" t="s">
        <v>2026</v>
      </c>
      <c r="O21" s="853" t="e">
        <f ca="1">[1]!fstar(A4:D11)</f>
        <v>#NAME?</v>
      </c>
    </row>
    <row r="22" spans="6:19">
      <c r="N22" t="s">
        <v>995</v>
      </c>
      <c r="O22" s="627" t="e">
        <f ca="1">[1]!dfstar(A4:D11)</f>
        <v>#NAME?</v>
      </c>
    </row>
    <row r="23" spans="6:19">
      <c r="N23" t="s">
        <v>200</v>
      </c>
      <c r="O23" s="544" t="e">
        <f ca="1">[1]!bftest(A4:D11)</f>
        <v>#NAME?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sheetPr codeName="Sheet118"/>
  <dimension ref="A1:U24"/>
  <sheetViews>
    <sheetView workbookViewId="0"/>
  </sheetViews>
  <sheetFormatPr defaultRowHeight="14.4"/>
  <cols>
    <col min="5" max="5" width="7.6640625" customWidth="1"/>
    <col min="6" max="6" width="16.88671875" customWidth="1"/>
    <col min="7" max="7" width="8" customWidth="1"/>
    <col min="8" max="8" width="7.44140625" customWidth="1"/>
    <col min="9" max="9" width="8.33203125" customWidth="1"/>
    <col min="11" max="12" width="8.33203125" customWidth="1"/>
    <col min="13" max="13" width="4.6640625" customWidth="1"/>
    <col min="14" max="14" width="10.5546875" customWidth="1"/>
  </cols>
  <sheetData>
    <row r="1" spans="1:21">
      <c r="A1" s="1" t="s">
        <v>993</v>
      </c>
    </row>
    <row r="2" spans="1:21">
      <c r="T2" t="s">
        <v>3217</v>
      </c>
    </row>
    <row r="3" spans="1:21">
      <c r="A3" s="279" t="s">
        <v>139</v>
      </c>
      <c r="B3" s="279" t="s">
        <v>140</v>
      </c>
      <c r="C3" s="279" t="s">
        <v>150</v>
      </c>
      <c r="D3" s="279" t="s">
        <v>151</v>
      </c>
      <c r="F3" t="s">
        <v>885</v>
      </c>
      <c r="N3" t="s">
        <v>996</v>
      </c>
    </row>
    <row r="4" spans="1:21">
      <c r="A4" s="279">
        <v>51</v>
      </c>
      <c r="B4" s="279">
        <v>82</v>
      </c>
      <c r="C4" s="279">
        <v>79</v>
      </c>
      <c r="D4" s="279">
        <v>85</v>
      </c>
      <c r="T4" t="s">
        <v>4110</v>
      </c>
    </row>
    <row r="5" spans="1:21" ht="15" thickBot="1">
      <c r="A5" s="844">
        <v>87</v>
      </c>
      <c r="B5" s="844">
        <v>91</v>
      </c>
      <c r="C5" s="844">
        <v>84</v>
      </c>
      <c r="D5" s="844">
        <v>80</v>
      </c>
      <c r="F5" t="s">
        <v>194</v>
      </c>
    </row>
    <row r="6" spans="1:21">
      <c r="A6" s="844">
        <v>50</v>
      </c>
      <c r="B6" s="844">
        <v>92</v>
      </c>
      <c r="C6" s="844">
        <v>74</v>
      </c>
      <c r="D6" s="844">
        <v>65</v>
      </c>
      <c r="F6" s="846" t="s">
        <v>222</v>
      </c>
      <c r="G6" s="846" t="s">
        <v>88</v>
      </c>
      <c r="H6" s="846" t="s">
        <v>87</v>
      </c>
      <c r="I6" s="846" t="s">
        <v>886</v>
      </c>
      <c r="J6" s="846" t="s">
        <v>223</v>
      </c>
      <c r="N6" s="362" t="s">
        <v>997</v>
      </c>
      <c r="O6" s="362" t="s">
        <v>994</v>
      </c>
      <c r="P6" s="362" t="s">
        <v>995</v>
      </c>
      <c r="T6" t="s">
        <v>116</v>
      </c>
      <c r="U6" s="1121">
        <v>0.05</v>
      </c>
    </row>
    <row r="7" spans="1:21">
      <c r="A7" s="844">
        <v>48</v>
      </c>
      <c r="B7" s="844">
        <v>80</v>
      </c>
      <c r="C7" s="844">
        <v>98</v>
      </c>
      <c r="D7" s="844">
        <v>71</v>
      </c>
      <c r="F7" s="28" t="s">
        <v>139</v>
      </c>
      <c r="G7" s="28">
        <v>7</v>
      </c>
      <c r="H7" s="28">
        <v>429</v>
      </c>
      <c r="I7" s="28">
        <v>61.285714285714285</v>
      </c>
      <c r="J7" s="28">
        <v>242.23809523809541</v>
      </c>
      <c r="N7" s="43">
        <f>(1-G7/$G$11)*J7</f>
        <v>183.76683087027928</v>
      </c>
      <c r="O7" s="19">
        <f>N7/$N$11</f>
        <v>0.34583666978390648</v>
      </c>
      <c r="P7" s="19">
        <f>O7^2/(G7-1)</f>
        <v>1.9933833694537131E-2</v>
      </c>
    </row>
    <row r="8" spans="1:21">
      <c r="A8" s="844">
        <v>79</v>
      </c>
      <c r="B8" s="844">
        <v>52</v>
      </c>
      <c r="C8" s="844">
        <v>63</v>
      </c>
      <c r="D8" s="844">
        <v>67</v>
      </c>
      <c r="F8" s="28" t="s">
        <v>140</v>
      </c>
      <c r="G8" s="28">
        <v>8</v>
      </c>
      <c r="H8" s="28">
        <v>623</v>
      </c>
      <c r="I8" s="28">
        <v>77.875</v>
      </c>
      <c r="J8" s="28">
        <v>157.55357142857142</v>
      </c>
      <c r="N8" s="43">
        <f>(1-G8/$G$11)*J8</f>
        <v>114.0905172413793</v>
      </c>
      <c r="O8" s="19">
        <f>N8/$N$11</f>
        <v>0.21471058922779374</v>
      </c>
      <c r="P8" s="19">
        <f>O8^2/(G8-1)</f>
        <v>6.5858053037923395E-3</v>
      </c>
      <c r="T8" t="e">
        <f t="array" aca="1" ref="T8:U11" ca="1">[1]!FSTAR_TEST(A4:D11,TRUE)</f>
        <v>#NAME?</v>
      </c>
      <c r="U8" s="1441" t="e">
        <f ca="1"/>
        <v>#NAME?</v>
      </c>
    </row>
    <row r="9" spans="1:21">
      <c r="A9" s="844">
        <v>61</v>
      </c>
      <c r="B9" s="844">
        <v>79</v>
      </c>
      <c r="C9" s="844">
        <v>83</v>
      </c>
      <c r="D9" s="844">
        <v>51</v>
      </c>
      <c r="F9" s="28" t="s">
        <v>150</v>
      </c>
      <c r="G9" s="28">
        <v>8</v>
      </c>
      <c r="H9" s="28">
        <v>624</v>
      </c>
      <c r="I9" s="28">
        <v>78</v>
      </c>
      <c r="J9" s="28">
        <v>164.57142857142858</v>
      </c>
      <c r="N9" s="43">
        <f>(1-G9/$G$11)*J9</f>
        <v>119.17241379310346</v>
      </c>
      <c r="O9" s="19">
        <f>N9/$N$11</f>
        <v>0.22427437269900799</v>
      </c>
      <c r="P9" s="19">
        <f>O9^2/(G9-1)</f>
        <v>7.1855706070762197E-3</v>
      </c>
      <c r="T9" t="e">
        <f ca="1"/>
        <v>#NAME?</v>
      </c>
      <c r="U9" s="946" t="e">
        <f ca="1"/>
        <v>#NAME?</v>
      </c>
    </row>
    <row r="10" spans="1:21" ht="15" thickBot="1">
      <c r="A10" s="844">
        <v>53</v>
      </c>
      <c r="B10" s="844">
        <v>73</v>
      </c>
      <c r="C10" s="844">
        <v>85</v>
      </c>
      <c r="D10" s="844"/>
      <c r="F10" s="31" t="s">
        <v>151</v>
      </c>
      <c r="G10" s="31">
        <v>6</v>
      </c>
      <c r="H10" s="31">
        <v>419</v>
      </c>
      <c r="I10" s="31">
        <v>69.833333333333329</v>
      </c>
      <c r="J10" s="31">
        <v>144.16666666666643</v>
      </c>
      <c r="N10" s="305">
        <f>(1-G10/$G$11)*J10</f>
        <v>114.33908045976993</v>
      </c>
      <c r="O10" s="305">
        <f>N10/$N$11</f>
        <v>0.21517836828929188</v>
      </c>
      <c r="P10" s="305">
        <f>O10^2/(G10-1)</f>
        <v>9.2603460359284261E-3</v>
      </c>
      <c r="T10" t="e">
        <f ca="1"/>
        <v>#NAME?</v>
      </c>
      <c r="U10" s="946" t="e">
        <f ca="1"/>
        <v>#NAME?</v>
      </c>
    </row>
    <row r="11" spans="1:21">
      <c r="A11" s="845"/>
      <c r="B11" s="845">
        <v>74</v>
      </c>
      <c r="C11" s="845">
        <v>58</v>
      </c>
      <c r="D11" s="845"/>
      <c r="E11" s="327"/>
      <c r="G11">
        <f>SUM(G7:G10)</f>
        <v>29</v>
      </c>
      <c r="N11" s="28">
        <f>SUM(N7:N10)</f>
        <v>531.36884236453193</v>
      </c>
      <c r="P11" s="28">
        <f>1/SUM(P7:P10)</f>
        <v>23.274457529369663</v>
      </c>
      <c r="T11" t="e">
        <f ca="1"/>
        <v>#NAME?</v>
      </c>
      <c r="U11" s="946" t="e">
        <f ca="1"/>
        <v>#NAME?</v>
      </c>
    </row>
    <row r="12" spans="1:21">
      <c r="T12" t="s">
        <v>948</v>
      </c>
      <c r="U12" s="1074" t="e">
        <f ca="1">IF(U11&lt;U6,"yes","no")</f>
        <v>#NAME?</v>
      </c>
    </row>
    <row r="13" spans="1:21" ht="15" thickBot="1">
      <c r="F13" t="s">
        <v>695</v>
      </c>
    </row>
    <row r="14" spans="1:21">
      <c r="F14" s="846" t="s">
        <v>887</v>
      </c>
      <c r="G14" s="846" t="s">
        <v>578</v>
      </c>
      <c r="H14" s="846" t="s">
        <v>186</v>
      </c>
      <c r="I14" s="846" t="s">
        <v>641</v>
      </c>
      <c r="J14" s="846" t="s">
        <v>388</v>
      </c>
      <c r="K14" s="846" t="s">
        <v>367</v>
      </c>
      <c r="L14" s="846" t="s">
        <v>888</v>
      </c>
      <c r="N14" s="329" t="s">
        <v>998</v>
      </c>
      <c r="O14" s="329" t="s">
        <v>186</v>
      </c>
      <c r="P14" s="329" t="s">
        <v>388</v>
      </c>
      <c r="Q14" s="329" t="s">
        <v>367</v>
      </c>
      <c r="R14" s="329" t="s">
        <v>888</v>
      </c>
    </row>
    <row r="15" spans="1:21">
      <c r="F15" s="28" t="s">
        <v>883</v>
      </c>
      <c r="G15" s="28">
        <v>1394.1734400656824</v>
      </c>
      <c r="H15" s="28">
        <v>3</v>
      </c>
      <c r="I15" s="28">
        <v>464.72448002189412</v>
      </c>
      <c r="J15" s="28">
        <v>2.6231097052015611</v>
      </c>
      <c r="K15" s="28">
        <v>7.2760576413978123E-2</v>
      </c>
      <c r="L15" s="28">
        <v>2.9912409095499513</v>
      </c>
      <c r="N15" s="28">
        <f>G15</f>
        <v>1394.1734400656824</v>
      </c>
      <c r="O15" s="28">
        <f>COUNTA(A3:D3)-1</f>
        <v>3</v>
      </c>
      <c r="P15" s="28">
        <f>N15/N16</f>
        <v>2.6237395362922795</v>
      </c>
      <c r="Q15" s="28">
        <f>FDIST(P15,O15,O16)</f>
        <v>7.4804255842679412E-2</v>
      </c>
      <c r="R15" s="28">
        <f>FINV(0.05,O15,O16)</f>
        <v>3.0279983823321985</v>
      </c>
    </row>
    <row r="16" spans="1:21" ht="15" thickBot="1">
      <c r="F16" s="28" t="s">
        <v>884</v>
      </c>
      <c r="G16" s="28">
        <v>4429.1369047619046</v>
      </c>
      <c r="H16" s="28">
        <v>25</v>
      </c>
      <c r="I16" s="28">
        <v>177.16547619047617</v>
      </c>
      <c r="J16" s="28"/>
      <c r="K16" s="28"/>
      <c r="L16" s="28"/>
      <c r="N16" s="31">
        <f>N11</f>
        <v>531.36884236453193</v>
      </c>
      <c r="O16" s="31">
        <f>P11</f>
        <v>23.274457529369663</v>
      </c>
      <c r="P16" s="31"/>
      <c r="Q16" s="31"/>
      <c r="R16" s="31"/>
    </row>
    <row r="17" spans="6:19">
      <c r="F17" s="28"/>
      <c r="G17" s="28"/>
      <c r="H17" s="28"/>
      <c r="I17" s="28"/>
      <c r="J17" s="28"/>
      <c r="K17" s="28"/>
      <c r="L17" s="28"/>
      <c r="N17" s="28"/>
      <c r="O17" s="28"/>
      <c r="P17" s="28"/>
      <c r="Q17" s="28"/>
      <c r="R17" s="28"/>
    </row>
    <row r="18" spans="6:19" ht="15" thickBot="1">
      <c r="F18" s="31" t="s">
        <v>12</v>
      </c>
      <c r="G18" s="31">
        <v>5823.310344827587</v>
      </c>
      <c r="H18" s="31">
        <v>28</v>
      </c>
      <c r="I18" s="31"/>
      <c r="J18" s="31"/>
      <c r="K18" s="31"/>
      <c r="L18" s="31"/>
      <c r="N18" s="28"/>
      <c r="O18" s="28"/>
      <c r="P18" s="28"/>
      <c r="Q18" s="28"/>
      <c r="R18" s="28"/>
    </row>
    <row r="19" spans="6:19">
      <c r="N19" s="28" t="s">
        <v>2086</v>
      </c>
      <c r="O19" s="28"/>
      <c r="P19" s="28"/>
      <c r="Q19" s="28"/>
      <c r="R19" s="28"/>
      <c r="S19" s="28"/>
    </row>
    <row r="21" spans="6:19">
      <c r="N21" t="s">
        <v>2026</v>
      </c>
      <c r="O21" s="853" t="e">
        <f ca="1">[1]!fstar(A4:D11)</f>
        <v>#NAME?</v>
      </c>
      <c r="Q21" t="e">
        <f t="array" aca="1" ref="Q21:R24" ca="1">[1]!FSTAR_TEST(A4:D11,TRUE)</f>
        <v>#NAME?</v>
      </c>
      <c r="R21" s="1235" t="e">
        <f ca="1"/>
        <v>#NAME?</v>
      </c>
    </row>
    <row r="22" spans="6:19">
      <c r="N22" t="s">
        <v>995</v>
      </c>
      <c r="O22" s="627" t="e">
        <f ca="1">[1]!dfstar(A4:D11)</f>
        <v>#NAME?</v>
      </c>
      <c r="Q22" t="e">
        <f ca="1"/>
        <v>#NAME?</v>
      </c>
      <c r="R22" s="627" t="e">
        <f ca="1"/>
        <v>#NAME?</v>
      </c>
    </row>
    <row r="23" spans="6:19">
      <c r="N23" t="s">
        <v>200</v>
      </c>
      <c r="O23" s="544" t="e">
        <f ca="1">[1]!bftest(A4:D11)</f>
        <v>#NAME?</v>
      </c>
      <c r="Q23" t="e">
        <f ca="1"/>
        <v>#NAME?</v>
      </c>
      <c r="R23" s="627" t="e">
        <f ca="1"/>
        <v>#NAME?</v>
      </c>
    </row>
    <row r="24" spans="6:19">
      <c r="Q24" t="e">
        <f ca="1"/>
        <v>#NAME?</v>
      </c>
      <c r="R24" s="544" t="e">
        <f ca="1"/>
        <v>#NAME?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sheetPr codeName="Sheet363"/>
  <dimension ref="A1:X43"/>
  <sheetViews>
    <sheetView topLeftCell="A16" workbookViewId="0">
      <selection activeCell="J18" sqref="J18"/>
    </sheetView>
  </sheetViews>
  <sheetFormatPr defaultRowHeight="14.4"/>
  <cols>
    <col min="9" max="9" width="3" customWidth="1"/>
    <col min="10" max="10" width="30.6640625" customWidth="1"/>
    <col min="11" max="11" width="2.6640625" customWidth="1"/>
    <col min="12" max="12" width="21.5546875" customWidth="1"/>
    <col min="13" max="13" width="15.44140625" customWidth="1"/>
  </cols>
  <sheetData>
    <row r="1" spans="1:24">
      <c r="A1" s="1" t="s">
        <v>4103</v>
      </c>
      <c r="W1" t="s">
        <v>3217</v>
      </c>
    </row>
    <row r="3" spans="1:24">
      <c r="B3" s="1487" t="s">
        <v>216</v>
      </c>
      <c r="C3" s="1487" t="s">
        <v>217</v>
      </c>
      <c r="D3" s="1487" t="s">
        <v>239</v>
      </c>
      <c r="F3" s="126" t="s">
        <v>4103</v>
      </c>
      <c r="M3" t="s">
        <v>4108</v>
      </c>
      <c r="W3" t="s">
        <v>4103</v>
      </c>
    </row>
    <row r="4" spans="1:24">
      <c r="B4" s="855">
        <v>50</v>
      </c>
      <c r="C4" s="856">
        <v>44</v>
      </c>
      <c r="D4" s="857">
        <v>16</v>
      </c>
    </row>
    <row r="5" spans="1:24">
      <c r="B5" s="664">
        <v>39</v>
      </c>
      <c r="C5" s="1488">
        <v>31</v>
      </c>
      <c r="D5" s="618">
        <v>60</v>
      </c>
      <c r="F5" t="e">
        <f t="array" aca="1" ref="F5:G8" ca="1">[1]!WELCH_TEST(B4:D13,TRUE)</f>
        <v>#NAME?</v>
      </c>
      <c r="G5" s="1235" t="e">
        <f ca="1"/>
        <v>#NAME?</v>
      </c>
      <c r="M5" s="756" t="e">
        <f ca="1">[1]!Levene(B4:D13,1)</f>
        <v>#NAME?</v>
      </c>
      <c r="W5" t="s">
        <v>116</v>
      </c>
      <c r="X5" s="1121">
        <v>0.05</v>
      </c>
    </row>
    <row r="6" spans="1:24">
      <c r="B6" s="664">
        <v>42</v>
      </c>
      <c r="C6" s="1488">
        <v>50</v>
      </c>
      <c r="D6" s="618">
        <v>24</v>
      </c>
      <c r="F6" t="e">
        <f ca="1"/>
        <v>#NAME?</v>
      </c>
      <c r="G6" s="627" t="e">
        <f ca="1"/>
        <v>#NAME?</v>
      </c>
    </row>
    <row r="7" spans="1:24">
      <c r="B7" s="664">
        <v>45</v>
      </c>
      <c r="C7" s="1488">
        <v>22</v>
      </c>
      <c r="D7" s="618">
        <v>19</v>
      </c>
      <c r="F7" t="e">
        <f ca="1"/>
        <v>#NAME?</v>
      </c>
      <c r="G7" s="627" t="e">
        <f ca="1"/>
        <v>#NAME?</v>
      </c>
      <c r="M7" t="s">
        <v>878</v>
      </c>
      <c r="W7" t="e">
        <f t="array" aca="1" ref="W7:X10" ca="1">[1]!WELCH_TEST(B4:D13,TRUE)</f>
        <v>#NAME?</v>
      </c>
      <c r="X7" s="1441" t="e">
        <f ca="1"/>
        <v>#NAME?</v>
      </c>
    </row>
    <row r="8" spans="1:24">
      <c r="B8" s="664">
        <v>38</v>
      </c>
      <c r="C8" s="1488">
        <v>30</v>
      </c>
      <c r="D8" s="618">
        <v>31</v>
      </c>
      <c r="F8" t="e">
        <f ca="1"/>
        <v>#NAME?</v>
      </c>
      <c r="G8" s="544" t="e">
        <f ca="1"/>
        <v>#NAME?</v>
      </c>
      <c r="W8" t="e">
        <f ca="1"/>
        <v>#NAME?</v>
      </c>
      <c r="X8" s="946" t="e">
        <f ca="1"/>
        <v>#NAME?</v>
      </c>
    </row>
    <row r="9" spans="1:24" ht="15" thickBot="1">
      <c r="B9" s="664">
        <v>44</v>
      </c>
      <c r="C9" s="1488">
        <v>27</v>
      </c>
      <c r="D9" s="618">
        <v>37</v>
      </c>
      <c r="M9" t="s">
        <v>879</v>
      </c>
      <c r="R9" t="s">
        <v>116</v>
      </c>
      <c r="S9">
        <v>0.05</v>
      </c>
      <c r="W9" t="e">
        <f ca="1"/>
        <v>#NAME?</v>
      </c>
      <c r="X9" s="946" t="e">
        <f ca="1"/>
        <v>#NAME?</v>
      </c>
    </row>
    <row r="10" spans="1:24" ht="15" thickTop="1">
      <c r="B10" s="664">
        <v>40</v>
      </c>
      <c r="C10" s="1488">
        <v>32</v>
      </c>
      <c r="D10" s="618">
        <v>44</v>
      </c>
      <c r="M10" s="1151" t="s">
        <v>222</v>
      </c>
      <c r="N10" s="1151" t="s">
        <v>88</v>
      </c>
      <c r="O10" s="1151" t="s">
        <v>87</v>
      </c>
      <c r="P10" s="1151" t="s">
        <v>76</v>
      </c>
      <c r="Q10" s="1151" t="s">
        <v>223</v>
      </c>
      <c r="R10" s="1151" t="s">
        <v>578</v>
      </c>
      <c r="S10" s="1151" t="s">
        <v>183</v>
      </c>
      <c r="T10" s="1151" t="s">
        <v>744</v>
      </c>
      <c r="U10" s="1151" t="s">
        <v>745</v>
      </c>
      <c r="W10" t="e">
        <f ca="1"/>
        <v>#NAME?</v>
      </c>
      <c r="X10" s="946" t="e">
        <f ca="1"/>
        <v>#NAME?</v>
      </c>
    </row>
    <row r="11" spans="1:24">
      <c r="B11" s="664">
        <v>49</v>
      </c>
      <c r="C11" s="1488">
        <v>25</v>
      </c>
      <c r="D11" s="618">
        <v>55</v>
      </c>
      <c r="M11" t="str">
        <f>B3</f>
        <v>New</v>
      </c>
      <c r="N11">
        <f>COUNT(B4:B13)</f>
        <v>10</v>
      </c>
      <c r="O11">
        <f>SUM(B4:B13)</f>
        <v>430</v>
      </c>
      <c r="P11">
        <f>AVERAGE(B4:B13)</f>
        <v>43</v>
      </c>
      <c r="Q11">
        <f>VAR(B4:B13)</f>
        <v>16.222222222222221</v>
      </c>
      <c r="R11">
        <f>DEVSQ(B4:B13)</f>
        <v>146</v>
      </c>
      <c r="S11">
        <f>SQRT(P18/N11)</f>
        <v>3.3526868716388143</v>
      </c>
      <c r="T11">
        <f>P11-S11*TINV(S9,N11-1)</f>
        <v>35.41569537870275</v>
      </c>
      <c r="U11">
        <f>P11+S11*TINV(S9,N11-1)</f>
        <v>50.58430462129725</v>
      </c>
      <c r="W11" t="s">
        <v>948</v>
      </c>
      <c r="X11" s="1074" t="e">
        <f ca="1">IF(X10&lt;X5,"yes","no")</f>
        <v>#NAME?</v>
      </c>
    </row>
    <row r="12" spans="1:24">
      <c r="B12" s="664">
        <v>42</v>
      </c>
      <c r="C12" s="1488">
        <v>40</v>
      </c>
      <c r="D12" s="618"/>
      <c r="M12" t="str">
        <f>C3</f>
        <v>Old</v>
      </c>
      <c r="N12">
        <f>COUNT(C4:C13)</f>
        <v>9</v>
      </c>
      <c r="O12">
        <f>SUM(C4:C13)</f>
        <v>301</v>
      </c>
      <c r="P12">
        <f>AVERAGE(C4:C13)</f>
        <v>33.444444444444443</v>
      </c>
      <c r="Q12">
        <f>VAR(C4:C13)</f>
        <v>86.527777777777828</v>
      </c>
      <c r="R12">
        <f>DEVSQ(C4:C13)</f>
        <v>692.22222222222217</v>
      </c>
      <c r="S12">
        <f>SQRT(P18/N12)</f>
        <v>3.5340422652410779</v>
      </c>
      <c r="T12">
        <f>P12-S12*TINV(S9,N12-1)</f>
        <v>25.294928366812215</v>
      </c>
      <c r="U12">
        <f>P12+S12*TINV(S9,N12-1)</f>
        <v>41.593960522076671</v>
      </c>
    </row>
    <row r="13" spans="1:24">
      <c r="B13" s="560">
        <v>41</v>
      </c>
      <c r="C13" s="1491"/>
      <c r="D13" s="90"/>
      <c r="M13" t="str">
        <f>D3</f>
        <v>Control</v>
      </c>
      <c r="N13">
        <f>COUNT(D4:D13)</f>
        <v>8</v>
      </c>
      <c r="O13">
        <f>SUM(D4:D13)</f>
        <v>286</v>
      </c>
      <c r="P13">
        <f>AVERAGE(D4:D13)</f>
        <v>35.75</v>
      </c>
      <c r="Q13">
        <f>VAR(D4:D13)</f>
        <v>265.64285714285717</v>
      </c>
      <c r="R13">
        <f>DEVSQ(D4:D13)</f>
        <v>1859.5</v>
      </c>
      <c r="S13">
        <f>SQRT(P18/N13)</f>
        <v>3.7484178761277502</v>
      </c>
      <c r="T13">
        <f>P13-S13*TINV(S9,N13-1)</f>
        <v>26.886400185004405</v>
      </c>
      <c r="U13">
        <f>P13+S13*TINV(S9,N13-1)</f>
        <v>44.613599814995595</v>
      </c>
    </row>
    <row r="14" spans="1:24">
      <c r="A14" t="s">
        <v>63</v>
      </c>
      <c r="B14">
        <f>AVERAGE(B4:B13)</f>
        <v>43</v>
      </c>
      <c r="C14">
        <f>AVERAGE(C4:C13)</f>
        <v>33.444444444444443</v>
      </c>
      <c r="D14">
        <f>AVERAGE(D4:D13)</f>
        <v>35.75</v>
      </c>
      <c r="M14" s="1152"/>
      <c r="N14" s="1152"/>
      <c r="O14" s="1152"/>
      <c r="P14" s="1152"/>
      <c r="Q14" s="1152"/>
      <c r="R14" s="1152"/>
      <c r="S14" s="1152"/>
      <c r="T14" s="1152"/>
      <c r="U14" s="1152"/>
    </row>
    <row r="15" spans="1:24" ht="15" thickBot="1">
      <c r="A15" t="s">
        <v>1533</v>
      </c>
      <c r="B15">
        <f>VAR(B4:B13)</f>
        <v>16.222222222222221</v>
      </c>
      <c r="C15">
        <f>VAR(C4:C13)</f>
        <v>86.527777777777828</v>
      </c>
      <c r="D15">
        <f>VAR(D4:D13)</f>
        <v>265.64285714285717</v>
      </c>
      <c r="M15" t="s">
        <v>695</v>
      </c>
    </row>
    <row r="16" spans="1:24" ht="15" thickTop="1">
      <c r="M16" s="1151" t="s">
        <v>880</v>
      </c>
      <c r="N16" s="1151" t="s">
        <v>578</v>
      </c>
      <c r="O16" s="1151" t="s">
        <v>186</v>
      </c>
      <c r="P16" s="1151" t="s">
        <v>641</v>
      </c>
      <c r="Q16" s="1151" t="s">
        <v>388</v>
      </c>
      <c r="R16" s="1151" t="s">
        <v>881</v>
      </c>
      <c r="S16" s="1151" t="s">
        <v>888</v>
      </c>
      <c r="T16" s="1151" t="s">
        <v>1932</v>
      </c>
      <c r="U16" s="1151" t="s">
        <v>1933</v>
      </c>
    </row>
    <row r="17" spans="4:21">
      <c r="M17" t="s">
        <v>883</v>
      </c>
      <c r="N17">
        <f>N19-N18</f>
        <v>474.27777777777828</v>
      </c>
      <c r="O17">
        <f>COUNTA(M11:M13)-1</f>
        <v>2</v>
      </c>
      <c r="P17">
        <f>N17/O17</f>
        <v>237.13888888888914</v>
      </c>
      <c r="Q17">
        <f>P17/P18</f>
        <v>2.1096810066105172</v>
      </c>
      <c r="R17">
        <f>FDIST(Q17,O17,O18)</f>
        <v>0.14320843844209949</v>
      </c>
      <c r="S17">
        <f>FINV(S9,O17,O18)</f>
        <v>3.4028261053501945</v>
      </c>
      <c r="T17">
        <f>SQRT(DEVSQ(P11:P13)/(P18*O17))</f>
        <v>0.47032328011464403</v>
      </c>
      <c r="U17">
        <f>(N19-O19*P18)/(N19+P18)</f>
        <v>7.5955183833816359E-2</v>
      </c>
    </row>
    <row r="18" spans="4:21">
      <c r="M18" t="s">
        <v>884</v>
      </c>
      <c r="N18">
        <f>SUM(R11:R13)</f>
        <v>2697.7222222222222</v>
      </c>
      <c r="O18">
        <f>O19-O17</f>
        <v>24</v>
      </c>
      <c r="P18">
        <f>N18/O18</f>
        <v>112.4050925925926</v>
      </c>
    </row>
    <row r="19" spans="4:21">
      <c r="E19" s="19" t="s">
        <v>216</v>
      </c>
      <c r="F19" s="19" t="s">
        <v>217</v>
      </c>
      <c r="G19" s="19" t="s">
        <v>239</v>
      </c>
      <c r="M19" s="1078" t="s">
        <v>12</v>
      </c>
      <c r="N19" s="1078">
        <f>DEVSQ(B4:D13)</f>
        <v>3172.0000000000005</v>
      </c>
      <c r="O19" s="1078">
        <f>COUNT(B4:D13)-1</f>
        <v>26</v>
      </c>
      <c r="P19" s="1078">
        <f>N19/O19</f>
        <v>122.00000000000001</v>
      </c>
      <c r="Q19" s="1078"/>
      <c r="R19" s="1078"/>
      <c r="S19" s="1078"/>
      <c r="T19" s="1078"/>
      <c r="U19" s="1078"/>
    </row>
    <row r="20" spans="4:21">
      <c r="E20" s="1492">
        <v>50</v>
      </c>
      <c r="F20" s="1493">
        <v>44</v>
      </c>
      <c r="G20" s="854">
        <v>16</v>
      </c>
    </row>
    <row r="21" spans="4:21">
      <c r="E21" s="750">
        <v>39</v>
      </c>
      <c r="F21" s="42">
        <v>31</v>
      </c>
      <c r="G21" s="838">
        <v>60</v>
      </c>
    </row>
    <row r="22" spans="4:21">
      <c r="E22" s="750">
        <v>42</v>
      </c>
      <c r="F22" s="42">
        <v>50</v>
      </c>
      <c r="G22" s="838">
        <v>24</v>
      </c>
    </row>
    <row r="23" spans="4:21">
      <c r="E23" s="750">
        <v>45</v>
      </c>
      <c r="F23" s="42">
        <v>22</v>
      </c>
      <c r="G23" s="838">
        <v>19</v>
      </c>
    </row>
    <row r="24" spans="4:21">
      <c r="E24" s="750">
        <v>38</v>
      </c>
      <c r="F24" s="42">
        <v>30</v>
      </c>
      <c r="G24" s="838">
        <v>31</v>
      </c>
    </row>
    <row r="25" spans="4:21">
      <c r="E25" s="750">
        <v>44</v>
      </c>
      <c r="F25" s="42">
        <v>27</v>
      </c>
      <c r="G25" s="838">
        <v>37</v>
      </c>
    </row>
    <row r="26" spans="4:21">
      <c r="E26" s="750">
        <v>40</v>
      </c>
      <c r="F26" s="42">
        <v>32</v>
      </c>
      <c r="G26" s="838">
        <v>44</v>
      </c>
    </row>
    <row r="27" spans="4:21">
      <c r="E27" s="750">
        <v>49</v>
      </c>
      <c r="F27" s="42">
        <v>25</v>
      </c>
      <c r="G27" s="838">
        <v>55</v>
      </c>
    </row>
    <row r="28" spans="4:21">
      <c r="E28" s="750">
        <v>42</v>
      </c>
      <c r="F28" s="42">
        <v>40</v>
      </c>
      <c r="G28" s="838"/>
    </row>
    <row r="29" spans="4:21">
      <c r="E29" s="1244">
        <v>41</v>
      </c>
      <c r="F29" s="454"/>
      <c r="G29" s="751"/>
      <c r="J29" t="s">
        <v>4106</v>
      </c>
      <c r="L29" t="s">
        <v>4107</v>
      </c>
    </row>
    <row r="30" spans="4:21" ht="3.75" customHeight="1"/>
    <row r="31" spans="4:21">
      <c r="D31" t="s">
        <v>554</v>
      </c>
      <c r="E31" s="1236">
        <f>COUNT(E20:E29)</f>
        <v>10</v>
      </c>
      <c r="F31" s="1152">
        <f>COUNT(F20:F29)</f>
        <v>9</v>
      </c>
      <c r="G31" s="1237">
        <f>COUNT(G20:G29)</f>
        <v>8</v>
      </c>
      <c r="J31" t="e">
        <f ca="1">[1]!FTEXT(E31)</f>
        <v>#NAME?</v>
      </c>
    </row>
    <row r="32" spans="4:21">
      <c r="D32" t="s">
        <v>63</v>
      </c>
      <c r="E32" s="656">
        <f>AVERAGE(E20:E29)</f>
        <v>43</v>
      </c>
      <c r="F32" s="8">
        <f>AVERAGE(F20:F29)</f>
        <v>33.444444444444443</v>
      </c>
      <c r="G32" s="657">
        <f>AVERAGE(G20:G29)</f>
        <v>35.75</v>
      </c>
      <c r="J32" t="e">
        <f ca="1">[1]!FTEXT(E32)</f>
        <v>#NAME?</v>
      </c>
    </row>
    <row r="33" spans="4:12">
      <c r="D33" t="s">
        <v>1533</v>
      </c>
      <c r="E33" s="533">
        <f>VAR(E20:E29)</f>
        <v>16.222222222222221</v>
      </c>
      <c r="F33" s="1078">
        <f>VAR(F20:F29)</f>
        <v>86.527777777777828</v>
      </c>
      <c r="G33" s="541">
        <f>VAR(G20:G29)</f>
        <v>265.64285714285717</v>
      </c>
      <c r="J33" t="e">
        <f ca="1">[1]!FTEXT(E33)</f>
        <v>#NAME?</v>
      </c>
    </row>
    <row r="34" spans="4:12">
      <c r="D34" t="s">
        <v>3094</v>
      </c>
      <c r="E34" s="656">
        <f>E31/E33</f>
        <v>0.61643835616438358</v>
      </c>
      <c r="F34" s="8">
        <f>F31/F33</f>
        <v>0.10401284109149271</v>
      </c>
      <c r="G34" s="657">
        <f>G31/G33</f>
        <v>3.0115622479161063E-2</v>
      </c>
      <c r="H34" s="1235">
        <f>SUM(E34:G34)</f>
        <v>0.75056681973503736</v>
      </c>
      <c r="J34" t="e">
        <f ca="1">[1]!FTEXT(E34)</f>
        <v>#NAME?</v>
      </c>
      <c r="L34" t="e">
        <f ca="1">[1]!FTEXT(H34)</f>
        <v>#NAME?</v>
      </c>
    </row>
    <row r="35" spans="4:12">
      <c r="D35" t="s">
        <v>4105</v>
      </c>
      <c r="E35" s="656">
        <f>E34*E32</f>
        <v>26.506849315068493</v>
      </c>
      <c r="F35" s="8">
        <f>F34*F32</f>
        <v>3.4786516853932561</v>
      </c>
      <c r="G35" s="657">
        <f>G34*G32</f>
        <v>1.0766335036300081</v>
      </c>
      <c r="H35" s="627">
        <f>SUM(E35:G35)/H34</f>
        <v>41.384902299647635</v>
      </c>
      <c r="J35" t="e">
        <f ca="1">[1]!FTEXT(E35)</f>
        <v>#NAME?</v>
      </c>
      <c r="L35" t="e">
        <f ca="1">[1]!FTEXT(H35)</f>
        <v>#NAME?</v>
      </c>
    </row>
    <row r="36" spans="4:12">
      <c r="D36" t="s">
        <v>141</v>
      </c>
      <c r="E36" s="656">
        <f>E34*(E32-H35)^2</f>
        <v>1.6080044681610604</v>
      </c>
      <c r="F36" s="8">
        <f>F34*(F32-H35)^2</f>
        <v>6.5581002208294077</v>
      </c>
      <c r="G36" s="657">
        <f>G34*(G32-H35)^2</f>
        <v>0.95623497708424599</v>
      </c>
      <c r="H36" s="627">
        <f>SUM(E36:G36)/(E39-1)</f>
        <v>4.5611698330373578</v>
      </c>
      <c r="J36" t="e">
        <f ca="1">[1]!FTEXT(E36)</f>
        <v>#NAME?</v>
      </c>
      <c r="L36" t="e">
        <f ca="1">[1]!FTEXT(H36)</f>
        <v>#NAME?</v>
      </c>
    </row>
    <row r="37" spans="4:12">
      <c r="D37" t="s">
        <v>142</v>
      </c>
      <c r="E37" s="533">
        <f>(1-E34/H34)^2/(E31-1)</f>
        <v>3.548302742008454E-3</v>
      </c>
      <c r="F37" s="1078">
        <f>(1-F34/H34)^2/(F31-1)</f>
        <v>9.2755755417625332E-2</v>
      </c>
      <c r="G37" s="541">
        <f>(1-G34/H34)^2/(G31-1)</f>
        <v>0.13162317768978643</v>
      </c>
      <c r="H37" s="544">
        <f>SUM(E37:G37)</f>
        <v>0.22792723584942021</v>
      </c>
      <c r="J37" t="e">
        <f ca="1">[1]!FTEXT(E37)</f>
        <v>#NAME?</v>
      </c>
      <c r="L37" t="e">
        <f ca="1">[1]!FTEXT(H37)</f>
        <v>#NAME?</v>
      </c>
    </row>
    <row r="38" spans="4:12" ht="3.75" customHeight="1"/>
    <row r="39" spans="4:12">
      <c r="D39" s="232" t="s">
        <v>169</v>
      </c>
      <c r="E39" s="1235">
        <f>COUNT(E20:G20)</f>
        <v>3</v>
      </c>
      <c r="J39" t="e">
        <f ca="1">[1]!FTEXT(E39)</f>
        <v>#NAME?</v>
      </c>
    </row>
    <row r="40" spans="4:12">
      <c r="D40" t="s">
        <v>388</v>
      </c>
      <c r="E40" s="627">
        <f>H36/(1+2*H37*(E39-2)/(E39^2-1))</f>
        <v>4.3152775141088604</v>
      </c>
      <c r="J40" t="e">
        <f ca="1">[1]!FTEXT(E40)</f>
        <v>#NAME?</v>
      </c>
    </row>
    <row r="41" spans="4:12">
      <c r="D41" t="s">
        <v>822</v>
      </c>
      <c r="E41" s="627">
        <f>E39-1</f>
        <v>2</v>
      </c>
      <c r="J41" t="e">
        <f ca="1">[1]!FTEXT(E41)</f>
        <v>#NAME?</v>
      </c>
    </row>
    <row r="42" spans="4:12">
      <c r="D42" t="s">
        <v>823</v>
      </c>
      <c r="E42" s="627">
        <f>(E39^2-1)/(3*H37)</f>
        <v>11.699640267775615</v>
      </c>
      <c r="J42" t="e">
        <f ca="1">[1]!FTEXT(E42)</f>
        <v>#NAME?</v>
      </c>
    </row>
    <row r="43" spans="4:12">
      <c r="D43" t="s">
        <v>200</v>
      </c>
      <c r="E43" s="544">
        <f>FDIST(E40,E41,E42)</f>
        <v>4.1355243712043348E-2</v>
      </c>
      <c r="J43" t="e">
        <f ca="1">[1]!FTEXT(E43)</f>
        <v>#NAME?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sheetPr codeName="Sheet365"/>
  <dimension ref="A1:I29"/>
  <sheetViews>
    <sheetView workbookViewId="0"/>
  </sheetViews>
  <sheetFormatPr defaultRowHeight="14.4"/>
  <sheetData>
    <row r="1" spans="1:9">
      <c r="A1" s="1" t="s">
        <v>4111</v>
      </c>
    </row>
    <row r="3" spans="1:9">
      <c r="A3" s="1494" t="s">
        <v>216</v>
      </c>
      <c r="B3" s="1495">
        <v>50</v>
      </c>
      <c r="D3" t="s">
        <v>2830</v>
      </c>
    </row>
    <row r="4" spans="1:9">
      <c r="A4" s="1496" t="s">
        <v>216</v>
      </c>
      <c r="B4" s="1497">
        <v>39</v>
      </c>
    </row>
    <row r="5" spans="1:9">
      <c r="A5" s="1496" t="s">
        <v>216</v>
      </c>
      <c r="B5" s="1497">
        <v>42</v>
      </c>
      <c r="D5" t="e">
        <f t="array" aca="1" ref="D5:F15" ca="1">[1]!StdAnova1(A3:B29)</f>
        <v>#NAME?</v>
      </c>
      <c r="E5" t="e">
        <f ca="1"/>
        <v>#NAME?</v>
      </c>
      <c r="F5" t="e">
        <f ca="1"/>
        <v>#NAME?</v>
      </c>
      <c r="H5" t="s">
        <v>4103</v>
      </c>
    </row>
    <row r="6" spans="1:9">
      <c r="A6" s="1496" t="s">
        <v>216</v>
      </c>
      <c r="B6" s="1497">
        <v>45</v>
      </c>
      <c r="D6" s="1232" t="e">
        <f ca="1"/>
        <v>#NAME?</v>
      </c>
      <c r="E6" s="1114" t="e">
        <f ca="1"/>
        <v>#NAME?</v>
      </c>
      <c r="F6" s="1233" t="e">
        <f ca="1"/>
        <v>#NAME?</v>
      </c>
    </row>
    <row r="7" spans="1:9">
      <c r="A7" s="1496" t="s">
        <v>216</v>
      </c>
      <c r="B7" s="1497">
        <v>38</v>
      </c>
      <c r="D7" s="625" t="e">
        <f ca="1"/>
        <v>#NAME?</v>
      </c>
      <c r="E7" s="8" t="e">
        <f ca="1"/>
        <v>#NAME?</v>
      </c>
      <c r="F7" s="132" t="e">
        <f ca="1"/>
        <v>#NAME?</v>
      </c>
      <c r="H7" t="s">
        <v>116</v>
      </c>
      <c r="I7" s="1121">
        <v>0.05</v>
      </c>
    </row>
    <row r="8" spans="1:9">
      <c r="A8" s="1496" t="s">
        <v>216</v>
      </c>
      <c r="B8" s="1497">
        <v>44</v>
      </c>
      <c r="D8" s="625" t="e">
        <f ca="1"/>
        <v>#NAME?</v>
      </c>
      <c r="E8" s="8" t="e">
        <f ca="1"/>
        <v>#NAME?</v>
      </c>
      <c r="F8" s="132" t="e">
        <f ca="1"/>
        <v>#NAME?</v>
      </c>
    </row>
    <row r="9" spans="1:9">
      <c r="A9" s="1496" t="s">
        <v>216</v>
      </c>
      <c r="B9" s="1497">
        <v>40</v>
      </c>
      <c r="D9" s="625" t="e">
        <f ca="1"/>
        <v>#NAME?</v>
      </c>
      <c r="E9" s="8" t="e">
        <f ca="1"/>
        <v>#NAME?</v>
      </c>
      <c r="F9" s="132" t="e">
        <f ca="1"/>
        <v>#NAME?</v>
      </c>
      <c r="H9" t="e">
        <f t="array" aca="1" ref="H9:I12" ca="1">[1]!WELCH_TEST(D6:F15,TRUE)</f>
        <v>#NAME?</v>
      </c>
      <c r="I9" s="1441" t="e">
        <f ca="1"/>
        <v>#NAME?</v>
      </c>
    </row>
    <row r="10" spans="1:9">
      <c r="A10" s="1496" t="s">
        <v>216</v>
      </c>
      <c r="B10" s="1497">
        <v>49</v>
      </c>
      <c r="D10" s="625" t="e">
        <f ca="1"/>
        <v>#NAME?</v>
      </c>
      <c r="E10" s="8" t="e">
        <f ca="1"/>
        <v>#NAME?</v>
      </c>
      <c r="F10" s="132" t="e">
        <f ca="1"/>
        <v>#NAME?</v>
      </c>
      <c r="H10" t="e">
        <f ca="1"/>
        <v>#NAME?</v>
      </c>
      <c r="I10" s="946" t="e">
        <f ca="1"/>
        <v>#NAME?</v>
      </c>
    </row>
    <row r="11" spans="1:9">
      <c r="A11" s="1496" t="s">
        <v>216</v>
      </c>
      <c r="B11" s="1497">
        <v>42</v>
      </c>
      <c r="D11" s="625" t="e">
        <f ca="1"/>
        <v>#NAME?</v>
      </c>
      <c r="E11" s="8" t="e">
        <f ca="1"/>
        <v>#NAME?</v>
      </c>
      <c r="F11" s="132" t="e">
        <f ca="1"/>
        <v>#NAME?</v>
      </c>
      <c r="H11" t="e">
        <f ca="1"/>
        <v>#NAME?</v>
      </c>
      <c r="I11" s="946" t="e">
        <f ca="1"/>
        <v>#NAME?</v>
      </c>
    </row>
    <row r="12" spans="1:9">
      <c r="A12" s="1496" t="s">
        <v>216</v>
      </c>
      <c r="B12" s="1497">
        <v>41</v>
      </c>
      <c r="D12" s="625" t="e">
        <f ca="1"/>
        <v>#NAME?</v>
      </c>
      <c r="E12" s="8" t="e">
        <f ca="1"/>
        <v>#NAME?</v>
      </c>
      <c r="F12" s="132" t="e">
        <f ca="1"/>
        <v>#NAME?</v>
      </c>
      <c r="H12" t="e">
        <f ca="1"/>
        <v>#NAME?</v>
      </c>
      <c r="I12" s="946" t="e">
        <f ca="1"/>
        <v>#NAME?</v>
      </c>
    </row>
    <row r="13" spans="1:9">
      <c r="A13" s="1496" t="s">
        <v>217</v>
      </c>
      <c r="B13" s="1497">
        <v>44</v>
      </c>
      <c r="D13" s="625" t="e">
        <f ca="1"/>
        <v>#NAME?</v>
      </c>
      <c r="E13" s="8" t="e">
        <f ca="1"/>
        <v>#NAME?</v>
      </c>
      <c r="F13" s="132" t="e">
        <f ca="1"/>
        <v>#NAME?</v>
      </c>
      <c r="H13" t="s">
        <v>948</v>
      </c>
      <c r="I13" s="1074" t="e">
        <f ca="1">IF(I12&lt;I7,"yes","no")</f>
        <v>#NAME?</v>
      </c>
    </row>
    <row r="14" spans="1:9">
      <c r="A14" s="1496" t="s">
        <v>217</v>
      </c>
      <c r="B14" s="1497">
        <v>31</v>
      </c>
      <c r="D14" s="625" t="e">
        <f ca="1"/>
        <v>#NAME?</v>
      </c>
      <c r="E14" s="8" t="e">
        <f ca="1"/>
        <v>#NAME?</v>
      </c>
      <c r="F14" s="132" t="e">
        <f ca="1"/>
        <v>#NAME?</v>
      </c>
    </row>
    <row r="15" spans="1:9">
      <c r="A15" s="1496" t="s">
        <v>217</v>
      </c>
      <c r="B15" s="1497">
        <v>50</v>
      </c>
      <c r="D15" s="1075" t="e">
        <f ca="1"/>
        <v>#NAME?</v>
      </c>
      <c r="E15" s="1076" t="e">
        <f ca="1"/>
        <v>#NAME?</v>
      </c>
      <c r="F15" s="1077" t="e">
        <f ca="1"/>
        <v>#NAME?</v>
      </c>
    </row>
    <row r="16" spans="1:9">
      <c r="A16" s="1496" t="s">
        <v>217</v>
      </c>
      <c r="B16" s="1497">
        <v>22</v>
      </c>
    </row>
    <row r="17" spans="1:2">
      <c r="A17" s="1496" t="s">
        <v>217</v>
      </c>
      <c r="B17" s="1497">
        <v>30</v>
      </c>
    </row>
    <row r="18" spans="1:2">
      <c r="A18" s="1496" t="s">
        <v>217</v>
      </c>
      <c r="B18" s="1497">
        <v>27</v>
      </c>
    </row>
    <row r="19" spans="1:2">
      <c r="A19" s="1496" t="s">
        <v>217</v>
      </c>
      <c r="B19" s="1497">
        <v>32</v>
      </c>
    </row>
    <row r="20" spans="1:2">
      <c r="A20" s="1496" t="s">
        <v>217</v>
      </c>
      <c r="B20" s="1497">
        <v>25</v>
      </c>
    </row>
    <row r="21" spans="1:2">
      <c r="A21" s="1496" t="s">
        <v>217</v>
      </c>
      <c r="B21" s="1497">
        <v>40</v>
      </c>
    </row>
    <row r="22" spans="1:2">
      <c r="A22" s="1496" t="s">
        <v>239</v>
      </c>
      <c r="B22" s="1497">
        <v>16</v>
      </c>
    </row>
    <row r="23" spans="1:2">
      <c r="A23" s="1496" t="s">
        <v>239</v>
      </c>
      <c r="B23" s="1497">
        <v>60</v>
      </c>
    </row>
    <row r="24" spans="1:2">
      <c r="A24" s="1496" t="s">
        <v>239</v>
      </c>
      <c r="B24" s="1497">
        <v>24</v>
      </c>
    </row>
    <row r="25" spans="1:2">
      <c r="A25" s="1496" t="s">
        <v>239</v>
      </c>
      <c r="B25" s="1497">
        <v>19</v>
      </c>
    </row>
    <row r="26" spans="1:2">
      <c r="A26" s="1496" t="s">
        <v>239</v>
      </c>
      <c r="B26" s="1497">
        <v>31</v>
      </c>
    </row>
    <row r="27" spans="1:2">
      <c r="A27" s="1496" t="s">
        <v>239</v>
      </c>
      <c r="B27" s="1497">
        <v>37</v>
      </c>
    </row>
    <row r="28" spans="1:2">
      <c r="A28" s="1496" t="s">
        <v>239</v>
      </c>
      <c r="B28" s="1497">
        <v>44</v>
      </c>
    </row>
    <row r="29" spans="1:2">
      <c r="A29" s="1498" t="s">
        <v>239</v>
      </c>
      <c r="B29" s="1499">
        <v>55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sheetPr codeName="Sheet364"/>
  <dimension ref="A1:Z37"/>
  <sheetViews>
    <sheetView workbookViewId="0"/>
  </sheetViews>
  <sheetFormatPr defaultRowHeight="14.4"/>
  <sheetData>
    <row r="1" spans="1:26">
      <c r="A1" s="1" t="s">
        <v>4103</v>
      </c>
    </row>
    <row r="3" spans="1:26">
      <c r="A3" s="231" t="s">
        <v>874</v>
      </c>
      <c r="B3" s="231" t="s">
        <v>875</v>
      </c>
      <c r="C3" s="231" t="s">
        <v>876</v>
      </c>
      <c r="E3" t="s">
        <v>878</v>
      </c>
      <c r="O3" t="s">
        <v>4103</v>
      </c>
      <c r="T3" s="279" t="s">
        <v>139</v>
      </c>
      <c r="U3" s="279" t="s">
        <v>140</v>
      </c>
      <c r="V3" s="279" t="s">
        <v>150</v>
      </c>
      <c r="W3" s="279" t="s">
        <v>151</v>
      </c>
      <c r="Y3" s="232" t="s">
        <v>4103</v>
      </c>
    </row>
    <row r="4" spans="1:26">
      <c r="A4" s="229">
        <v>13</v>
      </c>
      <c r="B4" s="229">
        <v>12</v>
      </c>
      <c r="C4" s="1487">
        <v>7</v>
      </c>
      <c r="T4" s="279">
        <v>51</v>
      </c>
      <c r="U4" s="279">
        <v>82</v>
      </c>
      <c r="V4" s="279">
        <v>79</v>
      </c>
      <c r="W4" s="279">
        <v>85</v>
      </c>
    </row>
    <row r="5" spans="1:26" ht="15" thickBot="1">
      <c r="A5" s="1488">
        <v>17</v>
      </c>
      <c r="B5" s="1488">
        <v>8</v>
      </c>
      <c r="C5" s="1487">
        <v>19</v>
      </c>
      <c r="E5" t="s">
        <v>879</v>
      </c>
      <c r="J5" t="s">
        <v>116</v>
      </c>
      <c r="K5">
        <v>0.05</v>
      </c>
      <c r="O5" t="e">
        <f t="array" aca="1" ref="O5:P8" ca="1">[1]!WELCH_TEST(A4:C13,TRUE)</f>
        <v>#NAME?</v>
      </c>
      <c r="P5" s="1235" t="e">
        <f ca="1"/>
        <v>#NAME?</v>
      </c>
      <c r="T5" s="1488">
        <v>87</v>
      </c>
      <c r="U5" s="1488">
        <v>91</v>
      </c>
      <c r="V5" s="1488">
        <v>84</v>
      </c>
      <c r="W5" s="1488">
        <v>80</v>
      </c>
      <c r="Y5" t="e">
        <f t="array" aca="1" ref="Y5:Z8" ca="1">[1]!WELCH_TEST(T4:W11,TRUE)</f>
        <v>#NAME?</v>
      </c>
      <c r="Z5" s="1235" t="e">
        <f ca="1"/>
        <v>#NAME?</v>
      </c>
    </row>
    <row r="6" spans="1:26" ht="15" thickTop="1">
      <c r="A6" s="1488">
        <v>19</v>
      </c>
      <c r="B6" s="1488">
        <v>6</v>
      </c>
      <c r="C6" s="1487">
        <v>15</v>
      </c>
      <c r="E6" s="1151" t="s">
        <v>222</v>
      </c>
      <c r="F6" s="1151" t="s">
        <v>88</v>
      </c>
      <c r="G6" s="1151" t="s">
        <v>87</v>
      </c>
      <c r="H6" s="1151" t="s">
        <v>76</v>
      </c>
      <c r="I6" s="1151" t="s">
        <v>223</v>
      </c>
      <c r="J6" s="1151" t="s">
        <v>578</v>
      </c>
      <c r="K6" s="1151" t="s">
        <v>183</v>
      </c>
      <c r="L6" s="1151" t="s">
        <v>744</v>
      </c>
      <c r="M6" s="1151" t="s">
        <v>745</v>
      </c>
      <c r="O6" t="e">
        <f ca="1"/>
        <v>#NAME?</v>
      </c>
      <c r="P6" s="627" t="e">
        <f ca="1"/>
        <v>#NAME?</v>
      </c>
      <c r="T6" s="1488">
        <v>50</v>
      </c>
      <c r="U6" s="1488">
        <v>92</v>
      </c>
      <c r="V6" s="1488">
        <v>74</v>
      </c>
      <c r="W6" s="1488">
        <v>65</v>
      </c>
      <c r="Y6" t="e">
        <f ca="1"/>
        <v>#NAME?</v>
      </c>
      <c r="Z6" s="627" t="e">
        <f ca="1"/>
        <v>#NAME?</v>
      </c>
    </row>
    <row r="7" spans="1:26">
      <c r="A7" s="1488">
        <v>11</v>
      </c>
      <c r="B7" s="1488">
        <v>16</v>
      </c>
      <c r="C7" s="1487">
        <v>14</v>
      </c>
      <c r="E7" t="str">
        <f>A3</f>
        <v>Flavor 1</v>
      </c>
      <c r="F7">
        <f>COUNT(A4:A13)</f>
        <v>10</v>
      </c>
      <c r="G7">
        <f>SUM(A4:A13)</f>
        <v>150</v>
      </c>
      <c r="H7">
        <f>AVERAGE(A4:A13)</f>
        <v>15</v>
      </c>
      <c r="I7">
        <f>VAR(A4:A13)</f>
        <v>13.333333333333334</v>
      </c>
      <c r="J7">
        <f>DEVSQ(A4:A13)</f>
        <v>120</v>
      </c>
      <c r="K7">
        <f>SQRT(H14/F7)</f>
        <v>1.1548609023184149</v>
      </c>
      <c r="L7">
        <f>H7-K7*TINV(K5,F7-1)</f>
        <v>12.3875231377848</v>
      </c>
      <c r="M7">
        <f>H7+K7*TINV(K5,F7-1)</f>
        <v>17.6124768622152</v>
      </c>
      <c r="O7" t="e">
        <f ca="1"/>
        <v>#NAME?</v>
      </c>
      <c r="P7" s="627" t="e">
        <f ca="1"/>
        <v>#NAME?</v>
      </c>
      <c r="T7" s="1488">
        <v>48</v>
      </c>
      <c r="U7" s="1488">
        <v>80</v>
      </c>
      <c r="V7" s="1488">
        <v>98</v>
      </c>
      <c r="W7" s="1488">
        <v>71</v>
      </c>
      <c r="Y7" t="e">
        <f ca="1"/>
        <v>#NAME?</v>
      </c>
      <c r="Z7" s="627" t="e">
        <f ca="1"/>
        <v>#NAME?</v>
      </c>
    </row>
    <row r="8" spans="1:26">
      <c r="A8" s="1488">
        <v>20</v>
      </c>
      <c r="B8" s="1488">
        <v>12</v>
      </c>
      <c r="C8" s="1487">
        <v>10</v>
      </c>
      <c r="E8" t="str">
        <f>B3</f>
        <v>Flavor 2</v>
      </c>
      <c r="F8">
        <f>COUNT(B4:B13)</f>
        <v>10</v>
      </c>
      <c r="G8">
        <f>SUM(B4:B13)</f>
        <v>118</v>
      </c>
      <c r="H8">
        <f>AVERAGE(B4:B13)</f>
        <v>11.8</v>
      </c>
      <c r="I8">
        <f>VAR(B4:B13)</f>
        <v>12.622222222222213</v>
      </c>
      <c r="J8">
        <f>DEVSQ(B4:B13)</f>
        <v>113.60000000000002</v>
      </c>
      <c r="K8">
        <f>SQRT(H14/F8)</f>
        <v>1.1548609023184149</v>
      </c>
      <c r="L8">
        <f>H8-K8*TINV(K5,F8-1)</f>
        <v>9.187523137784801</v>
      </c>
      <c r="M8">
        <f>H8+K8*TINV(K5,F8-1)</f>
        <v>14.4124768622152</v>
      </c>
      <c r="O8" t="e">
        <f ca="1"/>
        <v>#NAME?</v>
      </c>
      <c r="P8" s="544" t="e">
        <f ca="1"/>
        <v>#NAME?</v>
      </c>
      <c r="T8" s="1488">
        <v>79</v>
      </c>
      <c r="U8" s="1488">
        <v>52</v>
      </c>
      <c r="V8" s="1488">
        <v>63</v>
      </c>
      <c r="W8" s="1488">
        <v>67</v>
      </c>
      <c r="Y8" t="e">
        <f ca="1"/>
        <v>#NAME?</v>
      </c>
      <c r="Z8" s="544" t="e">
        <f ca="1"/>
        <v>#NAME?</v>
      </c>
    </row>
    <row r="9" spans="1:26">
      <c r="A9" s="1488">
        <v>15</v>
      </c>
      <c r="B9" s="1488">
        <v>14</v>
      </c>
      <c r="C9" s="1487">
        <v>16</v>
      </c>
      <c r="E9" t="str">
        <f>C3</f>
        <v>Flavor 3</v>
      </c>
      <c r="F9">
        <f>COUNT(C4:C13)</f>
        <v>10</v>
      </c>
      <c r="G9">
        <f>SUM(C4:C13)</f>
        <v>135</v>
      </c>
      <c r="H9">
        <f>AVERAGE(C4:C13)</f>
        <v>13.5</v>
      </c>
      <c r="I9">
        <f>VAR(C4:C13)</f>
        <v>14.055555555555555</v>
      </c>
      <c r="J9">
        <f>DEVSQ(C4:C13)</f>
        <v>126.5</v>
      </c>
      <c r="K9">
        <f>SQRT(H14/F9)</f>
        <v>1.1548609023184149</v>
      </c>
      <c r="L9">
        <f>H9-K9*TINV(K5,F9-1)</f>
        <v>10.8875231377848</v>
      </c>
      <c r="M9">
        <f>H9+K9*TINV(K5,F9-1)</f>
        <v>16.1124768622152</v>
      </c>
      <c r="T9" s="1488">
        <v>61</v>
      </c>
      <c r="U9" s="1488">
        <v>79</v>
      </c>
      <c r="V9" s="1488">
        <v>83</v>
      </c>
      <c r="W9" s="1488">
        <v>51</v>
      </c>
    </row>
    <row r="10" spans="1:26">
      <c r="A10" s="1488">
        <v>18</v>
      </c>
      <c r="B10" s="1488">
        <v>10</v>
      </c>
      <c r="C10" s="1487">
        <v>18</v>
      </c>
      <c r="E10" s="1152"/>
      <c r="F10" s="1152"/>
      <c r="G10" s="1152"/>
      <c r="H10" s="1152"/>
      <c r="I10" s="1152"/>
      <c r="J10" s="1152"/>
      <c r="K10" s="1152"/>
      <c r="L10" s="1152"/>
      <c r="M10" s="1152"/>
      <c r="T10" s="1488">
        <v>53</v>
      </c>
      <c r="U10" s="1488">
        <v>73</v>
      </c>
      <c r="V10" s="1488">
        <v>85</v>
      </c>
      <c r="W10" s="1488">
        <v>63</v>
      </c>
    </row>
    <row r="11" spans="1:26" ht="15" thickBot="1">
      <c r="A11" s="1488">
        <v>9</v>
      </c>
      <c r="B11" s="1488">
        <v>18</v>
      </c>
      <c r="C11" s="1487">
        <v>11</v>
      </c>
      <c r="E11" t="s">
        <v>695</v>
      </c>
      <c r="T11" s="1489">
        <v>54</v>
      </c>
      <c r="U11" s="1489">
        <v>74</v>
      </c>
      <c r="V11" s="1489">
        <v>58</v>
      </c>
      <c r="W11" s="1489">
        <v>93</v>
      </c>
    </row>
    <row r="12" spans="1:26" ht="15" thickTop="1">
      <c r="A12" s="1488">
        <v>12</v>
      </c>
      <c r="B12" s="1488">
        <v>11</v>
      </c>
      <c r="C12" s="1487">
        <v>14</v>
      </c>
      <c r="E12" s="1151" t="s">
        <v>880</v>
      </c>
      <c r="F12" s="1151" t="s">
        <v>578</v>
      </c>
      <c r="G12" s="1151" t="s">
        <v>186</v>
      </c>
      <c r="H12" s="1151" t="s">
        <v>641</v>
      </c>
      <c r="I12" s="1151" t="s">
        <v>388</v>
      </c>
      <c r="J12" s="1151" t="s">
        <v>881</v>
      </c>
      <c r="K12" s="1151" t="s">
        <v>888</v>
      </c>
      <c r="L12" s="1151" t="s">
        <v>1932</v>
      </c>
      <c r="M12" s="1151" t="s">
        <v>1933</v>
      </c>
      <c r="S12" t="s">
        <v>63</v>
      </c>
      <c r="T12" s="1487" t="e">
        <f t="array" aca="1" ref="T12:W12" ca="1">[1]!MEANCOL(T4:W11)</f>
        <v>#NAME?</v>
      </c>
      <c r="U12" s="1487" t="e">
        <f ca="1"/>
        <v>#NAME?</v>
      </c>
      <c r="V12" s="1487" t="e">
        <f ca="1"/>
        <v>#NAME?</v>
      </c>
      <c r="W12" s="1487" t="e">
        <f ca="1"/>
        <v>#NAME?</v>
      </c>
    </row>
    <row r="13" spans="1:26">
      <c r="A13" s="1490">
        <v>16</v>
      </c>
      <c r="B13" s="1490">
        <v>11</v>
      </c>
      <c r="C13" s="1490">
        <v>11</v>
      </c>
      <c r="E13" t="s">
        <v>883</v>
      </c>
      <c r="F13">
        <f>F15-F14</f>
        <v>51.266666666666538</v>
      </c>
      <c r="G13">
        <f>COUNTA(E7:E9)-1</f>
        <v>2</v>
      </c>
      <c r="H13">
        <f>F13/G13</f>
        <v>25.633333333333269</v>
      </c>
      <c r="I13">
        <f>H13/H14</f>
        <v>1.9219661205220724</v>
      </c>
      <c r="J13">
        <f>FDIST(I13,G13,G14)</f>
        <v>0.16581328408696724</v>
      </c>
      <c r="K13">
        <f>FINV(K5,G13,G14)</f>
        <v>3.3541308285291991</v>
      </c>
      <c r="L13">
        <f>SQRT(DEVSQ(H7:H9)/(H14*G13))</f>
        <v>0.43840234038176351</v>
      </c>
      <c r="M13">
        <f>(F15-G15*H14)/(F15+H14)</f>
        <v>5.7905293450771569E-2</v>
      </c>
      <c r="S13" t="s">
        <v>1533</v>
      </c>
      <c r="T13" s="1487" t="e">
        <f t="array" aca="1" ref="T13:W13" ca="1">[1]!VARCOL(T4:W11)</f>
        <v>#NAME?</v>
      </c>
      <c r="U13" s="1487" t="e">
        <f ca="1"/>
        <v>#NAME?</v>
      </c>
      <c r="V13" s="1487" t="e">
        <f ca="1"/>
        <v>#NAME?</v>
      </c>
      <c r="W13" s="1487" t="e">
        <f ca="1"/>
        <v>#NAME?</v>
      </c>
    </row>
    <row r="14" spans="1:26">
      <c r="E14" t="s">
        <v>884</v>
      </c>
      <c r="F14">
        <f>SUM(J7:J9)</f>
        <v>360.1</v>
      </c>
      <c r="G14">
        <f>G15-G13</f>
        <v>27</v>
      </c>
      <c r="H14">
        <f>F14/G14</f>
        <v>13.337037037037037</v>
      </c>
    </row>
    <row r="15" spans="1:26">
      <c r="E15" s="1078" t="s">
        <v>12</v>
      </c>
      <c r="F15" s="1078">
        <f>DEVSQ(A4:C13)</f>
        <v>411.36666666666656</v>
      </c>
      <c r="G15" s="1078">
        <f>COUNT(A4:C13)-1</f>
        <v>29</v>
      </c>
      <c r="H15" s="1078">
        <f>F15/G15</f>
        <v>14.185057471264365</v>
      </c>
      <c r="I15" s="1078"/>
      <c r="J15" s="1078"/>
      <c r="K15" s="1078"/>
      <c r="L15" s="1078"/>
      <c r="M15" s="1078"/>
    </row>
    <row r="19" spans="4:10">
      <c r="E19" s="42" t="s">
        <v>874</v>
      </c>
      <c r="F19" s="42" t="s">
        <v>875</v>
      </c>
      <c r="G19" s="42" t="s">
        <v>876</v>
      </c>
    </row>
    <row r="20" spans="4:10">
      <c r="E20" s="1242">
        <v>13</v>
      </c>
      <c r="F20" s="1248">
        <v>12</v>
      </c>
      <c r="G20" s="1243">
        <v>7</v>
      </c>
      <c r="I20" s="232" t="s">
        <v>169</v>
      </c>
      <c r="J20" s="1235">
        <f>COUNT(E20:G20)</f>
        <v>3</v>
      </c>
    </row>
    <row r="21" spans="4:10">
      <c r="E21" s="750">
        <v>17</v>
      </c>
      <c r="F21" s="42">
        <v>8</v>
      </c>
      <c r="G21" s="838">
        <v>19</v>
      </c>
      <c r="I21" t="s">
        <v>388</v>
      </c>
      <c r="J21" s="627">
        <f>H35/(1+2*H36*(J20-2)/(J20^2-1))</f>
        <v>1.9069762287077523</v>
      </c>
    </row>
    <row r="22" spans="4:10">
      <c r="E22" s="750">
        <v>19</v>
      </c>
      <c r="F22" s="42">
        <v>6</v>
      </c>
      <c r="G22" s="838">
        <v>15</v>
      </c>
      <c r="I22" t="s">
        <v>822</v>
      </c>
      <c r="J22" s="627">
        <f>J20-1</f>
        <v>2</v>
      </c>
    </row>
    <row r="23" spans="4:10">
      <c r="E23" s="750">
        <v>11</v>
      </c>
      <c r="F23" s="42">
        <v>16</v>
      </c>
      <c r="G23" s="838">
        <v>14</v>
      </c>
      <c r="I23" t="s">
        <v>823</v>
      </c>
      <c r="J23" s="627">
        <f>(J20^2-1)/(3*H36)</f>
        <v>17.991323813192135</v>
      </c>
    </row>
    <row r="24" spans="4:10">
      <c r="E24" s="750">
        <v>20</v>
      </c>
      <c r="F24" s="42">
        <v>12</v>
      </c>
      <c r="G24" s="838">
        <v>10</v>
      </c>
      <c r="I24" t="s">
        <v>200</v>
      </c>
      <c r="J24" s="544">
        <f>FDIST(J21,J22,J23)</f>
        <v>0.17897900394080904</v>
      </c>
    </row>
    <row r="25" spans="4:10">
      <c r="E25" s="750">
        <v>15</v>
      </c>
      <c r="F25" s="42">
        <v>14</v>
      </c>
      <c r="G25" s="838">
        <v>16</v>
      </c>
    </row>
    <row r="26" spans="4:10">
      <c r="E26" s="750">
        <v>18</v>
      </c>
      <c r="F26" s="42">
        <v>10</v>
      </c>
      <c r="G26" s="838">
        <v>18</v>
      </c>
    </row>
    <row r="27" spans="4:10">
      <c r="E27" s="750">
        <v>9</v>
      </c>
      <c r="F27" s="42">
        <v>18</v>
      </c>
      <c r="G27" s="838">
        <v>11</v>
      </c>
    </row>
    <row r="28" spans="4:10">
      <c r="E28" s="750">
        <v>12</v>
      </c>
      <c r="F28" s="42">
        <v>11</v>
      </c>
      <c r="G28" s="838">
        <v>14</v>
      </c>
    </row>
    <row r="29" spans="4:10">
      <c r="E29" s="1244">
        <v>16</v>
      </c>
      <c r="F29" s="1247">
        <v>11</v>
      </c>
      <c r="G29" s="1245">
        <v>11</v>
      </c>
    </row>
    <row r="30" spans="4:10">
      <c r="D30" t="s">
        <v>554</v>
      </c>
      <c r="E30" s="1236">
        <f>COUNT(E20:E29)</f>
        <v>10</v>
      </c>
      <c r="F30" s="1152">
        <f>COUNT(F20:F29)</f>
        <v>10</v>
      </c>
      <c r="G30" s="1237">
        <f>COUNT(G20:G29)</f>
        <v>10</v>
      </c>
    </row>
    <row r="31" spans="4:10">
      <c r="D31" t="s">
        <v>63</v>
      </c>
      <c r="E31" s="656">
        <f>AVERAGE(E20:E29)</f>
        <v>15</v>
      </c>
      <c r="F31" s="8">
        <f>AVERAGE(F20:F29)</f>
        <v>11.8</v>
      </c>
      <c r="G31" s="657">
        <f>AVERAGE(G20:G29)</f>
        <v>13.5</v>
      </c>
    </row>
    <row r="32" spans="4:10">
      <c r="D32" t="s">
        <v>1533</v>
      </c>
      <c r="E32" s="533">
        <f>VAR(E20:E29)</f>
        <v>13.333333333333334</v>
      </c>
      <c r="F32" s="1078">
        <f>VAR(F20:F29)</f>
        <v>12.622222222222213</v>
      </c>
      <c r="G32" s="541">
        <f>VAR(G20:G29)</f>
        <v>14.055555555555555</v>
      </c>
    </row>
    <row r="33" spans="4:8">
      <c r="D33" t="s">
        <v>3094</v>
      </c>
      <c r="E33" s="656">
        <f>E30/E32</f>
        <v>0.75</v>
      </c>
      <c r="F33" s="8">
        <f>F30/F32</f>
        <v>0.79225352112676117</v>
      </c>
      <c r="G33" s="657">
        <f>G30/G32</f>
        <v>0.71146245059288538</v>
      </c>
      <c r="H33" s="1235">
        <f>SUM(E33:G33)</f>
        <v>2.2537159717196467</v>
      </c>
    </row>
    <row r="34" spans="4:8">
      <c r="D34" t="s">
        <v>4105</v>
      </c>
      <c r="E34" s="656">
        <f>E33*E31</f>
        <v>11.25</v>
      </c>
      <c r="F34" s="8">
        <f>F33*F31</f>
        <v>9.348591549295783</v>
      </c>
      <c r="G34" s="657">
        <f>G33*G31</f>
        <v>9.6047430830039531</v>
      </c>
      <c r="H34" s="627">
        <f>SUM(E34:G34)/H33</f>
        <v>13.401571010411649</v>
      </c>
    </row>
    <row r="35" spans="4:8">
      <c r="D35" t="s">
        <v>141</v>
      </c>
      <c r="E35" s="656">
        <f>E33*(E31-$H34)^2</f>
        <v>1.9162314260673274</v>
      </c>
      <c r="F35" s="8">
        <f>F33*(F31-$H34)^2</f>
        <v>2.0321538127217349</v>
      </c>
      <c r="G35" s="657">
        <f>G33*(G31-$H34)^2</f>
        <v>6.892837464225564E-3</v>
      </c>
      <c r="H35" s="627">
        <f>SUM(E35:G35)/(J20-1)</f>
        <v>1.977639038126644</v>
      </c>
    </row>
    <row r="36" spans="4:8">
      <c r="D36" t="s">
        <v>142</v>
      </c>
      <c r="E36" s="533">
        <f>(1-E33/$H33)^2/(E30-1)</f>
        <v>4.9464172816856396E-2</v>
      </c>
      <c r="F36" s="1078">
        <f>(1-F33/$H33)^2/(F30-1)</f>
        <v>4.6723401108145123E-2</v>
      </c>
      <c r="G36" s="541">
        <f>(1-G33/$H33)^2/(G30-1)</f>
        <v>5.2032017604518623E-2</v>
      </c>
      <c r="H36" s="544">
        <f>SUM(E36:G36)</f>
        <v>0.14821959152952013</v>
      </c>
    </row>
    <row r="37" spans="4:8">
      <c r="E37" s="8"/>
      <c r="F37" s="8"/>
      <c r="G37" s="8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sheetPr codeName="Sheet357"/>
  <dimension ref="A1:J13"/>
  <sheetViews>
    <sheetView workbookViewId="0"/>
  </sheetViews>
  <sheetFormatPr defaultRowHeight="14.4"/>
  <cols>
    <col min="4" max="4" width="6.6640625" customWidth="1"/>
    <col min="5" max="5" width="10.5546875" customWidth="1"/>
    <col min="9" max="9" width="3.5546875" customWidth="1"/>
    <col min="10" max="10" width="26.109375" customWidth="1"/>
  </cols>
  <sheetData>
    <row r="1" spans="1:10">
      <c r="A1" s="1" t="s">
        <v>4030</v>
      </c>
    </row>
    <row r="3" spans="1:10">
      <c r="A3" s="1444" t="s">
        <v>216</v>
      </c>
      <c r="B3" s="1444" t="s">
        <v>217</v>
      </c>
      <c r="C3" s="1444" t="s">
        <v>239</v>
      </c>
      <c r="E3" t="s">
        <v>78</v>
      </c>
      <c r="F3" s="756">
        <f>MEDIAN(A4:C13)</f>
        <v>38</v>
      </c>
      <c r="J3" t="e">
        <f ca="1">[1]!FTEXT(F3)</f>
        <v>#NAME?</v>
      </c>
    </row>
    <row r="4" spans="1:10">
      <c r="A4" s="85">
        <v>46</v>
      </c>
      <c r="B4" s="1227">
        <v>44</v>
      </c>
      <c r="C4" s="86">
        <v>26</v>
      </c>
    </row>
    <row r="5" spans="1:10">
      <c r="A5" s="664">
        <v>32</v>
      </c>
      <c r="B5" s="1445">
        <v>31</v>
      </c>
      <c r="C5" s="618">
        <v>49</v>
      </c>
      <c r="F5" s="1444" t="s">
        <v>216</v>
      </c>
      <c r="G5" s="1444" t="s">
        <v>217</v>
      </c>
      <c r="H5" s="1444" t="s">
        <v>239</v>
      </c>
    </row>
    <row r="6" spans="1:10">
      <c r="A6" s="664">
        <v>42</v>
      </c>
      <c r="B6" s="1445">
        <v>25</v>
      </c>
      <c r="C6" s="618">
        <v>33</v>
      </c>
      <c r="E6" t="s">
        <v>4033</v>
      </c>
      <c r="F6" s="4">
        <f>COUNTIF(A4:A13,"&gt;"&amp;$F$3)</f>
        <v>7</v>
      </c>
      <c r="G6" s="1152">
        <f>COUNTIF(B4:B13,"&gt;"&amp;$F$3)</f>
        <v>2</v>
      </c>
      <c r="H6" s="6">
        <f>COUNTIF(C4:C13,"&gt;"&amp;$F$3)</f>
        <v>3</v>
      </c>
      <c r="J6" t="e">
        <f ca="1">[1]!FTEXT(F6)</f>
        <v>#NAME?</v>
      </c>
    </row>
    <row r="7" spans="1:10">
      <c r="A7" s="664">
        <v>45</v>
      </c>
      <c r="B7" s="1445">
        <v>22</v>
      </c>
      <c r="C7" s="618">
        <v>19</v>
      </c>
      <c r="E7" t="s">
        <v>4034</v>
      </c>
      <c r="F7" s="533">
        <f>COUNT(A4:A13)-F6</f>
        <v>3</v>
      </c>
      <c r="G7" s="1078">
        <f>COUNT(B4:B13)-G6</f>
        <v>7</v>
      </c>
      <c r="H7" s="541">
        <f>COUNT(C4:C13)-H6</f>
        <v>5</v>
      </c>
      <c r="J7" t="e">
        <f ca="1">[1]!FTEXT(F7)</f>
        <v>#NAME?</v>
      </c>
    </row>
    <row r="8" spans="1:10">
      <c r="A8" s="664">
        <v>37</v>
      </c>
      <c r="B8" s="1445">
        <v>30</v>
      </c>
      <c r="C8" s="618">
        <v>31</v>
      </c>
      <c r="J8" t="e">
        <f ca="1">[1]!FTEXT(F8)</f>
        <v>#NAME?</v>
      </c>
    </row>
    <row r="9" spans="1:10">
      <c r="A9" s="664">
        <v>44</v>
      </c>
      <c r="B9" s="1445">
        <v>30</v>
      </c>
      <c r="C9" s="618">
        <v>38</v>
      </c>
      <c r="E9" t="s">
        <v>589</v>
      </c>
      <c r="F9" s="48" t="e">
        <f ca="1">[1]!chi_stat(F6:H7)</f>
        <v>#NAME?</v>
      </c>
      <c r="J9" s="23" t="s">
        <v>4038</v>
      </c>
    </row>
    <row r="10" spans="1:10">
      <c r="A10" s="664">
        <v>38</v>
      </c>
      <c r="B10" s="1445">
        <v>32</v>
      </c>
      <c r="C10" s="618">
        <v>44</v>
      </c>
      <c r="E10" t="s">
        <v>200</v>
      </c>
      <c r="F10" s="544" t="e">
        <f ca="1">[1]!CHI_TESt(F6:H7)</f>
        <v>#NAME?</v>
      </c>
      <c r="J10" s="23" t="s">
        <v>4039</v>
      </c>
    </row>
    <row r="11" spans="1:10">
      <c r="A11" s="664">
        <v>47</v>
      </c>
      <c r="B11" s="1445">
        <v>19</v>
      </c>
      <c r="C11" s="618">
        <v>50</v>
      </c>
    </row>
    <row r="12" spans="1:10">
      <c r="A12" s="664">
        <v>49</v>
      </c>
      <c r="B12" s="1445">
        <v>40</v>
      </c>
      <c r="C12" s="618"/>
      <c r="E12" t="s">
        <v>589</v>
      </c>
      <c r="F12" s="48" t="e">
        <f ca="1">[1]!MOODS_STAT(A4:C13)</f>
        <v>#NAME?</v>
      </c>
      <c r="J12" s="23" t="e">
        <f ca="1">[1]!FTEXT(F12)</f>
        <v>#NAME?</v>
      </c>
    </row>
    <row r="13" spans="1:10">
      <c r="A13" s="560">
        <v>41</v>
      </c>
      <c r="B13" s="1219"/>
      <c r="C13" s="536"/>
      <c r="E13" t="s">
        <v>200</v>
      </c>
      <c r="F13" s="544" t="e">
        <f ca="1">[1]!MOODS_TEST(A4:C13)</f>
        <v>#NAME?</v>
      </c>
      <c r="J13" s="23" t="e">
        <f ca="1">[1]!FTEXT(F13)</f>
        <v>#NAME?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sheetPr codeName="Sheet109"/>
  <dimension ref="A1:AI24"/>
  <sheetViews>
    <sheetView zoomScaleNormal="100" workbookViewId="0"/>
  </sheetViews>
  <sheetFormatPr defaultRowHeight="14.4"/>
  <cols>
    <col min="2" max="5" width="7" customWidth="1"/>
    <col min="7" max="7" width="16.6640625" customWidth="1"/>
    <col min="15" max="15" width="18.109375" customWidth="1"/>
  </cols>
  <sheetData>
    <row r="1" spans="1:35">
      <c r="A1" s="1" t="s">
        <v>1018</v>
      </c>
      <c r="V1" t="s">
        <v>2873</v>
      </c>
    </row>
    <row r="3" spans="1:35">
      <c r="B3" s="19" t="s">
        <v>1011</v>
      </c>
      <c r="C3" s="19" t="s">
        <v>1012</v>
      </c>
      <c r="D3" s="19" t="s">
        <v>1013</v>
      </c>
      <c r="E3" s="19" t="s">
        <v>1017</v>
      </c>
      <c r="G3" t="s">
        <v>1008</v>
      </c>
      <c r="V3" t="s">
        <v>95</v>
      </c>
      <c r="AC3" t="s">
        <v>2827</v>
      </c>
    </row>
    <row r="4" spans="1:35" ht="15" thickBot="1">
      <c r="A4" t="s">
        <v>1014</v>
      </c>
      <c r="B4" s="370">
        <v>123</v>
      </c>
      <c r="C4" s="371">
        <v>138</v>
      </c>
      <c r="D4" s="371">
        <v>110</v>
      </c>
      <c r="E4" s="372">
        <v>151</v>
      </c>
    </row>
    <row r="5" spans="1:35" ht="15" thickBot="1">
      <c r="A5" t="s">
        <v>1015</v>
      </c>
      <c r="B5" s="7">
        <v>145</v>
      </c>
      <c r="C5" s="8">
        <v>165</v>
      </c>
      <c r="D5" s="8">
        <v>140</v>
      </c>
      <c r="E5" s="9">
        <v>167</v>
      </c>
      <c r="G5" s="363" t="s">
        <v>194</v>
      </c>
      <c r="H5" s="363" t="s">
        <v>88</v>
      </c>
      <c r="I5" s="363" t="s">
        <v>87</v>
      </c>
      <c r="J5" s="363" t="s">
        <v>886</v>
      </c>
      <c r="K5" s="363" t="s">
        <v>223</v>
      </c>
      <c r="V5" t="s">
        <v>2821</v>
      </c>
      <c r="AC5" t="s">
        <v>695</v>
      </c>
      <c r="AG5" s="1108" t="s">
        <v>116</v>
      </c>
      <c r="AH5" s="1108">
        <v>0.05</v>
      </c>
    </row>
    <row r="6" spans="1:35" ht="15" thickTop="1">
      <c r="A6" t="s">
        <v>1016</v>
      </c>
      <c r="B6" s="234">
        <v>156</v>
      </c>
      <c r="C6" s="11">
        <v>176</v>
      </c>
      <c r="D6" s="11">
        <v>185</v>
      </c>
      <c r="E6" s="12">
        <v>175</v>
      </c>
      <c r="G6" s="28" t="s">
        <v>1014</v>
      </c>
      <c r="H6" s="28">
        <f>COUNT(B4:E4)</f>
        <v>4</v>
      </c>
      <c r="I6" s="28">
        <f>SUM(B4:E4)</f>
        <v>522</v>
      </c>
      <c r="J6" s="28">
        <f>AVERAGE(B4:E4)</f>
        <v>130.5</v>
      </c>
      <c r="K6" s="28">
        <f>VAR(B4:E4)</f>
        <v>317.66666666666669</v>
      </c>
      <c r="W6" s="1108" t="str">
        <f>B3</f>
        <v>Wheat</v>
      </c>
      <c r="X6" s="1108" t="str">
        <f>C3</f>
        <v>Corn</v>
      </c>
      <c r="Y6" s="1108" t="str">
        <f>D3</f>
        <v>Soy</v>
      </c>
      <c r="Z6" s="1108" t="str">
        <f>E3</f>
        <v>Rice</v>
      </c>
      <c r="AC6" s="1070"/>
      <c r="AD6" s="1070" t="s">
        <v>578</v>
      </c>
      <c r="AE6" s="1070" t="s">
        <v>186</v>
      </c>
      <c r="AF6" s="1070" t="s">
        <v>641</v>
      </c>
      <c r="AG6" s="1070" t="s">
        <v>388</v>
      </c>
      <c r="AH6" s="1070" t="s">
        <v>200</v>
      </c>
      <c r="AI6" s="1070" t="s">
        <v>948</v>
      </c>
    </row>
    <row r="7" spans="1:35">
      <c r="G7" s="28" t="s">
        <v>1015</v>
      </c>
      <c r="H7" s="28">
        <f>COUNT(B5:E5)</f>
        <v>4</v>
      </c>
      <c r="I7" s="28">
        <f>SUM(B5:E5)</f>
        <v>617</v>
      </c>
      <c r="J7" s="28">
        <f>AVERAGE(B5:E5)</f>
        <v>154.25</v>
      </c>
      <c r="K7" s="28">
        <f>VAR(B5:E5)</f>
        <v>188.91666666666666</v>
      </c>
      <c r="V7" t="str">
        <f>A4</f>
        <v>Blend X</v>
      </c>
      <c r="W7" s="1113">
        <f t="shared" ref="W7:Z9" si="0">COUNT(B4)</f>
        <v>1</v>
      </c>
      <c r="X7" s="1114">
        <f t="shared" si="0"/>
        <v>1</v>
      </c>
      <c r="Y7" s="1114">
        <f t="shared" si="0"/>
        <v>1</v>
      </c>
      <c r="Z7" s="1115">
        <f t="shared" si="0"/>
        <v>1</v>
      </c>
      <c r="AA7">
        <f>COUNT(B4:E4)</f>
        <v>4</v>
      </c>
      <c r="AC7" t="s">
        <v>390</v>
      </c>
      <c r="AD7">
        <f>DEVSQ(AA14:AA16)*AA7</f>
        <v>3629.166666666667</v>
      </c>
      <c r="AE7">
        <f>COUNT(AA14:AA16)-1</f>
        <v>2</v>
      </c>
      <c r="AF7">
        <f>AD7/AE7</f>
        <v>1814.5833333333335</v>
      </c>
      <c r="AG7">
        <f>AF7/AF9</f>
        <v>12.826428431179759</v>
      </c>
      <c r="AH7">
        <f>FDIST(AG7,AE7,AE9)</f>
        <v>6.8110647607708659E-3</v>
      </c>
      <c r="AI7" s="1108" t="str">
        <f>IF(AH7&lt;AH5,"yes","no")</f>
        <v>yes</v>
      </c>
    </row>
    <row r="8" spans="1:35">
      <c r="G8" s="28" t="s">
        <v>1016</v>
      </c>
      <c r="H8" s="28">
        <f>COUNT(B6:E6)</f>
        <v>4</v>
      </c>
      <c r="I8" s="28">
        <f>SUM(B6:E6)</f>
        <v>692</v>
      </c>
      <c r="J8" s="28">
        <f>AVERAGE(B6:E6)</f>
        <v>173</v>
      </c>
      <c r="K8" s="28">
        <f>VAR(B6:E6)</f>
        <v>148.66666666666666</v>
      </c>
      <c r="V8" t="str">
        <f>A5</f>
        <v>Blend Y</v>
      </c>
      <c r="W8" s="625">
        <f t="shared" si="0"/>
        <v>1</v>
      </c>
      <c r="X8" s="8">
        <f t="shared" si="0"/>
        <v>1</v>
      </c>
      <c r="Y8" s="8">
        <f t="shared" si="0"/>
        <v>1</v>
      </c>
      <c r="Z8" s="132">
        <f t="shared" si="0"/>
        <v>1</v>
      </c>
      <c r="AA8">
        <f>COUNT(B5:E5)</f>
        <v>4</v>
      </c>
      <c r="AC8" t="s">
        <v>1010</v>
      </c>
      <c r="AD8">
        <f>DEVSQ(W17:Z17)*W10</f>
        <v>1116.9166666666663</v>
      </c>
      <c r="AE8">
        <f>COUNT(W17:Z17)-1</f>
        <v>3</v>
      </c>
      <c r="AF8">
        <f>AD8/AE8</f>
        <v>372.30555555555543</v>
      </c>
      <c r="AG8">
        <f>AF8/AF9</f>
        <v>2.6316512860788706</v>
      </c>
      <c r="AH8">
        <f>FDIST(AG8,AE8,AE9)</f>
        <v>0.14456121517442636</v>
      </c>
      <c r="AI8" s="1108" t="str">
        <f>IF(AH8&lt;AH5,"yes","no")</f>
        <v>no</v>
      </c>
    </row>
    <row r="9" spans="1:35">
      <c r="G9" s="28"/>
      <c r="H9" s="28"/>
      <c r="I9" s="28"/>
      <c r="J9" s="28"/>
      <c r="K9" s="28"/>
      <c r="V9" t="str">
        <f>A6</f>
        <v>Blend Z</v>
      </c>
      <c r="W9" s="1075">
        <f t="shared" si="0"/>
        <v>1</v>
      </c>
      <c r="X9" s="1076">
        <f t="shared" si="0"/>
        <v>1</v>
      </c>
      <c r="Y9" s="1076">
        <f t="shared" si="0"/>
        <v>1</v>
      </c>
      <c r="Z9" s="1077">
        <f t="shared" si="0"/>
        <v>1</v>
      </c>
      <c r="AA9">
        <f>COUNT(B6:E6)</f>
        <v>4</v>
      </c>
      <c r="AC9" t="s">
        <v>1009</v>
      </c>
      <c r="AD9">
        <f>AD11-AD7-AD8</f>
        <v>848.83333333335281</v>
      </c>
      <c r="AE9">
        <f>AE8*AE7</f>
        <v>6</v>
      </c>
      <c r="AF9">
        <f>AD9/AE9</f>
        <v>141.47222222222547</v>
      </c>
    </row>
    <row r="10" spans="1:35">
      <c r="G10" s="28" t="s">
        <v>1011</v>
      </c>
      <c r="H10" s="28">
        <f>COUNT(B4:B6)</f>
        <v>3</v>
      </c>
      <c r="I10" s="28">
        <f>SUM(B4:B6)</f>
        <v>424</v>
      </c>
      <c r="J10" s="28">
        <f>AVERAGE(B4:B6)</f>
        <v>141.33333333333334</v>
      </c>
      <c r="K10" s="28">
        <f>VAR(B4:B6)</f>
        <v>282.33333333333337</v>
      </c>
      <c r="W10">
        <f>COUNT(B4:B6)</f>
        <v>3</v>
      </c>
      <c r="X10">
        <f>COUNT(C4:C6)</f>
        <v>3</v>
      </c>
      <c r="Y10">
        <f>COUNT(D4:D6)</f>
        <v>3</v>
      </c>
      <c r="Z10">
        <f>COUNT(E4:E6)</f>
        <v>3</v>
      </c>
      <c r="AA10">
        <f>COUNT(B4:E6)</f>
        <v>12</v>
      </c>
    </row>
    <row r="11" spans="1:35">
      <c r="G11" s="28" t="s">
        <v>1012</v>
      </c>
      <c r="H11" s="28">
        <f>COUNT(C4:C6)</f>
        <v>3</v>
      </c>
      <c r="I11" s="28">
        <f>SUM(C4:C6)</f>
        <v>479</v>
      </c>
      <c r="J11" s="28">
        <f>AVERAGE(C4:C6)</f>
        <v>159.66666666666666</v>
      </c>
      <c r="K11" s="28">
        <f>VAR(C4:C6)</f>
        <v>382.33333333333337</v>
      </c>
      <c r="AC11" s="1078" t="s">
        <v>12</v>
      </c>
      <c r="AD11" s="1078">
        <f>AF11*AE11</f>
        <v>5594.9166666666861</v>
      </c>
      <c r="AE11" s="1078">
        <f>AA10-1</f>
        <v>11</v>
      </c>
      <c r="AF11" s="1078">
        <f>AA24</f>
        <v>508.62878787878964</v>
      </c>
      <c r="AG11" s="1078"/>
      <c r="AH11" s="1078"/>
      <c r="AI11" s="1078"/>
    </row>
    <row r="12" spans="1:35">
      <c r="G12" s="28" t="s">
        <v>1013</v>
      </c>
      <c r="H12" s="28">
        <f>COUNT(D4:D6)</f>
        <v>3</v>
      </c>
      <c r="I12" s="28">
        <f>SUM(D4:D6)</f>
        <v>435</v>
      </c>
      <c r="J12" s="28">
        <f>AVERAGE(D4:D6)</f>
        <v>145</v>
      </c>
      <c r="K12" s="28">
        <f>VAR(D4:D6)</f>
        <v>1425</v>
      </c>
      <c r="V12" t="s">
        <v>1031</v>
      </c>
    </row>
    <row r="13" spans="1:35" ht="15" thickBot="1">
      <c r="G13" s="31" t="s">
        <v>1017</v>
      </c>
      <c r="H13" s="31">
        <f>COUNT(E4:E6)</f>
        <v>3</v>
      </c>
      <c r="I13" s="31">
        <f>SUM(E4:E6)</f>
        <v>493</v>
      </c>
      <c r="J13" s="31">
        <f>AVERAGE(E4:E6)</f>
        <v>164.33333333333334</v>
      </c>
      <c r="K13" s="31">
        <f>VAR(E4:E6)</f>
        <v>149.33333333333331</v>
      </c>
      <c r="W13" s="1108" t="str">
        <f>B3</f>
        <v>Wheat</v>
      </c>
      <c r="X13" s="1108" t="str">
        <f>C3</f>
        <v>Corn</v>
      </c>
      <c r="Y13" s="1108" t="str">
        <f>D3</f>
        <v>Soy</v>
      </c>
      <c r="Z13" s="1108" t="str">
        <f>E3</f>
        <v>Rice</v>
      </c>
    </row>
    <row r="14" spans="1:35">
      <c r="O14" t="s">
        <v>2086</v>
      </c>
      <c r="V14" t="str">
        <f>A4</f>
        <v>Blend X</v>
      </c>
      <c r="W14" s="1113">
        <f t="shared" ref="W14:Z16" si="1">AVERAGE(B4)</f>
        <v>123</v>
      </c>
      <c r="X14" s="1114">
        <f t="shared" si="1"/>
        <v>138</v>
      </c>
      <c r="Y14" s="1114">
        <f t="shared" si="1"/>
        <v>110</v>
      </c>
      <c r="Z14" s="1115">
        <f t="shared" si="1"/>
        <v>151</v>
      </c>
      <c r="AA14">
        <f>AVERAGE(B4:E4)</f>
        <v>130.5</v>
      </c>
    </row>
    <row r="15" spans="1:35">
      <c r="V15" t="str">
        <f>A5</f>
        <v>Blend Y</v>
      </c>
      <c r="W15" s="625">
        <f t="shared" si="1"/>
        <v>145</v>
      </c>
      <c r="X15" s="8">
        <f t="shared" si="1"/>
        <v>165</v>
      </c>
      <c r="Y15" s="8">
        <f t="shared" si="1"/>
        <v>140</v>
      </c>
      <c r="Z15" s="132">
        <f t="shared" si="1"/>
        <v>167</v>
      </c>
      <c r="AA15">
        <f>AVERAGE(B5:E5)</f>
        <v>154.25</v>
      </c>
    </row>
    <row r="16" spans="1:35" ht="15" thickBot="1">
      <c r="G16" t="s">
        <v>695</v>
      </c>
      <c r="O16" t="s">
        <v>695</v>
      </c>
      <c r="V16" t="str">
        <f>A6</f>
        <v>Blend Z</v>
      </c>
      <c r="W16" s="1075">
        <f t="shared" si="1"/>
        <v>156</v>
      </c>
      <c r="X16" s="1076">
        <f t="shared" si="1"/>
        <v>176</v>
      </c>
      <c r="Y16" s="1076">
        <f t="shared" si="1"/>
        <v>185</v>
      </c>
      <c r="Z16" s="1077">
        <f t="shared" si="1"/>
        <v>175</v>
      </c>
      <c r="AA16">
        <f>AVERAGE(B6:E6)</f>
        <v>173</v>
      </c>
    </row>
    <row r="17" spans="7:27">
      <c r="G17" s="363" t="s">
        <v>887</v>
      </c>
      <c r="H17" s="363" t="s">
        <v>578</v>
      </c>
      <c r="I17" s="363" t="s">
        <v>186</v>
      </c>
      <c r="J17" s="363" t="s">
        <v>641</v>
      </c>
      <c r="K17" s="363" t="s">
        <v>388</v>
      </c>
      <c r="L17" s="363" t="s">
        <v>367</v>
      </c>
      <c r="M17" s="363" t="s">
        <v>888</v>
      </c>
      <c r="O17" s="966" t="s">
        <v>887</v>
      </c>
      <c r="P17" s="966" t="s">
        <v>578</v>
      </c>
      <c r="Q17" s="966" t="s">
        <v>186</v>
      </c>
      <c r="R17" s="966" t="s">
        <v>641</v>
      </c>
      <c r="S17" s="966" t="s">
        <v>388</v>
      </c>
      <c r="T17" s="966" t="s">
        <v>367</v>
      </c>
      <c r="W17">
        <f>AVERAGE(B4:B6)</f>
        <v>141.33333333333334</v>
      </c>
      <c r="X17">
        <f>AVERAGE(C4:C6)</f>
        <v>159.66666666666666</v>
      </c>
      <c r="Y17">
        <f>AVERAGE(D4:D6)</f>
        <v>145</v>
      </c>
      <c r="Z17">
        <f>AVERAGE(E4:E6)</f>
        <v>164.33333333333334</v>
      </c>
      <c r="AA17">
        <f>AVERAGE(B4:E6)</f>
        <v>152.58333333333334</v>
      </c>
    </row>
    <row r="18" spans="7:27">
      <c r="G18" s="28" t="s">
        <v>390</v>
      </c>
      <c r="H18" s="28">
        <f>DEVSQ(J6:J8)*H6</f>
        <v>3629.166666666667</v>
      </c>
      <c r="I18" s="28">
        <f>H10-1</f>
        <v>2</v>
      </c>
      <c r="J18" s="28">
        <f>H18/I18</f>
        <v>1814.5833333333335</v>
      </c>
      <c r="K18" s="28">
        <f>J18/J20</f>
        <v>12.826428431180046</v>
      </c>
      <c r="L18" s="28">
        <f>FDIST(K18,I18,I20)</f>
        <v>6.8110647607704912E-3</v>
      </c>
      <c r="M18" s="28">
        <f>FINV(0.05,I18,I20)</f>
        <v>5.1432528497847176</v>
      </c>
      <c r="O18" s="28" t="s">
        <v>390</v>
      </c>
      <c r="P18" s="28" t="e">
        <f ca="1">[1]!ssrow(B4:E6,1)</f>
        <v>#NAME?</v>
      </c>
      <c r="Q18" s="28" t="e">
        <f ca="1">[1]!dfrow(B4:E6,1)</f>
        <v>#NAME?</v>
      </c>
      <c r="R18" s="28" t="e">
        <f ca="1">[1]!msrow(B4:E6,1)</f>
        <v>#NAME?</v>
      </c>
      <c r="S18" s="28" t="e">
        <f ca="1">[1]!ANOVARow(B4:E6,1)</f>
        <v>#NAME?</v>
      </c>
      <c r="T18" s="28" t="e">
        <f ca="1">[1]!Atestrow(B4:E6,1)</f>
        <v>#NAME?</v>
      </c>
    </row>
    <row r="19" spans="7:27">
      <c r="G19" s="28" t="s">
        <v>1010</v>
      </c>
      <c r="H19" s="28">
        <f>DEVSQ(J10:J13)*H10</f>
        <v>1116.9166666666663</v>
      </c>
      <c r="I19" s="28">
        <f>H6-1</f>
        <v>3</v>
      </c>
      <c r="J19" s="28">
        <f>H19/I19</f>
        <v>372.30555555555543</v>
      </c>
      <c r="K19" s="28">
        <f>J19/J20</f>
        <v>2.6316512860789296</v>
      </c>
      <c r="L19" s="28">
        <f>FDIST(K19,I19,I20)</f>
        <v>0.14456121517442133</v>
      </c>
      <c r="M19" s="28">
        <f>FINV(0.05,I19,I20)</f>
        <v>4.7570626630894131</v>
      </c>
      <c r="O19" s="28" t="s">
        <v>1010</v>
      </c>
      <c r="P19" s="28" t="e">
        <f ca="1">[1]!sscol(B4:E6,1)</f>
        <v>#NAME?</v>
      </c>
      <c r="Q19" s="28" t="e">
        <f ca="1">[1]!dfcol(B4:E6,1)</f>
        <v>#NAME?</v>
      </c>
      <c r="R19" s="28" t="e">
        <f ca="1">[1]!mscol(B4:E6,1)</f>
        <v>#NAME?</v>
      </c>
      <c r="S19" s="28" t="e">
        <f ca="1">[1]!ANOVACol(B4:E6,1)</f>
        <v>#NAME?</v>
      </c>
      <c r="T19" s="28" t="e">
        <f ca="1">[1]!AtestCol(B4:E6,1)</f>
        <v>#NAME?</v>
      </c>
      <c r="V19" t="s">
        <v>2822</v>
      </c>
    </row>
    <row r="20" spans="7:27">
      <c r="G20" s="28" t="s">
        <v>1009</v>
      </c>
      <c r="H20" s="28">
        <f>H22-H18-H19</f>
        <v>848.83333333333371</v>
      </c>
      <c r="I20" s="28">
        <f>I18*I19</f>
        <v>6</v>
      </c>
      <c r="J20" s="28">
        <f>H20/I20</f>
        <v>141.47222222222229</v>
      </c>
      <c r="K20" s="28"/>
      <c r="L20" s="28"/>
      <c r="M20" s="28"/>
      <c r="O20" s="28" t="s">
        <v>1009</v>
      </c>
      <c r="P20" s="28" t="e">
        <f ca="1">[1]!SSWF(B4:E6,1)</f>
        <v>#NAME?</v>
      </c>
      <c r="Q20" s="28" t="e">
        <f ca="1">[1]!dfWF(B4:E6,1)</f>
        <v>#NAME?</v>
      </c>
      <c r="R20" s="28" t="e">
        <f ca="1">[1]!MSWF(B4:E6,1)</f>
        <v>#NAME?</v>
      </c>
      <c r="S20" s="28"/>
      <c r="T20" s="28"/>
      <c r="W20" s="1108" t="str">
        <f>B3</f>
        <v>Wheat</v>
      </c>
      <c r="X20" s="1108" t="str">
        <f>C3</f>
        <v>Corn</v>
      </c>
      <c r="Y20" s="1108" t="str">
        <f>D3</f>
        <v>Soy</v>
      </c>
      <c r="Z20" s="1108" t="str">
        <f>E3</f>
        <v>Rice</v>
      </c>
    </row>
    <row r="21" spans="7:27">
      <c r="V21" t="str">
        <f>A4</f>
        <v>Blend X</v>
      </c>
      <c r="W21" s="1113" t="e">
        <f t="shared" ref="W21:Z23" si="2">VAR(B4)</f>
        <v>#DIV/0!</v>
      </c>
      <c r="X21" s="1114" t="e">
        <f t="shared" si="2"/>
        <v>#DIV/0!</v>
      </c>
      <c r="Y21" s="1114" t="e">
        <f t="shared" si="2"/>
        <v>#DIV/0!</v>
      </c>
      <c r="Z21" s="1115" t="e">
        <f t="shared" si="2"/>
        <v>#DIV/0!</v>
      </c>
      <c r="AA21">
        <f>VAR(B4:E4)</f>
        <v>317.66666666666669</v>
      </c>
    </row>
    <row r="22" spans="7:27" ht="15" thickBot="1">
      <c r="G22" s="31" t="s">
        <v>12</v>
      </c>
      <c r="H22" s="31">
        <f>DEVSQ(B4:E6)</f>
        <v>5594.916666666667</v>
      </c>
      <c r="I22" s="31">
        <f>H6*H10-1</f>
        <v>11</v>
      </c>
      <c r="J22" s="31"/>
      <c r="K22" s="31"/>
      <c r="L22" s="31"/>
      <c r="M22" s="31"/>
      <c r="O22" s="31" t="s">
        <v>12</v>
      </c>
      <c r="P22" s="31" t="e">
        <f ca="1">[1]!sstot(B4:E6,1)</f>
        <v>#NAME?</v>
      </c>
      <c r="Q22" s="31" t="e">
        <f ca="1">[1]!dftot(B4:E6,1)</f>
        <v>#NAME?</v>
      </c>
      <c r="R22" s="31"/>
      <c r="S22" s="31"/>
      <c r="T22" s="31"/>
      <c r="V22" t="str">
        <f>A5</f>
        <v>Blend Y</v>
      </c>
      <c r="W22" s="625" t="e">
        <f t="shared" si="2"/>
        <v>#DIV/0!</v>
      </c>
      <c r="X22" s="8" t="e">
        <f t="shared" si="2"/>
        <v>#DIV/0!</v>
      </c>
      <c r="Y22" s="8" t="e">
        <f t="shared" si="2"/>
        <v>#DIV/0!</v>
      </c>
      <c r="Z22" s="132" t="e">
        <f t="shared" si="2"/>
        <v>#DIV/0!</v>
      </c>
      <c r="AA22">
        <f>VAR(B5:E5)</f>
        <v>188.91666666666666</v>
      </c>
    </row>
    <row r="23" spans="7:27">
      <c r="V23" t="str">
        <f>A6</f>
        <v>Blend Z</v>
      </c>
      <c r="W23" s="1075" t="e">
        <f t="shared" si="2"/>
        <v>#DIV/0!</v>
      </c>
      <c r="X23" s="1076" t="e">
        <f t="shared" si="2"/>
        <v>#DIV/0!</v>
      </c>
      <c r="Y23" s="1076" t="e">
        <f t="shared" si="2"/>
        <v>#DIV/0!</v>
      </c>
      <c r="Z23" s="1077" t="e">
        <f t="shared" si="2"/>
        <v>#DIV/0!</v>
      </c>
      <c r="AA23">
        <f>VAR(B6:E6)</f>
        <v>148.66666666666666</v>
      </c>
    </row>
    <row r="24" spans="7:27">
      <c r="W24">
        <f>VAR(B4:B6)</f>
        <v>282.33333333333337</v>
      </c>
      <c r="X24">
        <f>VAR(C4:C6)</f>
        <v>382.33333333333337</v>
      </c>
      <c r="Y24">
        <f>VAR(D4:D6)</f>
        <v>1425</v>
      </c>
      <c r="Z24">
        <f>VAR(E4:E6)</f>
        <v>149.33333333333331</v>
      </c>
      <c r="AA24">
        <f>VAR(B4:E6)</f>
        <v>508.62878787878964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sheetPr codeName="Sheet112"/>
  <dimension ref="A1:U47"/>
  <sheetViews>
    <sheetView zoomScaleNormal="100" workbookViewId="0"/>
  </sheetViews>
  <sheetFormatPr defaultRowHeight="14.4"/>
  <cols>
    <col min="7" max="7" width="17.33203125" customWidth="1"/>
  </cols>
  <sheetData>
    <row r="1" spans="1:15">
      <c r="A1" s="1" t="s">
        <v>1082</v>
      </c>
      <c r="G1" t="s">
        <v>1020</v>
      </c>
      <c r="O1" t="s">
        <v>838</v>
      </c>
    </row>
    <row r="3" spans="1:15">
      <c r="B3" s="1557" t="s">
        <v>1022</v>
      </c>
      <c r="C3" s="1558"/>
      <c r="D3" s="1558"/>
      <c r="E3" s="1559"/>
      <c r="G3" t="s">
        <v>194</v>
      </c>
      <c r="H3" s="348" t="s">
        <v>1011</v>
      </c>
      <c r="I3" s="348" t="s">
        <v>1012</v>
      </c>
      <c r="J3" s="348" t="s">
        <v>1013</v>
      </c>
      <c r="K3" s="348" t="s">
        <v>1017</v>
      </c>
      <c r="L3" s="348" t="s">
        <v>12</v>
      </c>
    </row>
    <row r="4" spans="1:15" ht="15" thickBot="1">
      <c r="A4" s="373" t="s">
        <v>1023</v>
      </c>
      <c r="B4" s="374" t="s">
        <v>1011</v>
      </c>
      <c r="C4" s="374" t="s">
        <v>1012</v>
      </c>
      <c r="D4" s="374" t="s">
        <v>1013</v>
      </c>
      <c r="E4" s="374" t="s">
        <v>1017</v>
      </c>
      <c r="G4" s="378" t="s">
        <v>1014</v>
      </c>
      <c r="H4" s="378"/>
      <c r="I4" s="378"/>
      <c r="J4" s="378"/>
      <c r="K4" s="378"/>
      <c r="L4" s="378"/>
    </row>
    <row r="5" spans="1:15">
      <c r="A5" s="370" t="s">
        <v>1014</v>
      </c>
      <c r="B5" s="375">
        <v>123</v>
      </c>
      <c r="C5" s="375">
        <v>128</v>
      </c>
      <c r="D5" s="375">
        <v>166</v>
      </c>
      <c r="E5" s="375">
        <v>151</v>
      </c>
      <c r="G5" s="28" t="s">
        <v>88</v>
      </c>
      <c r="H5">
        <f>COUNT(B5:B9)</f>
        <v>5</v>
      </c>
      <c r="I5">
        <f>COUNT(C5:C9)</f>
        <v>5</v>
      </c>
      <c r="J5">
        <f>COUNT(D5:D9)</f>
        <v>5</v>
      </c>
      <c r="K5">
        <f>COUNT(E5:E9)</f>
        <v>5</v>
      </c>
      <c r="L5" s="28">
        <f>SUM(H5:K5)</f>
        <v>20</v>
      </c>
    </row>
    <row r="6" spans="1:15">
      <c r="A6" s="7"/>
      <c r="B6" s="376">
        <v>156</v>
      </c>
      <c r="C6" s="376">
        <v>150</v>
      </c>
      <c r="D6" s="376">
        <v>178</v>
      </c>
      <c r="E6" s="376">
        <v>125</v>
      </c>
      <c r="G6" s="28" t="s">
        <v>87</v>
      </c>
      <c r="H6" s="28">
        <f>SUM(B5:B9)</f>
        <v>659</v>
      </c>
      <c r="I6" s="28">
        <f>SUM(C5:C9)</f>
        <v>677</v>
      </c>
      <c r="J6" s="28">
        <f>SUM(D5:D9)</f>
        <v>879</v>
      </c>
      <c r="K6" s="28">
        <f>SUM(E5:E9)</f>
        <v>706</v>
      </c>
      <c r="L6" s="28">
        <f>SUM(B5:E9)</f>
        <v>2921</v>
      </c>
    </row>
    <row r="7" spans="1:15">
      <c r="A7" s="377"/>
      <c r="B7" s="376">
        <v>112</v>
      </c>
      <c r="C7" s="376">
        <v>174</v>
      </c>
      <c r="D7" s="376">
        <v>187</v>
      </c>
      <c r="E7" s="376">
        <v>117</v>
      </c>
      <c r="G7" s="28" t="s">
        <v>886</v>
      </c>
      <c r="H7" s="28">
        <f>AVERAGE(B5:B9)</f>
        <v>131.80000000000001</v>
      </c>
      <c r="I7" s="28">
        <f>AVERAGE(C5:C9)</f>
        <v>135.4</v>
      </c>
      <c r="J7" s="28">
        <f>AVERAGE(D5:D9)</f>
        <v>175.8</v>
      </c>
      <c r="K7" s="28">
        <f>AVERAGE(E5:E9)</f>
        <v>141.19999999999999</v>
      </c>
      <c r="L7" s="28">
        <f>AVERAGE(B5:E9)</f>
        <v>146.05000000000001</v>
      </c>
    </row>
    <row r="8" spans="1:15">
      <c r="A8" s="377"/>
      <c r="B8" s="376">
        <v>100</v>
      </c>
      <c r="C8" s="376">
        <v>116</v>
      </c>
      <c r="D8" s="376">
        <v>153</v>
      </c>
      <c r="E8" s="376">
        <v>155</v>
      </c>
      <c r="G8" s="28" t="s">
        <v>223</v>
      </c>
      <c r="H8" s="28">
        <f>VAR(B5:B9)</f>
        <v>844.20000000000073</v>
      </c>
      <c r="I8" s="28">
        <f>VAR(C5:C9)</f>
        <v>707.79999999999927</v>
      </c>
      <c r="J8" s="28">
        <f>VAR(D5:D9)</f>
        <v>278.7</v>
      </c>
      <c r="K8" s="28">
        <f>VAR(E5:E9)</f>
        <v>354.20000000000073</v>
      </c>
      <c r="L8" s="28">
        <f>VAR(B5:E9)</f>
        <v>782.3657894736848</v>
      </c>
    </row>
    <row r="9" spans="1:15">
      <c r="A9" s="377"/>
      <c r="B9" s="41">
        <v>168</v>
      </c>
      <c r="C9" s="41">
        <v>109</v>
      </c>
      <c r="D9" s="41">
        <v>195</v>
      </c>
      <c r="E9" s="41">
        <v>158</v>
      </c>
      <c r="G9" s="28"/>
      <c r="H9" s="28"/>
      <c r="I9" s="28"/>
      <c r="J9" s="28"/>
      <c r="K9" s="28"/>
      <c r="L9" s="28"/>
    </row>
    <row r="10" spans="1:15" ht="15" thickBot="1">
      <c r="A10" s="370" t="s">
        <v>1015</v>
      </c>
      <c r="B10" s="375">
        <v>135</v>
      </c>
      <c r="C10" s="375">
        <v>175</v>
      </c>
      <c r="D10" s="375">
        <v>140</v>
      </c>
      <c r="E10" s="375">
        <v>167</v>
      </c>
      <c r="G10" s="378" t="s">
        <v>1015</v>
      </c>
      <c r="H10" s="378"/>
      <c r="I10" s="378"/>
      <c r="J10" s="378"/>
      <c r="K10" s="378"/>
      <c r="L10" s="378"/>
    </row>
    <row r="11" spans="1:15">
      <c r="A11" s="377"/>
      <c r="B11" s="376">
        <v>130</v>
      </c>
      <c r="C11" s="376">
        <v>132</v>
      </c>
      <c r="D11" s="376">
        <v>145</v>
      </c>
      <c r="E11" s="376">
        <v>183</v>
      </c>
      <c r="G11" s="28" t="s">
        <v>88</v>
      </c>
      <c r="H11" s="382">
        <f>COUNT(B10:B14)</f>
        <v>5</v>
      </c>
      <c r="I11" s="382">
        <f>COUNT(C10:C14)</f>
        <v>5</v>
      </c>
      <c r="J11" s="382">
        <f>COUNT(D10:D14)</f>
        <v>5</v>
      </c>
      <c r="K11" s="382">
        <f>COUNT(E10:E14)</f>
        <v>5</v>
      </c>
      <c r="L11" s="28">
        <f>SUM(H11:K11)</f>
        <v>20</v>
      </c>
    </row>
    <row r="12" spans="1:15">
      <c r="A12" s="377"/>
      <c r="B12" s="376">
        <v>176</v>
      </c>
      <c r="C12" s="376">
        <v>120</v>
      </c>
      <c r="D12" s="376">
        <v>159</v>
      </c>
      <c r="E12" s="376">
        <v>142</v>
      </c>
      <c r="G12" s="28" t="s">
        <v>87</v>
      </c>
      <c r="H12" s="28">
        <f>SUM(B10:B14)</f>
        <v>716</v>
      </c>
      <c r="I12" s="28">
        <f>SUM(C10:C14)</f>
        <v>798</v>
      </c>
      <c r="J12" s="28">
        <f>SUM(D10:D14)</f>
        <v>701</v>
      </c>
      <c r="K12" s="28">
        <f>SUM(E10:E14)</f>
        <v>827</v>
      </c>
      <c r="L12" s="28">
        <f>SUM(B10:E14)</f>
        <v>3042</v>
      </c>
    </row>
    <row r="13" spans="1:15">
      <c r="A13" s="377"/>
      <c r="B13" s="376">
        <v>120</v>
      </c>
      <c r="C13" s="376">
        <v>187</v>
      </c>
      <c r="D13" s="376">
        <v>131</v>
      </c>
      <c r="E13" s="376">
        <v>167</v>
      </c>
      <c r="G13" s="28" t="s">
        <v>886</v>
      </c>
      <c r="H13" s="28">
        <f>AVERAGE(B10:B14)</f>
        <v>143.19999999999999</v>
      </c>
      <c r="I13" s="28">
        <f>AVERAGE(C10:C14)</f>
        <v>159.6</v>
      </c>
      <c r="J13" s="28">
        <f>AVERAGE(D10:D14)</f>
        <v>140.19999999999999</v>
      </c>
      <c r="K13" s="28">
        <f>AVERAGE(E10:E14)</f>
        <v>165.4</v>
      </c>
      <c r="L13" s="28">
        <f>AVERAGE(B10:E14)</f>
        <v>152.1</v>
      </c>
    </row>
    <row r="14" spans="1:15">
      <c r="A14" s="377"/>
      <c r="B14" s="41">
        <v>155</v>
      </c>
      <c r="C14" s="41">
        <v>184</v>
      </c>
      <c r="D14" s="41">
        <v>126</v>
      </c>
      <c r="E14" s="41">
        <v>168</v>
      </c>
      <c r="G14" s="28" t="s">
        <v>223</v>
      </c>
      <c r="H14" s="28">
        <f>VAR(B10:B14)</f>
        <v>498.70000000000073</v>
      </c>
      <c r="I14" s="28">
        <f>VAR(C10:C14)</f>
        <v>978.29999999999927</v>
      </c>
      <c r="J14" s="28">
        <f>VAR(D10:D14)</f>
        <v>165.7</v>
      </c>
      <c r="K14" s="28">
        <f>VAR(E10:E14)</f>
        <v>217.3</v>
      </c>
      <c r="L14" s="28">
        <f>VAR(B10:E14)</f>
        <v>511.04210526315728</v>
      </c>
    </row>
    <row r="15" spans="1:15">
      <c r="A15" s="370" t="s">
        <v>1016</v>
      </c>
      <c r="B15" s="375">
        <v>156</v>
      </c>
      <c r="C15" s="375">
        <v>186</v>
      </c>
      <c r="D15" s="375">
        <v>185</v>
      </c>
      <c r="E15" s="375">
        <v>175</v>
      </c>
      <c r="G15" s="28"/>
      <c r="H15" s="28"/>
      <c r="I15" s="28"/>
      <c r="J15" s="28"/>
      <c r="K15" s="28"/>
      <c r="L15" s="28"/>
    </row>
    <row r="16" spans="1:15" ht="15" thickBot="1">
      <c r="A16" s="377"/>
      <c r="B16" s="376">
        <v>180</v>
      </c>
      <c r="C16" s="376">
        <v>138</v>
      </c>
      <c r="D16" s="376">
        <v>206</v>
      </c>
      <c r="E16" s="376">
        <v>173</v>
      </c>
      <c r="G16" s="378" t="s">
        <v>1016</v>
      </c>
      <c r="H16" s="378"/>
      <c r="I16" s="378"/>
      <c r="J16" s="378"/>
      <c r="K16" s="378"/>
      <c r="L16" s="378"/>
    </row>
    <row r="17" spans="1:21">
      <c r="A17" s="377"/>
      <c r="B17" s="376">
        <v>147</v>
      </c>
      <c r="C17" s="376">
        <v>178</v>
      </c>
      <c r="D17" s="376">
        <v>188</v>
      </c>
      <c r="E17" s="376">
        <v>154</v>
      </c>
      <c r="G17" s="28" t="s">
        <v>88</v>
      </c>
      <c r="H17" s="28">
        <f>COUNT(B15:B19)</f>
        <v>5</v>
      </c>
      <c r="I17" s="28">
        <f>COUNT(C15:C19)</f>
        <v>5</v>
      </c>
      <c r="J17" s="28">
        <f>COUNT(D15:D19)</f>
        <v>5</v>
      </c>
      <c r="K17" s="28">
        <f>COUNT(E15:E19)</f>
        <v>5</v>
      </c>
      <c r="L17" s="28">
        <f>SUM(H17:K17)</f>
        <v>20</v>
      </c>
    </row>
    <row r="18" spans="1:21">
      <c r="A18" s="377"/>
      <c r="B18" s="376">
        <v>146</v>
      </c>
      <c r="C18" s="376">
        <v>176</v>
      </c>
      <c r="D18" s="376">
        <v>165</v>
      </c>
      <c r="E18" s="376">
        <v>191</v>
      </c>
      <c r="G18" s="28" t="s">
        <v>87</v>
      </c>
      <c r="H18" s="28">
        <f>SUM(B15:B19)</f>
        <v>822</v>
      </c>
      <c r="I18" s="28">
        <f>SUM(C15:C19)</f>
        <v>868</v>
      </c>
      <c r="J18" s="28">
        <f>SUM(D15:D19)</f>
        <v>932</v>
      </c>
      <c r="K18" s="28">
        <f>SUM(E15:E19)</f>
        <v>862</v>
      </c>
      <c r="L18" s="28">
        <f>SUM(B15:E19)</f>
        <v>3484</v>
      </c>
    </row>
    <row r="19" spans="1:21">
      <c r="A19" s="10"/>
      <c r="B19" s="41">
        <v>193</v>
      </c>
      <c r="C19" s="41">
        <v>190</v>
      </c>
      <c r="D19" s="41">
        <v>188</v>
      </c>
      <c r="E19" s="41">
        <v>169</v>
      </c>
      <c r="G19" s="28" t="s">
        <v>886</v>
      </c>
      <c r="H19" s="28">
        <f>AVERAGE(B15:B19)</f>
        <v>164.4</v>
      </c>
      <c r="I19" s="28">
        <f>AVERAGE(C15:C19)</f>
        <v>173.6</v>
      </c>
      <c r="J19" s="28">
        <f>AVERAGE(D15:D19)</f>
        <v>186.4</v>
      </c>
      <c r="K19" s="28">
        <f>AVERAGE(E15:E19)</f>
        <v>172.4</v>
      </c>
      <c r="L19" s="28">
        <f>AVERAGE(B15:E19)</f>
        <v>174.2</v>
      </c>
    </row>
    <row r="20" spans="1:21">
      <c r="G20" s="28" t="s">
        <v>223</v>
      </c>
      <c r="H20" s="28">
        <f>VAR(B15:B19)</f>
        <v>443.30000000000291</v>
      </c>
      <c r="I20" s="28">
        <f>VAR(C15:C19)</f>
        <v>428.80000000000291</v>
      </c>
      <c r="J20" s="28">
        <f>VAR(D15:D19)</f>
        <v>212.3</v>
      </c>
      <c r="K20" s="28">
        <f>VAR(E15:E19)</f>
        <v>175.8</v>
      </c>
      <c r="L20" s="28">
        <f>VAR(B15:E19)</f>
        <v>330.69473684210283</v>
      </c>
    </row>
    <row r="22" spans="1:21" ht="15" thickBot="1">
      <c r="G22" s="378" t="s">
        <v>12</v>
      </c>
      <c r="H22" s="378"/>
      <c r="I22" s="378"/>
      <c r="J22" s="378"/>
      <c r="K22" s="378"/>
      <c r="L22" s="378"/>
    </row>
    <row r="23" spans="1:21">
      <c r="G23" s="28" t="s">
        <v>88</v>
      </c>
      <c r="H23" s="28">
        <f>COUNT(B5:B19)</f>
        <v>15</v>
      </c>
      <c r="I23" s="28">
        <f>COUNT(C5:C19)</f>
        <v>15</v>
      </c>
      <c r="J23" s="28">
        <f>COUNT(D5:D19)</f>
        <v>15</v>
      </c>
      <c r="K23" s="28">
        <f>COUNT(E5:E19)</f>
        <v>15</v>
      </c>
      <c r="L23">
        <f>SUM(H23:K23)</f>
        <v>60</v>
      </c>
    </row>
    <row r="24" spans="1:21">
      <c r="G24" s="28" t="s">
        <v>87</v>
      </c>
      <c r="H24" s="28">
        <f>SUM(B5:B19)</f>
        <v>2197</v>
      </c>
      <c r="I24" s="28">
        <f>SUM(C5:C19)</f>
        <v>2343</v>
      </c>
      <c r="J24" s="28">
        <f>SUM(D5:D19)</f>
        <v>2512</v>
      </c>
      <c r="K24" s="28">
        <f>SUM(E5:E19)</f>
        <v>2395</v>
      </c>
      <c r="L24">
        <f>SUM(H24:K24)</f>
        <v>9447</v>
      </c>
    </row>
    <row r="25" spans="1:21">
      <c r="G25" s="28" t="s">
        <v>886</v>
      </c>
      <c r="H25" s="28">
        <f>AVERAGE(B5:B19)</f>
        <v>146.46666666666667</v>
      </c>
      <c r="I25" s="28">
        <f>AVERAGE(C5:C19)</f>
        <v>156.19999999999999</v>
      </c>
      <c r="J25" s="28">
        <f>AVERAGE(D5:D19)</f>
        <v>167.46666666666667</v>
      </c>
      <c r="K25" s="28">
        <f>AVERAGE(E5:E19)</f>
        <v>159.66666666666666</v>
      </c>
      <c r="L25">
        <f>AVERAGE(B5:E19)</f>
        <v>157.44999999999999</v>
      </c>
    </row>
    <row r="26" spans="1:21">
      <c r="G26" s="28" t="s">
        <v>223</v>
      </c>
      <c r="H26" s="28">
        <f>VAR(B5:B19)</f>
        <v>705.83809523809555</v>
      </c>
      <c r="I26" s="28">
        <f>VAR(C5:C19)</f>
        <v>871.02857142857306</v>
      </c>
      <c r="J26" s="28">
        <f>VAR(D5:D19)</f>
        <v>605.98095238095266</v>
      </c>
      <c r="K26" s="28">
        <f>VAR(E5:E19)</f>
        <v>404.95238095237954</v>
      </c>
      <c r="L26">
        <f>VAR(B5:E19)</f>
        <v>671.87881355932359</v>
      </c>
      <c r="P26" t="s">
        <v>2086</v>
      </c>
    </row>
    <row r="27" spans="1:21">
      <c r="G27" s="28"/>
      <c r="H27" s="28"/>
      <c r="I27" s="28"/>
      <c r="J27" s="28"/>
    </row>
    <row r="28" spans="1:21" ht="15" thickBot="1">
      <c r="G28" t="s">
        <v>695</v>
      </c>
      <c r="P28" t="s">
        <v>695</v>
      </c>
    </row>
    <row r="29" spans="1:21">
      <c r="G29" s="363" t="s">
        <v>887</v>
      </c>
      <c r="H29" s="363" t="s">
        <v>578</v>
      </c>
      <c r="I29" s="363" t="s">
        <v>186</v>
      </c>
      <c r="J29" s="363" t="s">
        <v>641</v>
      </c>
      <c r="K29" s="363" t="s">
        <v>388</v>
      </c>
      <c r="L29" s="363" t="s">
        <v>367</v>
      </c>
      <c r="M29" s="363" t="s">
        <v>888</v>
      </c>
      <c r="P29" s="933" t="s">
        <v>2087</v>
      </c>
      <c r="Q29" s="933" t="s">
        <v>578</v>
      </c>
      <c r="R29" s="933" t="s">
        <v>186</v>
      </c>
      <c r="S29" s="933" t="s">
        <v>641</v>
      </c>
      <c r="T29" s="933" t="s">
        <v>388</v>
      </c>
      <c r="U29" s="933" t="s">
        <v>367</v>
      </c>
    </row>
    <row r="30" spans="1:21">
      <c r="G30" s="28" t="s">
        <v>1026</v>
      </c>
      <c r="H30" s="28">
        <f>DEVSQ(H39:H41)/L5</f>
        <v>8782.9</v>
      </c>
      <c r="I30" s="28">
        <f>COUNTA(G39:G41)-1</f>
        <v>2</v>
      </c>
      <c r="J30" s="28">
        <f>H30/I30</f>
        <v>4391.45</v>
      </c>
      <c r="K30" s="28">
        <f>J30/J$33</f>
        <v>9.9333471565097717</v>
      </c>
      <c r="L30">
        <f>FDIST(K30,I30,I$33)</f>
        <v>2.4548728137133413E-4</v>
      </c>
      <c r="M30">
        <f>FINV(0.05,I30,I$33)</f>
        <v>3.1907273359284987</v>
      </c>
      <c r="P30" s="28" t="s">
        <v>1023</v>
      </c>
      <c r="Q30" s="28" t="e">
        <f ca="1">[1]!ssrow(B5:E19,5)</f>
        <v>#NAME?</v>
      </c>
      <c r="R30" s="28" t="e">
        <f ca="1">[1]!dfrow(B5:E19,5)</f>
        <v>#NAME?</v>
      </c>
      <c r="S30" s="28" t="e">
        <f ca="1">[1]!msrow(B5:E19,5)</f>
        <v>#NAME?</v>
      </c>
      <c r="T30" s="28" t="e">
        <f ca="1">[1]!ANOVARow(B5:E19,5)</f>
        <v>#NAME?</v>
      </c>
      <c r="U30" t="e">
        <f ca="1">[1]!Atestrow(B5:E19,5)</f>
        <v>#NAME?</v>
      </c>
    </row>
    <row r="31" spans="1:21">
      <c r="G31" s="28" t="s">
        <v>1027</v>
      </c>
      <c r="H31" s="28">
        <f>DEVSQ(H44:H47)/H23</f>
        <v>3411.65</v>
      </c>
      <c r="I31" s="28">
        <f>COUNTA(G44:G47)-1</f>
        <v>3</v>
      </c>
      <c r="J31" s="28">
        <f>H31/I31</f>
        <v>1137.2166666666667</v>
      </c>
      <c r="K31" s="28">
        <f>J31/J$33</f>
        <v>2.5723549037718416</v>
      </c>
      <c r="L31">
        <f>FDIST(K31,I31,I$33)</f>
        <v>6.4943822161567036E-2</v>
      </c>
      <c r="M31">
        <f>FINV(0.05,I31,I$33)</f>
        <v>2.7980606354356103</v>
      </c>
      <c r="P31" s="28" t="s">
        <v>2088</v>
      </c>
      <c r="Q31" s="28" t="e">
        <f ca="1">[1]!sscol(B5:E19,5)</f>
        <v>#NAME?</v>
      </c>
      <c r="R31" s="28" t="e">
        <f ca="1">[1]!dfcol(B5:E19,5)</f>
        <v>#NAME?</v>
      </c>
      <c r="S31" s="28" t="e">
        <f ca="1">[1]!mscol(B5:E19,5)</f>
        <v>#NAME?</v>
      </c>
      <c r="T31" s="28" t="e">
        <f ca="1">[1]!ANOVACol(B5:E19,5)</f>
        <v>#NAME?</v>
      </c>
      <c r="U31" t="e">
        <f ca="1">[1]!AtestCol(B5:E19,5)</f>
        <v>#NAME?</v>
      </c>
    </row>
    <row r="32" spans="1:21">
      <c r="G32" s="28" t="s">
        <v>838</v>
      </c>
      <c r="H32" s="28">
        <f>H35-H30-H31-H33</f>
        <v>6225.899999999976</v>
      </c>
      <c r="I32" s="28">
        <f>I30*I31</f>
        <v>6</v>
      </c>
      <c r="J32" s="28">
        <f>H32/I32</f>
        <v>1037.649999999996</v>
      </c>
      <c r="K32" s="28">
        <f>J32/J$33</f>
        <v>2.3471376599875495</v>
      </c>
      <c r="L32">
        <f>FDIST(K32,I32,I$33)</f>
        <v>4.5555492136473183E-2</v>
      </c>
      <c r="M32">
        <f>FINV(0.05,I32,I$33)</f>
        <v>2.29460131347063</v>
      </c>
      <c r="P32" s="28" t="s">
        <v>2089</v>
      </c>
      <c r="Q32" s="28" t="e">
        <f ca="1">[1]!SSInt(B5:E19,5)</f>
        <v>#NAME?</v>
      </c>
      <c r="R32" s="28" t="e">
        <f ca="1">[1]!dfint(B5:E19,5)</f>
        <v>#NAME?</v>
      </c>
      <c r="S32" s="28" t="e">
        <f ca="1">[1]!msint(B5:E19,5)</f>
        <v>#NAME?</v>
      </c>
      <c r="T32" s="28" t="e">
        <f ca="1">[1]!Anovaint(B5:E19,5)</f>
        <v>#NAME?</v>
      </c>
      <c r="U32" t="e">
        <f ca="1">[1]!Atestint(B5:E19,5)</f>
        <v>#NAME?</v>
      </c>
    </row>
    <row r="33" spans="5:21">
      <c r="G33" s="28" t="s">
        <v>1021</v>
      </c>
      <c r="H33" s="28">
        <f>SUM(K39:N41)</f>
        <v>21220.400000000005</v>
      </c>
      <c r="I33" s="28">
        <f>COUNT(B5:E19)-COUNTA(G39:G41)*COUNTA(G44:G47)</f>
        <v>48</v>
      </c>
      <c r="J33" s="28">
        <f>H33/I33</f>
        <v>442.09166666666675</v>
      </c>
      <c r="K33" s="28"/>
      <c r="L33" s="28"/>
      <c r="M33" s="28"/>
      <c r="P33" s="28" t="s">
        <v>1021</v>
      </c>
      <c r="Q33" s="28" t="e">
        <f ca="1">[1]!SSWF(B5:E19,5)</f>
        <v>#NAME?</v>
      </c>
      <c r="R33" s="28" t="e">
        <f ca="1">[1]!dfWF(B5:E19,5)</f>
        <v>#NAME?</v>
      </c>
      <c r="S33" s="28" t="e">
        <f ca="1">[1]!MSWF(B5:E19,5)</f>
        <v>#NAME?</v>
      </c>
      <c r="T33" s="28"/>
      <c r="U33" s="28"/>
    </row>
    <row r="34" spans="5:21" ht="15" thickBot="1">
      <c r="G34" s="28"/>
      <c r="H34" s="28"/>
      <c r="I34" s="28"/>
      <c r="J34" s="28"/>
      <c r="K34" s="28"/>
      <c r="L34" s="28"/>
      <c r="M34" s="28"/>
      <c r="P34" s="31" t="s">
        <v>12</v>
      </c>
      <c r="Q34" s="31" t="e">
        <f ca="1">[1]!sstot(B5:E19,5)</f>
        <v>#NAME?</v>
      </c>
      <c r="R34" s="31" t="e">
        <f ca="1">[1]!dftot(B5:E19,5)</f>
        <v>#NAME?</v>
      </c>
      <c r="S34" s="31" t="e">
        <f ca="1">[1]!mstot(B5:E19,5)</f>
        <v>#NAME?</v>
      </c>
      <c r="T34" s="31"/>
      <c r="U34" s="31"/>
    </row>
    <row r="35" spans="5:21" ht="15" thickBot="1">
      <c r="G35" s="31" t="s">
        <v>12</v>
      </c>
      <c r="H35" s="31">
        <f>DEVSQ(B5:E19)</f>
        <v>39640.849999999984</v>
      </c>
      <c r="I35" s="31">
        <f>COUNT(B5:E19)-1</f>
        <v>59</v>
      </c>
      <c r="J35" s="31"/>
      <c r="K35" s="31"/>
      <c r="L35" s="31"/>
      <c r="M35" s="31"/>
    </row>
    <row r="37" spans="5:21" ht="15" thickBot="1">
      <c r="E37" s="19"/>
      <c r="P37" s="386" t="s">
        <v>1038</v>
      </c>
    </row>
    <row r="38" spans="5:21">
      <c r="G38" s="363" t="s">
        <v>1025</v>
      </c>
      <c r="H38" s="363" t="s">
        <v>87</v>
      </c>
      <c r="J38" s="348" t="s">
        <v>1029</v>
      </c>
      <c r="K38" s="290" t="s">
        <v>1011</v>
      </c>
      <c r="L38" s="290" t="s">
        <v>1012</v>
      </c>
      <c r="M38" s="290" t="s">
        <v>1013</v>
      </c>
      <c r="N38" s="290" t="s">
        <v>1017</v>
      </c>
    </row>
    <row r="39" spans="5:21">
      <c r="G39" t="s">
        <v>1014</v>
      </c>
      <c r="H39">
        <f>SUM(B5:E9)</f>
        <v>2921</v>
      </c>
      <c r="J39" t="s">
        <v>1014</v>
      </c>
      <c r="K39" s="370">
        <f>DEVSQ(B5:B9)</f>
        <v>3376.7999999999997</v>
      </c>
      <c r="L39" s="371">
        <f>DEVSQ(C5:C9)</f>
        <v>2831.2</v>
      </c>
      <c r="M39" s="371">
        <f>DEVSQ(D5:D9)</f>
        <v>1114.8</v>
      </c>
      <c r="N39" s="372">
        <f>DEVSQ(E5:E9)</f>
        <v>1416.8000000000002</v>
      </c>
      <c r="P39" t="s">
        <v>1039</v>
      </c>
      <c r="Q39" s="929">
        <f>DEVSQ(K44:N46)*H5</f>
        <v>18420.450000000004</v>
      </c>
    </row>
    <row r="40" spans="5:21">
      <c r="G40" s="126" t="s">
        <v>1015</v>
      </c>
      <c r="H40">
        <f>SUM(B10:E14)</f>
        <v>3042</v>
      </c>
      <c r="J40" t="s">
        <v>1015</v>
      </c>
      <c r="K40" s="377">
        <f>DEVSQ(B10:B14)</f>
        <v>1994.8000000000002</v>
      </c>
      <c r="L40" s="8">
        <f>DEVSQ(C10:C14)</f>
        <v>3913.2</v>
      </c>
      <c r="M40" s="8">
        <f>DEVSQ(D10:D14)</f>
        <v>662.8</v>
      </c>
      <c r="N40" s="9">
        <f>DEVSQ(E10:E14)</f>
        <v>869.2</v>
      </c>
      <c r="P40" t="s">
        <v>1040</v>
      </c>
      <c r="Q40" s="627">
        <f>H35</f>
        <v>39640.849999999984</v>
      </c>
    </row>
    <row r="41" spans="5:21" ht="15" thickBot="1">
      <c r="G41" s="31" t="s">
        <v>1016</v>
      </c>
      <c r="H41" s="31">
        <f>SUM(B15:E19)</f>
        <v>3484</v>
      </c>
      <c r="J41" t="s">
        <v>1016</v>
      </c>
      <c r="K41" s="10">
        <f>DEVSQ(B15:B19)</f>
        <v>1773.1999999999998</v>
      </c>
      <c r="L41" s="11">
        <f>DEVSQ(C15:C19)</f>
        <v>1715.2000000000003</v>
      </c>
      <c r="M41" s="11">
        <f>DEVSQ(D15:D19)</f>
        <v>849.2</v>
      </c>
      <c r="N41" s="12">
        <f>DEVSQ(E15:E19)</f>
        <v>703.2</v>
      </c>
      <c r="P41" t="s">
        <v>1029</v>
      </c>
      <c r="Q41" s="544">
        <f>Q40-Q39</f>
        <v>21220.39999999998</v>
      </c>
    </row>
    <row r="42" spans="5:21" ht="15" thickBot="1"/>
    <row r="43" spans="5:21">
      <c r="G43" s="363" t="s">
        <v>1024</v>
      </c>
      <c r="H43" s="363" t="s">
        <v>87</v>
      </c>
      <c r="J43" s="348" t="s">
        <v>1030</v>
      </c>
      <c r="K43" s="290" t="s">
        <v>1011</v>
      </c>
      <c r="L43" s="290" t="s">
        <v>1012</v>
      </c>
      <c r="M43" s="290" t="s">
        <v>1013</v>
      </c>
      <c r="N43" s="290" t="s">
        <v>1017</v>
      </c>
    </row>
    <row r="44" spans="5:21">
      <c r="G44" t="s">
        <v>1011</v>
      </c>
      <c r="H44">
        <f>SUM(B5:B19)</f>
        <v>2197</v>
      </c>
      <c r="J44" t="s">
        <v>1014</v>
      </c>
      <c r="K44" s="370">
        <f>AVERAGE(B5:B9)</f>
        <v>131.80000000000001</v>
      </c>
      <c r="L44" s="371">
        <f>AVERAGE(C5:C9)</f>
        <v>135.4</v>
      </c>
      <c r="M44" s="371">
        <f>AVERAGE(D5:D9)</f>
        <v>175.8</v>
      </c>
      <c r="N44" s="372">
        <f>AVERAGE(E5:E9)</f>
        <v>141.19999999999999</v>
      </c>
    </row>
    <row r="45" spans="5:21">
      <c r="G45" s="126" t="s">
        <v>1012</v>
      </c>
      <c r="H45">
        <f>SUM(C5:C19)</f>
        <v>2343</v>
      </c>
      <c r="J45" t="s">
        <v>1015</v>
      </c>
      <c r="K45" s="377">
        <f>AVERAGE(B10:B14)</f>
        <v>143.19999999999999</v>
      </c>
      <c r="L45" s="8">
        <f>AVERAGE(C10:C14)</f>
        <v>159.6</v>
      </c>
      <c r="M45" s="8">
        <f>AVERAGE(D10:D14)</f>
        <v>140.19999999999999</v>
      </c>
      <c r="N45" s="9">
        <f>AVERAGE(E10:E14)</f>
        <v>165.4</v>
      </c>
    </row>
    <row r="46" spans="5:21">
      <c r="G46" t="s">
        <v>1013</v>
      </c>
      <c r="H46">
        <f>SUM(D5:D19)</f>
        <v>2512</v>
      </c>
      <c r="J46" t="s">
        <v>1016</v>
      </c>
      <c r="K46" s="10">
        <f>AVERAGE(B15:B19)</f>
        <v>164.4</v>
      </c>
      <c r="L46" s="11">
        <f>AVERAGE(C15:C19)</f>
        <v>173.6</v>
      </c>
      <c r="M46" s="11">
        <f>AVERAGE(D15:D19)</f>
        <v>186.4</v>
      </c>
      <c r="N46" s="12">
        <f>AVERAGE(E15:E19)</f>
        <v>172.4</v>
      </c>
    </row>
    <row r="47" spans="5:21" ht="15" thickBot="1">
      <c r="G47" s="31" t="s">
        <v>1017</v>
      </c>
      <c r="H47" s="31">
        <f>SUM(E5:E19)</f>
        <v>2395</v>
      </c>
      <c r="K47" s="19"/>
    </row>
  </sheetData>
  <mergeCells count="1">
    <mergeCell ref="B3:E3"/>
  </mergeCells>
  <pageMargins left="0.7" right="0.7" top="0.75" bottom="0.75" header="0.3" footer="0.3"/>
  <ignoredErrors>
    <ignoredError sqref="H5 K40:M41 H6:K8 H12:K14 H18:K20 I5:K5 H11:K11 H17:K17 N39:N41 K39:M39 K44:N46" formulaRange="1"/>
  </ignoredErrors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sheetPr codeName="Sheet254"/>
  <dimension ref="A1:Y23"/>
  <sheetViews>
    <sheetView workbookViewId="0"/>
  </sheetViews>
  <sheetFormatPr defaultRowHeight="14.4"/>
  <cols>
    <col min="1" max="1" width="8.5546875" customWidth="1"/>
    <col min="2" max="5" width="7.5546875" customWidth="1"/>
    <col min="6" max="6" width="4.88671875" customWidth="1"/>
    <col min="13" max="13" width="4.88671875" customWidth="1"/>
    <col min="16" max="16" width="6.33203125" customWidth="1"/>
    <col min="20" max="20" width="7.88671875" customWidth="1"/>
  </cols>
  <sheetData>
    <row r="1" spans="1:25">
      <c r="A1" s="1" t="s">
        <v>2826</v>
      </c>
      <c r="G1" t="s">
        <v>95</v>
      </c>
      <c r="N1" t="s">
        <v>2827</v>
      </c>
      <c r="V1" t="s">
        <v>2824</v>
      </c>
    </row>
    <row r="3" spans="1:25" ht="15" thickBot="1">
      <c r="B3" s="1557" t="s">
        <v>1022</v>
      </c>
      <c r="C3" s="1558"/>
      <c r="D3" s="1558"/>
      <c r="E3" s="1559"/>
      <c r="G3" t="s">
        <v>2821</v>
      </c>
      <c r="H3" t="str">
        <f>IF(COUNTIF(H5:K7,H5)=COUNT(H5:K7),"balanced","unbalanced")</f>
        <v>balanced</v>
      </c>
      <c r="N3" t="s">
        <v>695</v>
      </c>
      <c r="R3" s="1087" t="s">
        <v>116</v>
      </c>
      <c r="S3" s="1087">
        <v>0.05</v>
      </c>
      <c r="W3" s="1092" t="str">
        <f>A5</f>
        <v>Blend X</v>
      </c>
      <c r="X3" s="1092" t="str">
        <f>A10</f>
        <v>Blend Y</v>
      </c>
      <c r="Y3" s="1092" t="str">
        <f>A15</f>
        <v>Blend Z</v>
      </c>
    </row>
    <row r="4" spans="1:25" ht="15" thickTop="1">
      <c r="A4" s="373" t="s">
        <v>1023</v>
      </c>
      <c r="B4" s="374" t="s">
        <v>1011</v>
      </c>
      <c r="C4" s="374" t="s">
        <v>1012</v>
      </c>
      <c r="D4" s="374" t="s">
        <v>1013</v>
      </c>
      <c r="E4" s="374" t="s">
        <v>1017</v>
      </c>
      <c r="H4" s="1087" t="str">
        <f>B4</f>
        <v>Wheat</v>
      </c>
      <c r="I4" s="1087" t="str">
        <f>C4</f>
        <v>Corn</v>
      </c>
      <c r="J4" s="1087" t="str">
        <f>D4</f>
        <v>Soy</v>
      </c>
      <c r="K4" s="1087" t="str">
        <f>E4</f>
        <v>Rice</v>
      </c>
      <c r="N4" s="1070"/>
      <c r="O4" s="1070" t="s">
        <v>578</v>
      </c>
      <c r="P4" s="1070" t="s">
        <v>186</v>
      </c>
      <c r="Q4" s="1070" t="s">
        <v>641</v>
      </c>
      <c r="R4" s="1070" t="s">
        <v>388</v>
      </c>
      <c r="S4" s="1070" t="s">
        <v>200</v>
      </c>
      <c r="T4" s="1070" t="s">
        <v>948</v>
      </c>
      <c r="V4" s="1091" t="str">
        <f>B4</f>
        <v>Wheat</v>
      </c>
      <c r="W4" s="1091">
        <f>IF(B5="","",B5)</f>
        <v>123</v>
      </c>
      <c r="X4" s="1091">
        <f>IF(B10="","",B10)</f>
        <v>135</v>
      </c>
      <c r="Y4" s="1091">
        <f>IF(B15="","",B15)</f>
        <v>156</v>
      </c>
    </row>
    <row r="5" spans="1:25">
      <c r="A5" s="370" t="s">
        <v>1014</v>
      </c>
      <c r="B5" s="375">
        <v>123</v>
      </c>
      <c r="C5" s="375">
        <v>128</v>
      </c>
      <c r="D5" s="375">
        <v>166</v>
      </c>
      <c r="E5" s="375">
        <v>151</v>
      </c>
      <c r="G5" t="str">
        <f>A5</f>
        <v>Blend X</v>
      </c>
      <c r="H5" s="1088">
        <f>COUNT(B5:B9)</f>
        <v>5</v>
      </c>
      <c r="I5" s="1089">
        <f>COUNT(C5:C9)</f>
        <v>5</v>
      </c>
      <c r="J5" s="1089">
        <f>COUNT(D5:D9)</f>
        <v>5</v>
      </c>
      <c r="K5" s="1090">
        <f>COUNT(E5:E9)</f>
        <v>5</v>
      </c>
      <c r="L5">
        <f>COUNT(B5:E9)</f>
        <v>20</v>
      </c>
      <c r="N5" t="s">
        <v>390</v>
      </c>
      <c r="O5">
        <f>DEVSQ(L12:L14)*L5</f>
        <v>8782.8999999999887</v>
      </c>
      <c r="P5">
        <f>COUNT(L12:L14)-1</f>
        <v>2</v>
      </c>
      <c r="Q5">
        <f>O5/P5</f>
        <v>4391.4499999999944</v>
      </c>
      <c r="R5">
        <f>Q5/Q8</f>
        <v>9.9333471565097486</v>
      </c>
      <c r="S5">
        <f>FDIST(R5,P5,P8)</f>
        <v>2.4548728137133846E-4</v>
      </c>
      <c r="T5" s="1087" t="str">
        <f>IF(S5&lt;S3,"yes","no")</f>
        <v>yes</v>
      </c>
      <c r="V5" s="946"/>
      <c r="W5" s="946">
        <f>IF(B6="","",B6)</f>
        <v>156</v>
      </c>
      <c r="X5" s="946">
        <f>IF(B11="","",B11)</f>
        <v>130</v>
      </c>
      <c r="Y5" s="946">
        <f>IF(B16="","",B16)</f>
        <v>180</v>
      </c>
    </row>
    <row r="6" spans="1:25">
      <c r="A6" s="7"/>
      <c r="B6" s="376">
        <v>156</v>
      </c>
      <c r="C6" s="376">
        <v>150</v>
      </c>
      <c r="D6" s="376">
        <v>178</v>
      </c>
      <c r="E6" s="376">
        <v>125</v>
      </c>
      <c r="G6" t="str">
        <f>A10</f>
        <v>Blend Y</v>
      </c>
      <c r="H6" s="625">
        <f>COUNT(B10:B14)</f>
        <v>5</v>
      </c>
      <c r="I6" s="8">
        <f>COUNT(C10:C14)</f>
        <v>5</v>
      </c>
      <c r="J6" s="8">
        <f>COUNT(D10:D14)</f>
        <v>5</v>
      </c>
      <c r="K6" s="132">
        <f>COUNT(E10:E14)</f>
        <v>5</v>
      </c>
      <c r="L6">
        <f>COUNT(B10:E14)</f>
        <v>20</v>
      </c>
      <c r="N6" t="s">
        <v>1010</v>
      </c>
      <c r="O6">
        <f>DEVSQ(H15:K15)*H8</f>
        <v>3411.65</v>
      </c>
      <c r="P6">
        <f>COUNT(H15:K15)-1</f>
        <v>3</v>
      </c>
      <c r="Q6">
        <f>O6/P6</f>
        <v>1137.2166666666667</v>
      </c>
      <c r="R6">
        <f>Q6/Q8</f>
        <v>2.572354903771839</v>
      </c>
      <c r="S6">
        <f>FDIST(R6,P6,P8)</f>
        <v>6.4943822161567188E-2</v>
      </c>
      <c r="T6" s="1087" t="str">
        <f>IF(S6&lt;S3,"yes","no")</f>
        <v>no</v>
      </c>
      <c r="V6" s="946"/>
      <c r="W6" s="946">
        <f>IF(B7="","",B7)</f>
        <v>112</v>
      </c>
      <c r="X6" s="946">
        <f>IF(B12="","",B12)</f>
        <v>176</v>
      </c>
      <c r="Y6" s="946">
        <f>IF(B17="","",B17)</f>
        <v>147</v>
      </c>
    </row>
    <row r="7" spans="1:25">
      <c r="A7" s="377"/>
      <c r="B7" s="376">
        <v>112</v>
      </c>
      <c r="C7" s="376">
        <v>174</v>
      </c>
      <c r="D7" s="376">
        <v>187</v>
      </c>
      <c r="E7" s="376">
        <v>117</v>
      </c>
      <c r="G7" t="str">
        <f>A15</f>
        <v>Blend Z</v>
      </c>
      <c r="H7" s="1075">
        <f>COUNT(B15:B19)</f>
        <v>5</v>
      </c>
      <c r="I7" s="1076">
        <f>COUNT(C15:C19)</f>
        <v>5</v>
      </c>
      <c r="J7" s="1076">
        <f>COUNT(D15:D19)</f>
        <v>5</v>
      </c>
      <c r="K7" s="1077">
        <f>COUNT(E15:E19)</f>
        <v>5</v>
      </c>
      <c r="L7">
        <f>COUNT(B15:E19)</f>
        <v>20</v>
      </c>
      <c r="N7" t="s">
        <v>2089</v>
      </c>
      <c r="O7">
        <f>O9-O5-O6-O8</f>
        <v>6225.9000000000779</v>
      </c>
      <c r="P7">
        <f>P6*P5</f>
        <v>6</v>
      </c>
      <c r="Q7">
        <f>O7/P7</f>
        <v>1037.6500000000131</v>
      </c>
      <c r="R7">
        <f>Q7/Q8</f>
        <v>2.3471376599875859</v>
      </c>
      <c r="S7">
        <f>FDIST(R7,P7,P8)</f>
        <v>4.5555492136470324E-2</v>
      </c>
      <c r="T7" s="1087" t="str">
        <f>IF(S7&lt;S3,"yes","no")</f>
        <v>yes</v>
      </c>
      <c r="V7" s="946"/>
      <c r="W7" s="946">
        <f>IF(B8="","",B8)</f>
        <v>100</v>
      </c>
      <c r="X7" s="946">
        <f>IF(B13="","",B13)</f>
        <v>120</v>
      </c>
      <c r="Y7" s="946">
        <f>IF(B18="","",B18)</f>
        <v>146</v>
      </c>
    </row>
    <row r="8" spans="1:25">
      <c r="A8" s="377"/>
      <c r="B8" s="376">
        <v>100</v>
      </c>
      <c r="C8" s="376">
        <v>116</v>
      </c>
      <c r="D8" s="376">
        <v>153</v>
      </c>
      <c r="E8" s="376">
        <v>155</v>
      </c>
      <c r="H8">
        <f>COUNT(B5:B19)</f>
        <v>15</v>
      </c>
      <c r="I8">
        <f>COUNT(C5:C19)</f>
        <v>15</v>
      </c>
      <c r="J8">
        <f>COUNT(D5:D19)</f>
        <v>15</v>
      </c>
      <c r="K8">
        <f>COUNT(E5:E19)</f>
        <v>15</v>
      </c>
      <c r="L8">
        <f>COUNT(B5:E19)</f>
        <v>60</v>
      </c>
      <c r="N8" t="s">
        <v>1021</v>
      </c>
      <c r="O8">
        <f>SUM(H19:K21)*(H5-1)</f>
        <v>21220.400000000027</v>
      </c>
      <c r="P8">
        <f>P9-P5-P6-P7</f>
        <v>48</v>
      </c>
      <c r="Q8">
        <f>O8/P8</f>
        <v>442.09166666666721</v>
      </c>
      <c r="V8" s="1073"/>
      <c r="W8" s="1073">
        <f>IF(B9="","",B9)</f>
        <v>168</v>
      </c>
      <c r="X8" s="1073">
        <f>IF(B14="","",B14)</f>
        <v>155</v>
      </c>
      <c r="Y8" s="1073">
        <f>IF(B19="","",B19)</f>
        <v>193</v>
      </c>
    </row>
    <row r="9" spans="1:25">
      <c r="A9" s="377"/>
      <c r="B9" s="41">
        <v>168</v>
      </c>
      <c r="C9" s="41">
        <v>109</v>
      </c>
      <c r="D9" s="41">
        <v>195</v>
      </c>
      <c r="E9" s="41">
        <v>158</v>
      </c>
      <c r="N9" s="1078" t="s">
        <v>12</v>
      </c>
      <c r="O9" s="1078">
        <f>Q9*P9</f>
        <v>39640.850000000093</v>
      </c>
      <c r="P9" s="1078">
        <f>L8-1</f>
        <v>59</v>
      </c>
      <c r="Q9" s="1078">
        <f>L22</f>
        <v>671.87881355932359</v>
      </c>
      <c r="R9" s="1078"/>
      <c r="S9" s="1078"/>
      <c r="T9" s="1078"/>
      <c r="V9" s="1091" t="str">
        <f>C4</f>
        <v>Corn</v>
      </c>
      <c r="W9" s="1091">
        <f>IF(C5="","",C5)</f>
        <v>128</v>
      </c>
      <c r="X9" s="1091">
        <f>IF(C10="","",C10)</f>
        <v>175</v>
      </c>
      <c r="Y9" s="1091">
        <f>IF(C15="","",C15)</f>
        <v>186</v>
      </c>
    </row>
    <row r="10" spans="1:25">
      <c r="A10" s="370" t="s">
        <v>1015</v>
      </c>
      <c r="B10" s="375">
        <v>135</v>
      </c>
      <c r="C10" s="375">
        <v>175</v>
      </c>
      <c r="D10" s="375">
        <v>140</v>
      </c>
      <c r="E10" s="375">
        <v>167</v>
      </c>
      <c r="G10" t="s">
        <v>1031</v>
      </c>
      <c r="V10" s="946"/>
      <c r="W10" s="946">
        <f>IF(C6="","",C6)</f>
        <v>150</v>
      </c>
      <c r="X10" s="946">
        <f>IF(C11="","",C11)</f>
        <v>132</v>
      </c>
      <c r="Y10" s="946">
        <f>IF(C16="","",C16)</f>
        <v>138</v>
      </c>
    </row>
    <row r="11" spans="1:25">
      <c r="A11" s="377"/>
      <c r="B11" s="376">
        <v>130</v>
      </c>
      <c r="C11" s="376">
        <v>132</v>
      </c>
      <c r="D11" s="376">
        <v>145</v>
      </c>
      <c r="E11" s="376">
        <v>183</v>
      </c>
      <c r="H11" s="1087" t="str">
        <f>B4</f>
        <v>Wheat</v>
      </c>
      <c r="I11" s="1087" t="str">
        <f>C4</f>
        <v>Corn</v>
      </c>
      <c r="J11" s="1087" t="str">
        <f>D4</f>
        <v>Soy</v>
      </c>
      <c r="K11" s="1087" t="str">
        <f>E4</f>
        <v>Rice</v>
      </c>
      <c r="V11" s="946"/>
      <c r="W11" s="946">
        <f>IF(C7="","",C7)</f>
        <v>174</v>
      </c>
      <c r="X11" s="946">
        <f>IF(C12="","",C12)</f>
        <v>120</v>
      </c>
      <c r="Y11" s="946">
        <f>IF(C17="","",C17)</f>
        <v>178</v>
      </c>
    </row>
    <row r="12" spans="1:25">
      <c r="A12" s="377"/>
      <c r="B12" s="376">
        <v>176</v>
      </c>
      <c r="C12" s="376">
        <v>120</v>
      </c>
      <c r="D12" s="376">
        <v>159</v>
      </c>
      <c r="E12" s="376">
        <v>142</v>
      </c>
      <c r="G12" t="str">
        <f>A5</f>
        <v>Blend X</v>
      </c>
      <c r="H12" s="1088">
        <f>AVERAGE(B5:B9)</f>
        <v>131.80000000000001</v>
      </c>
      <c r="I12" s="1089">
        <f>AVERAGE(C5:C9)</f>
        <v>135.4</v>
      </c>
      <c r="J12" s="1089">
        <f>AVERAGE(D5:D9)</f>
        <v>175.8</v>
      </c>
      <c r="K12" s="1090">
        <f>AVERAGE(E5:E9)</f>
        <v>141.19999999999999</v>
      </c>
      <c r="L12">
        <f>AVERAGE(B5:E9)</f>
        <v>146.05000000000001</v>
      </c>
      <c r="V12" s="946"/>
      <c r="W12" s="946">
        <f>IF(C8="","",C8)</f>
        <v>116</v>
      </c>
      <c r="X12" s="946">
        <f>IF(C13="","",C13)</f>
        <v>187</v>
      </c>
      <c r="Y12" s="946">
        <f>IF(C18="","",C18)</f>
        <v>176</v>
      </c>
    </row>
    <row r="13" spans="1:25">
      <c r="A13" s="377"/>
      <c r="B13" s="376">
        <v>120</v>
      </c>
      <c r="C13" s="376">
        <v>187</v>
      </c>
      <c r="D13" s="376">
        <v>131</v>
      </c>
      <c r="E13" s="376">
        <v>167</v>
      </c>
      <c r="G13" t="str">
        <f>A10</f>
        <v>Blend Y</v>
      </c>
      <c r="H13" s="625">
        <f>AVERAGE(B10:B14)</f>
        <v>143.19999999999999</v>
      </c>
      <c r="I13" s="8">
        <f>AVERAGE(C10:C14)</f>
        <v>159.6</v>
      </c>
      <c r="J13" s="8">
        <f>AVERAGE(D10:D14)</f>
        <v>140.19999999999999</v>
      </c>
      <c r="K13" s="132">
        <f>AVERAGE(E10:E14)</f>
        <v>165.4</v>
      </c>
      <c r="L13">
        <f>AVERAGE(B10:E14)</f>
        <v>152.1</v>
      </c>
      <c r="V13" s="1073"/>
      <c r="W13" s="1073">
        <f>IF(C9="","",C9)</f>
        <v>109</v>
      </c>
      <c r="X13" s="1073">
        <f>IF(C14="","",C14)</f>
        <v>184</v>
      </c>
      <c r="Y13" s="1073">
        <f>IF(C19="","",C19)</f>
        <v>190</v>
      </c>
    </row>
    <row r="14" spans="1:25">
      <c r="A14" s="377"/>
      <c r="B14" s="41">
        <v>155</v>
      </c>
      <c r="C14" s="41">
        <v>184</v>
      </c>
      <c r="D14" s="41">
        <v>126</v>
      </c>
      <c r="E14" s="41">
        <v>168</v>
      </c>
      <c r="G14" t="str">
        <f>A15</f>
        <v>Blend Z</v>
      </c>
      <c r="H14" s="1075">
        <f>AVERAGE(B15:B19)</f>
        <v>164.4</v>
      </c>
      <c r="I14" s="1076">
        <f>AVERAGE(C15:C19)</f>
        <v>173.6</v>
      </c>
      <c r="J14" s="1076">
        <f>AVERAGE(D15:D19)</f>
        <v>186.4</v>
      </c>
      <c r="K14" s="1077">
        <f>AVERAGE(E15:E19)</f>
        <v>172.4</v>
      </c>
      <c r="L14">
        <f>AVERAGE(B15:E19)</f>
        <v>174.2</v>
      </c>
      <c r="V14" s="1091" t="str">
        <f>D4</f>
        <v>Soy</v>
      </c>
      <c r="W14" s="1091">
        <f>IF(D5="","",D5)</f>
        <v>166</v>
      </c>
      <c r="X14" s="1091">
        <f>IF(D10="","",D10)</f>
        <v>140</v>
      </c>
      <c r="Y14" s="1091">
        <f>IF(D15="","",D15)</f>
        <v>185</v>
      </c>
    </row>
    <row r="15" spans="1:25">
      <c r="A15" s="370" t="s">
        <v>1016</v>
      </c>
      <c r="B15" s="375">
        <v>156</v>
      </c>
      <c r="C15" s="375">
        <v>186</v>
      </c>
      <c r="D15" s="375">
        <v>185</v>
      </c>
      <c r="E15" s="375">
        <v>175</v>
      </c>
      <c r="H15">
        <f>AVERAGE(B5:B19)</f>
        <v>146.46666666666667</v>
      </c>
      <c r="I15">
        <f>AVERAGE(C5:C19)</f>
        <v>156.19999999999999</v>
      </c>
      <c r="J15">
        <f>AVERAGE(D5:D19)</f>
        <v>167.46666666666667</v>
      </c>
      <c r="K15">
        <f>AVERAGE(E5:E19)</f>
        <v>159.66666666666666</v>
      </c>
      <c r="L15">
        <f>AVERAGE(B5:E19)</f>
        <v>157.44999999999999</v>
      </c>
      <c r="V15" s="946"/>
      <c r="W15" s="946">
        <f>IF(D6="","",D6)</f>
        <v>178</v>
      </c>
      <c r="X15" s="946">
        <f>IF(D11="","",D11)</f>
        <v>145</v>
      </c>
      <c r="Y15" s="946">
        <f>IF(D16="","",D16)</f>
        <v>206</v>
      </c>
    </row>
    <row r="16" spans="1:25">
      <c r="A16" s="377"/>
      <c r="B16" s="376">
        <v>180</v>
      </c>
      <c r="C16" s="376">
        <v>138</v>
      </c>
      <c r="D16" s="376">
        <v>206</v>
      </c>
      <c r="E16" s="376">
        <v>173</v>
      </c>
      <c r="V16" s="946"/>
      <c r="W16" s="946">
        <f>IF(D7="","",D7)</f>
        <v>187</v>
      </c>
      <c r="X16" s="946">
        <f>IF(D12="","",D12)</f>
        <v>159</v>
      </c>
      <c r="Y16" s="946">
        <f>IF(D17="","",D17)</f>
        <v>188</v>
      </c>
    </row>
    <row r="17" spans="1:25">
      <c r="A17" s="377"/>
      <c r="B17" s="376">
        <v>147</v>
      </c>
      <c r="C17" s="376">
        <v>178</v>
      </c>
      <c r="D17" s="376">
        <v>188</v>
      </c>
      <c r="E17" s="376">
        <v>154</v>
      </c>
      <c r="G17" t="s">
        <v>2822</v>
      </c>
      <c r="V17" s="946"/>
      <c r="W17" s="946">
        <f>IF(D8="","",D8)</f>
        <v>153</v>
      </c>
      <c r="X17" s="946">
        <f>IF(D13="","",D13)</f>
        <v>131</v>
      </c>
      <c r="Y17" s="946">
        <f>IF(D18="","",D18)</f>
        <v>165</v>
      </c>
    </row>
    <row r="18" spans="1:25">
      <c r="A18" s="377"/>
      <c r="B18" s="376">
        <v>146</v>
      </c>
      <c r="C18" s="376">
        <v>176</v>
      </c>
      <c r="D18" s="376">
        <v>165</v>
      </c>
      <c r="E18" s="376">
        <v>191</v>
      </c>
      <c r="H18" s="1087" t="str">
        <f>B4</f>
        <v>Wheat</v>
      </c>
      <c r="I18" s="1087" t="str">
        <f>C4</f>
        <v>Corn</v>
      </c>
      <c r="J18" s="1087" t="str">
        <f>D4</f>
        <v>Soy</v>
      </c>
      <c r="K18" s="1087" t="str">
        <f>E4</f>
        <v>Rice</v>
      </c>
      <c r="V18" s="1073"/>
      <c r="W18" s="1073">
        <f>IF(D9="","",D9)</f>
        <v>195</v>
      </c>
      <c r="X18" s="1073">
        <f>IF(D14="","",D14)</f>
        <v>126</v>
      </c>
      <c r="Y18" s="1073">
        <f>IF(D19="","",D19)</f>
        <v>188</v>
      </c>
    </row>
    <row r="19" spans="1:25">
      <c r="A19" s="10"/>
      <c r="B19" s="41">
        <v>193</v>
      </c>
      <c r="C19" s="41">
        <v>190</v>
      </c>
      <c r="D19" s="41">
        <v>188</v>
      </c>
      <c r="E19" s="41">
        <v>169</v>
      </c>
      <c r="G19" t="str">
        <f>A5</f>
        <v>Blend X</v>
      </c>
      <c r="H19" s="1088">
        <f>VAR(B5:B9)</f>
        <v>844.20000000000073</v>
      </c>
      <c r="I19" s="1089">
        <f>VAR(C5:C9)</f>
        <v>707.79999999999927</v>
      </c>
      <c r="J19" s="1089">
        <f>VAR(D5:D9)</f>
        <v>278.7</v>
      </c>
      <c r="K19" s="1090">
        <f>VAR(E5:E9)</f>
        <v>354.20000000000073</v>
      </c>
      <c r="L19">
        <f>VAR(B5:E9)</f>
        <v>782.3657894736848</v>
      </c>
      <c r="V19" s="1091" t="str">
        <f>E4</f>
        <v>Rice</v>
      </c>
      <c r="W19" s="1091">
        <f>IF(E5="","",E5)</f>
        <v>151</v>
      </c>
      <c r="X19" s="1091">
        <f>IF(E10="","",E10)</f>
        <v>167</v>
      </c>
      <c r="Y19" s="1091">
        <f>IF(E15="","",E15)</f>
        <v>175</v>
      </c>
    </row>
    <row r="20" spans="1:25">
      <c r="G20" t="str">
        <f>A10</f>
        <v>Blend Y</v>
      </c>
      <c r="H20" s="625">
        <f>VAR(B10:B14)</f>
        <v>498.70000000000073</v>
      </c>
      <c r="I20" s="8">
        <f>VAR(C10:C14)</f>
        <v>978.29999999999927</v>
      </c>
      <c r="J20" s="8">
        <f>VAR(D10:D14)</f>
        <v>165.7</v>
      </c>
      <c r="K20" s="132">
        <f>VAR(E10:E14)</f>
        <v>217.3</v>
      </c>
      <c r="L20">
        <f>VAR(B10:E14)</f>
        <v>511.04210526315728</v>
      </c>
      <c r="V20" s="946"/>
      <c r="W20" s="946">
        <f>IF(E6="","",E6)</f>
        <v>125</v>
      </c>
      <c r="X20" s="946">
        <f>IF(E11="","",E11)</f>
        <v>183</v>
      </c>
      <c r="Y20" s="946">
        <f>IF(E16="","",E16)</f>
        <v>173</v>
      </c>
    </row>
    <row r="21" spans="1:25">
      <c r="G21" t="str">
        <f>A15</f>
        <v>Blend Z</v>
      </c>
      <c r="H21" s="1075">
        <f>VAR(B15:B19)</f>
        <v>443.30000000000291</v>
      </c>
      <c r="I21" s="1076">
        <f>VAR(C15:C19)</f>
        <v>428.80000000000291</v>
      </c>
      <c r="J21" s="1076">
        <f>VAR(D15:D19)</f>
        <v>212.3</v>
      </c>
      <c r="K21" s="1077">
        <f>VAR(E15:E19)</f>
        <v>175.8</v>
      </c>
      <c r="L21">
        <f>VAR(B15:E19)</f>
        <v>330.69473684210283</v>
      </c>
      <c r="V21" s="946"/>
      <c r="W21" s="946">
        <f>IF(E7="","",E7)</f>
        <v>117</v>
      </c>
      <c r="X21" s="946">
        <f>IF(E12="","",E12)</f>
        <v>142</v>
      </c>
      <c r="Y21" s="946">
        <f>IF(E17="","",E17)</f>
        <v>154</v>
      </c>
    </row>
    <row r="22" spans="1:25">
      <c r="H22">
        <f>VAR(B5:B19)</f>
        <v>705.83809523809555</v>
      </c>
      <c r="I22">
        <f>VAR(C5:C19)</f>
        <v>871.02857142857306</v>
      </c>
      <c r="J22">
        <f>VAR(D5:D19)</f>
        <v>605.98095238095266</v>
      </c>
      <c r="K22">
        <f>VAR(E5:E19)</f>
        <v>404.95238095237954</v>
      </c>
      <c r="L22">
        <f>VAR(B5:E19)</f>
        <v>671.87881355932359</v>
      </c>
      <c r="V22" s="946"/>
      <c r="W22" s="946">
        <f>IF(E8="","",E8)</f>
        <v>155</v>
      </c>
      <c r="X22" s="946">
        <f>IF(E13="","",E13)</f>
        <v>167</v>
      </c>
      <c r="Y22" s="946">
        <f>IF(E18="","",E18)</f>
        <v>191</v>
      </c>
    </row>
    <row r="23" spans="1:25">
      <c r="V23" s="1073"/>
      <c r="W23" s="1073">
        <f>IF(E9="","",E9)</f>
        <v>158</v>
      </c>
      <c r="X23" s="1073">
        <f>IF(E14="","",E14)</f>
        <v>168</v>
      </c>
      <c r="Y23" s="1073">
        <f>IF(E19="","",E19)</f>
        <v>169</v>
      </c>
    </row>
  </sheetData>
  <mergeCells count="1">
    <mergeCell ref="B3:E3"/>
  </mergeCells>
  <pageMargins left="0.7" right="0.7" top="0.75" bottom="0.75" header="0.3" footer="0.3"/>
  <ignoredErrors>
    <ignoredError sqref="H5:K7 H12:K14 H19:K21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>
  <sheetPr codeName="Sheet114"/>
  <dimension ref="A1:X29"/>
  <sheetViews>
    <sheetView workbookViewId="0"/>
  </sheetViews>
  <sheetFormatPr defaultRowHeight="14.4"/>
  <cols>
    <col min="3" max="3" width="7.5546875" customWidth="1"/>
    <col min="15" max="15" width="17.33203125" customWidth="1"/>
    <col min="22" max="22" width="9.109375" customWidth="1"/>
    <col min="23" max="23" width="18.109375" customWidth="1"/>
    <col min="24" max="24" width="22.109375" customWidth="1"/>
  </cols>
  <sheetData>
    <row r="1" spans="1:24">
      <c r="A1" s="1" t="s">
        <v>1019</v>
      </c>
      <c r="B1" s="1"/>
      <c r="O1" t="s">
        <v>1020</v>
      </c>
    </row>
    <row r="3" spans="1:24" ht="15" thickBot="1">
      <c r="A3" s="383" t="s">
        <v>1023</v>
      </c>
      <c r="B3" s="373" t="s">
        <v>1022</v>
      </c>
      <c r="C3" s="1558" t="s">
        <v>1028</v>
      </c>
      <c r="D3" s="1558"/>
      <c r="E3" s="1558"/>
      <c r="F3" s="1558"/>
      <c r="G3" s="1559"/>
      <c r="H3" s="117"/>
      <c r="I3" s="379" t="s">
        <v>88</v>
      </c>
      <c r="J3" s="380" t="s">
        <v>87</v>
      </c>
      <c r="K3" s="380" t="s">
        <v>76</v>
      </c>
      <c r="L3" s="381" t="s">
        <v>223</v>
      </c>
      <c r="M3" s="385" t="s">
        <v>578</v>
      </c>
      <c r="O3" t="s">
        <v>695</v>
      </c>
      <c r="W3" t="s">
        <v>1032</v>
      </c>
    </row>
    <row r="4" spans="1:24">
      <c r="A4" s="370" t="s">
        <v>1014</v>
      </c>
      <c r="B4" s="376" t="s">
        <v>1011</v>
      </c>
      <c r="C4" s="370">
        <v>123</v>
      </c>
      <c r="D4" s="371">
        <v>156</v>
      </c>
      <c r="E4" s="371">
        <v>112</v>
      </c>
      <c r="F4" s="371">
        <v>100</v>
      </c>
      <c r="G4" s="372">
        <v>168</v>
      </c>
      <c r="H4" s="8"/>
      <c r="I4" s="370">
        <f>COUNT(C4:G4)</f>
        <v>5</v>
      </c>
      <c r="J4" s="371">
        <f>SUM(C4:G4)</f>
        <v>659</v>
      </c>
      <c r="K4" s="371">
        <f>AVERAGE(C4:G4)</f>
        <v>131.80000000000001</v>
      </c>
      <c r="L4" s="371">
        <f>VAR(C4:G4)</f>
        <v>844.20000000000073</v>
      </c>
      <c r="M4" s="372">
        <f>DEVSQ(C4:G4)</f>
        <v>3376.7999999999997</v>
      </c>
      <c r="O4" s="363" t="s">
        <v>887</v>
      </c>
      <c r="P4" s="363" t="s">
        <v>578</v>
      </c>
      <c r="Q4" s="363" t="s">
        <v>186</v>
      </c>
      <c r="R4" s="363" t="s">
        <v>641</v>
      </c>
      <c r="S4" s="363" t="s">
        <v>388</v>
      </c>
      <c r="T4" s="363" t="s">
        <v>367</v>
      </c>
      <c r="U4" s="363" t="s">
        <v>888</v>
      </c>
    </row>
    <row r="5" spans="1:24">
      <c r="A5" s="377" t="s">
        <v>1014</v>
      </c>
      <c r="B5" s="376" t="s">
        <v>1012</v>
      </c>
      <c r="C5" s="377">
        <v>128</v>
      </c>
      <c r="D5" s="8">
        <v>150</v>
      </c>
      <c r="E5" s="8">
        <v>174</v>
      </c>
      <c r="F5" s="8">
        <v>116</v>
      </c>
      <c r="G5" s="9">
        <v>109</v>
      </c>
      <c r="H5" s="8"/>
      <c r="I5" s="377">
        <f t="shared" ref="I5:I15" si="0">COUNT(C5:G5)</f>
        <v>5</v>
      </c>
      <c r="J5" s="8">
        <f t="shared" ref="J5:J15" si="1">SUM(C5:G5)</f>
        <v>677</v>
      </c>
      <c r="K5" s="8">
        <f t="shared" ref="K5:K15" si="2">AVERAGE(C5:G5)</f>
        <v>135.4</v>
      </c>
      <c r="L5" s="8">
        <f t="shared" ref="L5:L15" si="3">VAR(C5:G5)</f>
        <v>707.79999999999927</v>
      </c>
      <c r="M5" s="9">
        <f t="shared" ref="M5:M15" si="4">DEVSQ(C5:G5)</f>
        <v>2831.2</v>
      </c>
      <c r="O5" s="28" t="s">
        <v>1026</v>
      </c>
      <c r="P5" s="28">
        <f>DEVSQ(J17:J19)/I17</f>
        <v>8782.9</v>
      </c>
      <c r="Q5" s="28">
        <f>COUNTA(H17:H19)-1</f>
        <v>2</v>
      </c>
      <c r="R5" s="28">
        <f>P5/Q5</f>
        <v>4391.45</v>
      </c>
      <c r="S5" s="28">
        <f>R5/R$8</f>
        <v>9.9333471565097717</v>
      </c>
      <c r="T5">
        <f>FDIST(S5,Q5,Q$8)</f>
        <v>2.4548728137133413E-4</v>
      </c>
      <c r="U5">
        <f>FINV(0.05,Q5,Q$8)</f>
        <v>3.1907273359284987</v>
      </c>
      <c r="W5" s="28" t="s">
        <v>1026</v>
      </c>
      <c r="X5" s="23" t="s">
        <v>1033</v>
      </c>
    </row>
    <row r="6" spans="1:24">
      <c r="A6" s="377" t="s">
        <v>1014</v>
      </c>
      <c r="B6" s="376" t="s">
        <v>1013</v>
      </c>
      <c r="C6" s="377">
        <v>166</v>
      </c>
      <c r="D6" s="8">
        <v>178</v>
      </c>
      <c r="E6" s="8">
        <v>187</v>
      </c>
      <c r="F6" s="8">
        <v>153</v>
      </c>
      <c r="G6" s="9">
        <v>195</v>
      </c>
      <c r="H6" s="8"/>
      <c r="I6" s="377">
        <f t="shared" si="0"/>
        <v>5</v>
      </c>
      <c r="J6" s="8">
        <f t="shared" si="1"/>
        <v>879</v>
      </c>
      <c r="K6" s="8">
        <f t="shared" si="2"/>
        <v>175.8</v>
      </c>
      <c r="L6" s="8">
        <f t="shared" si="3"/>
        <v>278.7</v>
      </c>
      <c r="M6" s="9">
        <f t="shared" si="4"/>
        <v>1114.8</v>
      </c>
      <c r="O6" s="28" t="s">
        <v>1027</v>
      </c>
      <c r="P6" s="28">
        <f>DEVSQ(J21:J24)/I21</f>
        <v>3411.65</v>
      </c>
      <c r="Q6" s="28">
        <f>COUNTA(H21:H24)-1</f>
        <v>3</v>
      </c>
      <c r="R6" s="28">
        <f>P6/Q6</f>
        <v>1137.2166666666667</v>
      </c>
      <c r="S6" s="28">
        <f>R6/R$8</f>
        <v>2.5723549037718416</v>
      </c>
      <c r="T6">
        <f>FDIST(S6,Q6,Q$8)</f>
        <v>6.4943822161567036E-2</v>
      </c>
      <c r="U6">
        <f>FINV(0.05,Q6,Q$8)</f>
        <v>2.7980606354356103</v>
      </c>
      <c r="W6" s="28" t="s">
        <v>1027</v>
      </c>
      <c r="X6" s="23" t="s">
        <v>1034</v>
      </c>
    </row>
    <row r="7" spans="1:24">
      <c r="A7" s="377" t="s">
        <v>1014</v>
      </c>
      <c r="B7" s="384" t="s">
        <v>1017</v>
      </c>
      <c r="C7" s="377">
        <v>151</v>
      </c>
      <c r="D7" s="8">
        <v>125</v>
      </c>
      <c r="E7" s="8">
        <v>117</v>
      </c>
      <c r="F7" s="8">
        <v>155</v>
      </c>
      <c r="G7" s="9">
        <v>158</v>
      </c>
      <c r="H7" s="8"/>
      <c r="I7" s="377">
        <f t="shared" si="0"/>
        <v>5</v>
      </c>
      <c r="J7" s="8">
        <f t="shared" si="1"/>
        <v>706</v>
      </c>
      <c r="K7" s="8">
        <f t="shared" si="2"/>
        <v>141.19999999999999</v>
      </c>
      <c r="L7" s="8">
        <f t="shared" si="3"/>
        <v>354.20000000000073</v>
      </c>
      <c r="M7" s="9">
        <f t="shared" si="4"/>
        <v>1416.8000000000002</v>
      </c>
      <c r="O7" s="28" t="s">
        <v>838</v>
      </c>
      <c r="P7" s="28">
        <f>P10-P5-P6-P8</f>
        <v>6225.8999999999905</v>
      </c>
      <c r="Q7" s="28">
        <f>Q5*Q6</f>
        <v>6</v>
      </c>
      <c r="R7" s="28">
        <f>P7/Q7</f>
        <v>1037.6499999999985</v>
      </c>
      <c r="S7" s="28">
        <f>R7/R$8</f>
        <v>2.3471376599875553</v>
      </c>
      <c r="T7">
        <f>FDIST(S7,Q7,Q$8)</f>
        <v>4.5555492136472767E-2</v>
      </c>
      <c r="U7">
        <f>FINV(0.05,Q7,Q$8)</f>
        <v>2.29460131347063</v>
      </c>
      <c r="W7" s="28" t="s">
        <v>838</v>
      </c>
      <c r="X7" s="23" t="s">
        <v>1035</v>
      </c>
    </row>
    <row r="8" spans="1:24">
      <c r="A8" s="377" t="s">
        <v>1015</v>
      </c>
      <c r="B8" s="376" t="s">
        <v>1011</v>
      </c>
      <c r="C8" s="377">
        <v>135</v>
      </c>
      <c r="D8" s="8">
        <v>130</v>
      </c>
      <c r="E8" s="8">
        <v>176</v>
      </c>
      <c r="F8" s="8">
        <v>120</v>
      </c>
      <c r="G8" s="9">
        <v>155</v>
      </c>
      <c r="H8" s="8"/>
      <c r="I8" s="377">
        <f t="shared" si="0"/>
        <v>5</v>
      </c>
      <c r="J8" s="8">
        <f t="shared" si="1"/>
        <v>716</v>
      </c>
      <c r="K8" s="8">
        <f t="shared" si="2"/>
        <v>143.19999999999999</v>
      </c>
      <c r="L8" s="8">
        <f t="shared" si="3"/>
        <v>498.70000000000073</v>
      </c>
      <c r="M8" s="9">
        <f t="shared" si="4"/>
        <v>1994.8000000000002</v>
      </c>
      <c r="O8" s="28" t="s">
        <v>1021</v>
      </c>
      <c r="P8" s="28">
        <f>SUM(M4:M15)</f>
        <v>21220.400000000005</v>
      </c>
      <c r="Q8" s="28">
        <f>COUNT(C4:G15)-COUNTA(H17:H19)*COUNTA(H21:H24)</f>
        <v>48</v>
      </c>
      <c r="R8" s="28">
        <f>P8/Q8</f>
        <v>442.09166666666675</v>
      </c>
      <c r="S8" s="28"/>
      <c r="T8" s="28"/>
      <c r="W8" s="28" t="s">
        <v>1021</v>
      </c>
      <c r="X8" s="23" t="s">
        <v>1036</v>
      </c>
    </row>
    <row r="9" spans="1:24">
      <c r="A9" s="377" t="s">
        <v>1015</v>
      </c>
      <c r="B9" s="376" t="s">
        <v>1012</v>
      </c>
      <c r="C9" s="377">
        <v>175</v>
      </c>
      <c r="D9" s="8">
        <v>132</v>
      </c>
      <c r="E9" s="8">
        <v>120</v>
      </c>
      <c r="F9" s="8">
        <v>187</v>
      </c>
      <c r="G9" s="9">
        <v>184</v>
      </c>
      <c r="H9" s="8"/>
      <c r="I9" s="377">
        <f t="shared" si="0"/>
        <v>5</v>
      </c>
      <c r="J9" s="8">
        <f t="shared" si="1"/>
        <v>798</v>
      </c>
      <c r="K9" s="8">
        <f t="shared" si="2"/>
        <v>159.6</v>
      </c>
      <c r="L9" s="8">
        <f t="shared" si="3"/>
        <v>978.29999999999927</v>
      </c>
      <c r="M9" s="9">
        <f t="shared" si="4"/>
        <v>3913.2</v>
      </c>
      <c r="O9" s="28"/>
      <c r="P9" s="28"/>
      <c r="Q9" s="28"/>
      <c r="R9" s="28"/>
      <c r="S9" s="28"/>
      <c r="T9" s="28"/>
      <c r="W9" s="28" t="s">
        <v>12</v>
      </c>
      <c r="X9" s="23" t="s">
        <v>1037</v>
      </c>
    </row>
    <row r="10" spans="1:24" ht="15" thickBot="1">
      <c r="A10" s="377" t="s">
        <v>1015</v>
      </c>
      <c r="B10" s="376" t="s">
        <v>1013</v>
      </c>
      <c r="C10" s="377">
        <v>140</v>
      </c>
      <c r="D10" s="8">
        <v>145</v>
      </c>
      <c r="E10" s="8">
        <v>159</v>
      </c>
      <c r="F10" s="8">
        <v>131</v>
      </c>
      <c r="G10" s="9">
        <v>126</v>
      </c>
      <c r="H10" s="8"/>
      <c r="I10" s="377">
        <f t="shared" si="0"/>
        <v>5</v>
      </c>
      <c r="J10" s="8">
        <f t="shared" si="1"/>
        <v>701</v>
      </c>
      <c r="K10" s="8">
        <f t="shared" si="2"/>
        <v>140.19999999999999</v>
      </c>
      <c r="L10" s="8">
        <f t="shared" si="3"/>
        <v>165.7</v>
      </c>
      <c r="M10" s="9">
        <f t="shared" si="4"/>
        <v>662.8</v>
      </c>
      <c r="O10" s="31" t="s">
        <v>12</v>
      </c>
      <c r="P10" s="31">
        <f>DEVSQ(C4:G15)</f>
        <v>39640.85</v>
      </c>
      <c r="Q10" s="31">
        <f>COUNT(C4:G15)-1</f>
        <v>59</v>
      </c>
      <c r="R10" s="31"/>
      <c r="S10" s="31"/>
      <c r="T10" s="31"/>
      <c r="U10" s="31"/>
    </row>
    <row r="11" spans="1:24">
      <c r="A11" s="377" t="s">
        <v>1015</v>
      </c>
      <c r="B11" s="384" t="s">
        <v>1017</v>
      </c>
      <c r="C11" s="377">
        <v>167</v>
      </c>
      <c r="D11" s="8">
        <v>183</v>
      </c>
      <c r="E11" s="8">
        <v>142</v>
      </c>
      <c r="F11" s="8">
        <v>167</v>
      </c>
      <c r="G11" s="9">
        <v>168</v>
      </c>
      <c r="H11" s="8"/>
      <c r="I11" s="377">
        <f t="shared" si="0"/>
        <v>5</v>
      </c>
      <c r="J11" s="8">
        <f t="shared" si="1"/>
        <v>827</v>
      </c>
      <c r="K11" s="8">
        <f t="shared" si="2"/>
        <v>165.4</v>
      </c>
      <c r="L11" s="8">
        <f t="shared" si="3"/>
        <v>217.3</v>
      </c>
      <c r="M11" s="9">
        <f t="shared" si="4"/>
        <v>869.2</v>
      </c>
    </row>
    <row r="12" spans="1:24">
      <c r="A12" s="377" t="s">
        <v>1016</v>
      </c>
      <c r="B12" s="376" t="s">
        <v>1011</v>
      </c>
      <c r="C12" s="377">
        <v>156</v>
      </c>
      <c r="D12" s="8">
        <v>180</v>
      </c>
      <c r="E12" s="8">
        <v>147</v>
      </c>
      <c r="F12" s="8">
        <v>146</v>
      </c>
      <c r="G12" s="9">
        <v>193</v>
      </c>
      <c r="H12" s="8"/>
      <c r="I12" s="377">
        <f t="shared" si="0"/>
        <v>5</v>
      </c>
      <c r="J12" s="8">
        <f t="shared" si="1"/>
        <v>822</v>
      </c>
      <c r="K12" s="8">
        <f t="shared" si="2"/>
        <v>164.4</v>
      </c>
      <c r="L12" s="8">
        <f t="shared" si="3"/>
        <v>443.30000000000291</v>
      </c>
      <c r="M12" s="9">
        <f t="shared" si="4"/>
        <v>1773.1999999999998</v>
      </c>
    </row>
    <row r="13" spans="1:24">
      <c r="A13" s="377" t="s">
        <v>1016</v>
      </c>
      <c r="B13" s="376" t="s">
        <v>1012</v>
      </c>
      <c r="C13" s="377">
        <v>186</v>
      </c>
      <c r="D13" s="8">
        <v>138</v>
      </c>
      <c r="E13" s="8">
        <v>178</v>
      </c>
      <c r="F13" s="8">
        <v>176</v>
      </c>
      <c r="G13" s="9">
        <v>190</v>
      </c>
      <c r="H13" s="8"/>
      <c r="I13" s="377">
        <f t="shared" si="0"/>
        <v>5</v>
      </c>
      <c r="J13" s="8">
        <f t="shared" si="1"/>
        <v>868</v>
      </c>
      <c r="K13" s="8">
        <f t="shared" si="2"/>
        <v>173.6</v>
      </c>
      <c r="L13" s="8">
        <f t="shared" si="3"/>
        <v>428.80000000000291</v>
      </c>
      <c r="M13" s="9">
        <f t="shared" si="4"/>
        <v>1715.2000000000003</v>
      </c>
    </row>
    <row r="14" spans="1:24">
      <c r="A14" s="377" t="s">
        <v>1016</v>
      </c>
      <c r="B14" s="376" t="s">
        <v>1013</v>
      </c>
      <c r="C14" s="377">
        <v>185</v>
      </c>
      <c r="D14" s="8">
        <v>206</v>
      </c>
      <c r="E14" s="8">
        <v>188</v>
      </c>
      <c r="F14" s="8">
        <v>165</v>
      </c>
      <c r="G14" s="9">
        <v>188</v>
      </c>
      <c r="H14" s="8"/>
      <c r="I14" s="377">
        <f t="shared" si="0"/>
        <v>5</v>
      </c>
      <c r="J14" s="8">
        <f t="shared" si="1"/>
        <v>932</v>
      </c>
      <c r="K14" s="8">
        <f t="shared" si="2"/>
        <v>186.4</v>
      </c>
      <c r="L14" s="8">
        <f t="shared" si="3"/>
        <v>212.3</v>
      </c>
      <c r="M14" s="9">
        <f t="shared" si="4"/>
        <v>849.2</v>
      </c>
    </row>
    <row r="15" spans="1:24">
      <c r="A15" s="10" t="s">
        <v>1016</v>
      </c>
      <c r="B15" s="188" t="s">
        <v>1017</v>
      </c>
      <c r="C15" s="10">
        <v>175</v>
      </c>
      <c r="D15" s="11">
        <v>173</v>
      </c>
      <c r="E15" s="11">
        <v>154</v>
      </c>
      <c r="F15" s="11">
        <v>191</v>
      </c>
      <c r="G15" s="12">
        <v>169</v>
      </c>
      <c r="H15" s="8"/>
      <c r="I15" s="10">
        <f t="shared" si="0"/>
        <v>5</v>
      </c>
      <c r="J15" s="11">
        <f t="shared" si="1"/>
        <v>862</v>
      </c>
      <c r="K15" s="11">
        <f t="shared" si="2"/>
        <v>172.4</v>
      </c>
      <c r="L15" s="11">
        <f t="shared" si="3"/>
        <v>175.8</v>
      </c>
      <c r="M15" s="12">
        <f t="shared" si="4"/>
        <v>703.2</v>
      </c>
    </row>
    <row r="17" spans="8:12">
      <c r="H17" t="s">
        <v>1014</v>
      </c>
      <c r="I17" s="370">
        <f>SUMIF($A$4:$A$15,H17,$I$4:$I$15)</f>
        <v>20</v>
      </c>
      <c r="J17" s="371">
        <f>SUMIF($A$4:$A$15,H17,$J$4:$J$15)</f>
        <v>2921</v>
      </c>
      <c r="K17" s="372">
        <f>J17/I17</f>
        <v>146.05000000000001</v>
      </c>
    </row>
    <row r="18" spans="8:12">
      <c r="H18" t="s">
        <v>1015</v>
      </c>
      <c r="I18" s="377">
        <f>SUMIF($A$4:$A$15,H18,$I$4:$I$15)</f>
        <v>20</v>
      </c>
      <c r="J18" s="8">
        <f>SUMIF($A$4:$A$15,H18,$J$4:$J$15)</f>
        <v>3042</v>
      </c>
      <c r="K18" s="9">
        <f>J18/I18</f>
        <v>152.1</v>
      </c>
    </row>
    <row r="19" spans="8:12">
      <c r="H19" t="s">
        <v>1016</v>
      </c>
      <c r="I19" s="10">
        <f>SUMIF($A$4:$A$15,H19,$I$4:$I$15)</f>
        <v>20</v>
      </c>
      <c r="J19" s="11">
        <f>SUMIF($A$4:$A$15,H19,$J$4:$J$15)</f>
        <v>3484</v>
      </c>
      <c r="K19" s="12">
        <f>J19/I19</f>
        <v>174.2</v>
      </c>
    </row>
    <row r="21" spans="8:12">
      <c r="H21" s="9" t="s">
        <v>1011</v>
      </c>
      <c r="I21" s="370">
        <f>SUMIF($B$4:$B$15,H21,$I$4:$I$15)</f>
        <v>15</v>
      </c>
      <c r="J21" s="371">
        <f>SUMIF($B$4:$B$15,H21,$J$4:$J$15)</f>
        <v>2197</v>
      </c>
      <c r="K21" s="372">
        <f>J21/I21</f>
        <v>146.46666666666667</v>
      </c>
    </row>
    <row r="22" spans="8:12">
      <c r="H22" s="9" t="s">
        <v>1012</v>
      </c>
      <c r="I22" s="377">
        <f>SUMIF($B$4:$B$15,H22,$I$4:$I$15)</f>
        <v>15</v>
      </c>
      <c r="J22" s="8">
        <f>SUMIF($B$4:$B$15,H22,$J$4:$J$15)</f>
        <v>2343</v>
      </c>
      <c r="K22" s="9">
        <f>J22/I22</f>
        <v>156.19999999999999</v>
      </c>
    </row>
    <row r="23" spans="8:12">
      <c r="H23" s="9" t="s">
        <v>1013</v>
      </c>
      <c r="I23" s="377">
        <f>SUMIF($B$4:$B$15,H23,$I$4:$I$15)</f>
        <v>15</v>
      </c>
      <c r="J23" s="8">
        <f>SUMIF($B$4:$B$15,H23,$J$4:$J$15)</f>
        <v>2512</v>
      </c>
      <c r="K23" s="9">
        <f>J23/I23</f>
        <v>167.46666666666667</v>
      </c>
    </row>
    <row r="24" spans="8:12">
      <c r="H24" s="367" t="s">
        <v>1017</v>
      </c>
      <c r="I24" s="10">
        <f>SUMIF($B$4:$B$15,H24,$I$4:$I$15)</f>
        <v>15</v>
      </c>
      <c r="J24" s="11">
        <f>SUMIF($B$4:$B$15,H24,$J$4:$J$15)</f>
        <v>2395</v>
      </c>
      <c r="K24" s="12">
        <f>J24/I24</f>
        <v>159.66666666666666</v>
      </c>
    </row>
    <row r="26" spans="8:12">
      <c r="H26" s="348" t="s">
        <v>1031</v>
      </c>
      <c r="I26" s="290" t="s">
        <v>1011</v>
      </c>
      <c r="J26" s="290" t="s">
        <v>1012</v>
      </c>
      <c r="K26" s="290" t="s">
        <v>1013</v>
      </c>
      <c r="L26" s="290" t="s">
        <v>1017</v>
      </c>
    </row>
    <row r="27" spans="8:12">
      <c r="H27" t="s">
        <v>1014</v>
      </c>
      <c r="I27" s="370">
        <f>AVERAGEIFS($K$4:$K$15,$A$4:$A$15,$H27,$B$4:$B$15,I$26)</f>
        <v>131.80000000000001</v>
      </c>
      <c r="J27" s="371">
        <f t="shared" ref="J27:L29" si="5">AVERAGEIFS($K$4:$K$15,$A$4:$A$15,$H27,$B$4:$B$15,J$26)</f>
        <v>135.4</v>
      </c>
      <c r="K27" s="371">
        <f t="shared" si="5"/>
        <v>175.8</v>
      </c>
      <c r="L27" s="372">
        <f t="shared" si="5"/>
        <v>141.19999999999999</v>
      </c>
    </row>
    <row r="28" spans="8:12">
      <c r="H28" t="s">
        <v>1015</v>
      </c>
      <c r="I28" s="377">
        <f>AVERAGEIFS($K$4:$K$15,$A$4:$A$15,$H28,$B$4:$B$15,I$26)</f>
        <v>143.19999999999999</v>
      </c>
      <c r="J28" s="8">
        <f t="shared" si="5"/>
        <v>159.6</v>
      </c>
      <c r="K28" s="8">
        <f t="shared" si="5"/>
        <v>140.19999999999999</v>
      </c>
      <c r="L28" s="9">
        <f t="shared" si="5"/>
        <v>165.4</v>
      </c>
    </row>
    <row r="29" spans="8:12">
      <c r="H29" t="s">
        <v>1016</v>
      </c>
      <c r="I29" s="10">
        <f>AVERAGEIFS($K$4:$K$15,$A$4:$A$15,$H29,$B$4:$B$15,I$26)</f>
        <v>164.4</v>
      </c>
      <c r="J29" s="11">
        <f t="shared" si="5"/>
        <v>173.6</v>
      </c>
      <c r="K29" s="11">
        <f t="shared" si="5"/>
        <v>186.4</v>
      </c>
      <c r="L29" s="12">
        <f t="shared" si="5"/>
        <v>172.4</v>
      </c>
    </row>
  </sheetData>
  <mergeCells count="1">
    <mergeCell ref="C3:G3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sheetPr codeName="Sheet255"/>
  <dimension ref="A1:V27"/>
  <sheetViews>
    <sheetView zoomScaleNormal="100" workbookViewId="0">
      <selection activeCell="A3" sqref="A3:C27"/>
    </sheetView>
  </sheetViews>
  <sheetFormatPr defaultRowHeight="14.4"/>
  <cols>
    <col min="3" max="3" width="6.6640625" customWidth="1"/>
    <col min="4" max="4" width="4.88671875" customWidth="1"/>
    <col min="10" max="10" width="4.5546875" customWidth="1"/>
    <col min="13" max="13" width="6.6640625" customWidth="1"/>
    <col min="17" max="17" width="7.109375" customWidth="1"/>
    <col min="18" max="18" width="5" customWidth="1"/>
    <col min="19" max="22" width="7.88671875" customWidth="1"/>
  </cols>
  <sheetData>
    <row r="1" spans="1:22">
      <c r="A1" s="1" t="s">
        <v>2828</v>
      </c>
      <c r="E1" t="s">
        <v>95</v>
      </c>
      <c r="K1" t="s">
        <v>2827</v>
      </c>
      <c r="S1" t="s">
        <v>2830</v>
      </c>
    </row>
    <row r="2" spans="1:22">
      <c r="A2" s="1"/>
    </row>
    <row r="3" spans="1:22" ht="15" thickBot="1">
      <c r="A3" t="s">
        <v>2829</v>
      </c>
      <c r="B3" t="s">
        <v>1022</v>
      </c>
      <c r="C3" s="19" t="s">
        <v>1028</v>
      </c>
      <c r="E3" t="s">
        <v>2821</v>
      </c>
      <c r="F3" t="str">
        <f ca="1">IF(COUNTIF(F5:H6,F5)=COUNT(F5:H6),"balanced","unbalanced")</f>
        <v>balanced</v>
      </c>
      <c r="K3" t="s">
        <v>695</v>
      </c>
      <c r="O3" s="1087" t="s">
        <v>116</v>
      </c>
      <c r="P3" s="1087">
        <v>0.05</v>
      </c>
      <c r="S3" s="1091" t="e">
        <f t="array" aca="1" ref="S3:V11" ca="1">[1]!StdAnova2(A4:C27)</f>
        <v>#NAME?</v>
      </c>
      <c r="T3" s="1091" t="e">
        <f ca="1"/>
        <v>#NAME?</v>
      </c>
      <c r="U3" s="1091" t="e">
        <f ca="1"/>
        <v>#NAME?</v>
      </c>
      <c r="V3" s="1091" t="e">
        <f ca="1"/>
        <v>#NAME?</v>
      </c>
    </row>
    <row r="4" spans="1:22" ht="15" thickTop="1">
      <c r="A4" s="1088" t="s">
        <v>1014</v>
      </c>
      <c r="B4" s="1089" t="s">
        <v>1011</v>
      </c>
      <c r="C4" s="1090">
        <v>123</v>
      </c>
      <c r="F4" t="e">
        <f t="array" aca="1" ref="F4:H4" ca="1">TRANSPOSE([1]!SortUnique(B4:B27))</f>
        <v>#NAME?</v>
      </c>
      <c r="G4" t="e">
        <f ca="1"/>
        <v>#NAME?</v>
      </c>
      <c r="H4" t="e">
        <f ca="1"/>
        <v>#NAME?</v>
      </c>
      <c r="K4" s="1070"/>
      <c r="L4" s="1070" t="s">
        <v>578</v>
      </c>
      <c r="M4" s="1070" t="s">
        <v>186</v>
      </c>
      <c r="N4" s="1070" t="s">
        <v>641</v>
      </c>
      <c r="O4" s="1070" t="s">
        <v>388</v>
      </c>
      <c r="P4" s="1070" t="s">
        <v>200</v>
      </c>
      <c r="Q4" s="1070" t="s">
        <v>948</v>
      </c>
      <c r="S4" s="1091" t="e">
        <f ca="1"/>
        <v>#NAME?</v>
      </c>
      <c r="T4" s="1091" t="e">
        <f ca="1"/>
        <v>#NAME?</v>
      </c>
      <c r="U4" s="1091" t="e">
        <f ca="1"/>
        <v>#NAME?</v>
      </c>
      <c r="V4" s="1091" t="e">
        <f ca="1"/>
        <v>#NAME?</v>
      </c>
    </row>
    <row r="5" spans="1:22">
      <c r="A5" s="625" t="s">
        <v>1014</v>
      </c>
      <c r="B5" s="8" t="s">
        <v>1011</v>
      </c>
      <c r="C5" s="132">
        <v>156</v>
      </c>
      <c r="E5" t="e">
        <f t="array" aca="1" ref="E5:E6" ca="1">[1]!SortUnique(A4:A27)</f>
        <v>#NAME?</v>
      </c>
      <c r="F5" s="1088">
        <f t="array" ref="F5" ca="1">COUNTIFS($A$4:$A$27,$E5,$B$4:$B$27,F$4)</f>
        <v>0</v>
      </c>
      <c r="G5" s="1089">
        <f t="array" ref="G5" ca="1">COUNTIFS($A$4:$A$27,$E5,$B$4:$B$27,G$4)</f>
        <v>0</v>
      </c>
      <c r="H5" s="1090">
        <f t="array" ref="H5" ca="1">COUNTIFS($A$4:$A$27,$E5,$B$4:$B$27,H$4)</f>
        <v>0</v>
      </c>
      <c r="I5">
        <f t="array" ref="I5" ca="1">SUM(F5:H5)</f>
        <v>0</v>
      </c>
      <c r="K5" t="s">
        <v>390</v>
      </c>
      <c r="L5" t="e">
        <f ca="1">DEVSQ(I11:I12)*I5</f>
        <v>#DIV/0!</v>
      </c>
      <c r="M5">
        <f ca="1">COUNT(I11:I12)-1</f>
        <v>-1</v>
      </c>
      <c r="N5" t="e">
        <f ca="1">L5/M5</f>
        <v>#DIV/0!</v>
      </c>
      <c r="O5" t="e">
        <f ca="1">N5/N8</f>
        <v>#DIV/0!</v>
      </c>
      <c r="P5" t="e">
        <f ca="1">FDIST(O5,M5,M8)</f>
        <v>#DIV/0!</v>
      </c>
      <c r="Q5" s="1087" t="e">
        <f ca="1">IF(P5&lt;P3,"yes","no")</f>
        <v>#DIV/0!</v>
      </c>
      <c r="S5" s="946" t="e">
        <f ca="1"/>
        <v>#NAME?</v>
      </c>
      <c r="T5" s="946" t="e">
        <f ca="1"/>
        <v>#NAME?</v>
      </c>
      <c r="U5" s="946" t="e">
        <f ca="1"/>
        <v>#NAME?</v>
      </c>
      <c r="V5" s="946" t="e">
        <f ca="1"/>
        <v>#NAME?</v>
      </c>
    </row>
    <row r="6" spans="1:22">
      <c r="A6" s="625" t="s">
        <v>1014</v>
      </c>
      <c r="B6" s="8" t="s">
        <v>1011</v>
      </c>
      <c r="C6" s="132">
        <v>112</v>
      </c>
      <c r="E6" t="e">
        <f ca="1"/>
        <v>#NAME?</v>
      </c>
      <c r="F6" s="1075">
        <f t="array" ref="F6" ca="1">COUNTIFS($A$4:$A$27,$E6,$B$4:$B$27,F$4)</f>
        <v>0</v>
      </c>
      <c r="G6" s="1076">
        <f t="array" ref="G6" ca="1">COUNTIFS($A$4:$A$27,$E6,$B$4:$B$27,G$4)</f>
        <v>0</v>
      </c>
      <c r="H6" s="1077">
        <f t="array" ref="H6" ca="1">COUNTIFS($A$4:$A$27,$E6,$B$4:$B$27,H$4)</f>
        <v>0</v>
      </c>
      <c r="I6">
        <f t="array" ref="I6" ca="1">SUM(F6:H6)</f>
        <v>0</v>
      </c>
      <c r="K6" t="s">
        <v>1010</v>
      </c>
      <c r="L6" t="e">
        <f ca="1">DEVSQ(F13:H13)*F7</f>
        <v>#DIV/0!</v>
      </c>
      <c r="M6">
        <f ca="1">COUNT(F13:H13)-1</f>
        <v>-1</v>
      </c>
      <c r="N6" t="e">
        <f ca="1">L6/M6</f>
        <v>#DIV/0!</v>
      </c>
      <c r="O6" t="e">
        <f ca="1">N6/N8</f>
        <v>#DIV/0!</v>
      </c>
      <c r="P6" t="e">
        <f ca="1">FDIST(O6,M6,M8)</f>
        <v>#DIV/0!</v>
      </c>
      <c r="Q6" s="1087" t="e">
        <f ca="1">IF(P6&lt;P3,"yes","no")</f>
        <v>#DIV/0!</v>
      </c>
      <c r="S6" s="946" t="e">
        <f ca="1"/>
        <v>#NAME?</v>
      </c>
      <c r="T6" s="946" t="e">
        <f ca="1"/>
        <v>#NAME?</v>
      </c>
      <c r="U6" s="946" t="e">
        <f ca="1"/>
        <v>#NAME?</v>
      </c>
      <c r="V6" s="946" t="e">
        <f ca="1"/>
        <v>#NAME?</v>
      </c>
    </row>
    <row r="7" spans="1:22">
      <c r="A7" s="625" t="s">
        <v>1014</v>
      </c>
      <c r="B7" s="8" t="s">
        <v>1011</v>
      </c>
      <c r="C7" s="132">
        <v>100</v>
      </c>
      <c r="F7">
        <f t="array" ref="F7" ca="1">SUM(F5:F6)</f>
        <v>0</v>
      </c>
      <c r="G7">
        <f t="array" ref="G7" ca="1">SUM(G5:G6)</f>
        <v>0</v>
      </c>
      <c r="H7">
        <f t="array" ref="H7" ca="1">SUM(H5:H6)</f>
        <v>0</v>
      </c>
      <c r="I7">
        <f t="array" ref="I7" ca="1">SUM(I5:I6)</f>
        <v>0</v>
      </c>
      <c r="K7" t="s">
        <v>2089</v>
      </c>
      <c r="L7" t="e">
        <f ca="1">L9-L5-L6-L8</f>
        <v>#DIV/0!</v>
      </c>
      <c r="M7">
        <f ca="1">M6*M5</f>
        <v>1</v>
      </c>
      <c r="N7" t="e">
        <f ca="1">L7/M7</f>
        <v>#DIV/0!</v>
      </c>
      <c r="O7" t="e">
        <f ca="1">N7/N8</f>
        <v>#DIV/0!</v>
      </c>
      <c r="P7" t="e">
        <f ca="1">FDIST(O7,M7,M8)</f>
        <v>#DIV/0!</v>
      </c>
      <c r="Q7" s="1087" t="e">
        <f ca="1">IF(P7&lt;P3,"yes","no")</f>
        <v>#DIV/0!</v>
      </c>
      <c r="S7" s="1073" t="e">
        <f ca="1"/>
        <v>#NAME?</v>
      </c>
      <c r="T7" s="1073" t="e">
        <f ca="1"/>
        <v>#NAME?</v>
      </c>
      <c r="U7" s="1073" t="e">
        <f ca="1"/>
        <v>#NAME?</v>
      </c>
      <c r="V7" s="1073" t="e">
        <f ca="1"/>
        <v>#NAME?</v>
      </c>
    </row>
    <row r="8" spans="1:22">
      <c r="A8" s="625" t="s">
        <v>1014</v>
      </c>
      <c r="B8" s="8" t="s">
        <v>1012</v>
      </c>
      <c r="C8" s="132">
        <v>128</v>
      </c>
      <c r="K8" t="s">
        <v>1021</v>
      </c>
      <c r="L8" t="e">
        <f ca="1">SUM(F17:H18)*(F5-1)</f>
        <v>#NAME?</v>
      </c>
      <c r="M8">
        <f ca="1">M9-M5-M6-M7</f>
        <v>0</v>
      </c>
      <c r="N8" t="e">
        <f ca="1">L8/M8</f>
        <v>#NAME?</v>
      </c>
      <c r="S8" s="1091" t="e">
        <f ca="1"/>
        <v>#NAME?</v>
      </c>
      <c r="T8" s="1091" t="e">
        <f ca="1"/>
        <v>#NAME?</v>
      </c>
      <c r="U8" s="1091" t="e">
        <f ca="1"/>
        <v>#NAME?</v>
      </c>
      <c r="V8" s="1091" t="e">
        <f ca="1"/>
        <v>#NAME?</v>
      </c>
    </row>
    <row r="9" spans="1:22">
      <c r="A9" s="625" t="s">
        <v>1014</v>
      </c>
      <c r="B9" s="8" t="s">
        <v>1012</v>
      </c>
      <c r="C9" s="132">
        <v>150</v>
      </c>
      <c r="E9" t="s">
        <v>1031</v>
      </c>
      <c r="K9" s="1078" t="s">
        <v>12</v>
      </c>
      <c r="L9" s="1078">
        <f ca="1">N9*M9</f>
        <v>-645.73731884057884</v>
      </c>
      <c r="M9" s="1078">
        <f ca="1">I7-1</f>
        <v>-1</v>
      </c>
      <c r="N9" s="1078">
        <f>I19</f>
        <v>645.73731884057884</v>
      </c>
      <c r="O9" s="1078"/>
      <c r="P9" s="1078"/>
      <c r="Q9" s="1078"/>
      <c r="S9" s="946" t="e">
        <f ca="1"/>
        <v>#NAME?</v>
      </c>
      <c r="T9" s="946" t="e">
        <f ca="1"/>
        <v>#NAME?</v>
      </c>
      <c r="U9" s="946" t="e">
        <f ca="1"/>
        <v>#NAME?</v>
      </c>
      <c r="V9" s="946" t="e">
        <f ca="1"/>
        <v>#NAME?</v>
      </c>
    </row>
    <row r="10" spans="1:22">
      <c r="A10" s="625" t="s">
        <v>1014</v>
      </c>
      <c r="B10" s="8" t="s">
        <v>1012</v>
      </c>
      <c r="C10" s="132">
        <v>174</v>
      </c>
      <c r="F10" t="e">
        <f t="array" aca="1" ref="F10:H10" ca="1">TRANSPOSE([1]!SortUnique(B4:B27))</f>
        <v>#NAME?</v>
      </c>
      <c r="G10" t="e">
        <f ca="1"/>
        <v>#NAME?</v>
      </c>
      <c r="H10" t="e">
        <f ca="1"/>
        <v>#NAME?</v>
      </c>
      <c r="S10" s="946" t="e">
        <f ca="1"/>
        <v>#NAME?</v>
      </c>
      <c r="T10" s="946" t="e">
        <f ca="1"/>
        <v>#NAME?</v>
      </c>
      <c r="U10" s="946" t="e">
        <f ca="1"/>
        <v>#NAME?</v>
      </c>
      <c r="V10" s="946" t="e">
        <f ca="1"/>
        <v>#NAME?</v>
      </c>
    </row>
    <row r="11" spans="1:22">
      <c r="A11" s="625" t="s">
        <v>1014</v>
      </c>
      <c r="B11" s="8" t="s">
        <v>1012</v>
      </c>
      <c r="C11" s="132">
        <v>116</v>
      </c>
      <c r="E11" t="e">
        <f t="array" aca="1" ref="E11:E12" ca="1">[1]!SortUnique(A4:A27)</f>
        <v>#NAME?</v>
      </c>
      <c r="F11" s="1088" t="e">
        <f t="array" ref="F11" ca="1">AVERAGEIFS($C$4:$C$27,$A$4:$A$27,$E11,$B$4:$B$27,F$10)</f>
        <v>#DIV/0!</v>
      </c>
      <c r="G11" s="1089" t="e">
        <f t="array" ref="G11" ca="1">AVERAGEIFS($C$4:$C$27,$A$4:$A$27,$E11,$B$4:$B$27,G$10)</f>
        <v>#DIV/0!</v>
      </c>
      <c r="H11" s="1090" t="e">
        <f t="array" ref="H11" ca="1">AVERAGEIFS($C$4:$C$27,$A$4:$A$27,$E11,$B$4:$B$27,H$10)</f>
        <v>#DIV/0!</v>
      </c>
      <c r="I11" t="e">
        <f t="array" ref="I11" ca="1">AVERAGE(F11:H11)</f>
        <v>#DIV/0!</v>
      </c>
      <c r="S11" s="1073" t="e">
        <f ca="1"/>
        <v>#NAME?</v>
      </c>
      <c r="T11" s="1073" t="e">
        <f ca="1"/>
        <v>#NAME?</v>
      </c>
      <c r="U11" s="1073" t="e">
        <f ca="1"/>
        <v>#NAME?</v>
      </c>
      <c r="V11" s="1073" t="e">
        <f ca="1"/>
        <v>#NAME?</v>
      </c>
    </row>
    <row r="12" spans="1:22">
      <c r="A12" s="625" t="s">
        <v>1014</v>
      </c>
      <c r="B12" s="8" t="s">
        <v>1013</v>
      </c>
      <c r="C12" s="132">
        <v>166</v>
      </c>
      <c r="E12" t="e">
        <f ca="1"/>
        <v>#NAME?</v>
      </c>
      <c r="F12" s="1075" t="e">
        <f t="array" ref="F12" ca="1">AVERAGEIFS($C$4:$C$27,$A$4:$A$27,$E12,$B$4:$B$27,F$10)</f>
        <v>#DIV/0!</v>
      </c>
      <c r="G12" s="1076" t="e">
        <f t="array" ref="G12" ca="1">AVERAGEIFS($C$4:$C$27,$A$4:$A$27,$E12,$B$4:$B$27,G$10)</f>
        <v>#DIV/0!</v>
      </c>
      <c r="H12" s="1077" t="e">
        <f t="array" ref="H12" ca="1">AVERAGEIFS($C$4:$C$27,$A$4:$A$27,$E12,$B$4:$B$27,H$10)</f>
        <v>#DIV/0!</v>
      </c>
      <c r="I12" t="e">
        <f t="array" ref="I12" ca="1">AVERAGE(F12:H12)</f>
        <v>#DIV/0!</v>
      </c>
    </row>
    <row r="13" spans="1:22">
      <c r="A13" s="625" t="s">
        <v>1014</v>
      </c>
      <c r="B13" s="8" t="s">
        <v>1013</v>
      </c>
      <c r="C13" s="132">
        <v>178</v>
      </c>
      <c r="F13" t="e">
        <f t="array" ref="F13" ca="1">AVERAGE(F11:F12)</f>
        <v>#DIV/0!</v>
      </c>
      <c r="G13" t="e">
        <f t="array" ref="G13" ca="1">AVERAGE(G11:G12)</f>
        <v>#DIV/0!</v>
      </c>
      <c r="H13" t="e">
        <f t="array" ref="H13" ca="1">AVERAGE(H11:H12)</f>
        <v>#DIV/0!</v>
      </c>
      <c r="I13" t="e">
        <f t="array" ref="I13" ca="1">AVERAGE(I11:I12)</f>
        <v>#DIV/0!</v>
      </c>
    </row>
    <row r="14" spans="1:22">
      <c r="A14" s="625" t="s">
        <v>1014</v>
      </c>
      <c r="B14" s="8" t="s">
        <v>1013</v>
      </c>
      <c r="C14" s="132">
        <v>187</v>
      </c>
    </row>
    <row r="15" spans="1:22">
      <c r="A15" s="625" t="s">
        <v>1014</v>
      </c>
      <c r="B15" s="8" t="s">
        <v>1013</v>
      </c>
      <c r="C15" s="132">
        <v>153</v>
      </c>
      <c r="E15" t="s">
        <v>2822</v>
      </c>
    </row>
    <row r="16" spans="1:22">
      <c r="A16" s="625" t="s">
        <v>1015</v>
      </c>
      <c r="B16" s="8" t="s">
        <v>1011</v>
      </c>
      <c r="C16" s="132">
        <v>135</v>
      </c>
      <c r="F16" t="e">
        <f t="array" aca="1" ref="F16:H16" ca="1">TRANSPOSE([1]!SortUnique(B4:B27))</f>
        <v>#NAME?</v>
      </c>
      <c r="G16" t="e">
        <f ca="1"/>
        <v>#NAME?</v>
      </c>
      <c r="H16" t="e">
        <f ca="1"/>
        <v>#NAME?</v>
      </c>
    </row>
    <row r="17" spans="1:9">
      <c r="A17" s="625" t="s">
        <v>1015</v>
      </c>
      <c r="B17" s="8" t="s">
        <v>1011</v>
      </c>
      <c r="C17" s="132">
        <v>130</v>
      </c>
      <c r="E17" t="e">
        <f t="array" aca="1" ref="E17:E18" ca="1">[1]!SortUnique(A4:A27)</f>
        <v>#NAME?</v>
      </c>
      <c r="F17" s="1088" t="e">
        <f t="array" aca="1" ref="F17" ca="1">VAR(IF(($A$4:$A$27=$E17)*($B$4:$B$27=F$16),$C$4:$C$27))</f>
        <v>#NAME?</v>
      </c>
      <c r="G17" s="1089" t="e">
        <f t="array" aca="1" ref="G17" ca="1">VAR(IF(($A$4:$A$27=$E17)*($B$4:$B$27=G$16),$C$4:$C$27))</f>
        <v>#NAME?</v>
      </c>
      <c r="H17" s="1090" t="e">
        <f t="array" aca="1" ref="H17" ca="1">VAR(IF(($A$4:$A$27=$E17)*($B$4:$B$27=H$16),$C$4:$C$27))</f>
        <v>#NAME?</v>
      </c>
      <c r="I17" t="e">
        <f t="array" aca="1" ref="I17" ca="1">VAR(IF($A$4:$A$27=$E17,$C$4:$C$27))</f>
        <v>#NAME?</v>
      </c>
    </row>
    <row r="18" spans="1:9">
      <c r="A18" s="625" t="s">
        <v>1015</v>
      </c>
      <c r="B18" s="8" t="s">
        <v>1011</v>
      </c>
      <c r="C18" s="132">
        <v>176</v>
      </c>
      <c r="E18" t="e">
        <f ca="1"/>
        <v>#NAME?</v>
      </c>
      <c r="F18" s="1075" t="e">
        <f t="array" aca="1" ref="F18" ca="1">VAR(IF(($A$4:$A$27=$E18)*($B$4:$B$27=F$16),$C$4:$C$27))</f>
        <v>#NAME?</v>
      </c>
      <c r="G18" s="1076" t="e">
        <f t="array" aca="1" ref="G18" ca="1">VAR(IF(($A$4:$A$27=$E18)*($B$4:$B$27=G$16),$C$4:$C$27))</f>
        <v>#NAME?</v>
      </c>
      <c r="H18" s="1077" t="e">
        <f t="array" aca="1" ref="H18" ca="1">VAR(IF(($A$4:$A$27=$E18)*($B$4:$B$27=H$16),$C$4:$C$27))</f>
        <v>#NAME?</v>
      </c>
      <c r="I18" t="e">
        <f t="array" aca="1" ref="I18" ca="1">VAR(IF($A$4:$A$27=$E18,$C$4:$C$27))</f>
        <v>#NAME?</v>
      </c>
    </row>
    <row r="19" spans="1:9">
      <c r="A19" s="625" t="s">
        <v>1015</v>
      </c>
      <c r="B19" s="8" t="s">
        <v>1011</v>
      </c>
      <c r="C19" s="132">
        <v>120</v>
      </c>
      <c r="F19" t="e">
        <f t="array" aca="1" ref="F19" ca="1">VAR(IF($B$4:$B$27=F$16,$C$4:$C$27))</f>
        <v>#NAME?</v>
      </c>
      <c r="G19" t="e">
        <f t="array" aca="1" ref="G19" ca="1">VAR(IF($B$4:$B$27=G$16,$C$4:$C$27))</f>
        <v>#NAME?</v>
      </c>
      <c r="H19" t="e">
        <f t="array" aca="1" ref="H19" ca="1">VAR(IF($B$4:$B$27=H$16,$C$4:$C$27))</f>
        <v>#NAME?</v>
      </c>
      <c r="I19">
        <f>VAR(C4:C27)</f>
        <v>645.73731884057884</v>
      </c>
    </row>
    <row r="20" spans="1:9">
      <c r="A20" s="625" t="s">
        <v>1015</v>
      </c>
      <c r="B20" s="8" t="s">
        <v>1012</v>
      </c>
      <c r="C20" s="132">
        <v>175</v>
      </c>
    </row>
    <row r="21" spans="1:9">
      <c r="A21" s="625" t="s">
        <v>1015</v>
      </c>
      <c r="B21" s="8" t="s">
        <v>1012</v>
      </c>
      <c r="C21" s="132">
        <v>132</v>
      </c>
    </row>
    <row r="22" spans="1:9">
      <c r="A22" s="625" t="s">
        <v>1015</v>
      </c>
      <c r="B22" s="8" t="s">
        <v>1012</v>
      </c>
      <c r="C22" s="132">
        <v>120</v>
      </c>
    </row>
    <row r="23" spans="1:9">
      <c r="A23" s="625" t="s">
        <v>1015</v>
      </c>
      <c r="B23" s="8" t="s">
        <v>1012</v>
      </c>
      <c r="C23" s="132">
        <v>187</v>
      </c>
    </row>
    <row r="24" spans="1:9">
      <c r="A24" s="625" t="s">
        <v>1015</v>
      </c>
      <c r="B24" s="8" t="s">
        <v>1013</v>
      </c>
      <c r="C24" s="132">
        <v>140</v>
      </c>
    </row>
    <row r="25" spans="1:9">
      <c r="A25" s="625" t="s">
        <v>1015</v>
      </c>
      <c r="B25" s="8" t="s">
        <v>1013</v>
      </c>
      <c r="C25" s="132">
        <v>145</v>
      </c>
    </row>
    <row r="26" spans="1:9">
      <c r="A26" s="625" t="s">
        <v>1015</v>
      </c>
      <c r="B26" s="8" t="s">
        <v>1013</v>
      </c>
      <c r="C26" s="132">
        <v>159</v>
      </c>
    </row>
    <row r="27" spans="1:9">
      <c r="A27" s="1075" t="s">
        <v>1015</v>
      </c>
      <c r="B27" s="1076" t="s">
        <v>1013</v>
      </c>
      <c r="C27" s="1077">
        <v>131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sheetPr codeName="Sheet119"/>
  <dimension ref="A1:AE30"/>
  <sheetViews>
    <sheetView zoomScaleNormal="100" workbookViewId="0"/>
  </sheetViews>
  <sheetFormatPr defaultRowHeight="14.4"/>
  <cols>
    <col min="4" max="15" width="4.44140625" customWidth="1"/>
    <col min="16" max="16" width="2.6640625" customWidth="1"/>
    <col min="25" max="25" width="19.5546875" customWidth="1"/>
    <col min="32" max="32" width="23.44140625" customWidth="1"/>
  </cols>
  <sheetData>
    <row r="1" spans="1:31">
      <c r="A1" s="1" t="s">
        <v>1054</v>
      </c>
      <c r="S1" s="289" t="s">
        <v>1073</v>
      </c>
    </row>
    <row r="3" spans="1:31">
      <c r="A3" s="387" t="s">
        <v>1041</v>
      </c>
      <c r="B3" s="388" t="s">
        <v>1074</v>
      </c>
      <c r="C3" s="389" t="s">
        <v>1078</v>
      </c>
      <c r="D3" s="1563" t="s">
        <v>1042</v>
      </c>
      <c r="E3" s="1564"/>
      <c r="F3" s="1564"/>
      <c r="G3" s="1564"/>
      <c r="H3" s="1564"/>
      <c r="I3" s="1564"/>
      <c r="J3" s="1564"/>
      <c r="K3" s="1564"/>
      <c r="L3" s="1564"/>
      <c r="M3" s="1564"/>
      <c r="N3" s="1564"/>
      <c r="O3" s="1565"/>
      <c r="Q3" s="401" t="s">
        <v>76</v>
      </c>
      <c r="S3" s="19" t="s">
        <v>994</v>
      </c>
      <c r="T3" s="19" t="s">
        <v>141</v>
      </c>
      <c r="U3" s="19" t="s">
        <v>142</v>
      </c>
      <c r="V3" s="19" t="s">
        <v>143</v>
      </c>
    </row>
    <row r="4" spans="1:31">
      <c r="A4" s="377" t="s">
        <v>383</v>
      </c>
      <c r="B4" s="376" t="s">
        <v>1075</v>
      </c>
      <c r="C4" s="9" t="s">
        <v>1079</v>
      </c>
      <c r="D4" s="391">
        <v>23</v>
      </c>
      <c r="E4" s="391">
        <v>18</v>
      </c>
      <c r="F4" s="391">
        <v>26</v>
      </c>
      <c r="G4" s="391">
        <v>32</v>
      </c>
      <c r="H4" s="391">
        <v>13</v>
      </c>
      <c r="I4" s="391">
        <v>31</v>
      </c>
      <c r="J4" s="391">
        <v>26</v>
      </c>
      <c r="K4" s="391">
        <v>34</v>
      </c>
      <c r="L4" s="391">
        <v>17</v>
      </c>
      <c r="M4" s="391">
        <v>23</v>
      </c>
      <c r="N4" s="391">
        <v>28</v>
      </c>
      <c r="O4" s="392">
        <v>26</v>
      </c>
      <c r="Q4" s="400">
        <f>AVERAGE(D4:O4)</f>
        <v>24.75</v>
      </c>
      <c r="S4" s="387">
        <f>COUNT(D4:O4)</f>
        <v>12</v>
      </c>
      <c r="T4" s="390">
        <f>COUNTA(S9:S10)</f>
        <v>2</v>
      </c>
      <c r="U4" s="390">
        <f>COUNTA(T8:U8)</f>
        <v>2</v>
      </c>
      <c r="V4" s="389">
        <f>COUNTA(S19:S20)</f>
        <v>2</v>
      </c>
      <c r="Y4" s="399" t="s">
        <v>88</v>
      </c>
      <c r="Z4" s="348" t="s">
        <v>578</v>
      </c>
      <c r="AA4" s="399" t="s">
        <v>186</v>
      </c>
      <c r="AB4" s="348" t="s">
        <v>641</v>
      </c>
      <c r="AC4" s="1562" t="s">
        <v>1072</v>
      </c>
      <c r="AD4" s="1562"/>
      <c r="AE4" s="1562"/>
    </row>
    <row r="5" spans="1:31">
      <c r="A5" s="377" t="s">
        <v>383</v>
      </c>
      <c r="B5" s="376" t="s">
        <v>1075</v>
      </c>
      <c r="C5" s="9" t="s">
        <v>1080</v>
      </c>
      <c r="D5" s="8">
        <v>24</v>
      </c>
      <c r="E5" s="8">
        <v>25</v>
      </c>
      <c r="F5" s="8">
        <v>14</v>
      </c>
      <c r="G5" s="8">
        <v>17</v>
      </c>
      <c r="H5" s="8">
        <v>30</v>
      </c>
      <c r="I5" s="8">
        <v>18</v>
      </c>
      <c r="J5" s="8">
        <v>11</v>
      </c>
      <c r="K5" s="8">
        <v>16</v>
      </c>
      <c r="L5" s="8">
        <v>25</v>
      </c>
      <c r="M5" s="8">
        <v>18</v>
      </c>
      <c r="N5" s="8">
        <v>14</v>
      </c>
      <c r="O5" s="9">
        <v>25</v>
      </c>
      <c r="Q5" s="376">
        <f t="shared" ref="Q5:Q11" si="0">AVERAGE(D5:O5)</f>
        <v>19.75</v>
      </c>
      <c r="X5" s="396" t="s">
        <v>642</v>
      </c>
      <c r="Y5" s="393">
        <v>1</v>
      </c>
      <c r="Z5" s="391">
        <f>DEVSQ(D4:O11)</f>
        <v>6867.65625</v>
      </c>
      <c r="AA5" s="391">
        <f>S4*T4*U4*V4-1</f>
        <v>95</v>
      </c>
      <c r="AB5" s="392">
        <f t="shared" ref="AB5:AB17" si="1">Z5/AA5</f>
        <v>72.29111842105263</v>
      </c>
      <c r="AC5" s="1560" t="s">
        <v>1059</v>
      </c>
      <c r="AD5" s="1561"/>
      <c r="AE5" s="1561"/>
    </row>
    <row r="6" spans="1:31">
      <c r="A6" s="377" t="s">
        <v>383</v>
      </c>
      <c r="B6" s="376" t="s">
        <v>1076</v>
      </c>
      <c r="C6" s="9" t="s">
        <v>1079</v>
      </c>
      <c r="D6" s="8">
        <v>16</v>
      </c>
      <c r="E6" s="8">
        <v>31</v>
      </c>
      <c r="F6" s="8">
        <v>17</v>
      </c>
      <c r="G6" s="8">
        <v>11</v>
      </c>
      <c r="H6" s="8">
        <v>34</v>
      </c>
      <c r="I6" s="8">
        <v>24</v>
      </c>
      <c r="J6" s="8">
        <v>24</v>
      </c>
      <c r="K6" s="8">
        <v>19</v>
      </c>
      <c r="L6" s="8">
        <v>31</v>
      </c>
      <c r="M6" s="8">
        <v>16</v>
      </c>
      <c r="N6" s="8">
        <v>11</v>
      </c>
      <c r="O6" s="9">
        <v>19</v>
      </c>
      <c r="Q6" s="376">
        <f t="shared" si="0"/>
        <v>21.083333333333332</v>
      </c>
      <c r="S6" s="289" t="s">
        <v>1030</v>
      </c>
      <c r="X6" s="396" t="s">
        <v>526</v>
      </c>
      <c r="Y6" s="377">
        <f>S4*U4*V4</f>
        <v>48</v>
      </c>
      <c r="Z6" s="8">
        <f>DEVSQ(V9:V10)*Y6</f>
        <v>0.84375</v>
      </c>
      <c r="AA6" s="8">
        <f>T4-1</f>
        <v>1</v>
      </c>
      <c r="AB6" s="9">
        <f t="shared" si="1"/>
        <v>0.84375</v>
      </c>
      <c r="AC6" s="1560" t="s">
        <v>1060</v>
      </c>
      <c r="AD6" s="1561"/>
      <c r="AE6" s="1561"/>
    </row>
    <row r="7" spans="1:31">
      <c r="A7" s="377" t="s">
        <v>383</v>
      </c>
      <c r="B7" s="376" t="s">
        <v>1076</v>
      </c>
      <c r="C7" s="9" t="s">
        <v>1080</v>
      </c>
      <c r="D7" s="8">
        <v>31</v>
      </c>
      <c r="E7" s="8">
        <v>29</v>
      </c>
      <c r="F7" s="8">
        <v>40</v>
      </c>
      <c r="G7" s="8">
        <v>31</v>
      </c>
      <c r="H7" s="8">
        <v>35</v>
      </c>
      <c r="I7" s="8">
        <v>25</v>
      </c>
      <c r="J7" s="8">
        <v>18</v>
      </c>
      <c r="K7" s="8">
        <v>29</v>
      </c>
      <c r="L7" s="8">
        <v>36</v>
      </c>
      <c r="M7" s="8">
        <v>42</v>
      </c>
      <c r="N7" s="8">
        <v>40</v>
      </c>
      <c r="O7" s="9">
        <v>36</v>
      </c>
      <c r="Q7" s="376">
        <f t="shared" si="0"/>
        <v>32.666666666666664</v>
      </c>
      <c r="X7" s="396" t="s">
        <v>384</v>
      </c>
      <c r="Y7" s="377">
        <f>S4*T4*V4</f>
        <v>48</v>
      </c>
      <c r="Z7" s="8">
        <f>DEVSQ(T11:U11)*Y7</f>
        <v>810.84375</v>
      </c>
      <c r="AA7" s="8">
        <f>U4-1</f>
        <v>1</v>
      </c>
      <c r="AB7" s="9">
        <f t="shared" si="1"/>
        <v>810.84375</v>
      </c>
      <c r="AC7" s="1560" t="s">
        <v>1061</v>
      </c>
      <c r="AD7" s="1561"/>
      <c r="AE7" s="1561"/>
    </row>
    <row r="8" spans="1:31">
      <c r="A8" s="377" t="s">
        <v>342</v>
      </c>
      <c r="B8" s="376" t="s">
        <v>1075</v>
      </c>
      <c r="C8" s="9" t="s">
        <v>1079</v>
      </c>
      <c r="D8" s="8">
        <v>19</v>
      </c>
      <c r="E8" s="8">
        <v>28</v>
      </c>
      <c r="F8" s="8">
        <v>31</v>
      </c>
      <c r="G8" s="8">
        <v>23</v>
      </c>
      <c r="H8" s="8">
        <v>19</v>
      </c>
      <c r="I8" s="8">
        <v>14</v>
      </c>
      <c r="J8" s="8">
        <v>4</v>
      </c>
      <c r="K8" s="8">
        <v>29</v>
      </c>
      <c r="L8" s="8">
        <v>18</v>
      </c>
      <c r="M8" s="8">
        <v>22</v>
      </c>
      <c r="N8" s="8">
        <v>18</v>
      </c>
      <c r="O8" s="9">
        <v>24</v>
      </c>
      <c r="Q8" s="376">
        <f t="shared" si="0"/>
        <v>20.75</v>
      </c>
      <c r="T8" s="19" t="s">
        <v>1075</v>
      </c>
      <c r="U8" s="19" t="s">
        <v>1076</v>
      </c>
      <c r="X8" s="397" t="s">
        <v>385</v>
      </c>
      <c r="Y8" s="377">
        <f>S4*T4*U4</f>
        <v>48</v>
      </c>
      <c r="Z8" s="8">
        <f>DEVSQ(V19:V20)*Y8</f>
        <v>25.010416666666785</v>
      </c>
      <c r="AA8" s="8">
        <f>V4-1</f>
        <v>1</v>
      </c>
      <c r="AB8" s="9">
        <f t="shared" si="1"/>
        <v>25.010416666666785</v>
      </c>
      <c r="AC8" s="1560" t="s">
        <v>1062</v>
      </c>
      <c r="AD8" s="1561"/>
      <c r="AE8" s="1561"/>
    </row>
    <row r="9" spans="1:31">
      <c r="A9" s="377" t="s">
        <v>342</v>
      </c>
      <c r="B9" s="376" t="s">
        <v>1075</v>
      </c>
      <c r="C9" s="9" t="s">
        <v>1080</v>
      </c>
      <c r="D9" s="8">
        <v>29</v>
      </c>
      <c r="E9" s="8">
        <v>25</v>
      </c>
      <c r="F9" s="8">
        <v>17</v>
      </c>
      <c r="G9" s="8">
        <v>12</v>
      </c>
      <c r="H9" s="8">
        <v>26</v>
      </c>
      <c r="I9" s="8">
        <v>35</v>
      </c>
      <c r="J9" s="8">
        <v>10</v>
      </c>
      <c r="K9" s="8">
        <v>23</v>
      </c>
      <c r="L9" s="8">
        <v>26</v>
      </c>
      <c r="M9" s="8">
        <v>18</v>
      </c>
      <c r="N9" s="8">
        <v>24</v>
      </c>
      <c r="O9" s="9">
        <v>16</v>
      </c>
      <c r="Q9" s="376">
        <f t="shared" si="0"/>
        <v>21.75</v>
      </c>
      <c r="S9" t="s">
        <v>383</v>
      </c>
      <c r="T9" s="393">
        <f>AVERAGEIFS($Q$4:$Q$11,$A$4:$A$11,$S9,$B$4:$B$11,T$8)</f>
        <v>22.25</v>
      </c>
      <c r="U9" s="392">
        <f>AVERAGEIFS($Q$4:$Q$11,$A$4:$A$11,$S9,$B$4:$B$11,U$8)</f>
        <v>26.875</v>
      </c>
      <c r="V9">
        <f>AVERAGE(T9:U9)</f>
        <v>24.5625</v>
      </c>
      <c r="X9" s="396" t="s">
        <v>1055</v>
      </c>
      <c r="Y9" s="377">
        <f>S4*V4</f>
        <v>24</v>
      </c>
      <c r="Z9" s="8">
        <f>DEVSQ(T9:U10)*Y9</f>
        <v>845.53125</v>
      </c>
      <c r="AA9" s="8">
        <f>T4*U4-1</f>
        <v>3</v>
      </c>
      <c r="AB9" s="9">
        <f t="shared" si="1"/>
        <v>281.84375</v>
      </c>
      <c r="AC9" s="1560" t="s">
        <v>1063</v>
      </c>
      <c r="AD9" s="1561"/>
      <c r="AE9" s="1561"/>
    </row>
    <row r="10" spans="1:31">
      <c r="A10" s="377" t="s">
        <v>342</v>
      </c>
      <c r="B10" s="376" t="s">
        <v>1076</v>
      </c>
      <c r="C10" s="9" t="s">
        <v>1079</v>
      </c>
      <c r="D10" s="8">
        <v>28</v>
      </c>
      <c r="E10" s="8">
        <v>37</v>
      </c>
      <c r="F10" s="8">
        <v>22</v>
      </c>
      <c r="G10" s="8">
        <v>44</v>
      </c>
      <c r="H10" s="8">
        <v>37</v>
      </c>
      <c r="I10" s="8">
        <v>42</v>
      </c>
      <c r="J10" s="8">
        <v>30</v>
      </c>
      <c r="K10" s="8">
        <v>37</v>
      </c>
      <c r="L10" s="8">
        <v>25</v>
      </c>
      <c r="M10" s="8">
        <v>38</v>
      </c>
      <c r="N10" s="8">
        <v>41</v>
      </c>
      <c r="O10" s="9">
        <v>28</v>
      </c>
      <c r="Q10" s="376">
        <f t="shared" si="0"/>
        <v>34.083333333333336</v>
      </c>
      <c r="S10" t="s">
        <v>342</v>
      </c>
      <c r="T10" s="10">
        <f>AVERAGEIFS($Q$4:$Q$11,$A$4:$A$11,$S10,$B$4:$B$11,T$8)</f>
        <v>21.25</v>
      </c>
      <c r="U10" s="12">
        <f>AVERAGEIFS($Q$4:$Q$11,$A$4:$A$11,$S10,$B$4:$B$11,U$8)</f>
        <v>28.25</v>
      </c>
      <c r="V10">
        <f>AVERAGE(T10:U10)</f>
        <v>24.75</v>
      </c>
      <c r="X10" s="398" t="s">
        <v>1043</v>
      </c>
      <c r="Y10" s="377" t="s">
        <v>1044</v>
      </c>
      <c r="Z10" s="8">
        <f>Z9-Z6-Z7</f>
        <v>33.84375</v>
      </c>
      <c r="AA10" s="8">
        <f>AA9-AA6-AA7</f>
        <v>1</v>
      </c>
      <c r="AB10" s="9">
        <f t="shared" si="1"/>
        <v>33.84375</v>
      </c>
      <c r="AC10" s="1560" t="s">
        <v>1064</v>
      </c>
      <c r="AD10" s="1561"/>
      <c r="AE10" s="1561"/>
    </row>
    <row r="11" spans="1:31">
      <c r="A11" s="10" t="s">
        <v>342</v>
      </c>
      <c r="B11" s="268" t="s">
        <v>1076</v>
      </c>
      <c r="C11" s="12" t="s">
        <v>1080</v>
      </c>
      <c r="D11" s="11">
        <v>35</v>
      </c>
      <c r="E11" s="11">
        <v>23</v>
      </c>
      <c r="F11" s="11">
        <v>24</v>
      </c>
      <c r="G11" s="11">
        <v>11</v>
      </c>
      <c r="H11" s="11">
        <v>23</v>
      </c>
      <c r="I11" s="11">
        <v>30</v>
      </c>
      <c r="J11" s="11">
        <v>26</v>
      </c>
      <c r="K11" s="11">
        <v>16</v>
      </c>
      <c r="L11" s="11">
        <v>23</v>
      </c>
      <c r="M11" s="11">
        <v>14</v>
      </c>
      <c r="N11" s="11">
        <v>19</v>
      </c>
      <c r="O11" s="12">
        <v>25</v>
      </c>
      <c r="Q11" s="268">
        <f t="shared" si="0"/>
        <v>22.416666666666668</v>
      </c>
      <c r="T11">
        <f>AVERAGE(T9:T10)</f>
        <v>21.75</v>
      </c>
      <c r="U11">
        <f>AVERAGE(U9:U10)</f>
        <v>27.5625</v>
      </c>
      <c r="V11">
        <f>AVERAGE(T11:U11)</f>
        <v>24.65625</v>
      </c>
      <c r="X11" s="398" t="s">
        <v>1056</v>
      </c>
      <c r="Y11" s="377">
        <f>S4*U4</f>
        <v>24</v>
      </c>
      <c r="Z11" s="8">
        <f>DEVSQ(T14:U15)*Y11</f>
        <v>472.19791666666663</v>
      </c>
      <c r="AA11" s="8">
        <f>T4*V4-1</f>
        <v>3</v>
      </c>
      <c r="AB11" s="9">
        <f t="shared" si="1"/>
        <v>157.39930555555554</v>
      </c>
      <c r="AC11" s="1560" t="s">
        <v>1065</v>
      </c>
      <c r="AD11" s="1561"/>
      <c r="AE11" s="1561"/>
    </row>
    <row r="12" spans="1:31">
      <c r="X12" s="397" t="s">
        <v>1045</v>
      </c>
      <c r="Y12" s="377" t="s">
        <v>1046</v>
      </c>
      <c r="Z12" s="8">
        <f>Z11-Z6-Z8</f>
        <v>446.34374999999983</v>
      </c>
      <c r="AA12" s="8">
        <f>AA11-AA6-AA8</f>
        <v>1</v>
      </c>
      <c r="AB12" s="9">
        <f t="shared" si="1"/>
        <v>446.34374999999983</v>
      </c>
      <c r="AC12" s="1560" t="s">
        <v>1066</v>
      </c>
      <c r="AD12" s="1561"/>
      <c r="AE12" s="1561"/>
    </row>
    <row r="13" spans="1:31">
      <c r="T13" s="19" t="s">
        <v>1079</v>
      </c>
      <c r="U13" s="19" t="s">
        <v>1080</v>
      </c>
      <c r="X13" s="398" t="s">
        <v>1057</v>
      </c>
      <c r="Y13" s="377">
        <f>S4*T4</f>
        <v>24</v>
      </c>
      <c r="Z13" s="8">
        <f>DEVSQ(T19:U20)*Y13</f>
        <v>858.86458333333337</v>
      </c>
      <c r="AA13" s="8">
        <f>U4*V4-1</f>
        <v>3</v>
      </c>
      <c r="AB13" s="9">
        <f t="shared" si="1"/>
        <v>286.28819444444446</v>
      </c>
      <c r="AC13" s="1560" t="s">
        <v>1067</v>
      </c>
      <c r="AD13" s="1561"/>
      <c r="AE13" s="1561"/>
    </row>
    <row r="14" spans="1:31">
      <c r="S14" t="s">
        <v>383</v>
      </c>
      <c r="T14" s="393">
        <f>AVERAGEIFS($Q$4:$Q$11,$A$4:$A$11,$S14,$C$4:$C$11,T$13)</f>
        <v>22.916666666666664</v>
      </c>
      <c r="U14" s="392">
        <f>AVERAGEIFS($Q$4:$Q$11,$A$4:$A$11,$S14,$C$4:$C$11,U$13)</f>
        <v>26.208333333333332</v>
      </c>
      <c r="V14">
        <f>AVERAGE(T14:U14)</f>
        <v>24.5625</v>
      </c>
      <c r="X14" s="397" t="s">
        <v>1047</v>
      </c>
      <c r="Y14" s="377" t="s">
        <v>1048</v>
      </c>
      <c r="Z14" s="8">
        <f>Z13-Z7-Z8</f>
        <v>23.010416666666586</v>
      </c>
      <c r="AA14" s="8">
        <f>AA13-AA7-AA8</f>
        <v>1</v>
      </c>
      <c r="AB14" s="9">
        <f t="shared" si="1"/>
        <v>23.010416666666586</v>
      </c>
      <c r="AC14" s="1560" t="s">
        <v>1068</v>
      </c>
      <c r="AD14" s="1561"/>
      <c r="AE14" s="1561"/>
    </row>
    <row r="15" spans="1:31">
      <c r="S15" t="s">
        <v>342</v>
      </c>
      <c r="T15" s="10">
        <f>AVERAGEIFS($Q$4:$Q$11,$A$4:$A$11,$S15,$C$4:$C$11,T$13)</f>
        <v>27.416666666666668</v>
      </c>
      <c r="U15" s="12">
        <f>AVERAGEIFS($Q$4:$Q$11,$A$4:$A$11,$S15,$C$4:$C$11,U$13)</f>
        <v>22.083333333333336</v>
      </c>
      <c r="V15">
        <f>AVERAGE(T15:U15)</f>
        <v>24.75</v>
      </c>
      <c r="X15" s="289" t="s">
        <v>1058</v>
      </c>
      <c r="Y15" s="377">
        <f>S4</f>
        <v>12</v>
      </c>
      <c r="Z15" s="8">
        <f>DEVSQ(Q4:Q11)*Y15</f>
        <v>2623.2395833333335</v>
      </c>
      <c r="AA15" s="8">
        <f>T4*U4*V4-1</f>
        <v>7</v>
      </c>
      <c r="AB15" s="9">
        <f t="shared" si="1"/>
        <v>374.74851190476193</v>
      </c>
      <c r="AC15" s="1560" t="s">
        <v>1069</v>
      </c>
      <c r="AD15" s="1561"/>
      <c r="AE15" s="1561"/>
    </row>
    <row r="16" spans="1:31">
      <c r="T16">
        <f>AVERAGE(T14:T15)</f>
        <v>25.166666666666664</v>
      </c>
      <c r="U16">
        <f>AVERAGE(U14:U15)</f>
        <v>24.145833333333336</v>
      </c>
      <c r="V16">
        <f>AVERAGE(T16:U16)</f>
        <v>24.65625</v>
      </c>
      <c r="X16" s="289" t="s">
        <v>1049</v>
      </c>
      <c r="Y16" s="394" t="s">
        <v>1050</v>
      </c>
      <c r="Z16" s="8">
        <f>Z15-Z6-Z7-Z8-Z10-Z12-Z14</f>
        <v>1283.3437500000005</v>
      </c>
      <c r="AA16" s="8">
        <f>AA15-AA6-AA7-AA8-AA10-AA12-AA14</f>
        <v>1</v>
      </c>
      <c r="AB16" s="9">
        <f t="shared" si="1"/>
        <v>1283.3437500000005</v>
      </c>
      <c r="AC16" s="1560" t="s">
        <v>1070</v>
      </c>
      <c r="AD16" s="1561"/>
      <c r="AE16" s="1561"/>
    </row>
    <row r="17" spans="19:31">
      <c r="X17" s="289" t="s">
        <v>1009</v>
      </c>
      <c r="Y17" s="395" t="s">
        <v>1051</v>
      </c>
      <c r="Z17" s="11">
        <f>Z5-Z6-Z7-Z8-Z10-Z12-Z14-Z16</f>
        <v>4244.4166666666661</v>
      </c>
      <c r="AA17" s="11">
        <f>AA5-AA6-AA7-AA8-AA10-AA12-AA14-AA16</f>
        <v>88</v>
      </c>
      <c r="AB17" s="12">
        <f t="shared" si="1"/>
        <v>48.232007575757571</v>
      </c>
      <c r="AC17" s="1560" t="s">
        <v>1071</v>
      </c>
      <c r="AD17" s="1561"/>
      <c r="AE17" s="1561"/>
    </row>
    <row r="18" spans="19:31">
      <c r="T18" s="19" t="s">
        <v>1075</v>
      </c>
      <c r="U18" s="19" t="s">
        <v>1076</v>
      </c>
    </row>
    <row r="19" spans="19:31" ht="15" thickBot="1">
      <c r="S19" t="s">
        <v>1079</v>
      </c>
      <c r="T19" s="393">
        <f>AVERAGEIFS($Q$4:$Q$11,$C$4:$C$11,$S19,$B$4:$B$11,T$18)</f>
        <v>22.75</v>
      </c>
      <c r="U19" s="392">
        <f>AVERAGEIFS($Q$4:$Q$11,$C$4:$C$11,$S19,$B$4:$B$11,U$18)</f>
        <v>27.583333333333336</v>
      </c>
      <c r="V19">
        <f>AVERAGE(T19:U19)</f>
        <v>25.166666666666668</v>
      </c>
      <c r="Y19" t="s">
        <v>695</v>
      </c>
    </row>
    <row r="20" spans="19:31">
      <c r="S20" t="s">
        <v>1080</v>
      </c>
      <c r="T20" s="10">
        <f>AVERAGEIFS($Q$4:$Q$11,$C$4:$C$11,$S20,$B$4:$B$11,T$18)</f>
        <v>20.75</v>
      </c>
      <c r="U20" s="12">
        <f>AVERAGEIFS($Q$4:$Q$11,$C$4:$C$11,$S20,$B$4:$B$11,U$18)</f>
        <v>27.541666666666664</v>
      </c>
      <c r="V20">
        <f>AVERAGE(T20:U20)</f>
        <v>24.145833333333332</v>
      </c>
      <c r="Y20" s="369" t="s">
        <v>887</v>
      </c>
      <c r="Z20" s="369" t="s">
        <v>578</v>
      </c>
      <c r="AA20" s="369" t="s">
        <v>186</v>
      </c>
      <c r="AB20" s="369" t="s">
        <v>641</v>
      </c>
      <c r="AC20" s="369" t="s">
        <v>388</v>
      </c>
      <c r="AD20" s="369" t="s">
        <v>367</v>
      </c>
      <c r="AE20" s="369" t="s">
        <v>888</v>
      </c>
    </row>
    <row r="21" spans="19:31">
      <c r="T21">
        <f>AVERAGE(T19:T20)</f>
        <v>21.75</v>
      </c>
      <c r="U21">
        <f>AVERAGE(U19:U20)</f>
        <v>27.5625</v>
      </c>
      <c r="V21">
        <f>AVERAGE(T21:U21)</f>
        <v>24.65625</v>
      </c>
      <c r="Y21" s="28" t="s">
        <v>1052</v>
      </c>
      <c r="Z21" s="28">
        <f t="shared" ref="Z21:AA23" si="2">Z6</f>
        <v>0.84375</v>
      </c>
      <c r="AA21" s="28">
        <f t="shared" si="2"/>
        <v>1</v>
      </c>
      <c r="AB21" s="28">
        <f>Z21/AA21</f>
        <v>0.84375</v>
      </c>
      <c r="AC21" s="28">
        <f t="shared" ref="AC21:AC27" si="3">AB21/AB$28</f>
        <v>1.7493569984096756E-2</v>
      </c>
      <c r="AD21">
        <f t="shared" ref="AD21:AD27" si="4">FDIST(AC21,AA21,AA$28)</f>
        <v>0.89507801695319222</v>
      </c>
      <c r="AE21">
        <f t="shared" ref="AE21:AE27" si="5">FINV(0.05,AA21,AA$28)</f>
        <v>3.9493210068606932</v>
      </c>
    </row>
    <row r="22" spans="19:31">
      <c r="Y22" s="28" t="s">
        <v>1077</v>
      </c>
      <c r="Z22" s="28">
        <f t="shared" si="2"/>
        <v>810.84375</v>
      </c>
      <c r="AA22" s="28">
        <f t="shared" si="2"/>
        <v>1</v>
      </c>
      <c r="AB22" s="28">
        <f t="shared" ref="AB22:AB28" si="6">Z22/AA22</f>
        <v>810.84375</v>
      </c>
      <c r="AC22" s="28">
        <f t="shared" si="3"/>
        <v>16.811320754716984</v>
      </c>
      <c r="AD22">
        <f t="shared" si="4"/>
        <v>9.177926727043635E-5</v>
      </c>
      <c r="AE22">
        <f t="shared" si="5"/>
        <v>3.9493210068606932</v>
      </c>
    </row>
    <row r="23" spans="19:31">
      <c r="Y23" s="28" t="s">
        <v>1081</v>
      </c>
      <c r="Z23" s="28">
        <f t="shared" si="2"/>
        <v>25.010416666666785</v>
      </c>
      <c r="AA23" s="28">
        <f t="shared" si="2"/>
        <v>1</v>
      </c>
      <c r="AB23" s="28">
        <f t="shared" si="6"/>
        <v>25.010416666666785</v>
      </c>
      <c r="AC23" s="28">
        <f t="shared" si="3"/>
        <v>0.51854396952859894</v>
      </c>
      <c r="AD23">
        <f t="shared" si="4"/>
        <v>0.47337178271106939</v>
      </c>
      <c r="AE23">
        <f t="shared" si="5"/>
        <v>3.9493210068606932</v>
      </c>
    </row>
    <row r="24" spans="19:31">
      <c r="Y24" s="28" t="s">
        <v>1043</v>
      </c>
      <c r="Z24" s="28">
        <f>Z10</f>
        <v>33.84375</v>
      </c>
      <c r="AA24" s="28">
        <f>AA10</f>
        <v>1</v>
      </c>
      <c r="AB24" s="28">
        <f t="shared" si="6"/>
        <v>33.84375</v>
      </c>
      <c r="AC24" s="28">
        <f t="shared" si="3"/>
        <v>0.70168652936210318</v>
      </c>
      <c r="AD24">
        <f t="shared" si="4"/>
        <v>0.40448689763874979</v>
      </c>
      <c r="AE24">
        <f t="shared" si="5"/>
        <v>3.9493210068606932</v>
      </c>
    </row>
    <row r="25" spans="19:31">
      <c r="Y25" s="28" t="s">
        <v>1045</v>
      </c>
      <c r="Z25" s="28">
        <f>Z12</f>
        <v>446.34374999999983</v>
      </c>
      <c r="AA25" s="28">
        <f>AA12</f>
        <v>1</v>
      </c>
      <c r="AB25" s="28">
        <f t="shared" si="6"/>
        <v>446.34374999999983</v>
      </c>
      <c r="AC25" s="28">
        <f t="shared" si="3"/>
        <v>9.2540985215871814</v>
      </c>
      <c r="AD25">
        <f t="shared" si="4"/>
        <v>3.0965102604328444E-3</v>
      </c>
      <c r="AE25">
        <f t="shared" si="5"/>
        <v>3.9493210068606932</v>
      </c>
    </row>
    <row r="26" spans="19:31">
      <c r="Y26" s="28" t="s">
        <v>1047</v>
      </c>
      <c r="Z26">
        <f>Z14</f>
        <v>23.010416666666586</v>
      </c>
      <c r="AA26">
        <f>AA14</f>
        <v>1</v>
      </c>
      <c r="AB26" s="28">
        <f t="shared" si="6"/>
        <v>23.010416666666586</v>
      </c>
      <c r="AC26" s="28">
        <f t="shared" si="3"/>
        <v>0.47707772956629135</v>
      </c>
      <c r="AD26">
        <f t="shared" si="4"/>
        <v>0.49156686051230858</v>
      </c>
      <c r="AE26">
        <f t="shared" si="5"/>
        <v>3.9493210068606932</v>
      </c>
    </row>
    <row r="27" spans="19:31">
      <c r="Y27" s="28" t="s">
        <v>1049</v>
      </c>
      <c r="Z27">
        <f>Z16</f>
        <v>1283.3437500000005</v>
      </c>
      <c r="AA27">
        <f>AA16</f>
        <v>1</v>
      </c>
      <c r="AB27" s="28">
        <f t="shared" si="6"/>
        <v>1283.3437500000005</v>
      </c>
      <c r="AC27" s="28">
        <f t="shared" si="3"/>
        <v>26.607719945811176</v>
      </c>
      <c r="AD27">
        <f t="shared" si="4"/>
        <v>1.5228732447781372E-6</v>
      </c>
      <c r="AE27">
        <f t="shared" si="5"/>
        <v>3.9493210068606932</v>
      </c>
    </row>
    <row r="28" spans="19:31">
      <c r="Y28" s="28" t="s">
        <v>1053</v>
      </c>
      <c r="Z28">
        <f>Z17</f>
        <v>4244.4166666666661</v>
      </c>
      <c r="AA28">
        <f>AA17</f>
        <v>88</v>
      </c>
      <c r="AB28" s="28">
        <f t="shared" si="6"/>
        <v>48.232007575757571</v>
      </c>
    </row>
    <row r="30" spans="19:31" ht="15" thickBot="1">
      <c r="Y30" s="31" t="s">
        <v>12</v>
      </c>
      <c r="Z30" s="31">
        <f>Z5</f>
        <v>6867.65625</v>
      </c>
      <c r="AA30" s="31">
        <f>AA5</f>
        <v>95</v>
      </c>
      <c r="AB30" s="31"/>
      <c r="AC30" s="31"/>
      <c r="AD30" s="31"/>
      <c r="AE30" s="31"/>
    </row>
  </sheetData>
  <mergeCells count="15">
    <mergeCell ref="AC17:AE17"/>
    <mergeCell ref="AC4:AE4"/>
    <mergeCell ref="D3:O3"/>
    <mergeCell ref="AC11:AE11"/>
    <mergeCell ref="AC12:AE12"/>
    <mergeCell ref="AC13:AE13"/>
    <mergeCell ref="AC14:AE14"/>
    <mergeCell ref="AC15:AE15"/>
    <mergeCell ref="AC16:AE16"/>
    <mergeCell ref="AC5:AE5"/>
    <mergeCell ref="AC6:AE6"/>
    <mergeCell ref="AC7:AE7"/>
    <mergeCell ref="AC8:AE8"/>
    <mergeCell ref="AC9:AE9"/>
    <mergeCell ref="AC10:AE10"/>
  </mergeCells>
  <pageMargins left="0.7" right="0.7" top="0.75" bottom="0.75" header="0.3" footer="0.3"/>
  <pageSetup paperSize="9" orientation="portrait" horizontalDpi="300" verticalDpi="300" r:id="rId1"/>
</worksheet>
</file>

<file path=xl/worksheets/sheet163.xml><?xml version="1.0" encoding="utf-8"?>
<worksheet xmlns="http://schemas.openxmlformats.org/spreadsheetml/2006/main" xmlns:r="http://schemas.openxmlformats.org/officeDocument/2006/relationships">
  <sheetPr codeName="Sheet260"/>
  <dimension ref="A1:AC31"/>
  <sheetViews>
    <sheetView zoomScaleNormal="100" workbookViewId="0"/>
  </sheetViews>
  <sheetFormatPr defaultRowHeight="14.4"/>
  <cols>
    <col min="4" max="15" width="4.44140625" customWidth="1"/>
  </cols>
  <sheetData>
    <row r="1" spans="1:29">
      <c r="A1" s="1" t="s">
        <v>2855</v>
      </c>
      <c r="Q1" t="s">
        <v>95</v>
      </c>
      <c r="W1" t="s">
        <v>2851</v>
      </c>
    </row>
    <row r="3" spans="1:29" ht="15" thickBot="1">
      <c r="A3" s="387" t="s">
        <v>1041</v>
      </c>
      <c r="B3" s="388" t="s">
        <v>1074</v>
      </c>
      <c r="C3" s="389" t="s">
        <v>1078</v>
      </c>
      <c r="D3" s="1563" t="s">
        <v>1042</v>
      </c>
      <c r="E3" s="1564"/>
      <c r="F3" s="1564"/>
      <c r="G3" s="1564"/>
      <c r="H3" s="1564"/>
      <c r="I3" s="1564"/>
      <c r="J3" s="1564"/>
      <c r="K3" s="1564"/>
      <c r="L3" s="1564"/>
      <c r="M3" s="1564"/>
      <c r="N3" s="1564"/>
      <c r="O3" s="1565"/>
      <c r="T3" s="19" t="s">
        <v>88</v>
      </c>
      <c r="U3" s="19" t="s">
        <v>76</v>
      </c>
      <c r="W3" t="s">
        <v>695</v>
      </c>
      <c r="AA3" s="1094" t="s">
        <v>116</v>
      </c>
      <c r="AB3" s="1094">
        <v>0.05</v>
      </c>
    </row>
    <row r="4" spans="1:29" ht="15" thickTop="1">
      <c r="A4" s="377" t="s">
        <v>383</v>
      </c>
      <c r="B4" s="376" t="s">
        <v>1075</v>
      </c>
      <c r="C4" s="9" t="s">
        <v>1079</v>
      </c>
      <c r="D4" s="391">
        <v>23</v>
      </c>
      <c r="E4" s="391">
        <v>18</v>
      </c>
      <c r="F4" s="391">
        <v>26</v>
      </c>
      <c r="G4" s="391">
        <v>32</v>
      </c>
      <c r="H4" s="391">
        <v>13</v>
      </c>
      <c r="I4" s="391">
        <v>31</v>
      </c>
      <c r="J4" s="391">
        <v>26</v>
      </c>
      <c r="K4" s="391">
        <v>34</v>
      </c>
      <c r="L4" s="391">
        <v>17</v>
      </c>
      <c r="M4" s="391">
        <v>23</v>
      </c>
      <c r="N4" s="391">
        <v>28</v>
      </c>
      <c r="O4" s="392">
        <v>26</v>
      </c>
      <c r="Q4" s="1104" t="e">
        <f t="array" aca="1" ref="Q4:Q5" ca="1">[1]!ExtractUnique(A4:A11)</f>
        <v>#NAME?</v>
      </c>
      <c r="R4" s="1105"/>
      <c r="S4" s="1106"/>
      <c r="T4" s="1104">
        <f ca="1">SUMIF($Q$22:$Q$29,Q4,$T$22:$T$29)</f>
        <v>0</v>
      </c>
      <c r="U4" s="1106" t="str">
        <f ca="1">IF(T4=0,"",AVERAGEIF($Q$22:$Q$29,Q4,$U$22:$U$29))</f>
        <v/>
      </c>
      <c r="W4" s="1070"/>
      <c r="X4" s="1070" t="s">
        <v>578</v>
      </c>
      <c r="Y4" s="1070" t="s">
        <v>186</v>
      </c>
      <c r="Z4" s="1070" t="s">
        <v>641</v>
      </c>
      <c r="AA4" s="1070" t="s">
        <v>388</v>
      </c>
      <c r="AB4" s="1070" t="s">
        <v>200</v>
      </c>
      <c r="AC4" s="1070" t="s">
        <v>948</v>
      </c>
    </row>
    <row r="5" spans="1:29">
      <c r="A5" s="377" t="s">
        <v>383</v>
      </c>
      <c r="B5" s="376" t="s">
        <v>1075</v>
      </c>
      <c r="C5" s="9" t="s">
        <v>1080</v>
      </c>
      <c r="D5" s="8">
        <v>24</v>
      </c>
      <c r="E5" s="8">
        <v>25</v>
      </c>
      <c r="F5" s="8">
        <v>14</v>
      </c>
      <c r="G5" s="8">
        <v>17</v>
      </c>
      <c r="H5" s="8">
        <v>30</v>
      </c>
      <c r="I5" s="8">
        <v>18</v>
      </c>
      <c r="J5" s="8">
        <v>11</v>
      </c>
      <c r="K5" s="8">
        <v>16</v>
      </c>
      <c r="L5" s="8">
        <v>25</v>
      </c>
      <c r="M5" s="8">
        <v>18</v>
      </c>
      <c r="N5" s="8">
        <v>14</v>
      </c>
      <c r="O5" s="9">
        <v>25</v>
      </c>
      <c r="Q5" s="625" t="e">
        <f ca="1"/>
        <v>#NAME?</v>
      </c>
      <c r="R5" s="8"/>
      <c r="S5" s="132"/>
      <c r="T5" s="625">
        <f ca="1">SUMIF($Q$22:$Q$29,Q5,$T$22:$T$29)</f>
        <v>0</v>
      </c>
      <c r="U5" s="132" t="str">
        <f ca="1">IF(T5=0,"",AVERAGEIF($Q$22:$Q$29,Q5,$U$22:$U$29))</f>
        <v/>
      </c>
      <c r="W5" t="s">
        <v>526</v>
      </c>
      <c r="X5" t="e">
        <f ca="1">DEVSQ(U4:U5)*T4</f>
        <v>#NUM!</v>
      </c>
      <c r="Y5">
        <f ca="1">COUNT(U4:U5)-1</f>
        <v>-1</v>
      </c>
      <c r="Z5" t="e">
        <f t="shared" ref="Z5:Z13" ca="1" si="0">X5/Y5</f>
        <v>#NUM!</v>
      </c>
      <c r="AA5" t="e">
        <f ca="1">Z5/Z12</f>
        <v>#NUM!</v>
      </c>
      <c r="AB5" t="e">
        <f ca="1">FDIST(AA5,Y5,Y12)</f>
        <v>#NUM!</v>
      </c>
      <c r="AC5" s="1094" t="e">
        <f ca="1">IF(AB5&lt;AB3,"yes","no")</f>
        <v>#NUM!</v>
      </c>
    </row>
    <row r="6" spans="1:29">
      <c r="A6" s="377" t="s">
        <v>383</v>
      </c>
      <c r="B6" s="376" t="s">
        <v>1076</v>
      </c>
      <c r="C6" s="9" t="s">
        <v>1079</v>
      </c>
      <c r="D6" s="8">
        <v>16</v>
      </c>
      <c r="E6" s="8">
        <v>31</v>
      </c>
      <c r="F6" s="8">
        <v>17</v>
      </c>
      <c r="G6" s="8">
        <v>11</v>
      </c>
      <c r="H6" s="8">
        <v>34</v>
      </c>
      <c r="I6" s="8">
        <v>24</v>
      </c>
      <c r="J6" s="8">
        <v>24</v>
      </c>
      <c r="K6" s="8">
        <v>19</v>
      </c>
      <c r="L6" s="8">
        <v>31</v>
      </c>
      <c r="M6" s="8">
        <v>16</v>
      </c>
      <c r="N6" s="8">
        <v>11</v>
      </c>
      <c r="O6" s="9">
        <v>19</v>
      </c>
      <c r="Q6" s="625"/>
      <c r="R6" s="8" t="e">
        <f t="array" aca="1" ref="R6:R7" ca="1">[1]!ExtractUnique(B4:B11)</f>
        <v>#NAME?</v>
      </c>
      <c r="S6" s="132"/>
      <c r="T6" s="625">
        <f ca="1">SUMIF($R$22:$R$29,R6,$T$22:$T$29)</f>
        <v>0</v>
      </c>
      <c r="U6" s="132" t="str">
        <f ca="1">IF(T6=0,"",AVERAGEIF($R$22:$R$29,R6,$U$22:$U$29))</f>
        <v/>
      </c>
      <c r="W6" t="s">
        <v>384</v>
      </c>
      <c r="X6" t="e">
        <f ca="1">DEVSQ(U6:U7)*T6</f>
        <v>#NUM!</v>
      </c>
      <c r="Y6">
        <f ca="1">COUNT(U6:U7)-1</f>
        <v>-1</v>
      </c>
      <c r="Z6" t="e">
        <f t="shared" ca="1" si="0"/>
        <v>#NUM!</v>
      </c>
      <c r="AA6" t="e">
        <f ca="1">Z6/Z12</f>
        <v>#NUM!</v>
      </c>
      <c r="AB6" t="e">
        <f ca="1">FDIST(AA6,Y6,Y12)</f>
        <v>#NUM!</v>
      </c>
      <c r="AC6" s="1094" t="e">
        <f ca="1">IF(AB6&lt;AB3,"yes","no")</f>
        <v>#NUM!</v>
      </c>
    </row>
    <row r="7" spans="1:29">
      <c r="A7" s="377" t="s">
        <v>383</v>
      </c>
      <c r="B7" s="376" t="s">
        <v>1076</v>
      </c>
      <c r="C7" s="9" t="s">
        <v>1080</v>
      </c>
      <c r="D7" s="8">
        <v>31</v>
      </c>
      <c r="E7" s="8">
        <v>29</v>
      </c>
      <c r="F7" s="8">
        <v>40</v>
      </c>
      <c r="G7" s="8">
        <v>31</v>
      </c>
      <c r="H7" s="8">
        <v>35</v>
      </c>
      <c r="I7" s="8">
        <v>25</v>
      </c>
      <c r="J7" s="8">
        <v>18</v>
      </c>
      <c r="K7" s="8">
        <v>29</v>
      </c>
      <c r="L7" s="8">
        <v>36</v>
      </c>
      <c r="M7" s="8">
        <v>42</v>
      </c>
      <c r="N7" s="8">
        <v>40</v>
      </c>
      <c r="O7" s="9">
        <v>36</v>
      </c>
      <c r="Q7" s="625"/>
      <c r="R7" s="8" t="e">
        <f ca="1"/>
        <v>#NAME?</v>
      </c>
      <c r="S7" s="132"/>
      <c r="T7" s="625">
        <f ca="1">SUMIF($R$22:$R$29,R7,$T$22:$T$29)</f>
        <v>0</v>
      </c>
      <c r="U7" s="132" t="str">
        <f ca="1">IF(T7=0,"",AVERAGEIF($R$22:$R$29,R7,$U$22:$U$29))</f>
        <v/>
      </c>
      <c r="W7" t="s">
        <v>385</v>
      </c>
      <c r="X7" t="e">
        <f ca="1">DEVSQ(U8:U9)*T8</f>
        <v>#NUM!</v>
      </c>
      <c r="Y7">
        <f ca="1">COUNT(U8:U9)-1</f>
        <v>-1</v>
      </c>
      <c r="Z7" t="e">
        <f t="shared" ca="1" si="0"/>
        <v>#NUM!</v>
      </c>
      <c r="AA7" t="e">
        <f ca="1">Z7/Z12</f>
        <v>#NUM!</v>
      </c>
      <c r="AB7" t="e">
        <f ca="1">FDIST(AA7,Y7,Y12)</f>
        <v>#NUM!</v>
      </c>
      <c r="AC7" s="1094" t="e">
        <f ca="1">IF(AB7&lt;AB3,"yes","no")</f>
        <v>#NUM!</v>
      </c>
    </row>
    <row r="8" spans="1:29">
      <c r="A8" s="377" t="s">
        <v>342</v>
      </c>
      <c r="B8" s="376" t="s">
        <v>1075</v>
      </c>
      <c r="C8" s="9" t="s">
        <v>1079</v>
      </c>
      <c r="D8" s="8">
        <v>19</v>
      </c>
      <c r="E8" s="8">
        <v>28</v>
      </c>
      <c r="F8" s="8">
        <v>31</v>
      </c>
      <c r="G8" s="8">
        <v>23</v>
      </c>
      <c r="H8" s="8">
        <v>19</v>
      </c>
      <c r="I8" s="8">
        <v>14</v>
      </c>
      <c r="J8" s="8">
        <v>4</v>
      </c>
      <c r="K8" s="8">
        <v>29</v>
      </c>
      <c r="L8" s="8">
        <v>18</v>
      </c>
      <c r="M8" s="8">
        <v>22</v>
      </c>
      <c r="N8" s="8">
        <v>18</v>
      </c>
      <c r="O8" s="9">
        <v>24</v>
      </c>
      <c r="Q8" s="625"/>
      <c r="R8" s="8"/>
      <c r="S8" s="132" t="e">
        <f t="array" aca="1" ref="S8:S9" ca="1">[1]!ExtractUnique(C4:C11)</f>
        <v>#NAME?</v>
      </c>
      <c r="T8" s="625">
        <f ca="1">SUMIF($S$22:$S$29,S8,$T$22:$T$29)</f>
        <v>0</v>
      </c>
      <c r="U8" s="132" t="str">
        <f ca="1">IF(T8=0,"",AVERAGEIF($S$22:$S$29,S8,$U$22:$U$29))</f>
        <v/>
      </c>
      <c r="W8" t="s">
        <v>1043</v>
      </c>
      <c r="X8" t="e">
        <f ca="1">DEVSQ(U10:U13)*T10-X5-X6</f>
        <v>#NUM!</v>
      </c>
      <c r="Y8">
        <f ca="1">Y6*Y5</f>
        <v>1</v>
      </c>
      <c r="Z8" t="e">
        <f t="shared" ca="1" si="0"/>
        <v>#NUM!</v>
      </c>
      <c r="AA8" t="e">
        <f ca="1">Z8/Z12</f>
        <v>#NUM!</v>
      </c>
      <c r="AB8" t="e">
        <f ca="1">FDIST(AA8,Y8,Y12)</f>
        <v>#NUM!</v>
      </c>
      <c r="AC8" s="1094" t="e">
        <f ca="1">IF(AB8&lt;AB3,"yes","no")</f>
        <v>#NUM!</v>
      </c>
    </row>
    <row r="9" spans="1:29">
      <c r="A9" s="377" t="s">
        <v>342</v>
      </c>
      <c r="B9" s="376" t="s">
        <v>1075</v>
      </c>
      <c r="C9" s="9" t="s">
        <v>1080</v>
      </c>
      <c r="D9" s="8">
        <v>29</v>
      </c>
      <c r="E9" s="8">
        <v>25</v>
      </c>
      <c r="F9" s="8">
        <v>17</v>
      </c>
      <c r="G9" s="8">
        <v>12</v>
      </c>
      <c r="H9" s="8">
        <v>26</v>
      </c>
      <c r="I9" s="8">
        <v>35</v>
      </c>
      <c r="J9" s="8">
        <v>10</v>
      </c>
      <c r="K9" s="8">
        <v>23</v>
      </c>
      <c r="L9" s="8">
        <v>26</v>
      </c>
      <c r="M9" s="8">
        <v>18</v>
      </c>
      <c r="N9" s="8">
        <v>24</v>
      </c>
      <c r="O9" s="9">
        <v>16</v>
      </c>
      <c r="Q9" s="1075"/>
      <c r="R9" s="1076"/>
      <c r="S9" s="1077" t="e">
        <f ca="1"/>
        <v>#NAME?</v>
      </c>
      <c r="T9" s="1075">
        <f ca="1">SUMIF($S$22:$S$29,S9,$T$22:$T$29)</f>
        <v>0</v>
      </c>
      <c r="U9" s="1077" t="str">
        <f ca="1">IF(T9=0,"",AVERAGEIF($S$22:$S$29,S9,$U$22:$U$29))</f>
        <v/>
      </c>
      <c r="W9" t="s">
        <v>1045</v>
      </c>
      <c r="X9" t="e">
        <f ca="1">DEVSQ(U14:U17)*T14-X5-X7</f>
        <v>#NUM!</v>
      </c>
      <c r="Y9">
        <f ca="1">Y7*Y5</f>
        <v>1</v>
      </c>
      <c r="Z9" t="e">
        <f t="shared" ca="1" si="0"/>
        <v>#NUM!</v>
      </c>
      <c r="AA9" t="e">
        <f ca="1">Z9/Z12</f>
        <v>#NUM!</v>
      </c>
      <c r="AB9" t="e">
        <f ca="1">FDIST(AA9,Y8,Y12)</f>
        <v>#NUM!</v>
      </c>
      <c r="AC9" s="1094" t="e">
        <f ca="1">IF(AB9&lt;AB3,"yes","no")</f>
        <v>#NUM!</v>
      </c>
    </row>
    <row r="10" spans="1:29">
      <c r="A10" s="377" t="s">
        <v>342</v>
      </c>
      <c r="B10" s="376" t="s">
        <v>1076</v>
      </c>
      <c r="C10" s="9" t="s">
        <v>1079</v>
      </c>
      <c r="D10" s="8">
        <v>28</v>
      </c>
      <c r="E10" s="8">
        <v>37</v>
      </c>
      <c r="F10" s="8">
        <v>22</v>
      </c>
      <c r="G10" s="8">
        <v>44</v>
      </c>
      <c r="H10" s="8">
        <v>37</v>
      </c>
      <c r="I10" s="8">
        <v>42</v>
      </c>
      <c r="J10" s="8">
        <v>30</v>
      </c>
      <c r="K10" s="8">
        <v>37</v>
      </c>
      <c r="L10" s="8">
        <v>25</v>
      </c>
      <c r="M10" s="8">
        <v>38</v>
      </c>
      <c r="N10" s="8">
        <v>41</v>
      </c>
      <c r="O10" s="9">
        <v>28</v>
      </c>
      <c r="Q10" s="1104" t="e">
        <f ca="1">$Q$4</f>
        <v>#NAME?</v>
      </c>
      <c r="R10" s="1105" t="e">
        <f ca="1">$R6</f>
        <v>#NAME?</v>
      </c>
      <c r="S10" s="1106"/>
      <c r="T10" s="1104">
        <f ca="1">SUMIFS($T$22:$T$29,$Q$22:$Q$29,Q10,$R$22:$R$29,R10)</f>
        <v>0</v>
      </c>
      <c r="U10" s="1106" t="str">
        <f ca="1">IF(T10=0,"",AVERAGEIFS($U$22:$U$29,$Q$22:$Q$29,Q10,$R$22:$R$29,R10))</f>
        <v/>
      </c>
      <c r="W10" t="s">
        <v>1047</v>
      </c>
      <c r="X10" t="e">
        <f ca="1">DEVSQ(U18:U21)*T18-X6-X7</f>
        <v>#NUM!</v>
      </c>
      <c r="Y10">
        <f ca="1">Y7*Y6</f>
        <v>1</v>
      </c>
      <c r="Z10" t="e">
        <f t="shared" ca="1" si="0"/>
        <v>#NUM!</v>
      </c>
      <c r="AA10" t="e">
        <f ca="1">Z10/Z12</f>
        <v>#NUM!</v>
      </c>
      <c r="AB10" t="e">
        <f ca="1">FDIST(AA10,Y10,Y12)</f>
        <v>#NUM!</v>
      </c>
      <c r="AC10" s="1094" t="e">
        <f ca="1">IF(AB10&lt;AB3,"yes","no")</f>
        <v>#NUM!</v>
      </c>
    </row>
    <row r="11" spans="1:29">
      <c r="A11" s="10" t="s">
        <v>342</v>
      </c>
      <c r="B11" s="268" t="s">
        <v>1076</v>
      </c>
      <c r="C11" s="12" t="s">
        <v>1080</v>
      </c>
      <c r="D11" s="11">
        <v>35</v>
      </c>
      <c r="E11" s="11">
        <v>23</v>
      </c>
      <c r="F11" s="11">
        <v>24</v>
      </c>
      <c r="G11" s="11">
        <v>11</v>
      </c>
      <c r="H11" s="11">
        <v>23</v>
      </c>
      <c r="I11" s="11">
        <v>30</v>
      </c>
      <c r="J11" s="11">
        <v>26</v>
      </c>
      <c r="K11" s="11">
        <v>16</v>
      </c>
      <c r="L11" s="11">
        <v>23</v>
      </c>
      <c r="M11" s="11">
        <v>14</v>
      </c>
      <c r="N11" s="11">
        <v>19</v>
      </c>
      <c r="O11" s="12">
        <v>25</v>
      </c>
      <c r="Q11" s="625" t="e">
        <f ca="1">$Q$4</f>
        <v>#NAME?</v>
      </c>
      <c r="R11" s="8" t="e">
        <f ca="1">$R7</f>
        <v>#NAME?</v>
      </c>
      <c r="S11" s="132"/>
      <c r="T11" s="625">
        <f ca="1">SUMIFS($T$22:$T$29,$Q$22:$Q$29,Q11,$R$22:$R$29,R11)</f>
        <v>0</v>
      </c>
      <c r="U11" s="132" t="str">
        <f ca="1">IF(T11=0,"",AVERAGEIFS($U$22:$U$29,$Q$22:$Q$29,Q11,$R$22:$R$29,R11))</f>
        <v/>
      </c>
      <c r="W11" t="s">
        <v>1049</v>
      </c>
      <c r="X11" t="e">
        <f ca="1">DEVSQ(U22:U29)*T22-X10-X9-X8-X7-X6-X5</f>
        <v>#NUM!</v>
      </c>
      <c r="Y11">
        <f ca="1">Y7*Y6*Y5</f>
        <v>-1</v>
      </c>
      <c r="Z11" t="e">
        <f t="shared" ca="1" si="0"/>
        <v>#NUM!</v>
      </c>
      <c r="AA11" t="e">
        <f ca="1">Z11/Z12</f>
        <v>#NUM!</v>
      </c>
      <c r="AB11" t="e">
        <f ca="1">FDIST(AA11,Y11,Y12)</f>
        <v>#NUM!</v>
      </c>
      <c r="AC11" s="1094" t="e">
        <f ca="1">IF(AB11&lt;AB3,"yes","no")</f>
        <v>#NUM!</v>
      </c>
    </row>
    <row r="12" spans="1:29">
      <c r="Q12" s="625" t="e">
        <f ca="1">$Q$5</f>
        <v>#NAME?</v>
      </c>
      <c r="R12" s="8" t="e">
        <f ca="1">$R6</f>
        <v>#NAME?</v>
      </c>
      <c r="S12" s="132"/>
      <c r="T12" s="625">
        <f ca="1">SUMIFS($T$22:$T$29,$Q$22:$Q$29,Q12,$R$22:$R$29,R12)</f>
        <v>0</v>
      </c>
      <c r="U12" s="132" t="str">
        <f ca="1">IF(T12=0,"",AVERAGEIFS($U$22:$U$29,$Q$22:$Q$29,Q12,$R$22:$R$29,R12))</f>
        <v/>
      </c>
      <c r="W12" t="s">
        <v>1021</v>
      </c>
      <c r="X12" t="e">
        <f ca="1">X13-X11-X10-X9-X8-X7-X6-X5</f>
        <v>#NUM!</v>
      </c>
      <c r="Y12">
        <f ca="1">T30-(Y5+1)*(Y6+1)*(Y7+1)</f>
        <v>96</v>
      </c>
      <c r="Z12" t="e">
        <f t="shared" ca="1" si="0"/>
        <v>#NUM!</v>
      </c>
    </row>
    <row r="13" spans="1:29">
      <c r="Q13" s="1075" t="e">
        <f ca="1">$Q$5</f>
        <v>#NAME?</v>
      </c>
      <c r="R13" s="1076" t="e">
        <f ca="1">$R7</f>
        <v>#NAME?</v>
      </c>
      <c r="S13" s="1077"/>
      <c r="T13" s="1075">
        <f ca="1">SUMIFS($T$22:$T$29,$Q$22:$Q$29,Q13,$R$22:$R$29,R13)</f>
        <v>0</v>
      </c>
      <c r="U13" s="1077" t="str">
        <f ca="1">IF(T13=0,"",AVERAGEIFS($U$22:$U$29,$Q$22:$Q$29,Q13,$R$22:$R$29,R13))</f>
        <v/>
      </c>
      <c r="W13" s="1078" t="s">
        <v>12</v>
      </c>
      <c r="X13" s="1078">
        <f>U31</f>
        <v>6867.65625</v>
      </c>
      <c r="Y13" s="1078">
        <f>T30-1</f>
        <v>95</v>
      </c>
      <c r="Z13" s="1078">
        <f t="shared" si="0"/>
        <v>72.29111842105263</v>
      </c>
      <c r="AA13" s="1078"/>
      <c r="AB13" s="1078"/>
      <c r="AC13" s="1078"/>
    </row>
    <row r="14" spans="1:29">
      <c r="Q14" s="1104" t="e">
        <f ca="1">$Q$4</f>
        <v>#NAME?</v>
      </c>
      <c r="R14" s="1105"/>
      <c r="S14" s="1106" t="e">
        <f ca="1">$S8</f>
        <v>#NAME?</v>
      </c>
      <c r="T14" s="1104">
        <f ca="1">SUMIFS($T$22:$T$29,$Q$22:$Q$29,Q14,$S$22:$S$29,S14)</f>
        <v>0</v>
      </c>
      <c r="U14" s="1106" t="str">
        <f ca="1">IF(T14=0,"",AVERAGEIFS($U$22:$U$29,$Q$22:$Q$29,Q14,$S$22:$S$29,S14))</f>
        <v/>
      </c>
    </row>
    <row r="15" spans="1:29">
      <c r="Q15" s="625" t="e">
        <f ca="1">$Q$4</f>
        <v>#NAME?</v>
      </c>
      <c r="R15" s="8"/>
      <c r="S15" s="132" t="e">
        <f ca="1">$S9</f>
        <v>#NAME?</v>
      </c>
      <c r="T15" s="625">
        <f ca="1">SUMIFS($T$22:$T$29,$Q$22:$Q$29,Q15,$S$22:$S$29,S15)</f>
        <v>0</v>
      </c>
      <c r="U15" s="132" t="str">
        <f ca="1">IF(T15=0,"",AVERAGEIFS($U$22:$U$29,$Q$22:$Q$29,Q15,$S$22:$S$29,S15))</f>
        <v/>
      </c>
    </row>
    <row r="16" spans="1:29">
      <c r="Q16" s="625" t="e">
        <f ca="1">$Q$5</f>
        <v>#NAME?</v>
      </c>
      <c r="R16" s="8"/>
      <c r="S16" s="132" t="e">
        <f ca="1">$S8</f>
        <v>#NAME?</v>
      </c>
      <c r="T16" s="625">
        <f ca="1">SUMIFS($T$22:$T$29,$Q$22:$Q$29,Q16,$S$22:$S$29,S16)</f>
        <v>0</v>
      </c>
      <c r="U16" s="132" t="str">
        <f ca="1">IF(T16=0,"",AVERAGEIFS($U$22:$U$29,$Q$22:$Q$29,Q16,$S$22:$S$29,S16))</f>
        <v/>
      </c>
    </row>
    <row r="17" spans="17:21">
      <c r="Q17" s="1075" t="e">
        <f ca="1">$Q$5</f>
        <v>#NAME?</v>
      </c>
      <c r="R17" s="1076"/>
      <c r="S17" s="1077" t="e">
        <f ca="1">$S9</f>
        <v>#NAME?</v>
      </c>
      <c r="T17" s="1075">
        <f ca="1">SUMIFS($T$22:$T$29,$Q$22:$Q$29,Q17,$S$22:$S$29,S17)</f>
        <v>0</v>
      </c>
      <c r="U17" s="1077" t="str">
        <f ca="1">IF(T17=0,"",AVERAGEIFS($U$22:$U$29,$Q$22:$Q$29,Q17,$S$22:$S$29,S17))</f>
        <v/>
      </c>
    </row>
    <row r="18" spans="17:21">
      <c r="Q18" s="1104"/>
      <c r="R18" s="1105" t="e">
        <f ca="1">$R$6</f>
        <v>#NAME?</v>
      </c>
      <c r="S18" s="1106" t="e">
        <f ca="1">$S8</f>
        <v>#NAME?</v>
      </c>
      <c r="T18" s="1104">
        <f ca="1">SUMIFS($T$22:$T$29,$R$22:$R$29,R18,$S$22:$S$29,S18)</f>
        <v>0</v>
      </c>
      <c r="U18" s="1106" t="str">
        <f ca="1">IF(T18=0,"",AVERAGEIFS($U$22:$U$29,$R$22:$R$29,R18,$S$22:$S$29,S18))</f>
        <v/>
      </c>
    </row>
    <row r="19" spans="17:21">
      <c r="Q19" s="625"/>
      <c r="R19" s="8" t="e">
        <f ca="1">$R$6</f>
        <v>#NAME?</v>
      </c>
      <c r="S19" s="132" t="e">
        <f ca="1">$S9</f>
        <v>#NAME?</v>
      </c>
      <c r="T19" s="625">
        <f ca="1">SUMIFS($T$22:$T$29,$R$22:$R$29,R19,$S$22:$S$29,S19)</f>
        <v>0</v>
      </c>
      <c r="U19" s="132" t="str">
        <f ca="1">IF(T19=0,"",AVERAGEIFS($U$22:$U$29,$R$22:$R$29,R19,$S$22:$S$29,S19))</f>
        <v/>
      </c>
    </row>
    <row r="20" spans="17:21">
      <c r="Q20" s="625"/>
      <c r="R20" s="8" t="e">
        <f ca="1">$R$7</f>
        <v>#NAME?</v>
      </c>
      <c r="S20" s="132" t="e">
        <f ca="1">$S8</f>
        <v>#NAME?</v>
      </c>
      <c r="T20" s="625">
        <f ca="1">SUMIFS($T$22:$T$29,$R$22:$R$29,R20,$S$22:$S$29,S20)</f>
        <v>0</v>
      </c>
      <c r="U20" s="132" t="str">
        <f ca="1">IF(T20=0,"",AVERAGEIFS($U$22:$U$29,$R$22:$R$29,R20,$S$22:$S$29,S20))</f>
        <v/>
      </c>
    </row>
    <row r="21" spans="17:21">
      <c r="Q21" s="1075"/>
      <c r="R21" s="1076" t="e">
        <f ca="1">$R$7</f>
        <v>#NAME?</v>
      </c>
      <c r="S21" s="1077" t="e">
        <f ca="1">$S9</f>
        <v>#NAME?</v>
      </c>
      <c r="T21" s="1075">
        <f ca="1">SUMIFS($T$22:$T$29,$R$22:$R$29,R21,$S$22:$S$29,S21)</f>
        <v>0</v>
      </c>
      <c r="U21" s="1077" t="str">
        <f ca="1">IF(T21=0,"",AVERAGEIFS($U$22:$U$29,$R$22:$R$29,R21,$S$22:$S$29,S21))</f>
        <v/>
      </c>
    </row>
    <row r="22" spans="17:21">
      <c r="Q22" s="1104" t="str">
        <f>A4</f>
        <v>Male</v>
      </c>
      <c r="R22" s="1105" t="str">
        <f>B4</f>
        <v>Italian</v>
      </c>
      <c r="S22" s="1106" t="str">
        <f>C4</f>
        <v>Seated</v>
      </c>
      <c r="T22" s="1104">
        <f>COUNT(D4:O4)</f>
        <v>12</v>
      </c>
      <c r="U22" s="1106">
        <f>AVERAGE(D4:O4)</f>
        <v>24.75</v>
      </c>
    </row>
    <row r="23" spans="17:21">
      <c r="Q23" s="625" t="str">
        <f t="shared" ref="Q23:Q29" si="1">A5</f>
        <v>Male</v>
      </c>
      <c r="R23" s="8" t="str">
        <f t="shared" ref="R23:R29" si="2">B5</f>
        <v>Italian</v>
      </c>
      <c r="S23" s="132" t="str">
        <f t="shared" ref="S23:S29" si="3">C5</f>
        <v>Prone</v>
      </c>
      <c r="T23" s="625">
        <f t="shared" ref="T23:T29" si="4">COUNT(D5:O5)</f>
        <v>12</v>
      </c>
      <c r="U23" s="132">
        <f t="shared" ref="U23:U29" si="5">AVERAGE(D5:O5)</f>
        <v>19.75</v>
      </c>
    </row>
    <row r="24" spans="17:21">
      <c r="Q24" s="625" t="str">
        <f t="shared" si="1"/>
        <v>Male</v>
      </c>
      <c r="R24" s="8" t="str">
        <f t="shared" si="2"/>
        <v>Foreign</v>
      </c>
      <c r="S24" s="132" t="str">
        <f t="shared" si="3"/>
        <v>Seated</v>
      </c>
      <c r="T24" s="625">
        <f t="shared" si="4"/>
        <v>12</v>
      </c>
      <c r="U24" s="132">
        <f t="shared" si="5"/>
        <v>21.083333333333332</v>
      </c>
    </row>
    <row r="25" spans="17:21">
      <c r="Q25" s="625" t="str">
        <f t="shared" si="1"/>
        <v>Male</v>
      </c>
      <c r="R25" s="8" t="str">
        <f t="shared" si="2"/>
        <v>Foreign</v>
      </c>
      <c r="S25" s="132" t="str">
        <f t="shared" si="3"/>
        <v>Prone</v>
      </c>
      <c r="T25" s="625">
        <f t="shared" si="4"/>
        <v>12</v>
      </c>
      <c r="U25" s="132">
        <f t="shared" si="5"/>
        <v>32.666666666666664</v>
      </c>
    </row>
    <row r="26" spans="17:21">
      <c r="Q26" s="625" t="str">
        <f t="shared" si="1"/>
        <v>Female</v>
      </c>
      <c r="R26" s="8" t="str">
        <f t="shared" si="2"/>
        <v>Italian</v>
      </c>
      <c r="S26" s="132" t="str">
        <f t="shared" si="3"/>
        <v>Seated</v>
      </c>
      <c r="T26" s="625">
        <f t="shared" si="4"/>
        <v>12</v>
      </c>
      <c r="U26" s="132">
        <f t="shared" si="5"/>
        <v>20.75</v>
      </c>
    </row>
    <row r="27" spans="17:21">
      <c r="Q27" s="625" t="str">
        <f t="shared" si="1"/>
        <v>Female</v>
      </c>
      <c r="R27" s="8" t="str">
        <f t="shared" si="2"/>
        <v>Italian</v>
      </c>
      <c r="S27" s="132" t="str">
        <f t="shared" si="3"/>
        <v>Prone</v>
      </c>
      <c r="T27" s="625">
        <f t="shared" si="4"/>
        <v>12</v>
      </c>
      <c r="U27" s="132">
        <f t="shared" si="5"/>
        <v>21.75</v>
      </c>
    </row>
    <row r="28" spans="17:21">
      <c r="Q28" s="625" t="str">
        <f t="shared" si="1"/>
        <v>Female</v>
      </c>
      <c r="R28" s="8" t="str">
        <f t="shared" si="2"/>
        <v>Foreign</v>
      </c>
      <c r="S28" s="132" t="str">
        <f t="shared" si="3"/>
        <v>Seated</v>
      </c>
      <c r="T28" s="625">
        <f t="shared" si="4"/>
        <v>12</v>
      </c>
      <c r="U28" s="132">
        <f t="shared" si="5"/>
        <v>34.083333333333336</v>
      </c>
    </row>
    <row r="29" spans="17:21">
      <c r="Q29" s="1075" t="str">
        <f t="shared" si="1"/>
        <v>Female</v>
      </c>
      <c r="R29" s="1076" t="str">
        <f t="shared" si="2"/>
        <v>Foreign</v>
      </c>
      <c r="S29" s="1077" t="str">
        <f t="shared" si="3"/>
        <v>Prone</v>
      </c>
      <c r="T29" s="1075">
        <f t="shared" si="4"/>
        <v>12</v>
      </c>
      <c r="U29" s="1077">
        <f t="shared" si="5"/>
        <v>22.416666666666668</v>
      </c>
    </row>
    <row r="30" spans="17:21">
      <c r="T30">
        <f>SUM(T22:T29)</f>
        <v>96</v>
      </c>
      <c r="U30">
        <f>AVERAGE(U22:U29)</f>
        <v>24.65625</v>
      </c>
    </row>
    <row r="31" spans="17:21">
      <c r="T31" s="19" t="s">
        <v>1040</v>
      </c>
      <c r="U31" s="1107">
        <f>DEVSQ(D4:O11)</f>
        <v>6867.65625</v>
      </c>
    </row>
  </sheetData>
  <mergeCells count="1">
    <mergeCell ref="D3:O3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sheetPr codeName="Sheet261"/>
  <dimension ref="A1:R98"/>
  <sheetViews>
    <sheetView workbookViewId="0"/>
  </sheetViews>
  <sheetFormatPr defaultRowHeight="14.4"/>
  <sheetData>
    <row r="1" spans="1:18">
      <c r="A1" s="1" t="s">
        <v>2856</v>
      </c>
      <c r="F1" t="s">
        <v>95</v>
      </c>
      <c r="L1" t="s">
        <v>2853</v>
      </c>
    </row>
    <row r="3" spans="1:18" ht="15" thickBot="1">
      <c r="A3" s="1104" t="e">
        <f t="array" aca="1" ref="A3:D98" ca="1">[1]!Anova3Cols('ANOVA 3.2'!A4:O11)</f>
        <v>#NAME?</v>
      </c>
      <c r="B3" s="1105" t="e">
        <f ca="1"/>
        <v>#NAME?</v>
      </c>
      <c r="C3" s="1105" t="e">
        <f ca="1"/>
        <v>#NAME?</v>
      </c>
      <c r="D3" s="1106" t="e">
        <f ca="1"/>
        <v>#NAME?</v>
      </c>
      <c r="I3" s="19" t="s">
        <v>88</v>
      </c>
      <c r="J3" s="19" t="s">
        <v>76</v>
      </c>
      <c r="L3" t="s">
        <v>695</v>
      </c>
      <c r="P3" s="1094" t="s">
        <v>116</v>
      </c>
      <c r="Q3" s="1094">
        <v>0.05</v>
      </c>
    </row>
    <row r="4" spans="1:18" ht="15" thickTop="1">
      <c r="A4" s="625" t="e">
        <f ca="1"/>
        <v>#NAME?</v>
      </c>
      <c r="B4" s="8" t="e">
        <f ca="1"/>
        <v>#NAME?</v>
      </c>
      <c r="C4" s="8" t="e">
        <f ca="1"/>
        <v>#NAME?</v>
      </c>
      <c r="D4" s="132" t="e">
        <f ca="1"/>
        <v>#NAME?</v>
      </c>
      <c r="F4" s="1104" t="e">
        <f t="array" aca="1" ref="F4:F5" ca="1">[1]!SortUnique(A3:A98)</f>
        <v>#NAME?</v>
      </c>
      <c r="G4" s="1105"/>
      <c r="H4" s="1106"/>
      <c r="I4" s="1104">
        <f ca="1">SUMIF($F$22:$F$29,F4,$I$22:$I$29)</f>
        <v>768</v>
      </c>
      <c r="J4" s="1106" t="e">
        <f ca="1">IF(I4=0,"",AVERAGEIF($F$22:$F$29,F4,$J$22:$J$29))</f>
        <v>#NAME?</v>
      </c>
      <c r="L4" s="1070"/>
      <c r="M4" s="1070" t="s">
        <v>578</v>
      </c>
      <c r="N4" s="1070" t="s">
        <v>186</v>
      </c>
      <c r="O4" s="1070" t="s">
        <v>641</v>
      </c>
      <c r="P4" s="1070" t="s">
        <v>388</v>
      </c>
      <c r="Q4" s="1070" t="s">
        <v>200</v>
      </c>
      <c r="R4" s="1070" t="s">
        <v>948</v>
      </c>
    </row>
    <row r="5" spans="1:18">
      <c r="A5" s="625" t="e">
        <f ca="1"/>
        <v>#NAME?</v>
      </c>
      <c r="B5" s="8" t="e">
        <f ca="1"/>
        <v>#NAME?</v>
      </c>
      <c r="C5" s="8" t="e">
        <f ca="1"/>
        <v>#NAME?</v>
      </c>
      <c r="D5" s="132" t="e">
        <f ca="1"/>
        <v>#NAME?</v>
      </c>
      <c r="F5" s="625" t="e">
        <f ca="1"/>
        <v>#NAME?</v>
      </c>
      <c r="G5" s="8"/>
      <c r="H5" s="132"/>
      <c r="I5" s="625">
        <f ca="1">SUMIF($F$22:$F$29,F5,$I$22:$I$29)</f>
        <v>768</v>
      </c>
      <c r="J5" s="132" t="e">
        <f ca="1">IF(I5=0,"",AVERAGEIF($F$22:$F$29,F5,$J$22:$J$29))</f>
        <v>#NAME?</v>
      </c>
      <c r="L5" t="s">
        <v>526</v>
      </c>
      <c r="M5" t="e">
        <f t="array" aca="1" ref="M5:M12" ca="1">[1]!SSAnova3(A3:D98)</f>
        <v>#NAME?</v>
      </c>
      <c r="N5">
        <f ca="1">COUNT(J4:J5)-1</f>
        <v>-1</v>
      </c>
      <c r="O5" t="e">
        <f t="shared" ref="O5:O13" ca="1" si="0">M5/N5</f>
        <v>#NAME?</v>
      </c>
      <c r="P5" t="e">
        <f ca="1">O5/O12</f>
        <v>#NAME?</v>
      </c>
      <c r="Q5" t="e">
        <f ca="1">FDIST(P5,N5,N12)</f>
        <v>#NAME?</v>
      </c>
      <c r="R5" s="1094" t="e">
        <f ca="1">IF(Q5&lt;Q3,"yes","no")</f>
        <v>#NAME?</v>
      </c>
    </row>
    <row r="6" spans="1:18">
      <c r="A6" s="625" t="e">
        <f ca="1"/>
        <v>#NAME?</v>
      </c>
      <c r="B6" s="8" t="e">
        <f ca="1"/>
        <v>#NAME?</v>
      </c>
      <c r="C6" s="8" t="e">
        <f ca="1"/>
        <v>#NAME?</v>
      </c>
      <c r="D6" s="132" t="e">
        <f ca="1"/>
        <v>#NAME?</v>
      </c>
      <c r="F6" s="625"/>
      <c r="G6" s="8" t="e">
        <f t="array" aca="1" ref="G6:G7" ca="1">[1]!SortUnique(B3:B98)</f>
        <v>#NAME?</v>
      </c>
      <c r="H6" s="132"/>
      <c r="I6" s="625">
        <f ca="1">SUMIF($G$22:$G$29,G6,$I$22:$I$29)</f>
        <v>768</v>
      </c>
      <c r="J6" s="132" t="e">
        <f ca="1">IF(I6=0,"",AVERAGEIF($G$22:$G$29,G6,$J$22:$J$29))</f>
        <v>#NAME?</v>
      </c>
      <c r="L6" t="s">
        <v>384</v>
      </c>
      <c r="M6" t="e">
        <f ca="1"/>
        <v>#NAME?</v>
      </c>
      <c r="N6">
        <f ca="1">COUNT(J6:J7)-1</f>
        <v>-1</v>
      </c>
      <c r="O6" t="e">
        <f t="shared" ca="1" si="0"/>
        <v>#NAME?</v>
      </c>
      <c r="P6" t="e">
        <f ca="1">O6/O12</f>
        <v>#NAME?</v>
      </c>
      <c r="Q6" t="e">
        <f ca="1">FDIST(P6,N6,N12)</f>
        <v>#NAME?</v>
      </c>
      <c r="R6" s="1094" t="e">
        <f ca="1">IF(Q6&lt;Q3,"yes","no")</f>
        <v>#NAME?</v>
      </c>
    </row>
    <row r="7" spans="1:18">
      <c r="A7" s="625" t="e">
        <f ca="1"/>
        <v>#NAME?</v>
      </c>
      <c r="B7" s="8" t="e">
        <f ca="1"/>
        <v>#NAME?</v>
      </c>
      <c r="C7" s="8" t="e">
        <f ca="1"/>
        <v>#NAME?</v>
      </c>
      <c r="D7" s="132" t="e">
        <f ca="1"/>
        <v>#NAME?</v>
      </c>
      <c r="F7" s="625"/>
      <c r="G7" s="8" t="e">
        <f ca="1"/>
        <v>#NAME?</v>
      </c>
      <c r="H7" s="132"/>
      <c r="I7" s="625">
        <f ca="1">SUMIF($G$22:$G$29,G7,$I$22:$I$29)</f>
        <v>768</v>
      </c>
      <c r="J7" s="132" t="e">
        <f ca="1">IF(I7=0,"",AVERAGEIF($G$22:$G$29,G7,$J$22:$J$29))</f>
        <v>#NAME?</v>
      </c>
      <c r="L7" t="s">
        <v>385</v>
      </c>
      <c r="M7" t="e">
        <f ca="1"/>
        <v>#NAME?</v>
      </c>
      <c r="N7">
        <f ca="1">COUNT(J8:J9)-1</f>
        <v>-1</v>
      </c>
      <c r="O7" t="e">
        <f t="shared" ca="1" si="0"/>
        <v>#NAME?</v>
      </c>
      <c r="P7" t="e">
        <f ca="1">O7/O12</f>
        <v>#NAME?</v>
      </c>
      <c r="Q7" t="e">
        <f ca="1">FDIST(P7,N7,N12)</f>
        <v>#NAME?</v>
      </c>
      <c r="R7" s="1094" t="e">
        <f ca="1">IF(Q7&lt;Q3,"yes","no")</f>
        <v>#NAME?</v>
      </c>
    </row>
    <row r="8" spans="1:18">
      <c r="A8" s="625" t="e">
        <f ca="1"/>
        <v>#NAME?</v>
      </c>
      <c r="B8" s="8" t="e">
        <f ca="1"/>
        <v>#NAME?</v>
      </c>
      <c r="C8" s="8" t="e">
        <f ca="1"/>
        <v>#NAME?</v>
      </c>
      <c r="D8" s="132" t="e">
        <f ca="1"/>
        <v>#NAME?</v>
      </c>
      <c r="F8" s="625"/>
      <c r="G8" s="8"/>
      <c r="H8" s="132" t="e">
        <f t="array" aca="1" ref="H8:H9" ca="1">[1]!SortUnique(C3:C98)</f>
        <v>#NAME?</v>
      </c>
      <c r="I8" s="625">
        <f ca="1">SUMIF($H$22:$H$29,H8,$I$22:$I$29)</f>
        <v>768</v>
      </c>
      <c r="J8" s="132" t="e">
        <f ca="1">IF(I8=0,"",AVERAGEIF($H$22:$H$29,H8,$J$22:$J$29))</f>
        <v>#NAME?</v>
      </c>
      <c r="L8" t="s">
        <v>1043</v>
      </c>
      <c r="M8" t="e">
        <f ca="1"/>
        <v>#NAME?</v>
      </c>
      <c r="N8">
        <f ca="1">N6*N5</f>
        <v>1</v>
      </c>
      <c r="O8" t="e">
        <f t="shared" ca="1" si="0"/>
        <v>#NAME?</v>
      </c>
      <c r="P8" t="e">
        <f ca="1">O8/O12</f>
        <v>#NAME?</v>
      </c>
      <c r="Q8" t="e">
        <f ca="1">FDIST(P8,N8,N12)</f>
        <v>#NAME?</v>
      </c>
      <c r="R8" s="1094" t="e">
        <f ca="1">IF(Q8&lt;Q3,"yes","no")</f>
        <v>#NAME?</v>
      </c>
    </row>
    <row r="9" spans="1:18">
      <c r="A9" s="625" t="e">
        <f ca="1"/>
        <v>#NAME?</v>
      </c>
      <c r="B9" s="8" t="e">
        <f ca="1"/>
        <v>#NAME?</v>
      </c>
      <c r="C9" s="8" t="e">
        <f ca="1"/>
        <v>#NAME?</v>
      </c>
      <c r="D9" s="132" t="e">
        <f ca="1"/>
        <v>#NAME?</v>
      </c>
      <c r="F9" s="1075"/>
      <c r="G9" s="1076"/>
      <c r="H9" s="1077" t="e">
        <f ca="1"/>
        <v>#NAME?</v>
      </c>
      <c r="I9" s="1075">
        <f ca="1">SUMIF($H$22:$H$29,H9,$I$22:$I$29)</f>
        <v>768</v>
      </c>
      <c r="J9" s="1077" t="e">
        <f ca="1">IF(I9=0,"",AVERAGEIF($H$22:$H$29,H9,$J$22:$J$29))</f>
        <v>#NAME?</v>
      </c>
      <c r="L9" t="s">
        <v>1045</v>
      </c>
      <c r="M9" t="e">
        <f ca="1"/>
        <v>#NAME?</v>
      </c>
      <c r="N9">
        <f ca="1">N7*N5</f>
        <v>1</v>
      </c>
      <c r="O9" t="e">
        <f t="shared" ca="1" si="0"/>
        <v>#NAME?</v>
      </c>
      <c r="P9" t="e">
        <f ca="1">O9/O12</f>
        <v>#NAME?</v>
      </c>
      <c r="Q9" t="e">
        <f ca="1">FDIST(P9,N8,N12)</f>
        <v>#NAME?</v>
      </c>
      <c r="R9" s="1094" t="e">
        <f ca="1">IF(Q9&lt;Q3,"yes","no")</f>
        <v>#NAME?</v>
      </c>
    </row>
    <row r="10" spans="1:18">
      <c r="A10" s="625" t="e">
        <f ca="1"/>
        <v>#NAME?</v>
      </c>
      <c r="B10" s="8" t="e">
        <f ca="1"/>
        <v>#NAME?</v>
      </c>
      <c r="C10" s="8" t="e">
        <f ca="1"/>
        <v>#NAME?</v>
      </c>
      <c r="D10" s="132" t="e">
        <f ca="1"/>
        <v>#NAME?</v>
      </c>
      <c r="F10" s="1104" t="e">
        <f ca="1">$F$4</f>
        <v>#NAME?</v>
      </c>
      <c r="G10" s="1105" t="e">
        <f ca="1">$G6</f>
        <v>#NAME?</v>
      </c>
      <c r="H10" s="1106"/>
      <c r="I10" s="1104">
        <f ca="1">SUMIFS($I$22:$I$29,$F$22:$F$29,F10,$G$22:$G$29,G10)</f>
        <v>768</v>
      </c>
      <c r="J10" s="1106" t="e">
        <f ca="1">IF(I10=0,"",AVERAGEIFS($J$22:$J$29,$F$22:$F$29,F10,$G$22:$G$29,G10))</f>
        <v>#NAME?</v>
      </c>
      <c r="L10" t="s">
        <v>1047</v>
      </c>
      <c r="M10" t="e">
        <f ca="1"/>
        <v>#NAME?</v>
      </c>
      <c r="N10">
        <f ca="1">N7*N6</f>
        <v>1</v>
      </c>
      <c r="O10" t="e">
        <f t="shared" ca="1" si="0"/>
        <v>#NAME?</v>
      </c>
      <c r="P10" t="e">
        <f ca="1">O10/O12</f>
        <v>#NAME?</v>
      </c>
      <c r="Q10" t="e">
        <f ca="1">FDIST(P10,N10,N12)</f>
        <v>#NAME?</v>
      </c>
      <c r="R10" s="1094" t="e">
        <f ca="1">IF(Q10&lt;Q3,"yes","no")</f>
        <v>#NAME?</v>
      </c>
    </row>
    <row r="11" spans="1:18">
      <c r="A11" s="625" t="e">
        <f ca="1"/>
        <v>#NAME?</v>
      </c>
      <c r="B11" s="8" t="e">
        <f ca="1"/>
        <v>#NAME?</v>
      </c>
      <c r="C11" s="8" t="e">
        <f ca="1"/>
        <v>#NAME?</v>
      </c>
      <c r="D11" s="132" t="e">
        <f ca="1"/>
        <v>#NAME?</v>
      </c>
      <c r="F11" s="625" t="e">
        <f ca="1">$F$4</f>
        <v>#NAME?</v>
      </c>
      <c r="G11" s="8" t="e">
        <f ca="1">$G7</f>
        <v>#NAME?</v>
      </c>
      <c r="H11" s="132"/>
      <c r="I11" s="625">
        <f ca="1">SUMIFS($I$22:$I$29,$F$22:$F$29,F11,$G$22:$G$29,G11)</f>
        <v>768</v>
      </c>
      <c r="J11" s="132" t="e">
        <f ca="1">IF(I11=0,"",AVERAGEIFS($J$22:$J$29,$F$22:$F$29,F11,$G$22:$G$29,G11))</f>
        <v>#NAME?</v>
      </c>
      <c r="L11" t="s">
        <v>1049</v>
      </c>
      <c r="M11" t="e">
        <f ca="1"/>
        <v>#NAME?</v>
      </c>
      <c r="N11">
        <f ca="1">N7*N6*N5</f>
        <v>-1</v>
      </c>
      <c r="O11" t="e">
        <f t="shared" ca="1" si="0"/>
        <v>#NAME?</v>
      </c>
      <c r="P11" t="e">
        <f ca="1">O11/O12</f>
        <v>#NAME?</v>
      </c>
      <c r="Q11" t="e">
        <f ca="1">FDIST(P11,N11,N12)</f>
        <v>#NAME?</v>
      </c>
      <c r="R11" s="1094" t="e">
        <f ca="1">IF(Q11&lt;Q3,"yes","no")</f>
        <v>#NAME?</v>
      </c>
    </row>
    <row r="12" spans="1:18">
      <c r="A12" s="625" t="e">
        <f ca="1"/>
        <v>#NAME?</v>
      </c>
      <c r="B12" s="8" t="e">
        <f ca="1"/>
        <v>#NAME?</v>
      </c>
      <c r="C12" s="8" t="e">
        <f ca="1"/>
        <v>#NAME?</v>
      </c>
      <c r="D12" s="132" t="e">
        <f ca="1"/>
        <v>#NAME?</v>
      </c>
      <c r="F12" s="625" t="e">
        <f ca="1">$F$5</f>
        <v>#NAME?</v>
      </c>
      <c r="G12" s="8" t="e">
        <f ca="1">$G6</f>
        <v>#NAME?</v>
      </c>
      <c r="H12" s="132"/>
      <c r="I12" s="625">
        <f ca="1">SUMIFS($I$22:$I$29,$F$22:$F$29,F12,$G$22:$G$29,G12)</f>
        <v>768</v>
      </c>
      <c r="J12" s="132" t="e">
        <f ca="1">IF(I12=0,"",AVERAGEIFS($J$22:$J$29,$F$22:$F$29,F12,$G$22:$G$29,G12))</f>
        <v>#NAME?</v>
      </c>
      <c r="L12" t="s">
        <v>1021</v>
      </c>
      <c r="M12" t="e">
        <f ca="1"/>
        <v>#NAME?</v>
      </c>
      <c r="N12">
        <f ca="1">I30-(N5+1)*(N6+1)*(N7+1)</f>
        <v>768</v>
      </c>
      <c r="O12" t="e">
        <f t="shared" ca="1" si="0"/>
        <v>#NAME?</v>
      </c>
    </row>
    <row r="13" spans="1:18">
      <c r="A13" s="625" t="e">
        <f ca="1"/>
        <v>#NAME?</v>
      </c>
      <c r="B13" s="8" t="e">
        <f ca="1"/>
        <v>#NAME?</v>
      </c>
      <c r="C13" s="8" t="e">
        <f ca="1"/>
        <v>#NAME?</v>
      </c>
      <c r="D13" s="132" t="e">
        <f ca="1"/>
        <v>#NAME?</v>
      </c>
      <c r="F13" s="1075" t="e">
        <f ca="1">$F$5</f>
        <v>#NAME?</v>
      </c>
      <c r="G13" s="1076" t="e">
        <f ca="1">$G7</f>
        <v>#NAME?</v>
      </c>
      <c r="H13" s="1077"/>
      <c r="I13" s="1075">
        <f ca="1">SUMIFS($I$22:$I$29,$F$22:$F$29,F13,$G$22:$G$29,G13)</f>
        <v>768</v>
      </c>
      <c r="J13" s="1077" t="e">
        <f ca="1">IF(I13=0,"",AVERAGEIFS($J$22:$J$29,$F$22:$F$29,F13,$G$22:$G$29,G13))</f>
        <v>#NAME?</v>
      </c>
      <c r="L13" s="1078" t="s">
        <v>12</v>
      </c>
      <c r="M13" s="1078" t="e">
        <f ca="1">J31</f>
        <v>#NAME?</v>
      </c>
      <c r="N13" s="1078">
        <f ca="1">I30-1</f>
        <v>767</v>
      </c>
      <c r="O13" s="1078" t="e">
        <f t="shared" ca="1" si="0"/>
        <v>#NAME?</v>
      </c>
      <c r="P13" s="1078"/>
      <c r="Q13" s="1078"/>
      <c r="R13" s="1078"/>
    </row>
    <row r="14" spans="1:18">
      <c r="A14" s="625" t="e">
        <f ca="1"/>
        <v>#NAME?</v>
      </c>
      <c r="B14" s="8" t="e">
        <f ca="1"/>
        <v>#NAME?</v>
      </c>
      <c r="C14" s="8" t="e">
        <f ca="1"/>
        <v>#NAME?</v>
      </c>
      <c r="D14" s="132" t="e">
        <f ca="1"/>
        <v>#NAME?</v>
      </c>
      <c r="F14" s="1104" t="e">
        <f ca="1">$F$4</f>
        <v>#NAME?</v>
      </c>
      <c r="G14" s="1105"/>
      <c r="H14" s="1106" t="e">
        <f ca="1">$H8</f>
        <v>#NAME?</v>
      </c>
      <c r="I14" s="1104">
        <f ca="1">SUMIFS($I$22:$I$29,$F$22:$F$29,F14,$H$22:$H$29,H14)</f>
        <v>768</v>
      </c>
      <c r="J14" s="1106" t="e">
        <f ca="1">IF(I14=0,"",AVERAGEIFS($J$22:$J$29,$F$22:$F$29,F14,$H$22:$H$29,H14))</f>
        <v>#NAME?</v>
      </c>
    </row>
    <row r="15" spans="1:18">
      <c r="A15" s="625" t="e">
        <f ca="1"/>
        <v>#NAME?</v>
      </c>
      <c r="B15" s="8" t="e">
        <f ca="1"/>
        <v>#NAME?</v>
      </c>
      <c r="C15" s="8" t="e">
        <f ca="1"/>
        <v>#NAME?</v>
      </c>
      <c r="D15" s="132" t="e">
        <f ca="1"/>
        <v>#NAME?</v>
      </c>
      <c r="F15" s="625" t="e">
        <f ca="1">$F$4</f>
        <v>#NAME?</v>
      </c>
      <c r="G15" s="8"/>
      <c r="H15" s="132" t="e">
        <f ca="1">$H9</f>
        <v>#NAME?</v>
      </c>
      <c r="I15" s="625">
        <f ca="1">SUMIFS($I$22:$I$29,$F$22:$F$29,F15,$H$22:$H$29,H15)</f>
        <v>768</v>
      </c>
      <c r="J15" s="132" t="e">
        <f ca="1">IF(I15=0,"",AVERAGEIFS($J$22:$J$29,$F$22:$F$29,F15,$H$22:$H$29,H15))</f>
        <v>#NAME?</v>
      </c>
    </row>
    <row r="16" spans="1:18">
      <c r="A16" s="625" t="e">
        <f ca="1"/>
        <v>#NAME?</v>
      </c>
      <c r="B16" s="8" t="e">
        <f ca="1"/>
        <v>#NAME?</v>
      </c>
      <c r="C16" s="8" t="e">
        <f ca="1"/>
        <v>#NAME?</v>
      </c>
      <c r="D16" s="132" t="e">
        <f ca="1"/>
        <v>#NAME?</v>
      </c>
      <c r="F16" s="625" t="e">
        <f ca="1">$F$5</f>
        <v>#NAME?</v>
      </c>
      <c r="G16" s="8"/>
      <c r="H16" s="132" t="e">
        <f ca="1">$H8</f>
        <v>#NAME?</v>
      </c>
      <c r="I16" s="625">
        <f ca="1">SUMIFS($I$22:$I$29,$F$22:$F$29,F16,$H$22:$H$29,H16)</f>
        <v>768</v>
      </c>
      <c r="J16" s="132" t="e">
        <f ca="1">IF(I16=0,"",AVERAGEIFS($J$22:$J$29,$F$22:$F$29,F16,$H$22:$H$29,H16))</f>
        <v>#NAME?</v>
      </c>
    </row>
    <row r="17" spans="1:10">
      <c r="A17" s="625" t="e">
        <f ca="1"/>
        <v>#NAME?</v>
      </c>
      <c r="B17" s="8" t="e">
        <f ca="1"/>
        <v>#NAME?</v>
      </c>
      <c r="C17" s="8" t="e">
        <f ca="1"/>
        <v>#NAME?</v>
      </c>
      <c r="D17" s="132" t="e">
        <f ca="1"/>
        <v>#NAME?</v>
      </c>
      <c r="F17" s="1075" t="e">
        <f ca="1">$F$5</f>
        <v>#NAME?</v>
      </c>
      <c r="G17" s="1076"/>
      <c r="H17" s="1077" t="e">
        <f ca="1">$H9</f>
        <v>#NAME?</v>
      </c>
      <c r="I17" s="1075">
        <f ca="1">SUMIFS($I$22:$I$29,$F$22:$F$29,F17,$H$22:$H$29,H17)</f>
        <v>768</v>
      </c>
      <c r="J17" s="1077" t="e">
        <f ca="1">IF(I17=0,"",AVERAGEIFS($J$22:$J$29,$F$22:$F$29,F17,$H$22:$H$29,H17))</f>
        <v>#NAME?</v>
      </c>
    </row>
    <row r="18" spans="1:10">
      <c r="A18" s="625" t="e">
        <f ca="1"/>
        <v>#NAME?</v>
      </c>
      <c r="B18" s="8" t="e">
        <f ca="1"/>
        <v>#NAME?</v>
      </c>
      <c r="C18" s="8" t="e">
        <f ca="1"/>
        <v>#NAME?</v>
      </c>
      <c r="D18" s="132" t="e">
        <f ca="1"/>
        <v>#NAME?</v>
      </c>
      <c r="F18" s="1104"/>
      <c r="G18" s="1105" t="e">
        <f ca="1">$G$6</f>
        <v>#NAME?</v>
      </c>
      <c r="H18" s="1106" t="e">
        <f ca="1">$H8</f>
        <v>#NAME?</v>
      </c>
      <c r="I18" s="1104">
        <f ca="1">SUMIFS($I$22:$I$29,$G$22:$G$29,G18,$H$22:$H$29,H18)</f>
        <v>768</v>
      </c>
      <c r="J18" s="1106" t="e">
        <f ca="1">IF(I18=0,"",AVERAGEIFS($J$22:$J$29,$G$22:$G$29,G18,$H$22:$H$29,H18))</f>
        <v>#NAME?</v>
      </c>
    </row>
    <row r="19" spans="1:10">
      <c r="A19" s="625" t="e">
        <f ca="1"/>
        <v>#NAME?</v>
      </c>
      <c r="B19" s="8" t="e">
        <f ca="1"/>
        <v>#NAME?</v>
      </c>
      <c r="C19" s="8" t="e">
        <f ca="1"/>
        <v>#NAME?</v>
      </c>
      <c r="D19" s="132" t="e">
        <f ca="1"/>
        <v>#NAME?</v>
      </c>
      <c r="F19" s="625"/>
      <c r="G19" s="8" t="e">
        <f ca="1">$G$6</f>
        <v>#NAME?</v>
      </c>
      <c r="H19" s="132" t="e">
        <f ca="1">$H9</f>
        <v>#NAME?</v>
      </c>
      <c r="I19" s="625">
        <f ca="1">SUMIFS($I$22:$I$29,$G$22:$G$29,G19,$H$22:$H$29,H19)</f>
        <v>768</v>
      </c>
      <c r="J19" s="132" t="e">
        <f ca="1">IF(I19=0,"",AVERAGEIFS($J$22:$J$29,$G$22:$G$29,G19,$H$22:$H$29,H19))</f>
        <v>#NAME?</v>
      </c>
    </row>
    <row r="20" spans="1:10">
      <c r="A20" s="625" t="e">
        <f ca="1"/>
        <v>#NAME?</v>
      </c>
      <c r="B20" s="8" t="e">
        <f ca="1"/>
        <v>#NAME?</v>
      </c>
      <c r="C20" s="8" t="e">
        <f ca="1"/>
        <v>#NAME?</v>
      </c>
      <c r="D20" s="132" t="e">
        <f ca="1"/>
        <v>#NAME?</v>
      </c>
      <c r="F20" s="625"/>
      <c r="G20" s="8" t="e">
        <f ca="1">$G$7</f>
        <v>#NAME?</v>
      </c>
      <c r="H20" s="132" t="e">
        <f ca="1">$H8</f>
        <v>#NAME?</v>
      </c>
      <c r="I20" s="625">
        <f ca="1">SUMIFS($I$22:$I$29,$G$22:$G$29,G20,$H$22:$H$29,H20)</f>
        <v>768</v>
      </c>
      <c r="J20" s="132" t="e">
        <f ca="1">IF(I20=0,"",AVERAGEIFS($J$22:$J$29,$G$22:$G$29,G20,$H$22:$H$29,H20))</f>
        <v>#NAME?</v>
      </c>
    </row>
    <row r="21" spans="1:10">
      <c r="A21" s="625" t="e">
        <f ca="1"/>
        <v>#NAME?</v>
      </c>
      <c r="B21" s="8" t="e">
        <f ca="1"/>
        <v>#NAME?</v>
      </c>
      <c r="C21" s="8" t="e">
        <f ca="1"/>
        <v>#NAME?</v>
      </c>
      <c r="D21" s="132" t="e">
        <f ca="1"/>
        <v>#NAME?</v>
      </c>
      <c r="F21" s="1075"/>
      <c r="G21" s="1076" t="e">
        <f ca="1">$G$7</f>
        <v>#NAME?</v>
      </c>
      <c r="H21" s="1077" t="e">
        <f ca="1">$H9</f>
        <v>#NAME?</v>
      </c>
      <c r="I21" s="1075">
        <f ca="1">SUMIFS($I$22:$I$29,$G$22:$G$29,G21,$H$22:$H$29,H21)</f>
        <v>768</v>
      </c>
      <c r="J21" s="1077" t="e">
        <f ca="1">IF(I21=0,"",AVERAGEIFS($J$22:$J$29,$G$22:$G$29,G21,$H$22:$H$29,H21))</f>
        <v>#NAME?</v>
      </c>
    </row>
    <row r="22" spans="1:10">
      <c r="A22" s="625" t="e">
        <f ca="1"/>
        <v>#NAME?</v>
      </c>
      <c r="B22" s="8" t="e">
        <f ca="1"/>
        <v>#NAME?</v>
      </c>
      <c r="C22" s="8" t="e">
        <f ca="1"/>
        <v>#NAME?</v>
      </c>
      <c r="D22" s="132" t="e">
        <f ca="1"/>
        <v>#NAME?</v>
      </c>
      <c r="F22" s="1104" t="e">
        <f ca="1">$F$4</f>
        <v>#NAME?</v>
      </c>
      <c r="G22" s="1105" t="e">
        <f t="shared" ref="G22:H29" ca="1" si="1">G18</f>
        <v>#NAME?</v>
      </c>
      <c r="H22" s="1106" t="e">
        <f t="shared" ca="1" si="1"/>
        <v>#NAME?</v>
      </c>
      <c r="I22" s="1104">
        <f ca="1">COUNTIFS($A$3:$A$98,$F22,$B$3:$B$98,$G22,$C$3:$C$98,$H22)</f>
        <v>96</v>
      </c>
      <c r="J22" s="1106" t="e">
        <f ca="1">IF(I22=0,"",AVERAGEIFS($D$3:$D$98,$A$3:$A$98,$F22,$B$3:$B$98,$G22,$C$3:$C$98,$H22))</f>
        <v>#NAME?</v>
      </c>
    </row>
    <row r="23" spans="1:10">
      <c r="A23" s="625" t="e">
        <f ca="1"/>
        <v>#NAME?</v>
      </c>
      <c r="B23" s="8" t="e">
        <f ca="1"/>
        <v>#NAME?</v>
      </c>
      <c r="C23" s="8" t="e">
        <f ca="1"/>
        <v>#NAME?</v>
      </c>
      <c r="D23" s="132" t="e">
        <f ca="1"/>
        <v>#NAME?</v>
      </c>
      <c r="F23" s="625" t="e">
        <f ca="1">$F$4</f>
        <v>#NAME?</v>
      </c>
      <c r="G23" s="8" t="e">
        <f t="shared" ca="1" si="1"/>
        <v>#NAME?</v>
      </c>
      <c r="H23" s="132" t="e">
        <f t="shared" ca="1" si="1"/>
        <v>#NAME?</v>
      </c>
      <c r="I23" s="625">
        <f t="shared" ref="I23:I29" ca="1" si="2">COUNTIFS($A$3:$A$98,$F23,$B$3:$B$98,$G23,$C$3:$C$98,$H23)</f>
        <v>96</v>
      </c>
      <c r="J23" s="132" t="e">
        <f t="shared" ref="J23:J29" ca="1" si="3">IF(I23=0,"",AVERAGEIFS($D$3:$D$98,$A$3:$A$98,$F23,$B$3:$B$98,$G23,$C$3:$C$98,$H23))</f>
        <v>#NAME?</v>
      </c>
    </row>
    <row r="24" spans="1:10">
      <c r="A24" s="625" t="e">
        <f ca="1"/>
        <v>#NAME?</v>
      </c>
      <c r="B24" s="8" t="e">
        <f ca="1"/>
        <v>#NAME?</v>
      </c>
      <c r="C24" s="8" t="e">
        <f ca="1"/>
        <v>#NAME?</v>
      </c>
      <c r="D24" s="132" t="e">
        <f ca="1"/>
        <v>#NAME?</v>
      </c>
      <c r="F24" s="625" t="e">
        <f ca="1">$F$4</f>
        <v>#NAME?</v>
      </c>
      <c r="G24" s="8" t="e">
        <f t="shared" ca="1" si="1"/>
        <v>#NAME?</v>
      </c>
      <c r="H24" s="132" t="e">
        <f t="shared" ca="1" si="1"/>
        <v>#NAME?</v>
      </c>
      <c r="I24" s="625">
        <f t="shared" ca="1" si="2"/>
        <v>96</v>
      </c>
      <c r="J24" s="132" t="e">
        <f t="shared" ca="1" si="3"/>
        <v>#NAME?</v>
      </c>
    </row>
    <row r="25" spans="1:10">
      <c r="A25" s="625" t="e">
        <f ca="1"/>
        <v>#NAME?</v>
      </c>
      <c r="B25" s="8" t="e">
        <f ca="1"/>
        <v>#NAME?</v>
      </c>
      <c r="C25" s="8" t="e">
        <f ca="1"/>
        <v>#NAME?</v>
      </c>
      <c r="D25" s="132" t="e">
        <f ca="1"/>
        <v>#NAME?</v>
      </c>
      <c r="F25" s="625" t="e">
        <f ca="1">$F$4</f>
        <v>#NAME?</v>
      </c>
      <c r="G25" s="8" t="e">
        <f t="shared" ca="1" si="1"/>
        <v>#NAME?</v>
      </c>
      <c r="H25" s="132" t="e">
        <f t="shared" ca="1" si="1"/>
        <v>#NAME?</v>
      </c>
      <c r="I25" s="625">
        <f t="shared" ca="1" si="2"/>
        <v>96</v>
      </c>
      <c r="J25" s="132" t="e">
        <f t="shared" ca="1" si="3"/>
        <v>#NAME?</v>
      </c>
    </row>
    <row r="26" spans="1:10">
      <c r="A26" s="625" t="e">
        <f ca="1"/>
        <v>#NAME?</v>
      </c>
      <c r="B26" s="8" t="e">
        <f ca="1"/>
        <v>#NAME?</v>
      </c>
      <c r="C26" s="8" t="e">
        <f ca="1"/>
        <v>#NAME?</v>
      </c>
      <c r="D26" s="132" t="e">
        <f ca="1"/>
        <v>#NAME?</v>
      </c>
      <c r="F26" s="625" t="e">
        <f ca="1">$F$5</f>
        <v>#NAME?</v>
      </c>
      <c r="G26" s="8" t="e">
        <f t="shared" ca="1" si="1"/>
        <v>#NAME?</v>
      </c>
      <c r="H26" s="132" t="e">
        <f t="shared" ca="1" si="1"/>
        <v>#NAME?</v>
      </c>
      <c r="I26" s="625">
        <f t="shared" ca="1" si="2"/>
        <v>96</v>
      </c>
      <c r="J26" s="132" t="e">
        <f t="shared" ca="1" si="3"/>
        <v>#NAME?</v>
      </c>
    </row>
    <row r="27" spans="1:10">
      <c r="A27" s="625" t="e">
        <f ca="1"/>
        <v>#NAME?</v>
      </c>
      <c r="B27" s="8" t="e">
        <f ca="1"/>
        <v>#NAME?</v>
      </c>
      <c r="C27" s="8" t="e">
        <f ca="1"/>
        <v>#NAME?</v>
      </c>
      <c r="D27" s="132" t="e">
        <f ca="1"/>
        <v>#NAME?</v>
      </c>
      <c r="F27" s="625" t="e">
        <f ca="1">$F$5</f>
        <v>#NAME?</v>
      </c>
      <c r="G27" s="8" t="e">
        <f t="shared" ca="1" si="1"/>
        <v>#NAME?</v>
      </c>
      <c r="H27" s="132" t="e">
        <f t="shared" ca="1" si="1"/>
        <v>#NAME?</v>
      </c>
      <c r="I27" s="625">
        <f t="shared" ca="1" si="2"/>
        <v>96</v>
      </c>
      <c r="J27" s="132" t="e">
        <f t="shared" ca="1" si="3"/>
        <v>#NAME?</v>
      </c>
    </row>
    <row r="28" spans="1:10">
      <c r="A28" s="625" t="e">
        <f ca="1"/>
        <v>#NAME?</v>
      </c>
      <c r="B28" s="8" t="e">
        <f ca="1"/>
        <v>#NAME?</v>
      </c>
      <c r="C28" s="8" t="e">
        <f ca="1"/>
        <v>#NAME?</v>
      </c>
      <c r="D28" s="132" t="e">
        <f ca="1"/>
        <v>#NAME?</v>
      </c>
      <c r="F28" s="625" t="e">
        <f ca="1">$F$5</f>
        <v>#NAME?</v>
      </c>
      <c r="G28" s="8" t="e">
        <f t="shared" ca="1" si="1"/>
        <v>#NAME?</v>
      </c>
      <c r="H28" s="132" t="e">
        <f t="shared" ca="1" si="1"/>
        <v>#NAME?</v>
      </c>
      <c r="I28" s="625">
        <f t="shared" ca="1" si="2"/>
        <v>96</v>
      </c>
      <c r="J28" s="132" t="e">
        <f t="shared" ca="1" si="3"/>
        <v>#NAME?</v>
      </c>
    </row>
    <row r="29" spans="1:10">
      <c r="A29" s="625" t="e">
        <f ca="1"/>
        <v>#NAME?</v>
      </c>
      <c r="B29" s="8" t="e">
        <f ca="1"/>
        <v>#NAME?</v>
      </c>
      <c r="C29" s="8" t="e">
        <f ca="1"/>
        <v>#NAME?</v>
      </c>
      <c r="D29" s="132" t="e">
        <f ca="1"/>
        <v>#NAME?</v>
      </c>
      <c r="F29" s="1075" t="e">
        <f ca="1">$F$5</f>
        <v>#NAME?</v>
      </c>
      <c r="G29" s="1076" t="e">
        <f t="shared" ca="1" si="1"/>
        <v>#NAME?</v>
      </c>
      <c r="H29" s="1077" t="e">
        <f t="shared" ca="1" si="1"/>
        <v>#NAME?</v>
      </c>
      <c r="I29" s="1075">
        <f t="shared" ca="1" si="2"/>
        <v>96</v>
      </c>
      <c r="J29" s="1077" t="e">
        <f t="shared" ca="1" si="3"/>
        <v>#NAME?</v>
      </c>
    </row>
    <row r="30" spans="1:10">
      <c r="A30" s="625" t="e">
        <f ca="1"/>
        <v>#NAME?</v>
      </c>
      <c r="B30" s="8" t="e">
        <f ca="1"/>
        <v>#NAME?</v>
      </c>
      <c r="C30" s="8" t="e">
        <f ca="1"/>
        <v>#NAME?</v>
      </c>
      <c r="D30" s="132" t="e">
        <f ca="1"/>
        <v>#NAME?</v>
      </c>
      <c r="I30">
        <f ca="1">SUM(I22:I29)</f>
        <v>768</v>
      </c>
      <c r="J30" t="e">
        <f ca="1">AVERAGE(J22:J29)</f>
        <v>#NAME?</v>
      </c>
    </row>
    <row r="31" spans="1:10">
      <c r="A31" s="625" t="e">
        <f ca="1"/>
        <v>#NAME?</v>
      </c>
      <c r="B31" s="8" t="e">
        <f ca="1"/>
        <v>#NAME?</v>
      </c>
      <c r="C31" s="8" t="e">
        <f ca="1"/>
        <v>#NAME?</v>
      </c>
      <c r="D31" s="132" t="e">
        <f ca="1"/>
        <v>#NAME?</v>
      </c>
      <c r="I31" s="19" t="s">
        <v>1040</v>
      </c>
      <c r="J31" s="1107" t="e">
        <f ca="1">DEVSQ(D3:D98)</f>
        <v>#NAME?</v>
      </c>
    </row>
    <row r="32" spans="1:10">
      <c r="A32" s="625" t="e">
        <f ca="1"/>
        <v>#NAME?</v>
      </c>
      <c r="B32" s="8" t="e">
        <f ca="1"/>
        <v>#NAME?</v>
      </c>
      <c r="C32" s="8" t="e">
        <f ca="1"/>
        <v>#NAME?</v>
      </c>
      <c r="D32" s="132" t="e">
        <f ca="1"/>
        <v>#NAME?</v>
      </c>
    </row>
    <row r="33" spans="1:4">
      <c r="A33" s="625" t="e">
        <f ca="1"/>
        <v>#NAME?</v>
      </c>
      <c r="B33" s="8" t="e">
        <f ca="1"/>
        <v>#NAME?</v>
      </c>
      <c r="C33" s="8" t="e">
        <f ca="1"/>
        <v>#NAME?</v>
      </c>
      <c r="D33" s="132" t="e">
        <f ca="1"/>
        <v>#NAME?</v>
      </c>
    </row>
    <row r="34" spans="1:4">
      <c r="A34" s="625" t="e">
        <f ca="1"/>
        <v>#NAME?</v>
      </c>
      <c r="B34" s="8" t="e">
        <f ca="1"/>
        <v>#NAME?</v>
      </c>
      <c r="C34" s="8" t="e">
        <f ca="1"/>
        <v>#NAME?</v>
      </c>
      <c r="D34" s="132" t="e">
        <f ca="1"/>
        <v>#NAME?</v>
      </c>
    </row>
    <row r="35" spans="1:4">
      <c r="A35" s="625" t="e">
        <f ca="1"/>
        <v>#NAME?</v>
      </c>
      <c r="B35" s="8" t="e">
        <f ca="1"/>
        <v>#NAME?</v>
      </c>
      <c r="C35" s="8" t="e">
        <f ca="1"/>
        <v>#NAME?</v>
      </c>
      <c r="D35" s="132" t="e">
        <f ca="1"/>
        <v>#NAME?</v>
      </c>
    </row>
    <row r="36" spans="1:4">
      <c r="A36" s="625" t="e">
        <f ca="1"/>
        <v>#NAME?</v>
      </c>
      <c r="B36" s="8" t="e">
        <f ca="1"/>
        <v>#NAME?</v>
      </c>
      <c r="C36" s="8" t="e">
        <f ca="1"/>
        <v>#NAME?</v>
      </c>
      <c r="D36" s="132" t="e">
        <f ca="1"/>
        <v>#NAME?</v>
      </c>
    </row>
    <row r="37" spans="1:4">
      <c r="A37" s="625" t="e">
        <f ca="1"/>
        <v>#NAME?</v>
      </c>
      <c r="B37" s="8" t="e">
        <f ca="1"/>
        <v>#NAME?</v>
      </c>
      <c r="C37" s="8" t="e">
        <f ca="1"/>
        <v>#NAME?</v>
      </c>
      <c r="D37" s="132" t="e">
        <f ca="1"/>
        <v>#NAME?</v>
      </c>
    </row>
    <row r="38" spans="1:4">
      <c r="A38" s="625" t="e">
        <f ca="1"/>
        <v>#NAME?</v>
      </c>
      <c r="B38" s="8" t="e">
        <f ca="1"/>
        <v>#NAME?</v>
      </c>
      <c r="C38" s="8" t="e">
        <f ca="1"/>
        <v>#NAME?</v>
      </c>
      <c r="D38" s="132" t="e">
        <f ca="1"/>
        <v>#NAME?</v>
      </c>
    </row>
    <row r="39" spans="1:4">
      <c r="A39" s="625" t="e">
        <f ca="1"/>
        <v>#NAME?</v>
      </c>
      <c r="B39" s="8" t="e">
        <f ca="1"/>
        <v>#NAME?</v>
      </c>
      <c r="C39" s="8" t="e">
        <f ca="1"/>
        <v>#NAME?</v>
      </c>
      <c r="D39" s="132" t="e">
        <f ca="1"/>
        <v>#NAME?</v>
      </c>
    </row>
    <row r="40" spans="1:4">
      <c r="A40" s="625" t="e">
        <f ca="1"/>
        <v>#NAME?</v>
      </c>
      <c r="B40" s="8" t="e">
        <f ca="1"/>
        <v>#NAME?</v>
      </c>
      <c r="C40" s="8" t="e">
        <f ca="1"/>
        <v>#NAME?</v>
      </c>
      <c r="D40" s="132" t="e">
        <f ca="1"/>
        <v>#NAME?</v>
      </c>
    </row>
    <row r="41" spans="1:4">
      <c r="A41" s="625" t="e">
        <f ca="1"/>
        <v>#NAME?</v>
      </c>
      <c r="B41" s="8" t="e">
        <f ca="1"/>
        <v>#NAME?</v>
      </c>
      <c r="C41" s="8" t="e">
        <f ca="1"/>
        <v>#NAME?</v>
      </c>
      <c r="D41" s="132" t="e">
        <f ca="1"/>
        <v>#NAME?</v>
      </c>
    </row>
    <row r="42" spans="1:4">
      <c r="A42" s="625" t="e">
        <f ca="1"/>
        <v>#NAME?</v>
      </c>
      <c r="B42" s="8" t="e">
        <f ca="1"/>
        <v>#NAME?</v>
      </c>
      <c r="C42" s="8" t="e">
        <f ca="1"/>
        <v>#NAME?</v>
      </c>
      <c r="D42" s="132" t="e">
        <f ca="1"/>
        <v>#NAME?</v>
      </c>
    </row>
    <row r="43" spans="1:4">
      <c r="A43" s="625" t="e">
        <f ca="1"/>
        <v>#NAME?</v>
      </c>
      <c r="B43" s="8" t="e">
        <f ca="1"/>
        <v>#NAME?</v>
      </c>
      <c r="C43" s="8" t="e">
        <f ca="1"/>
        <v>#NAME?</v>
      </c>
      <c r="D43" s="132" t="e">
        <f ca="1"/>
        <v>#NAME?</v>
      </c>
    </row>
    <row r="44" spans="1:4">
      <c r="A44" s="625" t="e">
        <f ca="1"/>
        <v>#NAME?</v>
      </c>
      <c r="B44" s="8" t="e">
        <f ca="1"/>
        <v>#NAME?</v>
      </c>
      <c r="C44" s="8" t="e">
        <f ca="1"/>
        <v>#NAME?</v>
      </c>
      <c r="D44" s="132" t="e">
        <f ca="1"/>
        <v>#NAME?</v>
      </c>
    </row>
    <row r="45" spans="1:4">
      <c r="A45" s="625" t="e">
        <f ca="1"/>
        <v>#NAME?</v>
      </c>
      <c r="B45" s="8" t="e">
        <f ca="1"/>
        <v>#NAME?</v>
      </c>
      <c r="C45" s="8" t="e">
        <f ca="1"/>
        <v>#NAME?</v>
      </c>
      <c r="D45" s="132" t="e">
        <f ca="1"/>
        <v>#NAME?</v>
      </c>
    </row>
    <row r="46" spans="1:4">
      <c r="A46" s="625" t="e">
        <f ca="1"/>
        <v>#NAME?</v>
      </c>
      <c r="B46" s="8" t="e">
        <f ca="1"/>
        <v>#NAME?</v>
      </c>
      <c r="C46" s="8" t="e">
        <f ca="1"/>
        <v>#NAME?</v>
      </c>
      <c r="D46" s="132" t="e">
        <f ca="1"/>
        <v>#NAME?</v>
      </c>
    </row>
    <row r="47" spans="1:4">
      <c r="A47" s="625" t="e">
        <f ca="1"/>
        <v>#NAME?</v>
      </c>
      <c r="B47" s="8" t="e">
        <f ca="1"/>
        <v>#NAME?</v>
      </c>
      <c r="C47" s="8" t="e">
        <f ca="1"/>
        <v>#NAME?</v>
      </c>
      <c r="D47" s="132" t="e">
        <f ca="1"/>
        <v>#NAME?</v>
      </c>
    </row>
    <row r="48" spans="1:4">
      <c r="A48" s="625" t="e">
        <f ca="1"/>
        <v>#NAME?</v>
      </c>
      <c r="B48" s="8" t="e">
        <f ca="1"/>
        <v>#NAME?</v>
      </c>
      <c r="C48" s="8" t="e">
        <f ca="1"/>
        <v>#NAME?</v>
      </c>
      <c r="D48" s="132" t="e">
        <f ca="1"/>
        <v>#NAME?</v>
      </c>
    </row>
    <row r="49" spans="1:4">
      <c r="A49" s="625" t="e">
        <f ca="1"/>
        <v>#NAME?</v>
      </c>
      <c r="B49" s="8" t="e">
        <f ca="1"/>
        <v>#NAME?</v>
      </c>
      <c r="C49" s="8" t="e">
        <f ca="1"/>
        <v>#NAME?</v>
      </c>
      <c r="D49" s="132" t="e">
        <f ca="1"/>
        <v>#NAME?</v>
      </c>
    </row>
    <row r="50" spans="1:4">
      <c r="A50" s="625" t="e">
        <f ca="1"/>
        <v>#NAME?</v>
      </c>
      <c r="B50" s="8" t="e">
        <f ca="1"/>
        <v>#NAME?</v>
      </c>
      <c r="C50" s="8" t="e">
        <f ca="1"/>
        <v>#NAME?</v>
      </c>
      <c r="D50" s="132" t="e">
        <f ca="1"/>
        <v>#NAME?</v>
      </c>
    </row>
    <row r="51" spans="1:4">
      <c r="A51" s="625" t="e">
        <f ca="1"/>
        <v>#NAME?</v>
      </c>
      <c r="B51" s="8" t="e">
        <f ca="1"/>
        <v>#NAME?</v>
      </c>
      <c r="C51" s="8" t="e">
        <f ca="1"/>
        <v>#NAME?</v>
      </c>
      <c r="D51" s="132" t="e">
        <f ca="1"/>
        <v>#NAME?</v>
      </c>
    </row>
    <row r="52" spans="1:4">
      <c r="A52" s="625" t="e">
        <f ca="1"/>
        <v>#NAME?</v>
      </c>
      <c r="B52" s="8" t="e">
        <f ca="1"/>
        <v>#NAME?</v>
      </c>
      <c r="C52" s="8" t="e">
        <f ca="1"/>
        <v>#NAME?</v>
      </c>
      <c r="D52" s="132" t="e">
        <f ca="1"/>
        <v>#NAME?</v>
      </c>
    </row>
    <row r="53" spans="1:4">
      <c r="A53" s="625" t="e">
        <f ca="1"/>
        <v>#NAME?</v>
      </c>
      <c r="B53" s="8" t="e">
        <f ca="1"/>
        <v>#NAME?</v>
      </c>
      <c r="C53" s="8" t="e">
        <f ca="1"/>
        <v>#NAME?</v>
      </c>
      <c r="D53" s="132" t="e">
        <f ca="1"/>
        <v>#NAME?</v>
      </c>
    </row>
    <row r="54" spans="1:4">
      <c r="A54" s="625" t="e">
        <f ca="1"/>
        <v>#NAME?</v>
      </c>
      <c r="B54" s="8" t="e">
        <f ca="1"/>
        <v>#NAME?</v>
      </c>
      <c r="C54" s="8" t="e">
        <f ca="1"/>
        <v>#NAME?</v>
      </c>
      <c r="D54" s="132" t="e">
        <f ca="1"/>
        <v>#NAME?</v>
      </c>
    </row>
    <row r="55" spans="1:4">
      <c r="A55" s="625" t="e">
        <f ca="1"/>
        <v>#NAME?</v>
      </c>
      <c r="B55" s="8" t="e">
        <f ca="1"/>
        <v>#NAME?</v>
      </c>
      <c r="C55" s="8" t="e">
        <f ca="1"/>
        <v>#NAME?</v>
      </c>
      <c r="D55" s="132" t="e">
        <f ca="1"/>
        <v>#NAME?</v>
      </c>
    </row>
    <row r="56" spans="1:4">
      <c r="A56" s="625" t="e">
        <f ca="1"/>
        <v>#NAME?</v>
      </c>
      <c r="B56" s="8" t="e">
        <f ca="1"/>
        <v>#NAME?</v>
      </c>
      <c r="C56" s="8" t="e">
        <f ca="1"/>
        <v>#NAME?</v>
      </c>
      <c r="D56" s="132" t="e">
        <f ca="1"/>
        <v>#NAME?</v>
      </c>
    </row>
    <row r="57" spans="1:4">
      <c r="A57" s="625" t="e">
        <f ca="1"/>
        <v>#NAME?</v>
      </c>
      <c r="B57" s="8" t="e">
        <f ca="1"/>
        <v>#NAME?</v>
      </c>
      <c r="C57" s="8" t="e">
        <f ca="1"/>
        <v>#NAME?</v>
      </c>
      <c r="D57" s="132" t="e">
        <f ca="1"/>
        <v>#NAME?</v>
      </c>
    </row>
    <row r="58" spans="1:4">
      <c r="A58" s="625" t="e">
        <f ca="1"/>
        <v>#NAME?</v>
      </c>
      <c r="B58" s="8" t="e">
        <f ca="1"/>
        <v>#NAME?</v>
      </c>
      <c r="C58" s="8" t="e">
        <f ca="1"/>
        <v>#NAME?</v>
      </c>
      <c r="D58" s="132" t="e">
        <f ca="1"/>
        <v>#NAME?</v>
      </c>
    </row>
    <row r="59" spans="1:4">
      <c r="A59" s="625" t="e">
        <f ca="1"/>
        <v>#NAME?</v>
      </c>
      <c r="B59" s="8" t="e">
        <f ca="1"/>
        <v>#NAME?</v>
      </c>
      <c r="C59" s="8" t="e">
        <f ca="1"/>
        <v>#NAME?</v>
      </c>
      <c r="D59" s="132" t="e">
        <f ca="1"/>
        <v>#NAME?</v>
      </c>
    </row>
    <row r="60" spans="1:4">
      <c r="A60" s="625" t="e">
        <f ca="1"/>
        <v>#NAME?</v>
      </c>
      <c r="B60" s="8" t="e">
        <f ca="1"/>
        <v>#NAME?</v>
      </c>
      <c r="C60" s="8" t="e">
        <f ca="1"/>
        <v>#NAME?</v>
      </c>
      <c r="D60" s="132" t="e">
        <f ca="1"/>
        <v>#NAME?</v>
      </c>
    </row>
    <row r="61" spans="1:4">
      <c r="A61" s="625" t="e">
        <f ca="1"/>
        <v>#NAME?</v>
      </c>
      <c r="B61" s="8" t="e">
        <f ca="1"/>
        <v>#NAME?</v>
      </c>
      <c r="C61" s="8" t="e">
        <f ca="1"/>
        <v>#NAME?</v>
      </c>
      <c r="D61" s="132" t="e">
        <f ca="1"/>
        <v>#NAME?</v>
      </c>
    </row>
    <row r="62" spans="1:4">
      <c r="A62" s="625" t="e">
        <f ca="1"/>
        <v>#NAME?</v>
      </c>
      <c r="B62" s="8" t="e">
        <f ca="1"/>
        <v>#NAME?</v>
      </c>
      <c r="C62" s="8" t="e">
        <f ca="1"/>
        <v>#NAME?</v>
      </c>
      <c r="D62" s="132" t="e">
        <f ca="1"/>
        <v>#NAME?</v>
      </c>
    </row>
    <row r="63" spans="1:4">
      <c r="A63" s="625" t="e">
        <f ca="1"/>
        <v>#NAME?</v>
      </c>
      <c r="B63" s="8" t="e">
        <f ca="1"/>
        <v>#NAME?</v>
      </c>
      <c r="C63" s="8" t="e">
        <f ca="1"/>
        <v>#NAME?</v>
      </c>
      <c r="D63" s="132" t="e">
        <f ca="1"/>
        <v>#NAME?</v>
      </c>
    </row>
    <row r="64" spans="1:4">
      <c r="A64" s="625" t="e">
        <f ca="1"/>
        <v>#NAME?</v>
      </c>
      <c r="B64" s="8" t="e">
        <f ca="1"/>
        <v>#NAME?</v>
      </c>
      <c r="C64" s="8" t="e">
        <f ca="1"/>
        <v>#NAME?</v>
      </c>
      <c r="D64" s="132" t="e">
        <f ca="1"/>
        <v>#NAME?</v>
      </c>
    </row>
    <row r="65" spans="1:4">
      <c r="A65" s="625" t="e">
        <f ca="1"/>
        <v>#NAME?</v>
      </c>
      <c r="B65" s="8" t="e">
        <f ca="1"/>
        <v>#NAME?</v>
      </c>
      <c r="C65" s="8" t="e">
        <f ca="1"/>
        <v>#NAME?</v>
      </c>
      <c r="D65" s="132" t="e">
        <f ca="1"/>
        <v>#NAME?</v>
      </c>
    </row>
    <row r="66" spans="1:4">
      <c r="A66" s="625" t="e">
        <f ca="1"/>
        <v>#NAME?</v>
      </c>
      <c r="B66" s="8" t="e">
        <f ca="1"/>
        <v>#NAME?</v>
      </c>
      <c r="C66" s="8" t="e">
        <f ca="1"/>
        <v>#NAME?</v>
      </c>
      <c r="D66" s="132" t="e">
        <f ca="1"/>
        <v>#NAME?</v>
      </c>
    </row>
    <row r="67" spans="1:4">
      <c r="A67" s="625" t="e">
        <f ca="1"/>
        <v>#NAME?</v>
      </c>
      <c r="B67" s="8" t="e">
        <f ca="1"/>
        <v>#NAME?</v>
      </c>
      <c r="C67" s="8" t="e">
        <f ca="1"/>
        <v>#NAME?</v>
      </c>
      <c r="D67" s="132" t="e">
        <f ca="1"/>
        <v>#NAME?</v>
      </c>
    </row>
    <row r="68" spans="1:4">
      <c r="A68" s="625" t="e">
        <f ca="1"/>
        <v>#NAME?</v>
      </c>
      <c r="B68" s="8" t="e">
        <f ca="1"/>
        <v>#NAME?</v>
      </c>
      <c r="C68" s="8" t="e">
        <f ca="1"/>
        <v>#NAME?</v>
      </c>
      <c r="D68" s="132" t="e">
        <f ca="1"/>
        <v>#NAME?</v>
      </c>
    </row>
    <row r="69" spans="1:4">
      <c r="A69" s="625" t="e">
        <f ca="1"/>
        <v>#NAME?</v>
      </c>
      <c r="B69" s="8" t="e">
        <f ca="1"/>
        <v>#NAME?</v>
      </c>
      <c r="C69" s="8" t="e">
        <f ca="1"/>
        <v>#NAME?</v>
      </c>
      <c r="D69" s="132" t="e">
        <f ca="1"/>
        <v>#NAME?</v>
      </c>
    </row>
    <row r="70" spans="1:4">
      <c r="A70" s="625" t="e">
        <f ca="1"/>
        <v>#NAME?</v>
      </c>
      <c r="B70" s="8" t="e">
        <f ca="1"/>
        <v>#NAME?</v>
      </c>
      <c r="C70" s="8" t="e">
        <f ca="1"/>
        <v>#NAME?</v>
      </c>
      <c r="D70" s="132" t="e">
        <f ca="1"/>
        <v>#NAME?</v>
      </c>
    </row>
    <row r="71" spans="1:4">
      <c r="A71" s="625" t="e">
        <f ca="1"/>
        <v>#NAME?</v>
      </c>
      <c r="B71" s="8" t="e">
        <f ca="1"/>
        <v>#NAME?</v>
      </c>
      <c r="C71" s="8" t="e">
        <f ca="1"/>
        <v>#NAME?</v>
      </c>
      <c r="D71" s="132" t="e">
        <f ca="1"/>
        <v>#NAME?</v>
      </c>
    </row>
    <row r="72" spans="1:4">
      <c r="A72" s="625" t="e">
        <f ca="1"/>
        <v>#NAME?</v>
      </c>
      <c r="B72" s="8" t="e">
        <f ca="1"/>
        <v>#NAME?</v>
      </c>
      <c r="C72" s="8" t="e">
        <f ca="1"/>
        <v>#NAME?</v>
      </c>
      <c r="D72" s="132" t="e">
        <f ca="1"/>
        <v>#NAME?</v>
      </c>
    </row>
    <row r="73" spans="1:4">
      <c r="A73" s="625" t="e">
        <f ca="1"/>
        <v>#NAME?</v>
      </c>
      <c r="B73" s="8" t="e">
        <f ca="1"/>
        <v>#NAME?</v>
      </c>
      <c r="C73" s="8" t="e">
        <f ca="1"/>
        <v>#NAME?</v>
      </c>
      <c r="D73" s="132" t="e">
        <f ca="1"/>
        <v>#NAME?</v>
      </c>
    </row>
    <row r="74" spans="1:4">
      <c r="A74" s="625" t="e">
        <f ca="1"/>
        <v>#NAME?</v>
      </c>
      <c r="B74" s="8" t="e">
        <f ca="1"/>
        <v>#NAME?</v>
      </c>
      <c r="C74" s="8" t="e">
        <f ca="1"/>
        <v>#NAME?</v>
      </c>
      <c r="D74" s="132" t="e">
        <f ca="1"/>
        <v>#NAME?</v>
      </c>
    </row>
    <row r="75" spans="1:4">
      <c r="A75" s="625" t="e">
        <f ca="1"/>
        <v>#NAME?</v>
      </c>
      <c r="B75" s="8" t="e">
        <f ca="1"/>
        <v>#NAME?</v>
      </c>
      <c r="C75" s="8" t="e">
        <f ca="1"/>
        <v>#NAME?</v>
      </c>
      <c r="D75" s="132" t="e">
        <f ca="1"/>
        <v>#NAME?</v>
      </c>
    </row>
    <row r="76" spans="1:4">
      <c r="A76" s="625" t="e">
        <f ca="1"/>
        <v>#NAME?</v>
      </c>
      <c r="B76" s="8" t="e">
        <f ca="1"/>
        <v>#NAME?</v>
      </c>
      <c r="C76" s="8" t="e">
        <f ca="1"/>
        <v>#NAME?</v>
      </c>
      <c r="D76" s="132" t="e">
        <f ca="1"/>
        <v>#NAME?</v>
      </c>
    </row>
    <row r="77" spans="1:4">
      <c r="A77" s="625" t="e">
        <f ca="1"/>
        <v>#NAME?</v>
      </c>
      <c r="B77" s="8" t="e">
        <f ca="1"/>
        <v>#NAME?</v>
      </c>
      <c r="C77" s="8" t="e">
        <f ca="1"/>
        <v>#NAME?</v>
      </c>
      <c r="D77" s="132" t="e">
        <f ca="1"/>
        <v>#NAME?</v>
      </c>
    </row>
    <row r="78" spans="1:4">
      <c r="A78" s="625" t="e">
        <f ca="1"/>
        <v>#NAME?</v>
      </c>
      <c r="B78" s="8" t="e">
        <f ca="1"/>
        <v>#NAME?</v>
      </c>
      <c r="C78" s="8" t="e">
        <f ca="1"/>
        <v>#NAME?</v>
      </c>
      <c r="D78" s="132" t="e">
        <f ca="1"/>
        <v>#NAME?</v>
      </c>
    </row>
    <row r="79" spans="1:4">
      <c r="A79" s="625" t="e">
        <f ca="1"/>
        <v>#NAME?</v>
      </c>
      <c r="B79" s="8" t="e">
        <f ca="1"/>
        <v>#NAME?</v>
      </c>
      <c r="C79" s="8" t="e">
        <f ca="1"/>
        <v>#NAME?</v>
      </c>
      <c r="D79" s="132" t="e">
        <f ca="1"/>
        <v>#NAME?</v>
      </c>
    </row>
    <row r="80" spans="1:4">
      <c r="A80" s="625" t="e">
        <f ca="1"/>
        <v>#NAME?</v>
      </c>
      <c r="B80" s="8" t="e">
        <f ca="1"/>
        <v>#NAME?</v>
      </c>
      <c r="C80" s="8" t="e">
        <f ca="1"/>
        <v>#NAME?</v>
      </c>
      <c r="D80" s="132" t="e">
        <f ca="1"/>
        <v>#NAME?</v>
      </c>
    </row>
    <row r="81" spans="1:4">
      <c r="A81" s="625" t="e">
        <f ca="1"/>
        <v>#NAME?</v>
      </c>
      <c r="B81" s="8" t="e">
        <f ca="1"/>
        <v>#NAME?</v>
      </c>
      <c r="C81" s="8" t="e">
        <f ca="1"/>
        <v>#NAME?</v>
      </c>
      <c r="D81" s="132" t="e">
        <f ca="1"/>
        <v>#NAME?</v>
      </c>
    </row>
    <row r="82" spans="1:4">
      <c r="A82" s="625" t="e">
        <f ca="1"/>
        <v>#NAME?</v>
      </c>
      <c r="B82" s="8" t="e">
        <f ca="1"/>
        <v>#NAME?</v>
      </c>
      <c r="C82" s="8" t="e">
        <f ca="1"/>
        <v>#NAME?</v>
      </c>
      <c r="D82" s="132" t="e">
        <f ca="1"/>
        <v>#NAME?</v>
      </c>
    </row>
    <row r="83" spans="1:4">
      <c r="A83" s="625" t="e">
        <f ca="1"/>
        <v>#NAME?</v>
      </c>
      <c r="B83" s="8" t="e">
        <f ca="1"/>
        <v>#NAME?</v>
      </c>
      <c r="C83" s="8" t="e">
        <f ca="1"/>
        <v>#NAME?</v>
      </c>
      <c r="D83" s="132" t="e">
        <f ca="1"/>
        <v>#NAME?</v>
      </c>
    </row>
    <row r="84" spans="1:4">
      <c r="A84" s="625" t="e">
        <f ca="1"/>
        <v>#NAME?</v>
      </c>
      <c r="B84" s="8" t="e">
        <f ca="1"/>
        <v>#NAME?</v>
      </c>
      <c r="C84" s="8" t="e">
        <f ca="1"/>
        <v>#NAME?</v>
      </c>
      <c r="D84" s="132" t="e">
        <f ca="1"/>
        <v>#NAME?</v>
      </c>
    </row>
    <row r="85" spans="1:4">
      <c r="A85" s="625" t="e">
        <f ca="1"/>
        <v>#NAME?</v>
      </c>
      <c r="B85" s="8" t="e">
        <f ca="1"/>
        <v>#NAME?</v>
      </c>
      <c r="C85" s="8" t="e">
        <f ca="1"/>
        <v>#NAME?</v>
      </c>
      <c r="D85" s="132" t="e">
        <f ca="1"/>
        <v>#NAME?</v>
      </c>
    </row>
    <row r="86" spans="1:4">
      <c r="A86" s="625" t="e">
        <f ca="1"/>
        <v>#NAME?</v>
      </c>
      <c r="B86" s="8" t="e">
        <f ca="1"/>
        <v>#NAME?</v>
      </c>
      <c r="C86" s="8" t="e">
        <f ca="1"/>
        <v>#NAME?</v>
      </c>
      <c r="D86" s="132" t="e">
        <f ca="1"/>
        <v>#NAME?</v>
      </c>
    </row>
    <row r="87" spans="1:4">
      <c r="A87" s="625" t="e">
        <f ca="1"/>
        <v>#NAME?</v>
      </c>
      <c r="B87" s="8" t="e">
        <f ca="1"/>
        <v>#NAME?</v>
      </c>
      <c r="C87" s="8" t="e">
        <f ca="1"/>
        <v>#NAME?</v>
      </c>
      <c r="D87" s="132" t="e">
        <f ca="1"/>
        <v>#NAME?</v>
      </c>
    </row>
    <row r="88" spans="1:4">
      <c r="A88" s="625" t="e">
        <f ca="1"/>
        <v>#NAME?</v>
      </c>
      <c r="B88" s="8" t="e">
        <f ca="1"/>
        <v>#NAME?</v>
      </c>
      <c r="C88" s="8" t="e">
        <f ca="1"/>
        <v>#NAME?</v>
      </c>
      <c r="D88" s="132" t="e">
        <f ca="1"/>
        <v>#NAME?</v>
      </c>
    </row>
    <row r="89" spans="1:4">
      <c r="A89" s="625" t="e">
        <f ca="1"/>
        <v>#NAME?</v>
      </c>
      <c r="B89" s="8" t="e">
        <f ca="1"/>
        <v>#NAME?</v>
      </c>
      <c r="C89" s="8" t="e">
        <f ca="1"/>
        <v>#NAME?</v>
      </c>
      <c r="D89" s="132" t="e">
        <f ca="1"/>
        <v>#NAME?</v>
      </c>
    </row>
    <row r="90" spans="1:4">
      <c r="A90" s="625" t="e">
        <f ca="1"/>
        <v>#NAME?</v>
      </c>
      <c r="B90" s="8" t="e">
        <f ca="1"/>
        <v>#NAME?</v>
      </c>
      <c r="C90" s="8" t="e">
        <f ca="1"/>
        <v>#NAME?</v>
      </c>
      <c r="D90" s="132" t="e">
        <f ca="1"/>
        <v>#NAME?</v>
      </c>
    </row>
    <row r="91" spans="1:4">
      <c r="A91" s="625" t="e">
        <f ca="1"/>
        <v>#NAME?</v>
      </c>
      <c r="B91" s="8" t="e">
        <f ca="1"/>
        <v>#NAME?</v>
      </c>
      <c r="C91" s="8" t="e">
        <f ca="1"/>
        <v>#NAME?</v>
      </c>
      <c r="D91" s="132" t="e">
        <f ca="1"/>
        <v>#NAME?</v>
      </c>
    </row>
    <row r="92" spans="1:4">
      <c r="A92" s="625" t="e">
        <f ca="1"/>
        <v>#NAME?</v>
      </c>
      <c r="B92" s="8" t="e">
        <f ca="1"/>
        <v>#NAME?</v>
      </c>
      <c r="C92" s="8" t="e">
        <f ca="1"/>
        <v>#NAME?</v>
      </c>
      <c r="D92" s="132" t="e">
        <f ca="1"/>
        <v>#NAME?</v>
      </c>
    </row>
    <row r="93" spans="1:4">
      <c r="A93" s="625" t="e">
        <f ca="1"/>
        <v>#NAME?</v>
      </c>
      <c r="B93" s="8" t="e">
        <f ca="1"/>
        <v>#NAME?</v>
      </c>
      <c r="C93" s="8" t="e">
        <f ca="1"/>
        <v>#NAME?</v>
      </c>
      <c r="D93" s="132" t="e">
        <f ca="1"/>
        <v>#NAME?</v>
      </c>
    </row>
    <row r="94" spans="1:4">
      <c r="A94" s="625" t="e">
        <f ca="1"/>
        <v>#NAME?</v>
      </c>
      <c r="B94" s="8" t="e">
        <f ca="1"/>
        <v>#NAME?</v>
      </c>
      <c r="C94" s="8" t="e">
        <f ca="1"/>
        <v>#NAME?</v>
      </c>
      <c r="D94" s="132" t="e">
        <f ca="1"/>
        <v>#NAME?</v>
      </c>
    </row>
    <row r="95" spans="1:4">
      <c r="A95" s="625" t="e">
        <f ca="1"/>
        <v>#NAME?</v>
      </c>
      <c r="B95" s="8" t="e">
        <f ca="1"/>
        <v>#NAME?</v>
      </c>
      <c r="C95" s="8" t="e">
        <f ca="1"/>
        <v>#NAME?</v>
      </c>
      <c r="D95" s="132" t="e">
        <f ca="1"/>
        <v>#NAME?</v>
      </c>
    </row>
    <row r="96" spans="1:4">
      <c r="A96" s="625" t="e">
        <f ca="1"/>
        <v>#NAME?</v>
      </c>
      <c r="B96" s="8" t="e">
        <f ca="1"/>
        <v>#NAME?</v>
      </c>
      <c r="C96" s="8" t="e">
        <f ca="1"/>
        <v>#NAME?</v>
      </c>
      <c r="D96" s="132" t="e">
        <f ca="1"/>
        <v>#NAME?</v>
      </c>
    </row>
    <row r="97" spans="1:4">
      <c r="A97" s="625" t="e">
        <f ca="1"/>
        <v>#NAME?</v>
      </c>
      <c r="B97" s="8" t="e">
        <f ca="1"/>
        <v>#NAME?</v>
      </c>
      <c r="C97" s="8" t="e">
        <f ca="1"/>
        <v>#NAME?</v>
      </c>
      <c r="D97" s="132" t="e">
        <f ca="1"/>
        <v>#NAME?</v>
      </c>
    </row>
    <row r="98" spans="1:4">
      <c r="A98" s="1075" t="e">
        <f ca="1"/>
        <v>#NAME?</v>
      </c>
      <c r="B98" s="1076" t="e">
        <f ca="1"/>
        <v>#NAME?</v>
      </c>
      <c r="C98" s="1076" t="e">
        <f ca="1"/>
        <v>#NAME?</v>
      </c>
      <c r="D98" s="1077" t="e">
        <f ca="1"/>
        <v>#NAME?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sheetPr codeName="Sheet262"/>
  <dimension ref="A1:Y40"/>
  <sheetViews>
    <sheetView zoomScaleNormal="100" workbookViewId="0">
      <selection activeCell="M6" sqref="M6"/>
    </sheetView>
  </sheetViews>
  <sheetFormatPr defaultRowHeight="14.4"/>
  <cols>
    <col min="1" max="10" width="10.33203125" customWidth="1"/>
  </cols>
  <sheetData>
    <row r="1" spans="1:25">
      <c r="A1" s="1" t="s">
        <v>2856</v>
      </c>
      <c r="F1" t="s">
        <v>95</v>
      </c>
      <c r="L1" t="s">
        <v>2851</v>
      </c>
      <c r="T1" t="s">
        <v>2857</v>
      </c>
    </row>
    <row r="3" spans="1:25" ht="15" thickBot="1">
      <c r="A3" s="1104" t="s">
        <v>383</v>
      </c>
      <c r="B3" s="1105" t="s">
        <v>1075</v>
      </c>
      <c r="C3" s="1105" t="s">
        <v>1079</v>
      </c>
      <c r="D3" s="1106">
        <v>23</v>
      </c>
      <c r="I3" s="19" t="s">
        <v>88</v>
      </c>
      <c r="J3" s="19" t="s">
        <v>76</v>
      </c>
      <c r="L3" t="s">
        <v>695</v>
      </c>
      <c r="P3" s="1094" t="s">
        <v>116</v>
      </c>
      <c r="Q3" s="1094">
        <v>0.05</v>
      </c>
      <c r="T3" s="1104" t="e">
        <f t="array" aca="1" ref="T3:Y14" ca="1">[1]!Anova3Rows(A3:D38)</f>
        <v>#NAME?</v>
      </c>
      <c r="U3" s="1105" t="e">
        <f ca="1"/>
        <v>#NAME?</v>
      </c>
      <c r="V3" s="1106" t="e">
        <f ca="1"/>
        <v>#NAME?</v>
      </c>
      <c r="W3" s="1105" t="e">
        <f ca="1"/>
        <v>#NAME?</v>
      </c>
      <c r="X3" s="1105" t="e">
        <f ca="1"/>
        <v>#NAME?</v>
      </c>
      <c r="Y3" s="1106" t="e">
        <f ca="1"/>
        <v>#NAME?</v>
      </c>
    </row>
    <row r="4" spans="1:25" ht="15" thickTop="1">
      <c r="A4" s="625" t="s">
        <v>383</v>
      </c>
      <c r="B4" s="8" t="s">
        <v>1075</v>
      </c>
      <c r="C4" s="8" t="s">
        <v>1079</v>
      </c>
      <c r="D4" s="132">
        <v>18</v>
      </c>
      <c r="F4" s="1104" t="e">
        <f t="array" aca="1" ref="F4:F5" ca="1">[1]!SortUnique(A3:A38)</f>
        <v>#NAME?</v>
      </c>
      <c r="G4" s="1105"/>
      <c r="H4" s="1106"/>
      <c r="I4" s="1104">
        <f ca="1">SUMIF($F$27:$F$38,F4,$I$27:$I$38)</f>
        <v>0</v>
      </c>
      <c r="J4" s="1106" t="str">
        <f ca="1">IF(I4=0,"",AVERAGEIF($F$27:$F$38,F4,$J$27:$J$38))</f>
        <v/>
      </c>
      <c r="L4" s="1070"/>
      <c r="M4" s="1070" t="s">
        <v>578</v>
      </c>
      <c r="N4" s="1070" t="s">
        <v>186</v>
      </c>
      <c r="O4" s="1070" t="s">
        <v>641</v>
      </c>
      <c r="P4" s="1070" t="s">
        <v>388</v>
      </c>
      <c r="Q4" s="1070" t="s">
        <v>200</v>
      </c>
      <c r="R4" s="1070" t="s">
        <v>948</v>
      </c>
      <c r="T4" s="625" t="e">
        <f ca="1"/>
        <v>#NAME?</v>
      </c>
      <c r="U4" s="8" t="e">
        <f ca="1"/>
        <v>#NAME?</v>
      </c>
      <c r="V4" s="132" t="e">
        <f ca="1"/>
        <v>#NAME?</v>
      </c>
      <c r="W4" s="8" t="e">
        <f ca="1"/>
        <v>#NAME?</v>
      </c>
      <c r="X4" s="8" t="e">
        <f ca="1"/>
        <v>#NAME?</v>
      </c>
      <c r="Y4" s="132" t="e">
        <f ca="1"/>
        <v>#NAME?</v>
      </c>
    </row>
    <row r="5" spans="1:25">
      <c r="A5" s="625" t="s">
        <v>383</v>
      </c>
      <c r="B5" s="8" t="s">
        <v>1075</v>
      </c>
      <c r="C5" s="8" t="s">
        <v>1079</v>
      </c>
      <c r="D5" s="132">
        <v>26</v>
      </c>
      <c r="F5" s="625" t="e">
        <f ca="1"/>
        <v>#NAME?</v>
      </c>
      <c r="G5" s="8"/>
      <c r="H5" s="132"/>
      <c r="I5" s="625">
        <f ca="1">SUMIF($F$27:$F$38,F5,$I$27:$I$38)</f>
        <v>0</v>
      </c>
      <c r="J5" s="132" t="str">
        <f ca="1">IF(I5=0,"",AVERAGEIF($F$27:$F$38,F5,$J$27:$J$38))</f>
        <v/>
      </c>
      <c r="L5" t="s">
        <v>526</v>
      </c>
      <c r="M5" t="e">
        <f ca="1">DEVSQ(J4:J5)*I4</f>
        <v>#NUM!</v>
      </c>
      <c r="N5">
        <f ca="1">COUNT(J4:J5)-1</f>
        <v>-1</v>
      </c>
      <c r="O5" t="e">
        <f t="shared" ref="O5:O13" ca="1" si="0">M5/N5</f>
        <v>#NUM!</v>
      </c>
      <c r="P5" t="e">
        <f ca="1">O5/O12</f>
        <v>#NUM!</v>
      </c>
      <c r="Q5" t="e">
        <f ca="1">FDIST(P5,N5,N12)</f>
        <v>#NUM!</v>
      </c>
      <c r="R5" s="1094" t="e">
        <f ca="1">IF(Q5&lt;Q3,"yes","no")</f>
        <v>#NUM!</v>
      </c>
      <c r="T5" s="625" t="e">
        <f ca="1"/>
        <v>#NAME?</v>
      </c>
      <c r="U5" s="8" t="e">
        <f ca="1"/>
        <v>#NAME?</v>
      </c>
      <c r="V5" s="132" t="e">
        <f ca="1"/>
        <v>#NAME?</v>
      </c>
      <c r="W5" s="8" t="e">
        <f ca="1"/>
        <v>#NAME?</v>
      </c>
      <c r="X5" s="8" t="e">
        <f ca="1"/>
        <v>#NAME?</v>
      </c>
      <c r="Y5" s="132" t="e">
        <f ca="1"/>
        <v>#NAME?</v>
      </c>
    </row>
    <row r="6" spans="1:25">
      <c r="A6" s="625" t="s">
        <v>383</v>
      </c>
      <c r="B6" s="8" t="s">
        <v>1075</v>
      </c>
      <c r="C6" s="8" t="s">
        <v>1080</v>
      </c>
      <c r="D6" s="132">
        <v>24</v>
      </c>
      <c r="F6" s="625"/>
      <c r="G6" s="8" t="e">
        <f t="array" aca="1" ref="G6:G7" ca="1">[1]!SortUnique(B3:B38)</f>
        <v>#NAME?</v>
      </c>
      <c r="H6" s="132"/>
      <c r="I6" s="625">
        <f ca="1">SUMIF($G$27:$G$38,G6,$I$27:$I$38)</f>
        <v>0</v>
      </c>
      <c r="J6" s="132" t="str">
        <f ca="1">IF(I6=0,"",AVERAGEIF($G$27:$G$38,G6,$J$27:$J$38))</f>
        <v/>
      </c>
      <c r="L6" t="s">
        <v>384</v>
      </c>
      <c r="M6" t="e">
        <f ca="1">DEVSQ(J6:J7)*I6</f>
        <v>#NUM!</v>
      </c>
      <c r="N6">
        <f ca="1">COUNT(J6:J7)-1</f>
        <v>-1</v>
      </c>
      <c r="O6" t="e">
        <f t="shared" ca="1" si="0"/>
        <v>#NUM!</v>
      </c>
      <c r="P6" t="e">
        <f ca="1">O6/O12</f>
        <v>#NUM!</v>
      </c>
      <c r="Q6" t="e">
        <f ca="1">FDIST(P6,N6,N12)</f>
        <v>#NUM!</v>
      </c>
      <c r="R6" s="1094" t="e">
        <f ca="1">IF(Q6&lt;Q3,"yes","no")</f>
        <v>#NUM!</v>
      </c>
      <c r="T6" s="625" t="e">
        <f ca="1"/>
        <v>#NAME?</v>
      </c>
      <c r="U6" s="8" t="e">
        <f ca="1"/>
        <v>#NAME?</v>
      </c>
      <c r="V6" s="132" t="e">
        <f ca="1"/>
        <v>#NAME?</v>
      </c>
      <c r="W6" s="8" t="e">
        <f ca="1"/>
        <v>#NAME?</v>
      </c>
      <c r="X6" s="8" t="e">
        <f ca="1"/>
        <v>#NAME?</v>
      </c>
      <c r="Y6" s="132" t="e">
        <f ca="1"/>
        <v>#NAME?</v>
      </c>
    </row>
    <row r="7" spans="1:25">
      <c r="A7" s="625" t="s">
        <v>383</v>
      </c>
      <c r="B7" s="8" t="s">
        <v>1075</v>
      </c>
      <c r="C7" s="8" t="s">
        <v>1080</v>
      </c>
      <c r="D7" s="132">
        <v>25</v>
      </c>
      <c r="F7" s="625"/>
      <c r="G7" s="8" t="e">
        <f ca="1"/>
        <v>#NAME?</v>
      </c>
      <c r="H7" s="132"/>
      <c r="I7" s="625">
        <f ca="1">SUMIF($G$27:$G$38,G7,$I$27:$I$38)</f>
        <v>0</v>
      </c>
      <c r="J7" s="132" t="str">
        <f ca="1">IF(I7=0,"",AVERAGEIF($G$27:$G$38,G7,$J$27:$J$38))</f>
        <v/>
      </c>
      <c r="L7" t="s">
        <v>385</v>
      </c>
      <c r="M7" t="e">
        <f ca="1">DEVSQ(J8:J10)*I8</f>
        <v>#NUM!</v>
      </c>
      <c r="N7">
        <f ca="1">COUNT(J8:J10)-1</f>
        <v>-1</v>
      </c>
      <c r="O7" t="e">
        <f t="shared" ca="1" si="0"/>
        <v>#NUM!</v>
      </c>
      <c r="P7" t="e">
        <f ca="1">O7/O12</f>
        <v>#NUM!</v>
      </c>
      <c r="Q7" t="e">
        <f ca="1">FDIST(P7,N7,N12)</f>
        <v>#NUM!</v>
      </c>
      <c r="R7" s="1094" t="e">
        <f ca="1">IF(Q7&lt;Q3,"yes","no")</f>
        <v>#NUM!</v>
      </c>
      <c r="T7" s="625" t="e">
        <f ca="1"/>
        <v>#NAME?</v>
      </c>
      <c r="U7" s="8" t="e">
        <f ca="1"/>
        <v>#NAME?</v>
      </c>
      <c r="V7" s="132" t="e">
        <f ca="1"/>
        <v>#NAME?</v>
      </c>
      <c r="W7" s="8" t="e">
        <f ca="1"/>
        <v>#NAME?</v>
      </c>
      <c r="X7" s="8" t="e">
        <f ca="1"/>
        <v>#NAME?</v>
      </c>
      <c r="Y7" s="132" t="e">
        <f ca="1"/>
        <v>#NAME?</v>
      </c>
    </row>
    <row r="8" spans="1:25">
      <c r="A8" s="625" t="s">
        <v>383</v>
      </c>
      <c r="B8" s="8" t="s">
        <v>1075</v>
      </c>
      <c r="C8" s="8" t="s">
        <v>1080</v>
      </c>
      <c r="D8" s="132">
        <v>14</v>
      </c>
      <c r="F8" s="625"/>
      <c r="G8" s="8"/>
      <c r="H8" s="132" t="e">
        <f t="array" aca="1" ref="H8:H10" ca="1">[1]!SortUnique(C3:C38)</f>
        <v>#NAME?</v>
      </c>
      <c r="I8" s="625">
        <f ca="1">SUMIF($H$27:$H$38,H8,$I$27:$I$38)</f>
        <v>0</v>
      </c>
      <c r="J8" s="132" t="str">
        <f ca="1">IF(I8=0,"",AVERAGEIF($H$27:$H$38,H8,$J$27:$J$38))</f>
        <v/>
      </c>
      <c r="L8" t="s">
        <v>1043</v>
      </c>
      <c r="M8" t="e">
        <f ca="1">DEVSQ(J11:J14)*I11-M5-M6</f>
        <v>#NUM!</v>
      </c>
      <c r="N8">
        <f ca="1">N6*N5</f>
        <v>1</v>
      </c>
      <c r="O8" t="e">
        <f t="shared" ca="1" si="0"/>
        <v>#NUM!</v>
      </c>
      <c r="P8" t="e">
        <f ca="1">O8/O12</f>
        <v>#NUM!</v>
      </c>
      <c r="Q8" t="e">
        <f ca="1">FDIST(P8,N8,N12)</f>
        <v>#NUM!</v>
      </c>
      <c r="R8" s="1094" t="e">
        <f ca="1">IF(Q8&lt;Q3,"yes","no")</f>
        <v>#NUM!</v>
      </c>
      <c r="T8" s="625" t="e">
        <f ca="1"/>
        <v>#NAME?</v>
      </c>
      <c r="U8" s="8" t="e">
        <f ca="1"/>
        <v>#NAME?</v>
      </c>
      <c r="V8" s="132" t="e">
        <f ca="1"/>
        <v>#NAME?</v>
      </c>
      <c r="W8" s="8" t="e">
        <f ca="1"/>
        <v>#NAME?</v>
      </c>
      <c r="X8" s="8" t="e">
        <f ca="1"/>
        <v>#NAME?</v>
      </c>
      <c r="Y8" s="132" t="e">
        <f ca="1"/>
        <v>#NAME?</v>
      </c>
    </row>
    <row r="9" spans="1:25">
      <c r="A9" s="625" t="s">
        <v>383</v>
      </c>
      <c r="B9" s="8" t="s">
        <v>1075</v>
      </c>
      <c r="C9" s="8" t="s">
        <v>2854</v>
      </c>
      <c r="D9" s="132">
        <v>42</v>
      </c>
      <c r="F9" s="625"/>
      <c r="G9" s="8"/>
      <c r="H9" s="132" t="e">
        <f ca="1"/>
        <v>#NAME?</v>
      </c>
      <c r="I9" s="625">
        <f ca="1">SUMIF($H$27:$H$38,H9,$I$27:$I$38)</f>
        <v>0</v>
      </c>
      <c r="J9" s="132" t="str">
        <f ca="1">IF(I9=0,"",AVERAGEIF($H$27:$H$38,H9,$J$27:$J$38))</f>
        <v/>
      </c>
      <c r="L9" t="s">
        <v>1045</v>
      </c>
      <c r="M9" t="e">
        <f ca="1">DEVSQ(J15:J20)*I15-M5-M7</f>
        <v>#NUM!</v>
      </c>
      <c r="N9">
        <f ca="1">N7*N5</f>
        <v>1</v>
      </c>
      <c r="O9" t="e">
        <f t="shared" ca="1" si="0"/>
        <v>#NUM!</v>
      </c>
      <c r="P9" t="e">
        <f ca="1">O9/O12</f>
        <v>#NUM!</v>
      </c>
      <c r="Q9" t="e">
        <f ca="1">FDIST(P9,N8,N12)</f>
        <v>#NUM!</v>
      </c>
      <c r="R9" s="1094" t="e">
        <f ca="1">IF(Q9&lt;Q3,"yes","no")</f>
        <v>#NUM!</v>
      </c>
      <c r="T9" s="625" t="e">
        <f ca="1"/>
        <v>#NAME?</v>
      </c>
      <c r="U9" s="8" t="e">
        <f ca="1"/>
        <v>#NAME?</v>
      </c>
      <c r="V9" s="132" t="e">
        <f ca="1"/>
        <v>#NAME?</v>
      </c>
      <c r="W9" s="8" t="e">
        <f ca="1"/>
        <v>#NAME?</v>
      </c>
      <c r="X9" s="8" t="e">
        <f ca="1"/>
        <v>#NAME?</v>
      </c>
      <c r="Y9" s="132" t="e">
        <f ca="1"/>
        <v>#NAME?</v>
      </c>
    </row>
    <row r="10" spans="1:25">
      <c r="A10" s="625" t="s">
        <v>383</v>
      </c>
      <c r="B10" s="8" t="s">
        <v>1075</v>
      </c>
      <c r="C10" s="8" t="s">
        <v>2854</v>
      </c>
      <c r="D10" s="132">
        <v>40</v>
      </c>
      <c r="F10" s="1075"/>
      <c r="G10" s="1076"/>
      <c r="H10" s="1077" t="e">
        <f ca="1"/>
        <v>#NAME?</v>
      </c>
      <c r="I10" s="1075">
        <f ca="1">SUMIF($H$27:$H$38,H10,$I$27:$I$38)</f>
        <v>0</v>
      </c>
      <c r="J10" s="1077" t="str">
        <f ca="1">IF(I10=0,"",AVERAGEIF($H$27:$H$38,H10,$J$27:$J$38))</f>
        <v/>
      </c>
      <c r="L10" t="s">
        <v>1047</v>
      </c>
      <c r="M10" t="e">
        <f ca="1">DEVSQ(J21:J26)*I21-M6-M7</f>
        <v>#NUM!</v>
      </c>
      <c r="N10">
        <f ca="1">N7*N6</f>
        <v>1</v>
      </c>
      <c r="O10" t="e">
        <f t="shared" ca="1" si="0"/>
        <v>#NUM!</v>
      </c>
      <c r="P10" t="e">
        <f ca="1">O10/O12</f>
        <v>#NUM!</v>
      </c>
      <c r="Q10" t="e">
        <f ca="1">FDIST(P10,N10,N12)</f>
        <v>#NUM!</v>
      </c>
      <c r="R10" s="1094" t="e">
        <f ca="1">IF(Q10&lt;Q3,"yes","no")</f>
        <v>#NUM!</v>
      </c>
      <c r="T10" s="625" t="e">
        <f ca="1"/>
        <v>#NAME?</v>
      </c>
      <c r="U10" s="8" t="e">
        <f ca="1"/>
        <v>#NAME?</v>
      </c>
      <c r="V10" s="132" t="e">
        <f ca="1"/>
        <v>#NAME?</v>
      </c>
      <c r="W10" s="8" t="e">
        <f ca="1"/>
        <v>#NAME?</v>
      </c>
      <c r="X10" s="8" t="e">
        <f ca="1"/>
        <v>#NAME?</v>
      </c>
      <c r="Y10" s="132" t="e">
        <f ca="1"/>
        <v>#NAME?</v>
      </c>
    </row>
    <row r="11" spans="1:25">
      <c r="A11" s="625" t="s">
        <v>383</v>
      </c>
      <c r="B11" s="8" t="s">
        <v>1075</v>
      </c>
      <c r="C11" s="8" t="s">
        <v>2854</v>
      </c>
      <c r="D11" s="132">
        <v>36</v>
      </c>
      <c r="F11" s="1104" t="e">
        <f ca="1">$F$4</f>
        <v>#NAME?</v>
      </c>
      <c r="G11" s="1105" t="e">
        <f ca="1">$G6</f>
        <v>#NAME?</v>
      </c>
      <c r="H11" s="1106"/>
      <c r="I11" s="1104">
        <f ca="1">SUMIFS($I$27:$I$38,$F$27:$F$38,F11,$G$27:$G$38,G11)</f>
        <v>0</v>
      </c>
      <c r="J11" s="1106" t="str">
        <f ca="1">IF(I11=0,"",AVERAGEIFS($J$27:$J$38,$F$27:$F$38,F11,$G$27:$G$38,G11))</f>
        <v/>
      </c>
      <c r="L11" t="s">
        <v>1049</v>
      </c>
      <c r="M11" t="e">
        <f ca="1">DEVSQ(J27:J38)*I27-M10-M9-M8-M7-M6-M5</f>
        <v>#NUM!</v>
      </c>
      <c r="N11">
        <f ca="1">N7*N6*N5</f>
        <v>-1</v>
      </c>
      <c r="O11" t="e">
        <f t="shared" ca="1" si="0"/>
        <v>#NUM!</v>
      </c>
      <c r="P11" t="e">
        <f ca="1">O11/O12</f>
        <v>#NUM!</v>
      </c>
      <c r="Q11" t="e">
        <f ca="1">FDIST(P11,N11,N12)</f>
        <v>#NUM!</v>
      </c>
      <c r="R11" s="1094" t="e">
        <f ca="1">IF(Q11&lt;Q3,"yes","no")</f>
        <v>#NUM!</v>
      </c>
      <c r="T11" s="625" t="e">
        <f ca="1"/>
        <v>#NAME?</v>
      </c>
      <c r="U11" s="8" t="e">
        <f ca="1"/>
        <v>#NAME?</v>
      </c>
      <c r="V11" s="132" t="e">
        <f ca="1"/>
        <v>#NAME?</v>
      </c>
      <c r="W11" s="8" t="e">
        <f ca="1"/>
        <v>#NAME?</v>
      </c>
      <c r="X11" s="8" t="e">
        <f ca="1"/>
        <v>#NAME?</v>
      </c>
      <c r="Y11" s="132" t="e">
        <f ca="1"/>
        <v>#NAME?</v>
      </c>
    </row>
    <row r="12" spans="1:25">
      <c r="A12" s="625" t="s">
        <v>383</v>
      </c>
      <c r="B12" s="8" t="s">
        <v>1076</v>
      </c>
      <c r="C12" s="8" t="s">
        <v>1079</v>
      </c>
      <c r="D12" s="132">
        <v>16</v>
      </c>
      <c r="F12" s="625" t="e">
        <f ca="1">$F$4</f>
        <v>#NAME?</v>
      </c>
      <c r="G12" s="8" t="e">
        <f ca="1">$G7</f>
        <v>#NAME?</v>
      </c>
      <c r="H12" s="132"/>
      <c r="I12" s="625">
        <f ca="1">SUMIFS($I$27:$I$38,$F$27:$F$38,F12,$G$27:$G$38,G12)</f>
        <v>0</v>
      </c>
      <c r="J12" s="132" t="str">
        <f ca="1">IF(I12=0,"",AVERAGEIFS($J$27:$J$38,$F$27:$F$38,F12,$G$27:$G$38,G12))</f>
        <v/>
      </c>
      <c r="L12" t="s">
        <v>1021</v>
      </c>
      <c r="M12" t="e">
        <f ca="1">M13-M11-M10-M9-M8-M7-M6-M5</f>
        <v>#NUM!</v>
      </c>
      <c r="N12">
        <f ca="1">I39-(N5+1)*(N6+1)*(N7+1)</f>
        <v>0</v>
      </c>
      <c r="O12" t="e">
        <f t="shared" ca="1" si="0"/>
        <v>#NUM!</v>
      </c>
      <c r="T12" s="625" t="e">
        <f ca="1"/>
        <v>#NAME?</v>
      </c>
      <c r="U12" s="8" t="e">
        <f ca="1"/>
        <v>#NAME?</v>
      </c>
      <c r="V12" s="132" t="e">
        <f ca="1"/>
        <v>#NAME?</v>
      </c>
      <c r="W12" s="8" t="e">
        <f ca="1"/>
        <v>#NAME?</v>
      </c>
      <c r="X12" s="8" t="e">
        <f ca="1"/>
        <v>#NAME?</v>
      </c>
      <c r="Y12" s="132" t="e">
        <f ca="1"/>
        <v>#NAME?</v>
      </c>
    </row>
    <row r="13" spans="1:25">
      <c r="A13" s="625" t="s">
        <v>383</v>
      </c>
      <c r="B13" s="8" t="s">
        <v>1076</v>
      </c>
      <c r="C13" s="8" t="s">
        <v>1079</v>
      </c>
      <c r="D13" s="132">
        <v>31</v>
      </c>
      <c r="F13" s="625" t="e">
        <f ca="1">$F$5</f>
        <v>#NAME?</v>
      </c>
      <c r="G13" s="8" t="e">
        <f ca="1">$G6</f>
        <v>#NAME?</v>
      </c>
      <c r="H13" s="132"/>
      <c r="I13" s="625">
        <f ca="1">SUMIFS($I$27:$I$38,$F$27:$F$38,F13,$G$27:$G$38,G13)</f>
        <v>0</v>
      </c>
      <c r="J13" s="132" t="str">
        <f ca="1">IF(I13=0,"",AVERAGEIFS($J$27:$J$38,$F$27:$F$38,F13,$G$27:$G$38,G13))</f>
        <v/>
      </c>
      <c r="L13" s="1078" t="s">
        <v>12</v>
      </c>
      <c r="M13" s="1078">
        <f>J40</f>
        <v>2191.2222222222222</v>
      </c>
      <c r="N13" s="1078">
        <f ca="1">I39-1</f>
        <v>-1</v>
      </c>
      <c r="O13" s="1078">
        <f t="shared" ca="1" si="0"/>
        <v>-2191.2222222222222</v>
      </c>
      <c r="P13" s="1078"/>
      <c r="Q13" s="1078"/>
      <c r="R13" s="1078"/>
      <c r="T13" s="625" t="e">
        <f ca="1"/>
        <v>#NAME?</v>
      </c>
      <c r="U13" s="8" t="e">
        <f ca="1"/>
        <v>#NAME?</v>
      </c>
      <c r="V13" s="132" t="e">
        <f ca="1"/>
        <v>#NAME?</v>
      </c>
      <c r="W13" s="8" t="e">
        <f ca="1"/>
        <v>#NAME?</v>
      </c>
      <c r="X13" s="8" t="e">
        <f ca="1"/>
        <v>#NAME?</v>
      </c>
      <c r="Y13" s="132" t="e">
        <f ca="1"/>
        <v>#NAME?</v>
      </c>
    </row>
    <row r="14" spans="1:25">
      <c r="A14" s="625" t="s">
        <v>383</v>
      </c>
      <c r="B14" s="8" t="s">
        <v>1076</v>
      </c>
      <c r="C14" s="8" t="s">
        <v>1079</v>
      </c>
      <c r="D14" s="132">
        <v>17</v>
      </c>
      <c r="F14" s="1075" t="e">
        <f ca="1">$F$5</f>
        <v>#NAME?</v>
      </c>
      <c r="G14" s="1076" t="e">
        <f ca="1">$G7</f>
        <v>#NAME?</v>
      </c>
      <c r="H14" s="1077"/>
      <c r="I14" s="1075">
        <f ca="1">SUMIFS($I$27:$I$38,$F$27:$F$38,F14,$G$27:$G$38,G14)</f>
        <v>0</v>
      </c>
      <c r="J14" s="1077" t="str">
        <f ca="1">IF(I14=0,"",AVERAGEIFS($J$27:$J$38,$F$27:$F$38,F14,$G$27:$G$38,G14))</f>
        <v/>
      </c>
      <c r="T14" s="1075" t="e">
        <f ca="1"/>
        <v>#NAME?</v>
      </c>
      <c r="U14" s="1076" t="e">
        <f ca="1"/>
        <v>#NAME?</v>
      </c>
      <c r="V14" s="1077" t="e">
        <f ca="1"/>
        <v>#NAME?</v>
      </c>
      <c r="W14" s="1076" t="e">
        <f ca="1"/>
        <v>#NAME?</v>
      </c>
      <c r="X14" s="1076" t="e">
        <f ca="1"/>
        <v>#NAME?</v>
      </c>
      <c r="Y14" s="1077" t="e">
        <f ca="1"/>
        <v>#NAME?</v>
      </c>
    </row>
    <row r="15" spans="1:25">
      <c r="A15" s="625" t="s">
        <v>383</v>
      </c>
      <c r="B15" s="8" t="s">
        <v>1076</v>
      </c>
      <c r="C15" s="8" t="s">
        <v>1080</v>
      </c>
      <c r="D15" s="132">
        <v>31</v>
      </c>
      <c r="F15" s="1104" t="e">
        <f ca="1">$F$4</f>
        <v>#NAME?</v>
      </c>
      <c r="G15" s="1105"/>
      <c r="H15" s="1106" t="e">
        <f ca="1">$H8</f>
        <v>#NAME?</v>
      </c>
      <c r="I15" s="1104">
        <f t="shared" ref="I15:I20" ca="1" si="1">SUMIFS($I$27:$I$38,$F$27:$F$38,F15,$H$27:$H$38,H15)</f>
        <v>0</v>
      </c>
      <c r="J15" s="1106" t="str">
        <f t="shared" ref="J15:J20" ca="1" si="2">IF(I15=0,"",AVERAGEIFS($J$27:$J$38,$F$27:$F$38,F15,$H$27:$H$38,H15))</f>
        <v/>
      </c>
    </row>
    <row r="16" spans="1:25">
      <c r="A16" s="625" t="s">
        <v>383</v>
      </c>
      <c r="B16" s="8" t="s">
        <v>1076</v>
      </c>
      <c r="C16" s="8" t="s">
        <v>1080</v>
      </c>
      <c r="D16" s="132">
        <v>29</v>
      </c>
      <c r="F16" s="625" t="e">
        <f ca="1">$F$4</f>
        <v>#NAME?</v>
      </c>
      <c r="G16" s="8"/>
      <c r="H16" s="132" t="e">
        <f ca="1">$H9</f>
        <v>#NAME?</v>
      </c>
      <c r="I16" s="625">
        <f t="shared" ca="1" si="1"/>
        <v>0</v>
      </c>
      <c r="J16" s="132" t="str">
        <f t="shared" ca="1" si="2"/>
        <v/>
      </c>
    </row>
    <row r="17" spans="1:10">
      <c r="A17" s="625" t="s">
        <v>383</v>
      </c>
      <c r="B17" s="8" t="s">
        <v>1076</v>
      </c>
      <c r="C17" s="8" t="s">
        <v>1080</v>
      </c>
      <c r="D17" s="132">
        <v>40</v>
      </c>
      <c r="F17" s="625" t="e">
        <f ca="1">$F$4</f>
        <v>#NAME?</v>
      </c>
      <c r="G17" s="8"/>
      <c r="H17" s="132" t="e">
        <f ca="1">$H10</f>
        <v>#NAME?</v>
      </c>
      <c r="I17" s="625">
        <f t="shared" ca="1" si="1"/>
        <v>0</v>
      </c>
      <c r="J17" s="132" t="str">
        <f t="shared" ca="1" si="2"/>
        <v/>
      </c>
    </row>
    <row r="18" spans="1:10">
      <c r="A18" s="625" t="s">
        <v>342</v>
      </c>
      <c r="B18" s="8" t="s">
        <v>1075</v>
      </c>
      <c r="C18" s="8" t="s">
        <v>1079</v>
      </c>
      <c r="D18" s="132">
        <v>19</v>
      </c>
      <c r="F18" s="625" t="e">
        <f ca="1">$F$5</f>
        <v>#NAME?</v>
      </c>
      <c r="G18" s="8"/>
      <c r="H18" s="132" t="e">
        <f ca="1">$H8</f>
        <v>#NAME?</v>
      </c>
      <c r="I18" s="625">
        <f t="shared" ca="1" si="1"/>
        <v>0</v>
      </c>
      <c r="J18" s="132" t="str">
        <f t="shared" ca="1" si="2"/>
        <v/>
      </c>
    </row>
    <row r="19" spans="1:10">
      <c r="A19" s="625" t="s">
        <v>342</v>
      </c>
      <c r="B19" s="8" t="s">
        <v>1075</v>
      </c>
      <c r="C19" s="8" t="s">
        <v>1079</v>
      </c>
      <c r="D19" s="132">
        <v>28</v>
      </c>
      <c r="F19" s="625" t="e">
        <f ca="1">$F$5</f>
        <v>#NAME?</v>
      </c>
      <c r="G19" s="8"/>
      <c r="H19" s="132" t="e">
        <f ca="1">$H9</f>
        <v>#NAME?</v>
      </c>
      <c r="I19" s="625">
        <f t="shared" ca="1" si="1"/>
        <v>0</v>
      </c>
      <c r="J19" s="132" t="str">
        <f t="shared" ca="1" si="2"/>
        <v/>
      </c>
    </row>
    <row r="20" spans="1:10">
      <c r="A20" s="625" t="s">
        <v>342</v>
      </c>
      <c r="B20" s="8" t="s">
        <v>1075</v>
      </c>
      <c r="C20" s="8" t="s">
        <v>1079</v>
      </c>
      <c r="D20" s="132">
        <v>31</v>
      </c>
      <c r="F20" s="1075" t="e">
        <f ca="1">$F$5</f>
        <v>#NAME?</v>
      </c>
      <c r="G20" s="1076"/>
      <c r="H20" s="1077" t="e">
        <f ca="1">$H10</f>
        <v>#NAME?</v>
      </c>
      <c r="I20" s="1075">
        <f t="shared" ca="1" si="1"/>
        <v>0</v>
      </c>
      <c r="J20" s="1077" t="str">
        <f t="shared" ca="1" si="2"/>
        <v/>
      </c>
    </row>
    <row r="21" spans="1:10">
      <c r="A21" s="625" t="s">
        <v>342</v>
      </c>
      <c r="B21" s="8" t="s">
        <v>1075</v>
      </c>
      <c r="C21" s="8" t="s">
        <v>1080</v>
      </c>
      <c r="D21" s="132">
        <v>29</v>
      </c>
      <c r="F21" s="1104"/>
      <c r="G21" s="1105" t="e">
        <f ca="1">$G$6</f>
        <v>#NAME?</v>
      </c>
      <c r="H21" s="1106" t="e">
        <f ca="1">$H8</f>
        <v>#NAME?</v>
      </c>
      <c r="I21" s="1104">
        <f t="shared" ref="I21:I26" ca="1" si="3">SUMIFS($I$27:$I$38,$G$27:$G$38,G21,$H$27:$H$38,H21)</f>
        <v>0</v>
      </c>
      <c r="J21" s="1106" t="str">
        <f t="shared" ref="J21:J26" ca="1" si="4">IF(I21=0,"",AVERAGEIFS($J$27:$J$38,$G$27:$G$38,G21,$H$27:$H$38,H21))</f>
        <v/>
      </c>
    </row>
    <row r="22" spans="1:10">
      <c r="A22" s="625" t="s">
        <v>342</v>
      </c>
      <c r="B22" s="8" t="s">
        <v>1075</v>
      </c>
      <c r="C22" s="8" t="s">
        <v>1080</v>
      </c>
      <c r="D22" s="132">
        <v>25</v>
      </c>
      <c r="F22" s="625"/>
      <c r="G22" s="8" t="e">
        <f ca="1">$G$6</f>
        <v>#NAME?</v>
      </c>
      <c r="H22" s="132" t="e">
        <f ca="1">$H9</f>
        <v>#NAME?</v>
      </c>
      <c r="I22" s="625">
        <f t="shared" ca="1" si="3"/>
        <v>0</v>
      </c>
      <c r="J22" s="132" t="str">
        <f t="shared" ca="1" si="4"/>
        <v/>
      </c>
    </row>
    <row r="23" spans="1:10">
      <c r="A23" s="625" t="s">
        <v>342</v>
      </c>
      <c r="B23" s="8" t="s">
        <v>1075</v>
      </c>
      <c r="C23" s="8" t="s">
        <v>1080</v>
      </c>
      <c r="D23" s="132">
        <v>17</v>
      </c>
      <c r="F23" s="625"/>
      <c r="G23" s="8" t="e">
        <f ca="1">$G$6</f>
        <v>#NAME?</v>
      </c>
      <c r="H23" s="132" t="e">
        <f ca="1">$H10</f>
        <v>#NAME?</v>
      </c>
      <c r="I23" s="625">
        <f t="shared" ca="1" si="3"/>
        <v>0</v>
      </c>
      <c r="J23" s="132" t="str">
        <f t="shared" ca="1" si="4"/>
        <v/>
      </c>
    </row>
    <row r="24" spans="1:10">
      <c r="A24" s="625" t="s">
        <v>342</v>
      </c>
      <c r="B24" s="8" t="s">
        <v>1076</v>
      </c>
      <c r="C24" s="8" t="s">
        <v>1079</v>
      </c>
      <c r="D24" s="132">
        <v>28</v>
      </c>
      <c r="F24" s="625"/>
      <c r="G24" s="8" t="e">
        <f ca="1">$G$7</f>
        <v>#NAME?</v>
      </c>
      <c r="H24" s="132" t="e">
        <f ca="1">$H8</f>
        <v>#NAME?</v>
      </c>
      <c r="I24" s="625">
        <f t="shared" ca="1" si="3"/>
        <v>0</v>
      </c>
      <c r="J24" s="132" t="str">
        <f t="shared" ca="1" si="4"/>
        <v/>
      </c>
    </row>
    <row r="25" spans="1:10">
      <c r="A25" s="625" t="s">
        <v>342</v>
      </c>
      <c r="B25" s="8" t="s">
        <v>1076</v>
      </c>
      <c r="C25" s="8" t="s">
        <v>1079</v>
      </c>
      <c r="D25" s="132">
        <v>37</v>
      </c>
      <c r="F25" s="625"/>
      <c r="G25" s="8" t="e">
        <f ca="1">$G$7</f>
        <v>#NAME?</v>
      </c>
      <c r="H25" s="132" t="e">
        <f ca="1">$H9</f>
        <v>#NAME?</v>
      </c>
      <c r="I25" s="625">
        <f t="shared" ca="1" si="3"/>
        <v>0</v>
      </c>
      <c r="J25" s="132" t="str">
        <f t="shared" ca="1" si="4"/>
        <v/>
      </c>
    </row>
    <row r="26" spans="1:10">
      <c r="A26" s="625" t="s">
        <v>342</v>
      </c>
      <c r="B26" s="8" t="s">
        <v>1076</v>
      </c>
      <c r="C26" s="8" t="s">
        <v>1079</v>
      </c>
      <c r="D26" s="132">
        <v>22</v>
      </c>
      <c r="F26" s="1075"/>
      <c r="G26" s="1076" t="e">
        <f ca="1">$G$7</f>
        <v>#NAME?</v>
      </c>
      <c r="H26" s="1077" t="e">
        <f ca="1">$H10</f>
        <v>#NAME?</v>
      </c>
      <c r="I26" s="1075">
        <f t="shared" ca="1" si="3"/>
        <v>0</v>
      </c>
      <c r="J26" s="1077" t="str">
        <f t="shared" ca="1" si="4"/>
        <v/>
      </c>
    </row>
    <row r="27" spans="1:10">
      <c r="A27" s="625" t="s">
        <v>342</v>
      </c>
      <c r="B27" s="8" t="s">
        <v>1076</v>
      </c>
      <c r="C27" s="8" t="s">
        <v>1080</v>
      </c>
      <c r="D27" s="132">
        <v>35</v>
      </c>
      <c r="F27" s="1104" t="e">
        <f t="shared" ref="F27:F32" ca="1" si="5">$F$4</f>
        <v>#NAME?</v>
      </c>
      <c r="G27" s="1105" t="e">
        <f t="shared" ref="G27:H38" ca="1" si="6">G21</f>
        <v>#NAME?</v>
      </c>
      <c r="H27" s="1106" t="e">
        <f t="shared" ca="1" si="6"/>
        <v>#NAME?</v>
      </c>
      <c r="I27" s="1104">
        <f ca="1">COUNTIFS($A$3:$A$38,$F27,$B$3:$B$38,$G27,$C$3:$C$38,$H27)</f>
        <v>0</v>
      </c>
      <c r="J27" s="1106" t="str">
        <f ca="1">IF(I27=0,"",AVERAGEIFS($D$3:$D$38,$A$3:$A$38,$F27,$B$3:$B$38,$G27,$C$3:$C$38,$H27))</f>
        <v/>
      </c>
    </row>
    <row r="28" spans="1:10">
      <c r="A28" s="625" t="s">
        <v>342</v>
      </c>
      <c r="B28" s="8" t="s">
        <v>1076</v>
      </c>
      <c r="C28" s="8" t="s">
        <v>1080</v>
      </c>
      <c r="D28" s="132">
        <v>23</v>
      </c>
      <c r="F28" s="625" t="e">
        <f t="shared" ca="1" si="5"/>
        <v>#NAME?</v>
      </c>
      <c r="G28" s="8" t="e">
        <f t="shared" ca="1" si="6"/>
        <v>#NAME?</v>
      </c>
      <c r="H28" s="132" t="e">
        <f t="shared" ca="1" si="6"/>
        <v>#NAME?</v>
      </c>
      <c r="I28" s="625">
        <f t="shared" ref="I28:I38" ca="1" si="7">COUNTIFS($A$3:$A$38,$F28,$B$3:$B$38,$G28,$C$3:$C$38,$H28)</f>
        <v>0</v>
      </c>
      <c r="J28" s="132" t="str">
        <f t="shared" ref="J28:J38" ca="1" si="8">IF(I28=0,"",AVERAGEIFS($D$3:$D$38,$A$3:$A$38,$F28,$B$3:$B$38,$G28,$C$3:$C$38,$H28))</f>
        <v/>
      </c>
    </row>
    <row r="29" spans="1:10">
      <c r="A29" s="625" t="s">
        <v>342</v>
      </c>
      <c r="B29" s="8" t="s">
        <v>1076</v>
      </c>
      <c r="C29" s="8" t="s">
        <v>1080</v>
      </c>
      <c r="D29" s="132">
        <v>24</v>
      </c>
      <c r="F29" s="625" t="e">
        <f t="shared" ca="1" si="5"/>
        <v>#NAME?</v>
      </c>
      <c r="G29" s="8" t="e">
        <f t="shared" ca="1" si="6"/>
        <v>#NAME?</v>
      </c>
      <c r="H29" s="132" t="e">
        <f t="shared" ca="1" si="6"/>
        <v>#NAME?</v>
      </c>
      <c r="I29" s="625">
        <f t="shared" ca="1" si="7"/>
        <v>0</v>
      </c>
      <c r="J29" s="132" t="str">
        <f t="shared" ca="1" si="8"/>
        <v/>
      </c>
    </row>
    <row r="30" spans="1:10">
      <c r="A30" s="625" t="s">
        <v>383</v>
      </c>
      <c r="B30" s="8" t="s">
        <v>1076</v>
      </c>
      <c r="C30" s="8" t="s">
        <v>2854</v>
      </c>
      <c r="D30" s="132">
        <v>23</v>
      </c>
      <c r="F30" s="625" t="e">
        <f t="shared" ca="1" si="5"/>
        <v>#NAME?</v>
      </c>
      <c r="G30" s="8" t="e">
        <f t="shared" ca="1" si="6"/>
        <v>#NAME?</v>
      </c>
      <c r="H30" s="132" t="e">
        <f t="shared" ca="1" si="6"/>
        <v>#NAME?</v>
      </c>
      <c r="I30" s="625">
        <f t="shared" ca="1" si="7"/>
        <v>0</v>
      </c>
      <c r="J30" s="132" t="str">
        <f t="shared" ca="1" si="8"/>
        <v/>
      </c>
    </row>
    <row r="31" spans="1:10">
      <c r="A31" s="625" t="s">
        <v>383</v>
      </c>
      <c r="B31" s="8" t="s">
        <v>1076</v>
      </c>
      <c r="C31" s="8" t="s">
        <v>2854</v>
      </c>
      <c r="D31" s="132">
        <v>28</v>
      </c>
      <c r="F31" s="625" t="e">
        <f t="shared" ca="1" si="5"/>
        <v>#NAME?</v>
      </c>
      <c r="G31" s="8" t="e">
        <f t="shared" ca="1" si="6"/>
        <v>#NAME?</v>
      </c>
      <c r="H31" s="132" t="e">
        <f t="shared" ca="1" si="6"/>
        <v>#NAME?</v>
      </c>
      <c r="I31" s="625">
        <f t="shared" ca="1" si="7"/>
        <v>0</v>
      </c>
      <c r="J31" s="132" t="str">
        <f t="shared" ca="1" si="8"/>
        <v/>
      </c>
    </row>
    <row r="32" spans="1:10">
      <c r="A32" s="625" t="s">
        <v>383</v>
      </c>
      <c r="B32" s="8" t="s">
        <v>1076</v>
      </c>
      <c r="C32" s="8" t="s">
        <v>2854</v>
      </c>
      <c r="D32" s="132">
        <v>26</v>
      </c>
      <c r="F32" s="625" t="e">
        <f t="shared" ca="1" si="5"/>
        <v>#NAME?</v>
      </c>
      <c r="G32" s="8" t="e">
        <f t="shared" ca="1" si="6"/>
        <v>#NAME?</v>
      </c>
      <c r="H32" s="132" t="e">
        <f t="shared" ca="1" si="6"/>
        <v>#NAME?</v>
      </c>
      <c r="I32" s="625">
        <f t="shared" ca="1" si="7"/>
        <v>0</v>
      </c>
      <c r="J32" s="132" t="str">
        <f t="shared" ca="1" si="8"/>
        <v/>
      </c>
    </row>
    <row r="33" spans="1:10">
      <c r="A33" s="625" t="s">
        <v>342</v>
      </c>
      <c r="B33" s="8" t="s">
        <v>1075</v>
      </c>
      <c r="C33" s="8" t="s">
        <v>2854</v>
      </c>
      <c r="D33" s="132">
        <v>18</v>
      </c>
      <c r="F33" s="625" t="e">
        <f t="shared" ref="F33:F38" ca="1" si="9">$F$5</f>
        <v>#NAME?</v>
      </c>
      <c r="G33" s="8" t="e">
        <f t="shared" ca="1" si="6"/>
        <v>#NAME?</v>
      </c>
      <c r="H33" s="132" t="e">
        <f t="shared" ca="1" si="6"/>
        <v>#NAME?</v>
      </c>
      <c r="I33" s="625">
        <f t="shared" ca="1" si="7"/>
        <v>0</v>
      </c>
      <c r="J33" s="132" t="str">
        <f t="shared" ca="1" si="8"/>
        <v/>
      </c>
    </row>
    <row r="34" spans="1:10">
      <c r="A34" s="625" t="s">
        <v>342</v>
      </c>
      <c r="B34" s="8" t="s">
        <v>1075</v>
      </c>
      <c r="C34" s="8" t="s">
        <v>2854</v>
      </c>
      <c r="D34" s="132">
        <v>14</v>
      </c>
      <c r="F34" s="625" t="e">
        <f t="shared" ca="1" si="9"/>
        <v>#NAME?</v>
      </c>
      <c r="G34" s="8" t="e">
        <f t="shared" ca="1" si="6"/>
        <v>#NAME?</v>
      </c>
      <c r="H34" s="132" t="e">
        <f t="shared" ca="1" si="6"/>
        <v>#NAME?</v>
      </c>
      <c r="I34" s="625">
        <f t="shared" ca="1" si="7"/>
        <v>0</v>
      </c>
      <c r="J34" s="132" t="str">
        <f t="shared" ca="1" si="8"/>
        <v/>
      </c>
    </row>
    <row r="35" spans="1:10">
      <c r="A35" s="625" t="s">
        <v>342</v>
      </c>
      <c r="B35" s="8" t="s">
        <v>1075</v>
      </c>
      <c r="C35" s="8" t="s">
        <v>2854</v>
      </c>
      <c r="D35" s="132">
        <v>25</v>
      </c>
      <c r="F35" s="625" t="e">
        <f t="shared" ca="1" si="9"/>
        <v>#NAME?</v>
      </c>
      <c r="G35" s="8" t="e">
        <f t="shared" ca="1" si="6"/>
        <v>#NAME?</v>
      </c>
      <c r="H35" s="132" t="e">
        <f t="shared" ca="1" si="6"/>
        <v>#NAME?</v>
      </c>
      <c r="I35" s="625">
        <f t="shared" ca="1" si="7"/>
        <v>0</v>
      </c>
      <c r="J35" s="132" t="str">
        <f t="shared" ca="1" si="8"/>
        <v/>
      </c>
    </row>
    <row r="36" spans="1:10">
      <c r="A36" s="625" t="s">
        <v>342</v>
      </c>
      <c r="B36" s="8" t="s">
        <v>1076</v>
      </c>
      <c r="C36" s="8" t="s">
        <v>2854</v>
      </c>
      <c r="D36" s="132">
        <v>16</v>
      </c>
      <c r="F36" s="625" t="e">
        <f t="shared" ca="1" si="9"/>
        <v>#NAME?</v>
      </c>
      <c r="G36" s="8" t="e">
        <f t="shared" ca="1" si="6"/>
        <v>#NAME?</v>
      </c>
      <c r="H36" s="132" t="e">
        <f t="shared" ca="1" si="6"/>
        <v>#NAME?</v>
      </c>
      <c r="I36" s="625">
        <f t="shared" ca="1" si="7"/>
        <v>0</v>
      </c>
      <c r="J36" s="132" t="str">
        <f t="shared" ca="1" si="8"/>
        <v/>
      </c>
    </row>
    <row r="37" spans="1:10">
      <c r="A37" s="625" t="s">
        <v>342</v>
      </c>
      <c r="B37" s="8" t="s">
        <v>1076</v>
      </c>
      <c r="C37" s="8" t="s">
        <v>2854</v>
      </c>
      <c r="D37" s="132">
        <v>11</v>
      </c>
      <c r="F37" s="625" t="e">
        <f t="shared" ca="1" si="9"/>
        <v>#NAME?</v>
      </c>
      <c r="G37" s="8" t="e">
        <f t="shared" ca="1" si="6"/>
        <v>#NAME?</v>
      </c>
      <c r="H37" s="132" t="e">
        <f t="shared" ca="1" si="6"/>
        <v>#NAME?</v>
      </c>
      <c r="I37" s="625">
        <f t="shared" ca="1" si="7"/>
        <v>0</v>
      </c>
      <c r="J37" s="132" t="str">
        <f t="shared" ca="1" si="8"/>
        <v/>
      </c>
    </row>
    <row r="38" spans="1:10">
      <c r="A38" s="1075" t="s">
        <v>342</v>
      </c>
      <c r="B38" s="1076" t="s">
        <v>1076</v>
      </c>
      <c r="C38" s="1076" t="s">
        <v>2854</v>
      </c>
      <c r="D38" s="1077">
        <v>19</v>
      </c>
      <c r="F38" s="1075" t="e">
        <f t="shared" ca="1" si="9"/>
        <v>#NAME?</v>
      </c>
      <c r="G38" s="1076" t="e">
        <f t="shared" ca="1" si="6"/>
        <v>#NAME?</v>
      </c>
      <c r="H38" s="1077" t="e">
        <f t="shared" ca="1" si="6"/>
        <v>#NAME?</v>
      </c>
      <c r="I38" s="1075">
        <f t="shared" ca="1" si="7"/>
        <v>0</v>
      </c>
      <c r="J38" s="1077" t="str">
        <f t="shared" ca="1" si="8"/>
        <v/>
      </c>
    </row>
    <row r="39" spans="1:10">
      <c r="I39">
        <f ca="1">SUM(I27:I38)</f>
        <v>0</v>
      </c>
      <c r="J39" t="e">
        <f ca="1">AVERAGE(J27:J38)</f>
        <v>#DIV/0!</v>
      </c>
    </row>
    <row r="40" spans="1:10">
      <c r="I40" s="19" t="s">
        <v>1040</v>
      </c>
      <c r="J40" s="1107">
        <f>DEVSQ(D3:D38)</f>
        <v>2191.2222222222222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sheetPr codeName="Sheet120"/>
  <dimension ref="A1:AN74"/>
  <sheetViews>
    <sheetView workbookViewId="0"/>
  </sheetViews>
  <sheetFormatPr defaultRowHeight="14.4"/>
  <cols>
    <col min="1" max="1" width="7.88671875" customWidth="1"/>
    <col min="2" max="4" width="7.33203125" customWidth="1"/>
    <col min="5" max="5" width="6.109375" customWidth="1"/>
    <col min="6" max="6" width="18" customWidth="1"/>
    <col min="30" max="30" width="10.5546875" customWidth="1"/>
    <col min="36" max="36" width="10.33203125" customWidth="1"/>
  </cols>
  <sheetData>
    <row r="1" spans="1:40">
      <c r="A1" s="1" t="s">
        <v>1090</v>
      </c>
      <c r="N1" t="s">
        <v>2068</v>
      </c>
      <c r="AD1" t="s">
        <v>2067</v>
      </c>
    </row>
    <row r="3" spans="1:40">
      <c r="B3" s="1563" t="s">
        <v>1098</v>
      </c>
      <c r="C3" s="1564"/>
      <c r="D3" s="1565"/>
      <c r="F3" t="s">
        <v>1020</v>
      </c>
      <c r="N3" s="8"/>
      <c r="O3" s="42" t="s">
        <v>1091</v>
      </c>
      <c r="P3" s="42" t="s">
        <v>1093</v>
      </c>
      <c r="Q3" s="42" t="s">
        <v>1092</v>
      </c>
      <c r="R3" s="8"/>
      <c r="AD3" t="s">
        <v>1020</v>
      </c>
    </row>
    <row r="4" spans="1:40">
      <c r="A4" s="388" t="s">
        <v>1097</v>
      </c>
      <c r="B4" s="406" t="s">
        <v>1091</v>
      </c>
      <c r="C4" s="406" t="s">
        <v>1093</v>
      </c>
      <c r="D4" s="406" t="s">
        <v>1092</v>
      </c>
      <c r="N4" s="8" t="s">
        <v>1094</v>
      </c>
      <c r="O4" s="393">
        <f>AVERAGE(B5:B9)</f>
        <v>22.8</v>
      </c>
      <c r="P4" s="391">
        <f>AVERAGE(C5:C9)</f>
        <v>19.8</v>
      </c>
      <c r="Q4" s="392">
        <f>AVERAGE(D5:D9)</f>
        <v>10</v>
      </c>
      <c r="R4" s="8">
        <f>AVERAGE(O4:Q4)</f>
        <v>17.533333333333335</v>
      </c>
    </row>
    <row r="5" spans="1:40">
      <c r="A5" s="393" t="s">
        <v>1094</v>
      </c>
      <c r="B5" s="400">
        <v>15</v>
      </c>
      <c r="C5" s="400">
        <v>21</v>
      </c>
      <c r="D5" s="400">
        <v>11</v>
      </c>
      <c r="F5" t="s">
        <v>194</v>
      </c>
      <c r="G5" t="s">
        <v>1091</v>
      </c>
      <c r="H5" t="s">
        <v>1093</v>
      </c>
      <c r="I5" t="s">
        <v>1092</v>
      </c>
      <c r="J5" t="s">
        <v>12</v>
      </c>
      <c r="N5" s="8" t="s">
        <v>1095</v>
      </c>
      <c r="O5" s="377">
        <f>AVERAGE(B10:B14)</f>
        <v>25</v>
      </c>
      <c r="P5" s="8">
        <f>AVERAGE(C10:C14)</f>
        <v>21</v>
      </c>
      <c r="Q5" s="9">
        <f>AVERAGE(D10:D14)</f>
        <v>29.4</v>
      </c>
      <c r="R5" s="8">
        <f>AVERAGE(O5:Q5)</f>
        <v>25.133333333333336</v>
      </c>
      <c r="AD5" t="s">
        <v>194</v>
      </c>
      <c r="AE5" s="19" t="s">
        <v>1091</v>
      </c>
      <c r="AF5" s="19" t="s">
        <v>1093</v>
      </c>
      <c r="AG5" s="19" t="s">
        <v>1092</v>
      </c>
      <c r="AH5" s="19" t="s">
        <v>12</v>
      </c>
      <c r="AJ5" t="s">
        <v>194</v>
      </c>
      <c r="AK5" s="19" t="s">
        <v>1091</v>
      </c>
      <c r="AL5" s="19" t="s">
        <v>1093</v>
      </c>
      <c r="AM5" s="19" t="s">
        <v>1092</v>
      </c>
      <c r="AN5" s="19" t="s">
        <v>12</v>
      </c>
    </row>
    <row r="6" spans="1:40" ht="15" thickBot="1">
      <c r="A6" s="377"/>
      <c r="B6" s="376">
        <v>23</v>
      </c>
      <c r="C6" s="376">
        <v>11</v>
      </c>
      <c r="D6" s="376">
        <v>8</v>
      </c>
      <c r="F6" s="378" t="s">
        <v>1094</v>
      </c>
      <c r="G6" s="378"/>
      <c r="H6" s="378"/>
      <c r="I6" s="378"/>
      <c r="J6" s="378"/>
      <c r="N6" s="8" t="s">
        <v>1096</v>
      </c>
      <c r="O6" s="10">
        <f>AVERAGE(B15:B19)</f>
        <v>28</v>
      </c>
      <c r="P6" s="11">
        <f>AVERAGE(C15:C19)</f>
        <v>26</v>
      </c>
      <c r="Q6" s="12">
        <f>AVERAGE(D15:D19)</f>
        <v>37.200000000000003</v>
      </c>
      <c r="R6" s="8">
        <f>AVERAGE(O6:Q6)</f>
        <v>30.400000000000002</v>
      </c>
      <c r="AD6" s="378" t="s">
        <v>1094</v>
      </c>
      <c r="AE6" s="378"/>
      <c r="AF6" s="378"/>
      <c r="AG6" s="378"/>
      <c r="AH6" s="378"/>
      <c r="AJ6" s="378" t="s">
        <v>1096</v>
      </c>
      <c r="AK6" s="378"/>
      <c r="AL6" s="378"/>
      <c r="AM6" s="378"/>
      <c r="AN6" s="378"/>
    </row>
    <row r="7" spans="1:40">
      <c r="A7" s="377"/>
      <c r="B7" s="376">
        <v>26</v>
      </c>
      <c r="C7" s="376">
        <v>28</v>
      </c>
      <c r="D7" s="376">
        <v>2</v>
      </c>
      <c r="F7" s="28" t="s">
        <v>88</v>
      </c>
      <c r="G7" s="28">
        <v>5</v>
      </c>
      <c r="H7" s="28">
        <v>5</v>
      </c>
      <c r="I7" s="28">
        <v>5</v>
      </c>
      <c r="J7" s="28">
        <v>15</v>
      </c>
      <c r="N7" s="8"/>
      <c r="O7" s="8">
        <f>AVERAGE(O4:O6)</f>
        <v>25.266666666666666</v>
      </c>
      <c r="P7" s="8">
        <f>AVERAGE(P4:P6)</f>
        <v>22.266666666666666</v>
      </c>
      <c r="Q7" s="8">
        <f>AVERAGE(Q4:Q6)</f>
        <v>25.533333333333331</v>
      </c>
      <c r="R7" s="8"/>
      <c r="AD7" s="28" t="s">
        <v>88</v>
      </c>
      <c r="AE7" s="28">
        <v>5</v>
      </c>
      <c r="AF7" s="28">
        <v>5</v>
      </c>
      <c r="AG7" s="28">
        <v>5</v>
      </c>
      <c r="AH7" s="28">
        <v>15</v>
      </c>
      <c r="AJ7" s="28" t="s">
        <v>88</v>
      </c>
      <c r="AK7" s="28">
        <v>5</v>
      </c>
      <c r="AL7" s="28">
        <v>5</v>
      </c>
      <c r="AM7" s="28">
        <v>5</v>
      </c>
      <c r="AN7" s="28">
        <v>15</v>
      </c>
    </row>
    <row r="8" spans="1:40">
      <c r="A8" s="377"/>
      <c r="B8" s="376">
        <v>19</v>
      </c>
      <c r="C8" s="376">
        <v>16</v>
      </c>
      <c r="D8" s="376">
        <v>19</v>
      </c>
      <c r="F8" s="28" t="s">
        <v>87</v>
      </c>
      <c r="G8" s="28">
        <v>114</v>
      </c>
      <c r="H8" s="28">
        <v>99</v>
      </c>
      <c r="I8" s="28">
        <v>50</v>
      </c>
      <c r="J8" s="28">
        <v>263</v>
      </c>
      <c r="AD8" s="28" t="s">
        <v>87</v>
      </c>
      <c r="AE8" s="28">
        <v>114</v>
      </c>
      <c r="AF8" s="28">
        <v>99</v>
      </c>
      <c r="AG8" s="28">
        <v>50</v>
      </c>
      <c r="AH8" s="28">
        <v>263</v>
      </c>
      <c r="AJ8" s="28" t="s">
        <v>87</v>
      </c>
      <c r="AK8" s="28">
        <v>140</v>
      </c>
      <c r="AL8" s="28">
        <v>130</v>
      </c>
      <c r="AM8" s="28">
        <v>186</v>
      </c>
      <c r="AN8" s="28">
        <v>456</v>
      </c>
    </row>
    <row r="9" spans="1:40">
      <c r="A9" s="377"/>
      <c r="B9" s="376">
        <v>31</v>
      </c>
      <c r="C9" s="376">
        <v>23</v>
      </c>
      <c r="D9" s="268">
        <v>10</v>
      </c>
      <c r="F9" s="28" t="s">
        <v>886</v>
      </c>
      <c r="G9" s="28">
        <v>22.8</v>
      </c>
      <c r="H9" s="28">
        <v>19.8</v>
      </c>
      <c r="I9" s="28">
        <v>10</v>
      </c>
      <c r="J9" s="28">
        <v>17.533333333333335</v>
      </c>
      <c r="AD9" s="28" t="s">
        <v>886</v>
      </c>
      <c r="AE9" s="28">
        <v>22.8</v>
      </c>
      <c r="AF9" s="28">
        <v>19.8</v>
      </c>
      <c r="AG9" s="28">
        <v>10</v>
      </c>
      <c r="AH9" s="28">
        <v>17.533333333333335</v>
      </c>
      <c r="AJ9" s="28" t="s">
        <v>886</v>
      </c>
      <c r="AK9" s="28">
        <v>28</v>
      </c>
      <c r="AL9" s="28">
        <v>26</v>
      </c>
      <c r="AM9" s="28">
        <v>37.200000000000003</v>
      </c>
      <c r="AN9" s="28">
        <v>30.4</v>
      </c>
    </row>
    <row r="10" spans="1:40" ht="15" thickBot="1">
      <c r="A10" s="393" t="s">
        <v>1095</v>
      </c>
      <c r="B10" s="400">
        <v>33</v>
      </c>
      <c r="C10" s="400">
        <v>25</v>
      </c>
      <c r="D10" s="400">
        <v>30</v>
      </c>
      <c r="F10" s="28" t="s">
        <v>223</v>
      </c>
      <c r="G10" s="28">
        <v>38.200000000000045</v>
      </c>
      <c r="H10" s="28">
        <v>42.699999999999989</v>
      </c>
      <c r="I10" s="28">
        <v>37.5</v>
      </c>
      <c r="J10" s="28">
        <v>65.838095238095249</v>
      </c>
      <c r="N10" t="s">
        <v>1099</v>
      </c>
      <c r="R10" s="368" t="s">
        <v>116</v>
      </c>
      <c r="S10" s="368">
        <v>0.05</v>
      </c>
      <c r="AD10" s="28" t="s">
        <v>223</v>
      </c>
      <c r="AE10" s="28">
        <v>38.200000000000045</v>
      </c>
      <c r="AF10" s="28">
        <v>42.699999999999989</v>
      </c>
      <c r="AG10" s="28">
        <v>37.5</v>
      </c>
      <c r="AH10" s="28">
        <v>65.838095238095249</v>
      </c>
      <c r="AJ10" s="28" t="s">
        <v>223</v>
      </c>
      <c r="AK10" s="28">
        <v>82</v>
      </c>
      <c r="AL10" s="28">
        <v>82</v>
      </c>
      <c r="AM10" s="28">
        <v>75.700000000000045</v>
      </c>
      <c r="AN10" s="28">
        <v>93.971428571428604</v>
      </c>
    </row>
    <row r="11" spans="1:40" ht="15" thickTop="1">
      <c r="A11" s="377"/>
      <c r="B11" s="376">
        <v>26</v>
      </c>
      <c r="C11" s="376">
        <v>29</v>
      </c>
      <c r="D11" s="376">
        <v>29</v>
      </c>
      <c r="F11" s="28"/>
      <c r="G11" s="28"/>
      <c r="H11" s="28"/>
      <c r="I11" s="28"/>
      <c r="J11" s="28"/>
      <c r="N11" s="76" t="s">
        <v>222</v>
      </c>
      <c r="O11" s="76" t="s">
        <v>143</v>
      </c>
      <c r="P11" s="76" t="s">
        <v>63</v>
      </c>
      <c r="Q11" s="76" t="s">
        <v>106</v>
      </c>
      <c r="R11" s="76" t="s">
        <v>929</v>
      </c>
      <c r="S11" s="76" t="s">
        <v>931</v>
      </c>
      <c r="AD11" s="28"/>
      <c r="AE11" s="28"/>
      <c r="AF11" s="28"/>
      <c r="AG11" s="28"/>
      <c r="AH11" s="28"/>
      <c r="AJ11" s="28"/>
      <c r="AK11" s="28"/>
      <c r="AL11" s="28"/>
      <c r="AM11" s="28"/>
      <c r="AN11" s="28"/>
    </row>
    <row r="12" spans="1:40" ht="15" thickBot="1">
      <c r="A12" s="377"/>
      <c r="B12" s="376">
        <v>15</v>
      </c>
      <c r="C12" s="376">
        <v>17</v>
      </c>
      <c r="D12" s="376">
        <v>39</v>
      </c>
      <c r="F12" s="378" t="s">
        <v>1095</v>
      </c>
      <c r="G12" s="378"/>
      <c r="H12" s="378"/>
      <c r="I12" s="378"/>
      <c r="J12" s="378"/>
      <c r="N12" t="s">
        <v>1091</v>
      </c>
      <c r="O12">
        <v>-1</v>
      </c>
      <c r="P12">
        <f>G27</f>
        <v>25.266666666666666</v>
      </c>
      <c r="Q12">
        <f>G25</f>
        <v>15</v>
      </c>
      <c r="R12">
        <f>O12^2/Q12</f>
        <v>6.6666666666666666E-2</v>
      </c>
      <c r="S12">
        <f>O12*P12</f>
        <v>-25.266666666666666</v>
      </c>
      <c r="AD12" s="378" t="s">
        <v>1095</v>
      </c>
      <c r="AE12" s="378"/>
      <c r="AF12" s="378"/>
      <c r="AG12" s="378"/>
      <c r="AH12" s="378"/>
      <c r="AJ12" s="378" t="s">
        <v>12</v>
      </c>
      <c r="AK12" s="378"/>
      <c r="AL12" s="378"/>
      <c r="AM12" s="378"/>
      <c r="AN12" s="378"/>
    </row>
    <row r="13" spans="1:40">
      <c r="A13" s="377"/>
      <c r="B13" s="376">
        <v>18</v>
      </c>
      <c r="C13" s="376">
        <v>22</v>
      </c>
      <c r="D13" s="376">
        <v>25</v>
      </c>
      <c r="F13" s="28" t="s">
        <v>88</v>
      </c>
      <c r="G13" s="28">
        <v>5</v>
      </c>
      <c r="H13" s="28">
        <v>5</v>
      </c>
      <c r="I13" s="28">
        <v>5</v>
      </c>
      <c r="J13" s="28">
        <v>15</v>
      </c>
      <c r="N13" t="s">
        <v>1093</v>
      </c>
      <c r="O13">
        <v>0</v>
      </c>
      <c r="P13">
        <f>H27</f>
        <v>22.266666666666666</v>
      </c>
      <c r="Q13">
        <f>H25</f>
        <v>15</v>
      </c>
      <c r="R13">
        <f>O13^2/Q13</f>
        <v>0</v>
      </c>
      <c r="S13">
        <f>O13*P13</f>
        <v>0</v>
      </c>
      <c r="AD13" s="28" t="s">
        <v>88</v>
      </c>
      <c r="AE13" s="28">
        <v>5</v>
      </c>
      <c r="AF13" s="28">
        <v>5</v>
      </c>
      <c r="AG13" s="28">
        <v>5</v>
      </c>
      <c r="AH13" s="28">
        <v>15</v>
      </c>
      <c r="AJ13" s="28" t="s">
        <v>88</v>
      </c>
      <c r="AK13" s="28">
        <v>15</v>
      </c>
      <c r="AL13" s="28">
        <v>15</v>
      </c>
      <c r="AM13" s="28">
        <v>15</v>
      </c>
      <c r="AN13" s="28"/>
    </row>
    <row r="14" spans="1:40">
      <c r="A14" s="377"/>
      <c r="B14" s="376">
        <v>33</v>
      </c>
      <c r="C14" s="376">
        <v>12</v>
      </c>
      <c r="D14" s="268">
        <v>24</v>
      </c>
      <c r="F14" s="28" t="s">
        <v>87</v>
      </c>
      <c r="G14" s="28">
        <v>125</v>
      </c>
      <c r="H14" s="28">
        <v>105</v>
      </c>
      <c r="I14" s="28">
        <v>147</v>
      </c>
      <c r="J14" s="28">
        <v>377</v>
      </c>
      <c r="N14" t="s">
        <v>1092</v>
      </c>
      <c r="O14">
        <v>1</v>
      </c>
      <c r="P14">
        <f>I27</f>
        <v>25.533333333333335</v>
      </c>
      <c r="Q14">
        <f>I25</f>
        <v>15</v>
      </c>
      <c r="R14">
        <f>O14^2/Q14</f>
        <v>6.6666666666666666E-2</v>
      </c>
      <c r="S14">
        <f>O14*P14</f>
        <v>25.533333333333335</v>
      </c>
      <c r="AD14" s="28" t="s">
        <v>87</v>
      </c>
      <c r="AE14" s="28">
        <v>125</v>
      </c>
      <c r="AF14" s="28">
        <v>105</v>
      </c>
      <c r="AG14" s="28">
        <v>147</v>
      </c>
      <c r="AH14" s="28">
        <v>377</v>
      </c>
      <c r="AJ14" s="28" t="s">
        <v>87</v>
      </c>
      <c r="AK14" s="28">
        <v>379</v>
      </c>
      <c r="AL14" s="28">
        <v>334</v>
      </c>
      <c r="AM14" s="28">
        <v>383</v>
      </c>
      <c r="AN14" s="28"/>
    </row>
    <row r="15" spans="1:40">
      <c r="A15" s="393" t="s">
        <v>1096</v>
      </c>
      <c r="B15" s="400">
        <v>28</v>
      </c>
      <c r="C15" s="400">
        <v>16</v>
      </c>
      <c r="D15" s="400">
        <v>26</v>
      </c>
      <c r="F15" s="28" t="s">
        <v>886</v>
      </c>
      <c r="G15" s="28">
        <v>25</v>
      </c>
      <c r="H15" s="28">
        <v>21</v>
      </c>
      <c r="I15" s="28">
        <v>29.4</v>
      </c>
      <c r="J15" s="28">
        <v>25.133333333333333</v>
      </c>
      <c r="N15" s="270"/>
      <c r="O15" s="270"/>
      <c r="P15" s="270"/>
      <c r="Q15" s="270"/>
      <c r="R15" s="270">
        <f>SUM(R12:R14)</f>
        <v>0.13333333333333333</v>
      </c>
      <c r="S15" s="270">
        <f>SUM(S12:S14)</f>
        <v>0.26666666666666927</v>
      </c>
      <c r="AD15" s="28" t="s">
        <v>886</v>
      </c>
      <c r="AE15" s="28">
        <v>25</v>
      </c>
      <c r="AF15" s="28">
        <v>21</v>
      </c>
      <c r="AG15" s="28">
        <v>29.4</v>
      </c>
      <c r="AH15" s="28">
        <v>25.133333333333333</v>
      </c>
      <c r="AJ15" s="28" t="s">
        <v>886</v>
      </c>
      <c r="AK15" s="28">
        <v>25.266666666666666</v>
      </c>
      <c r="AL15" s="28">
        <v>22.266666666666666</v>
      </c>
      <c r="AM15" s="28">
        <v>25.533333333333335</v>
      </c>
      <c r="AN15" s="28"/>
    </row>
    <row r="16" spans="1:40" ht="15" thickBot="1">
      <c r="A16" s="377"/>
      <c r="B16" s="376">
        <v>20</v>
      </c>
      <c r="C16" s="376">
        <v>18</v>
      </c>
      <c r="D16" s="376">
        <v>37</v>
      </c>
      <c r="F16" s="28" t="s">
        <v>223</v>
      </c>
      <c r="G16" s="28">
        <v>69.5</v>
      </c>
      <c r="H16" s="28">
        <v>44.5</v>
      </c>
      <c r="I16" s="28">
        <v>35.299999999999955</v>
      </c>
      <c r="J16" s="28">
        <v>55.266666666666687</v>
      </c>
      <c r="N16" t="s">
        <v>930</v>
      </c>
      <c r="AD16" s="28" t="s">
        <v>223</v>
      </c>
      <c r="AE16" s="28">
        <v>69.5</v>
      </c>
      <c r="AF16" s="28">
        <v>44.5</v>
      </c>
      <c r="AG16" s="28">
        <v>35.299999999999955</v>
      </c>
      <c r="AH16" s="28">
        <v>55.266666666666687</v>
      </c>
      <c r="AJ16" s="28" t="s">
        <v>223</v>
      </c>
      <c r="AK16" s="28">
        <v>59.066666666666606</v>
      </c>
      <c r="AL16" s="28">
        <v>56.06666666666667</v>
      </c>
      <c r="AM16" s="28">
        <v>182.55238095238096</v>
      </c>
      <c r="AN16" s="28"/>
    </row>
    <row r="17" spans="1:36" ht="15" thickTop="1">
      <c r="A17" s="377"/>
      <c r="B17" s="376">
        <v>18</v>
      </c>
      <c r="C17" s="376">
        <v>26</v>
      </c>
      <c r="D17" s="376">
        <v>39</v>
      </c>
      <c r="F17" s="28"/>
      <c r="G17" s="28"/>
      <c r="H17" s="28"/>
      <c r="I17" s="28"/>
      <c r="J17" s="28"/>
      <c r="N17" s="76" t="s">
        <v>522</v>
      </c>
      <c r="O17" s="76" t="s">
        <v>264</v>
      </c>
      <c r="P17" s="76" t="s">
        <v>186</v>
      </c>
      <c r="Q17" s="76" t="s">
        <v>200</v>
      </c>
      <c r="R17" s="76" t="s">
        <v>948</v>
      </c>
      <c r="AD17" s="28"/>
      <c r="AE17" s="28"/>
      <c r="AF17" s="28"/>
      <c r="AG17" s="28"/>
      <c r="AH17" s="28"/>
    </row>
    <row r="18" spans="1:36" ht="15" thickBot="1">
      <c r="A18" s="377"/>
      <c r="B18" s="376">
        <v>36</v>
      </c>
      <c r="C18" s="376">
        <v>36</v>
      </c>
      <c r="D18" s="376">
        <v>34</v>
      </c>
      <c r="F18" s="378" t="s">
        <v>1096</v>
      </c>
      <c r="G18" s="378"/>
      <c r="H18" s="378"/>
      <c r="I18" s="378"/>
      <c r="J18" s="378"/>
      <c r="N18" s="321">
        <f>SQRT($I$36*R15)</f>
        <v>2.74172154622548</v>
      </c>
      <c r="O18" s="321">
        <f>ABS(S15/N18)</f>
        <v>9.7262490800274187E-2</v>
      </c>
      <c r="P18" s="321">
        <f>$H$36</f>
        <v>36</v>
      </c>
      <c r="Q18" s="321">
        <f>TDIST(O18,P18,2)</f>
        <v>0.92305743569365706</v>
      </c>
      <c r="R18" s="322" t="str">
        <f>IF(Q18&lt;S10,"yes","no")</f>
        <v>no</v>
      </c>
      <c r="AD18" t="s">
        <v>695</v>
      </c>
    </row>
    <row r="19" spans="1:36">
      <c r="A19" s="10"/>
      <c r="B19" s="268">
        <v>38</v>
      </c>
      <c r="C19" s="268">
        <v>34</v>
      </c>
      <c r="D19" s="268">
        <v>50</v>
      </c>
      <c r="F19" s="28" t="s">
        <v>88</v>
      </c>
      <c r="G19" s="28">
        <v>5</v>
      </c>
      <c r="H19" s="28">
        <v>5</v>
      </c>
      <c r="I19" s="28">
        <v>5</v>
      </c>
      <c r="J19" s="28">
        <v>15</v>
      </c>
      <c r="AD19" s="369" t="s">
        <v>1103</v>
      </c>
      <c r="AE19" s="369" t="s">
        <v>578</v>
      </c>
      <c r="AF19" s="369" t="s">
        <v>186</v>
      </c>
      <c r="AG19" s="369" t="s">
        <v>641</v>
      </c>
      <c r="AH19" s="369" t="s">
        <v>388</v>
      </c>
      <c r="AI19" s="369" t="s">
        <v>367</v>
      </c>
      <c r="AJ19" s="369" t="s">
        <v>888</v>
      </c>
    </row>
    <row r="20" spans="1:36">
      <c r="A20" s="377"/>
      <c r="F20" s="28" t="s">
        <v>87</v>
      </c>
      <c r="G20" s="28">
        <v>140</v>
      </c>
      <c r="H20" s="28">
        <v>130</v>
      </c>
      <c r="I20" s="28">
        <v>186</v>
      </c>
      <c r="J20" s="28">
        <v>456</v>
      </c>
      <c r="AD20" s="28" t="s">
        <v>1097</v>
      </c>
      <c r="AE20" s="28">
        <v>1255.2444444444445</v>
      </c>
      <c r="AF20" s="28">
        <v>2</v>
      </c>
      <c r="AG20" s="28">
        <v>627.62222222222226</v>
      </c>
      <c r="AH20" s="28">
        <v>11.132439889633426</v>
      </c>
      <c r="AI20" s="28">
        <v>1.7223508725008565E-4</v>
      </c>
      <c r="AJ20" s="28">
        <v>3.2594463061441079</v>
      </c>
    </row>
    <row r="21" spans="1:36" ht="15" thickBot="1">
      <c r="A21" s="377"/>
      <c r="F21" s="28" t="s">
        <v>886</v>
      </c>
      <c r="G21" s="28">
        <v>28</v>
      </c>
      <c r="H21" s="28">
        <v>26</v>
      </c>
      <c r="I21" s="28">
        <v>37.200000000000003</v>
      </c>
      <c r="J21" s="28">
        <v>30.4</v>
      </c>
      <c r="N21" t="s">
        <v>1100</v>
      </c>
      <c r="R21" s="368" t="s">
        <v>116</v>
      </c>
      <c r="S21" s="368">
        <v>0.05</v>
      </c>
      <c r="AD21" s="28" t="s">
        <v>1106</v>
      </c>
      <c r="AE21" s="28">
        <v>98.711111111110768</v>
      </c>
      <c r="AF21" s="28">
        <v>2</v>
      </c>
      <c r="AG21" s="28">
        <v>49.355555555555384</v>
      </c>
      <c r="AH21" s="28">
        <v>0.87544343713046613</v>
      </c>
      <c r="AI21" s="28">
        <v>0.4253595167957771</v>
      </c>
      <c r="AJ21" s="28">
        <v>3.2594463061441079</v>
      </c>
    </row>
    <row r="22" spans="1:36" ht="15" thickTop="1">
      <c r="A22" s="377"/>
      <c r="F22" s="28" t="s">
        <v>223</v>
      </c>
      <c r="G22" s="28">
        <v>82</v>
      </c>
      <c r="H22" s="28">
        <v>82</v>
      </c>
      <c r="I22" s="28">
        <v>75.700000000000045</v>
      </c>
      <c r="J22" s="28">
        <v>93.971428571428604</v>
      </c>
      <c r="N22" s="76" t="s">
        <v>222</v>
      </c>
      <c r="O22" s="76" t="s">
        <v>143</v>
      </c>
      <c r="P22" s="76" t="s">
        <v>63</v>
      </c>
      <c r="Q22" s="76" t="s">
        <v>106</v>
      </c>
      <c r="R22" s="76" t="s">
        <v>929</v>
      </c>
      <c r="S22" s="76" t="s">
        <v>931</v>
      </c>
      <c r="AD22" s="28" t="s">
        <v>838</v>
      </c>
      <c r="AE22" s="28">
        <v>882.75555555555593</v>
      </c>
      <c r="AF22" s="28">
        <v>4</v>
      </c>
      <c r="AG22" s="28">
        <v>220.68888888888898</v>
      </c>
      <c r="AH22" s="28">
        <v>3.914465904611748</v>
      </c>
      <c r="AI22" s="28">
        <v>9.7039309182118168E-3</v>
      </c>
      <c r="AJ22" s="28">
        <v>2.6335320942137543</v>
      </c>
    </row>
    <row r="23" spans="1:36">
      <c r="A23" s="377"/>
      <c r="F23" s="28"/>
      <c r="G23" s="28"/>
      <c r="H23" s="28"/>
      <c r="I23" s="28"/>
      <c r="J23" s="28"/>
      <c r="N23" s="8" t="s">
        <v>1094</v>
      </c>
      <c r="O23">
        <v>-1</v>
      </c>
      <c r="P23">
        <f>J9</f>
        <v>17.533333333333335</v>
      </c>
      <c r="Q23">
        <f>J7</f>
        <v>15</v>
      </c>
      <c r="R23">
        <f>O23^2/Q23</f>
        <v>6.6666666666666666E-2</v>
      </c>
      <c r="S23">
        <f>O23*P23</f>
        <v>-17.533333333333335</v>
      </c>
      <c r="AD23" s="28" t="s">
        <v>1021</v>
      </c>
      <c r="AE23" s="28">
        <v>2029.6</v>
      </c>
      <c r="AF23" s="28">
        <v>36</v>
      </c>
      <c r="AG23" s="28">
        <v>56.377777777777773</v>
      </c>
      <c r="AH23" s="28"/>
      <c r="AI23" s="28"/>
      <c r="AJ23" s="28"/>
    </row>
    <row r="24" spans="1:36" ht="15" thickBot="1">
      <c r="A24" s="377"/>
      <c r="F24" s="378" t="s">
        <v>12</v>
      </c>
      <c r="G24" s="378"/>
      <c r="H24" s="378"/>
      <c r="I24" s="378"/>
      <c r="J24" s="378"/>
      <c r="N24" s="8" t="s">
        <v>1095</v>
      </c>
      <c r="O24">
        <v>0</v>
      </c>
      <c r="P24">
        <f>J15</f>
        <v>25.133333333333333</v>
      </c>
      <c r="Q24">
        <f>J13</f>
        <v>15</v>
      </c>
      <c r="R24">
        <f>O24^2/Q24</f>
        <v>0</v>
      </c>
      <c r="S24">
        <f>O24*P24</f>
        <v>0</v>
      </c>
      <c r="AD24" s="31" t="s">
        <v>12</v>
      </c>
      <c r="AE24" s="31">
        <v>4266.3111111111111</v>
      </c>
      <c r="AF24" s="31">
        <v>44</v>
      </c>
      <c r="AG24" s="31"/>
      <c r="AH24" s="31"/>
      <c r="AI24" s="31"/>
      <c r="AJ24" s="31"/>
    </row>
    <row r="25" spans="1:36">
      <c r="A25" s="377"/>
      <c r="F25" s="28" t="s">
        <v>88</v>
      </c>
      <c r="G25" s="28">
        <v>15</v>
      </c>
      <c r="H25" s="28">
        <v>15</v>
      </c>
      <c r="I25" s="28">
        <v>15</v>
      </c>
      <c r="J25" s="28"/>
      <c r="N25" s="8" t="s">
        <v>1096</v>
      </c>
      <c r="O25">
        <v>1</v>
      </c>
      <c r="P25">
        <f>J21</f>
        <v>30.4</v>
      </c>
      <c r="Q25">
        <f>J19</f>
        <v>15</v>
      </c>
      <c r="R25">
        <f>O25^2/Q25</f>
        <v>6.6666666666666666E-2</v>
      </c>
      <c r="S25">
        <f>O25*P25</f>
        <v>30.4</v>
      </c>
    </row>
    <row r="26" spans="1:36">
      <c r="A26" s="377"/>
      <c r="F26" s="28" t="s">
        <v>87</v>
      </c>
      <c r="G26" s="28">
        <v>379</v>
      </c>
      <c r="H26" s="28">
        <v>334</v>
      </c>
      <c r="I26" s="28">
        <v>383</v>
      </c>
      <c r="J26" s="28"/>
      <c r="N26" s="270"/>
      <c r="O26" s="270"/>
      <c r="P26" s="270"/>
      <c r="Q26" s="270"/>
      <c r="R26" s="270">
        <f>SUM(R23:R25)</f>
        <v>0.13333333333333333</v>
      </c>
      <c r="S26" s="270">
        <f>SUM(S23:S25)</f>
        <v>12.866666666666664</v>
      </c>
    </row>
    <row r="27" spans="1:36" ht="15" thickBot="1">
      <c r="A27" s="377"/>
      <c r="F27" s="28" t="s">
        <v>886</v>
      </c>
      <c r="G27" s="28">
        <v>25.266666666666666</v>
      </c>
      <c r="H27" s="28">
        <v>22.266666666666666</v>
      </c>
      <c r="I27" s="28">
        <v>25.533333333333335</v>
      </c>
      <c r="J27" s="28"/>
      <c r="N27" t="s">
        <v>930</v>
      </c>
    </row>
    <row r="28" spans="1:36" ht="15" thickTop="1">
      <c r="A28" s="377"/>
      <c r="F28" s="28" t="s">
        <v>223</v>
      </c>
      <c r="G28" s="28">
        <v>59.066666666666606</v>
      </c>
      <c r="H28" s="28">
        <v>56.06666666666667</v>
      </c>
      <c r="I28" s="28">
        <v>182.55238095238096</v>
      </c>
      <c r="J28" s="28"/>
      <c r="N28" s="76" t="s">
        <v>522</v>
      </c>
      <c r="O28" s="76" t="s">
        <v>264</v>
      </c>
      <c r="P28" s="76" t="s">
        <v>186</v>
      </c>
      <c r="Q28" s="76" t="s">
        <v>200</v>
      </c>
      <c r="R28" s="76" t="s">
        <v>948</v>
      </c>
    </row>
    <row r="29" spans="1:36">
      <c r="A29" s="377"/>
      <c r="F29" s="28"/>
      <c r="G29" s="28"/>
      <c r="H29" s="28"/>
      <c r="I29" s="28"/>
      <c r="J29" s="28"/>
      <c r="N29" s="321">
        <f>SQRT($I$36*R26)</f>
        <v>2.74172154622548</v>
      </c>
      <c r="O29" s="321">
        <f>ABS(S26/N29)</f>
        <v>4.6929151811131824</v>
      </c>
      <c r="P29" s="321">
        <f>$H$36</f>
        <v>36</v>
      </c>
      <c r="Q29" s="321">
        <f>TDIST(O29,P29,2)</f>
        <v>3.8250150461591423E-5</v>
      </c>
      <c r="R29" s="322" t="str">
        <f>IF(Q29&lt;S21,"yes","no")</f>
        <v>yes</v>
      </c>
      <c r="AD29" s="28"/>
      <c r="AE29" s="28"/>
      <c r="AF29" s="28"/>
      <c r="AG29" s="28"/>
      <c r="AH29" s="28"/>
    </row>
    <row r="30" spans="1:36">
      <c r="A30" s="377"/>
    </row>
    <row r="31" spans="1:36" ht="15" thickBot="1">
      <c r="A31" s="377"/>
      <c r="F31" t="s">
        <v>695</v>
      </c>
    </row>
    <row r="32" spans="1:36" ht="15" thickBot="1">
      <c r="A32" s="377"/>
      <c r="F32" s="369" t="s">
        <v>887</v>
      </c>
      <c r="G32" s="369" t="s">
        <v>578</v>
      </c>
      <c r="H32" s="369" t="s">
        <v>186</v>
      </c>
      <c r="I32" s="369" t="s">
        <v>641</v>
      </c>
      <c r="J32" s="369" t="s">
        <v>388</v>
      </c>
      <c r="K32" s="369" t="s">
        <v>367</v>
      </c>
      <c r="L32" s="369" t="s">
        <v>888</v>
      </c>
      <c r="N32" t="s">
        <v>1101</v>
      </c>
      <c r="R32" s="368" t="s">
        <v>116</v>
      </c>
      <c r="S32" s="368">
        <v>0.05</v>
      </c>
    </row>
    <row r="33" spans="1:19" ht="15" thickTop="1">
      <c r="A33" s="377"/>
      <c r="F33" s="28" t="s">
        <v>333</v>
      </c>
      <c r="G33" s="28">
        <v>1255.2444444444445</v>
      </c>
      <c r="H33" s="28">
        <v>2</v>
      </c>
      <c r="I33" s="28">
        <v>627.62222222222226</v>
      </c>
      <c r="J33" s="28">
        <v>11.132439889633426</v>
      </c>
      <c r="K33" s="28">
        <v>1.7223508725008565E-4</v>
      </c>
      <c r="L33" s="28">
        <v>3.2594463061441079</v>
      </c>
      <c r="N33" s="76" t="s">
        <v>222</v>
      </c>
      <c r="O33" s="76" t="s">
        <v>143</v>
      </c>
      <c r="P33" s="76" t="s">
        <v>63</v>
      </c>
      <c r="Q33" s="76" t="s">
        <v>106</v>
      </c>
      <c r="R33" s="76" t="s">
        <v>929</v>
      </c>
      <c r="S33" s="76" t="s">
        <v>931</v>
      </c>
    </row>
    <row r="34" spans="1:19">
      <c r="A34" s="377"/>
      <c r="F34" s="28" t="s">
        <v>1010</v>
      </c>
      <c r="G34" s="28">
        <v>98.711111111110768</v>
      </c>
      <c r="H34" s="28">
        <v>2</v>
      </c>
      <c r="I34" s="28">
        <v>49.355555555555384</v>
      </c>
      <c r="J34" s="28">
        <v>0.87544343713046613</v>
      </c>
      <c r="K34" s="28">
        <v>0.4253595167957771</v>
      </c>
      <c r="L34" s="28">
        <v>3.2594463061441079</v>
      </c>
      <c r="N34" t="s">
        <v>1091</v>
      </c>
      <c r="O34">
        <v>-1</v>
      </c>
      <c r="P34">
        <f>G21</f>
        <v>28</v>
      </c>
      <c r="Q34">
        <f>G19</f>
        <v>5</v>
      </c>
      <c r="R34">
        <f>O34^2/Q34</f>
        <v>0.2</v>
      </c>
      <c r="S34">
        <f>O34*P34</f>
        <v>-28</v>
      </c>
    </row>
    <row r="35" spans="1:19">
      <c r="A35" s="377"/>
      <c r="F35" s="28" t="s">
        <v>838</v>
      </c>
      <c r="G35" s="28">
        <v>882.75555555555593</v>
      </c>
      <c r="H35" s="28">
        <v>4</v>
      </c>
      <c r="I35" s="28">
        <v>220.68888888888898</v>
      </c>
      <c r="J35" s="28">
        <v>3.914465904611748</v>
      </c>
      <c r="K35" s="28">
        <v>9.7039309182118168E-3</v>
      </c>
      <c r="L35" s="28">
        <v>2.6335320942137543</v>
      </c>
      <c r="N35" t="s">
        <v>1093</v>
      </c>
      <c r="O35">
        <v>0</v>
      </c>
      <c r="P35">
        <f>H21</f>
        <v>26</v>
      </c>
      <c r="Q35">
        <f>H19</f>
        <v>5</v>
      </c>
      <c r="R35">
        <f>O35^2/Q35</f>
        <v>0</v>
      </c>
      <c r="S35">
        <f>O35*P35</f>
        <v>0</v>
      </c>
    </row>
    <row r="36" spans="1:19">
      <c r="A36" s="377"/>
      <c r="F36" s="28" t="s">
        <v>1021</v>
      </c>
      <c r="G36" s="28">
        <v>2029.6</v>
      </c>
      <c r="H36" s="28">
        <v>36</v>
      </c>
      <c r="I36" s="28">
        <v>56.377777777777773</v>
      </c>
      <c r="J36" s="28"/>
      <c r="K36" s="28"/>
      <c r="L36" s="28"/>
      <c r="N36" t="s">
        <v>1092</v>
      </c>
      <c r="O36">
        <v>1</v>
      </c>
      <c r="P36">
        <f>I21</f>
        <v>37.200000000000003</v>
      </c>
      <c r="Q36">
        <f>I19</f>
        <v>5</v>
      </c>
      <c r="R36">
        <f>O36^2/Q36</f>
        <v>0.2</v>
      </c>
      <c r="S36">
        <f>O36*P36</f>
        <v>37.200000000000003</v>
      </c>
    </row>
    <row r="37" spans="1:19">
      <c r="A37" s="377"/>
      <c r="F37" s="28"/>
      <c r="G37" s="28"/>
      <c r="H37" s="28"/>
      <c r="I37" s="28"/>
      <c r="J37" s="28"/>
      <c r="K37" s="28"/>
      <c r="L37" s="28"/>
      <c r="N37" s="270"/>
      <c r="O37" s="270"/>
      <c r="P37" s="270"/>
      <c r="Q37" s="270"/>
      <c r="R37" s="270">
        <f>SUM(R34:R36)</f>
        <v>0.4</v>
      </c>
      <c r="S37" s="270">
        <f>SUM(S34:S36)</f>
        <v>9.2000000000000028</v>
      </c>
    </row>
    <row r="38" spans="1:19" ht="15" thickBot="1">
      <c r="F38" s="31" t="s">
        <v>12</v>
      </c>
      <c r="G38" s="31">
        <v>4266.3111111111111</v>
      </c>
      <c r="H38" s="31">
        <v>44</v>
      </c>
      <c r="I38" s="31"/>
      <c r="J38" s="31"/>
      <c r="K38" s="31"/>
      <c r="L38" s="31"/>
      <c r="N38" t="s">
        <v>930</v>
      </c>
    </row>
    <row r="39" spans="1:19" ht="15" thickTop="1">
      <c r="N39" s="76" t="s">
        <v>522</v>
      </c>
      <c r="O39" s="76" t="s">
        <v>264</v>
      </c>
      <c r="P39" s="76" t="s">
        <v>186</v>
      </c>
      <c r="Q39" s="76" t="s">
        <v>200</v>
      </c>
      <c r="R39" s="76" t="s">
        <v>948</v>
      </c>
    </row>
    <row r="40" spans="1:19">
      <c r="N40" s="321">
        <f>SQRT($I$36*R37)</f>
        <v>4.7488010182688338</v>
      </c>
      <c r="O40" s="321">
        <f>ABS(S37/N40)</f>
        <v>1.9373311209728987</v>
      </c>
      <c r="P40" s="321">
        <f>$H$36</f>
        <v>36</v>
      </c>
      <c r="Q40" s="321">
        <f>TDIST(O40,P40,2)</f>
        <v>6.0581630034107048E-2</v>
      </c>
      <c r="R40" s="322" t="str">
        <f>IF(Q40&lt;S32,"yes","no")</f>
        <v>no</v>
      </c>
    </row>
    <row r="42" spans="1:19">
      <c r="B42" s="1563" t="s">
        <v>1098</v>
      </c>
      <c r="C42" s="1564"/>
      <c r="D42" s="1565"/>
      <c r="F42" t="s">
        <v>1104</v>
      </c>
    </row>
    <row r="43" spans="1:19" ht="15" thickBot="1">
      <c r="A43" s="388" t="s">
        <v>1097</v>
      </c>
      <c r="B43" s="406" t="s">
        <v>1091</v>
      </c>
      <c r="C43" s="406" t="s">
        <v>1093</v>
      </c>
      <c r="D43" s="406" t="s">
        <v>1092</v>
      </c>
      <c r="N43" t="s">
        <v>1102</v>
      </c>
      <c r="R43" s="368" t="s">
        <v>116</v>
      </c>
      <c r="S43" s="368">
        <v>0.05</v>
      </c>
    </row>
    <row r="44" spans="1:19" ht="15.6" thickTop="1" thickBot="1">
      <c r="A44" s="393" t="s">
        <v>1094</v>
      </c>
      <c r="B44" s="400">
        <v>15</v>
      </c>
      <c r="C44" s="400">
        <v>21</v>
      </c>
      <c r="D44" s="400">
        <v>11</v>
      </c>
      <c r="F44" t="s">
        <v>194</v>
      </c>
      <c r="N44" s="76" t="s">
        <v>222</v>
      </c>
      <c r="O44" s="76" t="s">
        <v>143</v>
      </c>
      <c r="P44" s="76" t="s">
        <v>63</v>
      </c>
      <c r="Q44" s="76" t="s">
        <v>106</v>
      </c>
      <c r="R44" s="76" t="s">
        <v>929</v>
      </c>
      <c r="S44" s="76" t="s">
        <v>931</v>
      </c>
    </row>
    <row r="45" spans="1:19">
      <c r="A45" s="377"/>
      <c r="B45" s="376">
        <v>23</v>
      </c>
      <c r="C45" s="376">
        <v>11</v>
      </c>
      <c r="D45" s="376">
        <v>8</v>
      </c>
      <c r="F45" s="369" t="s">
        <v>222</v>
      </c>
      <c r="G45" s="369" t="s">
        <v>88</v>
      </c>
      <c r="H45" s="369" t="s">
        <v>87</v>
      </c>
      <c r="I45" s="369" t="s">
        <v>886</v>
      </c>
      <c r="J45" s="369" t="s">
        <v>223</v>
      </c>
      <c r="N45" s="8" t="s">
        <v>1094</v>
      </c>
      <c r="O45">
        <v>-1</v>
      </c>
      <c r="P45">
        <f>I9</f>
        <v>10</v>
      </c>
      <c r="Q45">
        <f>I7</f>
        <v>5</v>
      </c>
      <c r="R45">
        <f>O45^2/Q45</f>
        <v>0.2</v>
      </c>
      <c r="S45">
        <f>O45*P45</f>
        <v>-10</v>
      </c>
    </row>
    <row r="46" spans="1:19">
      <c r="A46" s="377"/>
      <c r="B46" s="376">
        <v>26</v>
      </c>
      <c r="C46" s="376">
        <v>28</v>
      </c>
      <c r="D46" s="376">
        <v>2</v>
      </c>
      <c r="F46" s="28" t="s">
        <v>1091</v>
      </c>
      <c r="G46" s="28">
        <v>5</v>
      </c>
      <c r="H46" s="28">
        <v>114</v>
      </c>
      <c r="I46" s="28">
        <v>22.8</v>
      </c>
      <c r="J46" s="28">
        <v>38.200000000000045</v>
      </c>
      <c r="N46" s="8" t="s">
        <v>1095</v>
      </c>
      <c r="O46">
        <v>0</v>
      </c>
      <c r="P46">
        <f>I15</f>
        <v>29.4</v>
      </c>
      <c r="Q46">
        <f>I13</f>
        <v>5</v>
      </c>
      <c r="R46">
        <f>O46^2/Q46</f>
        <v>0</v>
      </c>
      <c r="S46">
        <f>O46*P46</f>
        <v>0</v>
      </c>
    </row>
    <row r="47" spans="1:19">
      <c r="A47" s="377"/>
      <c r="B47" s="376">
        <v>19</v>
      </c>
      <c r="C47" s="376">
        <v>16</v>
      </c>
      <c r="D47" s="376">
        <v>19</v>
      </c>
      <c r="F47" s="28" t="s">
        <v>1093</v>
      </c>
      <c r="G47" s="28">
        <v>5</v>
      </c>
      <c r="H47" s="28">
        <v>99</v>
      </c>
      <c r="I47" s="28">
        <v>19.8</v>
      </c>
      <c r="J47" s="28">
        <v>42.699999999999989</v>
      </c>
      <c r="N47" s="8" t="s">
        <v>1096</v>
      </c>
      <c r="O47">
        <v>1</v>
      </c>
      <c r="P47">
        <f>I21</f>
        <v>37.200000000000003</v>
      </c>
      <c r="Q47">
        <f>I19</f>
        <v>5</v>
      </c>
      <c r="R47">
        <f>O47^2/Q47</f>
        <v>0.2</v>
      </c>
      <c r="S47">
        <f>O47*P47</f>
        <v>37.200000000000003</v>
      </c>
    </row>
    <row r="48" spans="1:19" ht="15" thickBot="1">
      <c r="A48" s="10"/>
      <c r="B48" s="268">
        <v>31</v>
      </c>
      <c r="C48" s="268">
        <v>23</v>
      </c>
      <c r="D48" s="268">
        <v>10</v>
      </c>
      <c r="F48" s="31" t="s">
        <v>1092</v>
      </c>
      <c r="G48" s="31">
        <v>5</v>
      </c>
      <c r="H48" s="31">
        <v>50</v>
      </c>
      <c r="I48" s="31">
        <v>10</v>
      </c>
      <c r="J48" s="31">
        <v>37.5</v>
      </c>
      <c r="N48" s="270"/>
      <c r="O48" s="270"/>
      <c r="P48" s="270"/>
      <c r="Q48" s="270"/>
      <c r="R48" s="270">
        <f>SUM(R45:R47)</f>
        <v>0.4</v>
      </c>
      <c r="S48" s="270">
        <f>SUM(S45:S47)</f>
        <v>27.200000000000003</v>
      </c>
    </row>
    <row r="49" spans="2:18" ht="15" thickBot="1">
      <c r="N49" t="s">
        <v>930</v>
      </c>
    </row>
    <row r="50" spans="2:18" ht="15" thickTop="1">
      <c r="N50" s="76" t="s">
        <v>522</v>
      </c>
      <c r="O50" s="76" t="s">
        <v>264</v>
      </c>
      <c r="P50" s="76" t="s">
        <v>186</v>
      </c>
      <c r="Q50" s="76" t="s">
        <v>200</v>
      </c>
      <c r="R50" s="76" t="s">
        <v>948</v>
      </c>
    </row>
    <row r="51" spans="2:18" ht="15" thickBot="1">
      <c r="F51" t="s">
        <v>695</v>
      </c>
      <c r="N51" s="321">
        <f>SQRT($I$36*R48)</f>
        <v>4.7488010182688338</v>
      </c>
      <c r="O51" s="321">
        <f>ABS(S48/N51)</f>
        <v>5.7277615750503079</v>
      </c>
      <c r="P51" s="321">
        <f>$H$36</f>
        <v>36</v>
      </c>
      <c r="Q51" s="321">
        <f>TDIST(O51,P51,2)</f>
        <v>1.6063932356798048E-6</v>
      </c>
      <c r="R51" s="322" t="str">
        <f>IF(Q51&lt;S43,"yes","no")</f>
        <v>yes</v>
      </c>
    </row>
    <row r="52" spans="2:18">
      <c r="F52" s="369" t="s">
        <v>887</v>
      </c>
      <c r="G52" s="369" t="s">
        <v>578</v>
      </c>
      <c r="H52" s="369" t="s">
        <v>186</v>
      </c>
      <c r="I52" s="369" t="s">
        <v>641</v>
      </c>
      <c r="J52" s="369" t="s">
        <v>388</v>
      </c>
      <c r="K52" s="369" t="s">
        <v>367</v>
      </c>
      <c r="L52" s="369" t="s">
        <v>888</v>
      </c>
    </row>
    <row r="53" spans="2:18">
      <c r="F53" s="28" t="s">
        <v>883</v>
      </c>
      <c r="G53" s="28">
        <v>448.13333333333333</v>
      </c>
      <c r="H53" s="28">
        <v>2</v>
      </c>
      <c r="I53" s="28">
        <v>224.06666666666666</v>
      </c>
      <c r="J53" s="28">
        <v>5.6773648648648649</v>
      </c>
      <c r="K53" s="28">
        <v>1.8400871874626679E-2</v>
      </c>
      <c r="L53" s="28">
        <v>3.8852938346523942</v>
      </c>
    </row>
    <row r="54" spans="2:18">
      <c r="F54" s="28" t="s">
        <v>884</v>
      </c>
      <c r="G54" s="28">
        <v>473.6</v>
      </c>
      <c r="H54" s="28">
        <v>12</v>
      </c>
      <c r="I54" s="28">
        <v>39.466666666666669</v>
      </c>
      <c r="J54" s="28"/>
      <c r="K54" s="28"/>
      <c r="L54" s="28"/>
    </row>
    <row r="55" spans="2:18">
      <c r="F55" s="28"/>
      <c r="G55" s="28"/>
      <c r="H55" s="28"/>
      <c r="I55" s="28"/>
      <c r="J55" s="28"/>
      <c r="K55" s="28"/>
      <c r="L55" s="28"/>
    </row>
    <row r="56" spans="2:18" ht="15" thickBot="1">
      <c r="F56" s="31" t="s">
        <v>12</v>
      </c>
      <c r="G56" s="31">
        <v>921.73333333333335</v>
      </c>
      <c r="H56" s="31">
        <v>14</v>
      </c>
      <c r="I56" s="31"/>
      <c r="J56" s="31"/>
      <c r="K56" s="31"/>
      <c r="L56" s="31"/>
    </row>
    <row r="59" spans="2:18">
      <c r="B59" s="19" t="s">
        <v>1094</v>
      </c>
      <c r="C59" s="19" t="s">
        <v>1095</v>
      </c>
      <c r="D59" s="19" t="s">
        <v>1096</v>
      </c>
      <c r="F59" t="s">
        <v>1105</v>
      </c>
    </row>
    <row r="60" spans="2:18">
      <c r="B60" s="400">
        <v>15</v>
      </c>
      <c r="C60" s="400">
        <v>33</v>
      </c>
      <c r="D60" s="400">
        <v>28</v>
      </c>
    </row>
    <row r="61" spans="2:18" ht="15" thickBot="1">
      <c r="B61" s="376">
        <v>23</v>
      </c>
      <c r="C61" s="376">
        <v>26</v>
      </c>
      <c r="D61" s="376">
        <v>20</v>
      </c>
      <c r="F61" t="s">
        <v>194</v>
      </c>
    </row>
    <row r="62" spans="2:18">
      <c r="B62" s="376">
        <v>26</v>
      </c>
      <c r="C62" s="376">
        <v>15</v>
      </c>
      <c r="D62" s="376">
        <v>18</v>
      </c>
      <c r="F62" s="369" t="s">
        <v>222</v>
      </c>
      <c r="G62" s="369" t="s">
        <v>88</v>
      </c>
      <c r="H62" s="369" t="s">
        <v>87</v>
      </c>
      <c r="I62" s="369" t="s">
        <v>886</v>
      </c>
      <c r="J62" s="369" t="s">
        <v>223</v>
      </c>
    </row>
    <row r="63" spans="2:18">
      <c r="B63" s="376">
        <v>19</v>
      </c>
      <c r="C63" s="376">
        <v>18</v>
      </c>
      <c r="D63" s="376">
        <v>36</v>
      </c>
      <c r="F63" s="28" t="s">
        <v>1094</v>
      </c>
      <c r="G63" s="28">
        <v>15</v>
      </c>
      <c r="H63" s="28">
        <v>263</v>
      </c>
      <c r="I63" s="28">
        <v>17.533333333333335</v>
      </c>
      <c r="J63" s="28">
        <v>65.838095238095249</v>
      </c>
    </row>
    <row r="64" spans="2:18">
      <c r="B64" s="376">
        <v>31</v>
      </c>
      <c r="C64" s="376">
        <v>33</v>
      </c>
      <c r="D64" s="376">
        <v>38</v>
      </c>
      <c r="F64" s="28" t="s">
        <v>1095</v>
      </c>
      <c r="G64" s="28">
        <v>15</v>
      </c>
      <c r="H64" s="28">
        <v>377</v>
      </c>
      <c r="I64" s="28">
        <v>25.133333333333333</v>
      </c>
      <c r="J64" s="28">
        <v>55.266666666666687</v>
      </c>
    </row>
    <row r="65" spans="2:12" ht="15" thickBot="1">
      <c r="B65" s="376">
        <v>21</v>
      </c>
      <c r="C65" s="376">
        <v>25</v>
      </c>
      <c r="D65" s="376">
        <v>16</v>
      </c>
      <c r="F65" s="31" t="s">
        <v>1096</v>
      </c>
      <c r="G65" s="31">
        <v>15</v>
      </c>
      <c r="H65" s="31">
        <v>456</v>
      </c>
      <c r="I65" s="31">
        <v>30.4</v>
      </c>
      <c r="J65" s="31">
        <v>93.971428571428604</v>
      </c>
    </row>
    <row r="66" spans="2:12">
      <c r="B66" s="376">
        <v>11</v>
      </c>
      <c r="C66" s="376">
        <v>29</v>
      </c>
      <c r="D66" s="376">
        <v>18</v>
      </c>
    </row>
    <row r="67" spans="2:12">
      <c r="B67" s="376">
        <v>28</v>
      </c>
      <c r="C67" s="376">
        <v>17</v>
      </c>
      <c r="D67" s="376">
        <v>26</v>
      </c>
    </row>
    <row r="68" spans="2:12" ht="15" thickBot="1">
      <c r="B68" s="376">
        <v>16</v>
      </c>
      <c r="C68" s="376">
        <v>22</v>
      </c>
      <c r="D68" s="376">
        <v>36</v>
      </c>
      <c r="F68" t="s">
        <v>695</v>
      </c>
    </row>
    <row r="69" spans="2:12">
      <c r="B69" s="376">
        <v>23</v>
      </c>
      <c r="C69" s="376">
        <v>12</v>
      </c>
      <c r="D69" s="376">
        <v>34</v>
      </c>
      <c r="F69" s="369" t="s">
        <v>887</v>
      </c>
      <c r="G69" s="369" t="s">
        <v>578</v>
      </c>
      <c r="H69" s="369" t="s">
        <v>186</v>
      </c>
      <c r="I69" s="369" t="s">
        <v>641</v>
      </c>
      <c r="J69" s="369" t="s">
        <v>388</v>
      </c>
      <c r="K69" s="369" t="s">
        <v>367</v>
      </c>
      <c r="L69" s="369" t="s">
        <v>888</v>
      </c>
    </row>
    <row r="70" spans="2:12">
      <c r="B70" s="376">
        <v>11</v>
      </c>
      <c r="C70" s="376">
        <v>30</v>
      </c>
      <c r="D70" s="376">
        <v>26</v>
      </c>
      <c r="F70" s="28" t="s">
        <v>883</v>
      </c>
      <c r="G70" s="28">
        <v>1255.2444444444436</v>
      </c>
      <c r="H70" s="28">
        <v>2</v>
      </c>
      <c r="I70" s="28">
        <v>627.62222222222181</v>
      </c>
      <c r="J70" s="28">
        <v>8.7544170393658884</v>
      </c>
      <c r="K70" s="28">
        <v>6.6378101581940265E-4</v>
      </c>
      <c r="L70" s="28">
        <v>3.2199422931761248</v>
      </c>
    </row>
    <row r="71" spans="2:12">
      <c r="B71" s="376">
        <v>8</v>
      </c>
      <c r="C71" s="376">
        <v>29</v>
      </c>
      <c r="D71" s="376">
        <v>37</v>
      </c>
      <c r="F71" s="28" t="s">
        <v>884</v>
      </c>
      <c r="G71" s="28">
        <v>3011.0666666666666</v>
      </c>
      <c r="H71" s="28">
        <v>42</v>
      </c>
      <c r="I71" s="28">
        <v>71.692063492063497</v>
      </c>
      <c r="J71" s="28"/>
      <c r="K71" s="28"/>
      <c r="L71" s="28"/>
    </row>
    <row r="72" spans="2:12">
      <c r="B72" s="376">
        <v>2</v>
      </c>
      <c r="C72" s="376">
        <v>39</v>
      </c>
      <c r="D72" s="376">
        <v>39</v>
      </c>
      <c r="F72" s="28"/>
      <c r="G72" s="28"/>
      <c r="H72" s="28"/>
      <c r="I72" s="28"/>
      <c r="J72" s="28"/>
      <c r="K72" s="28"/>
      <c r="L72" s="28"/>
    </row>
    <row r="73" spans="2:12" ht="15" thickBot="1">
      <c r="B73" s="376">
        <v>19</v>
      </c>
      <c r="C73" s="376">
        <v>25</v>
      </c>
      <c r="D73" s="376">
        <v>34</v>
      </c>
      <c r="F73" s="31" t="s">
        <v>12</v>
      </c>
      <c r="G73" s="31">
        <v>4266.3111111111102</v>
      </c>
      <c r="H73" s="31">
        <v>44</v>
      </c>
      <c r="I73" s="31"/>
      <c r="J73" s="31"/>
      <c r="K73" s="31"/>
      <c r="L73" s="31"/>
    </row>
    <row r="74" spans="2:12">
      <c r="B74" s="268">
        <v>10</v>
      </c>
      <c r="C74" s="268">
        <v>24</v>
      </c>
      <c r="D74" s="268">
        <v>50</v>
      </c>
    </row>
  </sheetData>
  <mergeCells count="2">
    <mergeCell ref="B3:D3"/>
    <mergeCell ref="B42:D42"/>
  </mergeCells>
  <pageMargins left="0.7" right="0.7" top="0.75" bottom="0.75" header="0.3" footer="0.3"/>
  <ignoredErrors>
    <ignoredError sqref="O4:Q6" formulaRange="1"/>
  </ignoredErrors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sheetPr codeName="Sheet291"/>
  <dimension ref="A1:G12"/>
  <sheetViews>
    <sheetView workbookViewId="0"/>
  </sheetViews>
  <sheetFormatPr defaultRowHeight="14.4"/>
  <cols>
    <col min="2" max="2" width="11.88671875" customWidth="1"/>
    <col min="3" max="3" width="12.33203125" customWidth="1"/>
    <col min="6" max="7" width="11.33203125" customWidth="1"/>
  </cols>
  <sheetData>
    <row r="1" spans="1:7">
      <c r="A1" s="1" t="s">
        <v>3251</v>
      </c>
    </row>
    <row r="3" spans="1:7">
      <c r="A3" t="s">
        <v>3252</v>
      </c>
      <c r="B3" t="s">
        <v>3254</v>
      </c>
      <c r="C3" t="s">
        <v>3253</v>
      </c>
      <c r="E3" t="s">
        <v>3252</v>
      </c>
      <c r="F3" t="s">
        <v>3254</v>
      </c>
      <c r="G3" t="s">
        <v>3253</v>
      </c>
    </row>
    <row r="4" spans="1:7">
      <c r="A4" s="1436">
        <v>1</v>
      </c>
      <c r="B4" s="1205">
        <v>0.02</v>
      </c>
      <c r="C4" s="1206">
        <v>5.6000000000000001E-2</v>
      </c>
      <c r="E4" s="1436">
        <v>1</v>
      </c>
      <c r="F4" s="1205">
        <v>0.02</v>
      </c>
      <c r="G4" s="1206">
        <v>5.6000000000000001E-2</v>
      </c>
    </row>
    <row r="5" spans="1:7">
      <c r="A5" s="1436">
        <f t="shared" ref="A5:A10" si="0">A4+1</f>
        <v>2</v>
      </c>
      <c r="B5" s="1207">
        <v>-0.04</v>
      </c>
      <c r="C5" s="1208">
        <v>6.9000000000000006E-2</v>
      </c>
      <c r="E5" s="1436">
        <v>2</v>
      </c>
      <c r="F5" s="1207">
        <v>-0.04</v>
      </c>
      <c r="G5" s="1208">
        <v>6.9000000000000006E-2</v>
      </c>
    </row>
    <row r="6" spans="1:7">
      <c r="A6" s="1436">
        <f t="shared" si="0"/>
        <v>3</v>
      </c>
      <c r="B6" s="1207">
        <v>0.12</v>
      </c>
      <c r="C6" s="1208">
        <v>0.25</v>
      </c>
      <c r="E6" s="1436">
        <v>3</v>
      </c>
      <c r="F6" s="1207">
        <v>0.12</v>
      </c>
      <c r="G6" s="1208">
        <v>0.25</v>
      </c>
    </row>
    <row r="7" spans="1:7">
      <c r="A7" s="1436">
        <f t="shared" si="0"/>
        <v>4</v>
      </c>
      <c r="B7" s="1211">
        <v>0.45</v>
      </c>
      <c r="C7" s="657"/>
      <c r="E7" s="1436">
        <v>5</v>
      </c>
      <c r="F7" s="1207">
        <v>0.25</v>
      </c>
      <c r="G7" s="1208">
        <v>0.62</v>
      </c>
    </row>
    <row r="8" spans="1:7">
      <c r="A8" s="1436">
        <f t="shared" si="0"/>
        <v>5</v>
      </c>
      <c r="B8" s="1207">
        <v>0.25</v>
      </c>
      <c r="C8" s="1208">
        <v>0.62</v>
      </c>
      <c r="E8" s="1436">
        <v>7</v>
      </c>
      <c r="F8" s="1209">
        <v>0.08</v>
      </c>
      <c r="G8" s="1210">
        <v>0.18</v>
      </c>
    </row>
    <row r="9" spans="1:7">
      <c r="A9" s="1436">
        <f t="shared" si="0"/>
        <v>6</v>
      </c>
      <c r="B9" s="656"/>
      <c r="C9" s="1212">
        <v>0.35</v>
      </c>
    </row>
    <row r="10" spans="1:7">
      <c r="A10" s="1436">
        <f t="shared" si="0"/>
        <v>7</v>
      </c>
      <c r="B10" s="1209">
        <v>0.08</v>
      </c>
      <c r="C10" s="1210">
        <v>0.18</v>
      </c>
      <c r="F10" t="s">
        <v>553</v>
      </c>
      <c r="G10">
        <f>CORREL(F4:F8,G4:G8)</f>
        <v>0.95761867712197379</v>
      </c>
    </row>
    <row r="12" spans="1:7">
      <c r="B12" t="s">
        <v>553</v>
      </c>
      <c r="C12">
        <f>CORREL(B4:B10,C4:C10)</f>
        <v>0.95761867712197379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sheetPr codeName="Sheet54"/>
  <dimension ref="A1:C57"/>
  <sheetViews>
    <sheetView topLeftCell="A28" zoomScaleNormal="100" workbookViewId="0"/>
  </sheetViews>
  <sheetFormatPr defaultRowHeight="14.4"/>
  <cols>
    <col min="1" max="2" width="8.5546875" customWidth="1"/>
  </cols>
  <sheetData>
    <row r="1" spans="1:3">
      <c r="A1" s="1" t="s">
        <v>414</v>
      </c>
    </row>
    <row r="2" spans="1:3">
      <c r="A2" s="1"/>
    </row>
    <row r="3" spans="1:3">
      <c r="A3" s="824" t="s">
        <v>28</v>
      </c>
      <c r="B3" s="824" t="s">
        <v>400</v>
      </c>
    </row>
    <row r="4" spans="1:3">
      <c r="A4" s="808">
        <v>2</v>
      </c>
      <c r="B4" s="808">
        <v>2</v>
      </c>
    </row>
    <row r="5" spans="1:3">
      <c r="A5" s="808">
        <v>4</v>
      </c>
      <c r="B5" s="808">
        <v>4</v>
      </c>
    </row>
    <row r="6" spans="1:3">
      <c r="A6" s="808">
        <v>7</v>
      </c>
      <c r="B6" s="808">
        <v>10</v>
      </c>
    </row>
    <row r="7" spans="1:3">
      <c r="A7" s="808">
        <v>5</v>
      </c>
      <c r="B7" s="808">
        <v>8</v>
      </c>
    </row>
    <row r="8" spans="1:3">
      <c r="A8" s="808">
        <v>8</v>
      </c>
      <c r="B8" s="808">
        <v>12</v>
      </c>
    </row>
    <row r="9" spans="1:3">
      <c r="A9" s="808">
        <v>6</v>
      </c>
      <c r="B9" s="808">
        <f>A9*2-3</f>
        <v>9</v>
      </c>
    </row>
    <row r="10" spans="1:3">
      <c r="A10" s="808">
        <v>9</v>
      </c>
      <c r="B10" s="808">
        <v>16</v>
      </c>
    </row>
    <row r="11" spans="1:3">
      <c r="A11" s="808">
        <v>12</v>
      </c>
      <c r="B11" s="808">
        <f>A11*2-3</f>
        <v>21</v>
      </c>
    </row>
    <row r="12" spans="1:3">
      <c r="A12" s="808">
        <v>3</v>
      </c>
      <c r="B12" s="808">
        <v>6</v>
      </c>
    </row>
    <row r="13" spans="1:3">
      <c r="A13" s="811">
        <v>10</v>
      </c>
      <c r="B13" s="811">
        <v>15</v>
      </c>
    </row>
    <row r="15" spans="1:3">
      <c r="A15" t="s">
        <v>415</v>
      </c>
      <c r="C15" s="756">
        <f>CORREL(A4:A13,B4:B13)</f>
        <v>0.97634993655136637</v>
      </c>
    </row>
    <row r="17" spans="1:3">
      <c r="A17" s="824" t="s">
        <v>28</v>
      </c>
      <c r="B17" s="824" t="s">
        <v>400</v>
      </c>
    </row>
    <row r="18" spans="1:3">
      <c r="A18" s="808">
        <v>2</v>
      </c>
      <c r="B18" s="808">
        <v>3</v>
      </c>
    </row>
    <row r="19" spans="1:3">
      <c r="A19" s="808">
        <v>4</v>
      </c>
      <c r="B19" s="808">
        <v>6</v>
      </c>
    </row>
    <row r="20" spans="1:3">
      <c r="A20" s="808">
        <v>7</v>
      </c>
      <c r="B20" s="808">
        <v>12</v>
      </c>
    </row>
    <row r="21" spans="1:3">
      <c r="A21" s="808">
        <v>5</v>
      </c>
      <c r="B21" s="808">
        <v>15</v>
      </c>
    </row>
    <row r="22" spans="1:3">
      <c r="A22" s="808">
        <v>8</v>
      </c>
      <c r="B22" s="808">
        <v>15</v>
      </c>
    </row>
    <row r="23" spans="1:3">
      <c r="A23" s="808">
        <v>6</v>
      </c>
      <c r="B23" s="808">
        <v>21</v>
      </c>
    </row>
    <row r="24" spans="1:3">
      <c r="A24" s="808">
        <v>9</v>
      </c>
      <c r="B24" s="808">
        <v>15</v>
      </c>
    </row>
    <row r="25" spans="1:3">
      <c r="A25" s="808">
        <v>12</v>
      </c>
      <c r="B25" s="808">
        <v>8</v>
      </c>
    </row>
    <row r="26" spans="1:3">
      <c r="A26" s="808">
        <v>3</v>
      </c>
      <c r="B26" s="808">
        <v>3</v>
      </c>
    </row>
    <row r="27" spans="1:3">
      <c r="A27" s="811">
        <v>10</v>
      </c>
      <c r="B27" s="811">
        <v>7</v>
      </c>
    </row>
    <row r="29" spans="1:3">
      <c r="A29" t="s">
        <v>415</v>
      </c>
      <c r="C29" s="756">
        <f>CORREL(A18:A27,B18:B27)</f>
        <v>0.30030323280047089</v>
      </c>
    </row>
    <row r="31" spans="1:3">
      <c r="A31" s="824" t="s">
        <v>28</v>
      </c>
      <c r="B31" s="824" t="s">
        <v>400</v>
      </c>
    </row>
    <row r="32" spans="1:3">
      <c r="A32" s="808">
        <v>2</v>
      </c>
      <c r="B32" s="808">
        <v>21</v>
      </c>
    </row>
    <row r="33" spans="1:3">
      <c r="A33" s="808">
        <v>4</v>
      </c>
      <c r="B33" s="808">
        <v>13</v>
      </c>
    </row>
    <row r="34" spans="1:3">
      <c r="A34" s="808">
        <v>7</v>
      </c>
      <c r="B34" s="808">
        <v>7</v>
      </c>
    </row>
    <row r="35" spans="1:3">
      <c r="A35" s="808">
        <v>5</v>
      </c>
      <c r="B35" s="808">
        <v>8</v>
      </c>
    </row>
    <row r="36" spans="1:3">
      <c r="A36" s="808">
        <v>8</v>
      </c>
      <c r="B36" s="808">
        <v>10</v>
      </c>
    </row>
    <row r="37" spans="1:3">
      <c r="A37" s="808">
        <v>6</v>
      </c>
      <c r="B37" s="808">
        <v>9</v>
      </c>
    </row>
    <row r="38" spans="1:3">
      <c r="A38" s="808">
        <v>9</v>
      </c>
      <c r="B38" s="808">
        <v>6</v>
      </c>
    </row>
    <row r="39" spans="1:3">
      <c r="A39" s="808">
        <v>12</v>
      </c>
      <c r="B39" s="808">
        <v>1</v>
      </c>
    </row>
    <row r="40" spans="1:3">
      <c r="A40" s="808">
        <v>3</v>
      </c>
      <c r="B40" s="808">
        <f>20-A40*2</f>
        <v>14</v>
      </c>
    </row>
    <row r="41" spans="1:3">
      <c r="A41" s="811">
        <v>10</v>
      </c>
      <c r="B41" s="811">
        <v>4</v>
      </c>
    </row>
    <row r="43" spans="1:3">
      <c r="A43" t="s">
        <v>415</v>
      </c>
      <c r="C43" s="756">
        <f>CORREL(A32:A41,B32:B41)</f>
        <v>-0.91200100405576845</v>
      </c>
    </row>
    <row r="45" spans="1:3">
      <c r="A45" s="824" t="s">
        <v>28</v>
      </c>
      <c r="B45" s="824" t="s">
        <v>400</v>
      </c>
    </row>
    <row r="46" spans="1:3">
      <c r="A46" s="808">
        <v>2</v>
      </c>
      <c r="B46" s="808">
        <v>3</v>
      </c>
    </row>
    <row r="47" spans="1:3">
      <c r="A47" s="808">
        <v>4</v>
      </c>
      <c r="B47" s="808">
        <v>6</v>
      </c>
    </row>
    <row r="48" spans="1:3">
      <c r="A48" s="808">
        <v>7</v>
      </c>
      <c r="B48" s="808">
        <v>5</v>
      </c>
    </row>
    <row r="49" spans="1:3">
      <c r="A49" s="808">
        <v>5</v>
      </c>
      <c r="B49" s="808">
        <v>21</v>
      </c>
    </row>
    <row r="50" spans="1:3">
      <c r="A50" s="808">
        <v>8</v>
      </c>
      <c r="B50" s="808">
        <v>12</v>
      </c>
    </row>
    <row r="51" spans="1:3">
      <c r="A51" s="808">
        <v>6</v>
      </c>
      <c r="B51" s="808">
        <v>14</v>
      </c>
    </row>
    <row r="52" spans="1:3">
      <c r="A52" s="808">
        <v>9</v>
      </c>
      <c r="B52" s="808">
        <v>2</v>
      </c>
    </row>
    <row r="53" spans="1:3">
      <c r="A53" s="808">
        <v>12</v>
      </c>
      <c r="B53" s="808">
        <v>16</v>
      </c>
    </row>
    <row r="54" spans="1:3">
      <c r="A54" s="808">
        <v>3</v>
      </c>
      <c r="B54" s="808">
        <v>12</v>
      </c>
    </row>
    <row r="55" spans="1:3">
      <c r="A55" s="811">
        <v>10</v>
      </c>
      <c r="B55" s="811">
        <v>5</v>
      </c>
    </row>
    <row r="57" spans="1:3">
      <c r="A57" t="s">
        <v>415</v>
      </c>
      <c r="C57" s="756">
        <f>CORREL(A46:A55,B46:B55)</f>
        <v>6.8139932506416284E-2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sheetPr codeName="Sheet55"/>
  <dimension ref="A1:AI81"/>
  <sheetViews>
    <sheetView workbookViewId="0"/>
  </sheetViews>
  <sheetFormatPr defaultRowHeight="14.4"/>
  <cols>
    <col min="1" max="2" width="8.88671875" customWidth="1"/>
    <col min="3" max="3" width="6.88671875" customWidth="1"/>
    <col min="4" max="4" width="9.109375" customWidth="1"/>
    <col min="6" max="6" width="3.109375" customWidth="1"/>
    <col min="7" max="7" width="23.44140625" customWidth="1"/>
    <col min="11" max="11" width="3.33203125" customWidth="1"/>
    <col min="12" max="12" width="25.44140625" customWidth="1"/>
    <col min="13" max="13" width="5.6640625" customWidth="1"/>
    <col min="16" max="16" width="3.33203125" customWidth="1"/>
    <col min="17" max="17" width="16.44140625" customWidth="1"/>
    <col min="18" max="18" width="4.33203125" customWidth="1"/>
    <col min="29" max="29" width="3" customWidth="1"/>
    <col min="30" max="30" width="22.33203125" customWidth="1"/>
    <col min="34" max="34" width="4" customWidth="1"/>
    <col min="35" max="35" width="36.6640625" customWidth="1"/>
  </cols>
  <sheetData>
    <row r="1" spans="1:35">
      <c r="A1" s="1" t="s">
        <v>4003</v>
      </c>
      <c r="B1" s="1"/>
    </row>
    <row r="3" spans="1:35" s="110" customFormat="1">
      <c r="A3" s="199" t="s">
        <v>3980</v>
      </c>
      <c r="B3" s="199" t="s">
        <v>547</v>
      </c>
      <c r="C3"/>
      <c r="D3" s="25" t="s">
        <v>3995</v>
      </c>
      <c r="E3" s="25"/>
      <c r="F3"/>
      <c r="G3"/>
      <c r="H3"/>
      <c r="I3" s="172" t="s">
        <v>3985</v>
      </c>
      <c r="J3" s="25"/>
      <c r="K3" s="25"/>
      <c r="L3" s="25"/>
      <c r="M3" s="25"/>
      <c r="N3" s="172" t="s">
        <v>497</v>
      </c>
      <c r="O3" s="25"/>
      <c r="P3" s="25"/>
      <c r="Q3" s="25"/>
      <c r="S3"/>
      <c r="T3"/>
      <c r="U3"/>
      <c r="V3"/>
      <c r="AB3" s="110" t="s">
        <v>3164</v>
      </c>
      <c r="AF3" s="110" t="s">
        <v>4010</v>
      </c>
    </row>
    <row r="4" spans="1:35">
      <c r="A4" s="1437">
        <v>5</v>
      </c>
      <c r="B4" s="200">
        <v>80</v>
      </c>
      <c r="D4" s="25"/>
      <c r="E4" s="25"/>
      <c r="I4" s="25"/>
      <c r="J4" s="25"/>
      <c r="K4" s="25"/>
      <c r="L4" s="25"/>
      <c r="M4" s="25"/>
      <c r="N4" s="25"/>
      <c r="O4" s="25"/>
      <c r="P4" s="25"/>
      <c r="Q4" s="25"/>
    </row>
    <row r="5" spans="1:35">
      <c r="A5" s="1437">
        <v>23</v>
      </c>
      <c r="B5" s="1437">
        <v>78</v>
      </c>
      <c r="D5" s="174" t="s">
        <v>368</v>
      </c>
      <c r="E5" s="743">
        <f>CORREL(A4:A18,B4:B18)</f>
        <v>-0.71343017438658085</v>
      </c>
      <c r="G5" t="e">
        <f ca="1">[1]!FTEXT(E5)</f>
        <v>#NAME?</v>
      </c>
      <c r="I5" s="492" t="s">
        <v>368</v>
      </c>
      <c r="J5" s="1439">
        <f>E5</f>
        <v>-0.71343017438658085</v>
      </c>
      <c r="K5" s="174"/>
      <c r="L5" s="174" t="e">
        <f ca="1">[1]!FTEXT(J5)</f>
        <v>#NAME?</v>
      </c>
      <c r="M5" s="25"/>
      <c r="N5" s="172" t="s">
        <v>487</v>
      </c>
      <c r="O5" s="825">
        <f>J7</f>
        <v>-0.89413518216034948</v>
      </c>
      <c r="P5" s="25"/>
      <c r="Q5" s="25" t="e">
        <f ca="1">[1]!FTEXT(O5)</f>
        <v>#NAME?</v>
      </c>
      <c r="AB5" s="1235" t="e">
        <f ca="1">[1]!CorrTTest(E5,E7,2)</f>
        <v>#NAME?</v>
      </c>
      <c r="AD5" t="e">
        <f ca="1">[1]!FTEXT(AB5)</f>
        <v>#NAME?</v>
      </c>
      <c r="AF5" t="e">
        <f t="array" aca="1" ref="AF5:AG8" ca="1">[1]!CorrelTTest(E5,E7,E11,TRUE)</f>
        <v>#NAME?</v>
      </c>
      <c r="AG5" s="1235" t="e">
        <f ca="1"/>
        <v>#NAME?</v>
      </c>
      <c r="AI5" t="e">
        <f ca="1">[1]!FTEXT(AF5)</f>
        <v>#NAME?</v>
      </c>
    </row>
    <row r="6" spans="1:35">
      <c r="A6" s="1437">
        <v>25</v>
      </c>
      <c r="B6" s="1437">
        <v>60</v>
      </c>
      <c r="D6" s="537" t="s">
        <v>485</v>
      </c>
      <c r="E6" s="826">
        <v>0</v>
      </c>
      <c r="I6" s="832" t="s">
        <v>485</v>
      </c>
      <c r="J6" s="826">
        <f>E6</f>
        <v>0</v>
      </c>
      <c r="K6" s="174"/>
      <c r="L6" s="174" t="e">
        <f ca="1">[1]!FTEXT(J6)</f>
        <v>#NAME?</v>
      </c>
      <c r="M6" s="25"/>
      <c r="N6" s="172" t="s">
        <v>491</v>
      </c>
      <c r="O6" s="826">
        <f>ABS(J14)</f>
        <v>1.9599639845400538</v>
      </c>
      <c r="P6" s="25"/>
      <c r="Q6" s="25" t="e">
        <f ca="1">[1]!FTEXT(O6)</f>
        <v>#NAME?</v>
      </c>
      <c r="AB6" s="544" t="e">
        <f ca="1">[1]!CorrTTest(E5,E7,1)</f>
        <v>#NAME?</v>
      </c>
      <c r="AD6" t="e">
        <f ca="1">[1]!FTEXT(AB6)</f>
        <v>#NAME?</v>
      </c>
      <c r="AF6" t="e">
        <f ca="1"/>
        <v>#NAME?</v>
      </c>
      <c r="AG6" s="627" t="e">
        <f ca="1"/>
        <v>#NAME?</v>
      </c>
    </row>
    <row r="7" spans="1:35" ht="15.6">
      <c r="A7" s="1437">
        <v>48</v>
      </c>
      <c r="B7" s="1437">
        <v>53</v>
      </c>
      <c r="D7" s="174" t="s">
        <v>106</v>
      </c>
      <c r="E7" s="627">
        <f>COUNT(A4:A18)</f>
        <v>15</v>
      </c>
      <c r="G7" t="e">
        <f ca="1">[1]!FTEXT(E7)</f>
        <v>#NAME?</v>
      </c>
      <c r="I7" s="833" t="s">
        <v>487</v>
      </c>
      <c r="J7" s="826">
        <f>FISHER(J5)</f>
        <v>-0.89413518216034948</v>
      </c>
      <c r="K7" s="174"/>
      <c r="L7" s="174" t="e">
        <f ca="1">[1]!FTEXT(J7)</f>
        <v>#NAME?</v>
      </c>
      <c r="M7" s="174"/>
      <c r="N7" s="175" t="s">
        <v>489</v>
      </c>
      <c r="O7" s="827">
        <f>J11</f>
        <v>0.28867513459481292</v>
      </c>
      <c r="P7" s="25"/>
      <c r="Q7" s="25" t="e">
        <f ca="1">[1]!FTEXT(O7)</f>
        <v>#NAME?</v>
      </c>
      <c r="AF7" t="e">
        <f ca="1"/>
        <v>#NAME?</v>
      </c>
      <c r="AG7" s="627" t="e">
        <f ca="1"/>
        <v>#NAME?</v>
      </c>
    </row>
    <row r="8" spans="1:35">
      <c r="A8" s="201">
        <v>17</v>
      </c>
      <c r="B8" s="1437">
        <v>85</v>
      </c>
      <c r="D8" s="174" t="s">
        <v>186</v>
      </c>
      <c r="E8" s="627">
        <f>E7-2</f>
        <v>13</v>
      </c>
      <c r="G8" t="e">
        <f ca="1">[1]!FTEXT(E8)</f>
        <v>#NAME?</v>
      </c>
      <c r="I8" s="832" t="s">
        <v>488</v>
      </c>
      <c r="J8" s="827">
        <f>FISHER(J6)</f>
        <v>0</v>
      </c>
      <c r="K8" s="174"/>
      <c r="L8" s="174" t="e">
        <f ca="1">[1]!FTEXT(J8)</f>
        <v>#NAME?</v>
      </c>
      <c r="M8" s="25"/>
      <c r="N8" s="25"/>
      <c r="O8" s="25"/>
      <c r="P8" s="25"/>
      <c r="Q8" s="25" t="e">
        <f ca="1">[1]!FTEXT(O8)</f>
        <v>#NAME?</v>
      </c>
      <c r="AB8" s="1235" t="e">
        <f ca="1">[1]!CorrTest(J6,J5,J10,2)</f>
        <v>#NAME?</v>
      </c>
      <c r="AD8" t="e">
        <f ca="1">[1]!FTEXT(AB8)</f>
        <v>#NAME?</v>
      </c>
      <c r="AF8" t="e">
        <f ca="1"/>
        <v>#NAME?</v>
      </c>
      <c r="AG8" s="544" t="e">
        <f ca="1"/>
        <v>#NAME?</v>
      </c>
    </row>
    <row r="9" spans="1:35" ht="15.6">
      <c r="A9" s="201">
        <v>8</v>
      </c>
      <c r="B9" s="1437">
        <v>84</v>
      </c>
      <c r="D9" s="174" t="s">
        <v>397</v>
      </c>
      <c r="E9" s="627">
        <f>SQRT((1-E5^2)/E8)</f>
        <v>0.1943465157263681</v>
      </c>
      <c r="G9" t="e">
        <f ca="1">[1]!FTEXT(E9)</f>
        <v>#NAME?</v>
      </c>
      <c r="I9" s="25"/>
      <c r="J9" s="25"/>
      <c r="K9" s="25"/>
      <c r="L9" s="174" t="e">
        <f ca="1">[1]!FTEXT(J9)</f>
        <v>#NAME?</v>
      </c>
      <c r="M9" s="25"/>
      <c r="N9" s="172" t="s">
        <v>492</v>
      </c>
      <c r="O9" s="1439">
        <f>O5-O6*O7</f>
        <v>-1.4599280491984352</v>
      </c>
      <c r="P9" s="25"/>
      <c r="Q9" s="25" t="e">
        <f ca="1">[1]!FTEXT(O9)</f>
        <v>#NAME?</v>
      </c>
      <c r="AB9" s="544" t="e">
        <f ca="1">[1]!CorrTest(J6,J5,J10,1)</f>
        <v>#NAME?</v>
      </c>
      <c r="AD9" t="e">
        <f ca="1">[1]!FTEXT(AB9)</f>
        <v>#NAME?</v>
      </c>
    </row>
    <row r="10" spans="1:35">
      <c r="A10" s="1437">
        <v>4</v>
      </c>
      <c r="B10" s="1437">
        <v>73</v>
      </c>
      <c r="D10" s="174" t="s">
        <v>195</v>
      </c>
      <c r="E10" s="627">
        <f>E5/E9</f>
        <v>-3.6709182653475567</v>
      </c>
      <c r="G10" t="e">
        <f ca="1">[1]!FTEXT(E10)</f>
        <v>#NAME?</v>
      </c>
      <c r="I10" s="175" t="s">
        <v>106</v>
      </c>
      <c r="J10" s="743">
        <f>E7</f>
        <v>15</v>
      </c>
      <c r="K10" s="8"/>
      <c r="L10" s="174" t="e">
        <f ca="1">[1]!FTEXT(J10)</f>
        <v>#NAME?</v>
      </c>
      <c r="M10" s="174"/>
      <c r="N10" s="172" t="s">
        <v>493</v>
      </c>
      <c r="O10" s="826">
        <f>O5+O6*O7</f>
        <v>-0.32834231512226364</v>
      </c>
      <c r="P10" s="25"/>
      <c r="Q10" s="25" t="e">
        <f ca="1">[1]!FTEXT(O10)</f>
        <v>#NAME?</v>
      </c>
    </row>
    <row r="11" spans="1:35" ht="15.6">
      <c r="A11" s="1437">
        <v>26</v>
      </c>
      <c r="B11" s="1437">
        <v>79</v>
      </c>
      <c r="D11" s="174" t="s">
        <v>157</v>
      </c>
      <c r="E11" s="627">
        <v>0.05</v>
      </c>
      <c r="I11" s="175" t="s">
        <v>489</v>
      </c>
      <c r="J11" s="627">
        <f>1/SQRT(J10-3)</f>
        <v>0.28867513459481292</v>
      </c>
      <c r="K11" s="8"/>
      <c r="L11" s="174" t="e">
        <f ca="1">[1]!FTEXT(J11)</f>
        <v>#NAME?</v>
      </c>
      <c r="M11" s="174"/>
      <c r="N11" s="172" t="s">
        <v>494</v>
      </c>
      <c r="O11" s="826">
        <f>FISHERINV(O9)</f>
        <v>-0.89763862299200325</v>
      </c>
      <c r="P11" s="25"/>
      <c r="Q11" s="25" t="e">
        <f ca="1">[1]!FTEXT(O11)</f>
        <v>#NAME?</v>
      </c>
      <c r="AB11" s="1235" t="e">
        <f ca="1">[1]!CorrTLower(E5,E7,E11)</f>
        <v>#NAME?</v>
      </c>
      <c r="AD11" t="e">
        <f ca="1">[1]!FTEXT(AB11)</f>
        <v>#NAME?</v>
      </c>
      <c r="AF11" t="e">
        <f t="array" aca="1" ref="AF11:AG14" ca="1">[1]!CorrelTest(J5,J10,J6,J13,TRUE)</f>
        <v>#NAME?</v>
      </c>
      <c r="AG11" s="1235" t="e">
        <f ca="1"/>
        <v>#NAME?</v>
      </c>
      <c r="AI11" t="e">
        <f ca="1">[1]!FTEXT(AF11)</f>
        <v>#NAME?</v>
      </c>
    </row>
    <row r="12" spans="1:35">
      <c r="A12" s="1437">
        <v>11</v>
      </c>
      <c r="B12" s="1437">
        <v>81</v>
      </c>
      <c r="D12" s="174" t="s">
        <v>201</v>
      </c>
      <c r="E12" s="627">
        <f>TINV(E11,E8)</f>
        <v>2.1603686564627926</v>
      </c>
      <c r="G12" s="23" t="s">
        <v>3981</v>
      </c>
      <c r="I12" s="174" t="s">
        <v>127</v>
      </c>
      <c r="J12" s="826">
        <f>(J7-J8)/J11</f>
        <v>-3.0973751286731566</v>
      </c>
      <c r="K12" s="174"/>
      <c r="L12" s="174" t="e">
        <f ca="1">[1]!FTEXT(J12)</f>
        <v>#NAME?</v>
      </c>
      <c r="M12" s="174"/>
      <c r="N12" s="172" t="s">
        <v>495</v>
      </c>
      <c r="O12" s="827">
        <f>FISHERINV(O10)</f>
        <v>-0.3170304877306484</v>
      </c>
      <c r="P12" s="25"/>
      <c r="Q12" s="25" t="e">
        <f ca="1">[1]!FTEXT(O12)</f>
        <v>#NAME?</v>
      </c>
      <c r="AB12" s="544" t="e">
        <f ca="1">[1]!CorrTUpper(E5,E7,E11)</f>
        <v>#NAME?</v>
      </c>
      <c r="AD12" t="e">
        <f ca="1">[1]!FTEXT(AB12)</f>
        <v>#NAME?</v>
      </c>
      <c r="AF12" t="e">
        <f ca="1"/>
        <v>#NAME?</v>
      </c>
      <c r="AG12" s="627" t="e">
        <f ca="1"/>
        <v>#NAME?</v>
      </c>
    </row>
    <row r="13" spans="1:35">
      <c r="A13" s="1437">
        <v>19</v>
      </c>
      <c r="B13" s="1437">
        <v>75</v>
      </c>
      <c r="D13" s="174" t="s">
        <v>200</v>
      </c>
      <c r="E13" s="826">
        <f>TDIST(ABS(E10),E8,2)</f>
        <v>2.822342990071231E-3</v>
      </c>
      <c r="G13" s="23" t="s">
        <v>3982</v>
      </c>
      <c r="I13" s="174" t="s">
        <v>157</v>
      </c>
      <c r="J13" s="826">
        <v>0.05</v>
      </c>
      <c r="K13" s="174"/>
      <c r="L13" s="174"/>
      <c r="M13" s="174"/>
      <c r="N13" s="174"/>
      <c r="O13" s="25"/>
      <c r="P13" s="25"/>
      <c r="Q13" s="25"/>
      <c r="AF13" t="e">
        <f ca="1"/>
        <v>#NAME?</v>
      </c>
      <c r="AG13" s="627" t="e">
        <f ca="1"/>
        <v>#NAME?</v>
      </c>
    </row>
    <row r="14" spans="1:35">
      <c r="A14" s="1437">
        <v>14</v>
      </c>
      <c r="B14" s="1437">
        <v>68</v>
      </c>
      <c r="D14" s="174" t="s">
        <v>948</v>
      </c>
      <c r="E14" s="831" t="str">
        <f>IF(E13&lt;E11,"yes","no")</f>
        <v>yes</v>
      </c>
      <c r="G14" t="e">
        <f ca="1">[1]!FTEXT(E14)</f>
        <v>#NAME?</v>
      </c>
      <c r="I14" s="174" t="s">
        <v>491</v>
      </c>
      <c r="J14" s="826">
        <f>NORMSINV(J13/2)</f>
        <v>-1.9599639845400538</v>
      </c>
      <c r="K14" s="174"/>
      <c r="L14" s="1440" t="s">
        <v>4001</v>
      </c>
      <c r="M14" s="174"/>
      <c r="N14" s="174"/>
      <c r="O14" s="25"/>
      <c r="P14" s="25"/>
      <c r="Q14" s="25"/>
      <c r="AB14" s="1235" t="e">
        <f ca="1">[1]!CorrLower(E5,E7,E11)</f>
        <v>#NAME?</v>
      </c>
      <c r="AD14" t="e">
        <f ca="1">[1]!FTEXT(AB14)</f>
        <v>#NAME?</v>
      </c>
      <c r="AF14" t="e">
        <f ca="1"/>
        <v>#NAME?</v>
      </c>
      <c r="AG14" s="544" t="e">
        <f ca="1"/>
        <v>#NAME?</v>
      </c>
    </row>
    <row r="15" spans="1:35">
      <c r="A15" s="1437">
        <v>35</v>
      </c>
      <c r="B15" s="1437">
        <v>72</v>
      </c>
      <c r="I15" s="174" t="s">
        <v>200</v>
      </c>
      <c r="J15" s="826">
        <f>2*NORMSDIST(J12)</f>
        <v>1.9524263310825908E-3</v>
      </c>
      <c r="K15" s="174"/>
      <c r="L15" s="1440" t="s">
        <v>3996</v>
      </c>
      <c r="M15" s="174"/>
      <c r="N15" s="174"/>
      <c r="O15" s="25"/>
      <c r="P15" s="25"/>
      <c r="Q15" s="25"/>
      <c r="AB15" s="544" t="e">
        <f ca="1">[1]!CorrUpper(E5,E7,E11)</f>
        <v>#NAME?</v>
      </c>
      <c r="AD15" t="e">
        <f ca="1">[1]!FTEXT(AB15)</f>
        <v>#NAME?</v>
      </c>
    </row>
    <row r="16" spans="1:35">
      <c r="A16" s="1437">
        <v>29</v>
      </c>
      <c r="B16" s="1437">
        <v>58</v>
      </c>
      <c r="D16" t="s">
        <v>103</v>
      </c>
      <c r="E16" s="1235">
        <f>E5-E12*E9</f>
        <v>-1.1332902954545796</v>
      </c>
      <c r="G16" t="e">
        <f ca="1">[1]!FTEXT(E16)</f>
        <v>#NAME?</v>
      </c>
      <c r="I16" s="174" t="s">
        <v>948</v>
      </c>
      <c r="J16" s="831" t="str">
        <f>IF(J15&lt;J13,"yes","no")</f>
        <v>yes</v>
      </c>
      <c r="K16" s="918"/>
      <c r="L16" s="174" t="e">
        <f ca="1">[1]!FTEXT(J16)</f>
        <v>#NAME?</v>
      </c>
      <c r="M16" s="174"/>
      <c r="N16" s="174"/>
      <c r="O16" s="25"/>
      <c r="P16" s="25"/>
      <c r="Q16" s="25"/>
    </row>
    <row r="17" spans="1:35">
      <c r="A17" s="1437">
        <v>4</v>
      </c>
      <c r="B17" s="1437">
        <v>92</v>
      </c>
      <c r="D17" t="s">
        <v>104</v>
      </c>
      <c r="E17" s="544">
        <f>E5+E12*E9</f>
        <v>-0.29357005331858199</v>
      </c>
      <c r="G17" t="e">
        <f ca="1">[1]!FTEXT(E17)</f>
        <v>#NAME?</v>
      </c>
      <c r="N17" s="174"/>
      <c r="O17" s="25"/>
      <c r="P17" s="25"/>
      <c r="Q17" s="25"/>
      <c r="AF17" t="e">
        <f t="array" aca="1" ref="AF17:AG20" ca="1">[1]!CorrelTTest(A4:A18,B4:B18,E11,TRUE)</f>
        <v>#NAME?</v>
      </c>
      <c r="AG17" s="1235" t="e">
        <f ca="1"/>
        <v>#NAME?</v>
      </c>
      <c r="AI17" t="e">
        <f ca="1">[1]!FTEXT(AF17)</f>
        <v>#NAME?</v>
      </c>
    </row>
    <row r="18" spans="1:35">
      <c r="A18" s="1438">
        <v>23</v>
      </c>
      <c r="B18" s="1438">
        <v>65</v>
      </c>
      <c r="N18" s="174"/>
      <c r="O18" s="25"/>
      <c r="P18" s="25"/>
      <c r="Q18" s="25"/>
      <c r="AF18" t="e">
        <f ca="1"/>
        <v>#NAME?</v>
      </c>
      <c r="AG18" s="627" t="e">
        <f ca="1"/>
        <v>#NAME?</v>
      </c>
    </row>
    <row r="19" spans="1:35">
      <c r="A19" s="1437"/>
      <c r="B19" s="1437"/>
      <c r="N19" s="174"/>
      <c r="O19" s="25"/>
      <c r="P19" s="25"/>
      <c r="Q19" s="25"/>
      <c r="AF19" t="e">
        <f ca="1"/>
        <v>#NAME?</v>
      </c>
      <c r="AG19" s="627" t="e">
        <f ca="1"/>
        <v>#NAME?</v>
      </c>
    </row>
    <row r="20" spans="1:35">
      <c r="A20" s="1437"/>
      <c r="B20" s="1437"/>
      <c r="D20" s="25" t="s">
        <v>3997</v>
      </c>
      <c r="E20" s="25"/>
      <c r="I20" s="172" t="s">
        <v>3988</v>
      </c>
      <c r="J20" s="25"/>
      <c r="K20" s="25"/>
      <c r="L20" s="25"/>
      <c r="N20" s="174"/>
      <c r="O20" s="25"/>
      <c r="P20" s="25"/>
      <c r="Q20" s="25"/>
      <c r="AF20" t="e">
        <f ca="1"/>
        <v>#NAME?</v>
      </c>
      <c r="AG20" s="544" t="e">
        <f ca="1"/>
        <v>#NAME?</v>
      </c>
    </row>
    <row r="21" spans="1:35">
      <c r="A21" s="1437"/>
      <c r="B21" s="1437"/>
      <c r="D21" s="25"/>
      <c r="E21" s="25"/>
      <c r="I21" s="25"/>
      <c r="J21" s="25"/>
      <c r="K21" s="25"/>
      <c r="L21" s="25"/>
      <c r="N21" s="174"/>
      <c r="O21" s="25"/>
      <c r="P21" s="25"/>
      <c r="Q21" s="25"/>
    </row>
    <row r="22" spans="1:35">
      <c r="A22" s="1437"/>
      <c r="B22" s="1437"/>
      <c r="D22" s="174" t="s">
        <v>368</v>
      </c>
      <c r="E22" s="743">
        <f>CORREL(A4:A18,B4:B18)</f>
        <v>-0.71343017438658085</v>
      </c>
      <c r="G22" t="e">
        <f ca="1">[1]!FTEXT(E22)</f>
        <v>#NAME?</v>
      </c>
      <c r="I22" s="492" t="s">
        <v>368</v>
      </c>
      <c r="J22" s="1439">
        <f>E22</f>
        <v>-0.71343017438658085</v>
      </c>
      <c r="K22" s="174"/>
      <c r="L22" s="174" t="e">
        <f ca="1">[1]!FTEXT(J22)</f>
        <v>#NAME?</v>
      </c>
    </row>
    <row r="23" spans="1:35">
      <c r="A23" s="1437"/>
      <c r="B23" s="1437"/>
      <c r="D23" s="537" t="s">
        <v>485</v>
      </c>
      <c r="E23" s="826">
        <v>0</v>
      </c>
      <c r="I23" s="832" t="s">
        <v>485</v>
      </c>
      <c r="J23" s="826">
        <f>E23</f>
        <v>0</v>
      </c>
      <c r="K23" s="174"/>
      <c r="L23" s="174" t="e">
        <f ca="1">[1]!FTEXT(J23)</f>
        <v>#NAME?</v>
      </c>
      <c r="AF23" t="e">
        <f t="array" aca="1" ref="AF23:AG26" ca="1">[1]!CorrelTest(A4:A18,B4:B18,J6,J13,TRUE)</f>
        <v>#NAME?</v>
      </c>
      <c r="AG23" s="1235" t="e">
        <f ca="1"/>
        <v>#NAME?</v>
      </c>
      <c r="AI23" t="e">
        <f ca="1">[1]!FTEXT(AF23)</f>
        <v>#NAME?</v>
      </c>
    </row>
    <row r="24" spans="1:35">
      <c r="A24" s="1437"/>
      <c r="B24" s="1437"/>
      <c r="D24" s="174" t="s">
        <v>106</v>
      </c>
      <c r="E24" s="627">
        <f>COUNT(A4:A18)</f>
        <v>15</v>
      </c>
      <c r="G24" t="e">
        <f ca="1">[1]!FTEXT(E24)</f>
        <v>#NAME?</v>
      </c>
      <c r="I24" s="833" t="s">
        <v>487</v>
      </c>
      <c r="J24" s="826">
        <f>FISHER(J22)</f>
        <v>-0.89413518216034948</v>
      </c>
      <c r="K24" s="174"/>
      <c r="L24" s="174" t="e">
        <f ca="1">[1]!FTEXT(J24)</f>
        <v>#NAME?</v>
      </c>
      <c r="AF24" t="e">
        <f ca="1"/>
        <v>#NAME?</v>
      </c>
      <c r="AG24" s="627" t="e">
        <f ca="1"/>
        <v>#NAME?</v>
      </c>
    </row>
    <row r="25" spans="1:35">
      <c r="A25" s="1437"/>
      <c r="B25" s="1437"/>
      <c r="D25" s="174" t="s">
        <v>186</v>
      </c>
      <c r="E25" s="627">
        <f>E24-2</f>
        <v>13</v>
      </c>
      <c r="G25" t="e">
        <f ca="1">[1]!FTEXT(E25)</f>
        <v>#NAME?</v>
      </c>
      <c r="I25" s="832" t="s">
        <v>488</v>
      </c>
      <c r="J25" s="827">
        <f>FISHER(J23)</f>
        <v>0</v>
      </c>
      <c r="K25" s="174"/>
      <c r="L25" s="174" t="e">
        <f ca="1">[1]!FTEXT(J25)</f>
        <v>#NAME?</v>
      </c>
      <c r="AF25" t="e">
        <f ca="1"/>
        <v>#NAME?</v>
      </c>
      <c r="AG25" s="627" t="e">
        <f ca="1"/>
        <v>#NAME?</v>
      </c>
    </row>
    <row r="26" spans="1:35" ht="15.6">
      <c r="A26" s="1437"/>
      <c r="B26" s="1437"/>
      <c r="D26" s="174" t="s">
        <v>397</v>
      </c>
      <c r="E26" s="627">
        <f>SQRT((1-E22^2)/E25)</f>
        <v>0.1943465157263681</v>
      </c>
      <c r="G26" t="e">
        <f ca="1">[1]!FTEXT(E26)</f>
        <v>#NAME?</v>
      </c>
      <c r="I26" s="25"/>
      <c r="J26" s="25"/>
      <c r="K26" s="25"/>
      <c r="L26" s="174" t="e">
        <f ca="1">[1]!FTEXT(J26)</f>
        <v>#NAME?</v>
      </c>
      <c r="AF26" t="e">
        <f ca="1"/>
        <v>#NAME?</v>
      </c>
      <c r="AG26" s="544" t="e">
        <f ca="1"/>
        <v>#NAME?</v>
      </c>
    </row>
    <row r="27" spans="1:35">
      <c r="A27" s="1437"/>
      <c r="B27" s="1437"/>
      <c r="D27" s="174" t="s">
        <v>195</v>
      </c>
      <c r="E27" s="627">
        <f>E22/E26</f>
        <v>-3.6709182653475567</v>
      </c>
      <c r="G27" t="e">
        <f ca="1">[1]!FTEXT(E27)</f>
        <v>#NAME?</v>
      </c>
      <c r="I27" s="175" t="s">
        <v>106</v>
      </c>
      <c r="J27" s="743">
        <f>E24</f>
        <v>15</v>
      </c>
      <c r="K27" s="8"/>
      <c r="L27" s="174" t="e">
        <f ca="1">[1]!FTEXT(J27)</f>
        <v>#NAME?</v>
      </c>
    </row>
    <row r="28" spans="1:35" ht="15.6">
      <c r="A28" s="1437"/>
      <c r="B28" s="1437"/>
      <c r="D28" s="174" t="s">
        <v>157</v>
      </c>
      <c r="E28" s="627">
        <v>0.05</v>
      </c>
      <c r="I28" s="175" t="s">
        <v>489</v>
      </c>
      <c r="J28" s="627">
        <f>1/SQRT(J27-3)</f>
        <v>0.28867513459481292</v>
      </c>
      <c r="K28" s="8"/>
      <c r="L28" s="174" t="e">
        <f ca="1">[1]!FTEXT(J28)</f>
        <v>#NAME?</v>
      </c>
    </row>
    <row r="29" spans="1:35">
      <c r="A29" s="1437"/>
      <c r="B29" s="1437"/>
      <c r="D29" s="174" t="s">
        <v>201</v>
      </c>
      <c r="E29" s="627">
        <f>TINV(2*E28,E25)</f>
        <v>1.7709333959868729</v>
      </c>
      <c r="G29" s="23" t="s">
        <v>3998</v>
      </c>
      <c r="I29" s="174" t="s">
        <v>127</v>
      </c>
      <c r="J29" s="826">
        <f>(J24-J25)/J28</f>
        <v>-3.0973751286731566</v>
      </c>
      <c r="K29" s="174"/>
      <c r="L29" s="174" t="e">
        <f ca="1">[1]!FTEXT(J29)</f>
        <v>#NAME?</v>
      </c>
    </row>
    <row r="30" spans="1:35">
      <c r="A30" s="1437"/>
      <c r="B30" s="1437"/>
      <c r="D30" s="174" t="s">
        <v>200</v>
      </c>
      <c r="E30" s="826">
        <f>TDIST(ABS(E27),E25,1)</f>
        <v>1.4111714950356155E-3</v>
      </c>
      <c r="G30" s="23" t="s">
        <v>3999</v>
      </c>
      <c r="I30" s="174" t="s">
        <v>157</v>
      </c>
      <c r="J30" s="826">
        <v>0.05</v>
      </c>
      <c r="K30" s="174"/>
      <c r="L30" s="174"/>
    </row>
    <row r="31" spans="1:35">
      <c r="A31" s="1437"/>
      <c r="B31" s="1437"/>
      <c r="D31" s="174" t="s">
        <v>948</v>
      </c>
      <c r="E31" s="831" t="str">
        <f>IF(E30&lt;E28,"yes","no")</f>
        <v>yes</v>
      </c>
      <c r="G31" t="e">
        <f ca="1">[1]!FTEXT(E31)</f>
        <v>#NAME?</v>
      </c>
      <c r="I31" s="174" t="s">
        <v>491</v>
      </c>
      <c r="J31" s="826">
        <f>NORMSINV(J30)</f>
        <v>-1.6448536269514726</v>
      </c>
      <c r="K31" s="174"/>
      <c r="L31" s="1440" t="s">
        <v>4002</v>
      </c>
    </row>
    <row r="32" spans="1:35">
      <c r="A32" s="1437"/>
      <c r="B32" s="1437"/>
      <c r="I32" s="174" t="s">
        <v>200</v>
      </c>
      <c r="J32" s="826">
        <f>NORMSDIST(J29)</f>
        <v>9.7621316554129538E-4</v>
      </c>
      <c r="K32" s="174"/>
      <c r="L32" s="1440" t="s">
        <v>4000</v>
      </c>
    </row>
    <row r="33" spans="7:12">
      <c r="I33" s="174" t="s">
        <v>948</v>
      </c>
      <c r="J33" s="831" t="str">
        <f>IF(J32&lt;J30,"yes","no")</f>
        <v>yes</v>
      </c>
      <c r="K33" s="918"/>
      <c r="L33" s="174" t="e">
        <f ca="1">[1]!FTEXT(J33)</f>
        <v>#NAME?</v>
      </c>
    </row>
    <row r="36" spans="7:12">
      <c r="G36" t="s">
        <v>209</v>
      </c>
    </row>
    <row r="38" spans="7:12">
      <c r="G38" t="s">
        <v>88</v>
      </c>
      <c r="H38">
        <f>COUNT(A4:A18)</f>
        <v>15</v>
      </c>
      <c r="I38">
        <f>2*H38</f>
        <v>30</v>
      </c>
    </row>
    <row r="39" spans="7:12">
      <c r="G39" t="s">
        <v>76</v>
      </c>
      <c r="H39">
        <f>AVERAGE(A4:A18)</f>
        <v>19.399999999999999</v>
      </c>
    </row>
    <row r="40" spans="7:12">
      <c r="G40" t="s">
        <v>182</v>
      </c>
      <c r="H40">
        <f>STDEV(A4:A18)</f>
        <v>12.45448857698644</v>
      </c>
    </row>
    <row r="42" spans="7:12">
      <c r="G42" t="s">
        <v>210</v>
      </c>
      <c r="H42" t="s">
        <v>211</v>
      </c>
      <c r="I42" t="s">
        <v>555</v>
      </c>
      <c r="J42" t="s">
        <v>212</v>
      </c>
    </row>
    <row r="43" spans="7:12">
      <c r="G43">
        <v>1</v>
      </c>
      <c r="H43">
        <v>4</v>
      </c>
      <c r="I43">
        <f t="shared" ref="I43:I57" si="0">NORMSINV(G43/I$38)</f>
        <v>-1.8339146358159142</v>
      </c>
      <c r="J43">
        <f t="shared" ref="J43:J57" si="1">STANDARDIZE(H43,H$39,H$40)</f>
        <v>-1.2365019972362663</v>
      </c>
    </row>
    <row r="44" spans="7:12">
      <c r="G44">
        <f>G43+2</f>
        <v>3</v>
      </c>
      <c r="H44">
        <v>4</v>
      </c>
      <c r="I44">
        <f t="shared" si="0"/>
        <v>-1.2815515655446006</v>
      </c>
      <c r="J44">
        <f t="shared" si="1"/>
        <v>-1.2365019972362663</v>
      </c>
    </row>
    <row r="45" spans="7:12">
      <c r="G45">
        <f t="shared" ref="G45:G57" si="2">G44+2</f>
        <v>5</v>
      </c>
      <c r="H45">
        <v>5</v>
      </c>
      <c r="I45">
        <f t="shared" si="0"/>
        <v>-0.96742156610170071</v>
      </c>
      <c r="J45">
        <f t="shared" si="1"/>
        <v>-1.156209659753392</v>
      </c>
    </row>
    <row r="46" spans="7:12">
      <c r="G46">
        <f t="shared" si="2"/>
        <v>7</v>
      </c>
      <c r="H46">
        <v>8</v>
      </c>
      <c r="I46">
        <f t="shared" si="0"/>
        <v>-0.72791329088164469</v>
      </c>
      <c r="J46">
        <f t="shared" si="1"/>
        <v>-0.9153326473047686</v>
      </c>
    </row>
    <row r="47" spans="7:12">
      <c r="G47">
        <f t="shared" si="2"/>
        <v>9</v>
      </c>
      <c r="H47">
        <v>11</v>
      </c>
      <c r="I47">
        <f t="shared" si="0"/>
        <v>-0.52440051270804089</v>
      </c>
      <c r="J47">
        <f t="shared" si="1"/>
        <v>-0.67445563485614524</v>
      </c>
    </row>
    <row r="48" spans="7:12">
      <c r="G48">
        <f t="shared" si="2"/>
        <v>11</v>
      </c>
      <c r="H48">
        <v>14</v>
      </c>
      <c r="I48">
        <f t="shared" si="0"/>
        <v>-0.34069482708779553</v>
      </c>
      <c r="J48">
        <f t="shared" si="1"/>
        <v>-0.43357862240752187</v>
      </c>
    </row>
    <row r="49" spans="7:10">
      <c r="G49">
        <f t="shared" si="2"/>
        <v>13</v>
      </c>
      <c r="H49">
        <v>17</v>
      </c>
      <c r="I49">
        <f t="shared" si="0"/>
        <v>-0.16789400478810546</v>
      </c>
      <c r="J49">
        <f t="shared" si="1"/>
        <v>-0.19270160995889857</v>
      </c>
    </row>
    <row r="50" spans="7:10">
      <c r="G50">
        <f t="shared" si="2"/>
        <v>15</v>
      </c>
      <c r="H50">
        <v>19</v>
      </c>
      <c r="I50">
        <f t="shared" si="0"/>
        <v>0</v>
      </c>
      <c r="J50">
        <f t="shared" si="1"/>
        <v>-3.2116934993149666E-2</v>
      </c>
    </row>
    <row r="51" spans="7:10">
      <c r="G51">
        <f t="shared" si="2"/>
        <v>17</v>
      </c>
      <c r="H51">
        <v>23</v>
      </c>
      <c r="I51">
        <f t="shared" si="0"/>
        <v>0.16789400478810546</v>
      </c>
      <c r="J51">
        <f t="shared" si="1"/>
        <v>0.2890524149383481</v>
      </c>
    </row>
    <row r="52" spans="7:10">
      <c r="G52">
        <f t="shared" si="2"/>
        <v>19</v>
      </c>
      <c r="H52">
        <v>23</v>
      </c>
      <c r="I52">
        <f t="shared" si="0"/>
        <v>0.34069482708779542</v>
      </c>
      <c r="J52">
        <f t="shared" si="1"/>
        <v>0.2890524149383481</v>
      </c>
    </row>
    <row r="53" spans="7:10">
      <c r="G53">
        <f t="shared" si="2"/>
        <v>21</v>
      </c>
      <c r="H53">
        <v>25</v>
      </c>
      <c r="I53">
        <f t="shared" si="0"/>
        <v>0.52440051270804078</v>
      </c>
      <c r="J53">
        <f t="shared" si="1"/>
        <v>0.44963708990409701</v>
      </c>
    </row>
    <row r="54" spans="7:10">
      <c r="G54">
        <f t="shared" si="2"/>
        <v>23</v>
      </c>
      <c r="H54">
        <v>26</v>
      </c>
      <c r="I54">
        <f t="shared" si="0"/>
        <v>0.72791329088164458</v>
      </c>
      <c r="J54">
        <f t="shared" si="1"/>
        <v>0.52992942738697146</v>
      </c>
    </row>
    <row r="55" spans="7:10">
      <c r="G55">
        <f t="shared" si="2"/>
        <v>25</v>
      </c>
      <c r="H55">
        <v>29</v>
      </c>
      <c r="I55">
        <f t="shared" si="0"/>
        <v>0.96742156610170071</v>
      </c>
      <c r="J55">
        <f t="shared" si="1"/>
        <v>0.77080643983559483</v>
      </c>
    </row>
    <row r="56" spans="7:10">
      <c r="G56">
        <f t="shared" si="2"/>
        <v>27</v>
      </c>
      <c r="H56">
        <v>35</v>
      </c>
      <c r="I56">
        <f t="shared" si="0"/>
        <v>1.2815515655446006</v>
      </c>
      <c r="J56">
        <f t="shared" si="1"/>
        <v>1.2525604647328414</v>
      </c>
    </row>
    <row r="57" spans="7:10">
      <c r="G57">
        <f t="shared" si="2"/>
        <v>29</v>
      </c>
      <c r="H57">
        <v>48</v>
      </c>
      <c r="I57">
        <f t="shared" si="0"/>
        <v>1.8339146358159142</v>
      </c>
      <c r="J57">
        <f t="shared" si="1"/>
        <v>2.2963608520102095</v>
      </c>
    </row>
    <row r="60" spans="7:10">
      <c r="G60" t="s">
        <v>209</v>
      </c>
    </row>
    <row r="62" spans="7:10">
      <c r="G62" t="s">
        <v>88</v>
      </c>
      <c r="H62">
        <f>COUNT(B4:B18)</f>
        <v>15</v>
      </c>
      <c r="I62">
        <f>2*H62</f>
        <v>30</v>
      </c>
    </row>
    <row r="63" spans="7:10">
      <c r="G63" t="s">
        <v>76</v>
      </c>
      <c r="H63">
        <f>AVERAGE(B4:B18)</f>
        <v>73.533333333333331</v>
      </c>
    </row>
    <row r="64" spans="7:10">
      <c r="G64" t="s">
        <v>182</v>
      </c>
      <c r="H64">
        <f>STDEV(B4:B18)</f>
        <v>10.966616007988378</v>
      </c>
    </row>
    <row r="66" spans="7:10">
      <c r="G66" t="s">
        <v>210</v>
      </c>
      <c r="H66" t="s">
        <v>211</v>
      </c>
      <c r="I66" t="s">
        <v>555</v>
      </c>
      <c r="J66" t="s">
        <v>212</v>
      </c>
    </row>
    <row r="67" spans="7:10">
      <c r="G67">
        <v>1</v>
      </c>
      <c r="H67">
        <v>53</v>
      </c>
      <c r="I67">
        <f t="shared" ref="I67:I81" si="3">NORMSINV(G67/I$62)</f>
        <v>-1.8339146358159142</v>
      </c>
      <c r="J67">
        <f t="shared" ref="J67:J81" si="4">STANDARDIZE(H67,H$63,H$64)</f>
        <v>-1.8723490745345965</v>
      </c>
    </row>
    <row r="68" spans="7:10">
      <c r="G68">
        <f>G67+2</f>
        <v>3</v>
      </c>
      <c r="H68">
        <v>58</v>
      </c>
      <c r="I68">
        <f t="shared" si="3"/>
        <v>-1.2815515655446006</v>
      </c>
      <c r="J68">
        <f t="shared" si="4"/>
        <v>-1.4164199167745486</v>
      </c>
    </row>
    <row r="69" spans="7:10">
      <c r="G69">
        <f t="shared" ref="G69:G81" si="5">G68+2</f>
        <v>5</v>
      </c>
      <c r="H69">
        <v>60</v>
      </c>
      <c r="I69">
        <f t="shared" si="3"/>
        <v>-0.96742156610170071</v>
      </c>
      <c r="J69">
        <f t="shared" si="4"/>
        <v>-1.2340482536705295</v>
      </c>
    </row>
    <row r="70" spans="7:10">
      <c r="G70">
        <f t="shared" si="5"/>
        <v>7</v>
      </c>
      <c r="H70">
        <v>65</v>
      </c>
      <c r="I70">
        <f t="shared" si="3"/>
        <v>-0.72791329088164469</v>
      </c>
      <c r="J70">
        <f t="shared" si="4"/>
        <v>-0.77811909591048156</v>
      </c>
    </row>
    <row r="71" spans="7:10">
      <c r="G71">
        <f t="shared" si="5"/>
        <v>9</v>
      </c>
      <c r="H71">
        <v>68</v>
      </c>
      <c r="I71">
        <f t="shared" si="3"/>
        <v>-0.52440051270804089</v>
      </c>
      <c r="J71">
        <f t="shared" si="4"/>
        <v>-0.50456160125445282</v>
      </c>
    </row>
    <row r="72" spans="7:10">
      <c r="G72">
        <f t="shared" si="5"/>
        <v>11</v>
      </c>
      <c r="H72">
        <v>72</v>
      </c>
      <c r="I72">
        <f t="shared" si="3"/>
        <v>-0.34069482708779553</v>
      </c>
      <c r="J72">
        <f t="shared" si="4"/>
        <v>-0.13981827504641453</v>
      </c>
    </row>
    <row r="73" spans="7:10">
      <c r="G73">
        <f t="shared" si="5"/>
        <v>13</v>
      </c>
      <c r="H73">
        <v>73</v>
      </c>
      <c r="I73">
        <f t="shared" si="3"/>
        <v>-0.16789400478810546</v>
      </c>
      <c r="J73">
        <f t="shared" si="4"/>
        <v>-4.8632443494404938E-2</v>
      </c>
    </row>
    <row r="74" spans="7:10">
      <c r="G74">
        <f t="shared" si="5"/>
        <v>15</v>
      </c>
      <c r="H74">
        <v>75</v>
      </c>
      <c r="I74">
        <f t="shared" si="3"/>
        <v>0</v>
      </c>
      <c r="J74">
        <f t="shared" si="4"/>
        <v>0.13373921960961421</v>
      </c>
    </row>
    <row r="75" spans="7:10">
      <c r="G75">
        <f t="shared" si="5"/>
        <v>17</v>
      </c>
      <c r="H75">
        <v>78</v>
      </c>
      <c r="I75">
        <f t="shared" si="3"/>
        <v>0.16789400478810546</v>
      </c>
      <c r="J75">
        <f t="shared" si="4"/>
        <v>0.40729671426564296</v>
      </c>
    </row>
    <row r="76" spans="7:10">
      <c r="G76">
        <f t="shared" si="5"/>
        <v>19</v>
      </c>
      <c r="H76">
        <v>79</v>
      </c>
      <c r="I76">
        <f t="shared" si="3"/>
        <v>0.34069482708779542</v>
      </c>
      <c r="J76">
        <f t="shared" si="4"/>
        <v>0.49848254581765256</v>
      </c>
    </row>
    <row r="77" spans="7:10">
      <c r="G77">
        <f t="shared" si="5"/>
        <v>21</v>
      </c>
      <c r="H77">
        <v>80</v>
      </c>
      <c r="I77">
        <f t="shared" si="3"/>
        <v>0.52440051270804078</v>
      </c>
      <c r="J77">
        <f t="shared" si="4"/>
        <v>0.58966837736966216</v>
      </c>
    </row>
    <row r="78" spans="7:10">
      <c r="G78">
        <f t="shared" si="5"/>
        <v>23</v>
      </c>
      <c r="H78">
        <v>81</v>
      </c>
      <c r="I78">
        <f t="shared" si="3"/>
        <v>0.72791329088164458</v>
      </c>
      <c r="J78">
        <f t="shared" si="4"/>
        <v>0.6808542089216717</v>
      </c>
    </row>
    <row r="79" spans="7:10">
      <c r="G79">
        <f t="shared" si="5"/>
        <v>25</v>
      </c>
      <c r="H79">
        <v>84</v>
      </c>
      <c r="I79">
        <f t="shared" si="3"/>
        <v>0.96742156610170071</v>
      </c>
      <c r="J79">
        <f t="shared" si="4"/>
        <v>0.95441170357770044</v>
      </c>
    </row>
    <row r="80" spans="7:10">
      <c r="G80">
        <f t="shared" si="5"/>
        <v>27</v>
      </c>
      <c r="H80">
        <v>85</v>
      </c>
      <c r="I80">
        <f t="shared" si="3"/>
        <v>1.2815515655446006</v>
      </c>
      <c r="J80">
        <f t="shared" si="4"/>
        <v>1.04559753512971</v>
      </c>
    </row>
    <row r="81" spans="7:10">
      <c r="G81">
        <f t="shared" si="5"/>
        <v>29</v>
      </c>
      <c r="H81">
        <v>92</v>
      </c>
      <c r="I81">
        <f t="shared" si="3"/>
        <v>1.8339146358159142</v>
      </c>
      <c r="J81">
        <f t="shared" si="4"/>
        <v>1.683898355993777</v>
      </c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sheetPr codeName="Sheet360"/>
  <dimension ref="A1:N20"/>
  <sheetViews>
    <sheetView workbookViewId="0"/>
  </sheetViews>
  <sheetFormatPr defaultRowHeight="14.4"/>
  <cols>
    <col min="3" max="3" width="9.109375" customWidth="1"/>
    <col min="4" max="4" width="10.5546875" customWidth="1"/>
    <col min="6" max="6" width="7" customWidth="1"/>
    <col min="10" max="10" width="10.5546875" customWidth="1"/>
    <col min="12" max="12" width="6.88671875" customWidth="1"/>
  </cols>
  <sheetData>
    <row r="1" spans="1:14">
      <c r="A1" s="1" t="s">
        <v>4055</v>
      </c>
      <c r="B1" s="1"/>
    </row>
    <row r="3" spans="1:14">
      <c r="A3" s="199" t="s">
        <v>3980</v>
      </c>
      <c r="B3" s="199" t="s">
        <v>547</v>
      </c>
      <c r="D3" t="s">
        <v>4053</v>
      </c>
      <c r="J3" t="s">
        <v>4053</v>
      </c>
    </row>
    <row r="4" spans="1:14">
      <c r="A4" s="1448">
        <v>5</v>
      </c>
      <c r="B4" s="200">
        <v>80</v>
      </c>
    </row>
    <row r="5" spans="1:14">
      <c r="A5" s="1448">
        <v>23</v>
      </c>
      <c r="B5" s="1448">
        <v>78</v>
      </c>
      <c r="D5" t="s">
        <v>511</v>
      </c>
      <c r="E5" s="1441">
        <f>CORREL(A4:A18,B4:B18)</f>
        <v>-0.71343017438658085</v>
      </c>
      <c r="J5" t="s">
        <v>511</v>
      </c>
      <c r="K5" s="1441">
        <f>CORREL(A4:A18,B4:B18)</f>
        <v>-0.71343017438658085</v>
      </c>
    </row>
    <row r="6" spans="1:14">
      <c r="A6" s="1448">
        <v>25</v>
      </c>
      <c r="B6" s="1448">
        <v>60</v>
      </c>
      <c r="D6" t="s">
        <v>512</v>
      </c>
      <c r="E6" s="946" t="e">
        <f ca="1">[1]!SCORREL(A4:A18,B4:B18)</f>
        <v>#NAME?</v>
      </c>
      <c r="J6" t="s">
        <v>512</v>
      </c>
      <c r="K6" s="946" t="e">
        <f ca="1">[1]!SCORREL(A4:A18,B4:B18)</f>
        <v>#NAME?</v>
      </c>
    </row>
    <row r="7" spans="1:14">
      <c r="A7" s="1448">
        <v>48</v>
      </c>
      <c r="B7" s="1448">
        <v>53</v>
      </c>
      <c r="D7" t="s">
        <v>4054</v>
      </c>
      <c r="E7" s="1073" t="e">
        <f ca="1">[1]!KCORREL(A4:A18,B4:B18)</f>
        <v>#NAME?</v>
      </c>
      <c r="J7" t="s">
        <v>4054</v>
      </c>
      <c r="K7" s="1073" t="e">
        <f ca="1">[1]!KCORREL(A4:A18,B4:B18)</f>
        <v>#NAME?</v>
      </c>
    </row>
    <row r="8" spans="1:14">
      <c r="A8" s="201">
        <v>17</v>
      </c>
      <c r="B8" s="1448">
        <v>85</v>
      </c>
    </row>
    <row r="9" spans="1:14">
      <c r="A9" s="201">
        <v>8</v>
      </c>
      <c r="B9" s="1448">
        <v>84</v>
      </c>
      <c r="D9" t="s">
        <v>4057</v>
      </c>
      <c r="G9" t="s">
        <v>4058</v>
      </c>
      <c r="J9" t="s">
        <v>4057</v>
      </c>
      <c r="M9" t="s">
        <v>4058</v>
      </c>
    </row>
    <row r="10" spans="1:14">
      <c r="A10" s="1448">
        <v>4</v>
      </c>
      <c r="B10" s="1448">
        <v>73</v>
      </c>
    </row>
    <row r="11" spans="1:14">
      <c r="A11" s="1448">
        <v>26</v>
      </c>
      <c r="B11" s="1448">
        <v>79</v>
      </c>
      <c r="D11" t="s">
        <v>116</v>
      </c>
      <c r="E11" s="1441">
        <v>0.05</v>
      </c>
      <c r="G11" t="s">
        <v>4059</v>
      </c>
      <c r="H11" s="1441">
        <v>0</v>
      </c>
      <c r="J11" t="s">
        <v>116</v>
      </c>
      <c r="K11" s="1441">
        <v>0.05</v>
      </c>
      <c r="M11" t="s">
        <v>4059</v>
      </c>
      <c r="N11" s="1441">
        <v>0</v>
      </c>
    </row>
    <row r="12" spans="1:14">
      <c r="A12" s="1448">
        <v>11</v>
      </c>
      <c r="B12" s="1448">
        <v>81</v>
      </c>
      <c r="D12" t="s">
        <v>4056</v>
      </c>
      <c r="E12" s="1073">
        <v>1</v>
      </c>
      <c r="G12" t="s">
        <v>116</v>
      </c>
      <c r="H12" s="946">
        <v>0.05</v>
      </c>
      <c r="J12" t="s">
        <v>4056</v>
      </c>
      <c r="K12" s="1073">
        <v>2</v>
      </c>
      <c r="M12" t="s">
        <v>116</v>
      </c>
      <c r="N12" s="946">
        <v>0.05</v>
      </c>
    </row>
    <row r="13" spans="1:14">
      <c r="A13" s="1448">
        <v>19</v>
      </c>
      <c r="B13" s="1448">
        <v>75</v>
      </c>
      <c r="G13" t="s">
        <v>4056</v>
      </c>
      <c r="H13" s="1073">
        <v>1</v>
      </c>
      <c r="M13" t="s">
        <v>4056</v>
      </c>
      <c r="N13" s="1073">
        <v>2</v>
      </c>
    </row>
    <row r="14" spans="1:14">
      <c r="A14" s="1448">
        <v>14</v>
      </c>
      <c r="B14" s="1448">
        <v>68</v>
      </c>
      <c r="D14" t="s">
        <v>3329</v>
      </c>
      <c r="E14" s="1441">
        <f>E5</f>
        <v>-0.71343017438658085</v>
      </c>
      <c r="J14" t="s">
        <v>3329</v>
      </c>
      <c r="K14" s="1441">
        <f>K5</f>
        <v>-0.71343017438658085</v>
      </c>
    </row>
    <row r="15" spans="1:14">
      <c r="A15" s="1448">
        <v>35</v>
      </c>
      <c r="B15" s="1448">
        <v>72</v>
      </c>
      <c r="D15" t="s">
        <v>1469</v>
      </c>
      <c r="E15" s="946" t="e">
        <f ca="1">E14/E16</f>
        <v>#NAME?</v>
      </c>
      <c r="G15" t="s">
        <v>3329</v>
      </c>
      <c r="H15" s="1441">
        <f>E5</f>
        <v>-0.71343017438658085</v>
      </c>
      <c r="J15" t="s">
        <v>1469</v>
      </c>
      <c r="K15" s="946" t="e">
        <f ca="1">K14/K16</f>
        <v>#NAME?</v>
      </c>
      <c r="M15" t="s">
        <v>3329</v>
      </c>
      <c r="N15" s="1441">
        <f>K5</f>
        <v>-0.71343017438658085</v>
      </c>
    </row>
    <row r="16" spans="1:14">
      <c r="A16" s="1448">
        <v>29</v>
      </c>
      <c r="B16" s="1448">
        <v>58</v>
      </c>
      <c r="D16" t="e">
        <f t="array" aca="1" ref="D16:E19" ca="1">[1]!CorrelTTest(A4:A18,B4:B18,E11,TRUE,E12)</f>
        <v>#NAME?</v>
      </c>
      <c r="E16" s="946" t="e">
        <f ca="1"/>
        <v>#NAME?</v>
      </c>
      <c r="G16" t="s">
        <v>1469</v>
      </c>
      <c r="H16" s="946" t="e">
        <f ca="1">1/SQRT([1]!CountPairs(A4:A18,B4:B18,FALSE)-1)</f>
        <v>#NAME?</v>
      </c>
      <c r="J16" t="e">
        <f t="array" aca="1" ref="J16:K19" ca="1">[1]!CorrelTTest(A4:A18,B4:B18,K11,TRUE,K12)</f>
        <v>#NAME?</v>
      </c>
      <c r="K16" s="946" t="e">
        <f ca="1"/>
        <v>#NAME?</v>
      </c>
      <c r="M16" t="s">
        <v>1469</v>
      </c>
      <c r="N16" s="946" t="e">
        <f ca="1">1/SQRT([1]!CountPairs(A4:A18,B4:B18,FALSE)-1)</f>
        <v>#NAME?</v>
      </c>
    </row>
    <row r="17" spans="1:14">
      <c r="A17" s="1448">
        <v>4</v>
      </c>
      <c r="B17" s="1448">
        <v>92</v>
      </c>
      <c r="D17" t="e">
        <f ca="1"/>
        <v>#NAME?</v>
      </c>
      <c r="E17" s="946" t="e">
        <f ca="1"/>
        <v>#NAME?</v>
      </c>
      <c r="G17" t="e">
        <f t="array" aca="1" ref="G17:H20" ca="1">[1]!CorrelTest(A4:A18,B4:B18,H11,H12,TRUE,E12)</f>
        <v>#NAME?</v>
      </c>
      <c r="H17" s="946" t="e">
        <f ca="1"/>
        <v>#NAME?</v>
      </c>
      <c r="J17" t="e">
        <f ca="1"/>
        <v>#NAME?</v>
      </c>
      <c r="K17" s="946" t="e">
        <f ca="1"/>
        <v>#NAME?</v>
      </c>
      <c r="M17" t="e">
        <f t="array" aca="1" ref="M17:N20" ca="1">[1]!CorrelTest(A4:A18,B4:B18,N11,N12,TRUE,K12)</f>
        <v>#NAME?</v>
      </c>
      <c r="N17" s="946" t="e">
        <f ca="1"/>
        <v>#NAME?</v>
      </c>
    </row>
    <row r="18" spans="1:14">
      <c r="A18" s="1449">
        <v>23</v>
      </c>
      <c r="B18" s="1449">
        <v>65</v>
      </c>
      <c r="D18" t="e">
        <f ca="1"/>
        <v>#NAME?</v>
      </c>
      <c r="E18" s="946" t="e">
        <f ca="1"/>
        <v>#NAME?</v>
      </c>
      <c r="G18" t="e">
        <f ca="1"/>
        <v>#NAME?</v>
      </c>
      <c r="H18" s="946" t="e">
        <f ca="1"/>
        <v>#NAME?</v>
      </c>
      <c r="J18" t="e">
        <f ca="1"/>
        <v>#NAME?</v>
      </c>
      <c r="K18" s="946" t="e">
        <f ca="1"/>
        <v>#NAME?</v>
      </c>
      <c r="M18" t="e">
        <f ca="1"/>
        <v>#NAME?</v>
      </c>
      <c r="N18" s="946" t="e">
        <f ca="1"/>
        <v>#NAME?</v>
      </c>
    </row>
    <row r="19" spans="1:14">
      <c r="D19" t="e">
        <f ca="1"/>
        <v>#NAME?</v>
      </c>
      <c r="E19" s="1073" t="e">
        <f ca="1"/>
        <v>#NAME?</v>
      </c>
      <c r="G19" t="e">
        <f ca="1"/>
        <v>#NAME?</v>
      </c>
      <c r="H19" s="946" t="e">
        <f ca="1"/>
        <v>#NAME?</v>
      </c>
      <c r="J19" t="e">
        <f ca="1"/>
        <v>#NAME?</v>
      </c>
      <c r="K19" s="1073" t="e">
        <f ca="1"/>
        <v>#NAME?</v>
      </c>
      <c r="M19" t="e">
        <f ca="1"/>
        <v>#NAME?</v>
      </c>
      <c r="N19" s="946" t="e">
        <f ca="1"/>
        <v>#NAME?</v>
      </c>
    </row>
    <row r="20" spans="1:14">
      <c r="G20" t="e">
        <f ca="1"/>
        <v>#NAME?</v>
      </c>
      <c r="H20" s="1073" t="e">
        <f ca="1"/>
        <v>#NAME?</v>
      </c>
      <c r="M20" t="e">
        <f ca="1"/>
        <v>#NAME?</v>
      </c>
      <c r="N20" s="1073" t="e">
        <f ca="1"/>
        <v>#NAME?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sheetPr codeName="Sheet56"/>
  <dimension ref="A1:AF53"/>
  <sheetViews>
    <sheetView zoomScaleNormal="100" workbookViewId="0"/>
  </sheetViews>
  <sheetFormatPr defaultRowHeight="14.4"/>
  <cols>
    <col min="1" max="1" width="13.109375" style="25" customWidth="1"/>
    <col min="2" max="4" width="11.33203125" style="25" customWidth="1"/>
    <col min="5" max="5" width="13.109375" style="25" customWidth="1"/>
    <col min="6" max="7" width="11.33203125" style="25" customWidth="1"/>
    <col min="8" max="9" width="9.109375" style="25"/>
    <col min="10" max="10" width="10.33203125" style="25" customWidth="1"/>
    <col min="11" max="17" width="9.109375" style="25"/>
    <col min="18" max="18" width="8.33203125" style="25" customWidth="1"/>
    <col min="19" max="19" width="10.109375" style="25" customWidth="1"/>
    <col min="20" max="20" width="5.109375" style="25" customWidth="1"/>
    <col min="21" max="21" width="22.33203125" style="25" customWidth="1"/>
    <col min="22" max="24" width="9.109375" style="25"/>
    <col min="25" max="25" width="9.109375" style="25" customWidth="1"/>
    <col min="26" max="26" width="3.33203125" style="25" customWidth="1"/>
    <col min="27" max="27" width="28" style="25" customWidth="1"/>
    <col min="28" max="30" width="9.109375" style="25"/>
    <col min="31" max="31" width="3.33203125" style="25" customWidth="1"/>
    <col min="32" max="32" width="17.33203125" style="25" customWidth="1"/>
    <col min="33" max="249" width="9.109375" style="25"/>
    <col min="250" max="250" width="15" style="25" customWidth="1"/>
    <col min="251" max="259" width="11.33203125" style="25" customWidth="1"/>
    <col min="260" max="505" width="9.109375" style="25"/>
    <col min="506" max="506" width="15" style="25" customWidth="1"/>
    <col min="507" max="515" width="11.33203125" style="25" customWidth="1"/>
    <col min="516" max="761" width="9.109375" style="25"/>
    <col min="762" max="762" width="15" style="25" customWidth="1"/>
    <col min="763" max="771" width="11.33203125" style="25" customWidth="1"/>
    <col min="772" max="1017" width="9.109375" style="25"/>
    <col min="1018" max="1018" width="15" style="25" customWidth="1"/>
    <col min="1019" max="1027" width="11.33203125" style="25" customWidth="1"/>
    <col min="1028" max="1273" width="9.109375" style="25"/>
    <col min="1274" max="1274" width="15" style="25" customWidth="1"/>
    <col min="1275" max="1283" width="11.33203125" style="25" customWidth="1"/>
    <col min="1284" max="1529" width="9.109375" style="25"/>
    <col min="1530" max="1530" width="15" style="25" customWidth="1"/>
    <col min="1531" max="1539" width="11.33203125" style="25" customWidth="1"/>
    <col min="1540" max="1785" width="9.109375" style="25"/>
    <col min="1786" max="1786" width="15" style="25" customWidth="1"/>
    <col min="1787" max="1795" width="11.33203125" style="25" customWidth="1"/>
    <col min="1796" max="2041" width="9.109375" style="25"/>
    <col min="2042" max="2042" width="15" style="25" customWidth="1"/>
    <col min="2043" max="2051" width="11.33203125" style="25" customWidth="1"/>
    <col min="2052" max="2297" width="9.109375" style="25"/>
    <col min="2298" max="2298" width="15" style="25" customWidth="1"/>
    <col min="2299" max="2307" width="11.33203125" style="25" customWidth="1"/>
    <col min="2308" max="2553" width="9.109375" style="25"/>
    <col min="2554" max="2554" width="15" style="25" customWidth="1"/>
    <col min="2555" max="2563" width="11.33203125" style="25" customWidth="1"/>
    <col min="2564" max="2809" width="9.109375" style="25"/>
    <col min="2810" max="2810" width="15" style="25" customWidth="1"/>
    <col min="2811" max="2819" width="11.33203125" style="25" customWidth="1"/>
    <col min="2820" max="3065" width="9.109375" style="25"/>
    <col min="3066" max="3066" width="15" style="25" customWidth="1"/>
    <col min="3067" max="3075" width="11.33203125" style="25" customWidth="1"/>
    <col min="3076" max="3321" width="9.109375" style="25"/>
    <col min="3322" max="3322" width="15" style="25" customWidth="1"/>
    <col min="3323" max="3331" width="11.33203125" style="25" customWidth="1"/>
    <col min="3332" max="3577" width="9.109375" style="25"/>
    <col min="3578" max="3578" width="15" style="25" customWidth="1"/>
    <col min="3579" max="3587" width="11.33203125" style="25" customWidth="1"/>
    <col min="3588" max="3833" width="9.109375" style="25"/>
    <col min="3834" max="3834" width="15" style="25" customWidth="1"/>
    <col min="3835" max="3843" width="11.33203125" style="25" customWidth="1"/>
    <col min="3844" max="4089" width="9.109375" style="25"/>
    <col min="4090" max="4090" width="15" style="25" customWidth="1"/>
    <col min="4091" max="4099" width="11.33203125" style="25" customWidth="1"/>
    <col min="4100" max="4345" width="9.109375" style="25"/>
    <col min="4346" max="4346" width="15" style="25" customWidth="1"/>
    <col min="4347" max="4355" width="11.33203125" style="25" customWidth="1"/>
    <col min="4356" max="4601" width="9.109375" style="25"/>
    <col min="4602" max="4602" width="15" style="25" customWidth="1"/>
    <col min="4603" max="4611" width="11.33203125" style="25" customWidth="1"/>
    <col min="4612" max="4857" width="9.109375" style="25"/>
    <col min="4858" max="4858" width="15" style="25" customWidth="1"/>
    <col min="4859" max="4867" width="11.33203125" style="25" customWidth="1"/>
    <col min="4868" max="5113" width="9.109375" style="25"/>
    <col min="5114" max="5114" width="15" style="25" customWidth="1"/>
    <col min="5115" max="5123" width="11.33203125" style="25" customWidth="1"/>
    <col min="5124" max="5369" width="9.109375" style="25"/>
    <col min="5370" max="5370" width="15" style="25" customWidth="1"/>
    <col min="5371" max="5379" width="11.33203125" style="25" customWidth="1"/>
    <col min="5380" max="5625" width="9.109375" style="25"/>
    <col min="5626" max="5626" width="15" style="25" customWidth="1"/>
    <col min="5627" max="5635" width="11.33203125" style="25" customWidth="1"/>
    <col min="5636" max="5881" width="9.109375" style="25"/>
    <col min="5882" max="5882" width="15" style="25" customWidth="1"/>
    <col min="5883" max="5891" width="11.33203125" style="25" customWidth="1"/>
    <col min="5892" max="6137" width="9.109375" style="25"/>
    <col min="6138" max="6138" width="15" style="25" customWidth="1"/>
    <col min="6139" max="6147" width="11.33203125" style="25" customWidth="1"/>
    <col min="6148" max="6393" width="9.109375" style="25"/>
    <col min="6394" max="6394" width="15" style="25" customWidth="1"/>
    <col min="6395" max="6403" width="11.33203125" style="25" customWidth="1"/>
    <col min="6404" max="6649" width="9.109375" style="25"/>
    <col min="6650" max="6650" width="15" style="25" customWidth="1"/>
    <col min="6651" max="6659" width="11.33203125" style="25" customWidth="1"/>
    <col min="6660" max="6905" width="9.109375" style="25"/>
    <col min="6906" max="6906" width="15" style="25" customWidth="1"/>
    <col min="6907" max="6915" width="11.33203125" style="25" customWidth="1"/>
    <col min="6916" max="7161" width="9.109375" style="25"/>
    <col min="7162" max="7162" width="15" style="25" customWidth="1"/>
    <col min="7163" max="7171" width="11.33203125" style="25" customWidth="1"/>
    <col min="7172" max="7417" width="9.109375" style="25"/>
    <col min="7418" max="7418" width="15" style="25" customWidth="1"/>
    <col min="7419" max="7427" width="11.33203125" style="25" customWidth="1"/>
    <col min="7428" max="7673" width="9.109375" style="25"/>
    <col min="7674" max="7674" width="15" style="25" customWidth="1"/>
    <col min="7675" max="7683" width="11.33203125" style="25" customWidth="1"/>
    <col min="7684" max="7929" width="9.109375" style="25"/>
    <col min="7930" max="7930" width="15" style="25" customWidth="1"/>
    <col min="7931" max="7939" width="11.33203125" style="25" customWidth="1"/>
    <col min="7940" max="8185" width="9.109375" style="25"/>
    <col min="8186" max="8186" width="15" style="25" customWidth="1"/>
    <col min="8187" max="8195" width="11.33203125" style="25" customWidth="1"/>
    <col min="8196" max="8441" width="9.109375" style="25"/>
    <col min="8442" max="8442" width="15" style="25" customWidth="1"/>
    <col min="8443" max="8451" width="11.33203125" style="25" customWidth="1"/>
    <col min="8452" max="8697" width="9.109375" style="25"/>
    <col min="8698" max="8698" width="15" style="25" customWidth="1"/>
    <col min="8699" max="8707" width="11.33203125" style="25" customWidth="1"/>
    <col min="8708" max="8953" width="9.109375" style="25"/>
    <col min="8954" max="8954" width="15" style="25" customWidth="1"/>
    <col min="8955" max="8963" width="11.33203125" style="25" customWidth="1"/>
    <col min="8964" max="9209" width="9.109375" style="25"/>
    <col min="9210" max="9210" width="15" style="25" customWidth="1"/>
    <col min="9211" max="9219" width="11.33203125" style="25" customWidth="1"/>
    <col min="9220" max="9465" width="9.109375" style="25"/>
    <col min="9466" max="9466" width="15" style="25" customWidth="1"/>
    <col min="9467" max="9475" width="11.33203125" style="25" customWidth="1"/>
    <col min="9476" max="9721" width="9.109375" style="25"/>
    <col min="9722" max="9722" width="15" style="25" customWidth="1"/>
    <col min="9723" max="9731" width="11.33203125" style="25" customWidth="1"/>
    <col min="9732" max="9977" width="9.109375" style="25"/>
    <col min="9978" max="9978" width="15" style="25" customWidth="1"/>
    <col min="9979" max="9987" width="11.33203125" style="25" customWidth="1"/>
    <col min="9988" max="10233" width="9.109375" style="25"/>
    <col min="10234" max="10234" width="15" style="25" customWidth="1"/>
    <col min="10235" max="10243" width="11.33203125" style="25" customWidth="1"/>
    <col min="10244" max="10489" width="9.109375" style="25"/>
    <col min="10490" max="10490" width="15" style="25" customWidth="1"/>
    <col min="10491" max="10499" width="11.33203125" style="25" customWidth="1"/>
    <col min="10500" max="10745" width="9.109375" style="25"/>
    <col min="10746" max="10746" width="15" style="25" customWidth="1"/>
    <col min="10747" max="10755" width="11.33203125" style="25" customWidth="1"/>
    <col min="10756" max="11001" width="9.109375" style="25"/>
    <col min="11002" max="11002" width="15" style="25" customWidth="1"/>
    <col min="11003" max="11011" width="11.33203125" style="25" customWidth="1"/>
    <col min="11012" max="11257" width="9.109375" style="25"/>
    <col min="11258" max="11258" width="15" style="25" customWidth="1"/>
    <col min="11259" max="11267" width="11.33203125" style="25" customWidth="1"/>
    <col min="11268" max="11513" width="9.109375" style="25"/>
    <col min="11514" max="11514" width="15" style="25" customWidth="1"/>
    <col min="11515" max="11523" width="11.33203125" style="25" customWidth="1"/>
    <col min="11524" max="11769" width="9.109375" style="25"/>
    <col min="11770" max="11770" width="15" style="25" customWidth="1"/>
    <col min="11771" max="11779" width="11.33203125" style="25" customWidth="1"/>
    <col min="11780" max="12025" width="9.109375" style="25"/>
    <col min="12026" max="12026" width="15" style="25" customWidth="1"/>
    <col min="12027" max="12035" width="11.33203125" style="25" customWidth="1"/>
    <col min="12036" max="12281" width="9.109375" style="25"/>
    <col min="12282" max="12282" width="15" style="25" customWidth="1"/>
    <col min="12283" max="12291" width="11.33203125" style="25" customWidth="1"/>
    <col min="12292" max="12537" width="9.109375" style="25"/>
    <col min="12538" max="12538" width="15" style="25" customWidth="1"/>
    <col min="12539" max="12547" width="11.33203125" style="25" customWidth="1"/>
    <col min="12548" max="12793" width="9.109375" style="25"/>
    <col min="12794" max="12794" width="15" style="25" customWidth="1"/>
    <col min="12795" max="12803" width="11.33203125" style="25" customWidth="1"/>
    <col min="12804" max="13049" width="9.109375" style="25"/>
    <col min="13050" max="13050" width="15" style="25" customWidth="1"/>
    <col min="13051" max="13059" width="11.33203125" style="25" customWidth="1"/>
    <col min="13060" max="13305" width="9.109375" style="25"/>
    <col min="13306" max="13306" width="15" style="25" customWidth="1"/>
    <col min="13307" max="13315" width="11.33203125" style="25" customWidth="1"/>
    <col min="13316" max="13561" width="9.109375" style="25"/>
    <col min="13562" max="13562" width="15" style="25" customWidth="1"/>
    <col min="13563" max="13571" width="11.33203125" style="25" customWidth="1"/>
    <col min="13572" max="13817" width="9.109375" style="25"/>
    <col min="13818" max="13818" width="15" style="25" customWidth="1"/>
    <col min="13819" max="13827" width="11.33203125" style="25" customWidth="1"/>
    <col min="13828" max="14073" width="9.109375" style="25"/>
    <col min="14074" max="14074" width="15" style="25" customWidth="1"/>
    <col min="14075" max="14083" width="11.33203125" style="25" customWidth="1"/>
    <col min="14084" max="14329" width="9.109375" style="25"/>
    <col min="14330" max="14330" width="15" style="25" customWidth="1"/>
    <col min="14331" max="14339" width="11.33203125" style="25" customWidth="1"/>
    <col min="14340" max="14585" width="9.109375" style="25"/>
    <col min="14586" max="14586" width="15" style="25" customWidth="1"/>
    <col min="14587" max="14595" width="11.33203125" style="25" customWidth="1"/>
    <col min="14596" max="14841" width="9.109375" style="25"/>
    <col min="14842" max="14842" width="15" style="25" customWidth="1"/>
    <col min="14843" max="14851" width="11.33203125" style="25" customWidth="1"/>
    <col min="14852" max="15097" width="9.109375" style="25"/>
    <col min="15098" max="15098" width="15" style="25" customWidth="1"/>
    <col min="15099" max="15107" width="11.33203125" style="25" customWidth="1"/>
    <col min="15108" max="15353" width="9.109375" style="25"/>
    <col min="15354" max="15354" width="15" style="25" customWidth="1"/>
    <col min="15355" max="15363" width="11.33203125" style="25" customWidth="1"/>
    <col min="15364" max="15609" width="9.109375" style="25"/>
    <col min="15610" max="15610" width="15" style="25" customWidth="1"/>
    <col min="15611" max="15619" width="11.33203125" style="25" customWidth="1"/>
    <col min="15620" max="15865" width="9.109375" style="25"/>
    <col min="15866" max="15866" width="15" style="25" customWidth="1"/>
    <col min="15867" max="15875" width="11.33203125" style="25" customWidth="1"/>
    <col min="15876" max="16121" width="9.109375" style="25"/>
    <col min="16122" max="16122" width="15" style="25" customWidth="1"/>
    <col min="16123" max="16131" width="11.33203125" style="25" customWidth="1"/>
    <col min="16132" max="16384" width="9.109375" style="25"/>
  </cols>
  <sheetData>
    <row r="1" spans="1:32">
      <c r="A1" s="161" t="s">
        <v>483</v>
      </c>
      <c r="B1" s="137"/>
      <c r="C1" s="137"/>
    </row>
    <row r="2" spans="1:32">
      <c r="A2" s="137"/>
      <c r="B2" s="137"/>
      <c r="C2" s="137"/>
    </row>
    <row r="3" spans="1:32">
      <c r="A3" s="138" t="s">
        <v>484</v>
      </c>
      <c r="B3" s="139" t="s">
        <v>416</v>
      </c>
      <c r="C3" s="139" t="s">
        <v>417</v>
      </c>
      <c r="E3" s="138" t="s">
        <v>484</v>
      </c>
      <c r="F3" s="139" t="s">
        <v>416</v>
      </c>
      <c r="G3" s="139" t="s">
        <v>417</v>
      </c>
      <c r="R3" s="25" t="s">
        <v>3987</v>
      </c>
      <c r="X3" s="172" t="s">
        <v>3985</v>
      </c>
      <c r="AC3" s="172" t="s">
        <v>497</v>
      </c>
    </row>
    <row r="4" spans="1:32">
      <c r="A4" s="137" t="s">
        <v>424</v>
      </c>
      <c r="B4" s="140">
        <v>15.7</v>
      </c>
      <c r="C4" s="141">
        <v>9</v>
      </c>
      <c r="E4" s="137" t="s">
        <v>449</v>
      </c>
      <c r="F4" s="140">
        <v>14.8</v>
      </c>
      <c r="G4" s="141">
        <v>5.8</v>
      </c>
    </row>
    <row r="5" spans="1:32">
      <c r="A5" s="137" t="s">
        <v>425</v>
      </c>
      <c r="B5" s="140">
        <v>8.4</v>
      </c>
      <c r="C5" s="141">
        <v>6.9</v>
      </c>
      <c r="E5" s="137" t="s">
        <v>450</v>
      </c>
      <c r="F5" s="140">
        <v>10.8</v>
      </c>
      <c r="G5" s="141">
        <v>5.6</v>
      </c>
      <c r="R5" s="174" t="s">
        <v>368</v>
      </c>
      <c r="S5" s="825">
        <f>CORREL(B4:B53,C4:C53)</f>
        <v>0.56442956793415189</v>
      </c>
      <c r="U5" s="25" t="e">
        <f ca="1">[1]!FTEXT(S5)</f>
        <v>#NAME?</v>
      </c>
      <c r="X5" s="492" t="s">
        <v>368</v>
      </c>
      <c r="Y5" s="1439">
        <f>S5</f>
        <v>0.56442956793415189</v>
      </c>
      <c r="Z5" s="174"/>
      <c r="AA5" s="174" t="e">
        <f ca="1">[1]!FTEXT(Y5)</f>
        <v>#NAME?</v>
      </c>
      <c r="AC5" s="172" t="s">
        <v>487</v>
      </c>
      <c r="AD5" s="825">
        <f>Y7</f>
        <v>0.63931001653968411</v>
      </c>
      <c r="AF5" s="25" t="e">
        <f ca="1">[1]!FTEXT(AD5)</f>
        <v>#NAME?</v>
      </c>
    </row>
    <row r="6" spans="1:32">
      <c r="A6" s="137" t="s">
        <v>426</v>
      </c>
      <c r="B6" s="140">
        <v>14.7</v>
      </c>
      <c r="C6" s="141">
        <v>6.4</v>
      </c>
      <c r="E6" s="137" t="s">
        <v>451</v>
      </c>
      <c r="F6" s="140">
        <v>11.3</v>
      </c>
      <c r="G6" s="141">
        <v>6.4</v>
      </c>
      <c r="R6" s="537" t="s">
        <v>485</v>
      </c>
      <c r="S6" s="826">
        <v>0</v>
      </c>
      <c r="X6" s="832" t="s">
        <v>485</v>
      </c>
      <c r="Y6" s="826">
        <f>S6</f>
        <v>0</v>
      </c>
      <c r="Z6" s="174"/>
      <c r="AA6" s="174" t="e">
        <f ca="1">[1]!FTEXT(Y6)</f>
        <v>#NAME?</v>
      </c>
      <c r="AC6" s="172" t="s">
        <v>491</v>
      </c>
      <c r="AD6" s="826">
        <f>Y14</f>
        <v>1.9599639845400536</v>
      </c>
      <c r="AF6" s="25" t="e">
        <f ca="1">[1]!FTEXT(AD6)</f>
        <v>#NAME?</v>
      </c>
    </row>
    <row r="7" spans="1:32" ht="15.6">
      <c r="A7" s="137" t="s">
        <v>427</v>
      </c>
      <c r="B7" s="140">
        <v>17.3</v>
      </c>
      <c r="C7" s="141">
        <v>8.5</v>
      </c>
      <c r="E7" s="137" t="s">
        <v>452</v>
      </c>
      <c r="F7" s="140">
        <v>7.6</v>
      </c>
      <c r="G7" s="141">
        <v>6.1</v>
      </c>
      <c r="R7" s="174" t="s">
        <v>106</v>
      </c>
      <c r="S7" s="826">
        <f>COUNT(B4:B53)</f>
        <v>50</v>
      </c>
      <c r="U7" s="25" t="e">
        <f ca="1">[1]!FTEXT(S7)</f>
        <v>#NAME?</v>
      </c>
      <c r="X7" s="833" t="s">
        <v>487</v>
      </c>
      <c r="Y7" s="826">
        <f>FISHER(Y5)</f>
        <v>0.63931001653968411</v>
      </c>
      <c r="Z7" s="174"/>
      <c r="AA7" s="174" t="e">
        <f ca="1">[1]!FTEXT(Y7)</f>
        <v>#NAME?</v>
      </c>
      <c r="AB7" s="174"/>
      <c r="AC7" s="175" t="s">
        <v>489</v>
      </c>
      <c r="AD7" s="827">
        <f>Y11</f>
        <v>0.14586499149789456</v>
      </c>
      <c r="AF7" s="25" t="e">
        <f ca="1">[1]!FTEXT(AD7)</f>
        <v>#NAME?</v>
      </c>
    </row>
    <row r="8" spans="1:32">
      <c r="A8" s="137" t="s">
        <v>428</v>
      </c>
      <c r="B8" s="140">
        <v>13.3</v>
      </c>
      <c r="C8" s="141">
        <v>5</v>
      </c>
      <c r="E8" s="137" t="s">
        <v>453</v>
      </c>
      <c r="F8" s="140">
        <v>8.6999999999999993</v>
      </c>
      <c r="G8" s="141">
        <v>5.5</v>
      </c>
      <c r="R8" s="174" t="s">
        <v>186</v>
      </c>
      <c r="S8" s="826">
        <f>S7-2</f>
        <v>48</v>
      </c>
      <c r="U8" s="25" t="e">
        <f ca="1">[1]!FTEXT(S8)</f>
        <v>#NAME?</v>
      </c>
      <c r="X8" s="832" t="s">
        <v>488</v>
      </c>
      <c r="Y8" s="827">
        <f>FISHER(Y6)</f>
        <v>0</v>
      </c>
      <c r="Z8" s="174"/>
      <c r="AA8" s="174" t="e">
        <f ca="1">[1]!FTEXT(Y8)</f>
        <v>#NAME?</v>
      </c>
      <c r="AF8" s="25" t="e">
        <f ca="1">[1]!FTEXT(AD8)</f>
        <v>#NAME?</v>
      </c>
    </row>
    <row r="9" spans="1:32" ht="15.6">
      <c r="A9" s="137" t="s">
        <v>429</v>
      </c>
      <c r="B9" s="140">
        <v>11.4</v>
      </c>
      <c r="C9" s="141">
        <v>5.7</v>
      </c>
      <c r="E9" s="137" t="s">
        <v>454</v>
      </c>
      <c r="F9" s="140">
        <v>17.100000000000001</v>
      </c>
      <c r="G9" s="141">
        <v>5.8</v>
      </c>
      <c r="R9" s="174" t="s">
        <v>397</v>
      </c>
      <c r="S9" s="826">
        <f>SQRT((1-S5^2)/S8)</f>
        <v>0.11914795274168466</v>
      </c>
      <c r="U9" s="25" t="e">
        <f ca="1">[1]!FTEXT(S9)</f>
        <v>#NAME?</v>
      </c>
      <c r="AA9" s="174" t="e">
        <f ca="1">[1]!FTEXT(Y9)</f>
        <v>#NAME?</v>
      </c>
      <c r="AC9" s="172" t="s">
        <v>492</v>
      </c>
      <c r="AD9" s="1439">
        <f>AD5-AD6*AD7</f>
        <v>0.35341988659856965</v>
      </c>
      <c r="AF9" s="25" t="e">
        <f ca="1">[1]!FTEXT(AD9)</f>
        <v>#NAME?</v>
      </c>
    </row>
    <row r="10" spans="1:32">
      <c r="A10" s="137" t="s">
        <v>430</v>
      </c>
      <c r="B10" s="140">
        <v>9.3000000000000007</v>
      </c>
      <c r="C10" s="141">
        <v>6.2</v>
      </c>
      <c r="E10" s="137" t="s">
        <v>455</v>
      </c>
      <c r="F10" s="140">
        <v>13.6</v>
      </c>
      <c r="G10" s="141">
        <v>5.6</v>
      </c>
      <c r="R10" s="174" t="s">
        <v>195</v>
      </c>
      <c r="S10" s="826">
        <f>(S5-S6)/S9</f>
        <v>4.7372158307902064</v>
      </c>
      <c r="U10" s="25" t="e">
        <f ca="1">[1]!FTEXT(S10)</f>
        <v>#NAME?</v>
      </c>
      <c r="X10" s="175" t="s">
        <v>106</v>
      </c>
      <c r="Y10" s="743">
        <f>S7</f>
        <v>50</v>
      </c>
      <c r="Z10" s="8"/>
      <c r="AA10" s="174" t="e">
        <f ca="1">[1]!FTEXT(Y10)</f>
        <v>#NAME?</v>
      </c>
      <c r="AB10" s="174"/>
      <c r="AC10" s="172" t="s">
        <v>493</v>
      </c>
      <c r="AD10" s="826">
        <f>AD5+AD6*AD7</f>
        <v>0.92520014648079862</v>
      </c>
      <c r="AF10" s="25" t="e">
        <f ca="1">[1]!FTEXT(AD10)</f>
        <v>#NAME?</v>
      </c>
    </row>
    <row r="11" spans="1:32" ht="15.6">
      <c r="A11" s="137" t="s">
        <v>431</v>
      </c>
      <c r="B11" s="149">
        <v>10</v>
      </c>
      <c r="C11" s="141">
        <v>8.3000000000000007</v>
      </c>
      <c r="E11" s="137" t="s">
        <v>456</v>
      </c>
      <c r="F11" s="140">
        <v>14.6</v>
      </c>
      <c r="G11" s="141">
        <v>8.1</v>
      </c>
      <c r="R11" s="174" t="s">
        <v>157</v>
      </c>
      <c r="S11" s="826">
        <v>0.05</v>
      </c>
      <c r="X11" s="175" t="s">
        <v>489</v>
      </c>
      <c r="Y11" s="627">
        <f>1/SQRT(Y10-3)</f>
        <v>0.14586499149789456</v>
      </c>
      <c r="Z11" s="8"/>
      <c r="AA11" s="174" t="e">
        <f ca="1">[1]!FTEXT(Y11)</f>
        <v>#NAME?</v>
      </c>
      <c r="AB11" s="174"/>
      <c r="AC11" s="172" t="s">
        <v>494</v>
      </c>
      <c r="AD11" s="826">
        <f>FISHERINV(AD9)</f>
        <v>0.33940497910297668</v>
      </c>
      <c r="AF11" s="25" t="e">
        <f ca="1">[1]!FTEXT(AD11)</f>
        <v>#NAME?</v>
      </c>
    </row>
    <row r="12" spans="1:32">
      <c r="A12" s="137" t="s">
        <v>432</v>
      </c>
      <c r="B12" s="140">
        <v>13.2</v>
      </c>
      <c r="C12" s="141">
        <v>7.3</v>
      </c>
      <c r="E12" s="137" t="s">
        <v>457</v>
      </c>
      <c r="F12" s="150">
        <v>12</v>
      </c>
      <c r="G12" s="141">
        <v>5.8</v>
      </c>
      <c r="R12" s="174" t="s">
        <v>201</v>
      </c>
      <c r="S12" s="826">
        <f>TINV(S11,S8)</f>
        <v>2.0106347576242314</v>
      </c>
      <c r="U12" s="1182" t="s">
        <v>3992</v>
      </c>
      <c r="X12" s="174" t="s">
        <v>127</v>
      </c>
      <c r="Y12" s="826">
        <f>(Y7-Y8)/Y11</f>
        <v>4.3828886559727529</v>
      </c>
      <c r="Z12" s="174"/>
      <c r="AA12" s="174" t="e">
        <f ca="1">[1]!FTEXT(Y12)</f>
        <v>#NAME?</v>
      </c>
      <c r="AB12" s="174"/>
      <c r="AC12" s="172" t="s">
        <v>495</v>
      </c>
      <c r="AD12" s="827">
        <f>FISHERINV(AD10)</f>
        <v>0.72834819023803221</v>
      </c>
      <c r="AF12" s="25" t="e">
        <f ca="1">[1]!FTEXT(AD12)</f>
        <v>#NAME?</v>
      </c>
    </row>
    <row r="13" spans="1:32">
      <c r="A13" s="137" t="s">
        <v>433</v>
      </c>
      <c r="B13" s="140">
        <v>14.7</v>
      </c>
      <c r="C13" s="141">
        <v>8.1</v>
      </c>
      <c r="E13" s="137" t="s">
        <v>458</v>
      </c>
      <c r="F13" s="140">
        <v>13.4</v>
      </c>
      <c r="G13" s="141">
        <v>7.8</v>
      </c>
      <c r="R13" s="174" t="s">
        <v>200</v>
      </c>
      <c r="S13" s="826">
        <f>TDIST(S10,S8,2)</f>
        <v>1.960732728695657E-5</v>
      </c>
      <c r="U13" s="1182" t="s">
        <v>3991</v>
      </c>
      <c r="X13" s="174" t="s">
        <v>157</v>
      </c>
      <c r="Y13" s="826">
        <v>0.05</v>
      </c>
      <c r="Z13" s="174"/>
      <c r="AA13" s="174"/>
      <c r="AB13" s="174"/>
      <c r="AC13" s="174"/>
    </row>
    <row r="14" spans="1:32">
      <c r="A14" s="137" t="s">
        <v>434</v>
      </c>
      <c r="B14" s="140">
        <v>9.1</v>
      </c>
      <c r="C14" s="141">
        <v>5.6</v>
      </c>
      <c r="E14" s="137" t="s">
        <v>459</v>
      </c>
      <c r="F14" s="140">
        <v>15.9</v>
      </c>
      <c r="G14" s="141">
        <v>8</v>
      </c>
      <c r="R14" s="174" t="s">
        <v>948</v>
      </c>
      <c r="S14" s="831" t="str">
        <f>IF(S13&lt;S11,"yes","no")</f>
        <v>yes</v>
      </c>
      <c r="U14" s="25" t="e">
        <f ca="1">[1]!FTEXT(S14)</f>
        <v>#NAME?</v>
      </c>
      <c r="X14" s="174" t="s">
        <v>491</v>
      </c>
      <c r="Y14" s="826">
        <f>NORMSINV(1-Y13/2)</f>
        <v>1.9599639845400536</v>
      </c>
      <c r="Z14" s="174"/>
      <c r="AA14" s="1440" t="s">
        <v>3984</v>
      </c>
      <c r="AB14" s="174"/>
      <c r="AC14" s="174"/>
    </row>
    <row r="15" spans="1:32">
      <c r="A15" s="137" t="s">
        <v>435</v>
      </c>
      <c r="B15" s="140">
        <v>12.6</v>
      </c>
      <c r="C15" s="141">
        <v>6.8</v>
      </c>
      <c r="E15" s="137" t="s">
        <v>460</v>
      </c>
      <c r="F15" s="140">
        <v>13.6</v>
      </c>
      <c r="G15" s="141">
        <v>5.5</v>
      </c>
      <c r="R15" s="172" t="s">
        <v>103</v>
      </c>
      <c r="S15" s="1439">
        <f>S5-S12*S9</f>
        <v>0.32486655285195137</v>
      </c>
      <c r="U15" s="25" t="e">
        <f ca="1">[1]!FTEXT(S15)</f>
        <v>#NAME?</v>
      </c>
      <c r="X15" s="174" t="s">
        <v>200</v>
      </c>
      <c r="Y15" s="826">
        <f>2*(1-NORMSDIST(Y12))</f>
        <v>1.1711597685204467E-5</v>
      </c>
      <c r="Z15" s="174"/>
      <c r="AA15" s="1440" t="s">
        <v>3983</v>
      </c>
      <c r="AB15" s="174"/>
      <c r="AC15" s="174"/>
    </row>
    <row r="16" spans="1:32">
      <c r="A16" s="137" t="s">
        <v>436</v>
      </c>
      <c r="B16" s="140">
        <v>12.2</v>
      </c>
      <c r="C16" s="141">
        <v>7.3</v>
      </c>
      <c r="E16" s="137" t="s">
        <v>461</v>
      </c>
      <c r="F16" s="140">
        <v>12.1</v>
      </c>
      <c r="G16" s="141">
        <v>7.6</v>
      </c>
      <c r="R16" s="172" t="s">
        <v>104</v>
      </c>
      <c r="S16" s="827">
        <f>S5+S12*S9</f>
        <v>0.80399258301635235</v>
      </c>
      <c r="U16" s="25" t="e">
        <f ca="1">[1]!FTEXT(S16)</f>
        <v>#NAME?</v>
      </c>
      <c r="X16" s="174" t="s">
        <v>948</v>
      </c>
      <c r="Y16" s="831" t="str">
        <f>IF(Y15&lt;Y13,"yes","no")</f>
        <v>yes</v>
      </c>
      <c r="Z16" s="918"/>
      <c r="AA16" s="174" t="e">
        <f ca="1">[1]!FTEXT(Y16)</f>
        <v>#NAME?</v>
      </c>
      <c r="AB16" s="174"/>
      <c r="AC16" s="174"/>
    </row>
    <row r="17" spans="1:29">
      <c r="A17" s="137" t="s">
        <v>437</v>
      </c>
      <c r="B17" s="140">
        <v>13.1</v>
      </c>
      <c r="C17" s="141">
        <v>8</v>
      </c>
      <c r="E17" s="137" t="s">
        <v>462</v>
      </c>
      <c r="F17" s="140">
        <v>11.7</v>
      </c>
      <c r="G17" s="141">
        <v>6.1</v>
      </c>
      <c r="AA17" s="174" t="e">
        <f ca="1">[1]!FTEXT(Y17)</f>
        <v>#NAME?</v>
      </c>
      <c r="AB17" s="174"/>
      <c r="AC17" s="174"/>
    </row>
    <row r="18" spans="1:29">
      <c r="A18" s="137" t="s">
        <v>438</v>
      </c>
      <c r="B18" s="140">
        <v>11.5</v>
      </c>
      <c r="C18" s="141">
        <v>5.0999999999999996</v>
      </c>
      <c r="E18" s="137" t="s">
        <v>463</v>
      </c>
      <c r="F18" s="140">
        <v>15.7</v>
      </c>
      <c r="G18" s="141">
        <v>8.4</v>
      </c>
      <c r="R18" s="25" t="s">
        <v>3986</v>
      </c>
      <c r="X18" s="172" t="s">
        <v>3988</v>
      </c>
      <c r="AB18" s="174"/>
      <c r="AC18" s="174"/>
    </row>
    <row r="19" spans="1:29">
      <c r="A19" s="137" t="s">
        <v>439</v>
      </c>
      <c r="B19" s="140">
        <v>11.3</v>
      </c>
      <c r="C19" s="141">
        <v>7.1</v>
      </c>
      <c r="E19" s="137" t="s">
        <v>464</v>
      </c>
      <c r="F19" s="140">
        <v>12.5</v>
      </c>
      <c r="G19" s="141">
        <v>6.9</v>
      </c>
      <c r="AB19" s="174"/>
      <c r="AC19" s="174"/>
    </row>
    <row r="20" spans="1:29">
      <c r="A20" s="137" t="s">
        <v>440</v>
      </c>
      <c r="B20" s="140">
        <v>17.3</v>
      </c>
      <c r="C20" s="141">
        <v>7.5</v>
      </c>
      <c r="E20" s="137" t="s">
        <v>465</v>
      </c>
      <c r="F20" s="140">
        <v>15.5</v>
      </c>
      <c r="G20" s="141">
        <v>8.6999999999999993</v>
      </c>
      <c r="R20" s="174" t="s">
        <v>368</v>
      </c>
      <c r="S20" s="825">
        <f>CORREL(B4:B53,C4:C53)</f>
        <v>0.56442956793415189</v>
      </c>
      <c r="U20" s="25" t="e">
        <f ca="1">[1]!FTEXT(S20)</f>
        <v>#NAME?</v>
      </c>
      <c r="X20" s="492" t="s">
        <v>368</v>
      </c>
      <c r="Y20" s="1439">
        <f>S20</f>
        <v>0.56442956793415189</v>
      </c>
      <c r="Z20" s="174"/>
      <c r="AA20" s="174" t="e">
        <f ca="1">[1]!FTEXT(Y20)</f>
        <v>#NAME?</v>
      </c>
      <c r="AB20" s="174"/>
      <c r="AC20" s="174"/>
    </row>
    <row r="21" spans="1:29">
      <c r="A21" s="137" t="s">
        <v>441</v>
      </c>
      <c r="B21" s="140">
        <v>17.3</v>
      </c>
      <c r="C21" s="141">
        <v>9.9</v>
      </c>
      <c r="E21" s="137" t="s">
        <v>466</v>
      </c>
      <c r="F21" s="140">
        <v>15.8</v>
      </c>
      <c r="G21" s="141">
        <v>6.2</v>
      </c>
      <c r="R21" s="537" t="s">
        <v>485</v>
      </c>
      <c r="S21" s="826">
        <v>0</v>
      </c>
      <c r="X21" s="832" t="s">
        <v>485</v>
      </c>
      <c r="Y21" s="826">
        <f>S21</f>
        <v>0</v>
      </c>
      <c r="Z21" s="174"/>
      <c r="AA21" s="174" t="e">
        <f ca="1">[1]!FTEXT(Y21)</f>
        <v>#NAME?</v>
      </c>
      <c r="AB21" s="174"/>
      <c r="AC21" s="174"/>
    </row>
    <row r="22" spans="1:29">
      <c r="A22" s="137" t="s">
        <v>442</v>
      </c>
      <c r="B22" s="140">
        <v>12.3</v>
      </c>
      <c r="C22" s="141">
        <v>6.3</v>
      </c>
      <c r="E22" s="137" t="s">
        <v>467</v>
      </c>
      <c r="F22" s="140">
        <v>9.6</v>
      </c>
      <c r="G22" s="141">
        <v>5.0999999999999996</v>
      </c>
      <c r="R22" s="174" t="s">
        <v>106</v>
      </c>
      <c r="S22" s="826">
        <f>COUNT(B4:B53)</f>
        <v>50</v>
      </c>
      <c r="U22" s="25" t="e">
        <f ca="1">[1]!FTEXT(S22)</f>
        <v>#NAME?</v>
      </c>
      <c r="X22" s="833" t="s">
        <v>487</v>
      </c>
      <c r="Y22" s="826">
        <f>FISHER(Y20)</f>
        <v>0.63931001653968411</v>
      </c>
      <c r="Z22" s="174"/>
      <c r="AA22" s="174" t="e">
        <f ca="1">[1]!FTEXT(Y22)</f>
        <v>#NAME?</v>
      </c>
      <c r="AB22" s="174"/>
      <c r="AC22" s="174"/>
    </row>
    <row r="23" spans="1:29">
      <c r="A23" s="137" t="s">
        <v>443</v>
      </c>
      <c r="B23" s="140">
        <v>8.1</v>
      </c>
      <c r="C23" s="141">
        <v>8</v>
      </c>
      <c r="E23" s="137" t="s">
        <v>468</v>
      </c>
      <c r="F23" s="140">
        <v>10.6</v>
      </c>
      <c r="G23" s="141">
        <v>5.5</v>
      </c>
      <c r="R23" s="174" t="s">
        <v>186</v>
      </c>
      <c r="S23" s="826">
        <f>S22-2</f>
        <v>48</v>
      </c>
      <c r="U23" s="25" t="e">
        <f ca="1">[1]!FTEXT(S23)</f>
        <v>#NAME?</v>
      </c>
      <c r="X23" s="832" t="s">
        <v>488</v>
      </c>
      <c r="Y23" s="827">
        <f>FISHER(Y21)</f>
        <v>0</v>
      </c>
      <c r="Z23" s="174"/>
      <c r="AA23" s="174" t="e">
        <f ca="1">[1]!FTEXT(Y23)</f>
        <v>#NAME?</v>
      </c>
      <c r="AB23" s="174"/>
      <c r="AC23" s="174"/>
    </row>
    <row r="24" spans="1:29" ht="15.6">
      <c r="A24" s="137" t="s">
        <v>444</v>
      </c>
      <c r="B24" s="149">
        <v>10</v>
      </c>
      <c r="C24" s="141">
        <v>4.8</v>
      </c>
      <c r="E24" s="137" t="s">
        <v>469</v>
      </c>
      <c r="F24" s="140">
        <v>10.199999999999999</v>
      </c>
      <c r="G24" s="141">
        <v>7.1</v>
      </c>
      <c r="R24" s="174" t="s">
        <v>397</v>
      </c>
      <c r="S24" s="826">
        <f>SQRT((1-S20^2)/S23)</f>
        <v>0.11914795274168466</v>
      </c>
      <c r="U24" s="25" t="e">
        <f ca="1">[1]!FTEXT(S24)</f>
        <v>#NAME?</v>
      </c>
      <c r="AA24" s="174" t="e">
        <f ca="1">[1]!FTEXT(Y24)</f>
        <v>#NAME?</v>
      </c>
      <c r="AB24" s="174"/>
      <c r="AC24" s="174"/>
    </row>
    <row r="25" spans="1:29">
      <c r="A25" s="137" t="s">
        <v>445</v>
      </c>
      <c r="B25" s="140">
        <v>14.4</v>
      </c>
      <c r="C25" s="141">
        <v>7.4</v>
      </c>
      <c r="E25" s="137" t="s">
        <v>470</v>
      </c>
      <c r="F25" s="140">
        <v>11.3</v>
      </c>
      <c r="G25" s="141">
        <v>4.7</v>
      </c>
      <c r="R25" s="174" t="s">
        <v>195</v>
      </c>
      <c r="S25" s="826">
        <f>(S20-S21)/S24</f>
        <v>4.7372158307902064</v>
      </c>
      <c r="U25" s="25" t="e">
        <f ca="1">[1]!FTEXT(S25)</f>
        <v>#NAME?</v>
      </c>
      <c r="X25" s="175" t="s">
        <v>106</v>
      </c>
      <c r="Y25" s="743">
        <f>S22</f>
        <v>50</v>
      </c>
      <c r="Z25" s="8"/>
      <c r="AA25" s="174" t="e">
        <f ca="1">[1]!FTEXT(Y25)</f>
        <v>#NAME?</v>
      </c>
      <c r="AB25" s="174"/>
      <c r="AC25" s="174"/>
    </row>
    <row r="26" spans="1:29" ht="15.6">
      <c r="A26" s="137" t="s">
        <v>446</v>
      </c>
      <c r="B26" s="140">
        <v>9.6</v>
      </c>
      <c r="C26" s="141">
        <v>5.2</v>
      </c>
      <c r="E26" s="137" t="s">
        <v>471</v>
      </c>
      <c r="F26" s="150">
        <v>17</v>
      </c>
      <c r="G26" s="141">
        <v>7.4</v>
      </c>
      <c r="R26" s="174" t="s">
        <v>157</v>
      </c>
      <c r="S26" s="826">
        <v>0.05</v>
      </c>
      <c r="X26" s="175" t="s">
        <v>489</v>
      </c>
      <c r="Y26" s="627">
        <f>1/SQRT(Y25-3)</f>
        <v>0.14586499149789456</v>
      </c>
      <c r="Z26" s="8"/>
      <c r="AA26" s="174" t="e">
        <f ca="1">[1]!FTEXT(Y26)</f>
        <v>#NAME?</v>
      </c>
      <c r="AB26" s="174"/>
      <c r="AC26" s="174"/>
    </row>
    <row r="27" spans="1:29">
      <c r="A27" s="137" t="s">
        <v>447</v>
      </c>
      <c r="B27" s="140">
        <v>21.2</v>
      </c>
      <c r="C27" s="141">
        <v>10.6</v>
      </c>
      <c r="E27" s="137" t="s">
        <v>472</v>
      </c>
      <c r="F27" s="140">
        <v>10.4</v>
      </c>
      <c r="G27" s="141">
        <v>6.4</v>
      </c>
      <c r="R27" s="174" t="s">
        <v>201</v>
      </c>
      <c r="S27" s="826">
        <f>TINV(2*S26,S23)</f>
        <v>1.6772241961243386</v>
      </c>
      <c r="U27" s="1182" t="s">
        <v>3989</v>
      </c>
      <c r="X27" s="174" t="s">
        <v>127</v>
      </c>
      <c r="Y27" s="826">
        <f>(Y22-Y23)/Y26</f>
        <v>4.3828886559727529</v>
      </c>
      <c r="Z27" s="174"/>
      <c r="AA27" s="174" t="e">
        <f ca="1">[1]!FTEXT(Y27)</f>
        <v>#NAME?</v>
      </c>
      <c r="AB27" s="174"/>
      <c r="AC27" s="174"/>
    </row>
    <row r="28" spans="1:29">
      <c r="A28" s="151" t="s">
        <v>448</v>
      </c>
      <c r="B28" s="152">
        <v>13.4</v>
      </c>
      <c r="C28" s="153">
        <v>7.4</v>
      </c>
      <c r="E28" s="151" t="s">
        <v>473</v>
      </c>
      <c r="F28" s="152">
        <v>9.4</v>
      </c>
      <c r="G28" s="153">
        <v>7</v>
      </c>
      <c r="R28" s="174" t="s">
        <v>200</v>
      </c>
      <c r="S28" s="826">
        <f>TDIST(S25,S23,1)</f>
        <v>9.803663643478285E-6</v>
      </c>
      <c r="U28" s="1182" t="s">
        <v>3990</v>
      </c>
      <c r="X28" s="174" t="s">
        <v>157</v>
      </c>
      <c r="Y28" s="826">
        <v>0.05</v>
      </c>
      <c r="Z28" s="174"/>
      <c r="AA28" s="174"/>
      <c r="AB28" s="174"/>
      <c r="AC28" s="174"/>
    </row>
    <row r="29" spans="1:29">
      <c r="A29" s="137" t="s">
        <v>449</v>
      </c>
      <c r="B29" s="140">
        <v>14.8</v>
      </c>
      <c r="C29" s="141">
        <v>5.8</v>
      </c>
      <c r="R29" s="174" t="s">
        <v>948</v>
      </c>
      <c r="S29" s="831" t="str">
        <f>IF(S28&lt;S26,"yes","no")</f>
        <v>yes</v>
      </c>
      <c r="U29" s="25" t="e">
        <f ca="1">[1]!FTEXT(S29)</f>
        <v>#NAME?</v>
      </c>
      <c r="X29" s="174" t="s">
        <v>491</v>
      </c>
      <c r="Y29" s="826">
        <f>NORMSINV(1-Y28)</f>
        <v>1.6448536269514715</v>
      </c>
      <c r="Z29" s="174"/>
      <c r="AA29" s="1440" t="s">
        <v>3993</v>
      </c>
      <c r="AB29" s="174"/>
      <c r="AC29" s="174"/>
    </row>
    <row r="30" spans="1:29">
      <c r="A30" s="137" t="s">
        <v>450</v>
      </c>
      <c r="B30" s="140">
        <v>10.8</v>
      </c>
      <c r="C30" s="141">
        <v>5.6</v>
      </c>
      <c r="X30" s="174" t="s">
        <v>200</v>
      </c>
      <c r="Y30" s="826">
        <f>1-NORMSDIST(Y27)</f>
        <v>5.8557988426022334E-6</v>
      </c>
      <c r="Z30" s="174"/>
      <c r="AA30" s="1440" t="s">
        <v>3994</v>
      </c>
      <c r="AB30" s="174"/>
      <c r="AC30" s="174"/>
    </row>
    <row r="31" spans="1:29">
      <c r="A31" s="137" t="s">
        <v>451</v>
      </c>
      <c r="B31" s="140">
        <v>11.3</v>
      </c>
      <c r="C31" s="141">
        <v>6.4</v>
      </c>
      <c r="E31" s="137" t="s">
        <v>474</v>
      </c>
      <c r="X31" s="174" t="s">
        <v>948</v>
      </c>
      <c r="Y31" s="831" t="str">
        <f>IF(Y30&lt;Y28,"yes","no")</f>
        <v>yes</v>
      </c>
      <c r="Z31" s="918"/>
      <c r="AA31" s="174" t="e">
        <f ca="1">[1]!FTEXT(Y31)</f>
        <v>#NAME?</v>
      </c>
      <c r="AB31" s="174"/>
      <c r="AC31" s="174"/>
    </row>
    <row r="32" spans="1:29">
      <c r="A32" s="137" t="s">
        <v>452</v>
      </c>
      <c r="B32" s="140">
        <v>7.6</v>
      </c>
      <c r="C32" s="141">
        <v>6.1</v>
      </c>
      <c r="E32" s="137" t="s">
        <v>475</v>
      </c>
      <c r="AB32" s="174"/>
      <c r="AC32" s="174"/>
    </row>
    <row r="33" spans="1:29">
      <c r="A33" s="137" t="s">
        <v>453</v>
      </c>
      <c r="B33" s="140">
        <v>8.6999999999999993</v>
      </c>
      <c r="C33" s="141">
        <v>5.5</v>
      </c>
      <c r="AB33" s="174"/>
      <c r="AC33" s="174"/>
    </row>
    <row r="34" spans="1:29">
      <c r="A34" s="137" t="s">
        <v>454</v>
      </c>
      <c r="B34" s="140">
        <v>17.100000000000001</v>
      </c>
      <c r="C34" s="141">
        <v>5.8</v>
      </c>
      <c r="AB34" s="174"/>
      <c r="AC34" s="174"/>
    </row>
    <row r="35" spans="1:29">
      <c r="A35" s="137" t="s">
        <v>455</v>
      </c>
      <c r="B35" s="140">
        <v>13.6</v>
      </c>
      <c r="C35" s="141">
        <v>5.6</v>
      </c>
      <c r="AB35" s="174"/>
      <c r="AC35" s="174"/>
    </row>
    <row r="36" spans="1:29">
      <c r="A36" s="137" t="s">
        <v>456</v>
      </c>
      <c r="B36" s="140">
        <v>14.6</v>
      </c>
      <c r="C36" s="141">
        <v>8.1</v>
      </c>
      <c r="AB36" s="174"/>
      <c r="AC36" s="174"/>
    </row>
    <row r="37" spans="1:29">
      <c r="A37" s="137" t="s">
        <v>457</v>
      </c>
      <c r="B37" s="150">
        <v>12</v>
      </c>
      <c r="C37" s="141">
        <v>5.8</v>
      </c>
    </row>
    <row r="38" spans="1:29">
      <c r="A38" s="137" t="s">
        <v>458</v>
      </c>
      <c r="B38" s="140">
        <v>13.4</v>
      </c>
      <c r="C38" s="141">
        <v>7.8</v>
      </c>
    </row>
    <row r="39" spans="1:29">
      <c r="A39" s="137" t="s">
        <v>459</v>
      </c>
      <c r="B39" s="140">
        <v>15.9</v>
      </c>
      <c r="C39" s="141">
        <v>8</v>
      </c>
    </row>
    <row r="40" spans="1:29">
      <c r="A40" s="137" t="s">
        <v>460</v>
      </c>
      <c r="B40" s="140">
        <v>13.6</v>
      </c>
      <c r="C40" s="141">
        <v>5.5</v>
      </c>
    </row>
    <row r="41" spans="1:29">
      <c r="A41" s="137" t="s">
        <v>461</v>
      </c>
      <c r="B41" s="140">
        <v>12.1</v>
      </c>
      <c r="C41" s="141">
        <v>7.6</v>
      </c>
    </row>
    <row r="42" spans="1:29">
      <c r="A42" s="137" t="s">
        <v>462</v>
      </c>
      <c r="B42" s="140">
        <v>11.7</v>
      </c>
      <c r="C42" s="141">
        <v>6.1</v>
      </c>
    </row>
    <row r="43" spans="1:29">
      <c r="A43" s="137" t="s">
        <v>463</v>
      </c>
      <c r="B43" s="140">
        <v>15.7</v>
      </c>
      <c r="C43" s="141">
        <v>8.4</v>
      </c>
    </row>
    <row r="44" spans="1:29">
      <c r="A44" s="137" t="s">
        <v>464</v>
      </c>
      <c r="B44" s="140">
        <v>12.5</v>
      </c>
      <c r="C44" s="141">
        <v>6.9</v>
      </c>
    </row>
    <row r="45" spans="1:29">
      <c r="A45" s="137" t="s">
        <v>465</v>
      </c>
      <c r="B45" s="140">
        <v>15.5</v>
      </c>
      <c r="C45" s="141">
        <v>8.6999999999999993</v>
      </c>
    </row>
    <row r="46" spans="1:29">
      <c r="A46" s="137" t="s">
        <v>466</v>
      </c>
      <c r="B46" s="140">
        <v>15.8</v>
      </c>
      <c r="C46" s="141">
        <v>6.2</v>
      </c>
    </row>
    <row r="47" spans="1:29">
      <c r="A47" s="137" t="s">
        <v>467</v>
      </c>
      <c r="B47" s="140">
        <v>9.6</v>
      </c>
      <c r="C47" s="141">
        <v>5.0999999999999996</v>
      </c>
    </row>
    <row r="48" spans="1:29">
      <c r="A48" s="137" t="s">
        <v>468</v>
      </c>
      <c r="B48" s="140">
        <v>10.6</v>
      </c>
      <c r="C48" s="141">
        <v>5.5</v>
      </c>
    </row>
    <row r="49" spans="1:3">
      <c r="A49" s="137" t="s">
        <v>469</v>
      </c>
      <c r="B49" s="140">
        <v>10.199999999999999</v>
      </c>
      <c r="C49" s="141">
        <v>7.1</v>
      </c>
    </row>
    <row r="50" spans="1:3">
      <c r="A50" s="137" t="s">
        <v>470</v>
      </c>
      <c r="B50" s="140">
        <v>11.3</v>
      </c>
      <c r="C50" s="141">
        <v>4.7</v>
      </c>
    </row>
    <row r="51" spans="1:3">
      <c r="A51" s="137" t="s">
        <v>471</v>
      </c>
      <c r="B51" s="150">
        <v>17</v>
      </c>
      <c r="C51" s="141">
        <v>7.4</v>
      </c>
    </row>
    <row r="52" spans="1:3">
      <c r="A52" s="137" t="s">
        <v>472</v>
      </c>
      <c r="B52" s="140">
        <v>10.4</v>
      </c>
      <c r="C52" s="141">
        <v>6.4</v>
      </c>
    </row>
    <row r="53" spans="1:3">
      <c r="A53" s="151" t="s">
        <v>473</v>
      </c>
      <c r="B53" s="152">
        <v>9.4</v>
      </c>
      <c r="C53" s="153">
        <v>7</v>
      </c>
    </row>
  </sheetData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sheetPr codeName="Sheet354"/>
  <dimension ref="A1:D27"/>
  <sheetViews>
    <sheetView workbookViewId="0"/>
  </sheetViews>
  <sheetFormatPr defaultRowHeight="14.4"/>
  <cols>
    <col min="3" max="3" width="3.109375" customWidth="1"/>
    <col min="4" max="4" width="25.33203125" customWidth="1"/>
  </cols>
  <sheetData>
    <row r="1" spans="1:4">
      <c r="A1" s="1" t="s">
        <v>4003</v>
      </c>
    </row>
    <row r="2" spans="1:4">
      <c r="A2" s="1"/>
    </row>
    <row r="3" spans="1:4">
      <c r="A3" s="1"/>
      <c r="B3" t="s">
        <v>1806</v>
      </c>
    </row>
    <row r="5" spans="1:4">
      <c r="A5" s="174" t="s">
        <v>368</v>
      </c>
      <c r="B5" s="743">
        <v>0.19700000000000001</v>
      </c>
    </row>
    <row r="6" spans="1:4">
      <c r="A6" s="537" t="s">
        <v>485</v>
      </c>
      <c r="B6" s="826">
        <v>0</v>
      </c>
    </row>
    <row r="7" spans="1:4">
      <c r="A7" s="174" t="s">
        <v>106</v>
      </c>
      <c r="B7" s="627">
        <v>100</v>
      </c>
    </row>
    <row r="8" spans="1:4">
      <c r="A8" s="174" t="s">
        <v>186</v>
      </c>
      <c r="B8" s="627">
        <f>B7-2</f>
        <v>98</v>
      </c>
      <c r="D8" t="e">
        <f ca="1">[1]!FTEXT(B8)</f>
        <v>#NAME?</v>
      </c>
    </row>
    <row r="9" spans="1:4" ht="15.6">
      <c r="A9" s="174" t="s">
        <v>397</v>
      </c>
      <c r="B9" s="627">
        <f>SQRT((1-B5^2)/B8)</f>
        <v>9.9035707846066454E-2</v>
      </c>
      <c r="D9" t="e">
        <f ca="1">[1]!FTEXT(B9)</f>
        <v>#NAME?</v>
      </c>
    </row>
    <row r="10" spans="1:4">
      <c r="A10" s="174" t="s">
        <v>195</v>
      </c>
      <c r="B10" s="627">
        <f>B5/B9</f>
        <v>1.9891815213377559</v>
      </c>
      <c r="D10" t="e">
        <f ca="1">[1]!FTEXT(B10)</f>
        <v>#NAME?</v>
      </c>
    </row>
    <row r="11" spans="1:4">
      <c r="A11" s="174" t="s">
        <v>157</v>
      </c>
      <c r="B11" s="627">
        <v>0.05</v>
      </c>
    </row>
    <row r="12" spans="1:4">
      <c r="A12" s="174" t="s">
        <v>201</v>
      </c>
      <c r="B12" s="627">
        <f>TINV(B11,B8)</f>
        <v>1.9844674545084788</v>
      </c>
      <c r="D12" s="23" t="s">
        <v>4004</v>
      </c>
    </row>
    <row r="13" spans="1:4">
      <c r="A13" s="174" t="s">
        <v>200</v>
      </c>
      <c r="B13" s="826">
        <f>TDIST(ABS(B10),B8,2)</f>
        <v>4.9468766956677193E-2</v>
      </c>
      <c r="D13" s="23" t="s">
        <v>4005</v>
      </c>
    </row>
    <row r="14" spans="1:4">
      <c r="A14" s="174" t="s">
        <v>948</v>
      </c>
      <c r="B14" s="831" t="str">
        <f>IF(B13&lt;B11,"yes","no")</f>
        <v>yes</v>
      </c>
      <c r="D14" t="e">
        <f ca="1">[1]!FTEXT(B14)</f>
        <v>#NAME?</v>
      </c>
    </row>
    <row r="16" spans="1:4">
      <c r="A16" s="1"/>
      <c r="B16" t="s">
        <v>1805</v>
      </c>
    </row>
    <row r="18" spans="1:4">
      <c r="A18" s="174" t="s">
        <v>368</v>
      </c>
      <c r="B18" s="743">
        <v>0.19700000000000001</v>
      </c>
    </row>
    <row r="19" spans="1:4">
      <c r="A19" s="537" t="s">
        <v>485</v>
      </c>
      <c r="B19" s="826">
        <v>0</v>
      </c>
    </row>
    <row r="20" spans="1:4">
      <c r="A20" s="174" t="s">
        <v>106</v>
      </c>
      <c r="B20" s="627">
        <v>100</v>
      </c>
    </row>
    <row r="21" spans="1:4">
      <c r="A21" s="174" t="s">
        <v>186</v>
      </c>
      <c r="B21" s="627">
        <f>B20-2</f>
        <v>98</v>
      </c>
      <c r="D21" t="e">
        <f ca="1">[1]!FTEXT(B21)</f>
        <v>#NAME?</v>
      </c>
    </row>
    <row r="22" spans="1:4" ht="15.6">
      <c r="A22" s="174" t="s">
        <v>397</v>
      </c>
      <c r="B22" s="627">
        <f>SQRT((1-B18^2)/B21)</f>
        <v>9.9035707846066454E-2</v>
      </c>
      <c r="D22" t="e">
        <f ca="1">[1]!FTEXT(B22)</f>
        <v>#NAME?</v>
      </c>
    </row>
    <row r="23" spans="1:4">
      <c r="A23" s="174" t="s">
        <v>195</v>
      </c>
      <c r="B23" s="627">
        <f>B18/B22</f>
        <v>1.9891815213377559</v>
      </c>
      <c r="D23" t="e">
        <f ca="1">[1]!FTEXT(B23)</f>
        <v>#NAME?</v>
      </c>
    </row>
    <row r="24" spans="1:4">
      <c r="A24" s="174" t="s">
        <v>157</v>
      </c>
      <c r="B24" s="627">
        <v>0.05</v>
      </c>
    </row>
    <row r="25" spans="1:4">
      <c r="A25" s="174" t="s">
        <v>201</v>
      </c>
      <c r="B25" s="627">
        <f>TINV(B24*2,B21)</f>
        <v>1.6605512170657302</v>
      </c>
      <c r="D25" s="23" t="s">
        <v>4006</v>
      </c>
    </row>
    <row r="26" spans="1:4">
      <c r="A26" s="174" t="s">
        <v>200</v>
      </c>
      <c r="B26" s="826">
        <f>TDIST(ABS(B23),B21,1)</f>
        <v>2.4734383478338597E-2</v>
      </c>
      <c r="D26" s="23" t="s">
        <v>4007</v>
      </c>
    </row>
    <row r="27" spans="1:4">
      <c r="A27" s="174" t="s">
        <v>948</v>
      </c>
      <c r="B27" s="831" t="str">
        <f>IF(B26&lt;B24,"yes","no")</f>
        <v>yes</v>
      </c>
      <c r="D27" t="e">
        <f ca="1">[1]!FTEXT(B27)</f>
        <v>#NAME?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sheetPr codeName="Sheet57"/>
  <dimension ref="A1:Z63"/>
  <sheetViews>
    <sheetView workbookViewId="0"/>
  </sheetViews>
  <sheetFormatPr defaultRowHeight="14.4"/>
  <cols>
    <col min="1" max="1" width="15" style="25" customWidth="1"/>
    <col min="2" max="10" width="11.33203125" style="25" customWidth="1"/>
    <col min="11" max="11" width="9.109375" style="25"/>
    <col min="12" max="21" width="12.6640625" style="25" customWidth="1"/>
    <col min="22" max="24" width="9.109375" style="25"/>
    <col min="25" max="25" width="4.88671875" style="25" customWidth="1"/>
    <col min="26" max="26" width="42.44140625" style="25" customWidth="1"/>
    <col min="27" max="256" width="9.109375" style="25"/>
    <col min="257" max="257" width="15" style="25" customWidth="1"/>
    <col min="258" max="266" width="11.33203125" style="25" customWidth="1"/>
    <col min="267" max="512" width="9.109375" style="25"/>
    <col min="513" max="513" width="15" style="25" customWidth="1"/>
    <col min="514" max="522" width="11.33203125" style="25" customWidth="1"/>
    <col min="523" max="768" width="9.109375" style="25"/>
    <col min="769" max="769" width="15" style="25" customWidth="1"/>
    <col min="770" max="778" width="11.33203125" style="25" customWidth="1"/>
    <col min="779" max="1024" width="9.109375" style="25"/>
    <col min="1025" max="1025" width="15" style="25" customWidth="1"/>
    <col min="1026" max="1034" width="11.33203125" style="25" customWidth="1"/>
    <col min="1035" max="1280" width="9.109375" style="25"/>
    <col min="1281" max="1281" width="15" style="25" customWidth="1"/>
    <col min="1282" max="1290" width="11.33203125" style="25" customWidth="1"/>
    <col min="1291" max="1536" width="9.109375" style="25"/>
    <col min="1537" max="1537" width="15" style="25" customWidth="1"/>
    <col min="1538" max="1546" width="11.33203125" style="25" customWidth="1"/>
    <col min="1547" max="1792" width="9.109375" style="25"/>
    <col min="1793" max="1793" width="15" style="25" customWidth="1"/>
    <col min="1794" max="1802" width="11.33203125" style="25" customWidth="1"/>
    <col min="1803" max="2048" width="9.109375" style="25"/>
    <col min="2049" max="2049" width="15" style="25" customWidth="1"/>
    <col min="2050" max="2058" width="11.33203125" style="25" customWidth="1"/>
    <col min="2059" max="2304" width="9.109375" style="25"/>
    <col min="2305" max="2305" width="15" style="25" customWidth="1"/>
    <col min="2306" max="2314" width="11.33203125" style="25" customWidth="1"/>
    <col min="2315" max="2560" width="9.109375" style="25"/>
    <col min="2561" max="2561" width="15" style="25" customWidth="1"/>
    <col min="2562" max="2570" width="11.33203125" style="25" customWidth="1"/>
    <col min="2571" max="2816" width="9.109375" style="25"/>
    <col min="2817" max="2817" width="15" style="25" customWidth="1"/>
    <col min="2818" max="2826" width="11.33203125" style="25" customWidth="1"/>
    <col min="2827" max="3072" width="9.109375" style="25"/>
    <col min="3073" max="3073" width="15" style="25" customWidth="1"/>
    <col min="3074" max="3082" width="11.33203125" style="25" customWidth="1"/>
    <col min="3083" max="3328" width="9.109375" style="25"/>
    <col min="3329" max="3329" width="15" style="25" customWidth="1"/>
    <col min="3330" max="3338" width="11.33203125" style="25" customWidth="1"/>
    <col min="3339" max="3584" width="9.109375" style="25"/>
    <col min="3585" max="3585" width="15" style="25" customWidth="1"/>
    <col min="3586" max="3594" width="11.33203125" style="25" customWidth="1"/>
    <col min="3595" max="3840" width="9.109375" style="25"/>
    <col min="3841" max="3841" width="15" style="25" customWidth="1"/>
    <col min="3842" max="3850" width="11.33203125" style="25" customWidth="1"/>
    <col min="3851" max="4096" width="9.109375" style="25"/>
    <col min="4097" max="4097" width="15" style="25" customWidth="1"/>
    <col min="4098" max="4106" width="11.33203125" style="25" customWidth="1"/>
    <col min="4107" max="4352" width="9.109375" style="25"/>
    <col min="4353" max="4353" width="15" style="25" customWidth="1"/>
    <col min="4354" max="4362" width="11.33203125" style="25" customWidth="1"/>
    <col min="4363" max="4608" width="9.109375" style="25"/>
    <col min="4609" max="4609" width="15" style="25" customWidth="1"/>
    <col min="4610" max="4618" width="11.33203125" style="25" customWidth="1"/>
    <col min="4619" max="4864" width="9.109375" style="25"/>
    <col min="4865" max="4865" width="15" style="25" customWidth="1"/>
    <col min="4866" max="4874" width="11.33203125" style="25" customWidth="1"/>
    <col min="4875" max="5120" width="9.109375" style="25"/>
    <col min="5121" max="5121" width="15" style="25" customWidth="1"/>
    <col min="5122" max="5130" width="11.33203125" style="25" customWidth="1"/>
    <col min="5131" max="5376" width="9.109375" style="25"/>
    <col min="5377" max="5377" width="15" style="25" customWidth="1"/>
    <col min="5378" max="5386" width="11.33203125" style="25" customWidth="1"/>
    <col min="5387" max="5632" width="9.109375" style="25"/>
    <col min="5633" max="5633" width="15" style="25" customWidth="1"/>
    <col min="5634" max="5642" width="11.33203125" style="25" customWidth="1"/>
    <col min="5643" max="5888" width="9.109375" style="25"/>
    <col min="5889" max="5889" width="15" style="25" customWidth="1"/>
    <col min="5890" max="5898" width="11.33203125" style="25" customWidth="1"/>
    <col min="5899" max="6144" width="9.109375" style="25"/>
    <col min="6145" max="6145" width="15" style="25" customWidth="1"/>
    <col min="6146" max="6154" width="11.33203125" style="25" customWidth="1"/>
    <col min="6155" max="6400" width="9.109375" style="25"/>
    <col min="6401" max="6401" width="15" style="25" customWidth="1"/>
    <col min="6402" max="6410" width="11.33203125" style="25" customWidth="1"/>
    <col min="6411" max="6656" width="9.109375" style="25"/>
    <col min="6657" max="6657" width="15" style="25" customWidth="1"/>
    <col min="6658" max="6666" width="11.33203125" style="25" customWidth="1"/>
    <col min="6667" max="6912" width="9.109375" style="25"/>
    <col min="6913" max="6913" width="15" style="25" customWidth="1"/>
    <col min="6914" max="6922" width="11.33203125" style="25" customWidth="1"/>
    <col min="6923" max="7168" width="9.109375" style="25"/>
    <col min="7169" max="7169" width="15" style="25" customWidth="1"/>
    <col min="7170" max="7178" width="11.33203125" style="25" customWidth="1"/>
    <col min="7179" max="7424" width="9.109375" style="25"/>
    <col min="7425" max="7425" width="15" style="25" customWidth="1"/>
    <col min="7426" max="7434" width="11.33203125" style="25" customWidth="1"/>
    <col min="7435" max="7680" width="9.109375" style="25"/>
    <col min="7681" max="7681" width="15" style="25" customWidth="1"/>
    <col min="7682" max="7690" width="11.33203125" style="25" customWidth="1"/>
    <col min="7691" max="7936" width="9.109375" style="25"/>
    <col min="7937" max="7937" width="15" style="25" customWidth="1"/>
    <col min="7938" max="7946" width="11.33203125" style="25" customWidth="1"/>
    <col min="7947" max="8192" width="9.109375" style="25"/>
    <col min="8193" max="8193" width="15" style="25" customWidth="1"/>
    <col min="8194" max="8202" width="11.33203125" style="25" customWidth="1"/>
    <col min="8203" max="8448" width="9.109375" style="25"/>
    <col min="8449" max="8449" width="15" style="25" customWidth="1"/>
    <col min="8450" max="8458" width="11.33203125" style="25" customWidth="1"/>
    <col min="8459" max="8704" width="9.109375" style="25"/>
    <col min="8705" max="8705" width="15" style="25" customWidth="1"/>
    <col min="8706" max="8714" width="11.33203125" style="25" customWidth="1"/>
    <col min="8715" max="8960" width="9.109375" style="25"/>
    <col min="8961" max="8961" width="15" style="25" customWidth="1"/>
    <col min="8962" max="8970" width="11.33203125" style="25" customWidth="1"/>
    <col min="8971" max="9216" width="9.109375" style="25"/>
    <col min="9217" max="9217" width="15" style="25" customWidth="1"/>
    <col min="9218" max="9226" width="11.33203125" style="25" customWidth="1"/>
    <col min="9227" max="9472" width="9.109375" style="25"/>
    <col min="9473" max="9473" width="15" style="25" customWidth="1"/>
    <col min="9474" max="9482" width="11.33203125" style="25" customWidth="1"/>
    <col min="9483" max="9728" width="9.109375" style="25"/>
    <col min="9729" max="9729" width="15" style="25" customWidth="1"/>
    <col min="9730" max="9738" width="11.33203125" style="25" customWidth="1"/>
    <col min="9739" max="9984" width="9.109375" style="25"/>
    <col min="9985" max="9985" width="15" style="25" customWidth="1"/>
    <col min="9986" max="9994" width="11.33203125" style="25" customWidth="1"/>
    <col min="9995" max="10240" width="9.109375" style="25"/>
    <col min="10241" max="10241" width="15" style="25" customWidth="1"/>
    <col min="10242" max="10250" width="11.33203125" style="25" customWidth="1"/>
    <col min="10251" max="10496" width="9.109375" style="25"/>
    <col min="10497" max="10497" width="15" style="25" customWidth="1"/>
    <col min="10498" max="10506" width="11.33203125" style="25" customWidth="1"/>
    <col min="10507" max="10752" width="9.109375" style="25"/>
    <col min="10753" max="10753" width="15" style="25" customWidth="1"/>
    <col min="10754" max="10762" width="11.33203125" style="25" customWidth="1"/>
    <col min="10763" max="11008" width="9.109375" style="25"/>
    <col min="11009" max="11009" width="15" style="25" customWidth="1"/>
    <col min="11010" max="11018" width="11.33203125" style="25" customWidth="1"/>
    <col min="11019" max="11264" width="9.109375" style="25"/>
    <col min="11265" max="11265" width="15" style="25" customWidth="1"/>
    <col min="11266" max="11274" width="11.33203125" style="25" customWidth="1"/>
    <col min="11275" max="11520" width="9.109375" style="25"/>
    <col min="11521" max="11521" width="15" style="25" customWidth="1"/>
    <col min="11522" max="11530" width="11.33203125" style="25" customWidth="1"/>
    <col min="11531" max="11776" width="9.109375" style="25"/>
    <col min="11777" max="11777" width="15" style="25" customWidth="1"/>
    <col min="11778" max="11786" width="11.33203125" style="25" customWidth="1"/>
    <col min="11787" max="12032" width="9.109375" style="25"/>
    <col min="12033" max="12033" width="15" style="25" customWidth="1"/>
    <col min="12034" max="12042" width="11.33203125" style="25" customWidth="1"/>
    <col min="12043" max="12288" width="9.109375" style="25"/>
    <col min="12289" max="12289" width="15" style="25" customWidth="1"/>
    <col min="12290" max="12298" width="11.33203125" style="25" customWidth="1"/>
    <col min="12299" max="12544" width="9.109375" style="25"/>
    <col min="12545" max="12545" width="15" style="25" customWidth="1"/>
    <col min="12546" max="12554" width="11.33203125" style="25" customWidth="1"/>
    <col min="12555" max="12800" width="9.109375" style="25"/>
    <col min="12801" max="12801" width="15" style="25" customWidth="1"/>
    <col min="12802" max="12810" width="11.33203125" style="25" customWidth="1"/>
    <col min="12811" max="13056" width="9.109375" style="25"/>
    <col min="13057" max="13057" width="15" style="25" customWidth="1"/>
    <col min="13058" max="13066" width="11.33203125" style="25" customWidth="1"/>
    <col min="13067" max="13312" width="9.109375" style="25"/>
    <col min="13313" max="13313" width="15" style="25" customWidth="1"/>
    <col min="13314" max="13322" width="11.33203125" style="25" customWidth="1"/>
    <col min="13323" max="13568" width="9.109375" style="25"/>
    <col min="13569" max="13569" width="15" style="25" customWidth="1"/>
    <col min="13570" max="13578" width="11.33203125" style="25" customWidth="1"/>
    <col min="13579" max="13824" width="9.109375" style="25"/>
    <col min="13825" max="13825" width="15" style="25" customWidth="1"/>
    <col min="13826" max="13834" width="11.33203125" style="25" customWidth="1"/>
    <col min="13835" max="14080" width="9.109375" style="25"/>
    <col min="14081" max="14081" width="15" style="25" customWidth="1"/>
    <col min="14082" max="14090" width="11.33203125" style="25" customWidth="1"/>
    <col min="14091" max="14336" width="9.109375" style="25"/>
    <col min="14337" max="14337" width="15" style="25" customWidth="1"/>
    <col min="14338" max="14346" width="11.33203125" style="25" customWidth="1"/>
    <col min="14347" max="14592" width="9.109375" style="25"/>
    <col min="14593" max="14593" width="15" style="25" customWidth="1"/>
    <col min="14594" max="14602" width="11.33203125" style="25" customWidth="1"/>
    <col min="14603" max="14848" width="9.109375" style="25"/>
    <col min="14849" max="14849" width="15" style="25" customWidth="1"/>
    <col min="14850" max="14858" width="11.33203125" style="25" customWidth="1"/>
    <col min="14859" max="15104" width="9.109375" style="25"/>
    <col min="15105" max="15105" width="15" style="25" customWidth="1"/>
    <col min="15106" max="15114" width="11.33203125" style="25" customWidth="1"/>
    <col min="15115" max="15360" width="9.109375" style="25"/>
    <col min="15361" max="15361" width="15" style="25" customWidth="1"/>
    <col min="15362" max="15370" width="11.33203125" style="25" customWidth="1"/>
    <col min="15371" max="15616" width="9.109375" style="25"/>
    <col min="15617" max="15617" width="15" style="25" customWidth="1"/>
    <col min="15618" max="15626" width="11.33203125" style="25" customWidth="1"/>
    <col min="15627" max="15872" width="9.109375" style="25"/>
    <col min="15873" max="15873" width="15" style="25" customWidth="1"/>
    <col min="15874" max="15882" width="11.33203125" style="25" customWidth="1"/>
    <col min="15883" max="16128" width="9.109375" style="25"/>
    <col min="16129" max="16129" width="15" style="25" customWidth="1"/>
    <col min="16130" max="16138" width="11.33203125" style="25" customWidth="1"/>
    <col min="16139" max="16384" width="9.109375" style="25"/>
  </cols>
  <sheetData>
    <row r="1" spans="1:21">
      <c r="A1" s="932" t="s">
        <v>4052</v>
      </c>
      <c r="B1" s="137"/>
      <c r="C1" s="137"/>
      <c r="D1" s="137"/>
      <c r="E1" s="137"/>
      <c r="F1" s="137"/>
      <c r="G1" s="137"/>
      <c r="H1" s="137"/>
      <c r="I1" s="137"/>
      <c r="J1" s="137"/>
      <c r="L1" s="1" t="s">
        <v>500</v>
      </c>
    </row>
    <row r="2" spans="1:21" ht="15" thickBot="1">
      <c r="A2" s="137"/>
      <c r="B2" s="137"/>
      <c r="C2" s="137"/>
      <c r="D2" s="137"/>
      <c r="E2" s="137"/>
      <c r="F2" s="137"/>
      <c r="G2" s="137"/>
      <c r="H2" s="137"/>
      <c r="I2" s="137"/>
      <c r="J2" s="137"/>
    </row>
    <row r="3" spans="1:21">
      <c r="A3" s="138"/>
      <c r="B3" s="139" t="s">
        <v>416</v>
      </c>
      <c r="C3" s="139" t="s">
        <v>417</v>
      </c>
      <c r="D3" s="139" t="s">
        <v>418</v>
      </c>
      <c r="E3" s="139" t="s">
        <v>419</v>
      </c>
      <c r="F3" s="139" t="s">
        <v>420</v>
      </c>
      <c r="G3" s="139" t="s">
        <v>421</v>
      </c>
      <c r="H3" s="139" t="s">
        <v>422</v>
      </c>
      <c r="I3" s="139" t="s">
        <v>423</v>
      </c>
      <c r="J3" s="139" t="s">
        <v>23</v>
      </c>
      <c r="L3" s="27"/>
      <c r="M3" s="27" t="s">
        <v>416</v>
      </c>
      <c r="N3" s="27" t="s">
        <v>417</v>
      </c>
      <c r="O3" s="27" t="s">
        <v>418</v>
      </c>
      <c r="P3" s="27" t="s">
        <v>419</v>
      </c>
      <c r="Q3" s="27" t="s">
        <v>420</v>
      </c>
      <c r="R3" s="27" t="s">
        <v>421</v>
      </c>
      <c r="S3" s="27" t="s">
        <v>422</v>
      </c>
      <c r="T3" s="27" t="s">
        <v>423</v>
      </c>
      <c r="U3" s="27" t="s">
        <v>23</v>
      </c>
    </row>
    <row r="4" spans="1:21">
      <c r="A4" s="137" t="s">
        <v>424</v>
      </c>
      <c r="B4" s="140">
        <v>15.7</v>
      </c>
      <c r="C4" s="141">
        <v>9</v>
      </c>
      <c r="D4" s="142">
        <v>71.027177760140717</v>
      </c>
      <c r="E4" s="143">
        <v>448</v>
      </c>
      <c r="F4" s="144">
        <v>218.17340830567619</v>
      </c>
      <c r="G4" s="145">
        <v>1.81</v>
      </c>
      <c r="H4" s="146">
        <v>22</v>
      </c>
      <c r="I4" s="147">
        <v>5</v>
      </c>
      <c r="J4" s="148">
        <v>42666</v>
      </c>
      <c r="L4" s="28" t="s">
        <v>416</v>
      </c>
      <c r="M4" s="28">
        <v>1</v>
      </c>
      <c r="N4" s="28"/>
      <c r="O4" s="28"/>
      <c r="P4" s="28"/>
      <c r="Q4" s="28"/>
      <c r="R4" s="28"/>
      <c r="S4" s="28"/>
      <c r="T4" s="28"/>
      <c r="U4" s="28"/>
    </row>
    <row r="5" spans="1:21">
      <c r="A5" s="137" t="s">
        <v>425</v>
      </c>
      <c r="B5" s="140">
        <v>8.4</v>
      </c>
      <c r="C5" s="141">
        <v>6.9</v>
      </c>
      <c r="D5" s="142">
        <v>70.62318863808899</v>
      </c>
      <c r="E5" s="143">
        <v>661.2</v>
      </c>
      <c r="F5" s="144">
        <v>228.45028196578826</v>
      </c>
      <c r="G5" s="145">
        <v>1.63</v>
      </c>
      <c r="H5" s="146">
        <v>27.3</v>
      </c>
      <c r="I5" s="147">
        <v>6.7</v>
      </c>
      <c r="J5" s="148">
        <v>68460</v>
      </c>
      <c r="L5" s="28" t="s">
        <v>417</v>
      </c>
      <c r="M5" s="28">
        <v>0.56442956793415189</v>
      </c>
      <c r="N5" s="28">
        <v>1</v>
      </c>
      <c r="O5" s="28"/>
      <c r="P5" s="28"/>
      <c r="Q5" s="28"/>
      <c r="R5" s="28"/>
      <c r="S5" s="28"/>
      <c r="T5" s="28"/>
      <c r="U5" s="28"/>
    </row>
    <row r="6" spans="1:21">
      <c r="A6" s="137" t="s">
        <v>426</v>
      </c>
      <c r="B6" s="140">
        <v>14.7</v>
      </c>
      <c r="C6" s="141">
        <v>6.4</v>
      </c>
      <c r="D6" s="142">
        <v>86.505696765320337</v>
      </c>
      <c r="E6" s="143">
        <v>482.7</v>
      </c>
      <c r="F6" s="144">
        <v>209.66657175716827</v>
      </c>
      <c r="G6" s="145">
        <v>1.69</v>
      </c>
      <c r="H6" s="146">
        <v>25.1</v>
      </c>
      <c r="I6" s="147">
        <v>5.5</v>
      </c>
      <c r="J6" s="148">
        <v>50958</v>
      </c>
      <c r="L6" s="28" t="s">
        <v>418</v>
      </c>
      <c r="M6" s="28">
        <v>-0.11201223108451733</v>
      </c>
      <c r="N6" s="28">
        <v>-0.38103654898499467</v>
      </c>
      <c r="O6" s="28">
        <v>1</v>
      </c>
      <c r="P6" s="28"/>
      <c r="Q6" s="28"/>
      <c r="R6" s="28"/>
      <c r="S6" s="28"/>
      <c r="T6" s="28"/>
      <c r="U6" s="28"/>
    </row>
    <row r="7" spans="1:21">
      <c r="A7" s="137" t="s">
        <v>427</v>
      </c>
      <c r="B7" s="140">
        <v>17.3</v>
      </c>
      <c r="C7" s="141">
        <v>8.5</v>
      </c>
      <c r="D7" s="142">
        <v>80.783955956979611</v>
      </c>
      <c r="E7" s="143">
        <v>529.4</v>
      </c>
      <c r="F7" s="144">
        <v>203.42285988234826</v>
      </c>
      <c r="G7" s="145">
        <v>1.96</v>
      </c>
      <c r="H7" s="146">
        <v>18.8</v>
      </c>
      <c r="I7" s="147">
        <v>5.0999999999999996</v>
      </c>
      <c r="J7" s="148">
        <v>38815</v>
      </c>
      <c r="L7" s="28" t="s">
        <v>419</v>
      </c>
      <c r="M7" s="28">
        <v>0.27519647039436679</v>
      </c>
      <c r="N7" s="28">
        <v>0.42831587479995126</v>
      </c>
      <c r="O7" s="28">
        <v>-0.42717030304972464</v>
      </c>
      <c r="P7" s="28">
        <v>1</v>
      </c>
      <c r="Q7" s="28"/>
      <c r="R7" s="28"/>
      <c r="S7" s="28"/>
      <c r="T7" s="28"/>
      <c r="U7" s="28"/>
    </row>
    <row r="8" spans="1:21">
      <c r="A8" s="137" t="s">
        <v>428</v>
      </c>
      <c r="B8" s="140">
        <v>13.3</v>
      </c>
      <c r="C8" s="141">
        <v>5</v>
      </c>
      <c r="D8" s="142">
        <v>76.640052174481781</v>
      </c>
      <c r="E8" s="143">
        <v>522.6</v>
      </c>
      <c r="F8" s="144">
        <v>268.69056049813605</v>
      </c>
      <c r="G8" s="145">
        <v>1.21</v>
      </c>
      <c r="H8" s="146">
        <v>29.6</v>
      </c>
      <c r="I8" s="147">
        <v>7.2</v>
      </c>
      <c r="J8" s="148">
        <v>61021</v>
      </c>
      <c r="L8" s="28" t="s">
        <v>420</v>
      </c>
      <c r="M8" s="28">
        <v>-0.42807390604496626</v>
      </c>
      <c r="N8" s="28">
        <v>-0.32668535092062179</v>
      </c>
      <c r="O8" s="28">
        <v>-0.12344449010758508</v>
      </c>
      <c r="P8" s="28">
        <v>-9.4309992092758102E-2</v>
      </c>
      <c r="Q8" s="28">
        <v>1</v>
      </c>
      <c r="R8" s="28"/>
      <c r="S8" s="28"/>
      <c r="T8" s="28"/>
      <c r="U8" s="28"/>
    </row>
    <row r="9" spans="1:21">
      <c r="A9" s="137" t="s">
        <v>429</v>
      </c>
      <c r="B9" s="140">
        <v>11.4</v>
      </c>
      <c r="C9" s="141">
        <v>5.7</v>
      </c>
      <c r="D9" s="142">
        <v>89.734092175332663</v>
      </c>
      <c r="E9" s="143">
        <v>347.8</v>
      </c>
      <c r="F9" s="144">
        <v>259.68608874672964</v>
      </c>
      <c r="G9" s="145">
        <v>1.1399999999999999</v>
      </c>
      <c r="H9" s="146">
        <v>35.6</v>
      </c>
      <c r="I9" s="147">
        <v>4.9000000000000004</v>
      </c>
      <c r="J9" s="148">
        <v>56993</v>
      </c>
      <c r="L9" s="28" t="s">
        <v>421</v>
      </c>
      <c r="M9" s="28">
        <v>0.67315714128028681</v>
      </c>
      <c r="N9" s="28">
        <v>0.56174989099258588</v>
      </c>
      <c r="O9" s="28">
        <v>-0.16302015035514089</v>
      </c>
      <c r="P9" s="28">
        <v>0.31396082331364705</v>
      </c>
      <c r="Q9" s="28">
        <v>-0.64105084072467378</v>
      </c>
      <c r="R9" s="28">
        <v>1</v>
      </c>
      <c r="S9" s="28"/>
      <c r="T9" s="28"/>
      <c r="U9" s="28"/>
    </row>
    <row r="10" spans="1:21">
      <c r="A10" s="137" t="s">
        <v>430</v>
      </c>
      <c r="B10" s="140">
        <v>9.3000000000000007</v>
      </c>
      <c r="C10" s="141">
        <v>6.2</v>
      </c>
      <c r="D10" s="142">
        <v>84.278652322083644</v>
      </c>
      <c r="E10" s="143">
        <v>256</v>
      </c>
      <c r="F10" s="144">
        <v>376.3752669155395</v>
      </c>
      <c r="G10" s="145">
        <v>0.86</v>
      </c>
      <c r="H10" s="146">
        <v>35.6</v>
      </c>
      <c r="I10" s="147">
        <v>5.7</v>
      </c>
      <c r="J10" s="148">
        <v>68595</v>
      </c>
      <c r="L10" s="28" t="s">
        <v>422</v>
      </c>
      <c r="M10" s="28">
        <v>-0.72669391983442233</v>
      </c>
      <c r="N10" s="28">
        <v>-0.58651965104648685</v>
      </c>
      <c r="O10" s="28">
        <v>-3.2974739910562817E-3</v>
      </c>
      <c r="P10" s="28">
        <v>-0.22034294933172602</v>
      </c>
      <c r="Q10" s="28">
        <v>0.71944569086930965</v>
      </c>
      <c r="R10" s="28">
        <v>-0.76304138783844011</v>
      </c>
      <c r="S10" s="28">
        <v>1</v>
      </c>
      <c r="T10" s="28"/>
      <c r="U10" s="28"/>
    </row>
    <row r="11" spans="1:21">
      <c r="A11" s="137" t="s">
        <v>431</v>
      </c>
      <c r="B11" s="149">
        <v>10</v>
      </c>
      <c r="C11" s="141">
        <v>8.3000000000000007</v>
      </c>
      <c r="D11" s="142">
        <v>74.266056727126113</v>
      </c>
      <c r="E11" s="143">
        <v>689.2</v>
      </c>
      <c r="F11" s="144">
        <v>250.94175668510928</v>
      </c>
      <c r="G11" s="145">
        <v>1.23</v>
      </c>
      <c r="H11" s="146">
        <v>27.5</v>
      </c>
      <c r="I11" s="147">
        <v>4.8</v>
      </c>
      <c r="J11" s="148">
        <v>57989</v>
      </c>
      <c r="L11" s="28" t="s">
        <v>423</v>
      </c>
      <c r="M11" s="28">
        <v>0.28086137771922659</v>
      </c>
      <c r="N11" s="28">
        <v>0.22751420770593997</v>
      </c>
      <c r="O11" s="28">
        <v>-0.17076406799329988</v>
      </c>
      <c r="P11" s="28">
        <v>0.38234958811009057</v>
      </c>
      <c r="Q11" s="28">
        <v>0.11553574384394459</v>
      </c>
      <c r="R11" s="28">
        <v>-5.8416747890808161E-2</v>
      </c>
      <c r="S11" s="28">
        <v>-9.0654877226415312E-2</v>
      </c>
      <c r="T11" s="28">
        <v>1</v>
      </c>
      <c r="U11" s="28"/>
    </row>
    <row r="12" spans="1:21" ht="15" thickBot="1">
      <c r="A12" s="137" t="s">
        <v>432</v>
      </c>
      <c r="B12" s="140">
        <v>13.2</v>
      </c>
      <c r="C12" s="141">
        <v>7.3</v>
      </c>
      <c r="D12" s="142">
        <v>79.811068541941054</v>
      </c>
      <c r="E12" s="143">
        <v>722.6</v>
      </c>
      <c r="F12" s="144">
        <v>247.86359820579941</v>
      </c>
      <c r="G12" s="145">
        <v>1.56</v>
      </c>
      <c r="H12" s="146">
        <v>25.8</v>
      </c>
      <c r="I12" s="147">
        <v>6.2</v>
      </c>
      <c r="J12" s="148">
        <v>47778</v>
      </c>
      <c r="L12" s="31" t="s">
        <v>23</v>
      </c>
      <c r="M12" s="31">
        <v>-0.83526552562725076</v>
      </c>
      <c r="N12" s="31">
        <v>-0.48858638078074607</v>
      </c>
      <c r="O12" s="31">
        <v>-0.23206497903518342</v>
      </c>
      <c r="P12" s="31">
        <v>-5.0423697212845189E-2</v>
      </c>
      <c r="Q12" s="31">
        <v>0.58744428288620398</v>
      </c>
      <c r="R12" s="31">
        <v>-0.67522985869544916</v>
      </c>
      <c r="S12" s="31">
        <v>0.82132308138791321</v>
      </c>
      <c r="T12" s="31">
        <v>-1.5547410778465694E-2</v>
      </c>
      <c r="U12" s="31">
        <v>1</v>
      </c>
    </row>
    <row r="13" spans="1:21">
      <c r="A13" s="137" t="s">
        <v>433</v>
      </c>
      <c r="B13" s="140">
        <v>14.7</v>
      </c>
      <c r="C13" s="141">
        <v>8.1</v>
      </c>
      <c r="D13" s="142">
        <v>65.387718279566343</v>
      </c>
      <c r="E13" s="143">
        <v>493.2</v>
      </c>
      <c r="F13" s="144">
        <v>217.44570184044454</v>
      </c>
      <c r="G13" s="145">
        <v>1.46</v>
      </c>
      <c r="H13" s="146">
        <v>27.5</v>
      </c>
      <c r="I13" s="147">
        <v>6.2</v>
      </c>
      <c r="J13" s="148">
        <v>50861</v>
      </c>
    </row>
    <row r="14" spans="1:21">
      <c r="A14" s="137" t="s">
        <v>434</v>
      </c>
      <c r="B14" s="140">
        <v>9.1</v>
      </c>
      <c r="C14" s="141">
        <v>5.6</v>
      </c>
      <c r="D14" s="142">
        <v>29.667333748383395</v>
      </c>
      <c r="E14" s="143">
        <v>272.8</v>
      </c>
      <c r="F14" s="144">
        <v>316.98289278791503</v>
      </c>
      <c r="G14" s="145">
        <v>1.33</v>
      </c>
      <c r="H14" s="146">
        <v>29.1</v>
      </c>
      <c r="I14" s="147">
        <v>3.9</v>
      </c>
      <c r="J14" s="148">
        <v>67214</v>
      </c>
    </row>
    <row r="15" spans="1:21">
      <c r="A15" s="137" t="s">
        <v>435</v>
      </c>
      <c r="B15" s="140">
        <v>12.6</v>
      </c>
      <c r="C15" s="141">
        <v>6.8</v>
      </c>
      <c r="D15" s="142">
        <v>94.600660447193093</v>
      </c>
      <c r="E15" s="143">
        <v>239.4</v>
      </c>
      <c r="F15" s="144">
        <v>168.83390313104681</v>
      </c>
      <c r="G15" s="145">
        <v>1.6</v>
      </c>
      <c r="H15" s="146">
        <v>24</v>
      </c>
      <c r="I15" s="147">
        <v>4.9000000000000004</v>
      </c>
      <c r="J15" s="148">
        <v>47576</v>
      </c>
      <c r="L15" s="1" t="s">
        <v>529</v>
      </c>
    </row>
    <row r="16" spans="1:21">
      <c r="A16" s="137" t="s">
        <v>436</v>
      </c>
      <c r="B16" s="140">
        <v>12.2</v>
      </c>
      <c r="C16" s="141">
        <v>7.3</v>
      </c>
      <c r="D16" s="142">
        <v>79.13310968601246</v>
      </c>
      <c r="E16" s="143">
        <v>533.20000000000005</v>
      </c>
      <c r="F16" s="144">
        <v>280.15386787687231</v>
      </c>
      <c r="G16" s="145">
        <v>1.1599999999999999</v>
      </c>
      <c r="H16" s="146">
        <v>29.9</v>
      </c>
      <c r="I16" s="147">
        <v>6.5</v>
      </c>
      <c r="J16" s="148">
        <v>56235</v>
      </c>
      <c r="M16"/>
      <c r="N16"/>
      <c r="O16"/>
      <c r="P16"/>
      <c r="S16"/>
    </row>
    <row r="17" spans="1:26" ht="16.8">
      <c r="A17" s="137" t="s">
        <v>437</v>
      </c>
      <c r="B17" s="140">
        <v>13.1</v>
      </c>
      <c r="C17" s="141">
        <v>8</v>
      </c>
      <c r="D17" s="142">
        <v>88.000000627274659</v>
      </c>
      <c r="E17" s="143">
        <v>333.6</v>
      </c>
      <c r="F17" s="144">
        <v>216.93969975987483</v>
      </c>
      <c r="G17" s="145">
        <v>1.26</v>
      </c>
      <c r="H17" s="146">
        <v>22.9</v>
      </c>
      <c r="I17" s="147">
        <v>5.9</v>
      </c>
      <c r="J17" s="148">
        <v>47966</v>
      </c>
      <c r="L17" t="s">
        <v>530</v>
      </c>
      <c r="M17" s="825">
        <f>N6</f>
        <v>-0.38103654898499467</v>
      </c>
      <c r="N17"/>
      <c r="O17" t="s">
        <v>533</v>
      </c>
      <c r="P17" s="743">
        <f>M17^2</f>
        <v>0.14518885166239423</v>
      </c>
    </row>
    <row r="18" spans="1:26" ht="16.8">
      <c r="A18" s="137" t="s">
        <v>438</v>
      </c>
      <c r="B18" s="140">
        <v>11.5</v>
      </c>
      <c r="C18" s="141">
        <v>5.0999999999999996</v>
      </c>
      <c r="D18" s="142">
        <v>94.170464820794294</v>
      </c>
      <c r="E18" s="143">
        <v>294.7</v>
      </c>
      <c r="F18" s="144">
        <v>189.28322428402873</v>
      </c>
      <c r="G18" s="145">
        <v>1.42</v>
      </c>
      <c r="H18" s="146">
        <v>24.3</v>
      </c>
      <c r="I18" s="147">
        <v>4.0999999999999996</v>
      </c>
      <c r="J18" s="148">
        <v>48980</v>
      </c>
      <c r="L18" t="s">
        <v>531</v>
      </c>
      <c r="M18" s="826">
        <f>M5</f>
        <v>0.56442956793415189</v>
      </c>
      <c r="N18"/>
      <c r="O18" t="s">
        <v>534</v>
      </c>
      <c r="P18" s="627">
        <f>M18^2</f>
        <v>0.3185807371583334</v>
      </c>
    </row>
    <row r="19" spans="1:26" ht="16.8">
      <c r="A19" s="137" t="s">
        <v>439</v>
      </c>
      <c r="B19" s="140">
        <v>11.3</v>
      </c>
      <c r="C19" s="141">
        <v>7.1</v>
      </c>
      <c r="D19" s="142">
        <v>88.703716524620162</v>
      </c>
      <c r="E19" s="143">
        <v>452.7</v>
      </c>
      <c r="F19" s="144">
        <v>222.54770859752097</v>
      </c>
      <c r="G19" s="145">
        <v>1.38</v>
      </c>
      <c r="H19" s="146">
        <v>29.6</v>
      </c>
      <c r="I19" s="147">
        <v>4.4000000000000004</v>
      </c>
      <c r="J19" s="148">
        <v>50177</v>
      </c>
      <c r="L19" t="s">
        <v>532</v>
      </c>
      <c r="M19" s="827">
        <f>M6</f>
        <v>-0.11201223108451733</v>
      </c>
      <c r="N19"/>
      <c r="O19" t="s">
        <v>538</v>
      </c>
      <c r="P19" s="544">
        <f>M19^2</f>
        <v>1.254673991253131E-2</v>
      </c>
      <c r="Q19"/>
    </row>
    <row r="20" spans="1:26">
      <c r="A20" s="137" t="s">
        <v>440</v>
      </c>
      <c r="B20" s="140">
        <v>17.3</v>
      </c>
      <c r="C20" s="141">
        <v>7.5</v>
      </c>
      <c r="D20" s="142">
        <v>89.904327345935869</v>
      </c>
      <c r="E20" s="143">
        <v>295</v>
      </c>
      <c r="F20" s="144">
        <v>232.34854500664258</v>
      </c>
      <c r="G20" s="145">
        <v>1.8</v>
      </c>
      <c r="H20" s="146">
        <v>19.7</v>
      </c>
      <c r="I20" s="147">
        <v>6.4</v>
      </c>
      <c r="J20" s="148">
        <v>41538</v>
      </c>
      <c r="L20"/>
      <c r="M20"/>
      <c r="N20"/>
      <c r="O20"/>
      <c r="P20"/>
    </row>
    <row r="21" spans="1:26" ht="16.8">
      <c r="A21" s="137" t="s">
        <v>441</v>
      </c>
      <c r="B21" s="140">
        <v>17.3</v>
      </c>
      <c r="C21" s="141">
        <v>9.9</v>
      </c>
      <c r="D21" s="142">
        <v>64.839543701408999</v>
      </c>
      <c r="E21" s="143">
        <v>729.5</v>
      </c>
      <c r="F21" s="144">
        <v>262.66146237060713</v>
      </c>
      <c r="G21" s="145">
        <v>2.17</v>
      </c>
      <c r="H21" s="146">
        <v>20.3</v>
      </c>
      <c r="I21" s="147">
        <v>4.5999999999999996</v>
      </c>
      <c r="J21" s="148">
        <v>43733</v>
      </c>
      <c r="L21" t="s">
        <v>537</v>
      </c>
      <c r="M21" s="828">
        <f>SQRT((M18^2+M19^2-2*M18*M19*M17)/(1-M17^2))</f>
        <v>0.57533049632077615</v>
      </c>
      <c r="O21" t="s">
        <v>536</v>
      </c>
      <c r="P21" s="828">
        <f>M21^2</f>
        <v>0.33100517999671064</v>
      </c>
    </row>
    <row r="22" spans="1:26">
      <c r="A22" s="137" t="s">
        <v>442</v>
      </c>
      <c r="B22" s="140">
        <v>12.3</v>
      </c>
      <c r="C22" s="141">
        <v>6.3</v>
      </c>
      <c r="D22" s="142">
        <v>96.389852756187835</v>
      </c>
      <c r="E22" s="143">
        <v>118</v>
      </c>
      <c r="F22" s="144">
        <v>278.39482802923527</v>
      </c>
      <c r="G22" s="145">
        <v>1.22</v>
      </c>
      <c r="H22" s="146">
        <v>25.4</v>
      </c>
      <c r="I22" s="147">
        <v>5.4</v>
      </c>
      <c r="J22" s="148">
        <v>46581</v>
      </c>
      <c r="L22"/>
      <c r="M22"/>
      <c r="N22"/>
      <c r="O22"/>
      <c r="P22"/>
      <c r="Q22"/>
    </row>
    <row r="23" spans="1:26">
      <c r="A23" s="137" t="s">
        <v>443</v>
      </c>
      <c r="B23" s="140">
        <v>8.1</v>
      </c>
      <c r="C23" s="141">
        <v>8</v>
      </c>
      <c r="D23" s="142">
        <v>63.398020838196281</v>
      </c>
      <c r="E23" s="143">
        <v>641.9</v>
      </c>
      <c r="F23" s="144">
        <v>421.43487540886565</v>
      </c>
      <c r="G23" s="145">
        <v>1.0900000000000001</v>
      </c>
      <c r="H23" s="146">
        <v>35.200000000000003</v>
      </c>
      <c r="I23" s="147">
        <v>4.4000000000000004</v>
      </c>
      <c r="J23" s="148">
        <v>70545</v>
      </c>
      <c r="L23" s="25" t="s">
        <v>106</v>
      </c>
      <c r="M23" s="825">
        <f>COUNT(B4:B53)</f>
        <v>50</v>
      </c>
      <c r="Q23"/>
    </row>
    <row r="24" spans="1:26">
      <c r="A24" s="137" t="s">
        <v>444</v>
      </c>
      <c r="B24" s="149">
        <v>10</v>
      </c>
      <c r="C24" s="141">
        <v>4.8</v>
      </c>
      <c r="D24" s="142">
        <v>86.203669547721617</v>
      </c>
      <c r="E24" s="143">
        <v>431.5</v>
      </c>
      <c r="F24" s="144">
        <v>469.00740037554607</v>
      </c>
      <c r="G24" s="145">
        <v>0.76</v>
      </c>
      <c r="H24" s="146">
        <v>38.1</v>
      </c>
      <c r="I24" s="147">
        <v>5.3</v>
      </c>
      <c r="J24" s="148">
        <v>65401</v>
      </c>
      <c r="L24" s="25" t="s">
        <v>169</v>
      </c>
      <c r="M24" s="826">
        <f>COUNT(M12:U12)</f>
        <v>9</v>
      </c>
    </row>
    <row r="25" spans="1:26" ht="16.2">
      <c r="A25" s="137" t="s">
        <v>445</v>
      </c>
      <c r="B25" s="140">
        <v>14.4</v>
      </c>
      <c r="C25" s="141">
        <v>7.4</v>
      </c>
      <c r="D25" s="142">
        <v>81.183409037427396</v>
      </c>
      <c r="E25" s="143">
        <v>536</v>
      </c>
      <c r="F25" s="144">
        <v>250.2141835799554</v>
      </c>
      <c r="G25" s="145">
        <v>1.04</v>
      </c>
      <c r="H25" s="146">
        <v>24.7</v>
      </c>
      <c r="I25" s="147">
        <v>8.4</v>
      </c>
      <c r="J25" s="148">
        <v>48591</v>
      </c>
      <c r="L25" s="25" t="s">
        <v>501</v>
      </c>
      <c r="M25" s="827">
        <f>SQRT(1-(1-P21)*(M23-1)/(M23-M24-1))</f>
        <v>0.42483096108448887</v>
      </c>
    </row>
    <row r="26" spans="1:26">
      <c r="A26" s="137" t="s">
        <v>446</v>
      </c>
      <c r="B26" s="140">
        <v>9.6</v>
      </c>
      <c r="C26" s="141">
        <v>5.2</v>
      </c>
      <c r="D26" s="142">
        <v>89.045556531854984</v>
      </c>
      <c r="E26" s="143">
        <v>288.7</v>
      </c>
      <c r="F26" s="144">
        <v>293.18688782716754</v>
      </c>
      <c r="G26" s="145">
        <v>0.88</v>
      </c>
      <c r="H26" s="146">
        <v>31.5</v>
      </c>
      <c r="I26" s="147">
        <v>5.4</v>
      </c>
      <c r="J26" s="148">
        <v>57288</v>
      </c>
      <c r="N26"/>
      <c r="O26"/>
    </row>
    <row r="27" spans="1:26">
      <c r="A27" s="137" t="s">
        <v>447</v>
      </c>
      <c r="B27" s="140">
        <v>21.2</v>
      </c>
      <c r="C27" s="141">
        <v>10.6</v>
      </c>
      <c r="D27" s="142">
        <v>60.598179144073846</v>
      </c>
      <c r="E27" s="143">
        <v>291.3</v>
      </c>
      <c r="F27" s="144">
        <v>177.88245926950424</v>
      </c>
      <c r="G27" s="145">
        <v>2.04</v>
      </c>
      <c r="H27" s="146">
        <v>19.399999999999999</v>
      </c>
      <c r="I27" s="147">
        <v>6.9</v>
      </c>
      <c r="J27" s="148">
        <v>37790</v>
      </c>
      <c r="M27"/>
      <c r="N27"/>
      <c r="O27"/>
      <c r="P27"/>
    </row>
    <row r="28" spans="1:26">
      <c r="A28" s="137" t="s">
        <v>448</v>
      </c>
      <c r="B28" s="140">
        <v>13.4</v>
      </c>
      <c r="C28" s="141">
        <v>7.4</v>
      </c>
      <c r="D28" s="142">
        <v>85.028888093842554</v>
      </c>
      <c r="E28" s="143">
        <v>504.9</v>
      </c>
      <c r="F28" s="144">
        <v>246.01936683780735</v>
      </c>
      <c r="G28" s="145">
        <v>1.43</v>
      </c>
      <c r="H28" s="146">
        <v>25</v>
      </c>
      <c r="I28" s="147">
        <v>6.1</v>
      </c>
      <c r="J28" s="148">
        <v>46867</v>
      </c>
      <c r="L28" s="1" t="s">
        <v>535</v>
      </c>
      <c r="M28"/>
      <c r="N28"/>
      <c r="O28"/>
      <c r="P28"/>
    </row>
    <row r="29" spans="1:26" ht="16.8">
      <c r="A29" s="137" t="s">
        <v>449</v>
      </c>
      <c r="B29" s="140">
        <v>14.8</v>
      </c>
      <c r="C29" s="141">
        <v>5.8</v>
      </c>
      <c r="D29" s="142">
        <v>90.467729264863962</v>
      </c>
      <c r="E29" s="143">
        <v>287.5</v>
      </c>
      <c r="F29" s="144">
        <v>220.56732843834149</v>
      </c>
      <c r="G29" s="145">
        <v>2.4500000000000002</v>
      </c>
      <c r="H29" s="146">
        <v>27.1</v>
      </c>
      <c r="I29" s="147">
        <v>4.5</v>
      </c>
      <c r="J29" s="148">
        <v>43654</v>
      </c>
      <c r="L29"/>
      <c r="M29"/>
      <c r="N29"/>
      <c r="O29"/>
      <c r="P29"/>
      <c r="Q29"/>
      <c r="V29" t="s">
        <v>523</v>
      </c>
      <c r="W29" t="s">
        <v>536</v>
      </c>
      <c r="X29" s="1178">
        <f>P21</f>
        <v>0.33100517999671064</v>
      </c>
      <c r="Z29" s="1182" t="s">
        <v>3185</v>
      </c>
    </row>
    <row r="30" spans="1:26" ht="16.8">
      <c r="A30" s="137" t="s">
        <v>450</v>
      </c>
      <c r="B30" s="140">
        <v>10.8</v>
      </c>
      <c r="C30" s="141">
        <v>5.6</v>
      </c>
      <c r="D30" s="142">
        <v>91.372477335833381</v>
      </c>
      <c r="E30" s="143">
        <v>302.39999999999998</v>
      </c>
      <c r="F30" s="144">
        <v>245.38379506214562</v>
      </c>
      <c r="G30" s="145">
        <v>1.32</v>
      </c>
      <c r="H30" s="146">
        <v>27.1</v>
      </c>
      <c r="I30" s="147">
        <v>3.3</v>
      </c>
      <c r="J30" s="148">
        <v>49693</v>
      </c>
      <c r="L30" s="25" t="s">
        <v>502</v>
      </c>
      <c r="M30" s="825">
        <f>(M19-M18*M17)/(SQRT(1-M18^2)*SQRT(1-M17^2))</f>
        <v>0.13503030791467574</v>
      </c>
      <c r="N30"/>
      <c r="O30"/>
      <c r="P30"/>
      <c r="Q30"/>
      <c r="U30"/>
      <c r="V30" t="s">
        <v>524</v>
      </c>
      <c r="W30" t="s">
        <v>538</v>
      </c>
      <c r="X30" s="627">
        <f>P19</f>
        <v>1.254673991253131E-2</v>
      </c>
      <c r="Z30" s="1182" t="s">
        <v>3186</v>
      </c>
    </row>
    <row r="31" spans="1:26" ht="16.8">
      <c r="A31" s="137" t="s">
        <v>451</v>
      </c>
      <c r="B31" s="140">
        <v>11.3</v>
      </c>
      <c r="C31" s="141">
        <v>6.4</v>
      </c>
      <c r="D31" s="142">
        <v>80.891227371165002</v>
      </c>
      <c r="E31" s="143">
        <v>750.6</v>
      </c>
      <c r="F31" s="144">
        <v>187.75857911072276</v>
      </c>
      <c r="G31" s="145">
        <v>1.68</v>
      </c>
      <c r="H31" s="146">
        <v>21.9</v>
      </c>
      <c r="I31" s="147">
        <v>6.7</v>
      </c>
      <c r="J31" s="148">
        <v>56361</v>
      </c>
      <c r="L31" s="25" t="s">
        <v>503</v>
      </c>
      <c r="M31" s="826">
        <f>(M19-M18*M17)/SQRT(1-M17^2)</f>
        <v>0.11146498480858076</v>
      </c>
      <c r="N31"/>
      <c r="O31"/>
      <c r="P31"/>
      <c r="Q31"/>
      <c r="U31"/>
      <c r="V31" t="s">
        <v>525</v>
      </c>
      <c r="W31" t="s">
        <v>534</v>
      </c>
      <c r="X31" s="627">
        <f>P18</f>
        <v>0.3185807371583334</v>
      </c>
      <c r="Z31" s="1182" t="s">
        <v>3187</v>
      </c>
    </row>
    <row r="32" spans="1:26" ht="15.6">
      <c r="A32" s="137" t="s">
        <v>452</v>
      </c>
      <c r="B32" s="140">
        <v>7.6</v>
      </c>
      <c r="C32" s="141">
        <v>6.1</v>
      </c>
      <c r="D32" s="142">
        <v>95.487186970145373</v>
      </c>
      <c r="E32" s="143">
        <v>137.30000000000001</v>
      </c>
      <c r="F32" s="144">
        <v>274.87014728833395</v>
      </c>
      <c r="G32" s="145">
        <v>0.96</v>
      </c>
      <c r="H32" s="146">
        <v>33.299999999999997</v>
      </c>
      <c r="I32" s="147">
        <v>3.8</v>
      </c>
      <c r="J32" s="148">
        <v>63731</v>
      </c>
      <c r="L32" s="25" t="s">
        <v>539</v>
      </c>
      <c r="M32" s="544">
        <f>(M18-M19*M17)/SQRT(1-M17^2)</f>
        <v>0.56432122065733026</v>
      </c>
      <c r="N32"/>
      <c r="O32"/>
      <c r="P32"/>
      <c r="Q32"/>
      <c r="V32" t="s">
        <v>384</v>
      </c>
      <c r="W32"/>
      <c r="X32" s="627">
        <f>X30+X31-X29</f>
        <v>1.2229707415406521E-4</v>
      </c>
      <c r="Z32" s="1182" t="s">
        <v>3184</v>
      </c>
    </row>
    <row r="33" spans="1:26" ht="16.8">
      <c r="A33" s="137" t="s">
        <v>453</v>
      </c>
      <c r="B33" s="140">
        <v>8.6999999999999993</v>
      </c>
      <c r="C33" s="141">
        <v>5.5</v>
      </c>
      <c r="D33" s="142">
        <v>76.032117342828414</v>
      </c>
      <c r="E33" s="143">
        <v>329.3</v>
      </c>
      <c r="F33" s="144">
        <v>316.33654704669738</v>
      </c>
      <c r="G33" s="145">
        <v>0.95</v>
      </c>
      <c r="H33" s="146">
        <v>34.4</v>
      </c>
      <c r="I33" s="147">
        <v>5.5</v>
      </c>
      <c r="J33" s="148">
        <v>70378</v>
      </c>
      <c r="L33"/>
      <c r="M33"/>
      <c r="N33"/>
      <c r="O33"/>
      <c r="P33"/>
      <c r="Q33"/>
      <c r="V33" t="s">
        <v>526</v>
      </c>
      <c r="W33" s="25" t="s">
        <v>540</v>
      </c>
      <c r="X33" s="627">
        <f>M31^2</f>
        <v>1.2424442838377139E-2</v>
      </c>
      <c r="Z33" s="1182" t="s">
        <v>3188</v>
      </c>
    </row>
    <row r="34" spans="1:26" ht="16.8">
      <c r="A34" s="137" t="s">
        <v>454</v>
      </c>
      <c r="B34" s="140">
        <v>17.100000000000001</v>
      </c>
      <c r="C34" s="141">
        <v>5.8</v>
      </c>
      <c r="D34" s="142">
        <v>83.996520785584835</v>
      </c>
      <c r="E34" s="143">
        <v>664.2</v>
      </c>
      <c r="F34" s="144">
        <v>243.58557973367977</v>
      </c>
      <c r="G34" s="145">
        <v>1.54</v>
      </c>
      <c r="H34" s="146">
        <v>24.7</v>
      </c>
      <c r="I34" s="147">
        <v>4.2</v>
      </c>
      <c r="J34" s="148">
        <v>43508</v>
      </c>
      <c r="L34" s="25" t="s">
        <v>540</v>
      </c>
      <c r="M34" s="743">
        <f>M31^2</f>
        <v>1.2424442838377139E-2</v>
      </c>
      <c r="N34"/>
      <c r="O34" s="25" t="s">
        <v>540</v>
      </c>
      <c r="P34" s="743">
        <f>M34</f>
        <v>1.2424442838377139E-2</v>
      </c>
      <c r="Q34"/>
      <c r="V34" t="s">
        <v>385</v>
      </c>
      <c r="W34" s="25" t="s">
        <v>541</v>
      </c>
      <c r="X34" s="544">
        <f>M32^2</f>
        <v>0.31845844008417923</v>
      </c>
      <c r="Z34" s="1182" t="s">
        <v>3189</v>
      </c>
    </row>
    <row r="35" spans="1:26" ht="16.8">
      <c r="A35" s="137" t="s">
        <v>455</v>
      </c>
      <c r="B35" s="140">
        <v>13.6</v>
      </c>
      <c r="C35" s="141">
        <v>5.6</v>
      </c>
      <c r="D35" s="142">
        <v>73.422529169257928</v>
      </c>
      <c r="E35" s="143">
        <v>414.1</v>
      </c>
      <c r="F35" s="144">
        <v>395.92232685906185</v>
      </c>
      <c r="G35" s="145">
        <v>0.97</v>
      </c>
      <c r="H35" s="146">
        <v>31.9</v>
      </c>
      <c r="I35" s="147">
        <v>5.4</v>
      </c>
      <c r="J35" s="148">
        <v>56033</v>
      </c>
      <c r="L35" t="s">
        <v>536</v>
      </c>
      <c r="M35" s="627">
        <f>P21</f>
        <v>0.33100517999671064</v>
      </c>
      <c r="N35"/>
      <c r="O35" s="25" t="s">
        <v>545</v>
      </c>
      <c r="P35" s="627">
        <f>M30^2</f>
        <v>1.8233184055532141E-2</v>
      </c>
      <c r="Q35"/>
    </row>
    <row r="36" spans="1:26" ht="16.8">
      <c r="A36" s="137" t="s">
        <v>456</v>
      </c>
      <c r="B36" s="140">
        <v>14.6</v>
      </c>
      <c r="C36" s="141">
        <v>8.1</v>
      </c>
      <c r="D36" s="142">
        <v>73.937344387272134</v>
      </c>
      <c r="E36" s="143">
        <v>466.4</v>
      </c>
      <c r="F36" s="144">
        <v>254.23614464440675</v>
      </c>
      <c r="G36" s="145">
        <v>1.62</v>
      </c>
      <c r="H36" s="146">
        <v>26.1</v>
      </c>
      <c r="I36" s="147">
        <v>6.3</v>
      </c>
      <c r="J36" s="148">
        <v>46549</v>
      </c>
      <c r="L36" t="s">
        <v>534</v>
      </c>
      <c r="M36" s="544">
        <f>P18</f>
        <v>0.3185807371583334</v>
      </c>
      <c r="N36"/>
      <c r="O36" t="s">
        <v>2587</v>
      </c>
      <c r="P36" s="544">
        <f>1-M36</f>
        <v>0.68141926284166665</v>
      </c>
      <c r="Q36"/>
      <c r="V36" t="s">
        <v>386</v>
      </c>
      <c r="W36" t="s">
        <v>542</v>
      </c>
      <c r="X36" s="1178">
        <f>1-X29</f>
        <v>0.66899482000328936</v>
      </c>
      <c r="Z36" s="1182" t="s">
        <v>3190</v>
      </c>
    </row>
    <row r="37" spans="1:26" ht="16.8">
      <c r="A37" s="137" t="s">
        <v>457</v>
      </c>
      <c r="B37" s="150">
        <v>12</v>
      </c>
      <c r="C37" s="141">
        <v>5.8</v>
      </c>
      <c r="D37" s="142">
        <v>91.393509706444945</v>
      </c>
      <c r="E37" s="143">
        <v>142.4</v>
      </c>
      <c r="F37" s="144">
        <v>244.39414081115655</v>
      </c>
      <c r="G37" s="145">
        <v>1.42</v>
      </c>
      <c r="H37" s="146">
        <v>26.9</v>
      </c>
      <c r="I37" s="147">
        <v>3.2</v>
      </c>
      <c r="J37" s="148">
        <v>45685</v>
      </c>
      <c r="L37"/>
      <c r="M37"/>
      <c r="N37"/>
      <c r="O37"/>
      <c r="P37"/>
      <c r="Q37"/>
      <c r="V37" t="s">
        <v>527</v>
      </c>
      <c r="W37" t="s">
        <v>543</v>
      </c>
      <c r="X37" s="627">
        <f>X33/(X33+X36)</f>
        <v>1.8233184055532141E-2</v>
      </c>
      <c r="Z37" s="1182" t="s">
        <v>3191</v>
      </c>
    </row>
    <row r="38" spans="1:26" ht="16.8">
      <c r="A38" s="137" t="s">
        <v>458</v>
      </c>
      <c r="B38" s="140">
        <v>13.4</v>
      </c>
      <c r="C38" s="141">
        <v>7.8</v>
      </c>
      <c r="D38" s="142">
        <v>84.764237226305966</v>
      </c>
      <c r="E38" s="143">
        <v>343.2</v>
      </c>
      <c r="F38" s="144">
        <v>266.73599566322036</v>
      </c>
      <c r="G38" s="145">
        <v>1.1399999999999999</v>
      </c>
      <c r="H38" s="146">
        <v>24.1</v>
      </c>
      <c r="I38" s="147">
        <v>6.5</v>
      </c>
      <c r="J38" s="148">
        <v>47988</v>
      </c>
      <c r="V38" t="s">
        <v>528</v>
      </c>
      <c r="W38" t="s">
        <v>544</v>
      </c>
      <c r="X38" s="544">
        <f>X34/(X34+X36)</f>
        <v>0.3225048242343847</v>
      </c>
      <c r="Z38" s="1182" t="s">
        <v>3192</v>
      </c>
    </row>
    <row r="39" spans="1:26">
      <c r="A39" s="137" t="s">
        <v>459</v>
      </c>
      <c r="B39" s="140">
        <v>15.9</v>
      </c>
      <c r="C39" s="141">
        <v>8</v>
      </c>
      <c r="D39" s="142">
        <v>78.141238608693655</v>
      </c>
      <c r="E39" s="143">
        <v>499.6</v>
      </c>
      <c r="F39" s="144">
        <v>173.49741125787563</v>
      </c>
      <c r="G39" s="145">
        <v>1.58</v>
      </c>
      <c r="H39" s="146">
        <v>22.2</v>
      </c>
      <c r="I39" s="147">
        <v>3.8</v>
      </c>
      <c r="J39" s="148">
        <v>42822</v>
      </c>
    </row>
    <row r="40" spans="1:26" ht="15.6">
      <c r="A40" s="137" t="s">
        <v>460</v>
      </c>
      <c r="B40" s="140">
        <v>13.6</v>
      </c>
      <c r="C40" s="141">
        <v>5.5</v>
      </c>
      <c r="D40" s="142">
        <v>90.140446325387984</v>
      </c>
      <c r="E40" s="143">
        <v>287.60000000000002</v>
      </c>
      <c r="F40" s="144">
        <v>274.47103491347588</v>
      </c>
      <c r="G40" s="145">
        <v>1.31</v>
      </c>
      <c r="H40" s="146">
        <v>28.1</v>
      </c>
      <c r="I40" s="147">
        <v>6.4</v>
      </c>
      <c r="J40" s="148">
        <v>50169</v>
      </c>
      <c r="W40" t="s">
        <v>3194</v>
      </c>
      <c r="X40" s="828">
        <f>SQRT(X38)</f>
        <v>0.5678950820656794</v>
      </c>
      <c r="Z40" s="1182" t="s">
        <v>3195</v>
      </c>
    </row>
    <row r="41" spans="1:26">
      <c r="A41" s="137" t="s">
        <v>461</v>
      </c>
      <c r="B41" s="140">
        <v>12.1</v>
      </c>
      <c r="C41" s="141">
        <v>7.6</v>
      </c>
      <c r="D41" s="142">
        <v>85.424563507935517</v>
      </c>
      <c r="E41" s="143">
        <v>416.5</v>
      </c>
      <c r="F41" s="144">
        <v>305.34793674360481</v>
      </c>
      <c r="G41" s="145">
        <v>1.37</v>
      </c>
      <c r="H41" s="146">
        <v>26.3</v>
      </c>
      <c r="I41" s="147">
        <v>5.4</v>
      </c>
      <c r="J41" s="148">
        <v>50713</v>
      </c>
      <c r="Q41"/>
      <c r="R41"/>
      <c r="S41"/>
      <c r="T41"/>
      <c r="U41"/>
      <c r="V41"/>
    </row>
    <row r="42" spans="1:26">
      <c r="A42" s="137" t="s">
        <v>462</v>
      </c>
      <c r="B42" s="140">
        <v>11.7</v>
      </c>
      <c r="C42" s="141">
        <v>6.1</v>
      </c>
      <c r="D42" s="142">
        <v>88.483880668602993</v>
      </c>
      <c r="E42" s="143">
        <v>227.3</v>
      </c>
      <c r="F42" s="144">
        <v>375.54503881739873</v>
      </c>
      <c r="G42" s="145">
        <v>0.8</v>
      </c>
      <c r="H42" s="146">
        <v>30</v>
      </c>
      <c r="I42" s="147">
        <v>7.8</v>
      </c>
      <c r="J42" s="148">
        <v>55701</v>
      </c>
      <c r="Q42"/>
      <c r="R42"/>
      <c r="S42"/>
      <c r="T42"/>
      <c r="U42"/>
      <c r="V42"/>
    </row>
    <row r="43" spans="1:26">
      <c r="A43" s="137" t="s">
        <v>463</v>
      </c>
      <c r="B43" s="140">
        <v>15.7</v>
      </c>
      <c r="C43" s="141">
        <v>8.4</v>
      </c>
      <c r="D43" s="142">
        <v>68.748136077503446</v>
      </c>
      <c r="E43" s="143">
        <v>788.3</v>
      </c>
      <c r="F43" s="144">
        <v>229.78882221083092</v>
      </c>
      <c r="G43" s="145">
        <v>2.09</v>
      </c>
      <c r="H43" s="146">
        <v>23.7</v>
      </c>
      <c r="I43" s="147">
        <v>6.9</v>
      </c>
      <c r="J43" s="148">
        <v>44625</v>
      </c>
      <c r="Q43"/>
      <c r="R43"/>
      <c r="S43"/>
      <c r="T43"/>
      <c r="U43"/>
      <c r="V43"/>
    </row>
    <row r="44" spans="1:26">
      <c r="A44" s="137" t="s">
        <v>464</v>
      </c>
      <c r="B44" s="140">
        <v>12.5</v>
      </c>
      <c r="C44" s="141">
        <v>6.9</v>
      </c>
      <c r="D44" s="142">
        <v>88.189790025789804</v>
      </c>
      <c r="E44" s="143">
        <v>169.2</v>
      </c>
      <c r="F44" s="144">
        <v>219.05543497522274</v>
      </c>
      <c r="G44" s="145">
        <v>1.62</v>
      </c>
      <c r="H44" s="146">
        <v>25.1</v>
      </c>
      <c r="I44" s="147">
        <v>3</v>
      </c>
      <c r="J44" s="148">
        <v>46032</v>
      </c>
      <c r="Q44"/>
      <c r="R44"/>
      <c r="S44"/>
      <c r="T44"/>
      <c r="U44"/>
      <c r="V44"/>
    </row>
    <row r="45" spans="1:26">
      <c r="A45" s="137" t="s">
        <v>465</v>
      </c>
      <c r="B45" s="140">
        <v>15.5</v>
      </c>
      <c r="C45" s="141">
        <v>8.6999999999999993</v>
      </c>
      <c r="D45" s="142">
        <v>80.371971305033981</v>
      </c>
      <c r="E45" s="143">
        <v>753.3</v>
      </c>
      <c r="F45" s="144">
        <v>263.55007776727581</v>
      </c>
      <c r="G45" s="145">
        <v>1.7</v>
      </c>
      <c r="H45" s="146">
        <v>22.9</v>
      </c>
      <c r="I45" s="147">
        <v>6.4</v>
      </c>
      <c r="J45" s="148">
        <v>43614</v>
      </c>
      <c r="L45"/>
      <c r="M45"/>
      <c r="N45"/>
      <c r="O45"/>
      <c r="P45"/>
      <c r="Q45"/>
      <c r="R45"/>
      <c r="S45"/>
      <c r="T45"/>
      <c r="U45"/>
      <c r="V45"/>
    </row>
    <row r="46" spans="1:26">
      <c r="A46" s="137" t="s">
        <v>466</v>
      </c>
      <c r="B46" s="140">
        <v>15.8</v>
      </c>
      <c r="C46" s="141">
        <v>6.2</v>
      </c>
      <c r="D46" s="142">
        <v>82.402677784750395</v>
      </c>
      <c r="E46" s="143">
        <v>510.6</v>
      </c>
      <c r="F46" s="144">
        <v>214.23090434296537</v>
      </c>
      <c r="G46" s="145">
        <v>1.38</v>
      </c>
      <c r="H46" s="146">
        <v>25.3</v>
      </c>
      <c r="I46" s="147">
        <v>4.9000000000000004</v>
      </c>
      <c r="J46" s="148">
        <v>50043</v>
      </c>
      <c r="L46"/>
      <c r="M46"/>
      <c r="N46"/>
      <c r="O46"/>
      <c r="P46"/>
      <c r="Q46"/>
      <c r="R46"/>
      <c r="S46"/>
      <c r="T46"/>
      <c r="U46"/>
      <c r="V46"/>
    </row>
    <row r="47" spans="1:26">
      <c r="A47" s="137" t="s">
        <v>467</v>
      </c>
      <c r="B47" s="140">
        <v>9.6</v>
      </c>
      <c r="C47" s="141">
        <v>5.0999999999999996</v>
      </c>
      <c r="D47" s="142">
        <v>92.915461931338129</v>
      </c>
      <c r="E47" s="143">
        <v>234.8</v>
      </c>
      <c r="F47" s="144">
        <v>208.06129808818156</v>
      </c>
      <c r="G47" s="145">
        <v>1.1100000000000001</v>
      </c>
      <c r="H47" s="146">
        <v>29.1</v>
      </c>
      <c r="I47" s="147">
        <v>3.4</v>
      </c>
      <c r="J47" s="148">
        <v>56633</v>
      </c>
      <c r="L47"/>
      <c r="M47"/>
      <c r="N47"/>
      <c r="O47"/>
      <c r="P47"/>
      <c r="Q47"/>
      <c r="R47"/>
      <c r="S47"/>
      <c r="T47"/>
      <c r="U47"/>
      <c r="V47"/>
    </row>
    <row r="48" spans="1:26">
      <c r="A48" s="137" t="s">
        <v>468</v>
      </c>
      <c r="B48" s="140">
        <v>10.6</v>
      </c>
      <c r="C48" s="141">
        <v>5.5</v>
      </c>
      <c r="D48" s="142">
        <v>96.408807764739961</v>
      </c>
      <c r="E48" s="143">
        <v>124.3</v>
      </c>
      <c r="F48" s="144">
        <v>373.74264596905664</v>
      </c>
      <c r="G48" s="145">
        <v>0.86</v>
      </c>
      <c r="H48" s="146">
        <v>32.1</v>
      </c>
      <c r="I48" s="147">
        <v>4.8</v>
      </c>
      <c r="J48" s="148">
        <v>52104</v>
      </c>
      <c r="L48"/>
      <c r="M48"/>
      <c r="N48"/>
      <c r="O48"/>
      <c r="P48"/>
      <c r="Q48"/>
      <c r="R48"/>
      <c r="S48"/>
      <c r="T48"/>
      <c r="U48"/>
      <c r="V48"/>
    </row>
    <row r="49" spans="1:22">
      <c r="A49" s="137" t="s">
        <v>469</v>
      </c>
      <c r="B49" s="140">
        <v>10.199999999999999</v>
      </c>
      <c r="C49" s="141">
        <v>7.1</v>
      </c>
      <c r="D49" s="142">
        <v>73.031896017666924</v>
      </c>
      <c r="E49" s="143">
        <v>269.7</v>
      </c>
      <c r="F49" s="144">
        <v>274.48522654578164</v>
      </c>
      <c r="G49" s="145">
        <v>1.25</v>
      </c>
      <c r="H49" s="146">
        <v>33.700000000000003</v>
      </c>
      <c r="I49" s="147">
        <v>4</v>
      </c>
      <c r="J49" s="148">
        <v>61233</v>
      </c>
      <c r="L49"/>
      <c r="M49"/>
      <c r="N49"/>
      <c r="O49"/>
      <c r="P49"/>
      <c r="Q49"/>
      <c r="R49"/>
      <c r="S49"/>
      <c r="T49"/>
      <c r="U49"/>
      <c r="V49"/>
    </row>
    <row r="50" spans="1:22">
      <c r="A50" s="137" t="s">
        <v>470</v>
      </c>
      <c r="B50" s="140">
        <v>11.3</v>
      </c>
      <c r="C50" s="141">
        <v>4.7</v>
      </c>
      <c r="D50" s="142">
        <v>84.290902250404002</v>
      </c>
      <c r="E50" s="143">
        <v>333.1</v>
      </c>
      <c r="F50" s="144">
        <v>269.98946121651699</v>
      </c>
      <c r="G50" s="145">
        <v>1</v>
      </c>
      <c r="H50" s="146">
        <v>30.7</v>
      </c>
      <c r="I50" s="147">
        <v>5.3</v>
      </c>
      <c r="J50" s="148">
        <v>58078</v>
      </c>
      <c r="L50"/>
      <c r="M50"/>
      <c r="N50"/>
      <c r="O50"/>
      <c r="P50"/>
      <c r="Q50"/>
      <c r="R50"/>
      <c r="S50"/>
      <c r="T50"/>
      <c r="U50"/>
      <c r="V50"/>
    </row>
    <row r="51" spans="1:22">
      <c r="A51" s="137" t="s">
        <v>471</v>
      </c>
      <c r="B51" s="150">
        <v>17</v>
      </c>
      <c r="C51" s="141">
        <v>7.4</v>
      </c>
      <c r="D51" s="142">
        <v>94.524786328554711</v>
      </c>
      <c r="E51" s="143">
        <v>275.2</v>
      </c>
      <c r="F51" s="144">
        <v>232.12047942465506</v>
      </c>
      <c r="G51" s="145">
        <v>2.1</v>
      </c>
      <c r="H51" s="146">
        <v>17.100000000000001</v>
      </c>
      <c r="I51" s="147">
        <v>4.3</v>
      </c>
      <c r="J51" s="148">
        <v>37989</v>
      </c>
      <c r="L51"/>
      <c r="M51"/>
      <c r="N51"/>
      <c r="O51"/>
      <c r="P51"/>
      <c r="Q51"/>
      <c r="R51"/>
      <c r="S51"/>
      <c r="T51"/>
      <c r="U51"/>
      <c r="V51"/>
    </row>
    <row r="52" spans="1:22">
      <c r="A52" s="137" t="s">
        <v>472</v>
      </c>
      <c r="B52" s="140">
        <v>10.4</v>
      </c>
      <c r="C52" s="141">
        <v>6.4</v>
      </c>
      <c r="D52" s="142">
        <v>89.673695670212709</v>
      </c>
      <c r="E52" s="143">
        <v>290.89999999999998</v>
      </c>
      <c r="F52" s="144">
        <v>259.10479089348553</v>
      </c>
      <c r="G52" s="145">
        <v>1.27</v>
      </c>
      <c r="H52" s="146">
        <v>25.7</v>
      </c>
      <c r="I52" s="147">
        <v>4.7</v>
      </c>
      <c r="J52" s="148">
        <v>52094</v>
      </c>
      <c r="L52"/>
      <c r="M52"/>
      <c r="N52"/>
      <c r="O52"/>
      <c r="P52"/>
      <c r="Q52"/>
      <c r="R52"/>
      <c r="S52"/>
      <c r="T52"/>
      <c r="U52"/>
      <c r="V52"/>
    </row>
    <row r="53" spans="1:22">
      <c r="A53" s="151" t="s">
        <v>473</v>
      </c>
      <c r="B53" s="152">
        <v>9.4</v>
      </c>
      <c r="C53" s="153">
        <v>7</v>
      </c>
      <c r="D53" s="154">
        <v>93.867286940458214</v>
      </c>
      <c r="E53" s="155">
        <v>239.3</v>
      </c>
      <c r="F53" s="156">
        <v>184.42356646510669</v>
      </c>
      <c r="G53" s="157">
        <v>1.6</v>
      </c>
      <c r="H53" s="158">
        <v>23.6</v>
      </c>
      <c r="I53" s="159">
        <v>3.1</v>
      </c>
      <c r="J53" s="160">
        <v>53207</v>
      </c>
      <c r="L53"/>
      <c r="M53"/>
      <c r="N53"/>
      <c r="O53"/>
      <c r="P53"/>
      <c r="Q53"/>
      <c r="R53"/>
      <c r="S53"/>
      <c r="T53"/>
      <c r="U53"/>
      <c r="V53"/>
    </row>
    <row r="54" spans="1:22">
      <c r="A54" s="137"/>
      <c r="B54" s="137"/>
      <c r="C54" s="137"/>
      <c r="D54" s="137"/>
      <c r="E54" s="137"/>
      <c r="F54" s="137"/>
      <c r="G54" s="137"/>
      <c r="H54" s="137"/>
      <c r="I54" s="137"/>
      <c r="J54" s="137"/>
      <c r="L54"/>
      <c r="M54"/>
      <c r="N54"/>
      <c r="O54"/>
      <c r="P54"/>
      <c r="Q54"/>
      <c r="R54"/>
      <c r="S54"/>
      <c r="T54"/>
      <c r="U54"/>
      <c r="V54"/>
    </row>
    <row r="55" spans="1:22">
      <c r="A55" s="137" t="s">
        <v>474</v>
      </c>
      <c r="B55" s="137"/>
      <c r="C55" s="137"/>
      <c r="D55" s="137"/>
      <c r="E55" s="137"/>
      <c r="F55" s="137"/>
      <c r="G55" s="137"/>
      <c r="H55" s="137"/>
      <c r="I55" s="137"/>
      <c r="J55" s="137"/>
      <c r="L55"/>
      <c r="M55"/>
      <c r="N55"/>
      <c r="O55"/>
      <c r="P55"/>
      <c r="Q55"/>
      <c r="R55"/>
      <c r="S55"/>
      <c r="T55"/>
      <c r="U55"/>
      <c r="V55"/>
    </row>
    <row r="56" spans="1:22">
      <c r="A56" s="137" t="s">
        <v>475</v>
      </c>
      <c r="B56" s="137"/>
      <c r="C56" s="137"/>
      <c r="D56" s="137"/>
      <c r="E56" s="137"/>
      <c r="F56" s="137"/>
      <c r="G56" s="137"/>
      <c r="H56" s="137"/>
      <c r="I56" s="137"/>
      <c r="J56" s="137"/>
      <c r="L56"/>
      <c r="M56"/>
      <c r="N56"/>
      <c r="O56"/>
      <c r="P56"/>
      <c r="Q56"/>
      <c r="R56"/>
      <c r="S56"/>
      <c r="T56"/>
      <c r="U56"/>
      <c r="V56"/>
    </row>
    <row r="57" spans="1:22">
      <c r="A57" s="137" t="s">
        <v>476</v>
      </c>
      <c r="B57" s="137"/>
      <c r="C57" s="137"/>
      <c r="D57" s="137"/>
      <c r="E57" s="137"/>
      <c r="F57" s="137"/>
      <c r="G57" s="137"/>
      <c r="H57" s="137"/>
      <c r="I57" s="137"/>
      <c r="J57" s="137"/>
      <c r="L57"/>
      <c r="M57"/>
      <c r="N57"/>
      <c r="O57"/>
      <c r="P57"/>
      <c r="Q57"/>
      <c r="R57"/>
      <c r="S57"/>
      <c r="T57"/>
      <c r="U57"/>
      <c r="V57"/>
    </row>
    <row r="58" spans="1:22">
      <c r="A58" s="137" t="s">
        <v>477</v>
      </c>
      <c r="B58" s="137"/>
      <c r="C58" s="137"/>
      <c r="D58" s="137"/>
      <c r="E58" s="137"/>
      <c r="F58" s="137"/>
      <c r="G58" s="137"/>
      <c r="H58" s="137"/>
      <c r="I58" s="137"/>
      <c r="J58" s="137"/>
      <c r="L58"/>
      <c r="M58"/>
      <c r="N58"/>
      <c r="O58"/>
      <c r="P58"/>
      <c r="Q58"/>
      <c r="R58"/>
      <c r="S58"/>
      <c r="T58"/>
      <c r="U58"/>
      <c r="V58"/>
    </row>
    <row r="59" spans="1:22">
      <c r="A59" s="137" t="s">
        <v>478</v>
      </c>
      <c r="B59" s="137"/>
      <c r="C59" s="137"/>
      <c r="D59" s="137"/>
      <c r="E59" s="137"/>
      <c r="F59" s="137"/>
      <c r="G59" s="137"/>
      <c r="H59" s="137"/>
      <c r="I59" s="137"/>
      <c r="J59" s="137"/>
      <c r="L59"/>
      <c r="M59"/>
      <c r="N59"/>
      <c r="O59"/>
      <c r="P59"/>
      <c r="Q59"/>
      <c r="R59"/>
      <c r="S59"/>
      <c r="T59"/>
      <c r="U59"/>
      <c r="V59"/>
    </row>
    <row r="60" spans="1:22">
      <c r="A60" s="137" t="s">
        <v>479</v>
      </c>
      <c r="B60" s="137"/>
      <c r="C60" s="137"/>
      <c r="D60" s="137"/>
      <c r="E60" s="137"/>
      <c r="F60" s="137"/>
      <c r="G60" s="137"/>
      <c r="H60" s="137"/>
      <c r="I60" s="137"/>
      <c r="J60" s="137"/>
      <c r="L60"/>
      <c r="M60"/>
      <c r="N60"/>
      <c r="O60"/>
      <c r="P60"/>
      <c r="Q60"/>
      <c r="R60"/>
      <c r="S60"/>
      <c r="T60"/>
      <c r="U60"/>
      <c r="V60"/>
    </row>
    <row r="61" spans="1:22">
      <c r="A61" s="137" t="s">
        <v>480</v>
      </c>
      <c r="B61" s="137"/>
      <c r="C61" s="137"/>
      <c r="D61" s="137"/>
      <c r="E61" s="137"/>
      <c r="F61" s="137"/>
      <c r="G61" s="137"/>
      <c r="H61" s="137"/>
      <c r="I61" s="137"/>
      <c r="J61" s="137"/>
      <c r="L61"/>
      <c r="M61"/>
      <c r="N61"/>
      <c r="O61"/>
      <c r="P61"/>
      <c r="Q61"/>
      <c r="R61"/>
      <c r="S61"/>
      <c r="T61"/>
      <c r="U61"/>
      <c r="V61"/>
    </row>
    <row r="62" spans="1:22">
      <c r="A62" s="137" t="s">
        <v>481</v>
      </c>
      <c r="B62" s="137"/>
      <c r="C62" s="137"/>
      <c r="D62" s="137"/>
      <c r="E62" s="137"/>
      <c r="F62" s="137"/>
      <c r="G62" s="137"/>
      <c r="H62" s="137"/>
      <c r="I62" s="137"/>
      <c r="J62" s="137"/>
      <c r="L62"/>
      <c r="M62"/>
      <c r="N62"/>
      <c r="O62"/>
      <c r="P62"/>
      <c r="Q62"/>
      <c r="R62"/>
      <c r="S62"/>
      <c r="T62"/>
      <c r="U62"/>
      <c r="V62"/>
    </row>
    <row r="63" spans="1:22">
      <c r="A63" s="137" t="s">
        <v>482</v>
      </c>
      <c r="B63" s="137"/>
      <c r="C63" s="137"/>
      <c r="D63" s="137"/>
      <c r="E63" s="137"/>
      <c r="F63" s="137"/>
      <c r="G63" s="137"/>
      <c r="H63" s="137"/>
      <c r="I63" s="137"/>
      <c r="J63" s="137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sheetPr codeName="Sheet58"/>
  <dimension ref="A1:O21"/>
  <sheetViews>
    <sheetView workbookViewId="0"/>
  </sheetViews>
  <sheetFormatPr defaultRowHeight="14.4"/>
  <cols>
    <col min="1" max="1" width="8.33203125" customWidth="1"/>
    <col min="3" max="3" width="4.5546875" customWidth="1"/>
    <col min="4" max="4" width="9" customWidth="1"/>
  </cols>
  <sheetData>
    <row r="1" spans="1:15">
      <c r="A1" s="1" t="s">
        <v>486</v>
      </c>
    </row>
    <row r="3" spans="1:15">
      <c r="A3" s="107" t="s">
        <v>368</v>
      </c>
      <c r="B3" s="743">
        <v>0.7</v>
      </c>
      <c r="D3" s="107" t="s">
        <v>487</v>
      </c>
      <c r="E3" s="743">
        <f>FISHER(B3)</f>
        <v>0.86730052769405319</v>
      </c>
    </row>
    <row r="4" spans="1:15">
      <c r="A4" s="162" t="s">
        <v>485</v>
      </c>
      <c r="B4" s="544">
        <v>0.6</v>
      </c>
      <c r="D4" s="162" t="s">
        <v>488</v>
      </c>
      <c r="E4" s="544">
        <f>FISHER(B4)</f>
        <v>0.69314718055994529</v>
      </c>
    </row>
    <row r="5" spans="1:15">
      <c r="A5" s="107"/>
    </row>
    <row r="6" spans="1:15">
      <c r="A6" s="107" t="s">
        <v>106</v>
      </c>
      <c r="B6" s="743">
        <v>100</v>
      </c>
    </row>
    <row r="7" spans="1:15" ht="15.6">
      <c r="A7" s="107" t="s">
        <v>489</v>
      </c>
      <c r="B7" s="544">
        <f>1/SQRT(B6-3)</f>
        <v>0.10153461651336192</v>
      </c>
    </row>
    <row r="9" spans="1:15">
      <c r="A9" t="s">
        <v>498</v>
      </c>
      <c r="D9" t="s">
        <v>496</v>
      </c>
      <c r="G9" t="s">
        <v>2985</v>
      </c>
      <c r="K9" t="s">
        <v>3327</v>
      </c>
    </row>
    <row r="11" spans="1:15">
      <c r="D11" s="8" t="s">
        <v>337</v>
      </c>
      <c r="E11" s="743">
        <f>B12</f>
        <v>0.05</v>
      </c>
      <c r="G11" t="s">
        <v>200</v>
      </c>
      <c r="H11" s="1178" t="e">
        <f ca="1">[1]!CorrTest(B4,B3,B6)</f>
        <v>#NAME?</v>
      </c>
      <c r="K11" s="1236">
        <v>34</v>
      </c>
      <c r="L11" s="1237">
        <v>46</v>
      </c>
      <c r="N11" t="s">
        <v>368</v>
      </c>
      <c r="O11" s="756">
        <f>CORREL(K11:K17,L11:L17)</f>
        <v>0.9752921131375446</v>
      </c>
    </row>
    <row r="12" spans="1:15">
      <c r="A12" s="8" t="s">
        <v>337</v>
      </c>
      <c r="B12" s="743">
        <v>0.05</v>
      </c>
      <c r="D12" s="8" t="s">
        <v>127</v>
      </c>
      <c r="E12" s="627">
        <f>(E3-E4)/B7</f>
        <v>1.7152115516306636</v>
      </c>
      <c r="G12" t="s">
        <v>337</v>
      </c>
      <c r="H12" s="627">
        <v>0.05</v>
      </c>
      <c r="K12" s="656">
        <v>56</v>
      </c>
      <c r="L12" s="657">
        <v>78</v>
      </c>
    </row>
    <row r="13" spans="1:15">
      <c r="A13" s="8" t="s">
        <v>200</v>
      </c>
      <c r="B13" s="627">
        <f>2*(1-NORMDIST(E3,E4,B7,TRUE))</f>
        <v>8.6306447736500314E-2</v>
      </c>
      <c r="D13" s="8" t="s">
        <v>200</v>
      </c>
      <c r="E13" s="627">
        <f>2*(1-NORMSDIST(E12))</f>
        <v>8.6306447736500314E-2</v>
      </c>
      <c r="G13" t="s">
        <v>103</v>
      </c>
      <c r="H13" s="627" t="e">
        <f ca="1">[1]!CorrLower(B3,B6,H12)</f>
        <v>#NAME?</v>
      </c>
      <c r="K13" s="656">
        <v>23</v>
      </c>
      <c r="L13" s="657">
        <v>39</v>
      </c>
      <c r="N13" t="e">
        <f t="array" aca="1" ref="N13:O16" ca="1">[1]!CorrelTest(K11:K17,L11:L17,0.9,0.05,TRUE)</f>
        <v>#NAME?</v>
      </c>
      <c r="O13" s="1235" t="e">
        <f ca="1"/>
        <v>#NAME?</v>
      </c>
    </row>
    <row r="14" spans="1:15">
      <c r="A14" s="8" t="s">
        <v>490</v>
      </c>
      <c r="B14" s="627">
        <f>NORMINV(1-B12/2,E4,B7)</f>
        <v>0.89215137211022044</v>
      </c>
      <c r="D14" s="8" t="s">
        <v>491</v>
      </c>
      <c r="E14" s="627">
        <f>NORMSINV(1-E11/2)</f>
        <v>1.9599639845400536</v>
      </c>
      <c r="G14" t="s">
        <v>104</v>
      </c>
      <c r="H14" s="544" t="e">
        <f ca="1">[1]!CorrUpper(B3,B6,H12)</f>
        <v>#NAME?</v>
      </c>
      <c r="K14" s="656">
        <v>12</v>
      </c>
      <c r="L14" s="657">
        <v>9</v>
      </c>
      <c r="N14" t="e">
        <f ca="1"/>
        <v>#NAME?</v>
      </c>
      <c r="O14" s="627" t="e">
        <f ca="1"/>
        <v>#NAME?</v>
      </c>
    </row>
    <row r="15" spans="1:15">
      <c r="A15" s="8" t="s">
        <v>948</v>
      </c>
      <c r="B15" s="538" t="str">
        <f>IF(B13&lt;B12,"yes","no")</f>
        <v>no</v>
      </c>
      <c r="D15" s="8" t="s">
        <v>948</v>
      </c>
      <c r="E15" s="538" t="str">
        <f>IF(E13&lt;E11,"yes","no")</f>
        <v>no</v>
      </c>
      <c r="K15" s="656">
        <v>30</v>
      </c>
      <c r="L15" s="657">
        <v>39</v>
      </c>
      <c r="N15" t="e">
        <f ca="1"/>
        <v>#NAME?</v>
      </c>
      <c r="O15" s="627" t="e">
        <f ca="1"/>
        <v>#NAME?</v>
      </c>
    </row>
    <row r="16" spans="1:15">
      <c r="B16" s="19"/>
      <c r="D16" s="8"/>
      <c r="E16" s="42"/>
      <c r="G16" t="e">
        <f t="array" aca="1" ref="G16:H19" ca="1">[1]!CorrelTest(B3,B6,B4,0.05,TRUE)</f>
        <v>#NAME?</v>
      </c>
      <c r="H16" s="1235" t="e">
        <f ca="1"/>
        <v>#NAME?</v>
      </c>
      <c r="K16" s="656">
        <v>45</v>
      </c>
      <c r="L16" s="657">
        <v>71</v>
      </c>
      <c r="N16" t="e">
        <f ca="1"/>
        <v>#NAME?</v>
      </c>
      <c r="O16" s="544" t="e">
        <f ca="1"/>
        <v>#NAME?</v>
      </c>
    </row>
    <row r="17" spans="1:12">
      <c r="A17" t="s">
        <v>497</v>
      </c>
      <c r="G17" t="e">
        <f ca="1"/>
        <v>#NAME?</v>
      </c>
      <c r="H17" s="627" t="e">
        <f ca="1"/>
        <v>#NAME?</v>
      </c>
      <c r="K17" s="533">
        <v>29</v>
      </c>
      <c r="L17" s="541">
        <v>41</v>
      </c>
    </row>
    <row r="18" spans="1:12">
      <c r="G18" t="e">
        <f ca="1"/>
        <v>#NAME?</v>
      </c>
      <c r="H18" s="627" t="e">
        <f ca="1"/>
        <v>#NAME?</v>
      </c>
    </row>
    <row r="19" spans="1:12">
      <c r="A19" s="8" t="s">
        <v>491</v>
      </c>
      <c r="B19" s="743">
        <f>ABS(NORMSINV(B12/2))</f>
        <v>1.9599639845400538</v>
      </c>
      <c r="C19" s="8"/>
      <c r="D19" s="8"/>
      <c r="E19" s="8"/>
      <c r="G19" t="e">
        <f ca="1"/>
        <v>#NAME?</v>
      </c>
      <c r="H19" s="544" t="e">
        <f ca="1"/>
        <v>#NAME?</v>
      </c>
    </row>
    <row r="20" spans="1:12">
      <c r="A20" s="8" t="s">
        <v>492</v>
      </c>
      <c r="B20" s="627">
        <f>E3-B19*B7</f>
        <v>0.66829633614377804</v>
      </c>
      <c r="C20" s="8"/>
      <c r="D20" s="8" t="s">
        <v>494</v>
      </c>
      <c r="E20" s="743">
        <f>FISHERINV(B20)</f>
        <v>0.58385809839391167</v>
      </c>
    </row>
    <row r="21" spans="1:12">
      <c r="A21" s="8" t="s">
        <v>493</v>
      </c>
      <c r="B21" s="544">
        <f>E3+B19*B7</f>
        <v>1.0663047192443282</v>
      </c>
      <c r="C21" s="8"/>
      <c r="D21" s="8" t="s">
        <v>495</v>
      </c>
      <c r="E21" s="544">
        <f>FISHERINV(B21)</f>
        <v>0.78806495335730942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sheetPr codeName="Sheet52"/>
  <dimension ref="A1:B14"/>
  <sheetViews>
    <sheetView workbookViewId="0"/>
  </sheetViews>
  <sheetFormatPr defaultRowHeight="14.4"/>
  <sheetData>
    <row r="1" spans="1:2">
      <c r="A1" s="1" t="s">
        <v>1941</v>
      </c>
    </row>
    <row r="3" spans="1:2">
      <c r="A3" s="174" t="s">
        <v>368</v>
      </c>
      <c r="B3" s="743">
        <v>0.19700000000000001</v>
      </c>
    </row>
    <row r="4" spans="1:2">
      <c r="A4" s="537" t="s">
        <v>485</v>
      </c>
      <c r="B4" s="826">
        <v>0</v>
      </c>
    </row>
    <row r="5" spans="1:2">
      <c r="A5" s="174" t="s">
        <v>106</v>
      </c>
      <c r="B5" s="627">
        <v>100</v>
      </c>
    </row>
    <row r="6" spans="1:2">
      <c r="A6" s="174" t="s">
        <v>186</v>
      </c>
      <c r="B6" s="627">
        <f>B5-2</f>
        <v>98</v>
      </c>
    </row>
    <row r="7" spans="1:2" ht="15.6">
      <c r="A7" s="174" t="s">
        <v>397</v>
      </c>
      <c r="B7" s="627">
        <f>SQRT((1-B3^2)/B6)</f>
        <v>9.9035707846066454E-2</v>
      </c>
    </row>
    <row r="8" spans="1:2">
      <c r="A8" s="174" t="s">
        <v>195</v>
      </c>
      <c r="B8" s="627">
        <f>B3/B7</f>
        <v>1.9891815213377559</v>
      </c>
    </row>
    <row r="9" spans="1:2">
      <c r="A9" s="174" t="s">
        <v>157</v>
      </c>
      <c r="B9" s="627">
        <v>0.05</v>
      </c>
    </row>
    <row r="10" spans="1:2">
      <c r="A10" s="174" t="s">
        <v>201</v>
      </c>
      <c r="B10" s="627">
        <f>TINV(B9,B6)</f>
        <v>1.9844674545084788</v>
      </c>
    </row>
    <row r="11" spans="1:2">
      <c r="A11" s="174" t="s">
        <v>200</v>
      </c>
      <c r="B11" s="826">
        <f>TDIST(ABS(B8),B6,2)</f>
        <v>4.9468766956677193E-2</v>
      </c>
    </row>
    <row r="12" spans="1:2">
      <c r="A12" s="174" t="s">
        <v>948</v>
      </c>
      <c r="B12" s="831" t="str">
        <f>IF(B11&lt;B9,"yes","no")</f>
        <v>yes</v>
      </c>
    </row>
    <row r="14" spans="1:2" ht="16.2">
      <c r="A14" t="s">
        <v>617</v>
      </c>
      <c r="B14" s="756">
        <f>B3^2</f>
        <v>3.8809000000000003E-2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sheetPr codeName="Sheet290"/>
  <dimension ref="A1:W38"/>
  <sheetViews>
    <sheetView zoomScaleNormal="100" workbookViewId="0">
      <selection sqref="A1:XFD1048576"/>
    </sheetView>
  </sheetViews>
  <sheetFormatPr defaultRowHeight="14.4"/>
  <cols>
    <col min="1" max="1" width="11" customWidth="1"/>
    <col min="2" max="6" width="9.5546875" customWidth="1"/>
    <col min="7" max="7" width="11.44140625" customWidth="1"/>
    <col min="8" max="11" width="10.33203125" customWidth="1"/>
    <col min="12" max="12" width="5.109375" customWidth="1"/>
    <col min="14" max="14" width="6.109375" customWidth="1"/>
    <col min="17" max="17" width="16.6640625" customWidth="1"/>
  </cols>
  <sheetData>
    <row r="1" spans="1:23">
      <c r="A1" s="1" t="s">
        <v>3233</v>
      </c>
      <c r="G1" t="s">
        <v>3234</v>
      </c>
      <c r="Q1" t="s">
        <v>2744</v>
      </c>
    </row>
    <row r="3" spans="1:23" ht="15" thickBot="1">
      <c r="A3" s="138"/>
      <c r="B3" s="139" t="s">
        <v>419</v>
      </c>
      <c r="C3" s="139" t="s">
        <v>420</v>
      </c>
      <c r="D3" s="139" t="s">
        <v>421</v>
      </c>
      <c r="E3" s="139" t="s">
        <v>422</v>
      </c>
      <c r="F3" s="1199"/>
      <c r="H3" s="1199" t="s">
        <v>419</v>
      </c>
      <c r="I3" s="1199" t="s">
        <v>420</v>
      </c>
      <c r="J3" s="1199" t="s">
        <v>421</v>
      </c>
      <c r="K3" s="1199" t="s">
        <v>422</v>
      </c>
      <c r="Q3" s="1059" t="s">
        <v>2750</v>
      </c>
      <c r="R3" s="1059"/>
    </row>
    <row r="4" spans="1:23" ht="15" thickTop="1">
      <c r="A4" s="137" t="s">
        <v>424</v>
      </c>
      <c r="B4" s="143">
        <v>448</v>
      </c>
      <c r="C4" s="144">
        <v>218.17340830567619</v>
      </c>
      <c r="D4" s="145">
        <v>1.81</v>
      </c>
      <c r="E4" s="146">
        <v>22</v>
      </c>
      <c r="F4" s="146"/>
      <c r="G4" s="257" t="str">
        <f t="array" ref="G4:G7">TRANSPOSE(H3:K3)</f>
        <v>Crime</v>
      </c>
      <c r="H4" s="1067" t="e">
        <f t="array" aca="1" ref="H4:K7" ca="1">[1]!CORR(B4:E18)</f>
        <v>#NAME?</v>
      </c>
      <c r="I4" s="1152" t="e">
        <f ca="1"/>
        <v>#NAME?</v>
      </c>
      <c r="J4" s="1152" t="e">
        <f ca="1"/>
        <v>#NAME?</v>
      </c>
      <c r="K4" s="1071" t="e">
        <f ca="1"/>
        <v>#NAME?</v>
      </c>
      <c r="Q4" t="s">
        <v>693</v>
      </c>
      <c r="R4" t="e">
        <f ca="1">SQRT(R5)</f>
        <v>#NAME?</v>
      </c>
    </row>
    <row r="5" spans="1:23">
      <c r="A5" s="137" t="s">
        <v>425</v>
      </c>
      <c r="B5" s="143">
        <v>661.2</v>
      </c>
      <c r="C5" s="144">
        <v>228.45028196578826</v>
      </c>
      <c r="D5" s="145">
        <v>1.63</v>
      </c>
      <c r="E5" s="146">
        <v>27.3</v>
      </c>
      <c r="F5" s="146"/>
      <c r="G5" s="257" t="str">
        <v>Doctors</v>
      </c>
      <c r="H5" s="656" t="e">
        <f ca="1"/>
        <v>#NAME?</v>
      </c>
      <c r="I5" s="8" t="e">
        <f ca="1"/>
        <v>#NAME?</v>
      </c>
      <c r="J5" s="8" t="e">
        <f ca="1"/>
        <v>#NAME?</v>
      </c>
      <c r="K5" s="657" t="e">
        <f ca="1"/>
        <v>#NAME?</v>
      </c>
      <c r="Q5" t="s">
        <v>686</v>
      </c>
      <c r="R5" t="e">
        <f ca="1">S12/S14</f>
        <v>#NAME?</v>
      </c>
    </row>
    <row r="6" spans="1:23">
      <c r="A6" s="137" t="s">
        <v>426</v>
      </c>
      <c r="B6" s="143">
        <v>482.7</v>
      </c>
      <c r="C6" s="144">
        <v>209.66657175716827</v>
      </c>
      <c r="D6" s="145">
        <v>1.69</v>
      </c>
      <c r="E6" s="146">
        <v>25.1</v>
      </c>
      <c r="F6" s="146"/>
      <c r="G6" s="257" t="str">
        <v>Traf Deaths</v>
      </c>
      <c r="H6" s="656" t="e">
        <f ca="1"/>
        <v>#NAME?</v>
      </c>
      <c r="I6" s="8" t="e">
        <f ca="1"/>
        <v>#NAME?</v>
      </c>
      <c r="J6" s="8" t="e">
        <f ca="1"/>
        <v>#NAME?</v>
      </c>
      <c r="K6" s="657" t="e">
        <f ca="1"/>
        <v>#NAME?</v>
      </c>
      <c r="Q6" t="s">
        <v>694</v>
      </c>
      <c r="R6" t="e">
        <f ca="1">1-(1-R5)*(R8-1)/(R8-R12-1)</f>
        <v>#NAME?</v>
      </c>
    </row>
    <row r="7" spans="1:23">
      <c r="A7" s="137" t="s">
        <v>427</v>
      </c>
      <c r="B7" s="143">
        <v>529.4</v>
      </c>
      <c r="C7" s="144">
        <v>203.42285988234826</v>
      </c>
      <c r="D7" s="145">
        <v>1.96</v>
      </c>
      <c r="E7" s="146">
        <v>18.8</v>
      </c>
      <c r="F7" s="146"/>
      <c r="G7" s="257" t="str">
        <v>University</v>
      </c>
      <c r="H7" s="533" t="e">
        <f ca="1"/>
        <v>#NAME?</v>
      </c>
      <c r="I7" s="1078" t="e">
        <f ca="1"/>
        <v>#NAME?</v>
      </c>
      <c r="J7" s="1078" t="e">
        <f ca="1"/>
        <v>#NAME?</v>
      </c>
      <c r="K7" s="541" t="e">
        <f ca="1"/>
        <v>#NAME?</v>
      </c>
      <c r="Q7" t="s">
        <v>77</v>
      </c>
      <c r="R7" t="e">
        <f ca="1">SQRT(T13)</f>
        <v>#NAME?</v>
      </c>
    </row>
    <row r="8" spans="1:23">
      <c r="A8" s="137" t="s">
        <v>428</v>
      </c>
      <c r="B8" s="143">
        <v>522.6</v>
      </c>
      <c r="C8" s="144">
        <v>268.69056049813605</v>
      </c>
      <c r="D8" s="145">
        <v>1.21</v>
      </c>
      <c r="E8" s="146">
        <v>29.6</v>
      </c>
      <c r="F8" s="146"/>
      <c r="Q8" s="1078" t="s">
        <v>224</v>
      </c>
      <c r="R8" s="1078">
        <f>COUNT(B4:B18)</f>
        <v>15</v>
      </c>
    </row>
    <row r="9" spans="1:23">
      <c r="A9" s="137" t="s">
        <v>429</v>
      </c>
      <c r="B9" s="143">
        <v>347.8</v>
      </c>
      <c r="C9" s="144">
        <v>259.68608874672964</v>
      </c>
      <c r="D9" s="145">
        <v>1.1399999999999999</v>
      </c>
      <c r="E9" s="146">
        <v>35.6</v>
      </c>
      <c r="F9" s="146"/>
      <c r="G9" t="s">
        <v>3235</v>
      </c>
      <c r="M9" t="s">
        <v>3236</v>
      </c>
      <c r="O9" t="s">
        <v>3239</v>
      </c>
    </row>
    <row r="10" spans="1:23" ht="15" thickBot="1">
      <c r="A10" s="137" t="s">
        <v>430</v>
      </c>
      <c r="B10" s="143">
        <v>256</v>
      </c>
      <c r="C10" s="144">
        <v>376.3752669155395</v>
      </c>
      <c r="D10" s="145">
        <v>0.86</v>
      </c>
      <c r="E10" s="146">
        <v>35.6</v>
      </c>
      <c r="F10" s="146"/>
      <c r="Q10" t="s">
        <v>695</v>
      </c>
      <c r="U10" s="1191" t="s">
        <v>116</v>
      </c>
      <c r="V10" s="1191">
        <v>0.05</v>
      </c>
    </row>
    <row r="11" spans="1:23" ht="15" thickTop="1">
      <c r="A11" s="137" t="s">
        <v>431</v>
      </c>
      <c r="B11" s="143">
        <v>689.2</v>
      </c>
      <c r="C11" s="144">
        <v>250.94175668510928</v>
      </c>
      <c r="D11" s="145">
        <v>1.23</v>
      </c>
      <c r="E11" s="146">
        <v>27.5</v>
      </c>
      <c r="F11" s="146"/>
      <c r="G11">
        <v>1</v>
      </c>
      <c r="H11" s="1067" t="e">
        <f t="array" aca="1" ref="H11:K14" ca="1">MINVERSE(H4:K7)</f>
        <v>#NAME?</v>
      </c>
      <c r="I11" s="1152" t="e">
        <f ca="1"/>
        <v>#NAME?</v>
      </c>
      <c r="J11" s="1152" t="e">
        <f ca="1"/>
        <v>#NAME?</v>
      </c>
      <c r="K11" s="1071" t="e">
        <f ca="1"/>
        <v>#NAME?</v>
      </c>
      <c r="M11" s="1178" t="e">
        <f t="array" aca="1" ref="M11:M14" ca="1">SQRT([1]!DIAG(H11:K14))</f>
        <v>#NAME?</v>
      </c>
      <c r="O11" s="1178" t="e">
        <f t="array" ref="O11:O14" ca="1">SQRT(INDEX(H11:K14,G11:G14,G11:G14))</f>
        <v>#NAME?</v>
      </c>
      <c r="Q11" s="1151"/>
      <c r="R11" s="1151" t="s">
        <v>186</v>
      </c>
      <c r="S11" s="1151" t="s">
        <v>578</v>
      </c>
      <c r="T11" s="1151" t="s">
        <v>641</v>
      </c>
      <c r="U11" s="1151" t="s">
        <v>388</v>
      </c>
      <c r="V11" s="1151" t="s">
        <v>200</v>
      </c>
      <c r="W11" s="1151" t="s">
        <v>948</v>
      </c>
    </row>
    <row r="12" spans="1:23">
      <c r="A12" s="137" t="s">
        <v>432</v>
      </c>
      <c r="B12" s="143">
        <v>722.6</v>
      </c>
      <c r="C12" s="144">
        <v>247.86359820579941</v>
      </c>
      <c r="D12" s="145">
        <v>1.56</v>
      </c>
      <c r="E12" s="146">
        <v>25.8</v>
      </c>
      <c r="F12" s="146"/>
      <c r="G12">
        <f>G11+1</f>
        <v>2</v>
      </c>
      <c r="H12" s="656" t="e">
        <f ca="1"/>
        <v>#NAME?</v>
      </c>
      <c r="I12" s="8" t="e">
        <f ca="1"/>
        <v>#NAME?</v>
      </c>
      <c r="J12" s="8" t="e">
        <f ca="1"/>
        <v>#NAME?</v>
      </c>
      <c r="K12" s="657" t="e">
        <f ca="1"/>
        <v>#NAME?</v>
      </c>
      <c r="M12" s="627" t="e">
        <f ca="1"/>
        <v>#NAME?</v>
      </c>
      <c r="O12" s="627" t="e">
        <f ca="1"/>
        <v>#NAME?</v>
      </c>
      <c r="Q12" t="s">
        <v>623</v>
      </c>
      <c r="R12">
        <f>COUNT(C4:E4)</f>
        <v>3</v>
      </c>
      <c r="S12" t="e">
        <f ca="1">DEVSQ(MMULT([1]!DESIGN(C4:E18),R17:R20))</f>
        <v>#NAME?</v>
      </c>
      <c r="T12" t="e">
        <f ca="1">S12/R12</f>
        <v>#NAME?</v>
      </c>
      <c r="U12" t="e">
        <f ca="1">T12/T13</f>
        <v>#NAME?</v>
      </c>
      <c r="V12" t="e">
        <f ca="1">FDIST(U12,R12,R13)</f>
        <v>#NAME?</v>
      </c>
      <c r="W12" s="1191" t="e">
        <f ca="1">IF(V12&lt;V10,"yes","no")</f>
        <v>#NAME?</v>
      </c>
    </row>
    <row r="13" spans="1:23">
      <c r="A13" s="137" t="s">
        <v>433</v>
      </c>
      <c r="B13" s="143">
        <v>493.2</v>
      </c>
      <c r="C13" s="144">
        <v>217.44570184044454</v>
      </c>
      <c r="D13" s="145">
        <v>1.46</v>
      </c>
      <c r="E13" s="146">
        <v>27.5</v>
      </c>
      <c r="F13" s="146"/>
      <c r="G13">
        <f>G12+1</f>
        <v>3</v>
      </c>
      <c r="H13" s="656" t="e">
        <f ca="1"/>
        <v>#NAME?</v>
      </c>
      <c r="I13" s="8" t="e">
        <f ca="1"/>
        <v>#NAME?</v>
      </c>
      <c r="J13" s="8" t="e">
        <f ca="1"/>
        <v>#NAME?</v>
      </c>
      <c r="K13" s="657" t="e">
        <f ca="1"/>
        <v>#NAME?</v>
      </c>
      <c r="M13" s="627" t="e">
        <f ca="1"/>
        <v>#NAME?</v>
      </c>
      <c r="O13" s="627" t="e">
        <f ca="1"/>
        <v>#NAME?</v>
      </c>
      <c r="Q13" t="s">
        <v>696</v>
      </c>
      <c r="R13">
        <f>R14-R12</f>
        <v>11</v>
      </c>
      <c r="S13" t="e">
        <f ca="1">S14-S12</f>
        <v>#NAME?</v>
      </c>
      <c r="T13" t="e">
        <f ca="1">S13/R13</f>
        <v>#NAME?</v>
      </c>
    </row>
    <row r="14" spans="1:23">
      <c r="A14" s="137" t="s">
        <v>434</v>
      </c>
      <c r="B14" s="143">
        <v>272.8</v>
      </c>
      <c r="C14" s="144">
        <v>316.98289278791503</v>
      </c>
      <c r="D14" s="145">
        <v>1.33</v>
      </c>
      <c r="E14" s="146">
        <v>29.1</v>
      </c>
      <c r="F14" s="146"/>
      <c r="G14">
        <f>G13+1</f>
        <v>4</v>
      </c>
      <c r="H14" s="533" t="e">
        <f ca="1"/>
        <v>#NAME?</v>
      </c>
      <c r="I14" s="1078" t="e">
        <f ca="1"/>
        <v>#NAME?</v>
      </c>
      <c r="J14" s="1078" t="e">
        <f ca="1"/>
        <v>#NAME?</v>
      </c>
      <c r="K14" s="541" t="e">
        <f ca="1"/>
        <v>#NAME?</v>
      </c>
      <c r="M14" s="544" t="e">
        <f ca="1"/>
        <v>#NAME?</v>
      </c>
      <c r="O14" s="544" t="e">
        <f ca="1"/>
        <v>#NAME?</v>
      </c>
      <c r="Q14" s="1078" t="s">
        <v>12</v>
      </c>
      <c r="R14" s="1078">
        <f>R8-1</f>
        <v>14</v>
      </c>
      <c r="S14" s="1078">
        <f>DEVSQ(B4:B18)</f>
        <v>358680.68933333346</v>
      </c>
      <c r="T14" s="1078"/>
      <c r="U14" s="1078"/>
      <c r="V14" s="1078"/>
      <c r="W14" s="1078"/>
    </row>
    <row r="15" spans="1:23" ht="15" thickBot="1">
      <c r="A15" s="137" t="s">
        <v>435</v>
      </c>
      <c r="B15" s="143">
        <v>239.4</v>
      </c>
      <c r="C15" s="144">
        <v>168.83390313104681</v>
      </c>
      <c r="D15" s="145">
        <v>1.6</v>
      </c>
      <c r="E15" s="146">
        <v>24</v>
      </c>
      <c r="F15" s="146"/>
    </row>
    <row r="16" spans="1:23" ht="15" thickTop="1">
      <c r="A16" s="137" t="s">
        <v>436</v>
      </c>
      <c r="B16" s="143">
        <v>533.20000000000005</v>
      </c>
      <c r="C16" s="144">
        <v>280.15386787687231</v>
      </c>
      <c r="D16" s="145">
        <v>1.1599999999999999</v>
      </c>
      <c r="E16" s="146">
        <v>29.9</v>
      </c>
      <c r="F16" s="146"/>
      <c r="G16" t="s">
        <v>3237</v>
      </c>
      <c r="Q16" s="1151"/>
      <c r="R16" s="1151" t="s">
        <v>2743</v>
      </c>
      <c r="S16" s="1151" t="s">
        <v>1469</v>
      </c>
      <c r="T16" s="1151" t="s">
        <v>188</v>
      </c>
      <c r="U16" s="1151" t="s">
        <v>200</v>
      </c>
      <c r="V16" s="1151" t="s">
        <v>103</v>
      </c>
      <c r="W16" s="1151" t="s">
        <v>104</v>
      </c>
    </row>
    <row r="17" spans="1:23">
      <c r="A17" s="137" t="s">
        <v>437</v>
      </c>
      <c r="B17" s="143">
        <v>333.6</v>
      </c>
      <c r="C17" s="144">
        <v>216.93969975987483</v>
      </c>
      <c r="D17" s="145">
        <v>1.26</v>
      </c>
      <c r="E17" s="146">
        <v>22.9</v>
      </c>
      <c r="F17" s="146"/>
      <c r="M17" s="8"/>
      <c r="Q17" t="s">
        <v>697</v>
      </c>
      <c r="R17" t="e">
        <f t="array" aca="1" ref="R17:R20" ca="1">[1]!RegCoeff(C4:E18,B4:B18)</f>
        <v>#NAME?</v>
      </c>
      <c r="S17" t="e">
        <f t="array" aca="1" ref="S17:S20" ca="1">[1]!RegCoeffSE(C4:E18,B4:B18)</f>
        <v>#NAME?</v>
      </c>
      <c r="T17" t="e">
        <f ca="1">R17/S17</f>
        <v>#NAME?</v>
      </c>
      <c r="U17" t="e">
        <f ca="1">TDIST(ABS(T17),$R$13,2)</f>
        <v>#NAME?</v>
      </c>
      <c r="V17" t="e">
        <f ca="1">R17-TINV(V$10,$R$13)*S17</f>
        <v>#NAME?</v>
      </c>
      <c r="W17" t="e">
        <f ca="1">R17+TINV(V$10,$R$13)*S17</f>
        <v>#NAME?</v>
      </c>
    </row>
    <row r="18" spans="1:23">
      <c r="A18" s="1194" t="s">
        <v>438</v>
      </c>
      <c r="B18" s="1195">
        <v>294.7</v>
      </c>
      <c r="C18" s="1196">
        <v>189.28322428402873</v>
      </c>
      <c r="D18" s="1197">
        <v>1.42</v>
      </c>
      <c r="E18" s="1198">
        <v>24.3</v>
      </c>
      <c r="F18" s="146"/>
      <c r="H18" s="1199" t="s">
        <v>419</v>
      </c>
      <c r="I18" s="1199" t="s">
        <v>420</v>
      </c>
      <c r="J18" s="1199" t="s">
        <v>421</v>
      </c>
      <c r="K18" s="1199" t="s">
        <v>422</v>
      </c>
      <c r="Q18" t="str">
        <f t="array" ref="Q18:Q20">TRANSPOSE(C3:E3)</f>
        <v>Doctors</v>
      </c>
      <c r="R18" t="e">
        <f ca="1"/>
        <v>#NAME?</v>
      </c>
      <c r="S18" t="e">
        <f ca="1"/>
        <v>#NAME?</v>
      </c>
      <c r="T18" t="e">
        <f ca="1">R18/S18</f>
        <v>#NAME?</v>
      </c>
      <c r="U18" t="e">
        <f ca="1">TDIST(ABS(T18),$R$13,2)</f>
        <v>#NAME?</v>
      </c>
      <c r="V18" t="e">
        <f ca="1">R18-TINV(V$10,$R$13)*S18</f>
        <v>#NAME?</v>
      </c>
      <c r="W18" t="e">
        <f ca="1">R18+TINV(V$10,$R$13)*S18</f>
        <v>#NAME?</v>
      </c>
    </row>
    <row r="19" spans="1:23">
      <c r="F19" s="146"/>
      <c r="G19" s="257" t="str">
        <f t="array" ref="G19:G22">TRANSPOSE(H18:K18)</f>
        <v>Crime</v>
      </c>
      <c r="H19" s="1067" t="e">
        <f t="array" aca="1" ref="H19:K22" ca="1">-H11:K14/MMULT(M11:M14,TRANSPOSE(M11:M14))</f>
        <v>#NAME?</v>
      </c>
      <c r="I19" s="1152" t="e">
        <f ca="1"/>
        <v>#NAME?</v>
      </c>
      <c r="J19" s="1152" t="e">
        <f ca="1"/>
        <v>#NAME?</v>
      </c>
      <c r="K19" s="1071" t="e">
        <f ca="1"/>
        <v>#NAME?</v>
      </c>
      <c r="Q19" t="str">
        <v>Traf Deaths</v>
      </c>
      <c r="R19" t="e">
        <f ca="1"/>
        <v>#NAME?</v>
      </c>
      <c r="S19" t="e">
        <f ca="1"/>
        <v>#NAME?</v>
      </c>
      <c r="T19" t="e">
        <f ca="1">R19/S19</f>
        <v>#NAME?</v>
      </c>
      <c r="U19" t="e">
        <f ca="1">TDIST(ABS(T19),$R$13,2)</f>
        <v>#NAME?</v>
      </c>
      <c r="V19" t="e">
        <f ca="1">R19-TINV(V$10,$R$13)*S19</f>
        <v>#NAME?</v>
      </c>
      <c r="W19" t="e">
        <f ca="1">R19+TINV(V$10,$R$13)*S19</f>
        <v>#NAME?</v>
      </c>
    </row>
    <row r="20" spans="1:23">
      <c r="A20" s="1200" t="s">
        <v>3244</v>
      </c>
      <c r="G20" s="257" t="str">
        <v>Doctors</v>
      </c>
      <c r="H20" s="656" t="e">
        <f ca="1"/>
        <v>#NAME?</v>
      </c>
      <c r="I20" s="8" t="e">
        <f ca="1"/>
        <v>#NAME?</v>
      </c>
      <c r="J20" s="8" t="e">
        <f ca="1"/>
        <v>#NAME?</v>
      </c>
      <c r="K20" s="657" t="e">
        <f ca="1"/>
        <v>#NAME?</v>
      </c>
      <c r="Q20" s="1078" t="str">
        <v>University</v>
      </c>
      <c r="R20" s="1078" t="e">
        <f ca="1"/>
        <v>#NAME?</v>
      </c>
      <c r="S20" s="1078" t="e">
        <f ca="1"/>
        <v>#NAME?</v>
      </c>
      <c r="T20" s="1078" t="e">
        <f ca="1">R20/S20</f>
        <v>#NAME?</v>
      </c>
      <c r="U20" s="1078" t="e">
        <f ca="1">TDIST(ABS(T20),$R$13,2)</f>
        <v>#NAME?</v>
      </c>
      <c r="V20" s="1078" t="e">
        <f ca="1">R20-TINV(V$10,$R$13)*S20</f>
        <v>#NAME?</v>
      </c>
      <c r="W20" s="1078" t="e">
        <f ca="1">R20+TINV(V$10,$R$13)*S20</f>
        <v>#NAME?</v>
      </c>
    </row>
    <row r="21" spans="1:23">
      <c r="G21" s="257" t="str">
        <v>Traf Deaths</v>
      </c>
      <c r="H21" s="656" t="e">
        <f ca="1"/>
        <v>#NAME?</v>
      </c>
      <c r="I21" s="8" t="e">
        <f ca="1"/>
        <v>#NAME?</v>
      </c>
      <c r="J21" s="8" t="e">
        <f ca="1"/>
        <v>#NAME?</v>
      </c>
      <c r="K21" s="657" t="e">
        <f ca="1"/>
        <v>#NAME?</v>
      </c>
    </row>
    <row r="22" spans="1:23">
      <c r="B22" s="1178" t="e">
        <f t="array" aca="1" ref="B22" ca="1">INDEX(-H11:K14/(M11:M12*TRANSPOSE(M11:M14)),1,2)</f>
        <v>#NAME?</v>
      </c>
      <c r="G22" s="257" t="str">
        <v>University</v>
      </c>
      <c r="H22" s="533" t="e">
        <f ca="1"/>
        <v>#NAME?</v>
      </c>
      <c r="I22" s="1078" t="e">
        <f ca="1"/>
        <v>#NAME?</v>
      </c>
      <c r="J22" s="1078" t="e">
        <f ca="1"/>
        <v>#NAME?</v>
      </c>
      <c r="K22" s="541" t="e">
        <f ca="1"/>
        <v>#NAME?</v>
      </c>
      <c r="Q22" t="s">
        <v>3240</v>
      </c>
    </row>
    <row r="23" spans="1:23">
      <c r="B23" s="544" t="e">
        <f t="array" aca="1" ref="B23" ca="1">[1]!PCorrel(B4:E18,1,2)</f>
        <v>#NAME?</v>
      </c>
    </row>
    <row r="24" spans="1:23">
      <c r="G24" t="s">
        <v>3238</v>
      </c>
      <c r="Q24" s="23" t="s">
        <v>3241</v>
      </c>
      <c r="S24" s="1178" t="e">
        <f ca="1">[1]!RSquare(C4:E18,B4:B18)</f>
        <v>#NAME?</v>
      </c>
    </row>
    <row r="25" spans="1:23">
      <c r="Q25" s="23" t="s">
        <v>3242</v>
      </c>
      <c r="S25" s="627" t="e">
        <f ca="1">[1]!RSquare(B4:E18,1)</f>
        <v>#NAME?</v>
      </c>
    </row>
    <row r="26" spans="1:23">
      <c r="H26" s="1199" t="s">
        <v>419</v>
      </c>
      <c r="I26" s="1199" t="s">
        <v>420</v>
      </c>
      <c r="J26" s="1199" t="s">
        <v>421</v>
      </c>
      <c r="K26" s="1199" t="s">
        <v>422</v>
      </c>
      <c r="Q26" s="23" t="s">
        <v>3243</v>
      </c>
      <c r="S26" s="544" t="e">
        <f ca="1">1-1/H11</f>
        <v>#NAME?</v>
      </c>
    </row>
    <row r="27" spans="1:23">
      <c r="G27" s="257" t="s">
        <v>419</v>
      </c>
      <c r="H27" s="1067" t="e">
        <f t="array" aca="1" ref="H27:K30" ca="1">-H11:K14/(M11:M14*TRANSPOSE(M11:M14))</f>
        <v>#NAME?</v>
      </c>
      <c r="I27" s="1152" t="e">
        <f ca="1"/>
        <v>#NAME?</v>
      </c>
      <c r="J27" s="1152" t="e">
        <f ca="1"/>
        <v>#NAME?</v>
      </c>
      <c r="K27" s="1071" t="e">
        <f ca="1"/>
        <v>#NAME?</v>
      </c>
    </row>
    <row r="28" spans="1:23">
      <c r="G28" s="257" t="s">
        <v>420</v>
      </c>
      <c r="H28" s="656" t="e">
        <f ca="1"/>
        <v>#NAME?</v>
      </c>
      <c r="I28" s="8" t="e">
        <f ca="1"/>
        <v>#NAME?</v>
      </c>
      <c r="J28" s="8" t="e">
        <f ca="1"/>
        <v>#NAME?</v>
      </c>
      <c r="K28" s="657" t="e">
        <f ca="1"/>
        <v>#NAME?</v>
      </c>
    </row>
    <row r="29" spans="1:23">
      <c r="G29" s="257" t="s">
        <v>421</v>
      </c>
      <c r="H29" s="656" t="e">
        <f ca="1"/>
        <v>#NAME?</v>
      </c>
      <c r="I29" s="8" t="e">
        <f ca="1"/>
        <v>#NAME?</v>
      </c>
      <c r="J29" s="8" t="e">
        <f ca="1"/>
        <v>#NAME?</v>
      </c>
      <c r="K29" s="657" t="e">
        <f ca="1"/>
        <v>#NAME?</v>
      </c>
    </row>
    <row r="30" spans="1:23">
      <c r="G30" s="257" t="s">
        <v>422</v>
      </c>
      <c r="H30" s="533" t="e">
        <f ca="1"/>
        <v>#NAME?</v>
      </c>
      <c r="I30" s="1078" t="e">
        <f ca="1"/>
        <v>#NAME?</v>
      </c>
      <c r="J30" s="1078" t="e">
        <f ca="1"/>
        <v>#NAME?</v>
      </c>
      <c r="K30" s="541" t="e">
        <f ca="1"/>
        <v>#NAME?</v>
      </c>
    </row>
    <row r="32" spans="1:23">
      <c r="G32" s="1201" t="s">
        <v>3245</v>
      </c>
    </row>
    <row r="34" spans="7:11">
      <c r="H34" s="1199" t="s">
        <v>419</v>
      </c>
      <c r="I34" s="1199" t="s">
        <v>420</v>
      </c>
      <c r="J34" s="1199" t="s">
        <v>421</v>
      </c>
      <c r="K34" s="1199" t="s">
        <v>422</v>
      </c>
    </row>
    <row r="35" spans="7:11">
      <c r="G35" s="257" t="s">
        <v>419</v>
      </c>
      <c r="H35" s="1067" t="e">
        <f t="array" aca="1" ref="H35:K38" ca="1">[1]!PCorr(B4:E18)</f>
        <v>#NAME?</v>
      </c>
      <c r="I35" s="1152" t="e">
        <f ca="1"/>
        <v>#NAME?</v>
      </c>
      <c r="J35" s="1152" t="e">
        <f ca="1"/>
        <v>#NAME?</v>
      </c>
      <c r="K35" s="1071" t="e">
        <f ca="1"/>
        <v>#NAME?</v>
      </c>
    </row>
    <row r="36" spans="7:11">
      <c r="G36" s="257" t="s">
        <v>420</v>
      </c>
      <c r="H36" s="656" t="e">
        <f ca="1"/>
        <v>#NAME?</v>
      </c>
      <c r="I36" s="8" t="e">
        <f ca="1"/>
        <v>#NAME?</v>
      </c>
      <c r="J36" s="8" t="e">
        <f ca="1"/>
        <v>#NAME?</v>
      </c>
      <c r="K36" s="657" t="e">
        <f ca="1"/>
        <v>#NAME?</v>
      </c>
    </row>
    <row r="37" spans="7:11">
      <c r="G37" s="257" t="s">
        <v>421</v>
      </c>
      <c r="H37" s="656" t="e">
        <f ca="1"/>
        <v>#NAME?</v>
      </c>
      <c r="I37" s="8" t="e">
        <f ca="1"/>
        <v>#NAME?</v>
      </c>
      <c r="J37" s="8" t="e">
        <f ca="1"/>
        <v>#NAME?</v>
      </c>
      <c r="K37" s="657" t="e">
        <f ca="1"/>
        <v>#NAME?</v>
      </c>
    </row>
    <row r="38" spans="7:11">
      <c r="G38" s="257" t="s">
        <v>422</v>
      </c>
      <c r="H38" s="533" t="e">
        <f ca="1"/>
        <v>#NAME?</v>
      </c>
      <c r="I38" s="1078" t="e">
        <f ca="1"/>
        <v>#NAME?</v>
      </c>
      <c r="J38" s="1078" t="e">
        <f ca="1"/>
        <v>#NAME?</v>
      </c>
      <c r="K38" s="541" t="e">
        <f ca="1"/>
        <v>#NAME?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sheetPr codeName="Sheet235"/>
  <dimension ref="A1:O26"/>
  <sheetViews>
    <sheetView workbookViewId="0"/>
  </sheetViews>
  <sheetFormatPr defaultRowHeight="14.4"/>
  <cols>
    <col min="1" max="1" width="19" customWidth="1"/>
    <col min="3" max="3" width="3.44140625" customWidth="1"/>
    <col min="4" max="4" width="29.109375" customWidth="1"/>
    <col min="6" max="6" width="4" customWidth="1"/>
    <col min="7" max="7" width="32.88671875" customWidth="1"/>
    <col min="9" max="9" width="19" customWidth="1"/>
    <col min="11" max="11" width="3.44140625" customWidth="1"/>
    <col min="12" max="12" width="52.5546875" customWidth="1"/>
    <col min="14" max="14" width="4" customWidth="1"/>
    <col min="15" max="15" width="32.88671875" customWidth="1"/>
  </cols>
  <sheetData>
    <row r="1" spans="1:15">
      <c r="A1" s="1" t="s">
        <v>1947</v>
      </c>
      <c r="I1" s="1"/>
    </row>
    <row r="2" spans="1:15">
      <c r="A2" s="1"/>
      <c r="I2" s="1"/>
    </row>
    <row r="3" spans="1:15">
      <c r="A3" s="25" t="s">
        <v>4011</v>
      </c>
      <c r="E3" t="s">
        <v>1939</v>
      </c>
      <c r="I3" s="25" t="s">
        <v>4013</v>
      </c>
      <c r="M3" t="s">
        <v>1939</v>
      </c>
    </row>
    <row r="4" spans="1:15">
      <c r="A4" s="25"/>
      <c r="I4" s="25"/>
    </row>
    <row r="5" spans="1:15">
      <c r="A5" s="25" t="s">
        <v>1950</v>
      </c>
      <c r="B5">
        <v>0</v>
      </c>
      <c r="E5" s="756" t="e">
        <f ca="1">[1]!CORREL1_POWER(B5,B7,B10,1,B9)</f>
        <v>#NAME?</v>
      </c>
      <c r="G5" t="e">
        <f ca="1">[1]!FTEXT(E5)</f>
        <v>#NAME?</v>
      </c>
      <c r="I5" s="25" t="s">
        <v>1950</v>
      </c>
      <c r="J5">
        <v>0</v>
      </c>
      <c r="M5" s="756" t="e">
        <f ca="1">[1]!CORREL1_POWER(J5,J7,J10,2,J9)</f>
        <v>#NAME?</v>
      </c>
      <c r="O5" t="e">
        <f ca="1">[1]!FTEXT(M5)</f>
        <v>#NAME?</v>
      </c>
    </row>
    <row r="6" spans="1:15">
      <c r="A6" t="s">
        <v>488</v>
      </c>
      <c r="B6">
        <f>FISHER(B5)</f>
        <v>0</v>
      </c>
      <c r="D6" s="23" t="s">
        <v>1949</v>
      </c>
      <c r="I6" t="s">
        <v>488</v>
      </c>
      <c r="J6">
        <f>FISHER(J5)</f>
        <v>0</v>
      </c>
      <c r="L6" s="23" t="s">
        <v>4015</v>
      </c>
    </row>
    <row r="7" spans="1:15">
      <c r="A7" t="s">
        <v>1948</v>
      </c>
      <c r="B7">
        <v>0.35</v>
      </c>
      <c r="I7" t="s">
        <v>1948</v>
      </c>
      <c r="J7">
        <v>0.35</v>
      </c>
    </row>
    <row r="8" spans="1:15">
      <c r="A8" t="s">
        <v>487</v>
      </c>
      <c r="B8">
        <f>FISHER(B7)</f>
        <v>0.36544375427139619</v>
      </c>
      <c r="D8" s="23" t="s">
        <v>1951</v>
      </c>
      <c r="I8" t="s">
        <v>487</v>
      </c>
      <c r="J8">
        <f>FISHER(J7)</f>
        <v>0.36544375427139619</v>
      </c>
      <c r="L8" s="23" t="s">
        <v>4016</v>
      </c>
    </row>
    <row r="9" spans="1:15">
      <c r="A9" t="s">
        <v>337</v>
      </c>
      <c r="B9">
        <v>0.05</v>
      </c>
      <c r="I9" t="s">
        <v>337</v>
      </c>
      <c r="J9">
        <v>0.05</v>
      </c>
    </row>
    <row r="10" spans="1:15">
      <c r="A10" t="s">
        <v>1180</v>
      </c>
      <c r="B10">
        <v>40</v>
      </c>
      <c r="I10" t="s">
        <v>1180</v>
      </c>
      <c r="J10">
        <v>40</v>
      </c>
    </row>
    <row r="11" spans="1:15">
      <c r="A11" t="s">
        <v>826</v>
      </c>
      <c r="B11">
        <f>1/SQRT(B10-3)</f>
        <v>0.16439898730535729</v>
      </c>
      <c r="D11" s="23" t="s">
        <v>1952</v>
      </c>
      <c r="I11" t="s">
        <v>826</v>
      </c>
      <c r="J11">
        <f>1/SQRT(J10-3)</f>
        <v>0.16439898730535729</v>
      </c>
      <c r="L11" s="23" t="s">
        <v>4017</v>
      </c>
    </row>
    <row r="12" spans="1:15">
      <c r="A12" t="s">
        <v>127</v>
      </c>
      <c r="B12">
        <f>ABS(B8-B6)/B11</f>
        <v>2.2229075754135588</v>
      </c>
      <c r="D12" s="23" t="s">
        <v>1953</v>
      </c>
      <c r="I12" t="s">
        <v>127</v>
      </c>
      <c r="J12">
        <f>ABS(J8-J6)/J11</f>
        <v>2.2229075754135588</v>
      </c>
      <c r="L12" s="23" t="s">
        <v>4018</v>
      </c>
    </row>
    <row r="13" spans="1:15">
      <c r="A13" t="s">
        <v>491</v>
      </c>
      <c r="B13">
        <f>NORMSINV(1-B9)</f>
        <v>1.6448536269514715</v>
      </c>
      <c r="D13" s="23" t="s">
        <v>4019</v>
      </c>
      <c r="I13" t="s">
        <v>491</v>
      </c>
      <c r="J13">
        <f>NORMSINV(1-J9/2)</f>
        <v>1.9599639845400536</v>
      </c>
      <c r="L13" s="23" t="s">
        <v>4021</v>
      </c>
    </row>
    <row r="14" spans="1:15">
      <c r="A14" t="s">
        <v>1181</v>
      </c>
      <c r="B14">
        <f>NORMSDIST(B12-B13)</f>
        <v>0.71838615151582808</v>
      </c>
      <c r="D14" s="23" t="s">
        <v>4020</v>
      </c>
      <c r="I14" t="s">
        <v>1181</v>
      </c>
      <c r="J14">
        <f>NORMSDIST(J12-J13)+NORMSDIST(-J12-J13)</f>
        <v>0.60371736378183749</v>
      </c>
      <c r="L14" s="23" t="s">
        <v>4022</v>
      </c>
    </row>
    <row r="16" spans="1:15">
      <c r="A16" t="s">
        <v>4012</v>
      </c>
      <c r="I16" t="s">
        <v>4014</v>
      </c>
    </row>
    <row r="18" spans="1:15">
      <c r="A18" s="25" t="s">
        <v>1950</v>
      </c>
      <c r="B18">
        <v>0</v>
      </c>
      <c r="E18" s="756" t="e">
        <f ca="1">[1]!CORREL1_SIZE(B18,B20,1-B23,1,B22)</f>
        <v>#NAME?</v>
      </c>
      <c r="G18" t="e">
        <f ca="1">[1]!FTEXT(E18)</f>
        <v>#NAME?</v>
      </c>
      <c r="I18" s="25" t="s">
        <v>1950</v>
      </c>
      <c r="J18">
        <v>0</v>
      </c>
      <c r="M18" s="756" t="e">
        <f ca="1">[1]!CORREL1_SIZE(J18,J20,1-J23,2,J22)</f>
        <v>#NAME?</v>
      </c>
      <c r="O18" t="e">
        <f ca="1">[1]!FTEXT(M18)</f>
        <v>#NAME?</v>
      </c>
    </row>
    <row r="19" spans="1:15">
      <c r="A19" t="s">
        <v>488</v>
      </c>
      <c r="B19">
        <f>FISHER(B18)</f>
        <v>0</v>
      </c>
      <c r="D19" s="23" t="s">
        <v>1954</v>
      </c>
      <c r="I19" t="s">
        <v>488</v>
      </c>
      <c r="J19">
        <f>FISHER(J18)</f>
        <v>0</v>
      </c>
      <c r="L19" s="23" t="s">
        <v>1954</v>
      </c>
    </row>
    <row r="20" spans="1:15">
      <c r="A20" t="s">
        <v>1948</v>
      </c>
      <c r="B20">
        <v>0.35</v>
      </c>
      <c r="I20" t="s">
        <v>1948</v>
      </c>
      <c r="J20">
        <v>0.35</v>
      </c>
    </row>
    <row r="21" spans="1:15">
      <c r="A21" t="s">
        <v>487</v>
      </c>
      <c r="B21">
        <f>FISHER(B20)</f>
        <v>0.36544375427139619</v>
      </c>
      <c r="D21" s="23" t="s">
        <v>1955</v>
      </c>
      <c r="I21" t="s">
        <v>487</v>
      </c>
      <c r="J21">
        <f>FISHER(J20)</f>
        <v>0.36544375427139619</v>
      </c>
      <c r="L21" s="23" t="s">
        <v>1955</v>
      </c>
    </row>
    <row r="22" spans="1:15">
      <c r="A22" t="s">
        <v>337</v>
      </c>
      <c r="B22">
        <v>0.05</v>
      </c>
      <c r="I22" t="s">
        <v>337</v>
      </c>
      <c r="J22">
        <v>0.05</v>
      </c>
    </row>
    <row r="23" spans="1:15">
      <c r="A23" t="s">
        <v>1182</v>
      </c>
      <c r="B23">
        <v>0.2</v>
      </c>
      <c r="I23" t="s">
        <v>1182</v>
      </c>
      <c r="J23">
        <v>0.2</v>
      </c>
    </row>
    <row r="24" spans="1:15">
      <c r="A24" t="s">
        <v>1944</v>
      </c>
      <c r="B24">
        <f>NORMSINV(1-B22)</f>
        <v>1.6448536269514715</v>
      </c>
      <c r="D24" s="23" t="s">
        <v>1956</v>
      </c>
      <c r="I24" t="s">
        <v>1944</v>
      </c>
      <c r="J24">
        <f>NORMSINV(1-J22/2)</f>
        <v>1.9599639845400536</v>
      </c>
      <c r="L24" s="23" t="s">
        <v>3875</v>
      </c>
    </row>
    <row r="25" spans="1:15">
      <c r="A25" t="s">
        <v>1945</v>
      </c>
      <c r="B25">
        <f>NORMSINV(1-B23)</f>
        <v>0.84162123357291474</v>
      </c>
      <c r="D25" s="23" t="s">
        <v>1957</v>
      </c>
      <c r="I25" t="s">
        <v>1945</v>
      </c>
      <c r="J25">
        <f>NORMSINV(1-J23)</f>
        <v>0.84162123357291474</v>
      </c>
      <c r="L25" s="23" t="s">
        <v>4023</v>
      </c>
    </row>
    <row r="26" spans="1:15">
      <c r="A26" t="s">
        <v>1180</v>
      </c>
      <c r="B26">
        <f>((B24+B25)/(B21-B19))^2+3</f>
        <v>49.294250536469711</v>
      </c>
      <c r="D26" s="23" t="e">
        <f ca="1">[1]!FTEXT(B26)</f>
        <v>#NAME?</v>
      </c>
      <c r="I26" t="s">
        <v>1180</v>
      </c>
      <c r="J26">
        <f>((J24+J25)/(J21-J19))^2+3</f>
        <v>61.771474523636854</v>
      </c>
      <c r="L26" s="23" t="e">
        <f ca="1">[1]!FTEXT(J26)</f>
        <v>#NAME?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sheetPr codeName="Sheet59"/>
  <dimension ref="A1:T12"/>
  <sheetViews>
    <sheetView workbookViewId="0"/>
  </sheetViews>
  <sheetFormatPr defaultRowHeight="14.4"/>
  <cols>
    <col min="1" max="1" width="7.44140625" customWidth="1"/>
    <col min="3" max="3" width="5.5546875" customWidth="1"/>
    <col min="4" max="4" width="8.33203125" customWidth="1"/>
    <col min="6" max="6" width="4.44140625" customWidth="1"/>
    <col min="7" max="7" width="28" customWidth="1"/>
  </cols>
  <sheetData>
    <row r="1" spans="1:20">
      <c r="A1" s="1" t="s">
        <v>570</v>
      </c>
    </row>
    <row r="2" spans="1:20">
      <c r="A2" s="1" t="s">
        <v>568</v>
      </c>
      <c r="J2" t="s">
        <v>3328</v>
      </c>
      <c r="S2" t="s">
        <v>3328</v>
      </c>
    </row>
    <row r="4" spans="1:20">
      <c r="A4" s="107" t="s">
        <v>513</v>
      </c>
      <c r="B4" s="743">
        <v>0.77</v>
      </c>
      <c r="D4" s="126" t="s">
        <v>516</v>
      </c>
      <c r="E4" s="743">
        <f>FISHER(B4)</f>
        <v>1.0203277583223398</v>
      </c>
      <c r="G4" t="e">
        <f ca="1">[1]!FTEXT(E4)</f>
        <v>#NAME?</v>
      </c>
      <c r="J4" t="e">
        <f t="array" aca="1" ref="J4:K7" ca="1">[1]!Correl2Test(0.77,40,0.68,30,0.05,TRUE)</f>
        <v>#NAME?</v>
      </c>
      <c r="K4" s="1235" t="e">
        <f ca="1"/>
        <v>#NAME?</v>
      </c>
      <c r="M4" s="1236">
        <v>34</v>
      </c>
      <c r="N4" s="1237">
        <v>46</v>
      </c>
      <c r="P4" s="1236">
        <v>14</v>
      </c>
      <c r="Q4" s="1237">
        <v>23</v>
      </c>
      <c r="S4" t="e">
        <f t="array" aca="1" ref="S4:T7" ca="1">[1]!Correl2Test(M4:M10,N4:N10,P4:P10,Q4:Q10,0.05,TRUE)</f>
        <v>#NAME?</v>
      </c>
      <c r="T4" s="1235" t="e">
        <f ca="1"/>
        <v>#NAME?</v>
      </c>
    </row>
    <row r="5" spans="1:20">
      <c r="A5" s="107" t="s">
        <v>514</v>
      </c>
      <c r="B5" s="544">
        <v>0.68</v>
      </c>
      <c r="D5" s="126" t="s">
        <v>515</v>
      </c>
      <c r="E5" s="544">
        <f>FISHER(B5)</f>
        <v>0.82911403830176622</v>
      </c>
      <c r="G5" t="e">
        <f ca="1">[1]!FTEXT(E5)</f>
        <v>#NAME?</v>
      </c>
      <c r="J5" t="e">
        <f ca="1"/>
        <v>#NAME?</v>
      </c>
      <c r="K5" s="627" t="e">
        <f ca="1"/>
        <v>#NAME?</v>
      </c>
      <c r="M5" s="656">
        <v>56</v>
      </c>
      <c r="N5" s="657">
        <v>78</v>
      </c>
      <c r="P5" s="656">
        <v>45</v>
      </c>
      <c r="Q5" s="657">
        <v>98</v>
      </c>
      <c r="S5" t="e">
        <f ca="1"/>
        <v>#NAME?</v>
      </c>
      <c r="T5" s="627" t="e">
        <f ca="1"/>
        <v>#NAME?</v>
      </c>
    </row>
    <row r="6" spans="1:20">
      <c r="A6" s="107"/>
      <c r="D6" s="126"/>
      <c r="G6" t="e">
        <f ca="1">[1]!FTEXT(E6)</f>
        <v>#NAME?</v>
      </c>
      <c r="J6" t="e">
        <f ca="1"/>
        <v>#NAME?</v>
      </c>
      <c r="K6" s="627" t="e">
        <f ca="1"/>
        <v>#NAME?</v>
      </c>
      <c r="M6" s="656">
        <v>23</v>
      </c>
      <c r="N6" s="657">
        <v>39</v>
      </c>
      <c r="P6" s="656">
        <v>12</v>
      </c>
      <c r="Q6" s="657">
        <v>21</v>
      </c>
      <c r="S6" t="e">
        <f ca="1"/>
        <v>#NAME?</v>
      </c>
      <c r="T6" s="627" t="e">
        <f ca="1"/>
        <v>#NAME?</v>
      </c>
    </row>
    <row r="7" spans="1:20">
      <c r="A7" s="107" t="s">
        <v>291</v>
      </c>
      <c r="B7" s="1235">
        <v>40</v>
      </c>
      <c r="D7" s="126" t="s">
        <v>517</v>
      </c>
      <c r="E7" s="1235">
        <f>SQRT(1/(B7-3)+(1/(B8-3)))</f>
        <v>0.25310879886733306</v>
      </c>
      <c r="G7" t="e">
        <f ca="1">[1]!FTEXT(E7)</f>
        <v>#NAME?</v>
      </c>
      <c r="J7" t="e">
        <f ca="1"/>
        <v>#NAME?</v>
      </c>
      <c r="K7" s="544" t="e">
        <f ca="1"/>
        <v>#NAME?</v>
      </c>
      <c r="M7" s="656">
        <v>12</v>
      </c>
      <c r="N7" s="657">
        <v>9</v>
      </c>
      <c r="P7" s="656">
        <v>45</v>
      </c>
      <c r="Q7" s="657">
        <v>19</v>
      </c>
      <c r="S7" t="e">
        <f ca="1"/>
        <v>#NAME?</v>
      </c>
      <c r="T7" s="544" t="e">
        <f ca="1"/>
        <v>#NAME?</v>
      </c>
    </row>
    <row r="8" spans="1:20">
      <c r="A8" s="162" t="s">
        <v>292</v>
      </c>
      <c r="B8" s="544">
        <v>30</v>
      </c>
      <c r="D8" s="8" t="s">
        <v>127</v>
      </c>
      <c r="E8" s="627">
        <f>(E4-E5)/E7</f>
        <v>0.75546058009938333</v>
      </c>
      <c r="G8" t="e">
        <f ca="1">[1]!FTEXT(E8)</f>
        <v>#NAME?</v>
      </c>
      <c r="M8" s="656">
        <v>30</v>
      </c>
      <c r="N8" s="657">
        <v>39</v>
      </c>
      <c r="P8" s="656">
        <v>23</v>
      </c>
      <c r="Q8" s="657">
        <v>31</v>
      </c>
    </row>
    <row r="9" spans="1:20">
      <c r="D9" s="8" t="s">
        <v>491</v>
      </c>
      <c r="E9" s="627">
        <f>NORMSINV(1-B10/2)</f>
        <v>1.9599639845400536</v>
      </c>
      <c r="G9" s="23" t="s">
        <v>4024</v>
      </c>
      <c r="M9" s="656">
        <v>45</v>
      </c>
      <c r="N9" s="657">
        <v>71</v>
      </c>
      <c r="P9" s="656">
        <v>15</v>
      </c>
      <c r="Q9" s="657">
        <v>20</v>
      </c>
    </row>
    <row r="10" spans="1:20">
      <c r="A10" s="173" t="s">
        <v>157</v>
      </c>
      <c r="B10" s="756">
        <v>0.05</v>
      </c>
      <c r="D10" s="8" t="s">
        <v>200</v>
      </c>
      <c r="E10" s="627">
        <f>2*(1-NORMSDIST(E8))</f>
        <v>0.4499726761973537</v>
      </c>
      <c r="G10" s="23" t="s">
        <v>4025</v>
      </c>
      <c r="M10" s="533">
        <v>29</v>
      </c>
      <c r="N10" s="541">
        <v>41</v>
      </c>
      <c r="P10" s="533">
        <v>33</v>
      </c>
      <c r="Q10" s="541">
        <v>66</v>
      </c>
    </row>
    <row r="11" spans="1:20">
      <c r="D11" s="8" t="s">
        <v>948</v>
      </c>
      <c r="E11" s="538" t="str">
        <f>IF(E10&lt;B10,"yes","no")</f>
        <v>no</v>
      </c>
      <c r="G11" t="e">
        <f ca="1">[1]!FTEXT(E11)</f>
        <v>#NAME?</v>
      </c>
    </row>
    <row r="12" spans="1:20">
      <c r="M12" t="s">
        <v>3329</v>
      </c>
      <c r="N12" s="756">
        <f>CORREL(M4:M10,N4:N10)</f>
        <v>0.9752921131375446</v>
      </c>
      <c r="P12" t="s">
        <v>3329</v>
      </c>
      <c r="Q12" s="756">
        <f>CORREL(P4:P10,Q4:Q10)</f>
        <v>0.6084891360690311</v>
      </c>
    </row>
  </sheetData>
  <pageMargins left="0.7" right="0.7" top="0.75" bottom="0.75" header="0.3" footer="0.3"/>
  <pageSetup paperSize="9"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>
  <sheetPr codeName="Sheet68"/>
  <dimension ref="A1:H23"/>
  <sheetViews>
    <sheetView workbookViewId="0"/>
  </sheetViews>
  <sheetFormatPr defaultRowHeight="14.4"/>
  <sheetData>
    <row r="1" spans="1:8">
      <c r="A1" s="1" t="s">
        <v>569</v>
      </c>
    </row>
    <row r="2" spans="1:8" ht="15" thickBot="1"/>
    <row r="3" spans="1:8">
      <c r="A3" s="822" t="s">
        <v>2042</v>
      </c>
      <c r="B3" s="822" t="s">
        <v>2043</v>
      </c>
      <c r="C3" s="822" t="s">
        <v>2044</v>
      </c>
      <c r="E3" s="862"/>
      <c r="F3" s="862" t="s">
        <v>2042</v>
      </c>
      <c r="G3" s="862" t="s">
        <v>2043</v>
      </c>
      <c r="H3" s="862" t="s">
        <v>2044</v>
      </c>
    </row>
    <row r="4" spans="1:8">
      <c r="A4" s="858">
        <v>92</v>
      </c>
      <c r="B4" s="858">
        <v>120</v>
      </c>
      <c r="C4" s="858">
        <v>91</v>
      </c>
      <c r="E4" s="28" t="s">
        <v>2042</v>
      </c>
      <c r="F4" s="28">
        <v>1</v>
      </c>
      <c r="G4" s="28">
        <f>F5</f>
        <v>0.35053077159127682</v>
      </c>
      <c r="H4" s="28">
        <f>F6</f>
        <v>0.31196789442778067</v>
      </c>
    </row>
    <row r="5" spans="1:8">
      <c r="A5" s="858">
        <v>110</v>
      </c>
      <c r="B5" s="858">
        <v>128</v>
      </c>
      <c r="C5" s="858">
        <v>121</v>
      </c>
      <c r="E5" s="28" t="s">
        <v>2043</v>
      </c>
      <c r="F5" s="28">
        <f>CORREL(A4:A23,B4:B23)</f>
        <v>0.35053077159127682</v>
      </c>
      <c r="G5" s="28">
        <v>1</v>
      </c>
      <c r="H5" s="28">
        <f>G6</f>
        <v>0.73728145072200035</v>
      </c>
    </row>
    <row r="6" spans="1:8" ht="15" thickBot="1">
      <c r="A6" s="858">
        <v>120</v>
      </c>
      <c r="B6" s="858">
        <v>118</v>
      </c>
      <c r="C6" s="858">
        <v>113</v>
      </c>
      <c r="E6" s="31" t="s">
        <v>2044</v>
      </c>
      <c r="F6" s="31">
        <f>CORREL(A4:A23,C4:C23)</f>
        <v>0.31196789442778067</v>
      </c>
      <c r="G6" s="31">
        <f>CORREL(B4:B23,C4:C23)</f>
        <v>0.73728145072200035</v>
      </c>
      <c r="H6" s="31">
        <v>1</v>
      </c>
    </row>
    <row r="7" spans="1:8">
      <c r="A7" s="858">
        <v>107</v>
      </c>
      <c r="B7" s="858">
        <v>85</v>
      </c>
      <c r="C7" s="858">
        <v>81</v>
      </c>
    </row>
    <row r="8" spans="1:8">
      <c r="A8" s="858">
        <v>145</v>
      </c>
      <c r="B8" s="858">
        <v>115</v>
      </c>
      <c r="C8" s="858">
        <v>111</v>
      </c>
      <c r="E8" t="s">
        <v>106</v>
      </c>
      <c r="F8" s="853">
        <f>COUNT(A4:A23)</f>
        <v>20</v>
      </c>
    </row>
    <row r="9" spans="1:8">
      <c r="A9" s="858">
        <v>107</v>
      </c>
      <c r="B9" s="858">
        <v>97</v>
      </c>
      <c r="C9" s="858">
        <v>103</v>
      </c>
      <c r="E9" s="66" t="s">
        <v>186</v>
      </c>
      <c r="F9" s="627">
        <f>F8-3</f>
        <v>17</v>
      </c>
    </row>
    <row r="10" spans="1:8">
      <c r="A10" s="858">
        <v>96</v>
      </c>
      <c r="B10" s="858">
        <v>131</v>
      </c>
      <c r="C10" s="858">
        <v>114</v>
      </c>
      <c r="E10" t="s">
        <v>565</v>
      </c>
      <c r="F10" s="793">
        <f>H5</f>
        <v>0.73728145072200035</v>
      </c>
    </row>
    <row r="11" spans="1:8">
      <c r="A11" s="858">
        <v>88</v>
      </c>
      <c r="B11" s="858">
        <v>91</v>
      </c>
      <c r="C11" s="858">
        <v>73</v>
      </c>
      <c r="E11" s="66" t="s">
        <v>566</v>
      </c>
      <c r="F11" s="793">
        <f>H4</f>
        <v>0.31196789442778067</v>
      </c>
    </row>
    <row r="12" spans="1:8">
      <c r="A12" s="858">
        <v>94</v>
      </c>
      <c r="B12" s="858">
        <v>99</v>
      </c>
      <c r="C12" s="858">
        <v>99</v>
      </c>
      <c r="E12" s="66" t="s">
        <v>567</v>
      </c>
      <c r="F12" s="793">
        <f>G4</f>
        <v>0.35053077159127682</v>
      </c>
    </row>
    <row r="13" spans="1:8">
      <c r="A13" s="858">
        <v>126</v>
      </c>
      <c r="B13" s="858">
        <v>110</v>
      </c>
      <c r="C13" s="858">
        <v>95</v>
      </c>
      <c r="E13" s="66" t="s">
        <v>2045</v>
      </c>
      <c r="F13" s="627">
        <f>MDETERM(F4:H6)</f>
        <v>0.39747013625770605</v>
      </c>
    </row>
    <row r="14" spans="1:8">
      <c r="A14" s="858">
        <v>84</v>
      </c>
      <c r="B14" s="858">
        <v>69</v>
      </c>
      <c r="C14" s="858">
        <v>81</v>
      </c>
      <c r="E14" s="493" t="s">
        <v>157</v>
      </c>
      <c r="F14" s="627">
        <v>0.05</v>
      </c>
    </row>
    <row r="15" spans="1:8">
      <c r="A15" s="858">
        <v>97</v>
      </c>
      <c r="B15" s="858">
        <v>105</v>
      </c>
      <c r="C15" s="858">
        <v>108</v>
      </c>
      <c r="E15" s="66" t="s">
        <v>195</v>
      </c>
      <c r="F15" s="627">
        <f>(F10-F11)*SQRT((F8-1)*(1+F12)/(2*(F8-1)/F9*F13+(F10+F11)^2*(1-F12)^3/4))</f>
        <v>2.1944749085393318</v>
      </c>
    </row>
    <row r="16" spans="1:8">
      <c r="A16" s="858">
        <v>116</v>
      </c>
      <c r="B16" s="858">
        <v>106</v>
      </c>
      <c r="C16" s="858">
        <v>102</v>
      </c>
      <c r="E16" s="66" t="s">
        <v>201</v>
      </c>
      <c r="F16" s="627">
        <f>TINV(F14,F9)</f>
        <v>2.109815577833317</v>
      </c>
    </row>
    <row r="17" spans="1:6">
      <c r="A17" s="858">
        <v>114</v>
      </c>
      <c r="B17" s="858">
        <v>137</v>
      </c>
      <c r="C17" s="858">
        <v>119</v>
      </c>
      <c r="E17" s="66" t="s">
        <v>200</v>
      </c>
      <c r="F17" s="544">
        <f>TDIST(F15,F9,2)</f>
        <v>4.2382628797638516E-2</v>
      </c>
    </row>
    <row r="18" spans="1:6">
      <c r="A18" s="858">
        <v>113</v>
      </c>
      <c r="B18" s="858">
        <v>93</v>
      </c>
      <c r="C18" s="858">
        <v>90</v>
      </c>
    </row>
    <row r="19" spans="1:6">
      <c r="A19" s="858">
        <v>85</v>
      </c>
      <c r="B19" s="858">
        <v>110</v>
      </c>
      <c r="C19" s="858">
        <v>101</v>
      </c>
    </row>
    <row r="20" spans="1:6">
      <c r="A20" s="858">
        <v>110</v>
      </c>
      <c r="B20" s="858">
        <v>119</v>
      </c>
      <c r="C20" s="858">
        <v>93</v>
      </c>
    </row>
    <row r="21" spans="1:6">
      <c r="A21" s="858">
        <v>112</v>
      </c>
      <c r="B21" s="858">
        <v>116</v>
      </c>
      <c r="C21" s="858">
        <v>105</v>
      </c>
    </row>
    <row r="22" spans="1:6">
      <c r="A22" s="858">
        <v>106</v>
      </c>
      <c r="B22" s="858">
        <v>85</v>
      </c>
      <c r="C22" s="858">
        <v>79</v>
      </c>
    </row>
    <row r="23" spans="1:6">
      <c r="A23" s="863">
        <v>89</v>
      </c>
      <c r="B23" s="863">
        <v>95</v>
      </c>
      <c r="C23" s="863">
        <v>113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sheetPr codeName="Sheet51"/>
  <dimension ref="A1:AD18"/>
  <sheetViews>
    <sheetView workbookViewId="0"/>
  </sheetViews>
  <sheetFormatPr defaultRowHeight="14.4"/>
  <cols>
    <col min="1" max="25" width="3" customWidth="1"/>
    <col min="26" max="26" width="6.33203125" customWidth="1"/>
    <col min="29" max="29" width="3" customWidth="1"/>
    <col min="30" max="30" width="23.33203125" customWidth="1"/>
    <col min="31" max="31" width="29.6640625" customWidth="1"/>
  </cols>
  <sheetData>
    <row r="1" spans="1:30">
      <c r="A1" s="1" t="s">
        <v>862</v>
      </c>
    </row>
    <row r="3" spans="1:30">
      <c r="A3" s="107" t="s">
        <v>28</v>
      </c>
      <c r="B3">
        <v>23</v>
      </c>
      <c r="C3">
        <v>15</v>
      </c>
      <c r="D3">
        <v>16</v>
      </c>
      <c r="E3">
        <v>25</v>
      </c>
      <c r="F3">
        <v>20</v>
      </c>
      <c r="G3">
        <v>17</v>
      </c>
      <c r="H3">
        <v>18</v>
      </c>
      <c r="I3">
        <v>14</v>
      </c>
      <c r="J3">
        <v>12</v>
      </c>
      <c r="K3">
        <v>19</v>
      </c>
      <c r="L3">
        <v>21</v>
      </c>
      <c r="M3">
        <v>22</v>
      </c>
      <c r="N3">
        <v>16</v>
      </c>
      <c r="O3">
        <v>21</v>
      </c>
      <c r="P3">
        <v>16</v>
      </c>
      <c r="Q3">
        <v>11</v>
      </c>
      <c r="R3">
        <v>24</v>
      </c>
      <c r="S3">
        <v>21</v>
      </c>
      <c r="T3">
        <v>18</v>
      </c>
      <c r="U3">
        <v>15</v>
      </c>
      <c r="V3">
        <v>19</v>
      </c>
      <c r="W3">
        <v>22</v>
      </c>
      <c r="X3">
        <v>13</v>
      </c>
      <c r="Y3">
        <v>24</v>
      </c>
      <c r="AA3" t="s">
        <v>396</v>
      </c>
      <c r="AB3">
        <f>CORREL(B3:Y3,B4:Y4)</f>
        <v>2.1402925123634755E-2</v>
      </c>
      <c r="AD3" s="23" t="s">
        <v>408</v>
      </c>
    </row>
    <row r="4" spans="1:30" ht="15.6">
      <c r="A4" s="107" t="s">
        <v>400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AA4" t="s">
        <v>397</v>
      </c>
      <c r="AB4">
        <f>SQRT((1-AB3^2)/AB6)</f>
        <v>0.21315187871521352</v>
      </c>
      <c r="AD4" s="23" t="s">
        <v>410</v>
      </c>
    </row>
    <row r="5" spans="1:30">
      <c r="AA5" t="s">
        <v>398</v>
      </c>
      <c r="AB5">
        <f>(AB3-0)/AB4</f>
        <v>0.10041161847900307</v>
      </c>
      <c r="AD5" s="23" t="s">
        <v>411</v>
      </c>
    </row>
    <row r="6" spans="1:30">
      <c r="AA6" t="s">
        <v>399</v>
      </c>
      <c r="AB6">
        <f>COUNT(B3:Y3)-2</f>
        <v>22</v>
      </c>
      <c r="AD6" s="23" t="s">
        <v>409</v>
      </c>
    </row>
    <row r="7" spans="1:30">
      <c r="AA7" t="s">
        <v>337</v>
      </c>
      <c r="AB7">
        <v>0.05</v>
      </c>
    </row>
    <row r="8" spans="1:30">
      <c r="AA8" t="s">
        <v>200</v>
      </c>
      <c r="AB8">
        <f>TDIST(AB5,AB6,2)</f>
        <v>0.9209269970296301</v>
      </c>
      <c r="AD8" s="23" t="s">
        <v>412</v>
      </c>
    </row>
    <row r="9" spans="1:30">
      <c r="AA9" t="s">
        <v>948</v>
      </c>
      <c r="AB9" s="19" t="str">
        <f>IF(AB8&lt;AB7,"yes","no")</f>
        <v>no</v>
      </c>
      <c r="AD9" s="23" t="s">
        <v>413</v>
      </c>
    </row>
    <row r="11" spans="1:30" ht="16.2">
      <c r="AA11" t="s">
        <v>617</v>
      </c>
      <c r="AB11">
        <f>AB5^2/(AB5^2+AB6)</f>
        <v>4.5808520384791571E-4</v>
      </c>
      <c r="AD11" s="23" t="s">
        <v>621</v>
      </c>
    </row>
    <row r="12" spans="1:30">
      <c r="AA12" t="s">
        <v>368</v>
      </c>
      <c r="AB12">
        <f>SQRT(AB11)</f>
        <v>2.1402925123634751E-2</v>
      </c>
      <c r="AD12" s="23" t="s">
        <v>622</v>
      </c>
    </row>
    <row r="14" spans="1:30" ht="16.2">
      <c r="AA14" t="s">
        <v>617</v>
      </c>
      <c r="AB14">
        <f>AB11</f>
        <v>4.5808520384791571E-4</v>
      </c>
      <c r="AD14" s="23" t="s">
        <v>1958</v>
      </c>
    </row>
    <row r="15" spans="1:30">
      <c r="AA15" t="s">
        <v>291</v>
      </c>
      <c r="AB15">
        <f>COUNTIF(B4:Y4,1)</f>
        <v>12</v>
      </c>
      <c r="AD15" s="23" t="s">
        <v>1959</v>
      </c>
    </row>
    <row r="16" spans="1:30">
      <c r="AA16" t="s">
        <v>292</v>
      </c>
      <c r="AB16">
        <f>COUNTIF(B4:Y4,0)</f>
        <v>12</v>
      </c>
      <c r="AD16" s="23" t="s">
        <v>1960</v>
      </c>
    </row>
    <row r="17" spans="27:30">
      <c r="AA17" t="s">
        <v>186</v>
      </c>
      <c r="AB17">
        <f>AB6</f>
        <v>22</v>
      </c>
      <c r="AD17" s="23" t="s">
        <v>1961</v>
      </c>
    </row>
    <row r="18" spans="27:30">
      <c r="AA18" t="s">
        <v>144</v>
      </c>
      <c r="AB18">
        <f>SQRT((AB17*(AB15+AB16)*AB14)/(AB15*AB16*(1-AB14)))</f>
        <v>4.0992871586762639E-2</v>
      </c>
      <c r="AD18" s="23" t="s">
        <v>1962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sheetPr codeName="Sheet64"/>
  <dimension ref="A1:R163"/>
  <sheetViews>
    <sheetView workbookViewId="0"/>
  </sheetViews>
  <sheetFormatPr defaultRowHeight="14.4"/>
  <cols>
    <col min="1" max="1" width="10.5546875" customWidth="1"/>
    <col min="2" max="5" width="9.109375" customWidth="1"/>
    <col min="6" max="7" width="7.109375" customWidth="1"/>
    <col min="8" max="8" width="8" customWidth="1"/>
    <col min="9" max="9" width="6.5546875" customWidth="1"/>
    <col min="12" max="14" width="11.44140625" customWidth="1"/>
  </cols>
  <sheetData>
    <row r="1" spans="1:18">
      <c r="A1" s="1" t="s">
        <v>861</v>
      </c>
    </row>
    <row r="3" spans="1:18" ht="16.2">
      <c r="B3" s="19" t="s">
        <v>360</v>
      </c>
      <c r="C3" s="19" t="s">
        <v>361</v>
      </c>
      <c r="D3" s="19" t="s">
        <v>12</v>
      </c>
      <c r="F3" s="283" t="s">
        <v>28</v>
      </c>
      <c r="G3" s="283" t="s">
        <v>400</v>
      </c>
      <c r="H3" s="283" t="s">
        <v>554</v>
      </c>
      <c r="J3" s="308" t="s">
        <v>867</v>
      </c>
      <c r="K3" s="283" t="s">
        <v>868</v>
      </c>
      <c r="L3" s="308" t="s">
        <v>869</v>
      </c>
      <c r="M3" s="308" t="s">
        <v>870</v>
      </c>
      <c r="N3" s="308" t="s">
        <v>871</v>
      </c>
      <c r="O3" s="283" t="s">
        <v>554</v>
      </c>
      <c r="Q3" t="s">
        <v>368</v>
      </c>
      <c r="R3" s="267">
        <f>L8/SQRT(M8*N8)</f>
        <v>0.19176735180490345</v>
      </c>
    </row>
    <row r="4" spans="1:18">
      <c r="A4" t="s">
        <v>362</v>
      </c>
      <c r="B4" s="4">
        <v>31</v>
      </c>
      <c r="C4" s="6">
        <v>57</v>
      </c>
      <c r="D4">
        <f>SUM(B4:C4)</f>
        <v>88</v>
      </c>
      <c r="F4" s="193">
        <v>1</v>
      </c>
      <c r="G4" s="193">
        <v>1</v>
      </c>
      <c r="H4" s="193">
        <f>B4</f>
        <v>31</v>
      </c>
      <c r="J4">
        <f>F4-$F$10</f>
        <v>0.41333333333333333</v>
      </c>
      <c r="K4">
        <f>G4-$G$10</f>
        <v>0.72</v>
      </c>
      <c r="L4">
        <f>J4*K4</f>
        <v>0.29759999999999998</v>
      </c>
      <c r="M4">
        <f>J4*J4</f>
        <v>0.17084444444444444</v>
      </c>
      <c r="N4">
        <f>K4*K4</f>
        <v>0.51839999999999997</v>
      </c>
      <c r="O4" s="193">
        <f>H4</f>
        <v>31</v>
      </c>
      <c r="Q4" t="s">
        <v>106</v>
      </c>
      <c r="R4" s="40">
        <f>H8</f>
        <v>150</v>
      </c>
    </row>
    <row r="5" spans="1:18" ht="16.2">
      <c r="A5" t="s">
        <v>363</v>
      </c>
      <c r="B5" s="10">
        <v>11</v>
      </c>
      <c r="C5" s="12">
        <v>51</v>
      </c>
      <c r="D5">
        <f>SUM(B5:C5)</f>
        <v>62</v>
      </c>
      <c r="F5" s="193">
        <v>0</v>
      </c>
      <c r="G5" s="193">
        <v>1</v>
      </c>
      <c r="H5" s="193">
        <f>B5</f>
        <v>11</v>
      </c>
      <c r="J5">
        <f>F5-$F$10</f>
        <v>-0.58666666666666667</v>
      </c>
      <c r="K5">
        <f>G5-$G$10</f>
        <v>0.72</v>
      </c>
      <c r="L5">
        <f>J5*K5</f>
        <v>-0.4224</v>
      </c>
      <c r="M5">
        <f t="shared" ref="M5:N7" si="0">J5*J5</f>
        <v>0.3441777777777778</v>
      </c>
      <c r="N5">
        <f t="shared" si="0"/>
        <v>0.51839999999999997</v>
      </c>
      <c r="O5" s="193">
        <f>H5</f>
        <v>11</v>
      </c>
      <c r="Q5" t="s">
        <v>873</v>
      </c>
      <c r="R5" s="40">
        <f>R4*R3^2</f>
        <v>5.5162075827398409</v>
      </c>
    </row>
    <row r="6" spans="1:18">
      <c r="A6" t="s">
        <v>12</v>
      </c>
      <c r="B6">
        <f>SUM(B4:B5)</f>
        <v>42</v>
      </c>
      <c r="C6">
        <f>SUM(C4:C5)</f>
        <v>108</v>
      </c>
      <c r="D6">
        <f>SUM(D4:D5)</f>
        <v>150</v>
      </c>
      <c r="F6" s="193">
        <v>1</v>
      </c>
      <c r="G6" s="193">
        <v>0</v>
      </c>
      <c r="H6" s="193">
        <f>C4</f>
        <v>57</v>
      </c>
      <c r="J6">
        <f>F6-$F$10</f>
        <v>0.41333333333333333</v>
      </c>
      <c r="K6">
        <f>G6-$G$10</f>
        <v>-0.28000000000000003</v>
      </c>
      <c r="L6">
        <f>J6*K6</f>
        <v>-0.11573333333333334</v>
      </c>
      <c r="M6">
        <f t="shared" si="0"/>
        <v>0.17084444444444444</v>
      </c>
      <c r="N6">
        <f t="shared" si="0"/>
        <v>7.8400000000000011E-2</v>
      </c>
      <c r="O6" s="193">
        <f>H6</f>
        <v>57</v>
      </c>
      <c r="Q6" s="25" t="s">
        <v>200</v>
      </c>
      <c r="R6" s="268">
        <f>CHIDIST(R5,1)</f>
        <v>1.8841061611125608E-2</v>
      </c>
    </row>
    <row r="7" spans="1:18">
      <c r="F7" s="262">
        <v>0</v>
      </c>
      <c r="G7" s="262">
        <v>0</v>
      </c>
      <c r="H7" s="262">
        <f>C5</f>
        <v>51</v>
      </c>
      <c r="J7" s="235">
        <f>F7-$F$10</f>
        <v>-0.58666666666666667</v>
      </c>
      <c r="K7" s="235">
        <f>G7-$G$10</f>
        <v>-0.28000000000000003</v>
      </c>
      <c r="L7" s="235">
        <f>J7*K7</f>
        <v>0.16426666666666667</v>
      </c>
      <c r="M7" s="235">
        <f t="shared" si="0"/>
        <v>0.3441777777777778</v>
      </c>
      <c r="N7" s="235">
        <f t="shared" si="0"/>
        <v>7.8400000000000011E-2</v>
      </c>
      <c r="O7" s="262">
        <f>H7</f>
        <v>51</v>
      </c>
    </row>
    <row r="8" spans="1:18">
      <c r="H8" s="193">
        <f>SUM(H4:H7)</f>
        <v>150</v>
      </c>
      <c r="K8" s="93" t="s">
        <v>872</v>
      </c>
      <c r="L8">
        <f>SUMPRODUCT(L4:L7,$O$4:$O$7)</f>
        <v>6.3600000000000012</v>
      </c>
      <c r="M8">
        <f>SUMPRODUCT(M4:M7,$O$4:$O$7)</f>
        <v>36.373333333333335</v>
      </c>
      <c r="N8">
        <f>SUMPRODUCT(N4:N7,$O$4:$O$7)</f>
        <v>30.240000000000002</v>
      </c>
    </row>
    <row r="9" spans="1:18">
      <c r="A9" t="s">
        <v>864</v>
      </c>
      <c r="F9" s="308" t="s">
        <v>865</v>
      </c>
      <c r="G9" s="283" t="s">
        <v>866</v>
      </c>
      <c r="K9" s="193"/>
    </row>
    <row r="10" spans="1:18">
      <c r="A10" t="s">
        <v>863</v>
      </c>
      <c r="F10">
        <f>SUMPRODUCT(F4:F7,H4:H7)/H8</f>
        <v>0.58666666666666667</v>
      </c>
      <c r="G10">
        <f>SUMPRODUCT(G4:G7,H4:H7)/H8</f>
        <v>0.28000000000000003</v>
      </c>
      <c r="K10" s="193"/>
    </row>
    <row r="13" spans="1:18">
      <c r="F13" s="193" t="s">
        <v>28</v>
      </c>
      <c r="G13" s="193" t="s">
        <v>400</v>
      </c>
      <c r="H13" s="19" t="s">
        <v>368</v>
      </c>
      <c r="I13">
        <f>CORREL(F14:F163,G14:G163)</f>
        <v>0.19176735180490398</v>
      </c>
    </row>
    <row r="14" spans="1:18">
      <c r="F14" s="193">
        <v>1</v>
      </c>
      <c r="G14" s="193">
        <v>1</v>
      </c>
    </row>
    <row r="15" spans="1:18">
      <c r="F15" s="193">
        <v>1</v>
      </c>
      <c r="G15" s="193">
        <v>1</v>
      </c>
    </row>
    <row r="16" spans="1:18">
      <c r="F16" s="193">
        <v>1</v>
      </c>
      <c r="G16" s="193">
        <v>1</v>
      </c>
    </row>
    <row r="17" spans="6:7">
      <c r="F17" s="193">
        <v>1</v>
      </c>
      <c r="G17" s="193">
        <v>1</v>
      </c>
    </row>
    <row r="18" spans="6:7">
      <c r="F18" s="193">
        <v>1</v>
      </c>
      <c r="G18" s="193">
        <v>1</v>
      </c>
    </row>
    <row r="19" spans="6:7">
      <c r="F19" s="193">
        <v>1</v>
      </c>
      <c r="G19" s="193">
        <v>1</v>
      </c>
    </row>
    <row r="20" spans="6:7">
      <c r="F20" s="193">
        <v>1</v>
      </c>
      <c r="G20" s="193">
        <v>1</v>
      </c>
    </row>
    <row r="21" spans="6:7">
      <c r="F21" s="193">
        <v>1</v>
      </c>
      <c r="G21" s="193">
        <v>1</v>
      </c>
    </row>
    <row r="22" spans="6:7">
      <c r="F22" s="193">
        <v>1</v>
      </c>
      <c r="G22" s="193">
        <v>1</v>
      </c>
    </row>
    <row r="23" spans="6:7">
      <c r="F23" s="193">
        <v>1</v>
      </c>
      <c r="G23" s="193">
        <v>1</v>
      </c>
    </row>
    <row r="24" spans="6:7">
      <c r="F24" s="193">
        <v>1</v>
      </c>
      <c r="G24" s="193">
        <v>1</v>
      </c>
    </row>
    <row r="25" spans="6:7">
      <c r="F25" s="193">
        <v>1</v>
      </c>
      <c r="G25" s="193">
        <v>1</v>
      </c>
    </row>
    <row r="26" spans="6:7">
      <c r="F26" s="193">
        <v>1</v>
      </c>
      <c r="G26" s="193">
        <v>1</v>
      </c>
    </row>
    <row r="27" spans="6:7">
      <c r="F27" s="193">
        <v>1</v>
      </c>
      <c r="G27" s="193">
        <v>1</v>
      </c>
    </row>
    <row r="28" spans="6:7">
      <c r="F28" s="193">
        <v>1</v>
      </c>
      <c r="G28" s="193">
        <v>1</v>
      </c>
    </row>
    <row r="29" spans="6:7">
      <c r="F29" s="193">
        <v>1</v>
      </c>
      <c r="G29" s="193">
        <v>1</v>
      </c>
    </row>
    <row r="30" spans="6:7">
      <c r="F30" s="193">
        <v>1</v>
      </c>
      <c r="G30" s="193">
        <v>1</v>
      </c>
    </row>
    <row r="31" spans="6:7">
      <c r="F31" s="193">
        <v>1</v>
      </c>
      <c r="G31" s="193">
        <v>1</v>
      </c>
    </row>
    <row r="32" spans="6:7">
      <c r="F32" s="193">
        <v>1</v>
      </c>
      <c r="G32" s="193">
        <v>1</v>
      </c>
    </row>
    <row r="33" spans="6:7">
      <c r="F33" s="193">
        <v>1</v>
      </c>
      <c r="G33" s="193">
        <v>1</v>
      </c>
    </row>
    <row r="34" spans="6:7">
      <c r="F34" s="193">
        <v>1</v>
      </c>
      <c r="G34" s="193">
        <v>1</v>
      </c>
    </row>
    <row r="35" spans="6:7">
      <c r="F35" s="193">
        <v>1</v>
      </c>
      <c r="G35" s="193">
        <v>1</v>
      </c>
    </row>
    <row r="36" spans="6:7">
      <c r="F36" s="193">
        <v>1</v>
      </c>
      <c r="G36" s="193">
        <v>1</v>
      </c>
    </row>
    <row r="37" spans="6:7">
      <c r="F37" s="193">
        <v>1</v>
      </c>
      <c r="G37" s="193">
        <v>1</v>
      </c>
    </row>
    <row r="38" spans="6:7">
      <c r="F38" s="193">
        <v>1</v>
      </c>
      <c r="G38" s="193">
        <v>1</v>
      </c>
    </row>
    <row r="39" spans="6:7">
      <c r="F39" s="193">
        <v>1</v>
      </c>
      <c r="G39" s="193">
        <v>1</v>
      </c>
    </row>
    <row r="40" spans="6:7">
      <c r="F40" s="193">
        <v>1</v>
      </c>
      <c r="G40" s="193">
        <v>1</v>
      </c>
    </row>
    <row r="41" spans="6:7">
      <c r="F41" s="193">
        <v>1</v>
      </c>
      <c r="G41" s="193">
        <v>1</v>
      </c>
    </row>
    <row r="42" spans="6:7">
      <c r="F42" s="193">
        <v>1</v>
      </c>
      <c r="G42" s="193">
        <v>1</v>
      </c>
    </row>
    <row r="43" spans="6:7">
      <c r="F43" s="193">
        <v>1</v>
      </c>
      <c r="G43" s="193">
        <v>1</v>
      </c>
    </row>
    <row r="44" spans="6:7">
      <c r="F44" s="193">
        <v>1</v>
      </c>
      <c r="G44" s="193">
        <v>1</v>
      </c>
    </row>
    <row r="45" spans="6:7">
      <c r="F45" s="193">
        <v>0</v>
      </c>
      <c r="G45" s="193">
        <v>1</v>
      </c>
    </row>
    <row r="46" spans="6:7">
      <c r="F46" s="471">
        <v>0</v>
      </c>
      <c r="G46" s="471">
        <v>1</v>
      </c>
    </row>
    <row r="47" spans="6:7">
      <c r="F47" s="471">
        <v>0</v>
      </c>
      <c r="G47" s="471">
        <v>1</v>
      </c>
    </row>
    <row r="48" spans="6:7">
      <c r="F48" s="471">
        <v>0</v>
      </c>
      <c r="G48" s="471">
        <v>1</v>
      </c>
    </row>
    <row r="49" spans="6:7">
      <c r="F49" s="471">
        <v>0</v>
      </c>
      <c r="G49" s="471">
        <v>1</v>
      </c>
    </row>
    <row r="50" spans="6:7">
      <c r="F50" s="471">
        <v>0</v>
      </c>
      <c r="G50" s="471">
        <v>1</v>
      </c>
    </row>
    <row r="51" spans="6:7">
      <c r="F51" s="471">
        <v>0</v>
      </c>
      <c r="G51" s="471">
        <v>1</v>
      </c>
    </row>
    <row r="52" spans="6:7">
      <c r="F52" s="471">
        <v>0</v>
      </c>
      <c r="G52" s="471">
        <v>1</v>
      </c>
    </row>
    <row r="53" spans="6:7">
      <c r="F53" s="471">
        <v>0</v>
      </c>
      <c r="G53" s="471">
        <v>1</v>
      </c>
    </row>
    <row r="54" spans="6:7">
      <c r="F54" s="471">
        <v>0</v>
      </c>
      <c r="G54" s="471">
        <v>1</v>
      </c>
    </row>
    <row r="55" spans="6:7">
      <c r="F55" s="471">
        <v>0</v>
      </c>
      <c r="G55" s="471">
        <v>1</v>
      </c>
    </row>
    <row r="56" spans="6:7">
      <c r="F56" s="193">
        <v>1</v>
      </c>
      <c r="G56" s="193">
        <v>0</v>
      </c>
    </row>
    <row r="57" spans="6:7">
      <c r="F57" s="471">
        <v>1</v>
      </c>
      <c r="G57" s="471">
        <v>0</v>
      </c>
    </row>
    <row r="58" spans="6:7">
      <c r="F58" s="471">
        <v>1</v>
      </c>
      <c r="G58" s="471">
        <v>0</v>
      </c>
    </row>
    <row r="59" spans="6:7">
      <c r="F59" s="471">
        <v>1</v>
      </c>
      <c r="G59" s="471">
        <v>0</v>
      </c>
    </row>
    <row r="60" spans="6:7">
      <c r="F60" s="471">
        <v>1</v>
      </c>
      <c r="G60" s="471">
        <v>0</v>
      </c>
    </row>
    <row r="61" spans="6:7">
      <c r="F61" s="471">
        <v>1</v>
      </c>
      <c r="G61" s="471">
        <v>0</v>
      </c>
    </row>
    <row r="62" spans="6:7">
      <c r="F62" s="471">
        <v>1</v>
      </c>
      <c r="G62" s="471">
        <v>0</v>
      </c>
    </row>
    <row r="63" spans="6:7">
      <c r="F63" s="471">
        <v>1</v>
      </c>
      <c r="G63" s="471">
        <v>0</v>
      </c>
    </row>
    <row r="64" spans="6:7">
      <c r="F64" s="471">
        <v>1</v>
      </c>
      <c r="G64" s="471">
        <v>0</v>
      </c>
    </row>
    <row r="65" spans="6:7">
      <c r="F65" s="471">
        <v>1</v>
      </c>
      <c r="G65" s="471">
        <v>0</v>
      </c>
    </row>
    <row r="66" spans="6:7">
      <c r="F66" s="471">
        <v>1</v>
      </c>
      <c r="G66" s="471">
        <v>0</v>
      </c>
    </row>
    <row r="67" spans="6:7">
      <c r="F67" s="471">
        <v>1</v>
      </c>
      <c r="G67" s="471">
        <v>0</v>
      </c>
    </row>
    <row r="68" spans="6:7">
      <c r="F68" s="471">
        <v>1</v>
      </c>
      <c r="G68" s="471">
        <v>0</v>
      </c>
    </row>
    <row r="69" spans="6:7">
      <c r="F69" s="471">
        <v>1</v>
      </c>
      <c r="G69" s="471">
        <v>0</v>
      </c>
    </row>
    <row r="70" spans="6:7">
      <c r="F70" s="471">
        <v>1</v>
      </c>
      <c r="G70" s="471">
        <v>0</v>
      </c>
    </row>
    <row r="71" spans="6:7">
      <c r="F71" s="471">
        <v>1</v>
      </c>
      <c r="G71" s="471">
        <v>0</v>
      </c>
    </row>
    <row r="72" spans="6:7">
      <c r="F72" s="471">
        <v>1</v>
      </c>
      <c r="G72" s="471">
        <v>0</v>
      </c>
    </row>
    <row r="73" spans="6:7">
      <c r="F73" s="471">
        <v>1</v>
      </c>
      <c r="G73" s="471">
        <v>0</v>
      </c>
    </row>
    <row r="74" spans="6:7">
      <c r="F74" s="471">
        <v>1</v>
      </c>
      <c r="G74" s="471">
        <v>0</v>
      </c>
    </row>
    <row r="75" spans="6:7">
      <c r="F75" s="471">
        <v>1</v>
      </c>
      <c r="G75" s="471">
        <v>0</v>
      </c>
    </row>
    <row r="76" spans="6:7">
      <c r="F76" s="471">
        <v>1</v>
      </c>
      <c r="G76" s="471">
        <v>0</v>
      </c>
    </row>
    <row r="77" spans="6:7">
      <c r="F77" s="471">
        <v>1</v>
      </c>
      <c r="G77" s="471">
        <v>0</v>
      </c>
    </row>
    <row r="78" spans="6:7">
      <c r="F78" s="471">
        <v>1</v>
      </c>
      <c r="G78" s="471">
        <v>0</v>
      </c>
    </row>
    <row r="79" spans="6:7">
      <c r="F79" s="471">
        <v>1</v>
      </c>
      <c r="G79" s="471">
        <v>0</v>
      </c>
    </row>
    <row r="80" spans="6:7">
      <c r="F80" s="471">
        <v>1</v>
      </c>
      <c r="G80" s="471">
        <v>0</v>
      </c>
    </row>
    <row r="81" spans="6:7">
      <c r="F81" s="471">
        <v>1</v>
      </c>
      <c r="G81" s="471">
        <v>0</v>
      </c>
    </row>
    <row r="82" spans="6:7">
      <c r="F82" s="471">
        <v>1</v>
      </c>
      <c r="G82" s="471">
        <v>0</v>
      </c>
    </row>
    <row r="83" spans="6:7">
      <c r="F83" s="471">
        <v>1</v>
      </c>
      <c r="G83" s="471">
        <v>0</v>
      </c>
    </row>
    <row r="84" spans="6:7">
      <c r="F84" s="471">
        <v>1</v>
      </c>
      <c r="G84" s="471">
        <v>0</v>
      </c>
    </row>
    <row r="85" spans="6:7">
      <c r="F85" s="471">
        <v>1</v>
      </c>
      <c r="G85" s="471">
        <v>0</v>
      </c>
    </row>
    <row r="86" spans="6:7">
      <c r="F86" s="471">
        <v>1</v>
      </c>
      <c r="G86" s="471">
        <v>0</v>
      </c>
    </row>
    <row r="87" spans="6:7">
      <c r="F87" s="471">
        <v>1</v>
      </c>
      <c r="G87" s="471">
        <v>0</v>
      </c>
    </row>
    <row r="88" spans="6:7">
      <c r="F88" s="471">
        <v>1</v>
      </c>
      <c r="G88" s="471">
        <v>0</v>
      </c>
    </row>
    <row r="89" spans="6:7">
      <c r="F89" s="471">
        <v>1</v>
      </c>
      <c r="G89" s="471">
        <v>0</v>
      </c>
    </row>
    <row r="90" spans="6:7">
      <c r="F90" s="471">
        <v>1</v>
      </c>
      <c r="G90" s="471">
        <v>0</v>
      </c>
    </row>
    <row r="91" spans="6:7">
      <c r="F91" s="471">
        <v>1</v>
      </c>
      <c r="G91" s="471">
        <v>0</v>
      </c>
    </row>
    <row r="92" spans="6:7">
      <c r="F92" s="471">
        <v>1</v>
      </c>
      <c r="G92" s="471">
        <v>0</v>
      </c>
    </row>
    <row r="93" spans="6:7">
      <c r="F93" s="471">
        <v>1</v>
      </c>
      <c r="G93" s="471">
        <v>0</v>
      </c>
    </row>
    <row r="94" spans="6:7">
      <c r="F94" s="471">
        <v>1</v>
      </c>
      <c r="G94" s="471">
        <v>0</v>
      </c>
    </row>
    <row r="95" spans="6:7">
      <c r="F95" s="471">
        <v>1</v>
      </c>
      <c r="G95" s="471">
        <v>0</v>
      </c>
    </row>
    <row r="96" spans="6:7">
      <c r="F96" s="471">
        <v>1</v>
      </c>
      <c r="G96" s="471">
        <v>0</v>
      </c>
    </row>
    <row r="97" spans="6:7">
      <c r="F97" s="471">
        <v>1</v>
      </c>
      <c r="G97" s="471">
        <v>0</v>
      </c>
    </row>
    <row r="98" spans="6:7">
      <c r="F98" s="471">
        <v>1</v>
      </c>
      <c r="G98" s="471">
        <v>0</v>
      </c>
    </row>
    <row r="99" spans="6:7">
      <c r="F99" s="471">
        <v>1</v>
      </c>
      <c r="G99" s="471">
        <v>0</v>
      </c>
    </row>
    <row r="100" spans="6:7">
      <c r="F100" s="471">
        <v>1</v>
      </c>
      <c r="G100" s="471">
        <v>0</v>
      </c>
    </row>
    <row r="101" spans="6:7">
      <c r="F101" s="471">
        <v>1</v>
      </c>
      <c r="G101" s="471">
        <v>0</v>
      </c>
    </row>
    <row r="102" spans="6:7">
      <c r="F102" s="471">
        <v>1</v>
      </c>
      <c r="G102" s="471">
        <v>0</v>
      </c>
    </row>
    <row r="103" spans="6:7">
      <c r="F103" s="471">
        <v>1</v>
      </c>
      <c r="G103" s="471">
        <v>0</v>
      </c>
    </row>
    <row r="104" spans="6:7">
      <c r="F104" s="471">
        <v>1</v>
      </c>
      <c r="G104" s="471">
        <v>0</v>
      </c>
    </row>
    <row r="105" spans="6:7">
      <c r="F105" s="471">
        <v>1</v>
      </c>
      <c r="G105" s="471">
        <v>0</v>
      </c>
    </row>
    <row r="106" spans="6:7">
      <c r="F106" s="471">
        <v>1</v>
      </c>
      <c r="G106" s="471">
        <v>0</v>
      </c>
    </row>
    <row r="107" spans="6:7">
      <c r="F107" s="471">
        <v>1</v>
      </c>
      <c r="G107" s="471">
        <v>0</v>
      </c>
    </row>
    <row r="108" spans="6:7">
      <c r="F108" s="471">
        <v>1</v>
      </c>
      <c r="G108" s="471">
        <v>0</v>
      </c>
    </row>
    <row r="109" spans="6:7">
      <c r="F109" s="471">
        <v>1</v>
      </c>
      <c r="G109" s="471">
        <v>0</v>
      </c>
    </row>
    <row r="110" spans="6:7">
      <c r="F110" s="471">
        <v>1</v>
      </c>
      <c r="G110" s="471">
        <v>0</v>
      </c>
    </row>
    <row r="111" spans="6:7">
      <c r="F111" s="471">
        <v>1</v>
      </c>
      <c r="G111" s="471">
        <v>0</v>
      </c>
    </row>
    <row r="112" spans="6:7">
      <c r="F112" s="471">
        <v>1</v>
      </c>
      <c r="G112" s="471">
        <v>0</v>
      </c>
    </row>
    <row r="113" spans="6:7">
      <c r="F113" s="193">
        <v>0</v>
      </c>
      <c r="G113" s="193">
        <v>0</v>
      </c>
    </row>
    <row r="114" spans="6:7">
      <c r="F114" s="471">
        <v>0</v>
      </c>
      <c r="G114" s="471">
        <v>0</v>
      </c>
    </row>
    <row r="115" spans="6:7">
      <c r="F115" s="471">
        <v>0</v>
      </c>
      <c r="G115" s="471">
        <v>0</v>
      </c>
    </row>
    <row r="116" spans="6:7">
      <c r="F116" s="471">
        <v>0</v>
      </c>
      <c r="G116" s="471">
        <v>0</v>
      </c>
    </row>
    <row r="117" spans="6:7">
      <c r="F117" s="471">
        <v>0</v>
      </c>
      <c r="G117" s="471">
        <v>0</v>
      </c>
    </row>
    <row r="118" spans="6:7">
      <c r="F118" s="471">
        <v>0</v>
      </c>
      <c r="G118" s="471">
        <v>0</v>
      </c>
    </row>
    <row r="119" spans="6:7">
      <c r="F119" s="471">
        <v>0</v>
      </c>
      <c r="G119" s="471">
        <v>0</v>
      </c>
    </row>
    <row r="120" spans="6:7">
      <c r="F120" s="471">
        <v>0</v>
      </c>
      <c r="G120" s="471">
        <v>0</v>
      </c>
    </row>
    <row r="121" spans="6:7">
      <c r="F121" s="471">
        <v>0</v>
      </c>
      <c r="G121" s="471">
        <v>0</v>
      </c>
    </row>
    <row r="122" spans="6:7">
      <c r="F122" s="471">
        <v>0</v>
      </c>
      <c r="G122" s="471">
        <v>0</v>
      </c>
    </row>
    <row r="123" spans="6:7">
      <c r="F123" s="471">
        <v>0</v>
      </c>
      <c r="G123" s="471">
        <v>0</v>
      </c>
    </row>
    <row r="124" spans="6:7">
      <c r="F124" s="471">
        <v>0</v>
      </c>
      <c r="G124" s="471">
        <v>0</v>
      </c>
    </row>
    <row r="125" spans="6:7">
      <c r="F125" s="471">
        <v>0</v>
      </c>
      <c r="G125" s="471">
        <v>0</v>
      </c>
    </row>
    <row r="126" spans="6:7">
      <c r="F126" s="471">
        <v>0</v>
      </c>
      <c r="G126" s="471">
        <v>0</v>
      </c>
    </row>
    <row r="127" spans="6:7">
      <c r="F127" s="471">
        <v>0</v>
      </c>
      <c r="G127" s="471">
        <v>0</v>
      </c>
    </row>
    <row r="128" spans="6:7">
      <c r="F128" s="471">
        <v>0</v>
      </c>
      <c r="G128" s="471">
        <v>0</v>
      </c>
    </row>
    <row r="129" spans="6:7">
      <c r="F129" s="471">
        <v>0</v>
      </c>
      <c r="G129" s="471">
        <v>0</v>
      </c>
    </row>
    <row r="130" spans="6:7">
      <c r="F130" s="471">
        <v>0</v>
      </c>
      <c r="G130" s="471">
        <v>0</v>
      </c>
    </row>
    <row r="131" spans="6:7">
      <c r="F131" s="471">
        <v>0</v>
      </c>
      <c r="G131" s="471">
        <v>0</v>
      </c>
    </row>
    <row r="132" spans="6:7">
      <c r="F132" s="471">
        <v>0</v>
      </c>
      <c r="G132" s="471">
        <v>0</v>
      </c>
    </row>
    <row r="133" spans="6:7">
      <c r="F133" s="471">
        <v>0</v>
      </c>
      <c r="G133" s="471">
        <v>0</v>
      </c>
    </row>
    <row r="134" spans="6:7">
      <c r="F134" s="471">
        <v>0</v>
      </c>
      <c r="G134" s="471">
        <v>0</v>
      </c>
    </row>
    <row r="135" spans="6:7">
      <c r="F135" s="471">
        <v>0</v>
      </c>
      <c r="G135" s="471">
        <v>0</v>
      </c>
    </row>
    <row r="136" spans="6:7">
      <c r="F136" s="471">
        <v>0</v>
      </c>
      <c r="G136" s="471">
        <v>0</v>
      </c>
    </row>
    <row r="137" spans="6:7">
      <c r="F137" s="471">
        <v>0</v>
      </c>
      <c r="G137" s="471">
        <v>0</v>
      </c>
    </row>
    <row r="138" spans="6:7">
      <c r="F138" s="471">
        <v>0</v>
      </c>
      <c r="G138" s="471">
        <v>0</v>
      </c>
    </row>
    <row r="139" spans="6:7">
      <c r="F139" s="471">
        <v>0</v>
      </c>
      <c r="G139" s="471">
        <v>0</v>
      </c>
    </row>
    <row r="140" spans="6:7">
      <c r="F140" s="471">
        <v>0</v>
      </c>
      <c r="G140" s="471">
        <v>0</v>
      </c>
    </row>
    <row r="141" spans="6:7">
      <c r="F141" s="471">
        <v>0</v>
      </c>
      <c r="G141" s="471">
        <v>0</v>
      </c>
    </row>
    <row r="142" spans="6:7">
      <c r="F142" s="471">
        <v>0</v>
      </c>
      <c r="G142" s="471">
        <v>0</v>
      </c>
    </row>
    <row r="143" spans="6:7">
      <c r="F143" s="471">
        <v>0</v>
      </c>
      <c r="G143" s="471">
        <v>0</v>
      </c>
    </row>
    <row r="144" spans="6:7">
      <c r="F144" s="471">
        <v>0</v>
      </c>
      <c r="G144" s="471">
        <v>0</v>
      </c>
    </row>
    <row r="145" spans="6:7">
      <c r="F145" s="471">
        <v>0</v>
      </c>
      <c r="G145" s="471">
        <v>0</v>
      </c>
    </row>
    <row r="146" spans="6:7">
      <c r="F146" s="471">
        <v>0</v>
      </c>
      <c r="G146" s="471">
        <v>0</v>
      </c>
    </row>
    <row r="147" spans="6:7">
      <c r="F147" s="471">
        <v>0</v>
      </c>
      <c r="G147" s="471">
        <v>0</v>
      </c>
    </row>
    <row r="148" spans="6:7">
      <c r="F148" s="471">
        <v>0</v>
      </c>
      <c r="G148" s="471">
        <v>0</v>
      </c>
    </row>
    <row r="149" spans="6:7">
      <c r="F149" s="471">
        <v>0</v>
      </c>
      <c r="G149" s="471">
        <v>0</v>
      </c>
    </row>
    <row r="150" spans="6:7">
      <c r="F150" s="471">
        <v>0</v>
      </c>
      <c r="G150" s="471">
        <v>0</v>
      </c>
    </row>
    <row r="151" spans="6:7">
      <c r="F151" s="471">
        <v>0</v>
      </c>
      <c r="G151" s="471">
        <v>0</v>
      </c>
    </row>
    <row r="152" spans="6:7">
      <c r="F152" s="471">
        <v>0</v>
      </c>
      <c r="G152" s="471">
        <v>0</v>
      </c>
    </row>
    <row r="153" spans="6:7">
      <c r="F153" s="471">
        <v>0</v>
      </c>
      <c r="G153" s="471">
        <v>0</v>
      </c>
    </row>
    <row r="154" spans="6:7">
      <c r="F154" s="471">
        <v>0</v>
      </c>
      <c r="G154" s="471">
        <v>0</v>
      </c>
    </row>
    <row r="155" spans="6:7">
      <c r="F155" s="471">
        <v>0</v>
      </c>
      <c r="G155" s="471">
        <v>0</v>
      </c>
    </row>
    <row r="156" spans="6:7">
      <c r="F156" s="471">
        <v>0</v>
      </c>
      <c r="G156" s="471">
        <v>0</v>
      </c>
    </row>
    <row r="157" spans="6:7">
      <c r="F157" s="471">
        <v>0</v>
      </c>
      <c r="G157" s="471">
        <v>0</v>
      </c>
    </row>
    <row r="158" spans="6:7">
      <c r="F158" s="471">
        <v>0</v>
      </c>
      <c r="G158" s="471">
        <v>0</v>
      </c>
    </row>
    <row r="159" spans="6:7">
      <c r="F159" s="471">
        <v>0</v>
      </c>
      <c r="G159" s="471">
        <v>0</v>
      </c>
    </row>
    <row r="160" spans="6:7">
      <c r="F160" s="471">
        <v>0</v>
      </c>
      <c r="G160" s="471">
        <v>0</v>
      </c>
    </row>
    <row r="161" spans="6:7">
      <c r="F161" s="471">
        <v>0</v>
      </c>
      <c r="G161" s="471">
        <v>0</v>
      </c>
    </row>
    <row r="162" spans="6:7">
      <c r="F162" s="471">
        <v>0</v>
      </c>
      <c r="G162" s="471">
        <v>0</v>
      </c>
    </row>
    <row r="163" spans="6:7">
      <c r="F163" s="471">
        <v>0</v>
      </c>
      <c r="G163" s="471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sheetPr codeName="Sheet60"/>
  <dimension ref="A1:O33"/>
  <sheetViews>
    <sheetView workbookViewId="0">
      <selection activeCell="Q20" sqref="Q20"/>
    </sheetView>
  </sheetViews>
  <sheetFormatPr defaultRowHeight="14.4"/>
  <sheetData>
    <row r="1" spans="1:4">
      <c r="A1" s="1" t="s">
        <v>504</v>
      </c>
    </row>
    <row r="3" spans="1:4">
      <c r="A3" s="884" t="s">
        <v>505</v>
      </c>
      <c r="B3" s="886" t="s">
        <v>509</v>
      </c>
      <c r="C3" s="885" t="s">
        <v>506</v>
      </c>
      <c r="D3" s="886" t="s">
        <v>510</v>
      </c>
    </row>
    <row r="4" spans="1:4">
      <c r="A4" s="296">
        <v>99</v>
      </c>
      <c r="B4" s="298">
        <v>2</v>
      </c>
      <c r="C4" s="859" t="e">
        <f ca="1">[1]!RANK_AVG(A4,A$4:A$13,1)</f>
        <v>#NAME?</v>
      </c>
      <c r="D4" s="88" t="e">
        <f ca="1">[1]!RANK_AVG(B4,B$4:B$13,1)</f>
        <v>#NAME?</v>
      </c>
    </row>
    <row r="5" spans="1:4">
      <c r="A5" s="296">
        <v>120</v>
      </c>
      <c r="B5" s="298">
        <v>0</v>
      </c>
      <c r="C5" s="859" t="e">
        <f ca="1">[1]!RANK_AVG(A5,A$4:A$13,1)</f>
        <v>#NAME?</v>
      </c>
      <c r="D5" s="88" t="e">
        <f ca="1">[1]!RANK_AVG(B5,B$4:B$13,1)</f>
        <v>#NAME?</v>
      </c>
    </row>
    <row r="6" spans="1:4">
      <c r="A6" s="296">
        <v>98</v>
      </c>
      <c r="B6" s="298">
        <v>25</v>
      </c>
      <c r="C6" s="859" t="e">
        <f ca="1">[1]!RANK_AVG(A6,A$4:A$13,1)</f>
        <v>#NAME?</v>
      </c>
      <c r="D6" s="88" t="e">
        <f ca="1">[1]!RANK_AVG(B6,B$4:B$13,1)</f>
        <v>#NAME?</v>
      </c>
    </row>
    <row r="7" spans="1:4">
      <c r="A7" s="296">
        <v>102</v>
      </c>
      <c r="B7" s="298">
        <v>45</v>
      </c>
      <c r="C7" s="859" t="e">
        <f ca="1">[1]!RANK_AVG(A7,A$4:A$13,1)</f>
        <v>#NAME?</v>
      </c>
      <c r="D7" s="88" t="e">
        <f ca="1">[1]!RANK_AVG(B7,B$4:B$13,1)</f>
        <v>#NAME?</v>
      </c>
    </row>
    <row r="8" spans="1:4">
      <c r="A8" s="296">
        <v>123</v>
      </c>
      <c r="B8" s="298">
        <v>14</v>
      </c>
      <c r="C8" s="859" t="e">
        <f ca="1">[1]!RANK_AVG(A8,A$4:A$13,1)</f>
        <v>#NAME?</v>
      </c>
      <c r="D8" s="88" t="e">
        <f ca="1">[1]!RANK_AVG(B8,B$4:B$13,1)</f>
        <v>#NAME?</v>
      </c>
    </row>
    <row r="9" spans="1:4">
      <c r="A9" s="296">
        <v>105</v>
      </c>
      <c r="B9" s="298">
        <v>20</v>
      </c>
      <c r="C9" s="859" t="e">
        <f ca="1">[1]!RANK_AVG(A9,A$4:A$13,1)</f>
        <v>#NAME?</v>
      </c>
      <c r="D9" s="88" t="e">
        <f ca="1">[1]!RANK_AVG(B9,B$4:B$13,1)</f>
        <v>#NAME?</v>
      </c>
    </row>
    <row r="10" spans="1:4">
      <c r="A10" s="296">
        <v>85</v>
      </c>
      <c r="B10" s="298">
        <v>15</v>
      </c>
      <c r="C10" s="859" t="e">
        <f ca="1">[1]!RANK_AVG(A10,A$4:A$13,1)</f>
        <v>#NAME?</v>
      </c>
      <c r="D10" s="88" t="e">
        <f ca="1">[1]!RANK_AVG(B10,B$4:B$13,1)</f>
        <v>#NAME?</v>
      </c>
    </row>
    <row r="11" spans="1:4">
      <c r="A11" s="296">
        <v>110</v>
      </c>
      <c r="B11" s="298">
        <v>19</v>
      </c>
      <c r="C11" s="859" t="e">
        <f ca="1">[1]!RANK_AVG(A11,A$4:A$13,1)</f>
        <v>#NAME?</v>
      </c>
      <c r="D11" s="88" t="e">
        <f ca="1">[1]!RANK_AVG(B11,B$4:B$13,1)</f>
        <v>#NAME?</v>
      </c>
    </row>
    <row r="12" spans="1:4">
      <c r="A12" s="296">
        <v>117</v>
      </c>
      <c r="B12" s="298">
        <v>22</v>
      </c>
      <c r="C12" s="859" t="e">
        <f ca="1">[1]!RANK_AVG(A12,A$4:A$13,1)</f>
        <v>#NAME?</v>
      </c>
      <c r="D12" s="88" t="e">
        <f ca="1">[1]!RANK_AVG(B12,B$4:B$13,1)</f>
        <v>#NAME?</v>
      </c>
    </row>
    <row r="13" spans="1:4">
      <c r="A13" s="888">
        <v>90</v>
      </c>
      <c r="B13" s="889">
        <v>4</v>
      </c>
      <c r="C13" s="206" t="e">
        <f ca="1">[1]!RANK_AVG(A13,A$4:A$13,1)</f>
        <v>#NAME?</v>
      </c>
      <c r="D13" s="207" t="e">
        <f ca="1">[1]!RANK_AVG(B13,B$4:B$13,1)</f>
        <v>#NAME?</v>
      </c>
    </row>
    <row r="15" spans="1:4">
      <c r="A15" t="s">
        <v>562</v>
      </c>
      <c r="C15" t="e">
        <f ca="1">CORREL(C4:C13,D4:D13)</f>
        <v>#NAME?</v>
      </c>
    </row>
    <row r="16" spans="1:4">
      <c r="A16" t="s">
        <v>563</v>
      </c>
      <c r="C16">
        <f>CORREL(A4:A13,B4:B13)</f>
        <v>-3.6099577311870544E-2</v>
      </c>
    </row>
    <row r="18" spans="1:15">
      <c r="A18" t="s">
        <v>564</v>
      </c>
      <c r="I18" t="s">
        <v>4096</v>
      </c>
    </row>
    <row r="19" spans="1:15">
      <c r="I19" s="25"/>
      <c r="J19" s="25"/>
      <c r="N19" t="s">
        <v>4040</v>
      </c>
    </row>
    <row r="20" spans="1:15">
      <c r="A20" s="884" t="s">
        <v>505</v>
      </c>
      <c r="B20" s="885" t="s">
        <v>509</v>
      </c>
      <c r="C20" s="884" t="s">
        <v>506</v>
      </c>
      <c r="D20" s="886" t="s">
        <v>510</v>
      </c>
      <c r="E20" s="886" t="s">
        <v>507</v>
      </c>
      <c r="I20" s="25"/>
      <c r="J20" s="25" t="s">
        <v>511</v>
      </c>
      <c r="K20" t="s">
        <v>512</v>
      </c>
    </row>
    <row r="21" spans="1:15">
      <c r="A21" s="296">
        <v>99</v>
      </c>
      <c r="B21" s="298">
        <v>3</v>
      </c>
      <c r="C21" s="87">
        <f>RANK(A21,A$21:A$30,1)</f>
        <v>4</v>
      </c>
      <c r="D21" s="869">
        <f>RANK(B21,B$21:B$30,1)</f>
        <v>2</v>
      </c>
      <c r="E21" s="887">
        <f>(C21-D21)^2</f>
        <v>4</v>
      </c>
      <c r="I21" s="166" t="s">
        <v>368</v>
      </c>
      <c r="J21" s="166">
        <f>C16</f>
        <v>-3.6099577311870544E-2</v>
      </c>
      <c r="K21" s="167" t="e">
        <f ca="1">C15</f>
        <v>#NAME?</v>
      </c>
      <c r="N21" s="8" t="e">
        <f t="array" aca="1" ref="N21:O23" ca="1">[1]!SCORREL(A4:A13,B4:B13,TRUE)</f>
        <v>#NAME?</v>
      </c>
      <c r="O21" s="1235" t="e">
        <f ca="1"/>
        <v>#NAME?</v>
      </c>
    </row>
    <row r="22" spans="1:15">
      <c r="A22" s="296">
        <v>120</v>
      </c>
      <c r="B22" s="298">
        <v>0</v>
      </c>
      <c r="C22" s="87">
        <f t="shared" ref="C22:C30" si="0">RANK(A22,A$21:A$30,1)</f>
        <v>9</v>
      </c>
      <c r="D22" s="618">
        <f t="shared" ref="D22:D30" si="1">RANK(B22,B$21:B$30,1)</f>
        <v>1</v>
      </c>
      <c r="E22" s="224">
        <f t="shared" ref="E22:E30" si="2">(C22-D22)^2</f>
        <v>64</v>
      </c>
      <c r="I22" s="168" t="s">
        <v>485</v>
      </c>
      <c r="J22" s="113">
        <v>0</v>
      </c>
      <c r="K22" s="169">
        <v>0</v>
      </c>
      <c r="N22" t="e">
        <f ca="1"/>
        <v>#NAME?</v>
      </c>
      <c r="O22" s="627" t="e">
        <f ca="1"/>
        <v>#NAME?</v>
      </c>
    </row>
    <row r="23" spans="1:15">
      <c r="A23" s="296">
        <v>98</v>
      </c>
      <c r="B23" s="298">
        <v>30</v>
      </c>
      <c r="C23" s="87">
        <f t="shared" si="0"/>
        <v>3</v>
      </c>
      <c r="D23" s="618">
        <f t="shared" si="1"/>
        <v>9</v>
      </c>
      <c r="E23" s="224">
        <f>(C23-D23)^2</f>
        <v>36</v>
      </c>
      <c r="I23" s="113" t="s">
        <v>106</v>
      </c>
      <c r="J23" s="113">
        <f>COUNT(A4:A13)</f>
        <v>10</v>
      </c>
      <c r="K23" s="169">
        <f>COUNT(B4:B13)</f>
        <v>10</v>
      </c>
      <c r="N23" t="e">
        <f ca="1"/>
        <v>#NAME?</v>
      </c>
      <c r="O23" s="544" t="e">
        <f ca="1"/>
        <v>#NAME?</v>
      </c>
    </row>
    <row r="24" spans="1:15">
      <c r="A24" s="296">
        <v>102</v>
      </c>
      <c r="B24" s="298">
        <v>45</v>
      </c>
      <c r="C24" s="87">
        <f t="shared" si="0"/>
        <v>5</v>
      </c>
      <c r="D24" s="618">
        <f t="shared" si="1"/>
        <v>10</v>
      </c>
      <c r="E24" s="224">
        <f t="shared" si="2"/>
        <v>25</v>
      </c>
      <c r="I24" s="113" t="s">
        <v>186</v>
      </c>
      <c r="J24" s="113">
        <f>J23-2</f>
        <v>8</v>
      </c>
      <c r="K24" s="169">
        <f>K23-2</f>
        <v>8</v>
      </c>
    </row>
    <row r="25" spans="1:15" ht="15.6">
      <c r="A25" s="296">
        <v>123</v>
      </c>
      <c r="B25" s="298">
        <v>16</v>
      </c>
      <c r="C25" s="87">
        <f t="shared" si="0"/>
        <v>10</v>
      </c>
      <c r="D25" s="618">
        <f t="shared" si="1"/>
        <v>4</v>
      </c>
      <c r="E25" s="224">
        <f t="shared" si="2"/>
        <v>36</v>
      </c>
      <c r="I25" s="113" t="s">
        <v>397</v>
      </c>
      <c r="J25" s="113">
        <f>SQRT((1-J21^2)/J24)</f>
        <v>0.3533229437281678</v>
      </c>
      <c r="K25" s="169" t="e">
        <f ca="1">SQRT((1-K21^2)/K24)</f>
        <v>#NAME?</v>
      </c>
    </row>
    <row r="26" spans="1:15">
      <c r="A26" s="296">
        <v>105</v>
      </c>
      <c r="B26" s="298">
        <v>25</v>
      </c>
      <c r="C26" s="87">
        <f t="shared" si="0"/>
        <v>6</v>
      </c>
      <c r="D26" s="618">
        <f t="shared" si="1"/>
        <v>7</v>
      </c>
      <c r="E26" s="224">
        <f t="shared" si="2"/>
        <v>1</v>
      </c>
      <c r="I26" s="113" t="s">
        <v>195</v>
      </c>
      <c r="J26" s="113">
        <f>(J21-J22)/J25</f>
        <v>-0.1021716193433622</v>
      </c>
      <c r="K26" s="169" t="e">
        <f ca="1">(K21-K22)/K25</f>
        <v>#NAME?</v>
      </c>
    </row>
    <row r="27" spans="1:15">
      <c r="A27" s="296">
        <v>85</v>
      </c>
      <c r="B27" s="298">
        <v>17</v>
      </c>
      <c r="C27" s="87">
        <f t="shared" si="0"/>
        <v>1</v>
      </c>
      <c r="D27" s="618">
        <f t="shared" si="1"/>
        <v>5</v>
      </c>
      <c r="E27" s="224">
        <f t="shared" si="2"/>
        <v>16</v>
      </c>
      <c r="I27" s="113" t="s">
        <v>157</v>
      </c>
      <c r="J27" s="113">
        <v>0.05</v>
      </c>
      <c r="K27" s="169">
        <v>0.05</v>
      </c>
    </row>
    <row r="28" spans="1:15">
      <c r="A28" s="296">
        <v>110</v>
      </c>
      <c r="B28" s="298">
        <v>24</v>
      </c>
      <c r="C28" s="87">
        <f t="shared" si="0"/>
        <v>7</v>
      </c>
      <c r="D28" s="618">
        <f t="shared" si="1"/>
        <v>6</v>
      </c>
      <c r="E28" s="224">
        <f t="shared" si="2"/>
        <v>1</v>
      </c>
      <c r="I28" s="113" t="s">
        <v>201</v>
      </c>
      <c r="J28" s="113">
        <f>TINV(J27,J24)</f>
        <v>2.3060041352041671</v>
      </c>
      <c r="K28" s="169">
        <f>TINV(K27,K24)</f>
        <v>2.3060041352041671</v>
      </c>
    </row>
    <row r="29" spans="1:15">
      <c r="A29" s="296">
        <v>117</v>
      </c>
      <c r="B29" s="298">
        <v>26</v>
      </c>
      <c r="C29" s="87">
        <f t="shared" si="0"/>
        <v>8</v>
      </c>
      <c r="D29" s="618">
        <f t="shared" si="1"/>
        <v>8</v>
      </c>
      <c r="E29" s="224">
        <f t="shared" si="2"/>
        <v>0</v>
      </c>
      <c r="I29" s="113" t="s">
        <v>200</v>
      </c>
      <c r="J29" s="113">
        <f>TDIST(ABS(J26),J24,1)</f>
        <v>0.46056750171974198</v>
      </c>
      <c r="K29" s="169" t="e">
        <f ca="1">TDIST(ABS(K26),K24,1)</f>
        <v>#NAME?</v>
      </c>
    </row>
    <row r="30" spans="1:15">
      <c r="A30" s="888">
        <v>90</v>
      </c>
      <c r="B30" s="889">
        <v>5</v>
      </c>
      <c r="C30" s="206">
        <f t="shared" si="0"/>
        <v>2</v>
      </c>
      <c r="D30" s="536">
        <f t="shared" si="1"/>
        <v>3</v>
      </c>
      <c r="E30" s="225">
        <f t="shared" si="2"/>
        <v>1</v>
      </c>
      <c r="I30" s="170" t="s">
        <v>948</v>
      </c>
      <c r="J30" s="177" t="str">
        <f>IF(J26&gt;J28,"yes","no")</f>
        <v>no</v>
      </c>
      <c r="K30" s="171" t="e">
        <f ca="1">IF(K26&gt;K28,"yes","no")</f>
        <v>#NAME?</v>
      </c>
    </row>
    <row r="31" spans="1:15">
      <c r="A31" s="858"/>
      <c r="B31" s="858"/>
      <c r="C31" s="858"/>
      <c r="D31" s="858"/>
      <c r="E31" s="858">
        <f>SUM(E21:E30)</f>
        <v>184</v>
      </c>
    </row>
    <row r="33" spans="1:7">
      <c r="A33" t="s">
        <v>508</v>
      </c>
      <c r="G33">
        <f>1-(6*E31)/(COUNT(E21:E30)*(COUNT(E21:E30)^2-1))</f>
        <v>-0.11515151515151523</v>
      </c>
    </row>
  </sheetData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sheetPr codeName="Sheet361"/>
  <dimension ref="A1:I18"/>
  <sheetViews>
    <sheetView workbookViewId="0"/>
  </sheetViews>
  <sheetFormatPr defaultRowHeight="14.4"/>
  <cols>
    <col min="8" max="8" width="3.109375" customWidth="1"/>
    <col min="9" max="9" width="23.5546875" customWidth="1"/>
  </cols>
  <sheetData>
    <row r="1" spans="1:9">
      <c r="A1" s="1" t="s">
        <v>504</v>
      </c>
    </row>
    <row r="3" spans="1:9">
      <c r="A3" s="884" t="s">
        <v>505</v>
      </c>
      <c r="B3" s="886" t="s">
        <v>509</v>
      </c>
      <c r="C3" s="885" t="s">
        <v>506</v>
      </c>
      <c r="D3" s="886" t="s">
        <v>510</v>
      </c>
      <c r="F3" s="25"/>
    </row>
    <row r="4" spans="1:9">
      <c r="A4" s="296">
        <v>99</v>
      </c>
      <c r="B4" s="298">
        <v>2</v>
      </c>
      <c r="C4" s="1457" t="e">
        <f ca="1">[1]!RANK_AVG(A4,A$4:A$13,1)</f>
        <v>#NAME?</v>
      </c>
      <c r="D4" s="88" t="e">
        <f ca="1">[1]!RANK_AVG(B4,B$4:B$13,1)</f>
        <v>#NAME?</v>
      </c>
      <c r="F4" s="174" t="s">
        <v>368</v>
      </c>
      <c r="G4" s="1439" t="e">
        <f ca="1">CORREL(C4:C13,D4:D13)</f>
        <v>#NAME?</v>
      </c>
      <c r="I4" t="e">
        <f ca="1">[1]!FTEXT(G4)</f>
        <v>#NAME?</v>
      </c>
    </row>
    <row r="5" spans="1:9">
      <c r="A5" s="296">
        <v>120</v>
      </c>
      <c r="B5" s="298">
        <v>0</v>
      </c>
      <c r="C5" s="1457" t="e">
        <f ca="1">[1]!RANK_AVG(A5,A$4:A$13,1)</f>
        <v>#NAME?</v>
      </c>
      <c r="D5" s="88" t="e">
        <f ca="1">[1]!RANK_AVG(B5,B$4:B$13,1)</f>
        <v>#NAME?</v>
      </c>
      <c r="F5" s="537" t="s">
        <v>485</v>
      </c>
      <c r="G5" s="826">
        <v>0</v>
      </c>
    </row>
    <row r="6" spans="1:9">
      <c r="A6" s="296">
        <v>98</v>
      </c>
      <c r="B6" s="298">
        <v>25</v>
      </c>
      <c r="C6" s="1457" t="e">
        <f ca="1">[1]!RANK_AVG(A6,A$4:A$13,1)</f>
        <v>#NAME?</v>
      </c>
      <c r="D6" s="88" t="e">
        <f ca="1">[1]!RANK_AVG(B6,B$4:B$13,1)</f>
        <v>#NAME?</v>
      </c>
      <c r="F6" s="174" t="s">
        <v>106</v>
      </c>
      <c r="G6" s="826">
        <f>COUNT(A4:A13)</f>
        <v>10</v>
      </c>
      <c r="I6" t="e">
        <f ca="1">[1]!FTEXT(G6)</f>
        <v>#NAME?</v>
      </c>
    </row>
    <row r="7" spans="1:9">
      <c r="A7" s="296">
        <v>102</v>
      </c>
      <c r="B7" s="298">
        <v>45</v>
      </c>
      <c r="C7" s="1457" t="e">
        <f ca="1">[1]!RANK_AVG(A7,A$4:A$13,1)</f>
        <v>#NAME?</v>
      </c>
      <c r="D7" s="88" t="e">
        <f ca="1">[1]!RANK_AVG(B7,B$4:B$13,1)</f>
        <v>#NAME?</v>
      </c>
      <c r="F7" s="174" t="s">
        <v>186</v>
      </c>
      <c r="G7" s="826">
        <f>G6-2</f>
        <v>8</v>
      </c>
      <c r="I7" t="e">
        <f ca="1">[1]!FTEXT(G7)</f>
        <v>#NAME?</v>
      </c>
    </row>
    <row r="8" spans="1:9" ht="15.6">
      <c r="A8" s="296">
        <v>123</v>
      </c>
      <c r="B8" s="298">
        <v>14</v>
      </c>
      <c r="C8" s="1457" t="e">
        <f ca="1">[1]!RANK_AVG(A8,A$4:A$13,1)</f>
        <v>#NAME?</v>
      </c>
      <c r="D8" s="88" t="e">
        <f ca="1">[1]!RANK_AVG(B8,B$4:B$13,1)</f>
        <v>#NAME?</v>
      </c>
      <c r="F8" s="174" t="s">
        <v>397</v>
      </c>
      <c r="G8" s="826" t="e">
        <f ca="1">SQRT((1-G4^2)/G7)</f>
        <v>#NAME?</v>
      </c>
      <c r="I8" t="e">
        <f ca="1">[1]!FTEXT(G8)</f>
        <v>#NAME?</v>
      </c>
    </row>
    <row r="9" spans="1:9">
      <c r="A9" s="296">
        <v>105</v>
      </c>
      <c r="B9" s="298">
        <v>20</v>
      </c>
      <c r="C9" s="1457" t="e">
        <f ca="1">[1]!RANK_AVG(A9,A$4:A$13,1)</f>
        <v>#NAME?</v>
      </c>
      <c r="D9" s="88" t="e">
        <f ca="1">[1]!RANK_AVG(B9,B$4:B$13,1)</f>
        <v>#NAME?</v>
      </c>
      <c r="F9" s="174" t="s">
        <v>195</v>
      </c>
      <c r="G9" s="826" t="e">
        <f ca="1">(G4-G5)/G8</f>
        <v>#NAME?</v>
      </c>
      <c r="I9" t="e">
        <f ca="1">[1]!FTEXT(G9)</f>
        <v>#NAME?</v>
      </c>
    </row>
    <row r="10" spans="1:9">
      <c r="A10" s="296">
        <v>85</v>
      </c>
      <c r="B10" s="298">
        <v>15</v>
      </c>
      <c r="C10" s="1457" t="e">
        <f ca="1">[1]!RANK_AVG(A10,A$4:A$13,1)</f>
        <v>#NAME?</v>
      </c>
      <c r="D10" s="88" t="e">
        <f ca="1">[1]!RANK_AVG(B10,B$4:B$13,1)</f>
        <v>#NAME?</v>
      </c>
      <c r="F10" s="174" t="s">
        <v>157</v>
      </c>
      <c r="G10" s="826">
        <v>0.05</v>
      </c>
    </row>
    <row r="11" spans="1:9">
      <c r="A11" s="296">
        <v>110</v>
      </c>
      <c r="B11" s="298">
        <v>19</v>
      </c>
      <c r="C11" s="1457" t="e">
        <f ca="1">[1]!RANK_AVG(A11,A$4:A$13,1)</f>
        <v>#NAME?</v>
      </c>
      <c r="D11" s="88" t="e">
        <f ca="1">[1]!RANK_AVG(B11,B$4:B$13,1)</f>
        <v>#NAME?</v>
      </c>
      <c r="F11" s="174" t="s">
        <v>201</v>
      </c>
      <c r="G11" s="826">
        <f>TINV(G10,G7)</f>
        <v>2.3060041352041671</v>
      </c>
      <c r="I11" t="e">
        <f ca="1">[1]!FTEXT(G11)</f>
        <v>#NAME?</v>
      </c>
    </row>
    <row r="12" spans="1:9">
      <c r="A12" s="296">
        <v>117</v>
      </c>
      <c r="B12" s="298">
        <v>22</v>
      </c>
      <c r="C12" s="1457" t="e">
        <f ca="1">[1]!RANK_AVG(A12,A$4:A$13,1)</f>
        <v>#NAME?</v>
      </c>
      <c r="D12" s="88" t="e">
        <f ca="1">[1]!RANK_AVG(B12,B$4:B$13,1)</f>
        <v>#NAME?</v>
      </c>
      <c r="F12" s="174" t="s">
        <v>200</v>
      </c>
      <c r="G12" s="826" t="e">
        <f ca="1">TDIST(ABS(G9),G7,2)</f>
        <v>#NAME?</v>
      </c>
      <c r="I12" t="e">
        <f ca="1">[1]!FTEXT(G12)</f>
        <v>#NAME?</v>
      </c>
    </row>
    <row r="13" spans="1:9">
      <c r="A13" s="888">
        <v>90</v>
      </c>
      <c r="B13" s="889">
        <v>4</v>
      </c>
      <c r="C13" s="206" t="e">
        <f ca="1">[1]!RANK_AVG(A13,A$4:A$13,1)</f>
        <v>#NAME?</v>
      </c>
      <c r="D13" s="207" t="e">
        <f ca="1">[1]!RANK_AVG(B13,B$4:B$13,1)</f>
        <v>#NAME?</v>
      </c>
      <c r="F13" s="174" t="s">
        <v>948</v>
      </c>
      <c r="G13" s="831" t="e">
        <f ca="1">IF(G9&gt;G11,"yes","no")</f>
        <v>#NAME?</v>
      </c>
      <c r="I13" t="e">
        <f ca="1">[1]!FTEXT(G13)</f>
        <v>#NAME?</v>
      </c>
    </row>
    <row r="16" spans="1:9">
      <c r="F16" t="e">
        <f t="array" aca="1" ref="F16:G18" ca="1">[1]!SCORREL(A4:A13,B4:B13,TRUE)</f>
        <v>#NAME?</v>
      </c>
      <c r="G16" s="1235" t="e">
        <f ca="1"/>
        <v>#NAME?</v>
      </c>
    </row>
    <row r="17" spans="6:7">
      <c r="F17" t="e">
        <f ca="1"/>
        <v>#NAME?</v>
      </c>
      <c r="G17" s="627" t="e">
        <f ca="1"/>
        <v>#NAME?</v>
      </c>
    </row>
    <row r="18" spans="6:7">
      <c r="F18" t="e">
        <f ca="1"/>
        <v>#NAME?</v>
      </c>
      <c r="G18" s="544" t="e">
        <f ca="1"/>
        <v>#NAME?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sheetPr codeName="Sheet67"/>
  <dimension ref="A1:S19"/>
  <sheetViews>
    <sheetView workbookViewId="0"/>
  </sheetViews>
  <sheetFormatPr defaultRowHeight="14.4"/>
  <cols>
    <col min="1" max="2" width="10.6640625" customWidth="1"/>
    <col min="3" max="4" width="10" hidden="1" customWidth="1"/>
    <col min="5" max="5" width="10" customWidth="1"/>
    <col min="6" max="6" width="10" hidden="1" customWidth="1"/>
    <col min="7" max="12" width="0" hidden="1" customWidth="1"/>
    <col min="13" max="13" width="9.5546875" customWidth="1"/>
    <col min="17" max="17" width="9.88671875" customWidth="1"/>
  </cols>
  <sheetData>
    <row r="1" spans="1:19">
      <c r="A1" s="1" t="s">
        <v>549</v>
      </c>
    </row>
    <row r="3" spans="1:19">
      <c r="A3" s="1566" t="s">
        <v>333</v>
      </c>
      <c r="B3" s="1567"/>
      <c r="C3" s="1566" t="s">
        <v>548</v>
      </c>
      <c r="D3" s="1567"/>
      <c r="F3" s="25" t="s">
        <v>499</v>
      </c>
      <c r="G3" s="25"/>
      <c r="J3" t="s">
        <v>4079</v>
      </c>
      <c r="M3" t="s">
        <v>4053</v>
      </c>
      <c r="Q3" t="s">
        <v>4053</v>
      </c>
    </row>
    <row r="4" spans="1:19" s="110" customFormat="1">
      <c r="A4" s="884" t="s">
        <v>547</v>
      </c>
      <c r="B4" s="886" t="s">
        <v>518</v>
      </c>
      <c r="C4" s="884" t="s">
        <v>547</v>
      </c>
      <c r="D4" s="886" t="s">
        <v>518</v>
      </c>
      <c r="E4"/>
      <c r="F4" s="25"/>
      <c r="G4" s="25" t="s">
        <v>511</v>
      </c>
      <c r="H4" t="s">
        <v>512</v>
      </c>
      <c r="J4"/>
      <c r="K4"/>
      <c r="P4"/>
      <c r="Q4"/>
      <c r="R4"/>
      <c r="S4"/>
    </row>
    <row r="5" spans="1:19">
      <c r="A5" s="890">
        <v>80</v>
      </c>
      <c r="B5" s="891">
        <v>5</v>
      </c>
      <c r="C5" s="890" t="e">
        <f ca="1">[1]!RANK_AVG(A5,A$5:A$19,1)</f>
        <v>#NAME?</v>
      </c>
      <c r="D5" s="892" t="e">
        <f ca="1">[1]!RANK_AVG(B5,B$5:B$19,1)</f>
        <v>#NAME?</v>
      </c>
      <c r="F5" s="166" t="s">
        <v>368</v>
      </c>
      <c r="G5" s="166">
        <f>CORREL(A5:A19,B5:B19)</f>
        <v>-0.71343017438658085</v>
      </c>
      <c r="H5" s="167" t="e">
        <f ca="1">CORREL(C5:C19,D5:D19)</f>
        <v>#NAME?</v>
      </c>
      <c r="J5" t="e">
        <f t="array" aca="1" ref="J5:K7" ca="1">[1]!SCORREL(A5:A19,B5:B19,TRUE)</f>
        <v>#NAME?</v>
      </c>
      <c r="K5" s="1235" t="e">
        <f ca="1"/>
        <v>#NAME?</v>
      </c>
      <c r="M5" t="s">
        <v>511</v>
      </c>
      <c r="N5" s="1441">
        <f>CORREL(A5:A19,B5:B19)</f>
        <v>-0.71343017438658085</v>
      </c>
      <c r="Q5" t="s">
        <v>511</v>
      </c>
      <c r="R5" s="1441">
        <f>CORREL(A5:A19,B5:B19)</f>
        <v>-0.71343017438658085</v>
      </c>
    </row>
    <row r="6" spans="1:19">
      <c r="A6" s="87">
        <v>78</v>
      </c>
      <c r="B6" s="859">
        <v>23</v>
      </c>
      <c r="C6" s="87" t="e">
        <f ca="1">[1]!RANK_AVG(A6,A$5:A$19,1)</f>
        <v>#NAME?</v>
      </c>
      <c r="D6" s="88" t="e">
        <f ca="1">[1]!RANK_AVG(B6,B$5:B$19,1)</f>
        <v>#NAME?</v>
      </c>
      <c r="F6" s="113" t="s">
        <v>106</v>
      </c>
      <c r="G6" s="113">
        <f>COUNT(A5:A19)</f>
        <v>15</v>
      </c>
      <c r="H6" s="169">
        <f>G6</f>
        <v>15</v>
      </c>
      <c r="J6" t="e">
        <f ca="1"/>
        <v>#NAME?</v>
      </c>
      <c r="K6" s="627" t="e">
        <f ca="1"/>
        <v>#NAME?</v>
      </c>
      <c r="M6" t="s">
        <v>512</v>
      </c>
      <c r="N6" s="946" t="e">
        <f ca="1">[1]!SCORREL(A5:A19,B5:B19)</f>
        <v>#NAME?</v>
      </c>
      <c r="Q6" t="s">
        <v>512</v>
      </c>
      <c r="R6" s="946" t="e">
        <f ca="1">[1]!SCORREL(A5:A19,B5:B19)</f>
        <v>#NAME?</v>
      </c>
    </row>
    <row r="7" spans="1:19">
      <c r="A7" s="87">
        <v>60</v>
      </c>
      <c r="B7" s="859">
        <v>25</v>
      </c>
      <c r="C7" s="87" t="e">
        <f ca="1">[1]!RANK_AVG(A7,A$5:A$19,1)</f>
        <v>#NAME?</v>
      </c>
      <c r="D7" s="88" t="e">
        <f ca="1">[1]!RANK_AVG(B7,B$5:B$19,1)</f>
        <v>#NAME?</v>
      </c>
      <c r="F7" s="113" t="s">
        <v>186</v>
      </c>
      <c r="G7" s="113">
        <f>G6-2</f>
        <v>13</v>
      </c>
      <c r="H7" s="169">
        <f>H6-2</f>
        <v>13</v>
      </c>
      <c r="J7" t="e">
        <f ca="1"/>
        <v>#NAME?</v>
      </c>
      <c r="K7" s="544" t="e">
        <f ca="1"/>
        <v>#NAME?</v>
      </c>
      <c r="M7" t="s">
        <v>4054</v>
      </c>
      <c r="N7" s="1073" t="e">
        <f ca="1">[1]!KCORREL(A5:A19,B5:B19)</f>
        <v>#NAME?</v>
      </c>
      <c r="Q7" t="s">
        <v>4054</v>
      </c>
      <c r="R7" s="1073" t="e">
        <f ca="1">[1]!KCORREL(A5:A19,B5:B19)</f>
        <v>#NAME?</v>
      </c>
    </row>
    <row r="8" spans="1:19" ht="15.6">
      <c r="A8" s="87">
        <v>53</v>
      </c>
      <c r="B8" s="859">
        <v>48</v>
      </c>
      <c r="C8" s="87" t="e">
        <f ca="1">[1]!RANK_AVG(A8,A$5:A$19,1)</f>
        <v>#NAME?</v>
      </c>
      <c r="D8" s="88" t="e">
        <f ca="1">[1]!RANK_AVG(B8,B$5:B$19,1)</f>
        <v>#NAME?</v>
      </c>
      <c r="F8" s="113" t="s">
        <v>397</v>
      </c>
      <c r="G8" s="113">
        <f>SQRT((1-G5^2)/G7)</f>
        <v>0.1943465157263681</v>
      </c>
      <c r="H8" s="169" t="e">
        <f ca="1">SQRT((1-H5^2)/H7)</f>
        <v>#NAME?</v>
      </c>
    </row>
    <row r="9" spans="1:19">
      <c r="A9" s="87">
        <v>85</v>
      </c>
      <c r="B9" s="201">
        <v>17</v>
      </c>
      <c r="C9" s="87" t="e">
        <f ca="1">[1]!RANK_AVG(A9,A$5:A$19,1)</f>
        <v>#NAME?</v>
      </c>
      <c r="D9" s="88" t="e">
        <f ca="1">[1]!RANK_AVG(B9,B$5:B$19,1)</f>
        <v>#NAME?</v>
      </c>
      <c r="F9" s="113" t="s">
        <v>195</v>
      </c>
      <c r="G9" s="113">
        <f>G5/G8</f>
        <v>-3.6709182653475567</v>
      </c>
      <c r="H9" s="169" t="e">
        <f ca="1">H5/H8</f>
        <v>#NAME?</v>
      </c>
      <c r="M9" t="s">
        <v>4080</v>
      </c>
      <c r="Q9" t="s">
        <v>4080</v>
      </c>
    </row>
    <row r="10" spans="1:19">
      <c r="A10" s="87">
        <v>84</v>
      </c>
      <c r="B10" s="201">
        <v>8</v>
      </c>
      <c r="C10" s="87" t="e">
        <f ca="1">[1]!RANK_AVG(A10,A$5:A$19,1)</f>
        <v>#NAME?</v>
      </c>
      <c r="D10" s="88" t="e">
        <f ca="1">[1]!RANK_AVG(B10,B$5:B$19,1)</f>
        <v>#NAME?</v>
      </c>
      <c r="F10" s="113" t="s">
        <v>157</v>
      </c>
      <c r="G10" s="113">
        <v>0.05</v>
      </c>
      <c r="H10" s="169">
        <v>0.05</v>
      </c>
    </row>
    <row r="11" spans="1:19">
      <c r="A11" s="87">
        <v>73</v>
      </c>
      <c r="B11" s="859">
        <v>4</v>
      </c>
      <c r="C11" s="87" t="e">
        <f ca="1">[1]!RANK_AVG(A11,A$5:A$19,1)</f>
        <v>#NAME?</v>
      </c>
      <c r="D11" s="88" t="e">
        <f ca="1">[1]!RANK_AVG(B11,B$5:B$19,1)</f>
        <v>#NAME?</v>
      </c>
      <c r="F11" s="113" t="s">
        <v>201</v>
      </c>
      <c r="G11" s="113">
        <f>TINV(G10,G7)</f>
        <v>2.1603686564627926</v>
      </c>
      <c r="H11" s="169">
        <f>TINV(H10,H7)</f>
        <v>2.1603686564627926</v>
      </c>
      <c r="M11" t="s">
        <v>116</v>
      </c>
      <c r="N11" s="1441">
        <v>0.05</v>
      </c>
      <c r="Q11" t="s">
        <v>116</v>
      </c>
      <c r="R11" s="1441">
        <v>0.05</v>
      </c>
    </row>
    <row r="12" spans="1:19">
      <c r="A12" s="87">
        <v>79</v>
      </c>
      <c r="B12" s="859">
        <v>26</v>
      </c>
      <c r="C12" s="87" t="e">
        <f ca="1">[1]!RANK_AVG(A12,A$5:A$19,1)</f>
        <v>#NAME?</v>
      </c>
      <c r="D12" s="88" t="e">
        <f ca="1">[1]!RANK_AVG(B12,B$5:B$19,1)</f>
        <v>#NAME?</v>
      </c>
      <c r="F12" s="113" t="s">
        <v>200</v>
      </c>
      <c r="G12" s="113">
        <f>TDIST(ABS(G9),G7,1)</f>
        <v>1.4111714950356155E-3</v>
      </c>
      <c r="H12" s="169" t="e">
        <f ca="1">TDIST(ABS(H9),H7,1)</f>
        <v>#NAME?</v>
      </c>
      <c r="M12" t="s">
        <v>4056</v>
      </c>
      <c r="N12" s="1073">
        <v>2</v>
      </c>
      <c r="Q12" t="s">
        <v>4056</v>
      </c>
      <c r="R12" s="1073">
        <v>1</v>
      </c>
    </row>
    <row r="13" spans="1:19">
      <c r="A13" s="87">
        <v>81</v>
      </c>
      <c r="B13" s="859">
        <v>11</v>
      </c>
      <c r="C13" s="87" t="e">
        <f ca="1">[1]!RANK_AVG(A13,A$5:A$19,1)</f>
        <v>#NAME?</v>
      </c>
      <c r="D13" s="88" t="e">
        <f ca="1">[1]!RANK_AVG(B13,B$5:B$19,1)</f>
        <v>#NAME?</v>
      </c>
      <c r="F13" s="170" t="s">
        <v>202</v>
      </c>
      <c r="G13" s="177" t="str">
        <f>IF(G9&gt;G11,"yes","no")</f>
        <v>no</v>
      </c>
      <c r="H13" s="171" t="e">
        <f ca="1">IF(H9&gt;H11,"yes","no")</f>
        <v>#NAME?</v>
      </c>
    </row>
    <row r="14" spans="1:19">
      <c r="A14" s="87">
        <v>75</v>
      </c>
      <c r="B14" s="859">
        <v>19</v>
      </c>
      <c r="C14" s="87" t="e">
        <f ca="1">[1]!RANK_AVG(A14,A$5:A$19,1)</f>
        <v>#NAME?</v>
      </c>
      <c r="D14" s="88" t="e">
        <f ca="1">[1]!RANK_AVG(B14,B$5:B$19,1)</f>
        <v>#NAME?</v>
      </c>
      <c r="M14" t="e">
        <f t="array" aca="1" ref="M14:N16" ca="1">[1]!SCORREL(A5:A19,B5:B19,TRUE,N12,N11)</f>
        <v>#NAME?</v>
      </c>
      <c r="N14" s="1441" t="e">
        <f ca="1"/>
        <v>#NAME?</v>
      </c>
      <c r="Q14" t="e">
        <f t="array" aca="1" ref="Q14:R16" ca="1">[1]!SCORREL(A5:A19,B5:B19,TRUE,R12,R11)</f>
        <v>#NAME?</v>
      </c>
      <c r="R14" s="1441" t="e">
        <f ca="1"/>
        <v>#NAME?</v>
      </c>
    </row>
    <row r="15" spans="1:19">
      <c r="A15" s="87">
        <v>68</v>
      </c>
      <c r="B15" s="859">
        <v>14</v>
      </c>
      <c r="C15" s="87" t="e">
        <f ca="1">[1]!RANK_AVG(A15,A$5:A$19,1)</f>
        <v>#NAME?</v>
      </c>
      <c r="D15" s="88" t="e">
        <f ca="1">[1]!RANK_AVG(B15,B$5:B$19,1)</f>
        <v>#NAME?</v>
      </c>
      <c r="M15" t="e">
        <f ca="1"/>
        <v>#NAME?</v>
      </c>
      <c r="N15" s="946" t="e">
        <f ca="1"/>
        <v>#NAME?</v>
      </c>
      <c r="Q15" t="e">
        <f ca="1"/>
        <v>#NAME?</v>
      </c>
      <c r="R15" s="946" t="e">
        <f ca="1"/>
        <v>#NAME?</v>
      </c>
    </row>
    <row r="16" spans="1:19">
      <c r="A16" s="87">
        <v>72</v>
      </c>
      <c r="B16" s="859">
        <v>35</v>
      </c>
      <c r="C16" s="87" t="e">
        <f ca="1">[1]!RANK_AVG(A16,A$5:A$19,1)</f>
        <v>#NAME?</v>
      </c>
      <c r="D16" s="88" t="e">
        <f ca="1">[1]!RANK_AVG(B16,B$5:B$19,1)</f>
        <v>#NAME?</v>
      </c>
      <c r="M16" t="e">
        <f ca="1"/>
        <v>#NAME?</v>
      </c>
      <c r="N16" s="1073" t="e">
        <f ca="1"/>
        <v>#NAME?</v>
      </c>
      <c r="Q16" t="e">
        <f ca="1"/>
        <v>#NAME?</v>
      </c>
      <c r="R16" s="1073" t="e">
        <f ca="1"/>
        <v>#NAME?</v>
      </c>
    </row>
    <row r="17" spans="1:4">
      <c r="A17" s="87">
        <v>58</v>
      </c>
      <c r="B17" s="859">
        <v>29</v>
      </c>
      <c r="C17" s="87" t="e">
        <f ca="1">[1]!RANK_AVG(A17,A$5:A$19,1)</f>
        <v>#NAME?</v>
      </c>
      <c r="D17" s="88" t="e">
        <f ca="1">[1]!RANK_AVG(B17,B$5:B$19,1)</f>
        <v>#NAME?</v>
      </c>
    </row>
    <row r="18" spans="1:4">
      <c r="A18" s="87">
        <v>92</v>
      </c>
      <c r="B18" s="859">
        <v>4</v>
      </c>
      <c r="C18" s="87" t="e">
        <f ca="1">[1]!RANK_AVG(A18,A$5:A$19,1)</f>
        <v>#NAME?</v>
      </c>
      <c r="D18" s="88" t="e">
        <f ca="1">[1]!RANK_AVG(B18,B$5:B$19,1)</f>
        <v>#NAME?</v>
      </c>
    </row>
    <row r="19" spans="1:4">
      <c r="A19" s="206">
        <v>65</v>
      </c>
      <c r="B19" s="863">
        <v>23</v>
      </c>
      <c r="C19" s="206" t="e">
        <f ca="1">[1]!RANK_AVG(A19,A$5:A$19,1)</f>
        <v>#NAME?</v>
      </c>
      <c r="D19" s="207" t="e">
        <f ca="1">[1]!RANK_AVG(B19,B$5:B$19,1)</f>
        <v>#NAME?</v>
      </c>
    </row>
  </sheetData>
  <mergeCells count="2">
    <mergeCell ref="A3:B3"/>
    <mergeCell ref="C3:D3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sheetPr codeName="Sheet359"/>
  <dimension ref="A1:K19"/>
  <sheetViews>
    <sheetView workbookViewId="0"/>
  </sheetViews>
  <sheetFormatPr defaultRowHeight="14.4"/>
  <cols>
    <col min="1" max="2" width="9.6640625" customWidth="1"/>
    <col min="3" max="3" width="6.109375" customWidth="1"/>
    <col min="4" max="5" width="10.6640625" customWidth="1"/>
    <col min="6" max="6" width="10" customWidth="1"/>
    <col min="7" max="7" width="6" customWidth="1"/>
    <col min="8" max="8" width="11.6640625" customWidth="1"/>
    <col min="10" max="10" width="4.44140625" customWidth="1"/>
    <col min="11" max="11" width="26.44140625" customWidth="1"/>
  </cols>
  <sheetData>
    <row r="1" spans="1:11">
      <c r="A1" s="1" t="s">
        <v>519</v>
      </c>
    </row>
    <row r="3" spans="1:11">
      <c r="A3" s="884" t="s">
        <v>547</v>
      </c>
      <c r="B3" s="886" t="s">
        <v>518</v>
      </c>
      <c r="D3" s="1216" t="s">
        <v>547</v>
      </c>
      <c r="E3" s="1217" t="s">
        <v>518</v>
      </c>
      <c r="F3" s="812" t="s">
        <v>546</v>
      </c>
      <c r="H3" t="s">
        <v>3262</v>
      </c>
    </row>
    <row r="4" spans="1:11">
      <c r="A4" s="1101">
        <v>80</v>
      </c>
      <c r="B4" s="1102">
        <v>5</v>
      </c>
      <c r="D4" s="890" t="e">
        <f t="array" aca="1" ref="D4:E18" ca="1">[1]!QSORTRows(A4:B18)</f>
        <v>#NAME?</v>
      </c>
      <c r="E4" s="891" t="e">
        <f ca="1"/>
        <v>#NAME?</v>
      </c>
      <c r="F4" s="714">
        <f ca="1">COUNTIF(E5:E$19,"&lt;"&amp;E4)</f>
        <v>14</v>
      </c>
    </row>
    <row r="5" spans="1:11">
      <c r="A5" s="664">
        <v>78</v>
      </c>
      <c r="B5" s="618">
        <v>23</v>
      </c>
      <c r="D5" s="87" t="e">
        <f ca="1"/>
        <v>#NAME?</v>
      </c>
      <c r="E5" s="1452" t="e">
        <f ca="1"/>
        <v>#NAME?</v>
      </c>
      <c r="F5" s="714">
        <f ca="1">COUNTIF(E6:E$19,"&lt;"&amp;E5)</f>
        <v>13</v>
      </c>
      <c r="H5" t="s">
        <v>337</v>
      </c>
      <c r="I5" s="1235">
        <v>0.05</v>
      </c>
    </row>
    <row r="6" spans="1:11">
      <c r="A6" s="664">
        <v>60</v>
      </c>
      <c r="B6" s="618">
        <v>25</v>
      </c>
      <c r="D6" s="87" t="e">
        <f ca="1"/>
        <v>#NAME?</v>
      </c>
      <c r="E6" s="1452" t="e">
        <f ca="1"/>
        <v>#NAME?</v>
      </c>
      <c r="F6" s="714">
        <f ca="1">COUNTIF(E7:E$19,"&lt;"&amp;E6)</f>
        <v>12</v>
      </c>
      <c r="H6" t="s">
        <v>106</v>
      </c>
      <c r="I6" s="627">
        <f ca="1">COUNT(D4:D18)</f>
        <v>0</v>
      </c>
      <c r="K6" s="23" t="e">
        <f ca="1">[1]!FTEXT(I6)</f>
        <v>#NAME?</v>
      </c>
    </row>
    <row r="7" spans="1:11">
      <c r="A7" s="664">
        <v>53</v>
      </c>
      <c r="B7" s="618">
        <v>48</v>
      </c>
      <c r="D7" s="87" t="e">
        <f ca="1"/>
        <v>#NAME?</v>
      </c>
      <c r="E7" s="1452" t="e">
        <f ca="1"/>
        <v>#NAME?</v>
      </c>
      <c r="F7" s="714">
        <f ca="1">COUNTIF(E8:E$19,"&lt;"&amp;E7)</f>
        <v>11</v>
      </c>
      <c r="H7" t="s">
        <v>520</v>
      </c>
      <c r="I7" s="627" t="e">
        <f ca="1">COMBIN(I6,2)</f>
        <v>#NUM!</v>
      </c>
      <c r="K7" s="23" t="e">
        <f ca="1">[1]!FTEXT(I7)</f>
        <v>#NAME?</v>
      </c>
    </row>
    <row r="8" spans="1:11">
      <c r="A8" s="664">
        <v>85</v>
      </c>
      <c r="B8" s="1218">
        <v>17</v>
      </c>
      <c r="D8" s="87" t="e">
        <f ca="1"/>
        <v>#NAME?</v>
      </c>
      <c r="E8" s="1452" t="e">
        <f ca="1"/>
        <v>#NAME?</v>
      </c>
      <c r="F8" s="714">
        <f ca="1">COUNTIF(E9:E$19,"&lt;"&amp;E8)</f>
        <v>10</v>
      </c>
      <c r="H8" t="s">
        <v>386</v>
      </c>
      <c r="I8" s="627">
        <f ca="1">F19</f>
        <v>105</v>
      </c>
      <c r="K8" s="23" t="e">
        <f ca="1">[1]!FTEXT(I8)</f>
        <v>#NAME?</v>
      </c>
    </row>
    <row r="9" spans="1:11">
      <c r="A9" s="664">
        <v>84</v>
      </c>
      <c r="B9" s="1218">
        <v>8</v>
      </c>
      <c r="D9" s="87" t="e">
        <f ca="1"/>
        <v>#NAME?</v>
      </c>
      <c r="E9" s="1452" t="e">
        <f ca="1"/>
        <v>#NAME?</v>
      </c>
      <c r="F9" s="714">
        <f ca="1">COUNTIF(E10:E$19,"&lt;"&amp;E9)</f>
        <v>9</v>
      </c>
      <c r="H9" t="s">
        <v>385</v>
      </c>
      <c r="I9" s="627" t="e">
        <f ca="1">I7-I8</f>
        <v>#NUM!</v>
      </c>
      <c r="K9" s="23" t="e">
        <f ca="1">[1]!FTEXT(I9)</f>
        <v>#NAME?</v>
      </c>
    </row>
    <row r="10" spans="1:11">
      <c r="A10" s="664">
        <v>73</v>
      </c>
      <c r="B10" s="618">
        <v>4</v>
      </c>
      <c r="D10" s="87" t="e">
        <f ca="1"/>
        <v>#NAME?</v>
      </c>
      <c r="E10" s="1452" t="e">
        <f ca="1"/>
        <v>#NAME?</v>
      </c>
      <c r="F10" s="714">
        <f ca="1">COUNTIF(E11:E$19,"&lt;"&amp;E10)</f>
        <v>8</v>
      </c>
      <c r="H10" t="s">
        <v>521</v>
      </c>
      <c r="I10" s="627" t="e">
        <f ca="1">(I9-I8)/I7</f>
        <v>#NUM!</v>
      </c>
      <c r="K10" s="23" t="e">
        <f ca="1">[1]!FTEXT(I10)</f>
        <v>#NAME?</v>
      </c>
    </row>
    <row r="11" spans="1:11">
      <c r="A11" s="664">
        <v>79</v>
      </c>
      <c r="B11" s="618">
        <v>26</v>
      </c>
      <c r="D11" s="87" t="e">
        <f ca="1"/>
        <v>#NAME?</v>
      </c>
      <c r="E11" s="1452" t="e">
        <f ca="1"/>
        <v>#NAME?</v>
      </c>
      <c r="F11" s="714">
        <f ca="1">COUNTIF(E12:E$19,"&lt;"&amp;E11)</f>
        <v>7</v>
      </c>
      <c r="H11" t="s">
        <v>4062</v>
      </c>
      <c r="I11" s="627" t="e">
        <f ca="1">[1]!TauCRIT(I6,I5,2)</f>
        <v>#NAME?</v>
      </c>
      <c r="K11" s="23" t="e">
        <f ca="1">[1]!FTEXT(I11)</f>
        <v>#NAME?</v>
      </c>
    </row>
    <row r="12" spans="1:11">
      <c r="A12" s="664">
        <v>81</v>
      </c>
      <c r="B12" s="618">
        <v>11</v>
      </c>
      <c r="D12" s="87" t="e">
        <f ca="1"/>
        <v>#NAME?</v>
      </c>
      <c r="E12" s="1452" t="e">
        <f ca="1"/>
        <v>#NAME?</v>
      </c>
      <c r="F12" s="714">
        <f ca="1">COUNTIF(E13:E$19,"&lt;"&amp;E12)</f>
        <v>6</v>
      </c>
      <c r="H12" t="s">
        <v>948</v>
      </c>
      <c r="I12" s="538" t="e">
        <f ca="1">IF(ABS(I10)&gt;I11,"yes","no")</f>
        <v>#NUM!</v>
      </c>
      <c r="K12" s="23" t="e">
        <f ca="1">[1]!FTEXT(I12)</f>
        <v>#NAME?</v>
      </c>
    </row>
    <row r="13" spans="1:11">
      <c r="A13" s="664">
        <v>75</v>
      </c>
      <c r="B13" s="618">
        <v>19</v>
      </c>
      <c r="D13" s="87" t="e">
        <f ca="1"/>
        <v>#NAME?</v>
      </c>
      <c r="E13" s="1452" t="e">
        <f ca="1"/>
        <v>#NAME?</v>
      </c>
      <c r="F13" s="714">
        <f ca="1">COUNTIF(E14:E$19,"&lt;"&amp;E13)</f>
        <v>5</v>
      </c>
    </row>
    <row r="14" spans="1:11">
      <c r="A14" s="664">
        <v>68</v>
      </c>
      <c r="B14" s="618">
        <v>14</v>
      </c>
      <c r="D14" s="87" t="e">
        <f ca="1"/>
        <v>#NAME?</v>
      </c>
      <c r="E14" s="1452" t="e">
        <f ca="1"/>
        <v>#NAME?</v>
      </c>
      <c r="F14" s="714">
        <f ca="1">COUNTIF(E15:E$19,"&lt;"&amp;E14)</f>
        <v>4</v>
      </c>
    </row>
    <row r="15" spans="1:11">
      <c r="A15" s="664">
        <v>72</v>
      </c>
      <c r="B15" s="618">
        <v>35</v>
      </c>
      <c r="D15" s="87" t="e">
        <f ca="1"/>
        <v>#NAME?</v>
      </c>
      <c r="E15" s="1452" t="e">
        <f ca="1"/>
        <v>#NAME?</v>
      </c>
      <c r="F15" s="714">
        <f ca="1">COUNTIF(E16:E$19,"&lt;"&amp;E15)</f>
        <v>3</v>
      </c>
    </row>
    <row r="16" spans="1:11">
      <c r="A16" s="664">
        <v>58</v>
      </c>
      <c r="B16" s="618">
        <v>29</v>
      </c>
      <c r="D16" s="87" t="e">
        <f ca="1"/>
        <v>#NAME?</v>
      </c>
      <c r="E16" s="201" t="e">
        <f ca="1"/>
        <v>#NAME?</v>
      </c>
      <c r="F16" s="714">
        <f ca="1">COUNTIF(E17:E$19,"&lt;"&amp;E16)</f>
        <v>2</v>
      </c>
    </row>
    <row r="17" spans="1:6">
      <c r="A17" s="664">
        <v>92</v>
      </c>
      <c r="B17" s="618">
        <v>3</v>
      </c>
      <c r="D17" s="87" t="e">
        <f ca="1"/>
        <v>#NAME?</v>
      </c>
      <c r="E17" s="201" t="e">
        <f ca="1"/>
        <v>#NAME?</v>
      </c>
      <c r="F17" s="714">
        <f ca="1">COUNTIF(E18:E$19,"&lt;"&amp;E17)</f>
        <v>1</v>
      </c>
    </row>
    <row r="18" spans="1:6">
      <c r="A18" s="560">
        <v>65</v>
      </c>
      <c r="B18" s="536">
        <v>24</v>
      </c>
      <c r="D18" s="206" t="e">
        <f ca="1"/>
        <v>#NAME?</v>
      </c>
      <c r="E18" s="1453" t="e">
        <f ca="1"/>
        <v>#NAME?</v>
      </c>
      <c r="F18" s="713">
        <f ca="1">COUNTIF(E19:E$19,"&lt;"&amp;E18)</f>
        <v>0</v>
      </c>
    </row>
    <row r="19" spans="1:6">
      <c r="F19" s="1451">
        <f ca="1">SUM(F4:F18)</f>
        <v>105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sheetPr codeName="Sheet293"/>
  <dimension ref="A1:W20"/>
  <sheetViews>
    <sheetView workbookViewId="0">
      <selection activeCell="I6" sqref="I6"/>
    </sheetView>
  </sheetViews>
  <sheetFormatPr defaultRowHeight="14.4"/>
  <cols>
    <col min="1" max="2" width="9.6640625" customWidth="1"/>
    <col min="3" max="3" width="6.109375" customWidth="1"/>
    <col min="4" max="5" width="10.6640625" customWidth="1"/>
    <col min="6" max="6" width="10" customWidth="1"/>
    <col min="7" max="7" width="6" customWidth="1"/>
    <col min="8" max="8" width="11.6640625" customWidth="1"/>
    <col min="10" max="10" width="4.44140625" customWidth="1"/>
    <col min="11" max="11" width="24.33203125" customWidth="1"/>
    <col min="18" max="19" width="9.88671875" customWidth="1"/>
    <col min="20" max="21" width="10.109375" customWidth="1"/>
    <col min="22" max="22" width="9.5546875" customWidth="1"/>
  </cols>
  <sheetData>
    <row r="1" spans="1:23">
      <c r="A1" s="1" t="s">
        <v>519</v>
      </c>
    </row>
    <row r="2" spans="1:23">
      <c r="M2" t="s">
        <v>4041</v>
      </c>
      <c r="N2" t="s">
        <v>2723</v>
      </c>
      <c r="P2" t="s">
        <v>4041</v>
      </c>
      <c r="Q2" t="s">
        <v>2722</v>
      </c>
      <c r="S2" t="s">
        <v>4053</v>
      </c>
      <c r="V2" t="s">
        <v>4053</v>
      </c>
    </row>
    <row r="3" spans="1:23">
      <c r="A3" s="884" t="s">
        <v>547</v>
      </c>
      <c r="B3" s="886" t="s">
        <v>518</v>
      </c>
      <c r="D3" s="1216" t="s">
        <v>547</v>
      </c>
      <c r="E3" s="1217" t="s">
        <v>518</v>
      </c>
      <c r="F3" s="812" t="s">
        <v>546</v>
      </c>
    </row>
    <row r="4" spans="1:23">
      <c r="A4" s="1101">
        <v>80</v>
      </c>
      <c r="B4" s="1102">
        <v>5</v>
      </c>
      <c r="D4" s="890" t="e">
        <f t="array" aca="1" ref="D4:E18" ca="1">[1]!QSORTRows(A4:B18)</f>
        <v>#NAME?</v>
      </c>
      <c r="E4" s="891" t="e">
        <f ca="1"/>
        <v>#NAME?</v>
      </c>
      <c r="F4" s="714">
        <f ca="1">COUNTIF(E5:E$19,"&lt;"&amp;E4)</f>
        <v>14</v>
      </c>
      <c r="H4" t="s">
        <v>106</v>
      </c>
      <c r="I4" s="853">
        <f ca="1">COUNT(D4:D18)</f>
        <v>0</v>
      </c>
      <c r="K4" s="23" t="e">
        <f ca="1">[1]!FTEXT(I4)</f>
        <v>#NAME?</v>
      </c>
      <c r="M4" t="e">
        <f t="array" aca="1" ref="M4:N10" ca="1">[1]!KCORREL(A4:A18,B4:B18,TRUE,,,FALSE)</f>
        <v>#NAME?</v>
      </c>
      <c r="N4" s="48" t="e">
        <f ca="1"/>
        <v>#NAME?</v>
      </c>
      <c r="O4" s="8"/>
      <c r="P4" t="e">
        <f t="array" aca="1" ref="P4:Q10" ca="1">[1]!KCORREL(A4:A18,B4:B18,TRUE,1,,FALSE)</f>
        <v>#NAME?</v>
      </c>
      <c r="Q4" s="48" t="e">
        <f ca="1"/>
        <v>#NAME?</v>
      </c>
      <c r="S4" t="s">
        <v>511</v>
      </c>
      <c r="T4" s="1441">
        <f>CORREL(A4:A18,B4:B18)</f>
        <v>-0.72094083207588544</v>
      </c>
      <c r="V4" t="s">
        <v>511</v>
      </c>
      <c r="W4" s="1441">
        <f>CORREL(A4:A18,B4:B18)</f>
        <v>-0.72094083207588544</v>
      </c>
    </row>
    <row r="5" spans="1:23">
      <c r="A5" s="664">
        <v>78</v>
      </c>
      <c r="B5" s="618">
        <v>23</v>
      </c>
      <c r="D5" s="87" t="e">
        <f ca="1"/>
        <v>#NAME?</v>
      </c>
      <c r="E5" s="1203" t="e">
        <f ca="1"/>
        <v>#NAME?</v>
      </c>
      <c r="F5" s="714">
        <f ca="1">COUNTIF(E6:E$19,"&lt;"&amp;E5)</f>
        <v>13</v>
      </c>
      <c r="H5" t="s">
        <v>520</v>
      </c>
      <c r="I5" s="627" t="e">
        <f ca="1">COMBIN(I4,2)</f>
        <v>#NUM!</v>
      </c>
      <c r="K5" s="23" t="e">
        <f ca="1">[1]!FTEXT(I5)</f>
        <v>#NAME?</v>
      </c>
      <c r="M5" t="e">
        <f ca="1"/>
        <v>#NAME?</v>
      </c>
      <c r="N5" s="627" t="e">
        <f ca="1"/>
        <v>#NAME?</v>
      </c>
      <c r="O5" s="8"/>
      <c r="P5" t="e">
        <f ca="1"/>
        <v>#NAME?</v>
      </c>
      <c r="Q5" s="627" t="e">
        <f ca="1"/>
        <v>#NAME?</v>
      </c>
      <c r="S5" t="s">
        <v>512</v>
      </c>
      <c r="T5" s="946" t="e">
        <f ca="1">[1]!SCORREL(A4:A18,B4:B18)</f>
        <v>#NAME?</v>
      </c>
      <c r="V5" t="s">
        <v>512</v>
      </c>
      <c r="W5" s="946" t="e">
        <f ca="1">[1]!SCORREL(A4:A18,B4:B18)</f>
        <v>#NAME?</v>
      </c>
    </row>
    <row r="6" spans="1:23">
      <c r="A6" s="664">
        <v>60</v>
      </c>
      <c r="B6" s="618">
        <v>25</v>
      </c>
      <c r="D6" s="87" t="e">
        <f ca="1"/>
        <v>#NAME?</v>
      </c>
      <c r="E6" s="1203" t="e">
        <f ca="1"/>
        <v>#NAME?</v>
      </c>
      <c r="F6" s="714">
        <f ca="1">COUNTIF(E7:E$19,"&lt;"&amp;E6)</f>
        <v>12</v>
      </c>
      <c r="H6" t="s">
        <v>386</v>
      </c>
      <c r="I6" s="627">
        <f ca="1">F19</f>
        <v>105</v>
      </c>
      <c r="K6" s="23" t="e">
        <f ca="1">[1]!FTEXT(I6)</f>
        <v>#NAME?</v>
      </c>
      <c r="M6" t="e">
        <f ca="1"/>
        <v>#NAME?</v>
      </c>
      <c r="N6" s="627" t="e">
        <f ca="1"/>
        <v>#NAME?</v>
      </c>
      <c r="O6" s="8"/>
      <c r="P6" t="e">
        <f ca="1"/>
        <v>#NAME?</v>
      </c>
      <c r="Q6" s="627" t="e">
        <f ca="1"/>
        <v>#NAME?</v>
      </c>
      <c r="S6" t="s">
        <v>4054</v>
      </c>
      <c r="T6" s="1073" t="e">
        <f t="array" aca="1" ref="T6" ca="1">[1]!KCORREL(A4:A18,B4:B18,,,,FALSE)</f>
        <v>#NAME?</v>
      </c>
      <c r="V6" t="s">
        <v>4054</v>
      </c>
      <c r="W6" s="1073" t="e">
        <f ca="1">[1]!KCORREL(A4:A18,B4:B18,,,,FALSE)</f>
        <v>#NAME?</v>
      </c>
    </row>
    <row r="7" spans="1:23">
      <c r="A7" s="664">
        <v>53</v>
      </c>
      <c r="B7" s="618">
        <v>48</v>
      </c>
      <c r="D7" s="87" t="e">
        <f ca="1"/>
        <v>#NAME?</v>
      </c>
      <c r="E7" s="1203" t="e">
        <f ca="1"/>
        <v>#NAME?</v>
      </c>
      <c r="F7" s="714">
        <f ca="1">COUNTIF(E8:E$19,"&lt;"&amp;E7)</f>
        <v>11</v>
      </c>
      <c r="H7" t="s">
        <v>385</v>
      </c>
      <c r="I7" s="627" t="e">
        <f ca="1">I5-I6</f>
        <v>#NUM!</v>
      </c>
      <c r="K7" s="23" t="e">
        <f ca="1">[1]!FTEXT(I7)</f>
        <v>#NAME?</v>
      </c>
      <c r="M7" t="e">
        <f ca="1"/>
        <v>#NAME?</v>
      </c>
      <c r="N7" s="627" t="e">
        <f ca="1"/>
        <v>#NAME?</v>
      </c>
      <c r="O7" s="8"/>
      <c r="P7" t="e">
        <f ca="1"/>
        <v>#NAME?</v>
      </c>
      <c r="Q7" s="627" t="e">
        <f ca="1"/>
        <v>#NAME?</v>
      </c>
    </row>
    <row r="8" spans="1:23">
      <c r="A8" s="664">
        <v>85</v>
      </c>
      <c r="B8" s="1218">
        <v>17</v>
      </c>
      <c r="D8" s="87" t="e">
        <f ca="1"/>
        <v>#NAME?</v>
      </c>
      <c r="E8" s="1203" t="e">
        <f ca="1"/>
        <v>#NAME?</v>
      </c>
      <c r="F8" s="714">
        <f ca="1">COUNTIF(E9:E$19,"&lt;"&amp;E8)</f>
        <v>10</v>
      </c>
      <c r="H8" t="s">
        <v>521</v>
      </c>
      <c r="I8" s="627" t="e">
        <f ca="1">(I7-I6)/I5</f>
        <v>#NUM!</v>
      </c>
      <c r="K8" s="23" t="e">
        <f ca="1">[1]!FTEXT(I8)</f>
        <v>#NAME?</v>
      </c>
      <c r="M8" t="e">
        <f ca="1"/>
        <v>#NAME?</v>
      </c>
      <c r="N8" s="627" t="e">
        <f ca="1"/>
        <v>#NAME?</v>
      </c>
      <c r="O8" s="8"/>
      <c r="P8" t="e">
        <f ca="1"/>
        <v>#NAME?</v>
      </c>
      <c r="Q8" s="627" t="e">
        <f ca="1"/>
        <v>#NAME?</v>
      </c>
      <c r="S8" t="s">
        <v>4061</v>
      </c>
      <c r="V8" t="s">
        <v>4061</v>
      </c>
    </row>
    <row r="9" spans="1:23">
      <c r="A9" s="664">
        <v>84</v>
      </c>
      <c r="B9" s="1218">
        <v>8</v>
      </c>
      <c r="D9" s="87" t="e">
        <f ca="1"/>
        <v>#NAME?</v>
      </c>
      <c r="E9" s="1203" t="e">
        <f ca="1"/>
        <v>#NAME?</v>
      </c>
      <c r="F9" s="714">
        <f ca="1">COUNTIF(E10:E$19,"&lt;"&amp;E9)</f>
        <v>9</v>
      </c>
      <c r="H9" t="s">
        <v>522</v>
      </c>
      <c r="I9" s="544" t="e">
        <f ca="1">SQRT((2*I4+5)/I5)/3</f>
        <v>#NUM!</v>
      </c>
      <c r="K9" s="23" t="e">
        <f ca="1">[1]!FTEXT(I9)</f>
        <v>#NAME?</v>
      </c>
      <c r="M9" t="e">
        <f ca="1"/>
        <v>#NAME?</v>
      </c>
      <c r="N9" s="627" t="e">
        <f ca="1"/>
        <v>#NAME?</v>
      </c>
      <c r="O9" s="8"/>
      <c r="P9" t="e">
        <f ca="1"/>
        <v>#NAME?</v>
      </c>
      <c r="Q9" s="627" t="e">
        <f ca="1"/>
        <v>#NAME?</v>
      </c>
    </row>
    <row r="10" spans="1:23">
      <c r="A10" s="664">
        <v>73</v>
      </c>
      <c r="B10" s="618">
        <v>4</v>
      </c>
      <c r="D10" s="87" t="e">
        <f ca="1"/>
        <v>#NAME?</v>
      </c>
      <c r="E10" s="1203" t="e">
        <f ca="1"/>
        <v>#NAME?</v>
      </c>
      <c r="F10" s="714">
        <f ca="1">COUNTIF(E11:E$19,"&lt;"&amp;E10)</f>
        <v>8</v>
      </c>
      <c r="K10" s="23"/>
      <c r="M10" t="e">
        <f ca="1"/>
        <v>#NAME?</v>
      </c>
      <c r="N10" s="544" t="e">
        <f ca="1"/>
        <v>#NAME?</v>
      </c>
      <c r="O10" s="8"/>
      <c r="P10" t="e">
        <f ca="1"/>
        <v>#NAME?</v>
      </c>
      <c r="Q10" s="544" t="e">
        <f ca="1"/>
        <v>#NAME?</v>
      </c>
      <c r="S10" t="s">
        <v>116</v>
      </c>
      <c r="T10" s="1441">
        <v>0.05</v>
      </c>
      <c r="V10" t="s">
        <v>116</v>
      </c>
      <c r="W10" s="1441">
        <v>0.05</v>
      </c>
    </row>
    <row r="11" spans="1:23">
      <c r="A11" s="664">
        <v>79</v>
      </c>
      <c r="B11" s="618">
        <v>26</v>
      </c>
      <c r="D11" s="87" t="e">
        <f ca="1"/>
        <v>#NAME?</v>
      </c>
      <c r="E11" s="1203" t="e">
        <f ca="1"/>
        <v>#NAME?</v>
      </c>
      <c r="F11" s="714">
        <f ca="1">COUNTIF(E12:E$19,"&lt;"&amp;E11)</f>
        <v>7</v>
      </c>
      <c r="H11" s="65" t="s">
        <v>157</v>
      </c>
      <c r="I11" s="1235">
        <v>0.05</v>
      </c>
      <c r="S11" t="s">
        <v>4056</v>
      </c>
      <c r="T11" s="1073">
        <v>1</v>
      </c>
      <c r="V11" t="s">
        <v>4056</v>
      </c>
      <c r="W11" s="1073">
        <v>2</v>
      </c>
    </row>
    <row r="12" spans="1:23">
      <c r="A12" s="664">
        <v>81</v>
      </c>
      <c r="B12" s="618">
        <v>11</v>
      </c>
      <c r="D12" s="87" t="e">
        <f ca="1"/>
        <v>#NAME?</v>
      </c>
      <c r="E12" s="1203" t="e">
        <f ca="1"/>
        <v>#NAME?</v>
      </c>
      <c r="F12" s="714">
        <f ca="1">COUNTIF(E13:E$19,"&lt;"&amp;E12)</f>
        <v>6</v>
      </c>
      <c r="H12" t="s">
        <v>127</v>
      </c>
      <c r="I12" s="627" t="e">
        <f ca="1">I8/I9</f>
        <v>#NUM!</v>
      </c>
      <c r="K12" s="23" t="e">
        <f ca="1">[1]!FTEXT(I12)</f>
        <v>#NAME?</v>
      </c>
    </row>
    <row r="13" spans="1:23">
      <c r="A13" s="664">
        <v>75</v>
      </c>
      <c r="B13" s="618">
        <v>19</v>
      </c>
      <c r="D13" s="87" t="e">
        <f ca="1"/>
        <v>#NAME?</v>
      </c>
      <c r="E13" s="1203" t="e">
        <f ca="1"/>
        <v>#NAME?</v>
      </c>
      <c r="F13" s="714">
        <f ca="1">COUNTIF(E14:E$19,"&lt;"&amp;E13)</f>
        <v>5</v>
      </c>
      <c r="H13" t="s">
        <v>491</v>
      </c>
      <c r="I13" s="627">
        <f>NORMSINV(1-I11/2)</f>
        <v>1.9599639845400536</v>
      </c>
      <c r="K13" s="23" t="e">
        <f ca="1">[1]!FTEXT(I13)</f>
        <v>#NAME?</v>
      </c>
      <c r="S13" t="e">
        <f t="array" aca="1" ref="S13:T19" ca="1">[1]!KCORREL(A4:A18,B4:B18,TRUE,T11,T10,FALSE)</f>
        <v>#NAME?</v>
      </c>
      <c r="T13" s="1441" t="e">
        <f ca="1"/>
        <v>#NAME?</v>
      </c>
      <c r="V13" t="e">
        <f t="array" aca="1" ref="V13:W19" ca="1">[1]!KCORREL(A4:A18,B4:B18,TRUE,W11,W10,FALSE)</f>
        <v>#NAME?</v>
      </c>
      <c r="W13" s="1441" t="e">
        <f ca="1"/>
        <v>#NAME?</v>
      </c>
    </row>
    <row r="14" spans="1:23">
      <c r="A14" s="664">
        <v>68</v>
      </c>
      <c r="B14" s="618">
        <v>14</v>
      </c>
      <c r="D14" s="87" t="e">
        <f ca="1"/>
        <v>#NAME?</v>
      </c>
      <c r="E14" s="1203" t="e">
        <f ca="1"/>
        <v>#NAME?</v>
      </c>
      <c r="F14" s="714">
        <f ca="1">COUNTIF(E15:E$19,"&lt;"&amp;E14)</f>
        <v>4</v>
      </c>
      <c r="H14" t="s">
        <v>200</v>
      </c>
      <c r="I14" s="627" t="e">
        <f ca="1">2*NORMSDIST(-ABS(I12))</f>
        <v>#NUM!</v>
      </c>
      <c r="K14" s="23" t="e">
        <f ca="1">[1]!FTEXT(I14)</f>
        <v>#NAME?</v>
      </c>
      <c r="O14" s="8"/>
      <c r="P14" s="8"/>
      <c r="Q14" s="8"/>
      <c r="S14" t="e">
        <f ca="1"/>
        <v>#NAME?</v>
      </c>
      <c r="T14" s="946" t="e">
        <f ca="1"/>
        <v>#NAME?</v>
      </c>
      <c r="V14" t="e">
        <f ca="1"/>
        <v>#NAME?</v>
      </c>
      <c r="W14" s="946" t="e">
        <f ca="1"/>
        <v>#NAME?</v>
      </c>
    </row>
    <row r="15" spans="1:23">
      <c r="A15" s="664">
        <v>72</v>
      </c>
      <c r="B15" s="618">
        <v>35</v>
      </c>
      <c r="D15" s="87" t="e">
        <f ca="1"/>
        <v>#NAME?</v>
      </c>
      <c r="E15" s="1203" t="e">
        <f ca="1"/>
        <v>#NAME?</v>
      </c>
      <c r="F15" s="714">
        <f ca="1">COUNTIF(E16:E$19,"&lt;"&amp;E15)</f>
        <v>3</v>
      </c>
      <c r="H15" t="s">
        <v>948</v>
      </c>
      <c r="I15" s="538" t="e">
        <f ca="1">IF(I14&lt;I11,"yes","no")</f>
        <v>#NUM!</v>
      </c>
      <c r="K15" s="23" t="e">
        <f ca="1">[1]!FTEXT(I15)</f>
        <v>#NAME?</v>
      </c>
      <c r="O15" s="8"/>
      <c r="P15" s="8"/>
      <c r="Q15" s="8"/>
      <c r="S15" t="e">
        <f ca="1"/>
        <v>#NAME?</v>
      </c>
      <c r="T15" s="946" t="e">
        <f ca="1"/>
        <v>#NAME?</v>
      </c>
      <c r="V15" t="e">
        <f ca="1"/>
        <v>#NAME?</v>
      </c>
      <c r="W15" s="946" t="e">
        <f ca="1"/>
        <v>#NAME?</v>
      </c>
    </row>
    <row r="16" spans="1:23">
      <c r="A16" s="664">
        <v>58</v>
      </c>
      <c r="B16" s="618">
        <v>29</v>
      </c>
      <c r="D16" s="87" t="e">
        <f ca="1"/>
        <v>#NAME?</v>
      </c>
      <c r="E16" s="201" t="e">
        <f ca="1"/>
        <v>#NAME?</v>
      </c>
      <c r="F16" s="714">
        <f ca="1">COUNTIF(E17:E$19,"&lt;"&amp;E16)</f>
        <v>2</v>
      </c>
      <c r="K16" s="23"/>
      <c r="O16" s="8"/>
      <c r="P16" s="8"/>
      <c r="Q16" s="8"/>
      <c r="S16" t="e">
        <f ca="1"/>
        <v>#NAME?</v>
      </c>
      <c r="T16" s="946" t="e">
        <f ca="1"/>
        <v>#NAME?</v>
      </c>
      <c r="V16" t="e">
        <f ca="1"/>
        <v>#NAME?</v>
      </c>
      <c r="W16" s="946" t="e">
        <f ca="1"/>
        <v>#NAME?</v>
      </c>
    </row>
    <row r="17" spans="1:23">
      <c r="A17" s="664">
        <v>92</v>
      </c>
      <c r="B17" s="618">
        <v>3</v>
      </c>
      <c r="D17" s="87" t="e">
        <f ca="1"/>
        <v>#NAME?</v>
      </c>
      <c r="E17" s="201" t="e">
        <f ca="1"/>
        <v>#NAME?</v>
      </c>
      <c r="F17" s="714">
        <f ca="1">COUNTIF(E18:E$19,"&lt;"&amp;E17)</f>
        <v>1</v>
      </c>
      <c r="H17" t="s">
        <v>103</v>
      </c>
      <c r="I17" s="1235" t="e">
        <f ca="1">I8-I9*I13</f>
        <v>#NUM!</v>
      </c>
      <c r="K17" s="23" t="e">
        <f ca="1">[1]!FTEXT(I17)</f>
        <v>#NAME?</v>
      </c>
      <c r="O17" s="8"/>
      <c r="P17" s="8"/>
      <c r="Q17" s="8"/>
      <c r="S17" t="e">
        <f ca="1"/>
        <v>#NAME?</v>
      </c>
      <c r="T17" s="946" t="e">
        <f ca="1"/>
        <v>#NAME?</v>
      </c>
      <c r="V17" t="e">
        <f ca="1"/>
        <v>#NAME?</v>
      </c>
      <c r="W17" s="946" t="e">
        <f ca="1"/>
        <v>#NAME?</v>
      </c>
    </row>
    <row r="18" spans="1:23">
      <c r="A18" s="560">
        <v>65</v>
      </c>
      <c r="B18" s="536">
        <v>24</v>
      </c>
      <c r="D18" s="206" t="e">
        <f ca="1"/>
        <v>#NAME?</v>
      </c>
      <c r="E18" s="1204" t="e">
        <f ca="1"/>
        <v>#NAME?</v>
      </c>
      <c r="F18" s="713">
        <f ca="1">COUNTIF(E19:E$19,"&lt;"&amp;E18)</f>
        <v>0</v>
      </c>
      <c r="H18" t="s">
        <v>104</v>
      </c>
      <c r="I18" s="544" t="e">
        <f ca="1">I8+I9*I13</f>
        <v>#NUM!</v>
      </c>
      <c r="K18" s="23" t="e">
        <f ca="1">[1]!FTEXT(I18)</f>
        <v>#NAME?</v>
      </c>
      <c r="O18" s="8"/>
      <c r="P18" s="8"/>
      <c r="Q18" s="8"/>
      <c r="S18" t="e">
        <f ca="1"/>
        <v>#NAME?</v>
      </c>
      <c r="T18" s="946" t="e">
        <f ca="1"/>
        <v>#NAME?</v>
      </c>
      <c r="V18" t="e">
        <f ca="1"/>
        <v>#NAME?</v>
      </c>
      <c r="W18" s="946" t="e">
        <f ca="1"/>
        <v>#NAME?</v>
      </c>
    </row>
    <row r="19" spans="1:23">
      <c r="F19" s="1202">
        <f ca="1">SUM(F4:F18)</f>
        <v>105</v>
      </c>
      <c r="O19" s="8"/>
      <c r="P19" s="8"/>
      <c r="Q19" s="8"/>
      <c r="S19" t="e">
        <f ca="1"/>
        <v>#NAME?</v>
      </c>
      <c r="T19" s="1073" t="e">
        <f ca="1"/>
        <v>#NAME?</v>
      </c>
      <c r="V19" t="e">
        <f ca="1"/>
        <v>#NAME?</v>
      </c>
      <c r="W19" s="1073" t="e">
        <f ca="1"/>
        <v>#NAME?</v>
      </c>
    </row>
    <row r="20" spans="1:23">
      <c r="O20" s="8"/>
      <c r="P20" s="8"/>
      <c r="Q20" s="8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sheetPr codeName="Sheet62"/>
  <dimension ref="A1:O19"/>
  <sheetViews>
    <sheetView workbookViewId="0">
      <selection activeCell="H21" sqref="H21"/>
    </sheetView>
  </sheetViews>
  <sheetFormatPr defaultRowHeight="14.4"/>
  <cols>
    <col min="3" max="3" width="6.88671875" customWidth="1"/>
    <col min="4" max="5" width="10.6640625" customWidth="1"/>
    <col min="6" max="10" width="10" customWidth="1"/>
    <col min="11" max="11" width="4.88671875" customWidth="1"/>
    <col min="12" max="12" width="11.6640625" customWidth="1"/>
    <col min="14" max="14" width="4.44140625" customWidth="1"/>
    <col min="15" max="15" width="33.33203125" customWidth="1"/>
  </cols>
  <sheetData>
    <row r="1" spans="1:15">
      <c r="A1" s="1" t="s">
        <v>519</v>
      </c>
    </row>
    <row r="3" spans="1:15">
      <c r="A3" s="884" t="s">
        <v>547</v>
      </c>
      <c r="B3" s="886" t="s">
        <v>518</v>
      </c>
      <c r="D3" s="884" t="s">
        <v>547</v>
      </c>
      <c r="E3" s="886" t="s">
        <v>518</v>
      </c>
      <c r="F3" s="803" t="s">
        <v>546</v>
      </c>
      <c r="G3" s="948" t="s">
        <v>3263</v>
      </c>
      <c r="H3" s="860" t="s">
        <v>550</v>
      </c>
      <c r="I3" s="181" t="s">
        <v>551</v>
      </c>
      <c r="J3" s="861" t="s">
        <v>552</v>
      </c>
    </row>
    <row r="4" spans="1:15">
      <c r="A4" s="1101">
        <v>78</v>
      </c>
      <c r="B4" s="1102">
        <v>4</v>
      </c>
      <c r="D4" s="890" t="e">
        <f t="array" aca="1" ref="D4:E18" ca="1">[1]!QSORTRows(A4:B18,1)</f>
        <v>#NAME?</v>
      </c>
      <c r="E4" s="891" t="e">
        <f ca="1"/>
        <v>#NAME?</v>
      </c>
      <c r="F4" s="1101">
        <f ca="1">COUNTIFS(E5:E$19,"&lt;"&amp;E4, D5:D$19,"&gt;" &amp; D4)</f>
        <v>14</v>
      </c>
      <c r="G4" s="1102">
        <f ca="1">COUNTIFS(E5:E$19,"&gt;"&amp;E4, D5:D$19,"&gt;" &amp; D4)</f>
        <v>14</v>
      </c>
      <c r="H4" s="1101">
        <f ca="1">COUNTIF(D5:D$19,"="&amp;D4)</f>
        <v>14</v>
      </c>
      <c r="I4" s="1177">
        <f ca="1">COUNTIF(E5:E$19,"="&amp;E4)</f>
        <v>14</v>
      </c>
      <c r="J4" s="1221">
        <f ca="1">COUNTIFS(D5:D$19,"="&amp;D4,E5:E$19,"="&amp;E4)</f>
        <v>14</v>
      </c>
      <c r="L4" t="s">
        <v>106</v>
      </c>
      <c r="M4" s="853">
        <f ca="1">COUNT(D4:D18)</f>
        <v>0</v>
      </c>
      <c r="O4" s="23" t="e">
        <f ca="1">[1]!FTEXT(M4)</f>
        <v>#NAME?</v>
      </c>
    </row>
    <row r="5" spans="1:15">
      <c r="A5" s="664">
        <v>78</v>
      </c>
      <c r="B5" s="618">
        <v>23</v>
      </c>
      <c r="D5" s="87" t="e">
        <f ca="1"/>
        <v>#NAME?</v>
      </c>
      <c r="E5" s="859" t="e">
        <f ca="1"/>
        <v>#NAME?</v>
      </c>
      <c r="F5" s="664">
        <f ca="1">COUNTIFS(E6:E$19,"&lt;"&amp;E5, D6:D$19,"&gt;" &amp; D5)</f>
        <v>13</v>
      </c>
      <c r="G5" s="618">
        <f ca="1">COUNTIFS(E6:E$19,"&gt;"&amp;E5, D6:D$19,"&gt;" &amp; D5)</f>
        <v>13</v>
      </c>
      <c r="H5" s="664">
        <f ca="1">COUNTIF(D6:D$19,"="&amp;D5)</f>
        <v>13</v>
      </c>
      <c r="I5" s="1214">
        <f ca="1">COUNTIF(E6:E$19,"="&amp;E5)</f>
        <v>13</v>
      </c>
      <c r="J5" s="1222">
        <f ca="1">COUNTIFS(D6:D$19,"="&amp;D5,E6:E$19,"="&amp;E5)</f>
        <v>13</v>
      </c>
      <c r="L5" t="s">
        <v>520</v>
      </c>
      <c r="M5" s="627" t="e">
        <f ca="1">COMBIN(M4,2)</f>
        <v>#NUM!</v>
      </c>
      <c r="O5" s="23" t="e">
        <f ca="1">[1]!FTEXT(M5)</f>
        <v>#NAME?</v>
      </c>
    </row>
    <row r="6" spans="1:15">
      <c r="A6" s="664">
        <v>60</v>
      </c>
      <c r="B6" s="618">
        <v>25</v>
      </c>
      <c r="D6" s="87" t="e">
        <f ca="1"/>
        <v>#NAME?</v>
      </c>
      <c r="E6" s="859" t="e">
        <f ca="1"/>
        <v>#NAME?</v>
      </c>
      <c r="F6" s="664">
        <f ca="1">COUNTIFS(E7:E$19,"&lt;"&amp;E6, D7:D$19,"&gt;" &amp; D6)</f>
        <v>12</v>
      </c>
      <c r="G6" s="618">
        <f ca="1">COUNTIFS(E7:E$19,"&gt;"&amp;E6, D7:D$19,"&gt;" &amp; D6)</f>
        <v>12</v>
      </c>
      <c r="H6" s="664">
        <f ca="1">COUNTIF(D7:D$19,"="&amp;D6)</f>
        <v>12</v>
      </c>
      <c r="I6" s="1214">
        <f ca="1">COUNTIF(E7:E$19,"="&amp;E6)</f>
        <v>12</v>
      </c>
      <c r="J6" s="1222">
        <f ca="1">COUNTIFS(D7:D$19,"="&amp;D6,E7:E$19,"="&amp;E6)</f>
        <v>12</v>
      </c>
      <c r="L6" t="s">
        <v>386</v>
      </c>
      <c r="M6" s="627">
        <f ca="1">F19</f>
        <v>105</v>
      </c>
      <c r="O6" s="23" t="e">
        <f ca="1">[1]!FTEXT(M6)</f>
        <v>#NAME?</v>
      </c>
    </row>
    <row r="7" spans="1:15">
      <c r="A7" s="664">
        <v>53</v>
      </c>
      <c r="B7" s="618">
        <v>48</v>
      </c>
      <c r="D7" s="87" t="e">
        <f ca="1"/>
        <v>#NAME?</v>
      </c>
      <c r="E7" s="859" t="e">
        <f ca="1"/>
        <v>#NAME?</v>
      </c>
      <c r="F7" s="664">
        <f ca="1">COUNTIFS(E8:E$19,"&lt;"&amp;E7, D8:D$19,"&gt;" &amp; D7)</f>
        <v>11</v>
      </c>
      <c r="G7" s="618">
        <f ca="1">COUNTIFS(E8:E$19,"&gt;"&amp;E7, D8:D$19,"&gt;" &amp; D7)</f>
        <v>11</v>
      </c>
      <c r="H7" s="664">
        <f ca="1">COUNTIF(D8:D$19,"="&amp;D7)</f>
        <v>11</v>
      </c>
      <c r="I7" s="1214">
        <f ca="1">COUNTIF(E8:E$19,"="&amp;E7)</f>
        <v>11</v>
      </c>
      <c r="J7" s="1222">
        <f ca="1">COUNTIFS(D8:D$19,"="&amp;D7,E8:E$19,"="&amp;E7)</f>
        <v>11</v>
      </c>
      <c r="L7" t="s">
        <v>385</v>
      </c>
      <c r="M7" s="627">
        <f ca="1">G19</f>
        <v>105</v>
      </c>
      <c r="O7" s="23" t="e">
        <f ca="1">[1]!FTEXT(M7)</f>
        <v>#NAME?</v>
      </c>
    </row>
    <row r="8" spans="1:15">
      <c r="A8" s="664">
        <v>85</v>
      </c>
      <c r="B8" s="1218">
        <v>17</v>
      </c>
      <c r="D8" s="87" t="e">
        <f ca="1"/>
        <v>#NAME?</v>
      </c>
      <c r="E8" s="859" t="e">
        <f ca="1"/>
        <v>#NAME?</v>
      </c>
      <c r="F8" s="664">
        <f ca="1">COUNTIFS(E9:E$19,"&lt;"&amp;E8, D9:D$19,"&gt;" &amp; D8)</f>
        <v>10</v>
      </c>
      <c r="G8" s="618">
        <f ca="1">COUNTIFS(E9:E$19,"&gt;"&amp;E8, D9:D$19,"&gt;" &amp; D8)</f>
        <v>10</v>
      </c>
      <c r="H8" s="664">
        <f ca="1">COUNTIF(D9:D$19,"="&amp;D8)</f>
        <v>10</v>
      </c>
      <c r="I8" s="1214">
        <f ca="1">COUNTIF(E9:E$19,"="&amp;E8)</f>
        <v>10</v>
      </c>
      <c r="J8" s="1222">
        <f ca="1">COUNTIFS(D9:D$19,"="&amp;D8,E9:E$19,"="&amp;E8)</f>
        <v>10</v>
      </c>
      <c r="L8" t="s">
        <v>521</v>
      </c>
      <c r="M8" s="627" t="e">
        <f ca="1">(M7-M6)/SQRT((M5-H19)*(M5-I19))</f>
        <v>#NUM!</v>
      </c>
      <c r="O8" s="23" t="e">
        <f ca="1">[1]!FTEXT(M8)</f>
        <v>#NAME?</v>
      </c>
    </row>
    <row r="9" spans="1:15">
      <c r="A9" s="664">
        <v>84</v>
      </c>
      <c r="B9" s="1218">
        <v>8</v>
      </c>
      <c r="D9" s="87" t="e">
        <f ca="1"/>
        <v>#NAME?</v>
      </c>
      <c r="E9" s="859" t="e">
        <f ca="1"/>
        <v>#NAME?</v>
      </c>
      <c r="F9" s="664">
        <f ca="1">COUNTIFS(E10:E$19,"&lt;"&amp;E9, D10:D$19,"&gt;" &amp; D9)</f>
        <v>9</v>
      </c>
      <c r="G9" s="618">
        <f ca="1">COUNTIFS(E10:E$19,"&gt;"&amp;E9, D10:D$19,"&gt;" &amp; D9)</f>
        <v>9</v>
      </c>
      <c r="H9" s="664">
        <f ca="1">COUNTIF(D10:D$19,"="&amp;D9)</f>
        <v>9</v>
      </c>
      <c r="I9" s="1214">
        <f ca="1">COUNTIF(E10:E$19,"="&amp;E9)</f>
        <v>9</v>
      </c>
      <c r="J9" s="1222">
        <f ca="1">COUNTIFS(D10:D$19,"="&amp;D9,E10:E$19,"="&amp;E9)</f>
        <v>9</v>
      </c>
      <c r="L9" t="s">
        <v>522</v>
      </c>
      <c r="M9" s="544" t="e">
        <f ca="1">SQRT((2*M4+5)/M5)/3</f>
        <v>#NUM!</v>
      </c>
      <c r="O9" s="23" t="e">
        <f ca="1">[1]!FTEXT(M9)</f>
        <v>#NAME?</v>
      </c>
    </row>
    <row r="10" spans="1:15">
      <c r="A10" s="664">
        <v>73</v>
      </c>
      <c r="B10" s="618">
        <v>4</v>
      </c>
      <c r="D10" s="87" t="e">
        <f ca="1"/>
        <v>#NAME?</v>
      </c>
      <c r="E10" s="859" t="e">
        <f ca="1"/>
        <v>#NAME?</v>
      </c>
      <c r="F10" s="664">
        <f ca="1">COUNTIFS(E11:E$19,"&lt;"&amp;E10, D11:D$19,"&gt;" &amp; D10)</f>
        <v>8</v>
      </c>
      <c r="G10" s="618">
        <f ca="1">COUNTIFS(E11:E$19,"&gt;"&amp;E10, D11:D$19,"&gt;" &amp; D10)</f>
        <v>8</v>
      </c>
      <c r="H10" s="664">
        <f ca="1">COUNTIF(D11:D$19,"="&amp;D10)</f>
        <v>8</v>
      </c>
      <c r="I10" s="1214">
        <f ca="1">COUNTIF(E11:E$19,"="&amp;E10)</f>
        <v>8</v>
      </c>
      <c r="J10" s="1222">
        <f ca="1">COUNTIFS(D11:D$19,"="&amp;D10,E11:E$19,"="&amp;E10)</f>
        <v>8</v>
      </c>
      <c r="O10" s="23"/>
    </row>
    <row r="11" spans="1:15">
      <c r="A11" s="664">
        <v>78</v>
      </c>
      <c r="B11" s="618">
        <v>26</v>
      </c>
      <c r="D11" s="87" t="e">
        <f ca="1"/>
        <v>#NAME?</v>
      </c>
      <c r="E11" s="859" t="e">
        <f ca="1"/>
        <v>#NAME?</v>
      </c>
      <c r="F11" s="664">
        <f ca="1">COUNTIFS(E12:E$19,"&lt;"&amp;E11, D12:D$19,"&gt;" &amp; D11)</f>
        <v>7</v>
      </c>
      <c r="G11" s="618">
        <f ca="1">COUNTIFS(E12:E$19,"&gt;"&amp;E11, D12:D$19,"&gt;" &amp; D11)</f>
        <v>7</v>
      </c>
      <c r="H11" s="664">
        <f ca="1">COUNTIF(D12:D$19,"="&amp;D11)</f>
        <v>7</v>
      </c>
      <c r="I11" s="1214">
        <f ca="1">COUNTIF(E12:E$19,"="&amp;E11)</f>
        <v>7</v>
      </c>
      <c r="J11" s="1222">
        <f ca="1">COUNTIFS(D12:D$19,"="&amp;D11,E12:E$19,"="&amp;E11)</f>
        <v>7</v>
      </c>
      <c r="L11" s="65" t="s">
        <v>157</v>
      </c>
      <c r="M11" s="1235">
        <v>0.05</v>
      </c>
      <c r="O11" s="23"/>
    </row>
    <row r="12" spans="1:15">
      <c r="A12" s="664">
        <v>78</v>
      </c>
      <c r="B12" s="618">
        <v>23</v>
      </c>
      <c r="D12" s="87" t="e">
        <f ca="1"/>
        <v>#NAME?</v>
      </c>
      <c r="E12" s="859" t="e">
        <f ca="1"/>
        <v>#NAME?</v>
      </c>
      <c r="F12" s="664">
        <f ca="1">COUNTIFS(E13:E$19,"&lt;"&amp;E12, D13:D$19,"&gt;" &amp; D12)</f>
        <v>6</v>
      </c>
      <c r="G12" s="618">
        <f ca="1">COUNTIFS(E13:E$19,"&gt;"&amp;E12, D13:D$19,"&gt;" &amp; D12)</f>
        <v>6</v>
      </c>
      <c r="H12" s="664">
        <f ca="1">COUNTIF(D13:D$19,"="&amp;D12)</f>
        <v>6</v>
      </c>
      <c r="I12" s="1214">
        <f ca="1">COUNTIF(E13:E$19,"="&amp;E12)</f>
        <v>6</v>
      </c>
      <c r="J12" s="1222">
        <f ca="1">COUNTIFS(D13:D$19,"="&amp;D12,E13:E$19,"="&amp;E12)</f>
        <v>6</v>
      </c>
      <c r="L12" t="s">
        <v>127</v>
      </c>
      <c r="M12" s="627" t="e">
        <f ca="1">M8/M9</f>
        <v>#NUM!</v>
      </c>
      <c r="O12" s="23" t="e">
        <f ca="1">[1]!FTEXT(M12)</f>
        <v>#NAME?</v>
      </c>
    </row>
    <row r="13" spans="1:15">
      <c r="A13" s="664">
        <v>75</v>
      </c>
      <c r="B13" s="618">
        <v>19</v>
      </c>
      <c r="D13" s="87" t="e">
        <f ca="1"/>
        <v>#NAME?</v>
      </c>
      <c r="E13" s="859" t="e">
        <f ca="1"/>
        <v>#NAME?</v>
      </c>
      <c r="F13" s="664">
        <f ca="1">COUNTIFS(E14:E$19,"&lt;"&amp;E13, D14:D$19,"&gt;" &amp; D13)</f>
        <v>5</v>
      </c>
      <c r="G13" s="618">
        <f ca="1">COUNTIFS(E14:E$19,"&gt;"&amp;E13, D14:D$19,"&gt;" &amp; D13)</f>
        <v>5</v>
      </c>
      <c r="H13" s="664">
        <f ca="1">COUNTIF(D14:D$19,"="&amp;D13)</f>
        <v>5</v>
      </c>
      <c r="I13" s="1214">
        <f ca="1">COUNTIF(E14:E$19,"="&amp;E13)</f>
        <v>5</v>
      </c>
      <c r="J13" s="1222">
        <f ca="1">COUNTIFS(D14:D$19,"="&amp;D13,E14:E$19,"="&amp;E13)</f>
        <v>5</v>
      </c>
      <c r="L13" t="s">
        <v>491</v>
      </c>
      <c r="M13" s="627">
        <f>NORMSINV(1-M11/2)</f>
        <v>1.9599639845400536</v>
      </c>
      <c r="O13" s="23" t="e">
        <f ca="1">[1]!FTEXT(M13)</f>
        <v>#NAME?</v>
      </c>
    </row>
    <row r="14" spans="1:15">
      <c r="A14" s="664">
        <v>65</v>
      </c>
      <c r="B14" s="618">
        <v>24</v>
      </c>
      <c r="D14" s="87" t="e">
        <f ca="1"/>
        <v>#NAME?</v>
      </c>
      <c r="E14" s="859" t="e">
        <f ca="1"/>
        <v>#NAME?</v>
      </c>
      <c r="F14" s="664">
        <f ca="1">COUNTIFS(E15:E$19,"&lt;"&amp;E14, D15:D$19,"&gt;" &amp; D14)</f>
        <v>4</v>
      </c>
      <c r="G14" s="618">
        <f ca="1">COUNTIFS(E15:E$19,"&gt;"&amp;E14, D15:D$19,"&gt;" &amp; D14)</f>
        <v>4</v>
      </c>
      <c r="H14" s="664">
        <f ca="1">COUNTIF(D15:D$19,"="&amp;D14)</f>
        <v>4</v>
      </c>
      <c r="I14" s="1214">
        <f ca="1">COUNTIF(E15:E$19,"="&amp;E14)</f>
        <v>4</v>
      </c>
      <c r="J14" s="1222">
        <f ca="1">COUNTIFS(D15:D$19,"="&amp;D14,E15:E$19,"="&amp;E14)</f>
        <v>4</v>
      </c>
      <c r="L14" t="s">
        <v>200</v>
      </c>
      <c r="M14" s="627" t="e">
        <f ca="1">2*(1-NORMSDIST(ABS(M12)))</f>
        <v>#NUM!</v>
      </c>
      <c r="O14" s="23" t="e">
        <f ca="1">[1]!FTEXT(M14)</f>
        <v>#NAME?</v>
      </c>
    </row>
    <row r="15" spans="1:15">
      <c r="A15" s="664">
        <v>72</v>
      </c>
      <c r="B15" s="618">
        <v>35</v>
      </c>
      <c r="D15" s="87" t="e">
        <f ca="1"/>
        <v>#NAME?</v>
      </c>
      <c r="E15" s="859" t="e">
        <f ca="1"/>
        <v>#NAME?</v>
      </c>
      <c r="F15" s="664">
        <f ca="1">COUNTIFS(E16:E$19,"&lt;"&amp;E15, D16:D$19,"&gt;" &amp; D15)</f>
        <v>3</v>
      </c>
      <c r="G15" s="618">
        <f ca="1">COUNTIFS(E16:E$19,"&gt;"&amp;E15, D16:D$19,"&gt;" &amp; D15)</f>
        <v>3</v>
      </c>
      <c r="H15" s="664">
        <f ca="1">COUNTIF(D16:D$19,"="&amp;D15)</f>
        <v>3</v>
      </c>
      <c r="I15" s="1214">
        <f ca="1">COUNTIF(E16:E$19,"="&amp;E15)</f>
        <v>3</v>
      </c>
      <c r="J15" s="1222">
        <f ca="1">COUNTIFS(D16:D$19,"="&amp;D15,E16:E$19,"="&amp;E15)</f>
        <v>3</v>
      </c>
      <c r="L15" t="s">
        <v>948</v>
      </c>
      <c r="M15" s="538" t="e">
        <f ca="1">IF(M14&lt;M11,"yes","no")</f>
        <v>#NUM!</v>
      </c>
      <c r="O15" s="23" t="e">
        <f ca="1">[1]!FTEXT(M15)</f>
        <v>#NAME?</v>
      </c>
    </row>
    <row r="16" spans="1:15">
      <c r="A16" s="664">
        <v>58</v>
      </c>
      <c r="B16" s="618">
        <v>29</v>
      </c>
      <c r="D16" s="87" t="e">
        <f ca="1"/>
        <v>#NAME?</v>
      </c>
      <c r="E16" s="201" t="e">
        <f ca="1"/>
        <v>#NAME?</v>
      </c>
      <c r="F16" s="664">
        <f ca="1">COUNTIFS(E17:E$19,"&lt;"&amp;E16, D17:D$19,"&gt;" &amp; D16)</f>
        <v>2</v>
      </c>
      <c r="G16" s="618">
        <f ca="1">COUNTIFS(E17:E$19,"&gt;"&amp;E16, D17:D$19,"&gt;" &amp; D16)</f>
        <v>2</v>
      </c>
      <c r="H16" s="664">
        <f ca="1">COUNTIF(D17:D$19,"="&amp;D16)</f>
        <v>2</v>
      </c>
      <c r="I16" s="1214">
        <f ca="1">COUNTIF(E17:E$19,"="&amp;E16)</f>
        <v>2</v>
      </c>
      <c r="J16" s="1222">
        <f ca="1">COUNTIFS(D17:D$19,"="&amp;D16,E17:E$19,"="&amp;E16)</f>
        <v>2</v>
      </c>
      <c r="O16" s="23"/>
    </row>
    <row r="17" spans="1:15">
      <c r="A17" s="664">
        <v>92</v>
      </c>
      <c r="B17" s="618">
        <v>4</v>
      </c>
      <c r="D17" s="87" t="e">
        <f ca="1"/>
        <v>#NAME?</v>
      </c>
      <c r="E17" s="201" t="e">
        <f ca="1"/>
        <v>#NAME?</v>
      </c>
      <c r="F17" s="664">
        <f ca="1">COUNTIFS(E18:E$19,"&lt;"&amp;E17, D18:D$19,"&gt;" &amp; D17)</f>
        <v>1</v>
      </c>
      <c r="G17" s="618">
        <f ca="1">COUNTIFS(E18:E$19,"&gt;"&amp;E17, D18:D$19,"&gt;" &amp; D17)</f>
        <v>1</v>
      </c>
      <c r="H17" s="664">
        <f ca="1">COUNTIF(D18:D$19,"="&amp;D17)</f>
        <v>1</v>
      </c>
      <c r="I17" s="1214">
        <f ca="1">COUNTIF(E18:E$19,"="&amp;E17)</f>
        <v>1</v>
      </c>
      <c r="J17" s="1222">
        <f ca="1">COUNTIFS(D18:D$19,"="&amp;D17,E18:E$19,"="&amp;E17)</f>
        <v>1</v>
      </c>
      <c r="L17" t="s">
        <v>103</v>
      </c>
      <c r="M17" s="1235" t="e">
        <f ca="1">M8-M9*M13</f>
        <v>#NUM!</v>
      </c>
      <c r="O17" s="23" t="e">
        <f ca="1">[1]!FTEXT(M17)</f>
        <v>#NAME?</v>
      </c>
    </row>
    <row r="18" spans="1:15">
      <c r="A18" s="560">
        <v>65</v>
      </c>
      <c r="B18" s="536">
        <v>14</v>
      </c>
      <c r="D18" s="206" t="e">
        <f ca="1"/>
        <v>#NAME?</v>
      </c>
      <c r="E18" s="863" t="e">
        <f ca="1"/>
        <v>#NAME?</v>
      </c>
      <c r="F18" s="560">
        <f ca="1">COUNTIFS(E19:E$19,"&lt;"&amp;E18, D19:D$19,"&gt;" &amp; D18)</f>
        <v>0</v>
      </c>
      <c r="G18" s="536">
        <f ca="1">COUNTIFS(E19:E$19,"&gt;"&amp;E18, D19:D$19,"&gt;" &amp; D18)</f>
        <v>0</v>
      </c>
      <c r="H18" s="560">
        <f ca="1">COUNTIF(D19:D$19,"="&amp;D18)</f>
        <v>0</v>
      </c>
      <c r="I18" s="1219">
        <f ca="1">COUNTIF(E19:E$19,"="&amp;E18)</f>
        <v>0</v>
      </c>
      <c r="J18" s="1223">
        <f ca="1">COUNTIFS(D19:D$19,"="&amp;D18,E19:E$19,"="&amp;E18)</f>
        <v>0</v>
      </c>
      <c r="L18" t="s">
        <v>104</v>
      </c>
      <c r="M18" s="544" t="e">
        <f ca="1">M8+M9*M13</f>
        <v>#NUM!</v>
      </c>
      <c r="O18" s="23" t="e">
        <f ca="1">[1]!FTEXT(M18)</f>
        <v>#NAME?</v>
      </c>
    </row>
    <row r="19" spans="1:15">
      <c r="F19" s="858">
        <f ca="1">SUM(F4:F18)</f>
        <v>105</v>
      </c>
      <c r="G19" s="1202">
        <f ca="1">SUM(G4:G18)</f>
        <v>105</v>
      </c>
      <c r="H19" s="858">
        <f ca="1">SUM(H4:H18)</f>
        <v>105</v>
      </c>
      <c r="I19" s="858">
        <f ca="1">SUM(I4:I18)</f>
        <v>105</v>
      </c>
      <c r="J19" s="858">
        <f ca="1">SUM(J4:J18)</f>
        <v>105</v>
      </c>
    </row>
  </sheetData>
  <sortState ref="D4:E18">
    <sortCondition ref="D4:D18"/>
  </sortState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sheetPr codeName="Sheet294"/>
  <dimension ref="A1:AE19"/>
  <sheetViews>
    <sheetView workbookViewId="0"/>
  </sheetViews>
  <sheetFormatPr defaultRowHeight="14.4"/>
  <cols>
    <col min="1" max="2" width="10.33203125" customWidth="1"/>
    <col min="3" max="3" width="5.5546875" customWidth="1"/>
    <col min="4" max="5" width="10.6640625" customWidth="1"/>
    <col min="6" max="7" width="10" customWidth="1"/>
    <col min="8" max="9" width="9.6640625" customWidth="1"/>
    <col min="10" max="10" width="4.88671875" customWidth="1"/>
    <col min="11" max="11" width="11.6640625" customWidth="1"/>
    <col min="13" max="13" width="4.44140625" customWidth="1"/>
    <col min="14" max="14" width="27" customWidth="1"/>
    <col min="15" max="15" width="4.33203125" customWidth="1"/>
    <col min="16" max="16" width="6.33203125" customWidth="1"/>
    <col min="18" max="18" width="4.109375" customWidth="1"/>
    <col min="19" max="19" width="26.6640625" customWidth="1"/>
    <col min="20" max="20" width="4.109375" customWidth="1"/>
    <col min="21" max="21" width="11.33203125" customWidth="1"/>
    <col min="23" max="23" width="9.88671875" customWidth="1"/>
    <col min="24" max="24" width="4.5546875" customWidth="1"/>
    <col min="25" max="25" width="37.33203125" customWidth="1"/>
    <col min="26" max="26" width="10.109375" customWidth="1"/>
  </cols>
  <sheetData>
    <row r="1" spans="1:31">
      <c r="A1" s="1" t="s">
        <v>519</v>
      </c>
    </row>
    <row r="2" spans="1:31">
      <c r="AA2" t="s">
        <v>4041</v>
      </c>
      <c r="AB2" t="s">
        <v>2723</v>
      </c>
      <c r="AD2" t="s">
        <v>4041</v>
      </c>
      <c r="AE2" t="s">
        <v>2722</v>
      </c>
    </row>
    <row r="3" spans="1:31">
      <c r="A3" s="884" t="s">
        <v>547</v>
      </c>
      <c r="B3" s="886" t="s">
        <v>518</v>
      </c>
      <c r="D3" s="1216" t="s">
        <v>547</v>
      </c>
      <c r="E3" s="1220" t="s">
        <v>518</v>
      </c>
      <c r="F3" s="803" t="s">
        <v>385</v>
      </c>
      <c r="G3" s="948" t="s">
        <v>386</v>
      </c>
      <c r="H3" s="803" t="s">
        <v>3276</v>
      </c>
      <c r="I3" s="948" t="s">
        <v>3277</v>
      </c>
      <c r="K3" t="s">
        <v>106</v>
      </c>
      <c r="L3" s="1178">
        <f ca="1">COUNT(D4:D18)</f>
        <v>0</v>
      </c>
      <c r="N3" s="23" t="e">
        <f ca="1">[1]!FTEXT(L3)</f>
        <v>#NAME?</v>
      </c>
      <c r="O3" s="23"/>
      <c r="P3" t="s">
        <v>3275</v>
      </c>
      <c r="U3" t="s">
        <v>3275</v>
      </c>
    </row>
    <row r="4" spans="1:31">
      <c r="A4" s="1101">
        <v>78</v>
      </c>
      <c r="B4" s="1102">
        <v>4</v>
      </c>
      <c r="D4" s="890" t="e">
        <f t="array" aca="1" ref="D4:E18" ca="1">[1]!QSORTRows(A4:B18,1)</f>
        <v>#NAME?</v>
      </c>
      <c r="E4" s="891" t="e">
        <f ca="1"/>
        <v>#NAME?</v>
      </c>
      <c r="F4" s="664">
        <f ca="1">COUNTIFS(E5:E$19,"&gt;"&amp;E4, D5:D$19,"&gt;" &amp; D4)</f>
        <v>14</v>
      </c>
      <c r="G4" s="618">
        <f ca="1">COUNTIFS(E5:E$19,"&lt;"&amp;E4, D5:D$19,"&gt;" &amp; D4)</f>
        <v>14</v>
      </c>
      <c r="H4" s="664">
        <f ca="1">IF(COUNTIF(D$3:D3,D4)=0,COUNTIF(D5:D$19,D4),0)</f>
        <v>14</v>
      </c>
      <c r="I4" s="618">
        <f ca="1">IF(COUNTIF(E$3:E3,E4)=0,COUNTIF(E5:E$19,E4),0)</f>
        <v>14</v>
      </c>
      <c r="K4" t="s">
        <v>520</v>
      </c>
      <c r="L4" s="627" t="e">
        <f ca="1">COMBIN(L3,2)</f>
        <v>#NUM!</v>
      </c>
      <c r="N4" s="23" t="e">
        <f ca="1">[1]!FTEXT(L4)</f>
        <v>#NAME?</v>
      </c>
      <c r="O4" s="23"/>
      <c r="AA4" t="e">
        <f t="array" aca="1" ref="AA4:AB10" ca="1">[1]!KCORREL(A4:A18,B4:B18,TRUE)</f>
        <v>#NAME?</v>
      </c>
      <c r="AB4" s="48" t="e">
        <f ca="1"/>
        <v>#NAME?</v>
      </c>
      <c r="AC4" s="8"/>
      <c r="AD4" t="e">
        <f t="array" aca="1" ref="AD4:AE10" ca="1">[1]!KCORREL(A4:A18,B4:B18,TRUE,1)</f>
        <v>#NAME?</v>
      </c>
      <c r="AE4" s="48" t="e">
        <f ca="1"/>
        <v>#NAME?</v>
      </c>
    </row>
    <row r="5" spans="1:31">
      <c r="A5" s="664">
        <v>78</v>
      </c>
      <c r="B5" s="618">
        <v>23</v>
      </c>
      <c r="D5" s="87" t="e">
        <f ca="1"/>
        <v>#NAME?</v>
      </c>
      <c r="E5" s="1214" t="e">
        <f ca="1"/>
        <v>#NAME?</v>
      </c>
      <c r="F5" s="664">
        <f ca="1">COUNTIFS(E6:E$19,"&gt;"&amp;E5, D6:D$19,"&gt;" &amp; D5)</f>
        <v>13</v>
      </c>
      <c r="G5" s="618">
        <f ca="1">COUNTIFS(E6:E$19,"&lt;"&amp;E5, D6:D$19,"&gt;" &amp; D5)</f>
        <v>13</v>
      </c>
      <c r="H5" s="664">
        <f ca="1">IF(COUNTIF(D$3:D4,D5)=0,COUNTIF(D6:D$19,D5),0)</f>
        <v>0</v>
      </c>
      <c r="I5" s="618">
        <f ca="1">IF(COUNTIF(E$3:E4,E5)=0,COUNTIF(E6:E$19,E5),0)</f>
        <v>0</v>
      </c>
      <c r="K5" t="s">
        <v>386</v>
      </c>
      <c r="L5" s="627">
        <f ca="1">G19</f>
        <v>105</v>
      </c>
      <c r="N5" s="23" t="e">
        <f ca="1">[1]!FTEXT(L5)</f>
        <v>#NAME?</v>
      </c>
      <c r="O5" s="23"/>
      <c r="P5" t="s">
        <v>3266</v>
      </c>
      <c r="Q5" s="1178">
        <f ca="1">L3*(L3-1)*(2*L3+5)</f>
        <v>0</v>
      </c>
      <c r="S5" s="23" t="e">
        <f ca="1">[1]!FTEXT(Q5)</f>
        <v>#NAME?</v>
      </c>
      <c r="V5" t="s">
        <v>547</v>
      </c>
      <c r="W5" t="s">
        <v>518</v>
      </c>
      <c r="AA5" t="e">
        <f ca="1"/>
        <v>#NAME?</v>
      </c>
      <c r="AB5" s="627" t="e">
        <f ca="1"/>
        <v>#NAME?</v>
      </c>
      <c r="AC5" s="8"/>
      <c r="AD5" t="e">
        <f ca="1"/>
        <v>#NAME?</v>
      </c>
      <c r="AE5" s="627" t="e">
        <f ca="1"/>
        <v>#NAME?</v>
      </c>
    </row>
    <row r="6" spans="1:31">
      <c r="A6" s="664">
        <v>60</v>
      </c>
      <c r="B6" s="618">
        <v>25</v>
      </c>
      <c r="D6" s="87" t="e">
        <f ca="1"/>
        <v>#NAME?</v>
      </c>
      <c r="E6" s="1214" t="e">
        <f ca="1"/>
        <v>#NAME?</v>
      </c>
      <c r="F6" s="664">
        <f ca="1">COUNTIFS(E7:E$19,"&gt;"&amp;E6, D7:D$19,"&gt;" &amp; D6)</f>
        <v>12</v>
      </c>
      <c r="G6" s="618">
        <f ca="1">COUNTIFS(E7:E$19,"&lt;"&amp;E6, D7:D$19,"&gt;" &amp; D6)</f>
        <v>12</v>
      </c>
      <c r="H6" s="664">
        <f ca="1">IF(COUNTIF(D$3:D5,D6)=0,COUNTIF(D7:D$19,D6),0)</f>
        <v>0</v>
      </c>
      <c r="I6" s="618">
        <f ca="1">IF(COUNTIF(E$3:E5,E6)=0,COUNTIF(E7:E$19,E6),0)</f>
        <v>0</v>
      </c>
      <c r="K6" t="s">
        <v>385</v>
      </c>
      <c r="L6" s="627">
        <f ca="1">F19</f>
        <v>105</v>
      </c>
      <c r="N6" s="23" t="e">
        <f ca="1">[1]!FTEXT(L6)</f>
        <v>#NAME?</v>
      </c>
      <c r="O6" s="23"/>
      <c r="P6" t="s">
        <v>3267</v>
      </c>
      <c r="Q6" s="627" t="e">
        <f ca="1">V6*W6/(2*L3*(L3-1))</f>
        <v>#DIV/0!</v>
      </c>
      <c r="S6" s="23" t="e">
        <f ca="1">[1]!FTEXT(Q6)</f>
        <v>#NAME?</v>
      </c>
      <c r="U6" t="s">
        <v>3270</v>
      </c>
      <c r="V6" s="1067">
        <f ca="1">H19*2</f>
        <v>210</v>
      </c>
      <c r="W6" s="1071">
        <f ca="1">I19*2</f>
        <v>210</v>
      </c>
      <c r="Y6" s="23" t="e">
        <f ca="1">[1]!FTEXT(W6)</f>
        <v>#NAME?</v>
      </c>
      <c r="AA6" t="e">
        <f ca="1"/>
        <v>#NAME?</v>
      </c>
      <c r="AB6" s="627" t="e">
        <f ca="1"/>
        <v>#NAME?</v>
      </c>
      <c r="AC6" s="8"/>
      <c r="AD6" t="e">
        <f ca="1"/>
        <v>#NAME?</v>
      </c>
      <c r="AE6" s="627" t="e">
        <f ca="1"/>
        <v>#NAME?</v>
      </c>
    </row>
    <row r="7" spans="1:31">
      <c r="A7" s="664">
        <v>53</v>
      </c>
      <c r="B7" s="618">
        <v>48</v>
      </c>
      <c r="D7" s="87" t="e">
        <f ca="1"/>
        <v>#NAME?</v>
      </c>
      <c r="E7" s="1214" t="e">
        <f ca="1"/>
        <v>#NAME?</v>
      </c>
      <c r="F7" s="664">
        <f ca="1">COUNTIFS(E8:E$19,"&gt;"&amp;E7, D8:D$19,"&gt;" &amp; D7)</f>
        <v>11</v>
      </c>
      <c r="G7" s="618">
        <f ca="1">COUNTIFS(E8:E$19,"&lt;"&amp;E7, D8:D$19,"&gt;" &amp; D7)</f>
        <v>11</v>
      </c>
      <c r="H7" s="664">
        <f ca="1">IF(COUNTIF(D$3:D6,D7)=0,COUNTIF(D8:D$19,D7),0)</f>
        <v>0</v>
      </c>
      <c r="I7" s="618">
        <f ca="1">IF(COUNTIF(E$3:E6,E7)=0,COUNTIF(E8:E$19,E7),0)</f>
        <v>0</v>
      </c>
      <c r="K7" t="s">
        <v>144</v>
      </c>
      <c r="L7" s="627" t="e">
        <f ca="1">SQRT((L4-H19)*(L4-I19))</f>
        <v>#NUM!</v>
      </c>
      <c r="N7" s="23" t="e">
        <f ca="1">[1]!FTEXT(L7)</f>
        <v>#NAME?</v>
      </c>
      <c r="O7" s="23"/>
      <c r="P7" t="s">
        <v>3268</v>
      </c>
      <c r="Q7" s="627">
        <f ca="1">(Q5-V7-W7)/18</f>
        <v>-816.66666666666663</v>
      </c>
      <c r="S7" s="23" t="e">
        <f ca="1">[1]!FTEXT(Q7)</f>
        <v>#NAME?</v>
      </c>
      <c r="U7" t="s">
        <v>3264</v>
      </c>
      <c r="V7" s="656">
        <f ca="1">SUMPRODUCT(H4:H18,H4:H18+1,2*H4:H18+7)</f>
        <v>7350</v>
      </c>
      <c r="W7" s="657">
        <f ca="1">SUMPRODUCT(I4:I18,I4:I18+1,2*I4:I18+7)</f>
        <v>7350</v>
      </c>
      <c r="Y7" s="23" t="e">
        <f ca="1">[1]!FTEXT(W7)</f>
        <v>#NAME?</v>
      </c>
      <c r="AA7" t="e">
        <f ca="1"/>
        <v>#NAME?</v>
      </c>
      <c r="AB7" s="627" t="e">
        <f ca="1"/>
        <v>#NAME?</v>
      </c>
      <c r="AC7" s="8"/>
      <c r="AD7" t="e">
        <f ca="1"/>
        <v>#NAME?</v>
      </c>
      <c r="AE7" s="627" t="e">
        <f ca="1"/>
        <v>#NAME?</v>
      </c>
    </row>
    <row r="8" spans="1:31">
      <c r="A8" s="664">
        <v>85</v>
      </c>
      <c r="B8" s="1218">
        <v>17</v>
      </c>
      <c r="D8" s="87" t="e">
        <f ca="1"/>
        <v>#NAME?</v>
      </c>
      <c r="E8" s="1214" t="e">
        <f ca="1"/>
        <v>#NAME?</v>
      </c>
      <c r="F8" s="664">
        <f ca="1">COUNTIFS(E9:E$19,"&gt;"&amp;E8, D9:D$19,"&gt;" &amp; D8)</f>
        <v>10</v>
      </c>
      <c r="G8" s="618">
        <f ca="1">COUNTIFS(E9:E$19,"&lt;"&amp;E8, D9:D$19,"&gt;" &amp; D8)</f>
        <v>10</v>
      </c>
      <c r="H8" s="664">
        <f ca="1">IF(COUNTIF(D$3:D7,D8)=0,COUNTIF(D9:D$19,D8),0)</f>
        <v>0</v>
      </c>
      <c r="I8" s="618">
        <f ca="1">IF(COUNTIF(E$3:E7,E8)=0,COUNTIF(E9:E$19,E8),0)</f>
        <v>0</v>
      </c>
      <c r="K8" t="s">
        <v>521</v>
      </c>
      <c r="L8" s="627" t="e">
        <f ca="1">(L6-L5)/L7</f>
        <v>#NUM!</v>
      </c>
      <c r="N8" s="23" t="e">
        <f ca="1">[1]!FTEXT(L8)</f>
        <v>#NAME?</v>
      </c>
      <c r="O8" s="23"/>
      <c r="P8" t="s">
        <v>3269</v>
      </c>
      <c r="Q8" s="627" t="e">
        <f ca="1">V8*W8/(9*L3*(L3-1)*(L3-2))</f>
        <v>#DIV/0!</v>
      </c>
      <c r="S8" s="23" t="e">
        <f ca="1">[1]!FTEXT(Q8)</f>
        <v>#NAME?</v>
      </c>
      <c r="U8" t="s">
        <v>3265</v>
      </c>
      <c r="V8" s="533">
        <f ca="1">SUMPRODUCT(H4:H18,H4:H18+1,H4:H18-1)</f>
        <v>2730</v>
      </c>
      <c r="W8" s="541">
        <f ca="1">SUMPRODUCT(I4:I18,I4:I18+1,I4:I18-1)</f>
        <v>2730</v>
      </c>
      <c r="Y8" s="23" t="e">
        <f ca="1">[1]!FTEXT(W8)</f>
        <v>#NAME?</v>
      </c>
      <c r="AA8" t="e">
        <f ca="1"/>
        <v>#NAME?</v>
      </c>
      <c r="AB8" s="627" t="e">
        <f ca="1"/>
        <v>#NAME?</v>
      </c>
      <c r="AC8" s="8"/>
      <c r="AD8" t="e">
        <f ca="1"/>
        <v>#NAME?</v>
      </c>
      <c r="AE8" s="627" t="e">
        <f ca="1"/>
        <v>#NAME?</v>
      </c>
    </row>
    <row r="9" spans="1:31">
      <c r="A9" s="664">
        <v>84</v>
      </c>
      <c r="B9" s="1218">
        <v>8</v>
      </c>
      <c r="D9" s="87" t="e">
        <f ca="1"/>
        <v>#NAME?</v>
      </c>
      <c r="E9" s="1214" t="e">
        <f ca="1"/>
        <v>#NAME?</v>
      </c>
      <c r="F9" s="664">
        <f ca="1">COUNTIFS(E10:E$19,"&gt;"&amp;E9, D10:D$19,"&gt;" &amp; D9)</f>
        <v>9</v>
      </c>
      <c r="G9" s="618">
        <f ca="1">COUNTIFS(E10:E$19,"&lt;"&amp;E9, D10:D$19,"&gt;" &amp; D9)</f>
        <v>9</v>
      </c>
      <c r="H9" s="664">
        <f ca="1">IF(COUNTIF(D$3:D8,D9)=0,COUNTIF(D10:D$19,D9),0)</f>
        <v>0</v>
      </c>
      <c r="I9" s="618">
        <f ca="1">IF(COUNTIF(E$3:E8,E9)=0,COUNTIF(E10:E$19,E9),0)</f>
        <v>0</v>
      </c>
      <c r="K9" t="s">
        <v>522</v>
      </c>
      <c r="L9" s="544" t="e">
        <f ca="1">Q9/L7</f>
        <v>#DIV/0!</v>
      </c>
      <c r="N9" s="23" t="e">
        <f ca="1">[1]!FTEXT(L9)</f>
        <v>#NAME?</v>
      </c>
      <c r="O9" s="23"/>
      <c r="P9" t="s">
        <v>994</v>
      </c>
      <c r="Q9" s="544" t="e">
        <f ca="1">SQRT(SUM(Q6:Q8))</f>
        <v>#DIV/0!</v>
      </c>
      <c r="S9" s="23" t="e">
        <f ca="1">[1]!FTEXT(Q9)</f>
        <v>#NAME?</v>
      </c>
      <c r="AA9" t="e">
        <f ca="1"/>
        <v>#NAME?</v>
      </c>
      <c r="AB9" s="627" t="e">
        <f ca="1"/>
        <v>#NAME?</v>
      </c>
      <c r="AC9" s="8"/>
      <c r="AD9" t="e">
        <f ca="1"/>
        <v>#NAME?</v>
      </c>
      <c r="AE9" s="627" t="e">
        <f ca="1"/>
        <v>#NAME?</v>
      </c>
    </row>
    <row r="10" spans="1:31">
      <c r="A10" s="664">
        <v>73</v>
      </c>
      <c r="B10" s="618">
        <v>4</v>
      </c>
      <c r="D10" s="87" t="e">
        <f ca="1"/>
        <v>#NAME?</v>
      </c>
      <c r="E10" s="1214" t="e">
        <f ca="1"/>
        <v>#NAME?</v>
      </c>
      <c r="F10" s="664">
        <f ca="1">COUNTIFS(E11:E$19,"&gt;"&amp;E10, D11:D$19,"&gt;" &amp; D10)</f>
        <v>8</v>
      </c>
      <c r="G10" s="618">
        <f ca="1">COUNTIFS(E11:E$19,"&lt;"&amp;E10, D11:D$19,"&gt;" &amp; D10)</f>
        <v>8</v>
      </c>
      <c r="H10" s="664">
        <f ca="1">IF(COUNTIF(D$3:D9,D10)=0,COUNTIF(D11:D$19,D10),0)</f>
        <v>0</v>
      </c>
      <c r="I10" s="618">
        <f ca="1">IF(COUNTIF(E$3:E9,E10)=0,COUNTIF(E11:E$19,E10),0)</f>
        <v>0</v>
      </c>
      <c r="N10" s="23"/>
      <c r="O10" s="23"/>
      <c r="AA10" t="e">
        <f ca="1"/>
        <v>#NAME?</v>
      </c>
      <c r="AB10" s="544" t="e">
        <f ca="1"/>
        <v>#NAME?</v>
      </c>
      <c r="AC10" s="8"/>
      <c r="AD10" t="e">
        <f ca="1"/>
        <v>#NAME?</v>
      </c>
      <c r="AE10" s="544" t="e">
        <f ca="1"/>
        <v>#NAME?</v>
      </c>
    </row>
    <row r="11" spans="1:31">
      <c r="A11" s="664">
        <v>78</v>
      </c>
      <c r="B11" s="618">
        <v>26</v>
      </c>
      <c r="D11" s="87" t="e">
        <f ca="1"/>
        <v>#NAME?</v>
      </c>
      <c r="E11" s="1214" t="e">
        <f ca="1"/>
        <v>#NAME?</v>
      </c>
      <c r="F11" s="664">
        <f ca="1">COUNTIFS(E12:E$19,"&gt;"&amp;E11, D12:D$19,"&gt;" &amp; D11)</f>
        <v>7</v>
      </c>
      <c r="G11" s="618">
        <f ca="1">COUNTIFS(E12:E$19,"&lt;"&amp;E11, D12:D$19,"&gt;" &amp; D11)</f>
        <v>7</v>
      </c>
      <c r="H11" s="664">
        <f ca="1">IF(COUNTIF(D$3:D10,D11)=0,COUNTIF(D12:D$19,D11),0)</f>
        <v>0</v>
      </c>
      <c r="I11" s="618">
        <f ca="1">IF(COUNTIF(E$3:E10,E11)=0,COUNTIF(E12:E$19,E11),0)</f>
        <v>0</v>
      </c>
      <c r="K11" s="65" t="s">
        <v>157</v>
      </c>
      <c r="L11" s="1235">
        <v>0.05</v>
      </c>
      <c r="N11" s="23"/>
    </row>
    <row r="12" spans="1:31">
      <c r="A12" s="664">
        <v>78</v>
      </c>
      <c r="B12" s="618">
        <v>23</v>
      </c>
      <c r="D12" s="87" t="e">
        <f ca="1"/>
        <v>#NAME?</v>
      </c>
      <c r="E12" s="1214" t="e">
        <f ca="1"/>
        <v>#NAME?</v>
      </c>
      <c r="F12" s="664">
        <f ca="1">COUNTIFS(E13:E$19,"&gt;"&amp;E12, D13:D$19,"&gt;" &amp; D12)</f>
        <v>6</v>
      </c>
      <c r="G12" s="618">
        <f ca="1">COUNTIFS(E13:E$19,"&lt;"&amp;E12, D13:D$19,"&gt;" &amp; D12)</f>
        <v>6</v>
      </c>
      <c r="H12" s="664">
        <f ca="1">IF(COUNTIF(D$3:D11,D12)=0,COUNTIF(D13:D$19,D12),0)</f>
        <v>0</v>
      </c>
      <c r="I12" s="618">
        <f ca="1">IF(COUNTIF(E$3:E11,E12)=0,COUNTIF(E13:E$19,E12),0)</f>
        <v>0</v>
      </c>
      <c r="K12" t="s">
        <v>127</v>
      </c>
      <c r="L12" s="627" t="e">
        <f ca="1">L8/L9</f>
        <v>#NUM!</v>
      </c>
      <c r="N12" s="23" t="e">
        <f ca="1">[1]!FTEXT(L12)</f>
        <v>#NAME?</v>
      </c>
      <c r="O12" s="23"/>
    </row>
    <row r="13" spans="1:31">
      <c r="A13" s="664">
        <v>75</v>
      </c>
      <c r="B13" s="618">
        <v>19</v>
      </c>
      <c r="D13" s="87" t="e">
        <f ca="1"/>
        <v>#NAME?</v>
      </c>
      <c r="E13" s="1214" t="e">
        <f ca="1"/>
        <v>#NAME?</v>
      </c>
      <c r="F13" s="664">
        <f ca="1">COUNTIFS(E14:E$19,"&gt;"&amp;E13, D14:D$19,"&gt;" &amp; D13)</f>
        <v>5</v>
      </c>
      <c r="G13" s="618">
        <f ca="1">COUNTIFS(E14:E$19,"&lt;"&amp;E13, D14:D$19,"&gt;" &amp; D13)</f>
        <v>5</v>
      </c>
      <c r="H13" s="664">
        <f ca="1">IF(COUNTIF(D$3:D12,D13)=0,COUNTIF(D14:D$19,D13),0)</f>
        <v>0</v>
      </c>
      <c r="I13" s="618">
        <f ca="1">IF(COUNTIF(E$3:E12,E13)=0,COUNTIF(E14:E$19,E13),0)</f>
        <v>0</v>
      </c>
      <c r="K13" t="s">
        <v>491</v>
      </c>
      <c r="L13" s="627">
        <f>NORMSINV(1-L11/2)</f>
        <v>1.9599639845400536</v>
      </c>
      <c r="N13" s="23" t="e">
        <f ca="1">[1]!FTEXT(L13)</f>
        <v>#NAME?</v>
      </c>
      <c r="O13" s="23"/>
    </row>
    <row r="14" spans="1:31">
      <c r="A14" s="664">
        <v>65</v>
      </c>
      <c r="B14" s="618">
        <v>24</v>
      </c>
      <c r="D14" s="87" t="e">
        <f ca="1"/>
        <v>#NAME?</v>
      </c>
      <c r="E14" s="1214" t="e">
        <f ca="1"/>
        <v>#NAME?</v>
      </c>
      <c r="F14" s="664">
        <f ca="1">COUNTIFS(E15:E$19,"&gt;"&amp;E14, D15:D$19,"&gt;" &amp; D14)</f>
        <v>4</v>
      </c>
      <c r="G14" s="618">
        <f ca="1">COUNTIFS(E15:E$19,"&lt;"&amp;E14, D15:D$19,"&gt;" &amp; D14)</f>
        <v>4</v>
      </c>
      <c r="H14" s="664">
        <f ca="1">IF(COUNTIF(D$3:D13,D14)=0,COUNTIF(D15:D$19,D14),0)</f>
        <v>0</v>
      </c>
      <c r="I14" s="618">
        <f ca="1">IF(COUNTIF(E$3:E13,E14)=0,COUNTIF(E15:E$19,E14),0)</f>
        <v>0</v>
      </c>
      <c r="K14" t="s">
        <v>200</v>
      </c>
      <c r="L14" s="627" t="e">
        <f ca="1">2*(1-NORMSDIST(ABS(L12)))</f>
        <v>#NUM!</v>
      </c>
      <c r="N14" s="23" t="e">
        <f ca="1">[1]!FTEXT(L14)</f>
        <v>#NAME?</v>
      </c>
    </row>
    <row r="15" spans="1:31">
      <c r="A15" s="664">
        <v>72</v>
      </c>
      <c r="B15" s="618">
        <v>35</v>
      </c>
      <c r="D15" s="87" t="e">
        <f ca="1"/>
        <v>#NAME?</v>
      </c>
      <c r="E15" s="1214" t="e">
        <f ca="1"/>
        <v>#NAME?</v>
      </c>
      <c r="F15" s="664">
        <f ca="1">COUNTIFS(E16:E$19,"&gt;"&amp;E15, D16:D$19,"&gt;" &amp; D15)</f>
        <v>3</v>
      </c>
      <c r="G15" s="618">
        <f ca="1">COUNTIFS(E16:E$19,"&lt;"&amp;E15, D16:D$19,"&gt;" &amp; D15)</f>
        <v>3</v>
      </c>
      <c r="H15" s="664">
        <f ca="1">IF(COUNTIF(D$3:D14,D15)=0,COUNTIF(D16:D$19,D15),0)</f>
        <v>0</v>
      </c>
      <c r="I15" s="618">
        <f ca="1">IF(COUNTIF(E$3:E14,E15)=0,COUNTIF(E16:E$19,E15),0)</f>
        <v>0</v>
      </c>
      <c r="K15" t="s">
        <v>948</v>
      </c>
      <c r="L15" s="538" t="e">
        <f ca="1">IF(L14&lt;L11,"yes","no")</f>
        <v>#NUM!</v>
      </c>
      <c r="N15" s="23" t="e">
        <f ca="1">[1]!FTEXT(L15)</f>
        <v>#NAME?</v>
      </c>
      <c r="O15" s="23"/>
    </row>
    <row r="16" spans="1:31">
      <c r="A16" s="664">
        <v>58</v>
      </c>
      <c r="B16" s="618">
        <v>29</v>
      </c>
      <c r="D16" s="87" t="e">
        <f ca="1"/>
        <v>#NAME?</v>
      </c>
      <c r="E16" s="201" t="e">
        <f ca="1"/>
        <v>#NAME?</v>
      </c>
      <c r="F16" s="664">
        <f ca="1">COUNTIFS(E17:E$19,"&gt;"&amp;E16, D17:D$19,"&gt;" &amp; D16)</f>
        <v>2</v>
      </c>
      <c r="G16" s="618">
        <f ca="1">COUNTIFS(E17:E$19,"&lt;"&amp;E16, D17:D$19,"&gt;" &amp; D16)</f>
        <v>2</v>
      </c>
      <c r="H16" s="664">
        <f ca="1">IF(COUNTIF(D$3:D15,D16)=0,COUNTIF(D17:D$19,D16),0)</f>
        <v>0</v>
      </c>
      <c r="I16" s="618">
        <f ca="1">IF(COUNTIF(E$3:E15,E16)=0,COUNTIF(E17:E$19,E16),0)</f>
        <v>0</v>
      </c>
      <c r="N16" s="23"/>
      <c r="O16" s="23"/>
    </row>
    <row r="17" spans="1:14">
      <c r="A17" s="664">
        <v>92</v>
      </c>
      <c r="B17" s="618">
        <v>4</v>
      </c>
      <c r="D17" s="87" t="e">
        <f ca="1"/>
        <v>#NAME?</v>
      </c>
      <c r="E17" s="201" t="e">
        <f ca="1"/>
        <v>#NAME?</v>
      </c>
      <c r="F17" s="664">
        <f ca="1">COUNTIFS(E18:E$19,"&gt;"&amp;E17, D18:D$19,"&gt;" &amp; D17)</f>
        <v>1</v>
      </c>
      <c r="G17" s="618">
        <f ca="1">COUNTIFS(E18:E$19,"&lt;"&amp;E17, D18:D$19,"&gt;" &amp; D17)</f>
        <v>1</v>
      </c>
      <c r="H17" s="664">
        <f ca="1">IF(COUNTIF(D$3:D16,D17)=0,COUNTIF(D18:D$19,D17),0)</f>
        <v>0</v>
      </c>
      <c r="I17" s="618">
        <f ca="1">IF(COUNTIF(E$3:E16,E17)=0,COUNTIF(E18:E$19,E17),0)</f>
        <v>0</v>
      </c>
      <c r="K17" t="s">
        <v>103</v>
      </c>
      <c r="L17" s="1235" t="e">
        <f ca="1">L8-L9*L13</f>
        <v>#NUM!</v>
      </c>
      <c r="N17" s="23" t="e">
        <f ca="1">[1]!FTEXT(L17)</f>
        <v>#NAME?</v>
      </c>
    </row>
    <row r="18" spans="1:14">
      <c r="A18" s="560">
        <v>65</v>
      </c>
      <c r="B18" s="536">
        <v>14</v>
      </c>
      <c r="D18" s="206" t="e">
        <f ca="1"/>
        <v>#NAME?</v>
      </c>
      <c r="E18" s="1215" t="e">
        <f ca="1"/>
        <v>#NAME?</v>
      </c>
      <c r="F18" s="560">
        <f ca="1">COUNTIFS(E19:E$19,"&gt;"&amp;E18, D19:D$19,"&gt;" &amp; D18)</f>
        <v>0</v>
      </c>
      <c r="G18" s="536">
        <f ca="1">COUNTIFS(E19:E$19,"&lt;"&amp;E18, D19:D$19,"&gt;" &amp; D18)</f>
        <v>0</v>
      </c>
      <c r="H18" s="560">
        <f ca="1">IF(COUNTIF(D$3:D17,D18)=0,COUNTIF(D19:D$19,D18),0)</f>
        <v>0</v>
      </c>
      <c r="I18" s="536">
        <f ca="1">IF(COUNTIF(E$3:E17,E18)=0,COUNTIF(E19:E$19,E18),0)</f>
        <v>0</v>
      </c>
      <c r="K18" t="s">
        <v>104</v>
      </c>
      <c r="L18" s="544" t="e">
        <f ca="1">L8+L9*L13</f>
        <v>#NUM!</v>
      </c>
      <c r="N18" s="23" t="e">
        <f ca="1">[1]!FTEXT(L18)</f>
        <v>#NAME?</v>
      </c>
    </row>
    <row r="19" spans="1:14">
      <c r="F19" s="1213">
        <f ca="1">SUM(F4:F18)</f>
        <v>105</v>
      </c>
      <c r="G19" s="1213">
        <f ca="1">SUM(G4:G18)</f>
        <v>105</v>
      </c>
      <c r="H19" s="1213">
        <f ca="1">SUMPRODUCT(H4:H18,H4:H18+1)/2</f>
        <v>105</v>
      </c>
      <c r="I19" s="1213">
        <f ca="1">SUMPRODUCT(I4:I18,I4:I18+1)/2</f>
        <v>105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sheetPr codeName="Sheet73"/>
  <dimension ref="A1:O22"/>
  <sheetViews>
    <sheetView zoomScale="70" zoomScaleNormal="70" workbookViewId="0">
      <selection activeCell="I1" sqref="I1"/>
    </sheetView>
  </sheetViews>
  <sheetFormatPr defaultRowHeight="14.4"/>
  <cols>
    <col min="1" max="1" width="10.33203125" customWidth="1"/>
    <col min="2" max="2" width="11" customWidth="1"/>
    <col min="3" max="3" width="5.5546875" customWidth="1"/>
    <col min="4" max="4" width="11.44140625" customWidth="1"/>
    <col min="5" max="5" width="9.109375" customWidth="1"/>
    <col min="6" max="6" width="3.88671875" customWidth="1"/>
    <col min="7" max="7" width="37.44140625" customWidth="1"/>
    <col min="8" max="8" width="9.109375" customWidth="1"/>
    <col min="9" max="11" width="11.109375" customWidth="1"/>
    <col min="12" max="12" width="10" customWidth="1"/>
  </cols>
  <sheetData>
    <row r="1" spans="1:15">
      <c r="A1" s="1" t="s">
        <v>623</v>
      </c>
      <c r="B1" s="1"/>
    </row>
    <row r="2" spans="1:15">
      <c r="A2" s="1"/>
      <c r="B2" s="1"/>
      <c r="D2" t="s">
        <v>624</v>
      </c>
      <c r="E2">
        <f>COVAR(A4:A18,B4:B18)</f>
        <v>-90.946666666666673</v>
      </c>
      <c r="G2" s="23" t="s">
        <v>633</v>
      </c>
      <c r="N2" s="1" t="s">
        <v>639</v>
      </c>
    </row>
    <row r="3" spans="1:15">
      <c r="A3" s="199" t="s">
        <v>628</v>
      </c>
      <c r="B3" s="199" t="s">
        <v>629</v>
      </c>
      <c r="D3" t="s">
        <v>625</v>
      </c>
      <c r="E3">
        <f>VARP(A4:A18)</f>
        <v>144.77333333333334</v>
      </c>
      <c r="G3" s="23" t="s">
        <v>634</v>
      </c>
      <c r="I3" s="1568" t="s">
        <v>211</v>
      </c>
      <c r="J3" s="1569"/>
      <c r="K3" s="1570" t="s">
        <v>630</v>
      </c>
      <c r="L3" s="1571"/>
    </row>
    <row r="4" spans="1:15">
      <c r="A4" s="117">
        <v>5</v>
      </c>
      <c r="B4" s="200">
        <v>80</v>
      </c>
      <c r="D4" t="s">
        <v>626</v>
      </c>
      <c r="E4">
        <f>E2/E3</f>
        <v>-0.62820040523116594</v>
      </c>
      <c r="G4" s="23" t="s">
        <v>635</v>
      </c>
      <c r="I4" s="202" t="s">
        <v>628</v>
      </c>
      <c r="J4" s="203" t="s">
        <v>629</v>
      </c>
      <c r="K4" s="202" t="s">
        <v>632</v>
      </c>
      <c r="L4" s="208" t="s">
        <v>640</v>
      </c>
      <c r="N4" s="19" t="s">
        <v>28</v>
      </c>
      <c r="O4" s="19" t="s">
        <v>631</v>
      </c>
    </row>
    <row r="5" spans="1:15">
      <c r="A5" s="117">
        <v>23</v>
      </c>
      <c r="B5" s="117">
        <v>78</v>
      </c>
      <c r="D5" t="s">
        <v>627</v>
      </c>
      <c r="E5">
        <f>AVERAGE(B4:B18)-E4*AVERAGE(A4:A18)</f>
        <v>85.720421194817945</v>
      </c>
      <c r="G5" s="23" t="s">
        <v>636</v>
      </c>
      <c r="I5" s="87">
        <v>5</v>
      </c>
      <c r="J5" s="204">
        <v>80</v>
      </c>
      <c r="K5" s="7">
        <f t="shared" ref="K5:K19" si="0">I5*$E$4+$E$5</f>
        <v>82.579419168662113</v>
      </c>
      <c r="L5" s="9">
        <f>J5-K5</f>
        <v>-2.5794191686621133</v>
      </c>
      <c r="N5">
        <v>4</v>
      </c>
      <c r="O5" s="228">
        <f>N5*$E$4+$E$5</f>
        <v>83.207619573893282</v>
      </c>
    </row>
    <row r="6" spans="1:15">
      <c r="A6" s="117">
        <v>25</v>
      </c>
      <c r="B6" s="117">
        <v>60</v>
      </c>
      <c r="I6" s="87">
        <v>23</v>
      </c>
      <c r="J6" s="88">
        <v>78</v>
      </c>
      <c r="K6" s="7">
        <f t="shared" si="0"/>
        <v>71.271811874501125</v>
      </c>
      <c r="L6" s="9">
        <f t="shared" ref="L6:L18" si="1">J6-K6</f>
        <v>6.7281881254988747</v>
      </c>
      <c r="N6">
        <v>24</v>
      </c>
      <c r="O6" s="228">
        <f>N6*$E$4+$E$5</f>
        <v>70.643611469269956</v>
      </c>
    </row>
    <row r="7" spans="1:15">
      <c r="A7" s="117">
        <v>48</v>
      </c>
      <c r="B7" s="117">
        <v>53</v>
      </c>
      <c r="I7" s="87">
        <v>25</v>
      </c>
      <c r="J7" s="88">
        <v>60</v>
      </c>
      <c r="K7" s="7">
        <f t="shared" si="0"/>
        <v>70.015411064038801</v>
      </c>
      <c r="L7" s="9">
        <f t="shared" si="1"/>
        <v>-10.015411064038801</v>
      </c>
      <c r="N7">
        <v>44</v>
      </c>
      <c r="O7" s="228">
        <f>N7*$E$4+$E$5</f>
        <v>58.079603364646644</v>
      </c>
    </row>
    <row r="8" spans="1:15">
      <c r="A8" s="201">
        <v>17</v>
      </c>
      <c r="B8" s="117">
        <v>85</v>
      </c>
      <c r="D8" s="65"/>
      <c r="I8" s="87">
        <v>48</v>
      </c>
      <c r="J8" s="88">
        <v>53</v>
      </c>
      <c r="K8" s="7">
        <f t="shared" si="0"/>
        <v>55.566801743721982</v>
      </c>
      <c r="L8" s="9">
        <f t="shared" si="1"/>
        <v>-2.5668017437219817</v>
      </c>
    </row>
    <row r="9" spans="1:15">
      <c r="A9" s="201">
        <v>8</v>
      </c>
      <c r="B9" s="117">
        <v>84</v>
      </c>
      <c r="I9" s="205">
        <v>17</v>
      </c>
      <c r="J9" s="88">
        <v>85</v>
      </c>
      <c r="K9" s="7">
        <f t="shared" si="0"/>
        <v>75.041014305888126</v>
      </c>
      <c r="L9" s="9">
        <f t="shared" si="1"/>
        <v>9.958985694111874</v>
      </c>
      <c r="N9" s="1" t="s">
        <v>638</v>
      </c>
    </row>
    <row r="10" spans="1:15">
      <c r="A10" s="117">
        <v>4</v>
      </c>
      <c r="B10" s="117">
        <v>73</v>
      </c>
      <c r="I10" s="205">
        <v>8</v>
      </c>
      <c r="J10" s="88">
        <v>84</v>
      </c>
      <c r="K10" s="7">
        <f t="shared" si="0"/>
        <v>80.69481795296862</v>
      </c>
      <c r="L10" s="9">
        <f t="shared" si="1"/>
        <v>3.30518204703138</v>
      </c>
    </row>
    <row r="11" spans="1:15">
      <c r="A11" s="117">
        <v>26</v>
      </c>
      <c r="B11" s="117">
        <v>79</v>
      </c>
      <c r="I11" s="87">
        <v>4</v>
      </c>
      <c r="J11" s="88">
        <v>73</v>
      </c>
      <c r="K11" s="7">
        <f t="shared" si="0"/>
        <v>83.207619573893282</v>
      </c>
      <c r="L11" s="9">
        <f t="shared" si="1"/>
        <v>-10.207619573893282</v>
      </c>
      <c r="N11" s="19" t="s">
        <v>28</v>
      </c>
      <c r="O11" s="19" t="s">
        <v>631</v>
      </c>
    </row>
    <row r="12" spans="1:15">
      <c r="A12" s="117">
        <v>11</v>
      </c>
      <c r="B12" s="117">
        <v>81</v>
      </c>
      <c r="I12" s="87">
        <v>26</v>
      </c>
      <c r="J12" s="88">
        <v>79</v>
      </c>
      <c r="K12" s="7">
        <f t="shared" si="0"/>
        <v>69.387210658807632</v>
      </c>
      <c r="L12" s="9">
        <f t="shared" si="1"/>
        <v>9.6127893411923679</v>
      </c>
      <c r="N12">
        <v>4</v>
      </c>
      <c r="O12" s="228">
        <f>FORECAST(N12,$J$5:$J$19,$I$5:$I$19)</f>
        <v>83.207619573893282</v>
      </c>
    </row>
    <row r="13" spans="1:15">
      <c r="A13" s="117">
        <v>19</v>
      </c>
      <c r="B13" s="117">
        <v>75</v>
      </c>
      <c r="I13" s="87">
        <v>11</v>
      </c>
      <c r="J13" s="88">
        <v>81</v>
      </c>
      <c r="K13" s="7">
        <f t="shared" si="0"/>
        <v>78.810216737275113</v>
      </c>
      <c r="L13" s="9">
        <f t="shared" si="1"/>
        <v>2.1897832627248874</v>
      </c>
      <c r="N13">
        <v>24</v>
      </c>
      <c r="O13" s="228">
        <f>FORECAST(N13,$J$5:$J$19,$I$5:$I$19)</f>
        <v>70.64361146926997</v>
      </c>
    </row>
    <row r="14" spans="1:15">
      <c r="A14" s="117">
        <v>14</v>
      </c>
      <c r="B14" s="117">
        <v>68</v>
      </c>
      <c r="I14" s="87">
        <v>19</v>
      </c>
      <c r="J14" s="88">
        <v>75</v>
      </c>
      <c r="K14" s="7">
        <f t="shared" si="0"/>
        <v>73.784613495425788</v>
      </c>
      <c r="L14" s="9">
        <f t="shared" si="1"/>
        <v>1.2153865045742123</v>
      </c>
      <c r="N14">
        <v>44</v>
      </c>
      <c r="O14" s="228">
        <f>FORECAST(N14,$J$5:$J$19,$I$5:$I$19)</f>
        <v>58.079603364646644</v>
      </c>
    </row>
    <row r="15" spans="1:15">
      <c r="A15" s="117">
        <v>35</v>
      </c>
      <c r="B15" s="117">
        <v>72</v>
      </c>
      <c r="I15" s="87">
        <v>14</v>
      </c>
      <c r="J15" s="88">
        <v>68</v>
      </c>
      <c r="K15" s="7">
        <f t="shared" si="0"/>
        <v>76.925615521581619</v>
      </c>
      <c r="L15" s="9">
        <f t="shared" si="1"/>
        <v>-8.9256155215816193</v>
      </c>
    </row>
    <row r="16" spans="1:15">
      <c r="A16" s="117">
        <v>29</v>
      </c>
      <c r="B16" s="117">
        <v>58</v>
      </c>
      <c r="I16" s="87">
        <v>35</v>
      </c>
      <c r="J16" s="88">
        <v>72</v>
      </c>
      <c r="K16" s="7">
        <f t="shared" si="0"/>
        <v>63.733407011727138</v>
      </c>
      <c r="L16" s="9">
        <f t="shared" si="1"/>
        <v>8.2665929882728619</v>
      </c>
      <c r="N16" s="1" t="s">
        <v>637</v>
      </c>
    </row>
    <row r="17" spans="1:15">
      <c r="A17" s="117">
        <v>4</v>
      </c>
      <c r="B17" s="117">
        <v>92</v>
      </c>
      <c r="I17" s="87">
        <v>29</v>
      </c>
      <c r="J17" s="88">
        <v>58</v>
      </c>
      <c r="K17" s="7">
        <f t="shared" si="0"/>
        <v>67.502609443114125</v>
      </c>
      <c r="L17" s="9">
        <f t="shared" si="1"/>
        <v>-9.5026094431141246</v>
      </c>
    </row>
    <row r="18" spans="1:15">
      <c r="A18" s="119">
        <v>23</v>
      </c>
      <c r="B18" s="119">
        <v>65</v>
      </c>
      <c r="I18" s="87">
        <v>4</v>
      </c>
      <c r="J18" s="88">
        <v>92</v>
      </c>
      <c r="K18" s="7">
        <f t="shared" si="0"/>
        <v>83.207619573893282</v>
      </c>
      <c r="L18" s="9">
        <f t="shared" si="1"/>
        <v>8.7923804261067176</v>
      </c>
      <c r="N18" s="19" t="s">
        <v>28</v>
      </c>
      <c r="O18" s="19" t="s">
        <v>631</v>
      </c>
    </row>
    <row r="19" spans="1:15">
      <c r="I19" s="206">
        <v>23</v>
      </c>
      <c r="J19" s="207">
        <v>65</v>
      </c>
      <c r="K19" s="163">
        <f t="shared" si="0"/>
        <v>71.271811874501125</v>
      </c>
      <c r="L19" s="165">
        <f>J19-K19</f>
        <v>-6.2718118745011253</v>
      </c>
      <c r="N19">
        <v>4</v>
      </c>
      <c r="O19" s="228">
        <f t="array" ref="O19:O21">TREND(J5:J19,I5:I19,N19:N21)</f>
        <v>83.207619573893282</v>
      </c>
    </row>
    <row r="20" spans="1:15">
      <c r="N20">
        <v>24</v>
      </c>
      <c r="O20" s="228">
        <v>70.643611469269956</v>
      </c>
    </row>
    <row r="21" spans="1:15">
      <c r="I21">
        <f>AVERAGE(I5:I19)</f>
        <v>19.399999999999999</v>
      </c>
      <c r="J21">
        <f>AVERAGE(J5:J19)</f>
        <v>73.533333333333331</v>
      </c>
      <c r="N21">
        <v>44</v>
      </c>
      <c r="O21" s="228">
        <v>58.079603364646644</v>
      </c>
    </row>
    <row r="22" spans="1:15">
      <c r="I22">
        <f>STDEV(I5:I19)</f>
        <v>12.45448857698644</v>
      </c>
      <c r="J22">
        <f>STDEV(J5:J19)</f>
        <v>10.966616007988378</v>
      </c>
    </row>
  </sheetData>
  <mergeCells count="2">
    <mergeCell ref="I3:J3"/>
    <mergeCell ref="K3:L3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sheetPr codeName="Sheet75"/>
  <dimension ref="A1:AP22"/>
  <sheetViews>
    <sheetView topLeftCell="G1" workbookViewId="0">
      <selection activeCell="O3" sqref="O3:R6"/>
    </sheetView>
  </sheetViews>
  <sheetFormatPr defaultRowHeight="14.4"/>
  <cols>
    <col min="1" max="2" width="11" customWidth="1"/>
    <col min="3" max="3" width="5.6640625" customWidth="1"/>
    <col min="4" max="4" width="7.88671875" customWidth="1"/>
    <col min="6" max="6" width="5.44140625" customWidth="1"/>
    <col min="8" max="8" width="13.33203125" customWidth="1"/>
    <col min="9" max="9" width="8.109375" customWidth="1"/>
    <col min="10" max="13" width="12.5546875" customWidth="1"/>
    <col min="14" max="14" width="6.5546875" customWidth="1"/>
    <col min="15" max="15" width="5.5546875" customWidth="1"/>
    <col min="16" max="16" width="9" customWidth="1"/>
    <col min="17" max="17" width="4.88671875" customWidth="1"/>
    <col min="18" max="18" width="9" customWidth="1"/>
    <col min="20" max="22" width="10.88671875" customWidth="1"/>
    <col min="26" max="26" width="5.88671875" customWidth="1"/>
    <col min="27" max="27" width="6.6640625" customWidth="1"/>
    <col min="29" max="29" width="5.109375" customWidth="1"/>
    <col min="33" max="33" width="4" customWidth="1"/>
    <col min="34" max="34" width="26.44140625" customWidth="1"/>
    <col min="39" max="39" width="15.33203125" customWidth="1"/>
    <col min="42" max="42" width="19.5546875" customWidth="1"/>
  </cols>
  <sheetData>
    <row r="1" spans="1:42">
      <c r="A1" s="1" t="s">
        <v>645</v>
      </c>
      <c r="J1" t="s">
        <v>648</v>
      </c>
      <c r="T1" t="s">
        <v>649</v>
      </c>
    </row>
    <row r="3" spans="1:42">
      <c r="A3" s="202" t="s">
        <v>628</v>
      </c>
      <c r="B3" s="203" t="s">
        <v>629</v>
      </c>
      <c r="D3" s="19" t="s">
        <v>106</v>
      </c>
      <c r="E3" s="214">
        <f>COUNT(A4:A18)</f>
        <v>15</v>
      </c>
      <c r="I3" s="19"/>
      <c r="J3" s="1568" t="s">
        <v>211</v>
      </c>
      <c r="K3" s="1569"/>
      <c r="L3" s="1570" t="s">
        <v>630</v>
      </c>
      <c r="M3" s="1571"/>
      <c r="P3" s="178" t="s">
        <v>578</v>
      </c>
      <c r="Q3" s="178" t="s">
        <v>186</v>
      </c>
      <c r="R3" s="178" t="s">
        <v>641</v>
      </c>
      <c r="T3" s="1568" t="s">
        <v>211</v>
      </c>
      <c r="U3" s="1569"/>
      <c r="V3" s="212" t="s">
        <v>630</v>
      </c>
      <c r="W3" s="1568" t="s">
        <v>578</v>
      </c>
      <c r="X3" s="1572"/>
      <c r="Y3" s="1569"/>
      <c r="AB3" s="178" t="s">
        <v>578</v>
      </c>
      <c r="AC3" s="178" t="s">
        <v>186</v>
      </c>
      <c r="AD3" s="178" t="s">
        <v>641</v>
      </c>
      <c r="AF3" t="s">
        <v>654</v>
      </c>
      <c r="AJ3" t="s">
        <v>657</v>
      </c>
      <c r="AM3" s="25" t="s">
        <v>681</v>
      </c>
    </row>
    <row r="4" spans="1:42">
      <c r="A4" s="87">
        <v>5</v>
      </c>
      <c r="B4" s="204">
        <v>80</v>
      </c>
      <c r="D4" s="19" t="s">
        <v>368</v>
      </c>
      <c r="E4" s="176">
        <f>CORREL(A4:A18,B4:B18)</f>
        <v>-0.71343017438658085</v>
      </c>
      <c r="I4" s="8"/>
      <c r="J4" s="202" t="s">
        <v>628</v>
      </c>
      <c r="K4" s="203" t="s">
        <v>629</v>
      </c>
      <c r="L4" s="202" t="s">
        <v>632</v>
      </c>
      <c r="M4" s="208" t="s">
        <v>640</v>
      </c>
      <c r="O4" s="217" t="s">
        <v>642</v>
      </c>
      <c r="P4" s="194">
        <f>DEVSQ(K5:K19)</f>
        <v>1683.7333333333333</v>
      </c>
      <c r="Q4" s="196">
        <f>COUNT(K5:K19)-1</f>
        <v>14</v>
      </c>
      <c r="R4" s="195">
        <f>P4/Q4</f>
        <v>120.26666666666667</v>
      </c>
      <c r="T4" s="202" t="s">
        <v>628</v>
      </c>
      <c r="U4" s="203" t="s">
        <v>629</v>
      </c>
      <c r="V4" s="202" t="s">
        <v>632</v>
      </c>
      <c r="W4" s="209" t="s">
        <v>642</v>
      </c>
      <c r="X4" s="210" t="s">
        <v>643</v>
      </c>
      <c r="Y4" s="211" t="s">
        <v>644</v>
      </c>
      <c r="AA4" s="217" t="s">
        <v>642</v>
      </c>
      <c r="AB4" s="194">
        <f>W20</f>
        <v>1683.7333333333333</v>
      </c>
      <c r="AC4" s="196">
        <f>U21-1</f>
        <v>14</v>
      </c>
      <c r="AD4" s="195">
        <f>AB4/AC4</f>
        <v>120.26666666666667</v>
      </c>
    </row>
    <row r="5" spans="1:42">
      <c r="A5" s="87">
        <v>23</v>
      </c>
      <c r="B5" s="88">
        <v>78</v>
      </c>
      <c r="D5" s="19"/>
      <c r="I5" s="8"/>
      <c r="J5" s="87">
        <v>5</v>
      </c>
      <c r="K5" s="204">
        <v>80</v>
      </c>
      <c r="L5" s="7">
        <f t="shared" ref="L5:L19" si="0">FORECAST(J5,$K$5:$K$19,$J$5:$J$19)</f>
        <v>82.579419168662113</v>
      </c>
      <c r="M5" s="9">
        <f>K5-L5</f>
        <v>-2.5794191686621133</v>
      </c>
      <c r="O5" s="19" t="s">
        <v>643</v>
      </c>
      <c r="P5" s="7">
        <f>DEVSQ(L5:L19)</f>
        <v>856.99099281635665</v>
      </c>
      <c r="Q5" s="8">
        <v>1</v>
      </c>
      <c r="R5" s="9">
        <f>P5/Q5</f>
        <v>856.99099281635665</v>
      </c>
      <c r="T5" s="87">
        <v>5</v>
      </c>
      <c r="U5" s="204">
        <v>80</v>
      </c>
      <c r="V5" s="7">
        <f t="shared" ref="V5:V19" si="1">FORECAST(T5,$K$5:$K$19,$J$5:$J$19)</f>
        <v>82.579419168662113</v>
      </c>
      <c r="W5" s="7">
        <f>(U5-$U$22)^2</f>
        <v>41.817777777777799</v>
      </c>
      <c r="X5" s="8">
        <f>(V5-$U$22)^2</f>
        <v>81.831668940136026</v>
      </c>
      <c r="Y5" s="9">
        <f>(U5-V5)^2</f>
        <v>6.6534032476615472</v>
      </c>
      <c r="AA5" s="19" t="s">
        <v>643</v>
      </c>
      <c r="AB5" s="7">
        <f>X20</f>
        <v>856.99099281635642</v>
      </c>
      <c r="AC5" s="8">
        <v>1</v>
      </c>
      <c r="AD5" s="9">
        <f>AB5/AC5</f>
        <v>856.99099281635642</v>
      </c>
      <c r="AF5">
        <f>AB4-AB5</f>
        <v>826.74234051697692</v>
      </c>
      <c r="AH5" s="23" t="s">
        <v>655</v>
      </c>
      <c r="AJ5" t="s">
        <v>660</v>
      </c>
      <c r="AK5">
        <f>CORREL(T5:T19,U5:U19)</f>
        <v>-0.71343017438658085</v>
      </c>
      <c r="AM5" t="s">
        <v>682</v>
      </c>
      <c r="AN5" s="228">
        <f t="array" ref="AN5:AO9">LINEST(B4:B18,A4:A18,TRUE,TRUE)</f>
        <v>-0.62820040523116594</v>
      </c>
      <c r="AO5" s="228">
        <v>85.720421194817945</v>
      </c>
      <c r="AP5" t="s">
        <v>683</v>
      </c>
    </row>
    <row r="6" spans="1:42" ht="15.6">
      <c r="A6" s="87">
        <v>25</v>
      </c>
      <c r="B6" s="88">
        <v>60</v>
      </c>
      <c r="D6" s="19"/>
      <c r="E6" s="178" t="s">
        <v>578</v>
      </c>
      <c r="F6" s="178" t="s">
        <v>186</v>
      </c>
      <c r="G6" s="178" t="s">
        <v>641</v>
      </c>
      <c r="I6" s="8"/>
      <c r="J6" s="87">
        <v>23</v>
      </c>
      <c r="K6" s="88">
        <v>78</v>
      </c>
      <c r="L6" s="7">
        <f t="shared" si="0"/>
        <v>71.271811874501125</v>
      </c>
      <c r="M6" s="9">
        <f t="shared" ref="M6:M18" si="2">K6-L6</f>
        <v>6.7281881254988747</v>
      </c>
      <c r="O6" s="19" t="s">
        <v>644</v>
      </c>
      <c r="P6" s="163">
        <f>DEVSQ(M5:M19)</f>
        <v>826.74234051697681</v>
      </c>
      <c r="Q6" s="164">
        <f>Q4-1</f>
        <v>13</v>
      </c>
      <c r="R6" s="165">
        <f>P6/Q6</f>
        <v>63.59556465515206</v>
      </c>
      <c r="T6" s="87">
        <v>23</v>
      </c>
      <c r="U6" s="88">
        <v>78</v>
      </c>
      <c r="V6" s="7">
        <f t="shared" si="1"/>
        <v>71.271811874501125</v>
      </c>
      <c r="W6" s="7">
        <f t="shared" ref="W6:W19" si="3">(U6-$U$22)^2</f>
        <v>19.951111111111128</v>
      </c>
      <c r="X6" s="8">
        <f t="shared" ref="X6:X19" si="4">(V6-$U$22)^2</f>
        <v>5.1144793087585496</v>
      </c>
      <c r="Y6" s="9">
        <f t="shared" ref="Y6:Y19" si="5">(U6-V6)^2</f>
        <v>45.268515452104062</v>
      </c>
      <c r="AA6" s="19" t="s">
        <v>644</v>
      </c>
      <c r="AB6" s="163">
        <f>Y20</f>
        <v>826.74234051697681</v>
      </c>
      <c r="AC6" s="164">
        <f>AC4-1</f>
        <v>13</v>
      </c>
      <c r="AD6" s="165">
        <f>AB6/AC6</f>
        <v>63.59556465515206</v>
      </c>
      <c r="AF6">
        <f>SUMXMY2(U5:U19,V5:V19)</f>
        <v>826.74234051697681</v>
      </c>
      <c r="AH6" s="23" t="s">
        <v>656</v>
      </c>
      <c r="AJ6" t="s">
        <v>658</v>
      </c>
      <c r="AK6">
        <f>CORREL(T5:T19,V5:V19)</f>
        <v>-0.99999999999999967</v>
      </c>
      <c r="AM6" t="s">
        <v>684</v>
      </c>
      <c r="AN6" s="228">
        <v>0.17112895461639729</v>
      </c>
      <c r="AO6" s="228">
        <v>3.9065908075799731</v>
      </c>
      <c r="AP6" t="s">
        <v>685</v>
      </c>
    </row>
    <row r="7" spans="1:42" ht="15.6">
      <c r="A7" s="87">
        <v>48</v>
      </c>
      <c r="B7" s="88">
        <v>53</v>
      </c>
      <c r="D7" s="217" t="s">
        <v>642</v>
      </c>
      <c r="E7" s="194">
        <f>DEVSQ(B4:B18)</f>
        <v>1683.7333333333333</v>
      </c>
      <c r="F7" s="196">
        <f>E3-1</f>
        <v>14</v>
      </c>
      <c r="G7" s="195">
        <f>E7/F7</f>
        <v>120.26666666666667</v>
      </c>
      <c r="H7" s="19"/>
      <c r="J7" s="87">
        <v>25</v>
      </c>
      <c r="K7" s="88">
        <v>60</v>
      </c>
      <c r="L7" s="7">
        <f t="shared" si="0"/>
        <v>70.015411064038801</v>
      </c>
      <c r="M7" s="9">
        <f t="shared" si="2"/>
        <v>-10.015411064038801</v>
      </c>
      <c r="T7" s="87">
        <v>25</v>
      </c>
      <c r="U7" s="88">
        <v>60</v>
      </c>
      <c r="V7" s="7">
        <f t="shared" si="1"/>
        <v>70.015411064038801</v>
      </c>
      <c r="W7" s="7">
        <f t="shared" si="3"/>
        <v>183.15111111111105</v>
      </c>
      <c r="X7" s="8">
        <f t="shared" si="4"/>
        <v>12.375777092798376</v>
      </c>
      <c r="Y7" s="9">
        <f t="shared" si="5"/>
        <v>100.30845878167084</v>
      </c>
      <c r="AJ7" t="s">
        <v>659</v>
      </c>
      <c r="AK7">
        <f>CORREL(U5:U19,V5:V19)</f>
        <v>0.71343017438658096</v>
      </c>
      <c r="AM7" t="s">
        <v>686</v>
      </c>
      <c r="AN7" s="228">
        <v>0.50898261372526721</v>
      </c>
      <c r="AO7" s="228">
        <v>7.9746827306891683</v>
      </c>
      <c r="AP7" t="s">
        <v>687</v>
      </c>
    </row>
    <row r="8" spans="1:42" ht="15.6">
      <c r="A8" s="205">
        <v>17</v>
      </c>
      <c r="B8" s="88">
        <v>85</v>
      </c>
      <c r="D8" s="19" t="s">
        <v>643</v>
      </c>
      <c r="E8" s="7">
        <f>E4^2*E7</f>
        <v>856.99099281635654</v>
      </c>
      <c r="F8" s="8">
        <v>1</v>
      </c>
      <c r="G8" s="9">
        <f>E8/F8</f>
        <v>856.99099281635654</v>
      </c>
      <c r="H8" s="8"/>
      <c r="J8" s="87">
        <v>48</v>
      </c>
      <c r="K8" s="88">
        <v>53</v>
      </c>
      <c r="L8" s="7">
        <f t="shared" si="0"/>
        <v>55.566801743721982</v>
      </c>
      <c r="M8" s="9">
        <f t="shared" si="2"/>
        <v>-2.5668017437219817</v>
      </c>
      <c r="T8" s="87">
        <v>48</v>
      </c>
      <c r="U8" s="88">
        <v>53</v>
      </c>
      <c r="V8" s="7">
        <f t="shared" si="1"/>
        <v>55.566801743721982</v>
      </c>
      <c r="W8" s="7">
        <f t="shared" si="3"/>
        <v>421.61777777777769</v>
      </c>
      <c r="X8" s="8">
        <f t="shared" si="4"/>
        <v>322.79625736050252</v>
      </c>
      <c r="Y8" s="9">
        <f t="shared" si="5"/>
        <v>6.5884711915742056</v>
      </c>
      <c r="AM8" t="s">
        <v>388</v>
      </c>
      <c r="AN8" s="228">
        <v>13.475640910862317</v>
      </c>
      <c r="AO8" s="228">
        <v>13</v>
      </c>
      <c r="AP8" t="s">
        <v>688</v>
      </c>
    </row>
    <row r="9" spans="1:42" ht="15.6">
      <c r="A9" s="205">
        <v>8</v>
      </c>
      <c r="B9" s="88">
        <v>84</v>
      </c>
      <c r="D9" s="19" t="s">
        <v>644</v>
      </c>
      <c r="E9" s="163">
        <f>E7-E8</f>
        <v>826.74234051697681</v>
      </c>
      <c r="F9" s="164">
        <f>F7-1</f>
        <v>13</v>
      </c>
      <c r="G9" s="165">
        <f>E9/F9</f>
        <v>63.59556465515206</v>
      </c>
      <c r="H9" s="8"/>
      <c r="I9" s="213"/>
      <c r="J9" s="205">
        <v>17</v>
      </c>
      <c r="K9" s="88">
        <v>85</v>
      </c>
      <c r="L9" s="7">
        <f t="shared" si="0"/>
        <v>75.041014305888126</v>
      </c>
      <c r="M9" s="9">
        <f t="shared" si="2"/>
        <v>9.958985694111874</v>
      </c>
      <c r="S9" s="18"/>
      <c r="T9" s="205">
        <v>17</v>
      </c>
      <c r="U9" s="88">
        <v>85</v>
      </c>
      <c r="V9" s="7">
        <f t="shared" si="1"/>
        <v>75.041014305888126</v>
      </c>
      <c r="W9" s="7">
        <f t="shared" si="3"/>
        <v>131.48444444444448</v>
      </c>
      <c r="X9" s="8">
        <f t="shared" si="4"/>
        <v>2.2731019150037715</v>
      </c>
      <c r="Y9" s="9">
        <f t="shared" si="5"/>
        <v>99.181396055524971</v>
      </c>
      <c r="AM9" t="s">
        <v>689</v>
      </c>
      <c r="AN9" s="228">
        <v>856.99099281635665</v>
      </c>
      <c r="AO9" s="228">
        <v>826.7423405169767</v>
      </c>
      <c r="AP9" t="s">
        <v>690</v>
      </c>
    </row>
    <row r="10" spans="1:42">
      <c r="A10" s="87">
        <v>4</v>
      </c>
      <c r="B10" s="88">
        <v>73</v>
      </c>
      <c r="H10" s="8"/>
      <c r="I10" s="18"/>
      <c r="J10" s="205">
        <v>8</v>
      </c>
      <c r="K10" s="88">
        <v>84</v>
      </c>
      <c r="L10" s="7">
        <f t="shared" si="0"/>
        <v>80.69481795296862</v>
      </c>
      <c r="M10" s="9">
        <f t="shared" si="2"/>
        <v>3.30518204703138</v>
      </c>
      <c r="S10" s="18"/>
      <c r="T10" s="205">
        <v>8</v>
      </c>
      <c r="U10" s="88">
        <v>84</v>
      </c>
      <c r="V10" s="7">
        <f t="shared" si="1"/>
        <v>80.69481795296862</v>
      </c>
      <c r="W10" s="7">
        <f t="shared" si="3"/>
        <v>109.55111111111115</v>
      </c>
      <c r="X10" s="8">
        <f t="shared" si="4"/>
        <v>51.286861957272791</v>
      </c>
      <c r="Y10" s="9">
        <f t="shared" si="5"/>
        <v>10.924228364018543</v>
      </c>
    </row>
    <row r="11" spans="1:42">
      <c r="A11" s="87">
        <v>26</v>
      </c>
      <c r="B11" s="88">
        <v>79</v>
      </c>
      <c r="D11" t="s">
        <v>388</v>
      </c>
      <c r="E11" s="214">
        <f>G8/G9</f>
        <v>13.475640910862316</v>
      </c>
      <c r="G11" s="216" t="s">
        <v>650</v>
      </c>
      <c r="H11" s="213"/>
      <c r="I11" s="213"/>
      <c r="J11" s="87">
        <v>4</v>
      </c>
      <c r="K11" s="88">
        <v>73</v>
      </c>
      <c r="L11" s="7">
        <f t="shared" si="0"/>
        <v>83.207619573893282</v>
      </c>
      <c r="M11" s="9">
        <f t="shared" si="2"/>
        <v>-10.207619573893282</v>
      </c>
      <c r="S11" s="18"/>
      <c r="T11" s="87">
        <v>4</v>
      </c>
      <c r="U11" s="88">
        <v>73</v>
      </c>
      <c r="V11" s="7">
        <f t="shared" si="1"/>
        <v>83.207619573893282</v>
      </c>
      <c r="W11" s="7">
        <f t="shared" si="3"/>
        <v>0.28444444444444245</v>
      </c>
      <c r="X11" s="8">
        <f t="shared" si="4"/>
        <v>93.591814264287592</v>
      </c>
      <c r="Y11" s="9">
        <f t="shared" si="5"/>
        <v>104.19549736532927</v>
      </c>
    </row>
    <row r="12" spans="1:42">
      <c r="A12" s="87">
        <v>11</v>
      </c>
      <c r="B12" s="88">
        <v>81</v>
      </c>
      <c r="D12" t="s">
        <v>337</v>
      </c>
      <c r="E12" s="40">
        <v>0.05</v>
      </c>
      <c r="G12" s="1552"/>
      <c r="H12" s="1552"/>
      <c r="I12" s="213"/>
      <c r="J12" s="87">
        <v>26</v>
      </c>
      <c r="K12" s="88">
        <v>79</v>
      </c>
      <c r="L12" s="7">
        <f t="shared" si="0"/>
        <v>69.387210658807632</v>
      </c>
      <c r="M12" s="9">
        <f t="shared" si="2"/>
        <v>9.6127893411923679</v>
      </c>
      <c r="S12" s="18"/>
      <c r="T12" s="87">
        <v>26</v>
      </c>
      <c r="U12" s="88">
        <v>79</v>
      </c>
      <c r="V12" s="7">
        <f t="shared" si="1"/>
        <v>69.387210658807632</v>
      </c>
      <c r="W12" s="7">
        <f t="shared" si="3"/>
        <v>29.884444444444465</v>
      </c>
      <c r="X12" s="8">
        <f t="shared" si="4"/>
        <v>17.190333232216137</v>
      </c>
      <c r="Y12" s="9">
        <f t="shared" si="5"/>
        <v>92.405718918141602</v>
      </c>
    </row>
    <row r="13" spans="1:42">
      <c r="A13" s="87">
        <v>19</v>
      </c>
      <c r="B13" s="88">
        <v>75</v>
      </c>
      <c r="D13" t="s">
        <v>647</v>
      </c>
      <c r="E13" s="40">
        <f>FINV(E12,F8,F9)</f>
        <v>4.6671927318268525</v>
      </c>
      <c r="G13" s="1573" t="s">
        <v>651</v>
      </c>
      <c r="H13" s="1573"/>
      <c r="I13" s="213"/>
      <c r="J13" s="87">
        <v>11</v>
      </c>
      <c r="K13" s="88">
        <v>81</v>
      </c>
      <c r="L13" s="7">
        <f t="shared" si="0"/>
        <v>78.810216737275127</v>
      </c>
      <c r="M13" s="9">
        <f t="shared" si="2"/>
        <v>2.1897832627248732</v>
      </c>
      <c r="S13" s="18"/>
      <c r="T13" s="87">
        <v>11</v>
      </c>
      <c r="U13" s="88">
        <v>81</v>
      </c>
      <c r="V13" s="7">
        <f t="shared" si="1"/>
        <v>78.810216737275127</v>
      </c>
      <c r="W13" s="7">
        <f t="shared" si="3"/>
        <v>55.751111111111136</v>
      </c>
      <c r="X13" s="8">
        <f t="shared" si="4"/>
        <v>27.845498458796349</v>
      </c>
      <c r="Y13" s="9">
        <f t="shared" si="5"/>
        <v>4.7951507377099913</v>
      </c>
    </row>
    <row r="14" spans="1:42">
      <c r="A14" s="87">
        <v>14</v>
      </c>
      <c r="B14" s="88">
        <v>68</v>
      </c>
      <c r="D14" t="s">
        <v>200</v>
      </c>
      <c r="E14" s="40">
        <f>FDIST(E11,F8,F9)</f>
        <v>2.822342990071234E-3</v>
      </c>
      <c r="G14" s="1573" t="s">
        <v>652</v>
      </c>
      <c r="H14" s="1573"/>
      <c r="J14" s="87">
        <v>19</v>
      </c>
      <c r="K14" s="88">
        <v>75</v>
      </c>
      <c r="L14" s="7">
        <f t="shared" si="0"/>
        <v>73.784613495425788</v>
      </c>
      <c r="M14" s="9">
        <f t="shared" si="2"/>
        <v>1.2153865045742123</v>
      </c>
      <c r="T14" s="87">
        <v>19</v>
      </c>
      <c r="U14" s="88">
        <v>75</v>
      </c>
      <c r="V14" s="7">
        <f t="shared" si="1"/>
        <v>73.784613495425788</v>
      </c>
      <c r="W14" s="7">
        <f t="shared" si="3"/>
        <v>2.1511111111111165</v>
      </c>
      <c r="X14" s="8">
        <f t="shared" si="4"/>
        <v>6.3141719861211115E-2</v>
      </c>
      <c r="Y14" s="9">
        <f t="shared" si="5"/>
        <v>1.4771643555011218</v>
      </c>
    </row>
    <row r="15" spans="1:42">
      <c r="A15" s="87">
        <v>35</v>
      </c>
      <c r="B15" s="88">
        <v>72</v>
      </c>
      <c r="D15" t="s">
        <v>948</v>
      </c>
      <c r="E15" s="215" t="str">
        <f>IF(E14&lt;E12,"yes","no")</f>
        <v>yes</v>
      </c>
      <c r="G15" s="1573" t="s">
        <v>653</v>
      </c>
      <c r="H15" s="1573"/>
      <c r="J15" s="87">
        <v>14</v>
      </c>
      <c r="K15" s="88">
        <v>68</v>
      </c>
      <c r="L15" s="7">
        <f t="shared" si="0"/>
        <v>76.925615521581619</v>
      </c>
      <c r="M15" s="9">
        <f t="shared" si="2"/>
        <v>-8.9256155215816193</v>
      </c>
      <c r="T15" s="87">
        <v>14</v>
      </c>
      <c r="U15" s="88">
        <v>68</v>
      </c>
      <c r="V15" s="7">
        <f t="shared" si="1"/>
        <v>76.925615521581619</v>
      </c>
      <c r="W15" s="7">
        <f t="shared" si="3"/>
        <v>30.617777777777757</v>
      </c>
      <c r="X15" s="8">
        <f t="shared" si="4"/>
        <v>11.507578444706592</v>
      </c>
      <c r="Y15" s="9">
        <f t="shared" si="5"/>
        <v>79.666612439098728</v>
      </c>
    </row>
    <row r="16" spans="1:42">
      <c r="A16" s="87">
        <v>29</v>
      </c>
      <c r="B16" s="88">
        <v>58</v>
      </c>
      <c r="J16" s="87">
        <v>35</v>
      </c>
      <c r="K16" s="88">
        <v>72</v>
      </c>
      <c r="L16" s="7">
        <f t="shared" si="0"/>
        <v>63.733407011727138</v>
      </c>
      <c r="M16" s="9">
        <f t="shared" si="2"/>
        <v>8.2665929882728619</v>
      </c>
      <c r="T16" s="87">
        <v>35</v>
      </c>
      <c r="U16" s="88">
        <v>72</v>
      </c>
      <c r="V16" s="7">
        <f t="shared" si="1"/>
        <v>63.733407011727138</v>
      </c>
      <c r="W16" s="7">
        <f t="shared" si="3"/>
        <v>2.3511111111111052</v>
      </c>
      <c r="X16" s="8">
        <f t="shared" si="4"/>
        <v>96.038555908909899</v>
      </c>
      <c r="Y16" s="9">
        <f t="shared" si="5"/>
        <v>68.33655963376205</v>
      </c>
    </row>
    <row r="17" spans="1:25">
      <c r="A17" s="87">
        <v>4</v>
      </c>
      <c r="B17" s="88">
        <v>92</v>
      </c>
      <c r="J17" s="87">
        <v>29</v>
      </c>
      <c r="K17" s="88">
        <v>58</v>
      </c>
      <c r="L17" s="7">
        <f t="shared" si="0"/>
        <v>67.502609443114139</v>
      </c>
      <c r="M17" s="9">
        <f t="shared" si="2"/>
        <v>-9.5026094431141388</v>
      </c>
      <c r="T17" s="87">
        <v>29</v>
      </c>
      <c r="U17" s="88">
        <v>58</v>
      </c>
      <c r="V17" s="7">
        <f t="shared" si="1"/>
        <v>67.502609443114139</v>
      </c>
      <c r="W17" s="7">
        <f t="shared" si="3"/>
        <v>241.28444444444438</v>
      </c>
      <c r="X17" s="8">
        <f t="shared" si="4"/>
        <v>36.369630640060514</v>
      </c>
      <c r="Y17" s="9">
        <f t="shared" si="5"/>
        <v>90.299586228362003</v>
      </c>
    </row>
    <row r="18" spans="1:25">
      <c r="A18" s="206">
        <v>23</v>
      </c>
      <c r="B18" s="207">
        <v>65</v>
      </c>
      <c r="J18" s="87">
        <v>4</v>
      </c>
      <c r="K18" s="88">
        <v>92</v>
      </c>
      <c r="L18" s="7">
        <f t="shared" si="0"/>
        <v>83.207619573893282</v>
      </c>
      <c r="M18" s="9">
        <f t="shared" si="2"/>
        <v>8.7923804261067176</v>
      </c>
      <c r="T18" s="87">
        <v>4</v>
      </c>
      <c r="U18" s="88">
        <v>92</v>
      </c>
      <c r="V18" s="7">
        <f t="shared" si="1"/>
        <v>83.207619573893282</v>
      </c>
      <c r="W18" s="7">
        <f t="shared" si="3"/>
        <v>341.01777777777784</v>
      </c>
      <c r="X18" s="8">
        <f t="shared" si="4"/>
        <v>93.591814264287592</v>
      </c>
      <c r="Y18" s="9">
        <f t="shared" si="5"/>
        <v>77.305953557384541</v>
      </c>
    </row>
    <row r="19" spans="1:25">
      <c r="J19" s="206">
        <v>23</v>
      </c>
      <c r="K19" s="207">
        <v>65</v>
      </c>
      <c r="L19" s="163">
        <f t="shared" si="0"/>
        <v>71.271811874501125</v>
      </c>
      <c r="M19" s="165">
        <f>K19-L19</f>
        <v>-6.2718118745011253</v>
      </c>
      <c r="T19" s="206">
        <v>23</v>
      </c>
      <c r="U19" s="207">
        <v>65</v>
      </c>
      <c r="V19" s="163">
        <f t="shared" si="1"/>
        <v>71.271811874501125</v>
      </c>
      <c r="W19" s="163">
        <f t="shared" si="3"/>
        <v>72.817777777777749</v>
      </c>
      <c r="X19" s="164">
        <f t="shared" si="4"/>
        <v>5.1144793087585496</v>
      </c>
      <c r="Y19" s="165">
        <f t="shared" si="5"/>
        <v>39.33562418913332</v>
      </c>
    </row>
    <row r="20" spans="1:25">
      <c r="W20">
        <f>SUM(W5:W19)</f>
        <v>1683.7333333333333</v>
      </c>
      <c r="X20">
        <f>SUM(X5:X19)</f>
        <v>856.99099281635642</v>
      </c>
      <c r="Y20">
        <f>SUM(Y5:Y19)</f>
        <v>826.74234051697681</v>
      </c>
    </row>
    <row r="21" spans="1:25">
      <c r="J21" t="s">
        <v>63</v>
      </c>
      <c r="K21" s="743">
        <f>AVERAGE(K5:K19)</f>
        <v>73.533333333333331</v>
      </c>
      <c r="L21" s="829">
        <f>AVERAGE(L5:L19)</f>
        <v>73.533333333333317</v>
      </c>
      <c r="M21" s="830">
        <f>AVERAGE(M5:M19)</f>
        <v>6.6317322004276018E-15</v>
      </c>
      <c r="T21" s="19" t="s">
        <v>106</v>
      </c>
      <c r="U21" s="743">
        <f>COUNT(T5:T19)</f>
        <v>15</v>
      </c>
    </row>
    <row r="22" spans="1:25">
      <c r="J22" t="s">
        <v>218</v>
      </c>
      <c r="K22" s="544">
        <f>STDEV(K5:K19)</f>
        <v>10.966616007988378</v>
      </c>
      <c r="L22" s="533">
        <f>STDEV(L5:L19)</f>
        <v>7.8239147710098651</v>
      </c>
      <c r="M22" s="12">
        <f>STDEV(M5:M19)</f>
        <v>7.6845965621261598</v>
      </c>
      <c r="T22" s="19" t="s">
        <v>646</v>
      </c>
      <c r="U22" s="544">
        <f>AVERAGE(U5:U19)</f>
        <v>73.533333333333331</v>
      </c>
    </row>
  </sheetData>
  <mergeCells count="8">
    <mergeCell ref="L3:M3"/>
    <mergeCell ref="T3:U3"/>
    <mergeCell ref="W3:Y3"/>
    <mergeCell ref="G14:H14"/>
    <mergeCell ref="G15:H15"/>
    <mergeCell ref="G12:H12"/>
    <mergeCell ref="G13:H13"/>
    <mergeCell ref="J3:K3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sheetPr codeName="Sheet76"/>
  <dimension ref="A1:L20"/>
  <sheetViews>
    <sheetView workbookViewId="0"/>
  </sheetViews>
  <sheetFormatPr defaultRowHeight="14.4"/>
  <cols>
    <col min="1" max="2" width="11.44140625" customWidth="1"/>
    <col min="3" max="3" width="6.6640625" customWidth="1"/>
    <col min="6" max="6" width="4.88671875" customWidth="1"/>
    <col min="7" max="7" width="30.5546875" customWidth="1"/>
    <col min="8" max="8" width="4.5546875" customWidth="1"/>
    <col min="11" max="11" width="4.88671875" customWidth="1"/>
    <col min="12" max="12" width="30.5546875" customWidth="1"/>
  </cols>
  <sheetData>
    <row r="1" spans="1:12">
      <c r="A1" s="1" t="s">
        <v>670</v>
      </c>
    </row>
    <row r="3" spans="1:12">
      <c r="A3" s="202" t="s">
        <v>628</v>
      </c>
      <c r="B3" s="203" t="s">
        <v>629</v>
      </c>
      <c r="D3" t="s">
        <v>106</v>
      </c>
      <c r="E3" s="214">
        <f>COUNT(A4:A18)</f>
        <v>15</v>
      </c>
      <c r="G3" s="23" t="s">
        <v>571</v>
      </c>
      <c r="I3" t="s">
        <v>106</v>
      </c>
      <c r="J3" s="214">
        <f>COUNT(A4:A18)</f>
        <v>15</v>
      </c>
      <c r="L3" s="23" t="s">
        <v>571</v>
      </c>
    </row>
    <row r="4" spans="1:12" ht="15.6">
      <c r="A4" s="87">
        <v>5</v>
      </c>
      <c r="B4" s="204">
        <v>80</v>
      </c>
      <c r="D4" t="s">
        <v>368</v>
      </c>
      <c r="E4" s="40">
        <f>CORREL(A4:A18,B4:B18)</f>
        <v>-0.71343017438658085</v>
      </c>
      <c r="G4" s="23" t="s">
        <v>666</v>
      </c>
      <c r="I4" t="s">
        <v>662</v>
      </c>
      <c r="J4" s="40">
        <f>STDEV(A4:A18)</f>
        <v>12.45448857698644</v>
      </c>
      <c r="L4" s="23" t="s">
        <v>667</v>
      </c>
    </row>
    <row r="5" spans="1:12" ht="15.6">
      <c r="A5" s="87">
        <v>23</v>
      </c>
      <c r="B5" s="88">
        <v>78</v>
      </c>
      <c r="D5" t="s">
        <v>662</v>
      </c>
      <c r="E5" s="40">
        <f>STDEV(A4:A18)</f>
        <v>12.45448857698644</v>
      </c>
      <c r="G5" s="23" t="s">
        <v>667</v>
      </c>
      <c r="I5" t="s">
        <v>142</v>
      </c>
      <c r="J5" s="40">
        <f>SLOPE(B4:B18,A4:A18)</f>
        <v>-0.62820040523116583</v>
      </c>
      <c r="L5" s="23" t="s">
        <v>714</v>
      </c>
    </row>
    <row r="6" spans="1:12" ht="15.6">
      <c r="A6" s="87">
        <v>25</v>
      </c>
      <c r="B6" s="88">
        <v>60</v>
      </c>
      <c r="D6" t="s">
        <v>664</v>
      </c>
      <c r="E6" s="40">
        <f>STDEV(B4:B18)</f>
        <v>10.966616007988378</v>
      </c>
      <c r="G6" s="23" t="s">
        <v>668</v>
      </c>
      <c r="I6" t="s">
        <v>665</v>
      </c>
      <c r="J6" s="40">
        <f>STEYX(B4:B18,A4:A18)</f>
        <v>7.9746827306891692</v>
      </c>
      <c r="L6" s="23" t="s">
        <v>715</v>
      </c>
    </row>
    <row r="7" spans="1:12" ht="15.6">
      <c r="A7" s="87">
        <v>48</v>
      </c>
      <c r="B7" s="88">
        <v>53</v>
      </c>
      <c r="D7" t="s">
        <v>142</v>
      </c>
      <c r="E7" s="40">
        <f>E4*E6/E5</f>
        <v>-0.6282004052311666</v>
      </c>
      <c r="G7" s="23" t="s">
        <v>671</v>
      </c>
      <c r="I7" t="s">
        <v>663</v>
      </c>
      <c r="J7" s="40">
        <f>J6/(J4*SQRT(J3-1))</f>
        <v>0.17112895461639729</v>
      </c>
      <c r="L7" s="23" t="s">
        <v>716</v>
      </c>
    </row>
    <row r="8" spans="1:12" ht="15.6">
      <c r="A8" s="205">
        <v>17</v>
      </c>
      <c r="B8" s="88">
        <v>85</v>
      </c>
      <c r="D8" t="s">
        <v>665</v>
      </c>
      <c r="E8" s="40">
        <f>E6*SQRT((1-E4^2)*(E3-1)/(E3-2))</f>
        <v>7.974682730689179</v>
      </c>
      <c r="G8" s="23" t="s">
        <v>672</v>
      </c>
      <c r="I8" t="s">
        <v>195</v>
      </c>
      <c r="J8" s="40">
        <f>J5/J7</f>
        <v>-3.6709182653475563</v>
      </c>
      <c r="L8" s="23" t="s">
        <v>717</v>
      </c>
    </row>
    <row r="9" spans="1:12" ht="15.6">
      <c r="A9" s="205">
        <v>8</v>
      </c>
      <c r="B9" s="88">
        <v>84</v>
      </c>
      <c r="D9" t="s">
        <v>663</v>
      </c>
      <c r="E9" s="40">
        <f>E8/(E5*SQRT(E3-1))</f>
        <v>0.17112895461639752</v>
      </c>
      <c r="G9" s="23" t="s">
        <v>673</v>
      </c>
      <c r="I9" t="s">
        <v>186</v>
      </c>
      <c r="J9" s="40">
        <f>J3-2</f>
        <v>13</v>
      </c>
      <c r="L9" s="23" t="s">
        <v>718</v>
      </c>
    </row>
    <row r="10" spans="1:12">
      <c r="A10" s="87">
        <v>4</v>
      </c>
      <c r="B10" s="88">
        <v>73</v>
      </c>
      <c r="D10" t="s">
        <v>195</v>
      </c>
      <c r="E10" s="40">
        <f>E7/E9</f>
        <v>-3.6709182653475558</v>
      </c>
      <c r="G10" s="23" t="s">
        <v>674</v>
      </c>
      <c r="I10" t="s">
        <v>200</v>
      </c>
      <c r="J10" s="40">
        <f>TDIST(ABS(J8),J9,2)</f>
        <v>2.8223429900712388E-3</v>
      </c>
      <c r="L10" s="23" t="s">
        <v>719</v>
      </c>
    </row>
    <row r="11" spans="1:12">
      <c r="A11" s="87">
        <v>26</v>
      </c>
      <c r="B11" s="88">
        <v>79</v>
      </c>
      <c r="D11" t="s">
        <v>186</v>
      </c>
      <c r="E11" s="40">
        <f>E3-2</f>
        <v>13</v>
      </c>
      <c r="G11" s="23" t="s">
        <v>675</v>
      </c>
      <c r="I11" t="s">
        <v>337</v>
      </c>
      <c r="J11" s="40">
        <v>0.05</v>
      </c>
    </row>
    <row r="12" spans="1:12">
      <c r="A12" s="87">
        <v>11</v>
      </c>
      <c r="B12" s="88">
        <v>81</v>
      </c>
      <c r="D12" t="s">
        <v>200</v>
      </c>
      <c r="E12" s="40">
        <f>TDIST(ABS(E10),E11,2)</f>
        <v>2.8223429900712388E-3</v>
      </c>
      <c r="G12" s="23" t="s">
        <v>676</v>
      </c>
      <c r="I12" t="s">
        <v>201</v>
      </c>
      <c r="J12" s="40">
        <f>TINV(0.05,J9)</f>
        <v>2.1603686564627926</v>
      </c>
      <c r="L12" s="23" t="s">
        <v>720</v>
      </c>
    </row>
    <row r="13" spans="1:12">
      <c r="A13" s="87">
        <v>19</v>
      </c>
      <c r="B13" s="88">
        <v>75</v>
      </c>
      <c r="D13" t="s">
        <v>337</v>
      </c>
      <c r="E13" s="40">
        <v>0.05</v>
      </c>
      <c r="I13" t="s">
        <v>948</v>
      </c>
      <c r="J13" s="215" t="str">
        <f>IF(J10&lt;J11,"yes","no")</f>
        <v>yes</v>
      </c>
      <c r="L13" s="23" t="s">
        <v>721</v>
      </c>
    </row>
    <row r="14" spans="1:12">
      <c r="A14" s="87">
        <v>14</v>
      </c>
      <c r="B14" s="88">
        <v>68</v>
      </c>
      <c r="D14" t="s">
        <v>201</v>
      </c>
      <c r="E14" s="40">
        <f>TINV(0.05,E11)</f>
        <v>2.1603686564627926</v>
      </c>
      <c r="G14" s="23" t="s">
        <v>677</v>
      </c>
    </row>
    <row r="15" spans="1:12">
      <c r="A15" s="87">
        <v>35</v>
      </c>
      <c r="B15" s="88">
        <v>72</v>
      </c>
      <c r="D15" t="s">
        <v>948</v>
      </c>
      <c r="E15" s="215" t="str">
        <f>IF(E12&lt;E13,"yes","no")</f>
        <v>yes</v>
      </c>
      <c r="G15" s="23" t="s">
        <v>678</v>
      </c>
      <c r="I15" t="s">
        <v>669</v>
      </c>
    </row>
    <row r="16" spans="1:12">
      <c r="A16" s="87">
        <v>29</v>
      </c>
      <c r="B16" s="88">
        <v>58</v>
      </c>
    </row>
    <row r="17" spans="1:12">
      <c r="A17" s="87">
        <v>4</v>
      </c>
      <c r="B17" s="88">
        <v>92</v>
      </c>
      <c r="D17" t="s">
        <v>669</v>
      </c>
      <c r="I17" t="s">
        <v>103</v>
      </c>
      <c r="J17" s="214">
        <f>J5-J12*J7</f>
        <v>-0.99790203499767427</v>
      </c>
      <c r="L17" s="23" t="s">
        <v>722</v>
      </c>
    </row>
    <row r="18" spans="1:12">
      <c r="A18" s="206">
        <v>23</v>
      </c>
      <c r="B18" s="207">
        <v>65</v>
      </c>
      <c r="I18" t="s">
        <v>104</v>
      </c>
      <c r="J18" s="176">
        <f>J5+J12*J7</f>
        <v>-0.25849877546465738</v>
      </c>
      <c r="L18" s="23" t="s">
        <v>723</v>
      </c>
    </row>
    <row r="19" spans="1:12">
      <c r="D19" t="s">
        <v>103</v>
      </c>
      <c r="E19" s="214">
        <f>E7-E14*E9</f>
        <v>-0.99790203499767549</v>
      </c>
      <c r="G19" s="23" t="s">
        <v>679</v>
      </c>
    </row>
    <row r="20" spans="1:12">
      <c r="D20" t="s">
        <v>104</v>
      </c>
      <c r="E20" s="176">
        <f>E7+E14*E9</f>
        <v>-0.25849877546465766</v>
      </c>
      <c r="G20" s="23" t="s">
        <v>680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sheetPr codeName="Sheet77"/>
  <dimension ref="A1:X19"/>
  <sheetViews>
    <sheetView workbookViewId="0"/>
  </sheetViews>
  <sheetFormatPr defaultRowHeight="14.4"/>
  <cols>
    <col min="1" max="1" width="18.109375" customWidth="1"/>
    <col min="2" max="2" width="12.88671875" customWidth="1"/>
    <col min="3" max="3" width="14.109375" customWidth="1"/>
    <col min="4" max="5" width="12" customWidth="1"/>
    <col min="6" max="6" width="13.109375" customWidth="1"/>
    <col min="7" max="7" width="13" customWidth="1"/>
    <col min="18" max="18" width="12.44140625" customWidth="1"/>
    <col min="19" max="19" width="17.88671875" customWidth="1"/>
    <col min="20" max="20" width="12.33203125" customWidth="1"/>
    <col min="21" max="21" width="18" customWidth="1"/>
    <col min="24" max="24" width="10.44140625" customWidth="1"/>
  </cols>
  <sheetData>
    <row r="1" spans="1:24">
      <c r="A1" t="s">
        <v>691</v>
      </c>
    </row>
    <row r="2" spans="1:24" ht="15" thickBot="1">
      <c r="R2" t="s">
        <v>702</v>
      </c>
      <c r="W2" t="s">
        <v>706</v>
      </c>
    </row>
    <row r="3" spans="1:24" ht="15" thickBot="1">
      <c r="A3" s="35" t="s">
        <v>692</v>
      </c>
      <c r="B3" s="35"/>
    </row>
    <row r="4" spans="1:24">
      <c r="A4" s="28" t="s">
        <v>693</v>
      </c>
      <c r="B4" s="28">
        <v>0.71343017438658085</v>
      </c>
      <c r="R4" s="27" t="s">
        <v>703</v>
      </c>
      <c r="S4" s="27" t="s">
        <v>708</v>
      </c>
      <c r="T4" s="27" t="s">
        <v>704</v>
      </c>
      <c r="U4" s="27" t="s">
        <v>705</v>
      </c>
      <c r="W4" s="27" t="s">
        <v>707</v>
      </c>
      <c r="X4" s="27" t="s">
        <v>547</v>
      </c>
    </row>
    <row r="5" spans="1:24">
      <c r="A5" s="28" t="s">
        <v>686</v>
      </c>
      <c r="B5" s="28">
        <v>0.50898261372526721</v>
      </c>
      <c r="R5" s="28">
        <v>1</v>
      </c>
      <c r="S5" s="28">
        <v>82.579419168662113</v>
      </c>
      <c r="T5" s="28">
        <v>-2.5794191686621133</v>
      </c>
      <c r="U5" s="28">
        <v>-0.33566097423707103</v>
      </c>
      <c r="W5" s="28">
        <v>3.3333333333333335</v>
      </c>
      <c r="X5" s="28">
        <v>53</v>
      </c>
    </row>
    <row r="6" spans="1:24">
      <c r="A6" s="28" t="s">
        <v>694</v>
      </c>
      <c r="B6" s="28">
        <v>0.47121204555028778</v>
      </c>
      <c r="R6" s="28">
        <v>2</v>
      </c>
      <c r="S6" s="28">
        <v>71.271811874501125</v>
      </c>
      <c r="T6" s="28">
        <v>6.7281881254988747</v>
      </c>
      <c r="U6" s="28">
        <v>0.87554214084042081</v>
      </c>
      <c r="W6" s="28">
        <v>10</v>
      </c>
      <c r="X6" s="28">
        <v>58</v>
      </c>
    </row>
    <row r="7" spans="1:24">
      <c r="A7" s="28" t="s">
        <v>77</v>
      </c>
      <c r="B7" s="28">
        <v>7.9746827306891683</v>
      </c>
      <c r="R7" s="28">
        <v>3</v>
      </c>
      <c r="S7" s="28">
        <v>70.015411064038801</v>
      </c>
      <c r="T7" s="28">
        <v>-10.015411064038801</v>
      </c>
      <c r="U7" s="28">
        <v>-1.3033099373622494</v>
      </c>
      <c r="W7" s="28">
        <v>16.666666666666668</v>
      </c>
      <c r="X7" s="28">
        <v>60</v>
      </c>
    </row>
    <row r="8" spans="1:24" ht="15" thickBot="1">
      <c r="A8" s="31" t="s">
        <v>224</v>
      </c>
      <c r="B8" s="31">
        <v>15</v>
      </c>
      <c r="R8" s="28">
        <v>4</v>
      </c>
      <c r="S8" s="28">
        <v>55.566801743721982</v>
      </c>
      <c r="T8" s="28">
        <v>-2.5668017437219817</v>
      </c>
      <c r="U8" s="28">
        <v>-0.33401906306605172</v>
      </c>
      <c r="W8" s="28">
        <v>23.333333333333332</v>
      </c>
      <c r="X8" s="28">
        <v>65</v>
      </c>
    </row>
    <row r="9" spans="1:24">
      <c r="R9" s="28">
        <v>5</v>
      </c>
      <c r="S9" s="28">
        <v>75.041014305888126</v>
      </c>
      <c r="T9" s="28">
        <v>9.958985694111874</v>
      </c>
      <c r="U9" s="28">
        <v>1.2959672786461078</v>
      </c>
      <c r="W9" s="28">
        <v>30</v>
      </c>
      <c r="X9" s="28">
        <v>68</v>
      </c>
    </row>
    <row r="10" spans="1:24" ht="15" thickBot="1">
      <c r="A10" t="s">
        <v>695</v>
      </c>
      <c r="R10" s="28">
        <v>6</v>
      </c>
      <c r="S10" s="28">
        <v>80.69481795296862</v>
      </c>
      <c r="T10" s="28">
        <v>3.30518204703138</v>
      </c>
      <c r="U10" s="28">
        <v>0.43010482337109296</v>
      </c>
      <c r="W10" s="28">
        <v>36.666666666666671</v>
      </c>
      <c r="X10" s="28">
        <v>72</v>
      </c>
    </row>
    <row r="11" spans="1:24">
      <c r="A11" s="27"/>
      <c r="B11" s="27" t="s">
        <v>186</v>
      </c>
      <c r="C11" s="27" t="s">
        <v>578</v>
      </c>
      <c r="D11" s="27" t="s">
        <v>641</v>
      </c>
      <c r="E11" s="27" t="s">
        <v>388</v>
      </c>
      <c r="F11" s="27" t="s">
        <v>698</v>
      </c>
      <c r="R11" s="28">
        <v>7</v>
      </c>
      <c r="S11" s="28">
        <v>83.207619573893282</v>
      </c>
      <c r="T11" s="28">
        <v>-10.207619573893282</v>
      </c>
      <c r="U11" s="28">
        <v>-1.3283221170258883</v>
      </c>
      <c r="W11" s="28">
        <v>43.333333333333336</v>
      </c>
      <c r="X11" s="28">
        <v>73</v>
      </c>
    </row>
    <row r="12" spans="1:24">
      <c r="A12" s="28" t="s">
        <v>623</v>
      </c>
      <c r="B12" s="28">
        <v>1</v>
      </c>
      <c r="C12" s="28">
        <v>856.99099281635665</v>
      </c>
      <c r="D12" s="28">
        <v>856.99099281635665</v>
      </c>
      <c r="E12" s="28">
        <v>13.475640910862317</v>
      </c>
      <c r="F12" s="28">
        <v>2.822342990071234E-3</v>
      </c>
      <c r="R12" s="28">
        <v>8</v>
      </c>
      <c r="S12" s="28">
        <v>69.387210658807632</v>
      </c>
      <c r="T12" s="28">
        <v>9.6127893411923679</v>
      </c>
      <c r="U12" s="28">
        <v>1.2509165918441814</v>
      </c>
      <c r="W12" s="28">
        <v>50.000000000000007</v>
      </c>
      <c r="X12" s="28">
        <v>75</v>
      </c>
    </row>
    <row r="13" spans="1:24">
      <c r="A13" s="28" t="s">
        <v>696</v>
      </c>
      <c r="B13" s="28">
        <v>13</v>
      </c>
      <c r="C13" s="28">
        <v>826.7423405169767</v>
      </c>
      <c r="D13" s="28">
        <v>63.595564655152053</v>
      </c>
      <c r="E13" s="28"/>
      <c r="F13" s="28"/>
      <c r="R13" s="28">
        <v>9</v>
      </c>
      <c r="S13" s="28">
        <v>78.810216737275113</v>
      </c>
      <c r="T13" s="28">
        <v>2.1897832627248874</v>
      </c>
      <c r="U13" s="28">
        <v>0.2849574789023176</v>
      </c>
      <c r="W13" s="28">
        <v>56.666666666666671</v>
      </c>
      <c r="X13" s="28">
        <v>78</v>
      </c>
    </row>
    <row r="14" spans="1:24" ht="15" thickBot="1">
      <c r="A14" s="31" t="s">
        <v>12</v>
      </c>
      <c r="B14" s="31">
        <v>14</v>
      </c>
      <c r="C14" s="31">
        <v>1683.7333333333333</v>
      </c>
      <c r="D14" s="31"/>
      <c r="E14" s="31"/>
      <c r="F14" s="31"/>
      <c r="R14" s="28">
        <v>10</v>
      </c>
      <c r="S14" s="28">
        <v>73.784613495425788</v>
      </c>
      <c r="T14" s="28">
        <v>1.2153865045742123</v>
      </c>
      <c r="U14" s="28">
        <v>0.15815879138851521</v>
      </c>
      <c r="W14" s="28">
        <v>63.333333333333336</v>
      </c>
      <c r="X14" s="28">
        <v>79</v>
      </c>
    </row>
    <row r="15" spans="1:24" ht="15" thickBot="1">
      <c r="R15" s="28">
        <v>11</v>
      </c>
      <c r="S15" s="28">
        <v>76.925615521581619</v>
      </c>
      <c r="T15" s="28">
        <v>-8.9256155215816193</v>
      </c>
      <c r="U15" s="28">
        <v>-1.1614943542478042</v>
      </c>
      <c r="W15" s="28">
        <v>70</v>
      </c>
      <c r="X15" s="28">
        <v>80</v>
      </c>
    </row>
    <row r="16" spans="1:24">
      <c r="A16" s="27"/>
      <c r="B16" s="27" t="s">
        <v>699</v>
      </c>
      <c r="C16" s="27" t="s">
        <v>77</v>
      </c>
      <c r="D16" s="27" t="s">
        <v>229</v>
      </c>
      <c r="E16" s="27" t="s">
        <v>367</v>
      </c>
      <c r="F16" s="27" t="s">
        <v>700</v>
      </c>
      <c r="G16" s="27" t="s">
        <v>701</v>
      </c>
      <c r="R16" s="28">
        <v>12</v>
      </c>
      <c r="S16" s="28">
        <v>63.733407011727138</v>
      </c>
      <c r="T16" s="28">
        <v>8.2665929882728619</v>
      </c>
      <c r="U16" s="28">
        <v>1.0757354561741206</v>
      </c>
      <c r="W16" s="28">
        <v>76.666666666666671</v>
      </c>
      <c r="X16" s="28">
        <v>81</v>
      </c>
    </row>
    <row r="17" spans="1:24">
      <c r="A17" s="28" t="s">
        <v>697</v>
      </c>
      <c r="B17" s="28">
        <v>85.720421194817945</v>
      </c>
      <c r="C17" s="28">
        <v>3.9065908075799731</v>
      </c>
      <c r="D17" s="28">
        <v>21.942513413100315</v>
      </c>
      <c r="E17" s="28">
        <v>1.1757939257001413E-11</v>
      </c>
      <c r="F17" s="28">
        <v>77.280744860496497</v>
      </c>
      <c r="G17" s="28">
        <v>94.160097529139392</v>
      </c>
      <c r="R17" s="28">
        <v>13</v>
      </c>
      <c r="S17" s="28">
        <v>67.502609443114125</v>
      </c>
      <c r="T17" s="28">
        <v>-9.5026094431141246</v>
      </c>
      <c r="U17" s="28">
        <v>-1.2365788322510143</v>
      </c>
      <c r="W17" s="28">
        <v>83.333333333333329</v>
      </c>
      <c r="X17" s="28">
        <v>84</v>
      </c>
    </row>
    <row r="18" spans="1:24" ht="15" thickBot="1">
      <c r="A18" s="31" t="s">
        <v>628</v>
      </c>
      <c r="B18" s="31">
        <v>-0.62820040523116594</v>
      </c>
      <c r="C18" s="31">
        <v>0.17112895461639729</v>
      </c>
      <c r="D18" s="31">
        <v>-3.6709182653475567</v>
      </c>
      <c r="E18" s="31">
        <v>2.822342990071231E-3</v>
      </c>
      <c r="F18" s="31">
        <v>-0.99790203499767438</v>
      </c>
      <c r="G18" s="31">
        <v>-0.25849877546465749</v>
      </c>
      <c r="R18" s="28">
        <v>14</v>
      </c>
      <c r="S18" s="28">
        <v>83.207619573893282</v>
      </c>
      <c r="T18" s="28">
        <v>8.7923804261067176</v>
      </c>
      <c r="U18" s="28">
        <v>1.1441564114686664</v>
      </c>
      <c r="W18" s="28">
        <v>90</v>
      </c>
      <c r="X18" s="28">
        <v>85</v>
      </c>
    </row>
    <row r="19" spans="1:24" ht="15" thickBot="1">
      <c r="R19" s="31">
        <v>15</v>
      </c>
      <c r="S19" s="31">
        <v>71.271811874501125</v>
      </c>
      <c r="T19" s="31">
        <v>-6.2718118745011253</v>
      </c>
      <c r="U19" s="31">
        <v>-0.81615369444532726</v>
      </c>
      <c r="W19" s="31">
        <v>96.666666666666671</v>
      </c>
      <c r="X19" s="31">
        <v>92</v>
      </c>
    </row>
  </sheetData>
  <sortState ref="X5:X19">
    <sortCondition ref="X25"/>
  </sortState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sheetPr codeName="Sheet78"/>
  <dimension ref="A1:V33"/>
  <sheetViews>
    <sheetView workbookViewId="0">
      <selection activeCell="A4" sqref="A4:E20"/>
    </sheetView>
  </sheetViews>
  <sheetFormatPr defaultRowHeight="14.4"/>
  <cols>
    <col min="1" max="1" width="10.5546875" customWidth="1"/>
    <col min="2" max="2" width="11" customWidth="1"/>
    <col min="3" max="3" width="4.109375" customWidth="1"/>
    <col min="5" max="5" width="10.44140625" customWidth="1"/>
    <col min="6" max="6" width="5.109375" customWidth="1"/>
    <col min="7" max="11" width="10.44140625" customWidth="1"/>
    <col min="16" max="16" width="2.5546875" customWidth="1"/>
    <col min="17" max="17" width="20.6640625" customWidth="1"/>
    <col min="18" max="18" width="2.88671875" customWidth="1"/>
    <col min="21" max="21" width="3" customWidth="1"/>
    <col min="22" max="22" width="36.44140625" customWidth="1"/>
  </cols>
  <sheetData>
    <row r="1" spans="1:22">
      <c r="A1" s="1" t="s">
        <v>724</v>
      </c>
      <c r="B1" s="1"/>
      <c r="M1" s="1" t="s">
        <v>709</v>
      </c>
    </row>
    <row r="2" spans="1:22">
      <c r="A2" s="1"/>
      <c r="B2" s="1"/>
    </row>
    <row r="3" spans="1:22">
      <c r="A3" s="1574" t="s">
        <v>725</v>
      </c>
      <c r="B3" s="1575"/>
      <c r="D3" s="1574" t="s">
        <v>726</v>
      </c>
      <c r="E3" s="1575"/>
      <c r="F3" s="219"/>
      <c r="G3" s="219"/>
      <c r="H3" s="219"/>
      <c r="I3" s="219"/>
      <c r="J3" s="219"/>
      <c r="K3" s="219"/>
      <c r="N3" s="178" t="s">
        <v>725</v>
      </c>
      <c r="O3" s="178" t="s">
        <v>726</v>
      </c>
      <c r="P3" s="178"/>
    </row>
    <row r="4" spans="1:22">
      <c r="A4" s="202" t="s">
        <v>628</v>
      </c>
      <c r="B4" s="203" t="s">
        <v>629</v>
      </c>
      <c r="D4" s="202" t="s">
        <v>628</v>
      </c>
      <c r="E4" s="203" t="s">
        <v>629</v>
      </c>
      <c r="F4" s="219"/>
      <c r="G4" s="219"/>
      <c r="H4" s="219"/>
      <c r="I4" s="219"/>
      <c r="J4" s="219"/>
      <c r="K4" s="219"/>
      <c r="M4" t="s">
        <v>106</v>
      </c>
      <c r="N4" s="864">
        <f>COUNT(A5:A19)</f>
        <v>15</v>
      </c>
      <c r="O4" s="853">
        <f>COUNT(D5:D20)</f>
        <v>16</v>
      </c>
      <c r="P4" s="8"/>
      <c r="Q4" s="23" t="s">
        <v>732</v>
      </c>
      <c r="R4" s="23"/>
    </row>
    <row r="5" spans="1:22">
      <c r="A5" s="87">
        <v>5</v>
      </c>
      <c r="B5" s="204">
        <v>80</v>
      </c>
      <c r="D5" s="87">
        <v>22</v>
      </c>
      <c r="E5" s="204">
        <v>88</v>
      </c>
      <c r="F5" s="117"/>
      <c r="G5" s="117"/>
      <c r="H5" s="117"/>
      <c r="I5" s="117"/>
      <c r="J5" s="117"/>
      <c r="K5" s="117"/>
      <c r="M5" t="s">
        <v>142</v>
      </c>
      <c r="N5" s="656">
        <f>SLOPE(B5:B19,A5:A19)</f>
        <v>-0.62820040523116583</v>
      </c>
      <c r="O5" s="627">
        <f>SLOPE(E5:E20,D5:D20)</f>
        <v>-0.46785962473940235</v>
      </c>
      <c r="P5" s="8"/>
      <c r="Q5" s="23" t="s">
        <v>727</v>
      </c>
      <c r="R5" s="23"/>
    </row>
    <row r="6" spans="1:22" ht="15.6">
      <c r="A6" s="87">
        <v>23</v>
      </c>
      <c r="B6" s="88">
        <v>78</v>
      </c>
      <c r="D6" s="87">
        <v>7</v>
      </c>
      <c r="E6" s="88">
        <v>95</v>
      </c>
      <c r="F6" s="117"/>
      <c r="G6" s="117"/>
      <c r="H6" s="117"/>
      <c r="I6" s="117"/>
      <c r="J6" s="117"/>
      <c r="K6" s="117"/>
      <c r="M6" t="s">
        <v>730</v>
      </c>
      <c r="N6" s="656">
        <f>STEYX(B5:B19,A5:A19)</f>
        <v>7.9746827306891692</v>
      </c>
      <c r="O6" s="627">
        <f>STEYX(E5:E20,D5:D20)</f>
        <v>8.3792452578993171</v>
      </c>
      <c r="P6" s="8"/>
      <c r="Q6" s="23" t="s">
        <v>728</v>
      </c>
      <c r="R6" s="23"/>
    </row>
    <row r="7" spans="1:22" ht="15.6">
      <c r="A7" s="87">
        <v>25</v>
      </c>
      <c r="B7" s="88">
        <v>60</v>
      </c>
      <c r="D7" s="87">
        <v>20</v>
      </c>
      <c r="E7" s="88">
        <v>86</v>
      </c>
      <c r="F7" s="117"/>
      <c r="G7" s="117"/>
      <c r="H7" s="117"/>
      <c r="I7" s="117"/>
      <c r="J7" s="117"/>
      <c r="K7" s="117"/>
      <c r="M7" t="s">
        <v>662</v>
      </c>
      <c r="N7" s="656">
        <f>STDEV(A5:A19)</f>
        <v>12.45448857698644</v>
      </c>
      <c r="O7" s="627">
        <f>STDEV(D5:D20)</f>
        <v>13.851594372730768</v>
      </c>
      <c r="P7" s="8"/>
      <c r="Q7" s="23" t="s">
        <v>729</v>
      </c>
      <c r="R7" s="23"/>
    </row>
    <row r="8" spans="1:22" ht="15.6">
      <c r="A8" s="87">
        <v>48</v>
      </c>
      <c r="B8" s="88">
        <v>53</v>
      </c>
      <c r="D8" s="87">
        <v>23</v>
      </c>
      <c r="E8" s="88">
        <v>60</v>
      </c>
      <c r="F8" s="117"/>
      <c r="G8" s="117"/>
      <c r="H8" s="117"/>
      <c r="I8" s="117"/>
      <c r="J8" s="117"/>
      <c r="K8" s="117"/>
      <c r="M8" t="s">
        <v>663</v>
      </c>
      <c r="N8" s="533">
        <f>N6/(N7*SQRT(N4-1))</f>
        <v>0.17112895461639729</v>
      </c>
      <c r="O8" s="544">
        <f>O6/(O7*SQRT(O4-1))</f>
        <v>0.15619225948227386</v>
      </c>
      <c r="P8" s="8"/>
      <c r="Q8" s="23" t="s">
        <v>731</v>
      </c>
      <c r="R8" s="23"/>
      <c r="S8" t="s">
        <v>712</v>
      </c>
    </row>
    <row r="9" spans="1:22" ht="16.8">
      <c r="A9" s="205">
        <v>17</v>
      </c>
      <c r="B9" s="88">
        <v>85</v>
      </c>
      <c r="D9" s="205">
        <v>15</v>
      </c>
      <c r="E9" s="88">
        <v>82</v>
      </c>
      <c r="F9" s="117"/>
      <c r="G9" s="117"/>
      <c r="H9" s="117"/>
      <c r="I9" s="117"/>
      <c r="J9" s="117"/>
      <c r="K9" s="117"/>
      <c r="N9" s="8"/>
      <c r="O9" s="8"/>
      <c r="P9" s="8"/>
      <c r="S9" t="s">
        <v>713</v>
      </c>
      <c r="T9" s="214">
        <f>((N4-2)*N6^2+(O4-2)*O6^2)/(N4+O4-4)</f>
        <v>67.026179844643394</v>
      </c>
      <c r="V9" s="23" t="s">
        <v>735</v>
      </c>
    </row>
    <row r="10" spans="1:22" ht="16.8">
      <c r="A10" s="205">
        <v>8</v>
      </c>
      <c r="B10" s="88">
        <v>84</v>
      </c>
      <c r="D10" s="87">
        <v>34</v>
      </c>
      <c r="E10" s="88">
        <v>75</v>
      </c>
      <c r="F10" s="117"/>
      <c r="G10" s="117"/>
      <c r="H10" s="117"/>
      <c r="I10" s="117"/>
      <c r="J10" s="117"/>
      <c r="K10" s="117"/>
      <c r="M10" t="s">
        <v>710</v>
      </c>
      <c r="N10" s="214">
        <f>SQRT(N8^2+O8^2)</f>
        <v>0.23169190972124801</v>
      </c>
      <c r="Q10" s="23" t="s">
        <v>736</v>
      </c>
      <c r="R10" s="23"/>
      <c r="S10" t="s">
        <v>710</v>
      </c>
      <c r="T10" s="40">
        <f>SQRT(T9*(1/(N7^2*(N4-1))+1/(O7^2*(O4-1))))</f>
        <v>0.23271019552019861</v>
      </c>
      <c r="V10" s="23" t="s">
        <v>3160</v>
      </c>
    </row>
    <row r="11" spans="1:22" ht="15.6">
      <c r="A11" s="87">
        <v>4</v>
      </c>
      <c r="B11" s="88">
        <v>73</v>
      </c>
      <c r="D11" s="87">
        <v>4</v>
      </c>
      <c r="E11" s="88">
        <v>80</v>
      </c>
      <c r="F11" s="117"/>
      <c r="G11" s="117"/>
      <c r="H11" s="117"/>
      <c r="I11" s="117"/>
      <c r="J11" s="117"/>
      <c r="K11" s="117"/>
      <c r="M11" s="66" t="s">
        <v>195</v>
      </c>
      <c r="N11" s="40">
        <f>(N5-O5)/N10</f>
        <v>-0.69204306997457044</v>
      </c>
      <c r="Q11" s="23" t="s">
        <v>2582</v>
      </c>
      <c r="R11" s="23"/>
      <c r="S11" s="66" t="s">
        <v>195</v>
      </c>
      <c r="T11" s="40">
        <f>(N5-O5)/T10</f>
        <v>-0.68901485013726582</v>
      </c>
      <c r="V11" s="23" t="s">
        <v>2582</v>
      </c>
    </row>
    <row r="12" spans="1:22" ht="15.6">
      <c r="A12" s="87">
        <v>26</v>
      </c>
      <c r="B12" s="88">
        <v>79</v>
      </c>
      <c r="D12" s="205">
        <v>40</v>
      </c>
      <c r="E12" s="88">
        <v>68</v>
      </c>
      <c r="F12" s="117"/>
      <c r="G12" s="117"/>
      <c r="H12" s="117"/>
      <c r="I12" s="117"/>
      <c r="J12" s="117"/>
      <c r="K12" s="117"/>
      <c r="M12" s="66" t="s">
        <v>186</v>
      </c>
      <c r="N12" s="40">
        <f>N4+O4-4</f>
        <v>27</v>
      </c>
      <c r="Q12" s="218" t="s">
        <v>3159</v>
      </c>
      <c r="R12" s="218"/>
      <c r="S12" s="66" t="s">
        <v>186</v>
      </c>
      <c r="T12" s="40">
        <f>N4+O4-4</f>
        <v>27</v>
      </c>
      <c r="V12" s="218" t="s">
        <v>3159</v>
      </c>
    </row>
    <row r="13" spans="1:22">
      <c r="A13" s="87">
        <v>11</v>
      </c>
      <c r="B13" s="88">
        <v>81</v>
      </c>
      <c r="D13" s="87">
        <v>8</v>
      </c>
      <c r="E13" s="88">
        <v>93</v>
      </c>
      <c r="F13" s="117"/>
      <c r="G13" s="117"/>
      <c r="H13" s="117"/>
      <c r="I13" s="117"/>
      <c r="J13" s="117"/>
      <c r="K13" s="117"/>
      <c r="M13" s="66" t="s">
        <v>337</v>
      </c>
      <c r="N13" s="40">
        <v>0.05</v>
      </c>
      <c r="S13" s="66" t="s">
        <v>337</v>
      </c>
      <c r="T13" s="40">
        <v>0.05</v>
      </c>
    </row>
    <row r="14" spans="1:22">
      <c r="A14" s="87">
        <v>19</v>
      </c>
      <c r="B14" s="88">
        <v>75</v>
      </c>
      <c r="D14" s="87">
        <v>16</v>
      </c>
      <c r="E14" s="88">
        <v>77</v>
      </c>
      <c r="F14" s="117"/>
      <c r="G14" s="117"/>
      <c r="H14" s="117"/>
      <c r="I14" s="117"/>
      <c r="J14" s="117"/>
      <c r="K14" s="117"/>
      <c r="M14" s="66" t="s">
        <v>200</v>
      </c>
      <c r="N14" s="40">
        <f>TDIST(ABS(N11),N12,2)</f>
        <v>0.49481917451729318</v>
      </c>
      <c r="Q14" s="23" t="s">
        <v>734</v>
      </c>
      <c r="R14" s="23"/>
      <c r="S14" s="66" t="s">
        <v>200</v>
      </c>
      <c r="T14" s="40">
        <f>TDIST(ABS(T11),T12,2)</f>
        <v>0.49669273157063576</v>
      </c>
      <c r="V14" s="23" t="s">
        <v>734</v>
      </c>
    </row>
    <row r="15" spans="1:22">
      <c r="A15" s="87">
        <v>14</v>
      </c>
      <c r="B15" s="88">
        <v>68</v>
      </c>
      <c r="D15" s="87">
        <v>11</v>
      </c>
      <c r="E15" s="88">
        <v>72</v>
      </c>
      <c r="F15" s="117"/>
      <c r="G15" s="117"/>
      <c r="H15" s="117"/>
      <c r="I15" s="117"/>
      <c r="J15" s="117"/>
      <c r="K15" s="117"/>
      <c r="M15" s="66" t="s">
        <v>201</v>
      </c>
      <c r="N15" s="40">
        <f>TINV(N13,N12)</f>
        <v>2.0518305164802859</v>
      </c>
      <c r="Q15" s="23" t="s">
        <v>733</v>
      </c>
      <c r="R15" s="23"/>
      <c r="S15" s="66" t="s">
        <v>201</v>
      </c>
      <c r="T15" s="40">
        <f>TINV(T13,T12)</f>
        <v>2.0518305164802859</v>
      </c>
      <c r="V15" s="23" t="s">
        <v>733</v>
      </c>
    </row>
    <row r="16" spans="1:22">
      <c r="A16" s="87">
        <v>35</v>
      </c>
      <c r="B16" s="88">
        <v>72</v>
      </c>
      <c r="D16" s="87">
        <v>52</v>
      </c>
      <c r="E16" s="88">
        <v>67</v>
      </c>
      <c r="F16" s="117"/>
      <c r="G16" s="117"/>
      <c r="H16" s="117"/>
      <c r="I16" s="117"/>
      <c r="J16" s="117"/>
      <c r="K16" s="117"/>
      <c r="M16" s="66" t="s">
        <v>948</v>
      </c>
      <c r="N16" s="215" t="str">
        <f>IF(ABS(N11)&lt;N15,"no","yes")</f>
        <v>no</v>
      </c>
      <c r="Q16" s="23" t="s">
        <v>1964</v>
      </c>
      <c r="R16" s="23"/>
      <c r="S16" s="66" t="s">
        <v>948</v>
      </c>
      <c r="T16" s="215" t="str">
        <f>IF(ABS(T11)&lt;T15,"no","yes")</f>
        <v>no</v>
      </c>
      <c r="V16" s="23" t="s">
        <v>1964</v>
      </c>
    </row>
    <row r="17" spans="1:20">
      <c r="A17" s="87">
        <v>29</v>
      </c>
      <c r="B17" s="88">
        <v>58</v>
      </c>
      <c r="D17" s="87">
        <v>3</v>
      </c>
      <c r="E17" s="88">
        <v>90</v>
      </c>
      <c r="F17" s="117"/>
      <c r="G17" s="117"/>
      <c r="H17" s="117"/>
      <c r="I17" s="117"/>
      <c r="J17" s="117"/>
      <c r="K17" s="117"/>
    </row>
    <row r="18" spans="1:20">
      <c r="A18" s="87">
        <v>4</v>
      </c>
      <c r="B18" s="88">
        <v>92</v>
      </c>
      <c r="D18" s="87">
        <v>31</v>
      </c>
      <c r="E18" s="88">
        <v>66</v>
      </c>
      <c r="F18" s="117"/>
      <c r="G18" s="117"/>
      <c r="H18" s="117"/>
      <c r="I18" s="117"/>
      <c r="J18" s="117"/>
      <c r="K18" s="117"/>
    </row>
    <row r="19" spans="1:20">
      <c r="A19" s="206">
        <v>23</v>
      </c>
      <c r="B19" s="207">
        <v>65</v>
      </c>
      <c r="D19" s="87">
        <v>18</v>
      </c>
      <c r="E19" s="88">
        <v>72</v>
      </c>
      <c r="F19" s="117"/>
      <c r="G19" s="117"/>
      <c r="H19" s="117"/>
      <c r="I19" s="117"/>
      <c r="J19" s="117"/>
      <c r="K19" s="117"/>
      <c r="M19" t="s">
        <v>2086</v>
      </c>
    </row>
    <row r="20" spans="1:20">
      <c r="D20" s="220">
        <v>8</v>
      </c>
      <c r="E20" s="221">
        <v>78</v>
      </c>
    </row>
    <row r="21" spans="1:20" ht="15.6">
      <c r="M21" t="s">
        <v>710</v>
      </c>
      <c r="N21" s="1178" t="e">
        <f t="array" aca="1" ref="N21:N24" ca="1">[1]!SlopesTest(A5:A19,B5:B19,D5:D20,E5:E20,FALSE)</f>
        <v>#NAME?</v>
      </c>
      <c r="S21" t="s">
        <v>710</v>
      </c>
      <c r="T21" s="1178" t="e">
        <f t="array" aca="1" ref="T21:T24" ca="1">[1]!SlopesTest(A5:A19,B5:B19,D5:D20,E5:E20)</f>
        <v>#NAME?</v>
      </c>
    </row>
    <row r="22" spans="1:20">
      <c r="M22" s="66" t="s">
        <v>195</v>
      </c>
      <c r="N22" s="627" t="e">
        <f ca="1"/>
        <v>#NAME?</v>
      </c>
      <c r="S22" s="66" t="s">
        <v>195</v>
      </c>
      <c r="T22" s="627" t="e">
        <f ca="1"/>
        <v>#NAME?</v>
      </c>
    </row>
    <row r="23" spans="1:20">
      <c r="M23" s="66" t="s">
        <v>186</v>
      </c>
      <c r="N23" s="627" t="e">
        <f ca="1"/>
        <v>#NAME?</v>
      </c>
      <c r="S23" s="66" t="s">
        <v>186</v>
      </c>
      <c r="T23" s="627" t="e">
        <f ca="1"/>
        <v>#NAME?</v>
      </c>
    </row>
    <row r="24" spans="1:20">
      <c r="M24" s="66" t="s">
        <v>200</v>
      </c>
      <c r="N24" s="544" t="e">
        <f ca="1"/>
        <v>#NAME?</v>
      </c>
      <c r="S24" s="66" t="s">
        <v>200</v>
      </c>
      <c r="T24" s="544" t="e">
        <f ca="1"/>
        <v>#NAME?</v>
      </c>
    </row>
    <row r="26" spans="1:20">
      <c r="M26" t="s">
        <v>2086</v>
      </c>
    </row>
    <row r="27" spans="1:20">
      <c r="M27" t="s">
        <v>3174</v>
      </c>
    </row>
    <row r="29" spans="1:20">
      <c r="N29" s="1176" t="s">
        <v>3173</v>
      </c>
      <c r="O29" s="1176" t="s">
        <v>3172</v>
      </c>
    </row>
    <row r="30" spans="1:20">
      <c r="M30" t="e">
        <f t="array" aca="1" ref="M30:N33" ca="1">[1]!SlopesTest(A5:A19,B5:B19,D5:D20,E5:E20,FALSE,TRUE)</f>
        <v>#NAME?</v>
      </c>
      <c r="N30" s="1178" t="e">
        <f ca="1"/>
        <v>#NAME?</v>
      </c>
      <c r="O30" s="1178" t="e">
        <f t="array" aca="1" ref="O30:O33" ca="1">[1]!SlopesTest(A5:A19,B5:B19,D5:D20,E5:E20)</f>
        <v>#NAME?</v>
      </c>
    </row>
    <row r="31" spans="1:20">
      <c r="M31" s="66" t="e">
        <f ca="1"/>
        <v>#NAME?</v>
      </c>
      <c r="N31" s="627" t="e">
        <f ca="1"/>
        <v>#NAME?</v>
      </c>
      <c r="O31" s="627" t="e">
        <f ca="1"/>
        <v>#NAME?</v>
      </c>
    </row>
    <row r="32" spans="1:20">
      <c r="M32" s="66" t="e">
        <f ca="1"/>
        <v>#NAME?</v>
      </c>
      <c r="N32" s="627" t="e">
        <f ca="1"/>
        <v>#NAME?</v>
      </c>
      <c r="O32" s="627" t="e">
        <f ca="1"/>
        <v>#NAME?</v>
      </c>
    </row>
    <row r="33" spans="13:15">
      <c r="M33" s="66" t="e">
        <f ca="1"/>
        <v>#NAME?</v>
      </c>
      <c r="N33" s="544" t="e">
        <f ca="1"/>
        <v>#NAME?</v>
      </c>
      <c r="O33" s="544" t="e">
        <f ca="1"/>
        <v>#NAME?</v>
      </c>
    </row>
  </sheetData>
  <mergeCells count="2">
    <mergeCell ref="A3:B3"/>
    <mergeCell ref="D3:E3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sheetPr codeName="Sheet80"/>
  <dimension ref="A1:M18"/>
  <sheetViews>
    <sheetView workbookViewId="0">
      <selection sqref="A1:XFD1048576"/>
    </sheetView>
  </sheetViews>
  <sheetFormatPr defaultRowHeight="14.4"/>
  <cols>
    <col min="1" max="2" width="11.33203125" customWidth="1"/>
    <col min="3" max="3" width="6.44140625" customWidth="1"/>
    <col min="6" max="6" width="4.33203125" customWidth="1"/>
    <col min="7" max="7" width="27.33203125" customWidth="1"/>
    <col min="8" max="8" width="4.33203125" customWidth="1"/>
    <col min="11" max="11" width="4.33203125" customWidth="1"/>
  </cols>
  <sheetData>
    <row r="1" spans="1:13">
      <c r="A1" s="1" t="s">
        <v>737</v>
      </c>
    </row>
    <row r="3" spans="1:13">
      <c r="A3" s="199" t="s">
        <v>628</v>
      </c>
      <c r="B3" s="199" t="s">
        <v>629</v>
      </c>
      <c r="D3" s="1" t="s">
        <v>738</v>
      </c>
      <c r="H3" s="1"/>
    </row>
    <row r="4" spans="1:13">
      <c r="A4" s="117">
        <v>5</v>
      </c>
      <c r="B4" s="200">
        <v>80</v>
      </c>
      <c r="H4" s="1"/>
      <c r="I4" s="1"/>
      <c r="J4" s="1"/>
      <c r="K4" s="1"/>
      <c r="L4" s="1"/>
      <c r="M4" s="1"/>
    </row>
    <row r="5" spans="1:13">
      <c r="A5" s="117">
        <v>23</v>
      </c>
      <c r="B5" s="117">
        <v>78</v>
      </c>
      <c r="D5" t="s">
        <v>106</v>
      </c>
      <c r="E5" s="214">
        <f>COUNT(A4:A18)</f>
        <v>15</v>
      </c>
      <c r="H5" s="1"/>
      <c r="I5" s="1"/>
      <c r="J5" s="1"/>
      <c r="K5" s="1"/>
      <c r="L5" s="1"/>
      <c r="M5" s="1"/>
    </row>
    <row r="6" spans="1:13">
      <c r="A6" s="117">
        <v>25</v>
      </c>
      <c r="B6" s="117">
        <v>60</v>
      </c>
      <c r="D6" t="s">
        <v>186</v>
      </c>
      <c r="E6" s="40">
        <f>E5-2</f>
        <v>13</v>
      </c>
      <c r="G6" s="23" t="s">
        <v>753</v>
      </c>
      <c r="H6" s="1"/>
      <c r="I6" s="1"/>
      <c r="J6" s="1"/>
      <c r="K6" s="1"/>
      <c r="L6" s="1"/>
      <c r="M6" s="1"/>
    </row>
    <row r="7" spans="1:13">
      <c r="A7" s="117">
        <v>48</v>
      </c>
      <c r="B7" s="117">
        <v>53</v>
      </c>
      <c r="D7" t="s">
        <v>741</v>
      </c>
      <c r="E7" s="222">
        <f>AVERAGE(A4:A18)</f>
        <v>19.399999999999999</v>
      </c>
      <c r="G7" s="23" t="s">
        <v>750</v>
      </c>
      <c r="H7" s="1"/>
      <c r="I7" s="1"/>
      <c r="J7" s="1"/>
      <c r="K7" s="1"/>
      <c r="L7" s="1"/>
      <c r="M7" s="1"/>
    </row>
    <row r="8" spans="1:13" ht="15.6">
      <c r="A8" s="201">
        <v>17</v>
      </c>
      <c r="B8" s="117">
        <v>85</v>
      </c>
      <c r="D8" t="s">
        <v>746</v>
      </c>
      <c r="E8" s="40">
        <v>20</v>
      </c>
      <c r="H8" s="1"/>
      <c r="I8" s="1"/>
      <c r="J8" s="1"/>
      <c r="K8" s="1"/>
      <c r="L8" s="1"/>
      <c r="M8" s="1"/>
    </row>
    <row r="9" spans="1:13" ht="15.6">
      <c r="A9" s="201">
        <v>8</v>
      </c>
      <c r="B9" s="117">
        <v>84</v>
      </c>
      <c r="D9" s="65" t="s">
        <v>747</v>
      </c>
      <c r="E9" s="40">
        <f>FORECAST(E8,B4:B18,A4:A18)</f>
        <v>73.156413090194633</v>
      </c>
      <c r="G9" s="23" t="s">
        <v>748</v>
      </c>
      <c r="H9" s="1"/>
      <c r="I9" s="1" t="s">
        <v>739</v>
      </c>
      <c r="J9" s="1"/>
      <c r="K9" s="1"/>
      <c r="L9" s="1" t="s">
        <v>740</v>
      </c>
      <c r="M9" s="1"/>
    </row>
    <row r="10" spans="1:13" ht="15.6">
      <c r="A10" s="117">
        <v>4</v>
      </c>
      <c r="B10" s="117">
        <v>73</v>
      </c>
      <c r="D10" t="s">
        <v>661</v>
      </c>
      <c r="E10" s="40">
        <f>STEYX(B4:B18,A4:A18)</f>
        <v>7.9746827306891692</v>
      </c>
      <c r="G10" s="23" t="s">
        <v>749</v>
      </c>
      <c r="H10" s="1"/>
    </row>
    <row r="11" spans="1:13" ht="15.6">
      <c r="A11" s="117">
        <v>26</v>
      </c>
      <c r="B11" s="117">
        <v>79</v>
      </c>
      <c r="D11" t="s">
        <v>742</v>
      </c>
      <c r="E11" s="40">
        <f>DEVSQ(A4:A18)</f>
        <v>2171.6000000000004</v>
      </c>
      <c r="G11" s="23" t="s">
        <v>754</v>
      </c>
      <c r="H11" s="1"/>
      <c r="I11" s="65" t="s">
        <v>747</v>
      </c>
      <c r="J11" s="223">
        <f>E9</f>
        <v>73.156413090194633</v>
      </c>
      <c r="K11" s="1"/>
      <c r="L11" s="65" t="s">
        <v>747</v>
      </c>
      <c r="M11" s="223">
        <f>FORECAST(0,B4:B18,A4:A18)</f>
        <v>85.720421194817945</v>
      </c>
    </row>
    <row r="12" spans="1:13" ht="15.6">
      <c r="A12" s="117">
        <v>11</v>
      </c>
      <c r="B12" s="117">
        <v>81</v>
      </c>
      <c r="D12" t="s">
        <v>743</v>
      </c>
      <c r="E12" s="40">
        <f>E10*SQRT(1/E5+(E8-E7)^2/E11)</f>
        <v>2.0616127068929284</v>
      </c>
      <c r="G12" s="23" t="s">
        <v>755</v>
      </c>
      <c r="H12" s="1"/>
      <c r="I12" t="s">
        <v>743</v>
      </c>
      <c r="J12" s="40">
        <f>E10*SQRT(1+1/E5+(E8-E7)^2/E11)</f>
        <v>8.2368569010499648</v>
      </c>
      <c r="K12" s="1"/>
      <c r="L12" t="s">
        <v>743</v>
      </c>
      <c r="M12" s="40">
        <f>E10*SQRT(1/E5+E7^2/E11)</f>
        <v>3.9065908075799736</v>
      </c>
    </row>
    <row r="13" spans="1:13">
      <c r="A13" s="117">
        <v>19</v>
      </c>
      <c r="B13" s="117">
        <v>75</v>
      </c>
      <c r="D13" t="s">
        <v>201</v>
      </c>
      <c r="E13" s="40">
        <f>TINV(0.05,E6)</f>
        <v>2.1603686564627926</v>
      </c>
      <c r="G13" s="23" t="s">
        <v>711</v>
      </c>
      <c r="H13" s="1"/>
      <c r="I13" t="s">
        <v>201</v>
      </c>
      <c r="J13" s="40">
        <f>TINV(0.05,E6)</f>
        <v>2.1603686564627926</v>
      </c>
      <c r="K13" s="1"/>
      <c r="L13" t="s">
        <v>201</v>
      </c>
      <c r="M13" s="40">
        <f>E13</f>
        <v>2.1603686564627926</v>
      </c>
    </row>
    <row r="14" spans="1:13" ht="15.6">
      <c r="A14" s="117">
        <v>14</v>
      </c>
      <c r="B14" s="117">
        <v>68</v>
      </c>
      <c r="D14" t="s">
        <v>103</v>
      </c>
      <c r="E14" s="40">
        <f>E9-E13*E12</f>
        <v>68.702569616457737</v>
      </c>
      <c r="G14" s="23" t="s">
        <v>751</v>
      </c>
      <c r="H14" s="1"/>
      <c r="I14" t="s">
        <v>103</v>
      </c>
      <c r="J14" s="40">
        <f>J11-J13*J12</f>
        <v>55.36176561339704</v>
      </c>
      <c r="L14" t="s">
        <v>103</v>
      </c>
      <c r="M14" s="40">
        <f>M11-M13*M12</f>
        <v>77.280744860496497</v>
      </c>
    </row>
    <row r="15" spans="1:13" ht="15.6">
      <c r="A15" s="117">
        <v>35</v>
      </c>
      <c r="B15" s="117">
        <v>72</v>
      </c>
      <c r="D15" t="s">
        <v>104</v>
      </c>
      <c r="E15" s="176">
        <f>E9+E13*E12</f>
        <v>77.610256563931529</v>
      </c>
      <c r="G15" s="23" t="s">
        <v>752</v>
      </c>
      <c r="H15" s="1"/>
      <c r="I15" t="s">
        <v>104</v>
      </c>
      <c r="J15" s="176">
        <f>J11+J13*J12</f>
        <v>90.951060566992226</v>
      </c>
      <c r="L15" t="s">
        <v>104</v>
      </c>
      <c r="M15" s="176">
        <f>M11+M13*M12</f>
        <v>94.160097529139392</v>
      </c>
    </row>
    <row r="16" spans="1:13">
      <c r="A16" s="117">
        <v>29</v>
      </c>
      <c r="B16" s="117">
        <v>58</v>
      </c>
    </row>
    <row r="17" spans="1:2">
      <c r="A17" s="117">
        <v>4</v>
      </c>
      <c r="B17" s="117">
        <v>92</v>
      </c>
    </row>
    <row r="18" spans="1:2">
      <c r="A18" s="119">
        <v>23</v>
      </c>
      <c r="B18" s="119">
        <v>65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sheetPr codeName="Sheet81"/>
  <dimension ref="A1:R28"/>
  <sheetViews>
    <sheetView tabSelected="1" topLeftCell="C1" zoomScale="70" zoomScaleNormal="70" workbookViewId="0">
      <selection activeCell="R11" sqref="R11"/>
    </sheetView>
  </sheetViews>
  <sheetFormatPr defaultRowHeight="14.4"/>
  <cols>
    <col min="3" max="3" width="4.5546875" customWidth="1"/>
    <col min="4" max="5" width="10.5546875" customWidth="1"/>
    <col min="7" max="7" width="17.5546875" customWidth="1"/>
    <col min="8" max="8" width="11.5546875" customWidth="1"/>
    <col min="9" max="9" width="13.6640625" customWidth="1"/>
    <col min="10" max="13" width="13.109375" customWidth="1"/>
    <col min="15" max="15" width="13.44140625" customWidth="1"/>
    <col min="18" max="18" width="20.5546875" customWidth="1"/>
  </cols>
  <sheetData>
    <row r="1" spans="1:18">
      <c r="A1" s="1" t="s">
        <v>756</v>
      </c>
    </row>
    <row r="3" spans="1:18">
      <c r="A3" s="1555" t="s">
        <v>757</v>
      </c>
      <c r="B3" s="1555"/>
      <c r="C3" s="8"/>
      <c r="D3" s="1555" t="s">
        <v>758</v>
      </c>
      <c r="E3" s="1555"/>
      <c r="G3" t="s">
        <v>691</v>
      </c>
      <c r="O3" s="1" t="s">
        <v>762</v>
      </c>
    </row>
    <row r="4" spans="1:18" ht="15" thickBot="1">
      <c r="A4" s="8"/>
      <c r="B4" s="8"/>
      <c r="C4" s="8"/>
      <c r="D4" s="8"/>
      <c r="E4" s="8"/>
    </row>
    <row r="5" spans="1:18">
      <c r="A5" s="824" t="s">
        <v>28</v>
      </c>
      <c r="B5" s="824" t="s">
        <v>400</v>
      </c>
      <c r="C5" s="809"/>
      <c r="D5" s="824" t="s">
        <v>28</v>
      </c>
      <c r="E5" s="824" t="s">
        <v>759</v>
      </c>
      <c r="G5" s="35" t="s">
        <v>692</v>
      </c>
      <c r="H5" s="35"/>
      <c r="O5" t="s">
        <v>763</v>
      </c>
      <c r="P5" s="227">
        <f t="array" ref="P5:Q9">LOGEST(B6:B16,A6:A16,TRUE,TRUE)</f>
        <v>1.016221135918584</v>
      </c>
      <c r="Q5" s="227">
        <v>14.051351650751313</v>
      </c>
      <c r="R5" t="s">
        <v>764</v>
      </c>
    </row>
    <row r="6" spans="1:18" ht="15.6">
      <c r="A6" s="809">
        <v>45</v>
      </c>
      <c r="B6" s="809">
        <v>33</v>
      </c>
      <c r="C6" s="809"/>
      <c r="D6" s="809">
        <f>A6</f>
        <v>45</v>
      </c>
      <c r="E6" s="809">
        <f>LN(B6)</f>
        <v>3.4965075614664802</v>
      </c>
      <c r="G6" s="28" t="s">
        <v>693</v>
      </c>
      <c r="H6" s="28">
        <v>0.9389424341263487</v>
      </c>
      <c r="O6" t="s">
        <v>765</v>
      </c>
      <c r="P6" s="227">
        <v>1.9655063255165986E-3</v>
      </c>
      <c r="Q6" s="227">
        <v>0.12108365936512579</v>
      </c>
      <c r="R6" t="s">
        <v>685</v>
      </c>
    </row>
    <row r="7" spans="1:18" ht="15.6">
      <c r="A7" s="809">
        <v>99</v>
      </c>
      <c r="B7" s="809">
        <v>72</v>
      </c>
      <c r="C7" s="809"/>
      <c r="D7" s="809">
        <f t="shared" ref="D7:D16" si="0">A7</f>
        <v>99</v>
      </c>
      <c r="E7" s="809">
        <f t="shared" ref="E7:E16" si="1">LN(B7)</f>
        <v>4.2766661190160553</v>
      </c>
      <c r="G7" s="28" t="s">
        <v>686</v>
      </c>
      <c r="H7" s="28">
        <v>0.88161289460311276</v>
      </c>
      <c r="O7" t="s">
        <v>766</v>
      </c>
      <c r="P7" s="227">
        <v>0.88161289460311276</v>
      </c>
      <c r="Q7" s="227">
        <v>0.18665819972314818</v>
      </c>
      <c r="R7" t="s">
        <v>687</v>
      </c>
    </row>
    <row r="8" spans="1:18" ht="15.6">
      <c r="A8" s="809">
        <v>31</v>
      </c>
      <c r="B8" s="809">
        <v>19</v>
      </c>
      <c r="C8" s="809"/>
      <c r="D8" s="809">
        <f t="shared" si="0"/>
        <v>31</v>
      </c>
      <c r="E8" s="809">
        <f t="shared" si="1"/>
        <v>2.9444389791664403</v>
      </c>
      <c r="G8" s="28" t="s">
        <v>694</v>
      </c>
      <c r="H8" s="28">
        <v>0.86845877178123643</v>
      </c>
      <c r="O8" t="s">
        <v>388</v>
      </c>
      <c r="P8" s="227">
        <v>67.021792828094917</v>
      </c>
      <c r="Q8" s="227">
        <v>9</v>
      </c>
      <c r="R8" t="s">
        <v>688</v>
      </c>
    </row>
    <row r="9" spans="1:18" ht="15.6">
      <c r="A9" s="809">
        <v>57</v>
      </c>
      <c r="B9" s="809">
        <v>27</v>
      </c>
      <c r="C9" s="809"/>
      <c r="D9" s="809">
        <f t="shared" si="0"/>
        <v>57</v>
      </c>
      <c r="E9" s="809">
        <f t="shared" si="1"/>
        <v>3.2958368660043291</v>
      </c>
      <c r="G9" s="28" t="s">
        <v>77</v>
      </c>
      <c r="H9" s="28">
        <v>0.18665819972314818</v>
      </c>
      <c r="O9" t="s">
        <v>689</v>
      </c>
      <c r="P9" s="227">
        <v>2.3351252862028491</v>
      </c>
      <c r="Q9" s="227">
        <v>0.31357155171498002</v>
      </c>
      <c r="R9" t="s">
        <v>690</v>
      </c>
    </row>
    <row r="10" spans="1:18" ht="15" thickBot="1">
      <c r="A10" s="809">
        <v>37</v>
      </c>
      <c r="B10" s="809">
        <v>23</v>
      </c>
      <c r="C10" s="809"/>
      <c r="D10" s="809">
        <f t="shared" si="0"/>
        <v>37</v>
      </c>
      <c r="E10" s="809">
        <f t="shared" si="1"/>
        <v>3.1354942159291497</v>
      </c>
      <c r="G10" s="31" t="s">
        <v>224</v>
      </c>
      <c r="H10" s="31">
        <v>11</v>
      </c>
    </row>
    <row r="11" spans="1:18">
      <c r="A11" s="809">
        <v>85</v>
      </c>
      <c r="B11" s="809">
        <v>62</v>
      </c>
      <c r="C11" s="809"/>
      <c r="D11" s="809">
        <f t="shared" si="0"/>
        <v>85</v>
      </c>
      <c r="E11" s="809">
        <f t="shared" si="1"/>
        <v>4.1271343850450917</v>
      </c>
    </row>
    <row r="12" spans="1:18" ht="15" thickBot="1">
      <c r="A12" s="809">
        <v>21</v>
      </c>
      <c r="B12" s="809">
        <v>24</v>
      </c>
      <c r="C12" s="809"/>
      <c r="D12" s="809">
        <f t="shared" si="0"/>
        <v>21</v>
      </c>
      <c r="E12" s="809">
        <f t="shared" si="1"/>
        <v>3.1780538303479458</v>
      </c>
      <c r="G12" t="s">
        <v>695</v>
      </c>
      <c r="O12" s="1" t="s">
        <v>768</v>
      </c>
    </row>
    <row r="13" spans="1:18">
      <c r="A13" s="809">
        <v>64</v>
      </c>
      <c r="B13" s="809">
        <v>32</v>
      </c>
      <c r="C13" s="809"/>
      <c r="D13" s="809">
        <f t="shared" si="0"/>
        <v>64</v>
      </c>
      <c r="E13" s="809">
        <f t="shared" si="1"/>
        <v>3.4657359027997265</v>
      </c>
      <c r="G13" s="27"/>
      <c r="H13" s="27" t="s">
        <v>186</v>
      </c>
      <c r="I13" s="27" t="s">
        <v>578</v>
      </c>
      <c r="J13" s="27" t="s">
        <v>641</v>
      </c>
      <c r="K13" s="27" t="s">
        <v>388</v>
      </c>
      <c r="L13" s="27" t="s">
        <v>698</v>
      </c>
    </row>
    <row r="14" spans="1:18">
      <c r="A14" s="809">
        <v>17</v>
      </c>
      <c r="B14" s="809">
        <v>18</v>
      </c>
      <c r="C14" s="809"/>
      <c r="D14" s="809">
        <f t="shared" si="0"/>
        <v>17</v>
      </c>
      <c r="E14" s="809">
        <f t="shared" si="1"/>
        <v>2.8903717578961645</v>
      </c>
      <c r="G14" s="28" t="s">
        <v>623</v>
      </c>
      <c r="H14" s="28">
        <v>1</v>
      </c>
      <c r="I14" s="28">
        <v>2.3351252862028491</v>
      </c>
      <c r="J14" s="28">
        <v>2.3351252862028491</v>
      </c>
      <c r="K14" s="28">
        <v>67.021792828094917</v>
      </c>
      <c r="L14" s="28">
        <v>1.8400738619043159E-5</v>
      </c>
      <c r="O14" s="19" t="s">
        <v>28</v>
      </c>
      <c r="P14" s="19" t="s">
        <v>400</v>
      </c>
    </row>
    <row r="15" spans="1:18">
      <c r="A15" s="809">
        <v>41</v>
      </c>
      <c r="B15" s="809">
        <v>36</v>
      </c>
      <c r="C15" s="809"/>
      <c r="D15" s="809">
        <f t="shared" si="0"/>
        <v>41</v>
      </c>
      <c r="E15" s="809">
        <f t="shared" si="1"/>
        <v>3.5835189384561099</v>
      </c>
      <c r="G15" s="28" t="s">
        <v>696</v>
      </c>
      <c r="H15" s="28">
        <v>9</v>
      </c>
      <c r="I15" s="28">
        <v>0.31357155171498002</v>
      </c>
      <c r="J15" s="28">
        <v>3.4841283523886671E-2</v>
      </c>
      <c r="K15" s="28"/>
      <c r="L15" s="28"/>
      <c r="O15" s="926">
        <v>25</v>
      </c>
      <c r="P15" s="1063">
        <f t="array" ref="P15:P16">GROWTH(B6:B16,A6:A16,O15:O16)</f>
        <v>21.00988555055768</v>
      </c>
    </row>
    <row r="16" spans="1:18" ht="15" thickBot="1">
      <c r="A16" s="811">
        <v>103</v>
      </c>
      <c r="B16" s="811">
        <v>76</v>
      </c>
      <c r="C16" s="809"/>
      <c r="D16" s="811">
        <f t="shared" si="0"/>
        <v>103</v>
      </c>
      <c r="E16" s="811">
        <f t="shared" si="1"/>
        <v>4.3307333402863311</v>
      </c>
      <c r="G16" s="31" t="s">
        <v>12</v>
      </c>
      <c r="H16" s="31">
        <v>10</v>
      </c>
      <c r="I16" s="31">
        <v>2.6486968379178291</v>
      </c>
      <c r="J16" s="31"/>
      <c r="K16" s="31"/>
      <c r="L16" s="31"/>
      <c r="O16" s="533">
        <v>35</v>
      </c>
      <c r="P16" s="1064">
        <v>24.677770454951915</v>
      </c>
    </row>
    <row r="17" spans="1:16" ht="15" thickBot="1"/>
    <row r="18" spans="1:16">
      <c r="G18" s="27"/>
      <c r="H18" s="27" t="s">
        <v>699</v>
      </c>
      <c r="I18" s="27" t="s">
        <v>77</v>
      </c>
      <c r="J18" s="27" t="s">
        <v>229</v>
      </c>
      <c r="K18" s="27" t="s">
        <v>367</v>
      </c>
      <c r="L18" s="27" t="s">
        <v>700</v>
      </c>
      <c r="M18" s="27" t="s">
        <v>701</v>
      </c>
      <c r="O18" s="1" t="s">
        <v>767</v>
      </c>
    </row>
    <row r="19" spans="1:16">
      <c r="A19" t="s">
        <v>368</v>
      </c>
      <c r="B19" s="756">
        <f>CORREL(E6:E16,D6:D16)</f>
        <v>0.9389424341263487</v>
      </c>
      <c r="G19" s="28" t="s">
        <v>697</v>
      </c>
      <c r="H19" s="28">
        <v>2.6427185940530018</v>
      </c>
      <c r="I19" s="28">
        <v>0.12108365936512579</v>
      </c>
      <c r="J19" s="28">
        <v>21.825559352182506</v>
      </c>
      <c r="K19" s="28">
        <v>4.1968546343393487E-9</v>
      </c>
      <c r="L19" s="28">
        <v>2.3688083267223643</v>
      </c>
      <c r="M19" s="28">
        <v>2.9166288613836393</v>
      </c>
    </row>
    <row r="20" spans="1:16" ht="15" thickBot="1">
      <c r="G20" s="31" t="s">
        <v>28</v>
      </c>
      <c r="H20" s="31">
        <v>1.6090978936384667E-2</v>
      </c>
      <c r="I20" s="31">
        <v>1.9655063255165986E-3</v>
      </c>
      <c r="J20" s="31">
        <v>8.1866838724904323</v>
      </c>
      <c r="K20" s="31">
        <v>1.8400738619043125E-5</v>
      </c>
      <c r="L20" s="31">
        <v>1.1644694723592112E-2</v>
      </c>
      <c r="M20" s="31">
        <v>2.0537263149177219E-2</v>
      </c>
      <c r="O20" s="19" t="s">
        <v>28</v>
      </c>
      <c r="P20" s="19" t="s">
        <v>400</v>
      </c>
    </row>
    <row r="21" spans="1:16">
      <c r="O21" s="926">
        <v>25</v>
      </c>
      <c r="P21" s="1063">
        <f>Q5*P5^O21</f>
        <v>21.00988555055774</v>
      </c>
    </row>
    <row r="22" spans="1:16" ht="16.2">
      <c r="G22" t="s">
        <v>760</v>
      </c>
      <c r="H22" s="743">
        <f>EXP(H19)</f>
        <v>14.051351650751313</v>
      </c>
      <c r="J22" t="s">
        <v>28</v>
      </c>
      <c r="K22" s="743">
        <v>26</v>
      </c>
      <c r="O22" s="533">
        <v>35</v>
      </c>
      <c r="P22" s="1064">
        <f>Q5*P5^O22</f>
        <v>24.677770454952011</v>
      </c>
    </row>
    <row r="23" spans="1:16" ht="16.2">
      <c r="G23" t="s">
        <v>761</v>
      </c>
      <c r="H23" s="544">
        <f>EXP(H20)</f>
        <v>1.016221135918584</v>
      </c>
      <c r="J23" t="s">
        <v>400</v>
      </c>
      <c r="K23" s="544">
        <f>H22*H23^K22</f>
        <v>21.350689759707233</v>
      </c>
    </row>
    <row r="24" spans="1:16">
      <c r="O24" s="1" t="s">
        <v>2742</v>
      </c>
    </row>
    <row r="26" spans="1:16">
      <c r="O26" s="19" t="s">
        <v>28</v>
      </c>
      <c r="P26" s="19" t="s">
        <v>400</v>
      </c>
    </row>
    <row r="27" spans="1:16">
      <c r="O27" s="926">
        <v>25</v>
      </c>
      <c r="P27" s="1063">
        <f t="array" ref="P27:P28">EXP(TREND(LN(B6:B16),A6:A16,O15:O16))</f>
        <v>21.00988555055768</v>
      </c>
    </row>
    <row r="28" spans="1:16">
      <c r="O28" s="533">
        <v>35</v>
      </c>
      <c r="P28" s="1064">
        <v>24.677770454951908</v>
      </c>
    </row>
  </sheetData>
  <mergeCells count="2">
    <mergeCell ref="A3:B3"/>
    <mergeCell ref="D3:E3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sheetPr codeName="Sheet252"/>
  <dimension ref="A1:P23"/>
  <sheetViews>
    <sheetView topLeftCell="A16" workbookViewId="0"/>
  </sheetViews>
  <sheetFormatPr defaultRowHeight="14.4"/>
  <cols>
    <col min="3" max="3" width="4.5546875" customWidth="1"/>
    <col min="4" max="5" width="10.5546875" customWidth="1"/>
    <col min="7" max="7" width="17.5546875" customWidth="1"/>
    <col min="8" max="8" width="11.5546875" customWidth="1"/>
    <col min="9" max="9" width="13.6640625" customWidth="1"/>
    <col min="10" max="13" width="13.109375" customWidth="1"/>
  </cols>
  <sheetData>
    <row r="1" spans="1:16">
      <c r="A1" s="1" t="s">
        <v>2740</v>
      </c>
    </row>
    <row r="3" spans="1:16">
      <c r="A3" s="1555" t="s">
        <v>757</v>
      </c>
      <c r="B3" s="1555"/>
      <c r="C3" s="8"/>
      <c r="D3" s="1555" t="s">
        <v>758</v>
      </c>
      <c r="E3" s="1555"/>
      <c r="G3" t="s">
        <v>691</v>
      </c>
      <c r="O3" s="1" t="s">
        <v>767</v>
      </c>
    </row>
    <row r="4" spans="1:16" ht="15" thickBot="1">
      <c r="A4" s="8"/>
      <c r="B4" s="8"/>
      <c r="C4" s="8"/>
      <c r="D4" s="8"/>
      <c r="E4" s="8"/>
    </row>
    <row r="5" spans="1:16">
      <c r="A5" s="824" t="s">
        <v>28</v>
      </c>
      <c r="B5" s="824" t="s">
        <v>400</v>
      </c>
      <c r="C5" s="1051"/>
      <c r="D5" s="824" t="s">
        <v>2741</v>
      </c>
      <c r="E5" s="824" t="s">
        <v>759</v>
      </c>
      <c r="G5" s="35" t="s">
        <v>692</v>
      </c>
      <c r="H5" s="35"/>
      <c r="O5" s="19" t="s">
        <v>28</v>
      </c>
      <c r="P5" s="19" t="s">
        <v>400</v>
      </c>
    </row>
    <row r="6" spans="1:16">
      <c r="A6" s="1051">
        <v>8.1</v>
      </c>
      <c r="B6" s="1051">
        <v>33</v>
      </c>
      <c r="C6" s="1051"/>
      <c r="D6" s="1051">
        <f>LN(A6)</f>
        <v>2.0918640616783932</v>
      </c>
      <c r="E6" s="1051">
        <f>LN(B6)</f>
        <v>3.4965075614664802</v>
      </c>
      <c r="G6" s="28" t="s">
        <v>693</v>
      </c>
      <c r="H6" s="28">
        <v>0.75380689403878198</v>
      </c>
      <c r="O6" s="926">
        <v>25</v>
      </c>
      <c r="P6" s="1063">
        <f>$H$22*$H$23^LN(O6)</f>
        <v>35.421097964993102</v>
      </c>
    </row>
    <row r="7" spans="1:16">
      <c r="A7" s="1051">
        <v>69.900000000000006</v>
      </c>
      <c r="B7" s="1051">
        <v>49</v>
      </c>
      <c r="C7" s="1051"/>
      <c r="D7" s="1051">
        <f t="shared" ref="D7:D16" si="0">LN(A7)</f>
        <v>4.2470656492397643</v>
      </c>
      <c r="E7" s="1051">
        <f t="shared" ref="E7:E16" si="1">LN(B7)</f>
        <v>3.8918202981106265</v>
      </c>
      <c r="G7" s="28" t="s">
        <v>686</v>
      </c>
      <c r="H7" s="28">
        <v>0.56822483350039543</v>
      </c>
      <c r="O7" s="533">
        <v>35</v>
      </c>
      <c r="P7" s="1064">
        <f>$H$22*$H$23^LN(O7)</f>
        <v>38.327608122671805</v>
      </c>
    </row>
    <row r="8" spans="1:16">
      <c r="A8" s="1051">
        <v>4.2</v>
      </c>
      <c r="B8" s="1051">
        <v>18.999999999999996</v>
      </c>
      <c r="C8" s="1051"/>
      <c r="D8" s="1051">
        <f t="shared" si="0"/>
        <v>1.4350845252893227</v>
      </c>
      <c r="E8" s="1051">
        <f t="shared" si="1"/>
        <v>2.9444389791664403</v>
      </c>
      <c r="G8" s="28" t="s">
        <v>694</v>
      </c>
      <c r="H8" s="28">
        <v>0.52024981500043943</v>
      </c>
    </row>
    <row r="9" spans="1:16">
      <c r="A9" s="1051">
        <v>14.1</v>
      </c>
      <c r="B9" s="1051">
        <v>27</v>
      </c>
      <c r="C9" s="1051"/>
      <c r="D9" s="1051">
        <f t="shared" si="0"/>
        <v>2.6461747973841225</v>
      </c>
      <c r="E9" s="1051">
        <f t="shared" si="1"/>
        <v>3.2958368660043291</v>
      </c>
      <c r="G9" s="28" t="s">
        <v>77</v>
      </c>
      <c r="H9" s="28">
        <v>0.21085977430719358</v>
      </c>
      <c r="O9" s="1" t="s">
        <v>2742</v>
      </c>
    </row>
    <row r="10" spans="1:16" ht="15" thickBot="1">
      <c r="A10" s="1051">
        <v>5.6</v>
      </c>
      <c r="B10" s="1051">
        <v>23</v>
      </c>
      <c r="C10" s="1051"/>
      <c r="D10" s="1051">
        <f t="shared" si="0"/>
        <v>1.7227665977411035</v>
      </c>
      <c r="E10" s="1051">
        <f t="shared" si="1"/>
        <v>3.1354942159291497</v>
      </c>
      <c r="G10" s="31" t="s">
        <v>224</v>
      </c>
      <c r="H10" s="31">
        <v>11</v>
      </c>
    </row>
    <row r="11" spans="1:16">
      <c r="A11" s="1051">
        <v>52.1</v>
      </c>
      <c r="B11" s="1051">
        <v>51</v>
      </c>
      <c r="C11" s="1051"/>
      <c r="D11" s="1051">
        <f t="shared" si="0"/>
        <v>3.9531649487593215</v>
      </c>
      <c r="E11" s="1051">
        <f t="shared" si="1"/>
        <v>3.9318256327243257</v>
      </c>
      <c r="O11" s="19" t="s">
        <v>28</v>
      </c>
      <c r="P11" s="19" t="s">
        <v>400</v>
      </c>
    </row>
    <row r="12" spans="1:16" ht="15" thickBot="1">
      <c r="A12" s="1051">
        <v>44.6</v>
      </c>
      <c r="B12" s="1051">
        <v>34</v>
      </c>
      <c r="C12" s="1051"/>
      <c r="D12" s="1051">
        <f t="shared" si="0"/>
        <v>3.7977338590260183</v>
      </c>
      <c r="E12" s="1051">
        <f t="shared" si="1"/>
        <v>3.5263605246161616</v>
      </c>
      <c r="G12" t="s">
        <v>695</v>
      </c>
      <c r="O12" s="926">
        <v>25</v>
      </c>
      <c r="P12" s="1063">
        <f t="array" ref="P12:P13">EXP(TREND(LN(B6:B16),LN(A6:A16),LN(O12:O13)))</f>
        <v>35.421097964993095</v>
      </c>
    </row>
    <row r="13" spans="1:16">
      <c r="A13" s="1051">
        <v>19.600000000000001</v>
      </c>
      <c r="B13" s="1051">
        <v>32</v>
      </c>
      <c r="C13" s="1051"/>
      <c r="D13" s="1051">
        <f t="shared" si="0"/>
        <v>2.9755295662364718</v>
      </c>
      <c r="E13" s="1051">
        <f t="shared" si="1"/>
        <v>3.4657359027997265</v>
      </c>
      <c r="G13" s="1053"/>
      <c r="H13" s="1053" t="s">
        <v>186</v>
      </c>
      <c r="I13" s="1053" t="s">
        <v>578</v>
      </c>
      <c r="J13" s="1053" t="s">
        <v>641</v>
      </c>
      <c r="K13" s="1053" t="s">
        <v>388</v>
      </c>
      <c r="L13" s="1053" t="s">
        <v>698</v>
      </c>
      <c r="O13" s="533">
        <v>35</v>
      </c>
      <c r="P13" s="1064">
        <v>38.327608122671791</v>
      </c>
    </row>
    <row r="14" spans="1:16">
      <c r="A14" s="1051">
        <v>33</v>
      </c>
      <c r="B14" s="1051">
        <v>28</v>
      </c>
      <c r="C14" s="1051"/>
      <c r="D14" s="1051">
        <f t="shared" si="0"/>
        <v>3.4965075614664802</v>
      </c>
      <c r="E14" s="1051">
        <f t="shared" si="1"/>
        <v>3.3322045101752038</v>
      </c>
      <c r="G14" s="28" t="s">
        <v>623</v>
      </c>
      <c r="H14" s="28">
        <v>1</v>
      </c>
      <c r="I14" s="28">
        <v>0.5266141615599067</v>
      </c>
      <c r="J14" s="28">
        <v>0.5266141615599067</v>
      </c>
      <c r="K14" s="28">
        <v>11.844181644263793</v>
      </c>
      <c r="L14" s="28">
        <v>7.3725828158648114E-3</v>
      </c>
    </row>
    <row r="15" spans="1:16">
      <c r="A15" s="1051">
        <v>6.7</v>
      </c>
      <c r="B15" s="1051">
        <v>36</v>
      </c>
      <c r="C15" s="1051"/>
      <c r="D15" s="1051">
        <f t="shared" si="0"/>
        <v>1.9021075263969205</v>
      </c>
      <c r="E15" s="1051">
        <f t="shared" si="1"/>
        <v>3.5835189384561099</v>
      </c>
      <c r="G15" s="28" t="s">
        <v>696</v>
      </c>
      <c r="H15" s="28">
        <v>9</v>
      </c>
      <c r="I15" s="28">
        <v>0.40015659978792556</v>
      </c>
      <c r="J15" s="28">
        <v>4.4461844420880615E-2</v>
      </c>
      <c r="K15" s="28"/>
      <c r="L15" s="28"/>
      <c r="O15" s="848">
        <v>26</v>
      </c>
      <c r="P15" s="1065">
        <f>EXP(TREND(LN(B6:B16),LN(A6:A16),LN(O15)))</f>
        <v>35.748211405153825</v>
      </c>
    </row>
    <row r="16" spans="1:16" ht="15" thickBot="1">
      <c r="A16" s="1054">
        <v>30.1</v>
      </c>
      <c r="B16" s="1054">
        <v>43</v>
      </c>
      <c r="C16" s="1051"/>
      <c r="D16" s="1054">
        <f t="shared" si="0"/>
        <v>3.4045251717548299</v>
      </c>
      <c r="E16" s="1054">
        <f t="shared" si="1"/>
        <v>3.7612001156935624</v>
      </c>
      <c r="G16" s="31" t="s">
        <v>12</v>
      </c>
      <c r="H16" s="31">
        <v>10</v>
      </c>
      <c r="I16" s="31">
        <v>0.92677076134783221</v>
      </c>
      <c r="J16" s="31"/>
      <c r="K16" s="31"/>
      <c r="L16" s="31"/>
    </row>
    <row r="17" spans="1:13" ht="15" thickBot="1"/>
    <row r="18" spans="1:13">
      <c r="G18" s="1053"/>
      <c r="H18" s="1053" t="s">
        <v>699</v>
      </c>
      <c r="I18" s="1053" t="s">
        <v>77</v>
      </c>
      <c r="J18" s="1053" t="s">
        <v>229</v>
      </c>
      <c r="K18" s="1053" t="s">
        <v>367</v>
      </c>
      <c r="L18" s="1053" t="s">
        <v>700</v>
      </c>
      <c r="M18" s="1053" t="s">
        <v>701</v>
      </c>
    </row>
    <row r="19" spans="1:13">
      <c r="A19" t="s">
        <v>368</v>
      </c>
      <c r="B19" s="756">
        <f>CORREL(E6:E16,D6:D16)</f>
        <v>0.75380689403878209</v>
      </c>
      <c r="G19" s="28" t="s">
        <v>697</v>
      </c>
      <c r="H19" s="28">
        <v>2.8128629026626322</v>
      </c>
      <c r="I19" s="28">
        <v>0.20614121003010771</v>
      </c>
      <c r="J19" s="28">
        <v>13.645320614212959</v>
      </c>
      <c r="K19" s="28">
        <v>2.5593093700100384E-7</v>
      </c>
      <c r="L19" s="28">
        <v>2.3465390878451347</v>
      </c>
      <c r="M19" s="28">
        <v>3.2791867174801297</v>
      </c>
    </row>
    <row r="20" spans="1:13" ht="15" thickBot="1">
      <c r="G20" s="31" t="s">
        <v>2741</v>
      </c>
      <c r="H20" s="31">
        <v>0.23438143274430748</v>
      </c>
      <c r="I20" s="31">
        <v>6.8103694954936761E-2</v>
      </c>
      <c r="J20" s="31">
        <v>3.4415376860153377</v>
      </c>
      <c r="K20" s="31">
        <v>7.3725828158647906E-3</v>
      </c>
      <c r="L20" s="31">
        <v>8.0320171388973294E-2</v>
      </c>
      <c r="M20" s="31">
        <v>0.38844269409964166</v>
      </c>
    </row>
    <row r="22" spans="1:13" ht="16.2">
      <c r="G22" t="s">
        <v>760</v>
      </c>
      <c r="H22" s="743">
        <f>EXP(H19)</f>
        <v>16.657538932089039</v>
      </c>
      <c r="J22" t="s">
        <v>28</v>
      </c>
      <c r="K22" s="743">
        <v>26</v>
      </c>
    </row>
    <row r="23" spans="1:13" ht="16.2">
      <c r="G23" t="s">
        <v>761</v>
      </c>
      <c r="H23" s="544">
        <f>EXP(H20)</f>
        <v>1.26412657953037</v>
      </c>
      <c r="J23" t="s">
        <v>400</v>
      </c>
      <c r="K23" s="544">
        <f>H22*H23^LN(K22)</f>
        <v>35.748211405153825</v>
      </c>
    </row>
  </sheetData>
  <mergeCells count="2">
    <mergeCell ref="A3:B3"/>
    <mergeCell ref="D3:E3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sheetPr codeName="Sheet83"/>
  <dimension ref="A1:T23"/>
  <sheetViews>
    <sheetView workbookViewId="0"/>
  </sheetViews>
  <sheetFormatPr defaultRowHeight="14.4"/>
  <cols>
    <col min="3" max="3" width="5.5546875" customWidth="1"/>
    <col min="4" max="5" width="7.109375" customWidth="1"/>
    <col min="6" max="6" width="5.6640625" customWidth="1"/>
    <col min="7" max="7" width="17.33203125" customWidth="1"/>
    <col min="8" max="8" width="11.5546875" customWidth="1"/>
    <col min="9" max="9" width="14.109375" customWidth="1"/>
    <col min="10" max="10" width="11.88671875" customWidth="1"/>
    <col min="11" max="11" width="11.44140625" customWidth="1"/>
    <col min="12" max="13" width="12.44140625" customWidth="1"/>
    <col min="15" max="15" width="29.44140625" customWidth="1"/>
    <col min="16" max="16" width="9.109375" customWidth="1"/>
    <col min="19" max="19" width="14" customWidth="1"/>
  </cols>
  <sheetData>
    <row r="1" spans="1:20">
      <c r="A1" s="1" t="s">
        <v>769</v>
      </c>
    </row>
    <row r="3" spans="1:20">
      <c r="A3" s="231" t="s">
        <v>216</v>
      </c>
      <c r="B3" s="231" t="s">
        <v>217</v>
      </c>
      <c r="D3" s="231" t="s">
        <v>28</v>
      </c>
      <c r="E3" s="231" t="s">
        <v>400</v>
      </c>
      <c r="G3" t="s">
        <v>691</v>
      </c>
      <c r="O3" t="s">
        <v>220</v>
      </c>
      <c r="S3" t="s">
        <v>771</v>
      </c>
    </row>
    <row r="4" spans="1:20" ht="15" thickBot="1">
      <c r="A4" s="229">
        <v>13</v>
      </c>
      <c r="B4" s="229">
        <v>12</v>
      </c>
      <c r="D4" s="117">
        <v>0</v>
      </c>
      <c r="E4" s="117">
        <v>13</v>
      </c>
    </row>
    <row r="5" spans="1:20">
      <c r="A5" s="117">
        <v>17</v>
      </c>
      <c r="B5" s="117">
        <v>8</v>
      </c>
      <c r="D5" s="117">
        <v>0</v>
      </c>
      <c r="E5" s="117">
        <v>17</v>
      </c>
      <c r="G5" s="35" t="s">
        <v>692</v>
      </c>
      <c r="H5" s="35"/>
      <c r="O5" s="27"/>
      <c r="P5" s="27" t="s">
        <v>216</v>
      </c>
      <c r="Q5" s="27" t="s">
        <v>217</v>
      </c>
      <c r="S5" t="s">
        <v>388</v>
      </c>
      <c r="T5" s="853">
        <f>K14</f>
        <v>4.7383177570093391</v>
      </c>
    </row>
    <row r="6" spans="1:20" ht="16.2">
      <c r="A6" s="117">
        <v>19</v>
      </c>
      <c r="B6" s="117">
        <v>6</v>
      </c>
      <c r="D6" s="117">
        <v>0</v>
      </c>
      <c r="E6" s="117">
        <v>19</v>
      </c>
      <c r="G6" s="28" t="s">
        <v>693</v>
      </c>
      <c r="H6" s="28">
        <v>0.45649174169340506</v>
      </c>
      <c r="O6" s="28" t="s">
        <v>76</v>
      </c>
      <c r="P6" s="28">
        <v>15</v>
      </c>
      <c r="Q6" s="28">
        <v>11.1</v>
      </c>
      <c r="S6" t="s">
        <v>772</v>
      </c>
      <c r="T6" s="544">
        <f>P12^2</f>
        <v>4.7383177570093453</v>
      </c>
    </row>
    <row r="7" spans="1:20">
      <c r="A7" s="117">
        <v>11</v>
      </c>
      <c r="B7" s="117">
        <v>16</v>
      </c>
      <c r="D7" s="117">
        <v>0</v>
      </c>
      <c r="E7" s="117">
        <v>11</v>
      </c>
      <c r="G7" s="28" t="s">
        <v>686</v>
      </c>
      <c r="H7" s="28">
        <v>0.20838471023427843</v>
      </c>
      <c r="O7" s="28" t="s">
        <v>223</v>
      </c>
      <c r="P7" s="28">
        <v>13.333333333333334</v>
      </c>
      <c r="Q7" s="28">
        <v>18.766666666666676</v>
      </c>
    </row>
    <row r="8" spans="1:20">
      <c r="A8" s="117">
        <v>20</v>
      </c>
      <c r="B8" s="117">
        <v>12</v>
      </c>
      <c r="D8" s="117">
        <v>0</v>
      </c>
      <c r="E8" s="117">
        <v>20</v>
      </c>
      <c r="G8" s="28" t="s">
        <v>694</v>
      </c>
      <c r="H8" s="28">
        <v>0.16440608302507168</v>
      </c>
      <c r="O8" s="28" t="s">
        <v>224</v>
      </c>
      <c r="P8" s="28">
        <v>10</v>
      </c>
      <c r="Q8" s="28">
        <v>10</v>
      </c>
      <c r="S8" t="s">
        <v>773</v>
      </c>
      <c r="T8" s="853">
        <f>L14</f>
        <v>4.3052716529839559E-2</v>
      </c>
    </row>
    <row r="9" spans="1:20">
      <c r="A9" s="117">
        <v>15</v>
      </c>
      <c r="B9" s="117">
        <v>14</v>
      </c>
      <c r="D9" s="117">
        <v>0</v>
      </c>
      <c r="E9" s="117">
        <v>15</v>
      </c>
      <c r="G9" s="28" t="s">
        <v>77</v>
      </c>
      <c r="H9" s="28">
        <v>4.0062451248020263</v>
      </c>
      <c r="O9" s="28" t="s">
        <v>226</v>
      </c>
      <c r="P9" s="28">
        <v>16.050000000000004</v>
      </c>
      <c r="Q9" s="28"/>
      <c r="S9" t="s">
        <v>774</v>
      </c>
      <c r="T9" s="544">
        <f>P15</f>
        <v>4.3052715280251515E-2</v>
      </c>
    </row>
    <row r="10" spans="1:20" ht="15" thickBot="1">
      <c r="A10" s="117">
        <v>18</v>
      </c>
      <c r="B10" s="117">
        <v>10</v>
      </c>
      <c r="D10" s="117">
        <v>0</v>
      </c>
      <c r="E10" s="117">
        <v>18</v>
      </c>
      <c r="G10" s="31" t="s">
        <v>224</v>
      </c>
      <c r="H10" s="31">
        <v>20</v>
      </c>
      <c r="O10" s="28" t="s">
        <v>227</v>
      </c>
      <c r="P10" s="28">
        <v>0</v>
      </c>
      <c r="Q10" s="28"/>
    </row>
    <row r="11" spans="1:20">
      <c r="A11" s="117">
        <v>9</v>
      </c>
      <c r="B11" s="117">
        <v>18</v>
      </c>
      <c r="D11" s="117">
        <v>0</v>
      </c>
      <c r="E11" s="117">
        <v>9</v>
      </c>
      <c r="O11" s="28" t="s">
        <v>186</v>
      </c>
      <c r="P11" s="28">
        <v>18</v>
      </c>
      <c r="Q11" s="28"/>
      <c r="S11" t="s">
        <v>693</v>
      </c>
      <c r="T11" s="853">
        <f>H6</f>
        <v>0.45649174169340506</v>
      </c>
    </row>
    <row r="12" spans="1:20" ht="15" thickBot="1">
      <c r="A12" s="117">
        <v>12</v>
      </c>
      <c r="B12" s="117">
        <v>4</v>
      </c>
      <c r="D12" s="117">
        <v>0</v>
      </c>
      <c r="E12" s="117">
        <v>12</v>
      </c>
      <c r="G12" t="s">
        <v>695</v>
      </c>
      <c r="O12" s="28" t="s">
        <v>229</v>
      </c>
      <c r="P12" s="28">
        <v>2.1767677315251954</v>
      </c>
      <c r="Q12" s="28"/>
      <c r="S12" t="s">
        <v>186</v>
      </c>
      <c r="T12" s="627">
        <f>18</f>
        <v>18</v>
      </c>
    </row>
    <row r="13" spans="1:20">
      <c r="A13" s="230">
        <v>16</v>
      </c>
      <c r="B13" s="230">
        <v>11</v>
      </c>
      <c r="D13" s="117">
        <v>0</v>
      </c>
      <c r="E13" s="117">
        <v>16</v>
      </c>
      <c r="G13" s="27"/>
      <c r="H13" s="27" t="s">
        <v>186</v>
      </c>
      <c r="I13" s="27" t="s">
        <v>578</v>
      </c>
      <c r="J13" s="27" t="s">
        <v>641</v>
      </c>
      <c r="K13" s="27" t="s">
        <v>388</v>
      </c>
      <c r="L13" s="27" t="s">
        <v>698</v>
      </c>
      <c r="O13" s="28" t="s">
        <v>230</v>
      </c>
      <c r="P13" s="28">
        <v>2.1526357640125757E-2</v>
      </c>
      <c r="Q13" s="28"/>
      <c r="S13" s="65" t="s">
        <v>775</v>
      </c>
      <c r="T13" s="544">
        <f>SQRT(T5/(T5+T12))</f>
        <v>0.45649174169340506</v>
      </c>
    </row>
    <row r="14" spans="1:20">
      <c r="A14" s="178"/>
      <c r="B14" s="178"/>
      <c r="D14" s="117">
        <v>1</v>
      </c>
      <c r="E14" s="117">
        <v>12</v>
      </c>
      <c r="G14" s="28" t="s">
        <v>623</v>
      </c>
      <c r="H14" s="28">
        <v>1</v>
      </c>
      <c r="I14" s="28">
        <v>76.049999999999898</v>
      </c>
      <c r="J14" s="28">
        <v>76.049999999999898</v>
      </c>
      <c r="K14" s="28">
        <v>4.7383177570093391</v>
      </c>
      <c r="L14" s="28">
        <v>4.3052716529839559E-2</v>
      </c>
      <c r="O14" s="28" t="s">
        <v>231</v>
      </c>
      <c r="P14" s="28">
        <v>1.7340635923093939</v>
      </c>
      <c r="Q14" s="28"/>
    </row>
    <row r="15" spans="1:20">
      <c r="A15" s="178"/>
      <c r="B15" s="178"/>
      <c r="D15" s="117">
        <v>1</v>
      </c>
      <c r="E15" s="117">
        <v>8</v>
      </c>
      <c r="G15" s="28" t="s">
        <v>696</v>
      </c>
      <c r="H15" s="28">
        <v>18</v>
      </c>
      <c r="I15" s="28">
        <v>288.90000000000003</v>
      </c>
      <c r="J15" s="28">
        <v>16.05</v>
      </c>
      <c r="K15" s="28"/>
      <c r="L15" s="28"/>
      <c r="O15" s="28" t="s">
        <v>232</v>
      </c>
      <c r="P15" s="28">
        <v>4.3052715280251515E-2</v>
      </c>
      <c r="Q15" s="28"/>
    </row>
    <row r="16" spans="1:20" ht="15" thickBot="1">
      <c r="A16" s="178"/>
      <c r="B16" s="178"/>
      <c r="D16" s="117">
        <v>1</v>
      </c>
      <c r="E16" s="117">
        <v>6</v>
      </c>
      <c r="G16" s="31" t="s">
        <v>12</v>
      </c>
      <c r="H16" s="31">
        <v>19</v>
      </c>
      <c r="I16" s="31">
        <v>364.94999999999993</v>
      </c>
      <c r="J16" s="31"/>
      <c r="K16" s="31"/>
      <c r="L16" s="31"/>
      <c r="O16" s="31" t="s">
        <v>234</v>
      </c>
      <c r="P16" s="31">
        <v>2.1009220368611805</v>
      </c>
      <c r="Q16" s="31"/>
    </row>
    <row r="17" spans="1:13" ht="15" thickBot="1">
      <c r="A17" s="178"/>
      <c r="B17" s="178"/>
      <c r="D17" s="117">
        <v>1</v>
      </c>
      <c r="E17" s="117">
        <v>16</v>
      </c>
    </row>
    <row r="18" spans="1:13">
      <c r="D18" s="117">
        <v>1</v>
      </c>
      <c r="E18" s="117">
        <v>12</v>
      </c>
      <c r="G18" s="27"/>
      <c r="H18" s="27" t="s">
        <v>699</v>
      </c>
      <c r="I18" s="27" t="s">
        <v>77</v>
      </c>
      <c r="J18" s="27" t="s">
        <v>229</v>
      </c>
      <c r="K18" s="27" t="s">
        <v>367</v>
      </c>
      <c r="L18" s="27" t="s">
        <v>700</v>
      </c>
      <c r="M18" s="27" t="s">
        <v>701</v>
      </c>
    </row>
    <row r="19" spans="1:13">
      <c r="D19" s="117">
        <v>1</v>
      </c>
      <c r="E19" s="117">
        <v>14</v>
      </c>
      <c r="G19" s="28" t="s">
        <v>697</v>
      </c>
      <c r="H19" s="28">
        <v>15</v>
      </c>
      <c r="I19" s="28">
        <v>1.2668859459319928</v>
      </c>
      <c r="J19" s="28">
        <v>11.840055569457876</v>
      </c>
      <c r="K19" s="28">
        <v>6.2614481541286654E-10</v>
      </c>
      <c r="L19" s="28">
        <v>12.338371393719861</v>
      </c>
      <c r="M19" s="28">
        <v>17.661628606280139</v>
      </c>
    </row>
    <row r="20" spans="1:13" ht="15" thickBot="1">
      <c r="D20" s="117">
        <v>1</v>
      </c>
      <c r="E20" s="117">
        <v>10</v>
      </c>
      <c r="G20" s="31" t="s">
        <v>28</v>
      </c>
      <c r="H20" s="31">
        <v>-3.8999999999999995</v>
      </c>
      <c r="I20" s="31">
        <v>1.7916472867168918</v>
      </c>
      <c r="J20" s="31">
        <v>-2.176767731525195</v>
      </c>
      <c r="K20" s="31">
        <v>4.3052716529839503E-2</v>
      </c>
      <c r="L20" s="31">
        <v>-7.6641112730015717</v>
      </c>
      <c r="M20" s="31">
        <v>-0.13588872699842769</v>
      </c>
    </row>
    <row r="21" spans="1:13">
      <c r="D21" s="117">
        <v>1</v>
      </c>
      <c r="E21" s="117">
        <v>18</v>
      </c>
    </row>
    <row r="22" spans="1:13">
      <c r="D22" s="117">
        <v>1</v>
      </c>
      <c r="E22" s="117">
        <v>4</v>
      </c>
    </row>
    <row r="23" spans="1:13">
      <c r="D23" s="230">
        <v>1</v>
      </c>
      <c r="E23" s="230">
        <v>11</v>
      </c>
    </row>
  </sheetData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sheetPr codeName="Sheet84"/>
  <dimension ref="A1:G44"/>
  <sheetViews>
    <sheetView workbookViewId="0"/>
  </sheetViews>
  <sheetFormatPr defaultRowHeight="14.4"/>
  <cols>
    <col min="1" max="1" width="17.109375" customWidth="1"/>
    <col min="2" max="2" width="12.33203125" customWidth="1"/>
    <col min="3" max="3" width="11.88671875" customWidth="1"/>
    <col min="4" max="4" width="17.33203125" customWidth="1"/>
    <col min="5" max="5" width="11.33203125" customWidth="1"/>
    <col min="6" max="6" width="12.88671875" customWidth="1"/>
    <col min="7" max="7" width="12.33203125" customWidth="1"/>
  </cols>
  <sheetData>
    <row r="1" spans="1:7">
      <c r="A1" t="s">
        <v>691</v>
      </c>
    </row>
    <row r="2" spans="1:7" ht="15" thickBot="1"/>
    <row r="3" spans="1:7">
      <c r="A3" s="35" t="s">
        <v>692</v>
      </c>
      <c r="B3" s="35"/>
    </row>
    <row r="4" spans="1:7">
      <c r="A4" s="28" t="s">
        <v>693</v>
      </c>
      <c r="B4" s="28">
        <v>0.45649174169340506</v>
      </c>
    </row>
    <row r="5" spans="1:7">
      <c r="A5" s="28" t="s">
        <v>686</v>
      </c>
      <c r="B5" s="28">
        <v>0.20838471023427843</v>
      </c>
    </row>
    <row r="6" spans="1:7">
      <c r="A6" s="28" t="s">
        <v>694</v>
      </c>
      <c r="B6" s="28">
        <v>0.16440608302507168</v>
      </c>
    </row>
    <row r="7" spans="1:7">
      <c r="A7" s="28" t="s">
        <v>77</v>
      </c>
      <c r="B7" s="28">
        <v>4.0062451248020263</v>
      </c>
    </row>
    <row r="8" spans="1:7" ht="15" thickBot="1">
      <c r="A8" s="31" t="s">
        <v>224</v>
      </c>
      <c r="B8" s="31">
        <v>20</v>
      </c>
    </row>
    <row r="10" spans="1:7" ht="15" thickBot="1">
      <c r="A10" t="s">
        <v>695</v>
      </c>
    </row>
    <row r="11" spans="1:7">
      <c r="A11" s="27"/>
      <c r="B11" s="27" t="s">
        <v>186</v>
      </c>
      <c r="C11" s="27" t="s">
        <v>578</v>
      </c>
      <c r="D11" s="27" t="s">
        <v>641</v>
      </c>
      <c r="E11" s="27" t="s">
        <v>388</v>
      </c>
      <c r="F11" s="27" t="s">
        <v>698</v>
      </c>
    </row>
    <row r="12" spans="1:7">
      <c r="A12" s="28" t="s">
        <v>623</v>
      </c>
      <c r="B12" s="28">
        <v>1</v>
      </c>
      <c r="C12" s="28">
        <v>76.049999999999898</v>
      </c>
      <c r="D12" s="28">
        <v>76.049999999999898</v>
      </c>
      <c r="E12" s="28">
        <v>4.7383177570093391</v>
      </c>
      <c r="F12" s="28">
        <v>4.3052716529839559E-2</v>
      </c>
    </row>
    <row r="13" spans="1:7">
      <c r="A13" s="28" t="s">
        <v>696</v>
      </c>
      <c r="B13" s="28">
        <v>18</v>
      </c>
      <c r="C13" s="28">
        <v>288.90000000000003</v>
      </c>
      <c r="D13" s="28">
        <v>16.05</v>
      </c>
      <c r="E13" s="28"/>
      <c r="F13" s="28"/>
    </row>
    <row r="14" spans="1:7" ht="15" thickBot="1">
      <c r="A14" s="31" t="s">
        <v>12</v>
      </c>
      <c r="B14" s="31">
        <v>19</v>
      </c>
      <c r="C14" s="31">
        <v>364.94999999999993</v>
      </c>
      <c r="D14" s="31"/>
      <c r="E14" s="31"/>
      <c r="F14" s="31"/>
    </row>
    <row r="15" spans="1:7" ht="15" thickBot="1"/>
    <row r="16" spans="1:7">
      <c r="A16" s="27"/>
      <c r="B16" s="27" t="s">
        <v>699</v>
      </c>
      <c r="C16" s="27" t="s">
        <v>77</v>
      </c>
      <c r="D16" s="27" t="s">
        <v>229</v>
      </c>
      <c r="E16" s="27" t="s">
        <v>367</v>
      </c>
      <c r="F16" s="27" t="s">
        <v>700</v>
      </c>
      <c r="G16" s="27" t="s">
        <v>701</v>
      </c>
    </row>
    <row r="17" spans="1:7">
      <c r="A17" s="28" t="s">
        <v>697</v>
      </c>
      <c r="B17" s="28">
        <v>15</v>
      </c>
      <c r="C17" s="28">
        <v>1.2668859459319928</v>
      </c>
      <c r="D17" s="28">
        <v>11.840055569457876</v>
      </c>
      <c r="E17" s="28">
        <v>6.2614481541286654E-10</v>
      </c>
      <c r="F17" s="28">
        <v>12.338371393719861</v>
      </c>
      <c r="G17" s="28">
        <v>17.661628606280139</v>
      </c>
    </row>
    <row r="18" spans="1:7" ht="15" thickBot="1">
      <c r="A18" s="31" t="s">
        <v>28</v>
      </c>
      <c r="B18" s="31">
        <v>-3.8999999999999995</v>
      </c>
      <c r="C18" s="31">
        <v>1.7916472867168918</v>
      </c>
      <c r="D18" s="31">
        <v>-2.176767731525195</v>
      </c>
      <c r="E18" s="31">
        <v>4.3052716529839503E-2</v>
      </c>
      <c r="F18" s="31">
        <v>-7.6641112730015717</v>
      </c>
      <c r="G18" s="31">
        <v>-0.13588872699842769</v>
      </c>
    </row>
    <row r="22" spans="1:7">
      <c r="A22" t="s">
        <v>702</v>
      </c>
      <c r="F22" t="s">
        <v>706</v>
      </c>
    </row>
    <row r="23" spans="1:7" ht="15" thickBot="1"/>
    <row r="24" spans="1:7">
      <c r="A24" s="27" t="s">
        <v>703</v>
      </c>
      <c r="B24" s="27" t="s">
        <v>770</v>
      </c>
      <c r="C24" s="27" t="s">
        <v>704</v>
      </c>
      <c r="D24" s="27" t="s">
        <v>705</v>
      </c>
      <c r="F24" s="27" t="s">
        <v>707</v>
      </c>
      <c r="G24" s="27" t="s">
        <v>400</v>
      </c>
    </row>
    <row r="25" spans="1:7">
      <c r="A25" s="28">
        <v>1</v>
      </c>
      <c r="B25" s="28">
        <v>15</v>
      </c>
      <c r="C25" s="28">
        <v>-2</v>
      </c>
      <c r="D25" s="28">
        <v>-0.51290038518495951</v>
      </c>
      <c r="F25" s="28">
        <v>2.5</v>
      </c>
      <c r="G25" s="28">
        <v>4</v>
      </c>
    </row>
    <row r="26" spans="1:7">
      <c r="A26" s="28">
        <v>2</v>
      </c>
      <c r="B26" s="28">
        <v>15</v>
      </c>
      <c r="C26" s="28">
        <v>2</v>
      </c>
      <c r="D26" s="28">
        <v>0.51290038518495951</v>
      </c>
      <c r="F26" s="28">
        <v>7.5</v>
      </c>
      <c r="G26" s="28">
        <v>6</v>
      </c>
    </row>
    <row r="27" spans="1:7">
      <c r="A27" s="28">
        <v>3</v>
      </c>
      <c r="B27" s="28">
        <v>15</v>
      </c>
      <c r="C27" s="28">
        <v>4</v>
      </c>
      <c r="D27" s="28">
        <v>1.025800770369919</v>
      </c>
      <c r="F27" s="28">
        <v>12.5</v>
      </c>
      <c r="G27" s="28">
        <v>8</v>
      </c>
    </row>
    <row r="28" spans="1:7">
      <c r="A28" s="28">
        <v>4</v>
      </c>
      <c r="B28" s="28">
        <v>15</v>
      </c>
      <c r="C28" s="28">
        <v>-4</v>
      </c>
      <c r="D28" s="28">
        <v>-1.025800770369919</v>
      </c>
      <c r="F28" s="28">
        <v>17.5</v>
      </c>
      <c r="G28" s="28">
        <v>9</v>
      </c>
    </row>
    <row r="29" spans="1:7">
      <c r="A29" s="28">
        <v>5</v>
      </c>
      <c r="B29" s="28">
        <v>15</v>
      </c>
      <c r="C29" s="28">
        <v>5</v>
      </c>
      <c r="D29" s="28">
        <v>1.2822509629623988</v>
      </c>
      <c r="F29" s="28">
        <v>22.5</v>
      </c>
      <c r="G29" s="28">
        <v>10</v>
      </c>
    </row>
    <row r="30" spans="1:7">
      <c r="A30" s="28">
        <v>6</v>
      </c>
      <c r="B30" s="28">
        <v>15</v>
      </c>
      <c r="C30" s="28">
        <v>0</v>
      </c>
      <c r="D30" s="28">
        <v>0</v>
      </c>
      <c r="F30" s="28">
        <v>27.5</v>
      </c>
      <c r="G30" s="28">
        <v>11</v>
      </c>
    </row>
    <row r="31" spans="1:7">
      <c r="A31" s="28">
        <v>7</v>
      </c>
      <c r="B31" s="28">
        <v>15</v>
      </c>
      <c r="C31" s="28">
        <v>3</v>
      </c>
      <c r="D31" s="28">
        <v>0.76935057777743932</v>
      </c>
      <c r="F31" s="28">
        <v>32.5</v>
      </c>
      <c r="G31" s="28">
        <v>11</v>
      </c>
    </row>
    <row r="32" spans="1:7">
      <c r="A32" s="28">
        <v>8</v>
      </c>
      <c r="B32" s="28">
        <v>15</v>
      </c>
      <c r="C32" s="28">
        <v>-6</v>
      </c>
      <c r="D32" s="28">
        <v>-1.5387011555548786</v>
      </c>
      <c r="F32" s="28">
        <v>37.5</v>
      </c>
      <c r="G32" s="28">
        <v>12</v>
      </c>
    </row>
    <row r="33" spans="1:7">
      <c r="A33" s="28">
        <v>9</v>
      </c>
      <c r="B33" s="28">
        <v>15</v>
      </c>
      <c r="C33" s="28">
        <v>-3</v>
      </c>
      <c r="D33" s="28">
        <v>-0.76935057777743932</v>
      </c>
      <c r="F33" s="28">
        <v>42.5</v>
      </c>
      <c r="G33" s="28">
        <v>12</v>
      </c>
    </row>
    <row r="34" spans="1:7">
      <c r="A34" s="28">
        <v>10</v>
      </c>
      <c r="B34" s="28">
        <v>15</v>
      </c>
      <c r="C34" s="28">
        <v>1</v>
      </c>
      <c r="D34" s="28">
        <v>0.25645019259247975</v>
      </c>
      <c r="F34" s="28">
        <v>47.5</v>
      </c>
      <c r="G34" s="28">
        <v>12</v>
      </c>
    </row>
    <row r="35" spans="1:7">
      <c r="A35" s="28">
        <v>11</v>
      </c>
      <c r="B35" s="28">
        <v>11.100000000000001</v>
      </c>
      <c r="C35" s="28">
        <v>0.89999999999999858</v>
      </c>
      <c r="D35" s="28">
        <v>0.23080517333323142</v>
      </c>
      <c r="F35" s="28">
        <v>52.5</v>
      </c>
      <c r="G35" s="28">
        <v>13</v>
      </c>
    </row>
    <row r="36" spans="1:7">
      <c r="A36" s="28">
        <v>12</v>
      </c>
      <c r="B36" s="28">
        <v>11.100000000000001</v>
      </c>
      <c r="C36" s="28">
        <v>-3.1000000000000014</v>
      </c>
      <c r="D36" s="28">
        <v>-0.79499559703668765</v>
      </c>
      <c r="F36" s="28">
        <v>57.5</v>
      </c>
      <c r="G36" s="28">
        <v>14</v>
      </c>
    </row>
    <row r="37" spans="1:7">
      <c r="A37" s="28">
        <v>13</v>
      </c>
      <c r="B37" s="28">
        <v>11.100000000000001</v>
      </c>
      <c r="C37" s="28">
        <v>-5.1000000000000014</v>
      </c>
      <c r="D37" s="28">
        <v>-1.3078959822216472</v>
      </c>
      <c r="F37" s="28">
        <v>62.5</v>
      </c>
      <c r="G37" s="28">
        <v>15</v>
      </c>
    </row>
    <row r="38" spans="1:7">
      <c r="A38" s="28">
        <v>14</v>
      </c>
      <c r="B38" s="28">
        <v>11.100000000000001</v>
      </c>
      <c r="C38" s="28">
        <v>4.8999999999999986</v>
      </c>
      <c r="D38" s="28">
        <v>1.2566059437031505</v>
      </c>
      <c r="F38" s="28">
        <v>67.5</v>
      </c>
      <c r="G38" s="28">
        <v>16</v>
      </c>
    </row>
    <row r="39" spans="1:7">
      <c r="A39" s="28">
        <v>15</v>
      </c>
      <c r="B39" s="28">
        <v>11.100000000000001</v>
      </c>
      <c r="C39" s="28">
        <v>0.89999999999999858</v>
      </c>
      <c r="D39" s="28">
        <v>0.23080517333323142</v>
      </c>
      <c r="F39" s="28">
        <v>72.5</v>
      </c>
      <c r="G39" s="28">
        <v>16</v>
      </c>
    </row>
    <row r="40" spans="1:7">
      <c r="A40" s="28">
        <v>16</v>
      </c>
      <c r="B40" s="28">
        <v>11.100000000000001</v>
      </c>
      <c r="C40" s="28">
        <v>2.8999999999999986</v>
      </c>
      <c r="D40" s="28">
        <v>0.74370555851819098</v>
      </c>
      <c r="F40" s="28">
        <v>77.5</v>
      </c>
      <c r="G40" s="28">
        <v>17</v>
      </c>
    </row>
    <row r="41" spans="1:7">
      <c r="A41" s="28">
        <v>17</v>
      </c>
      <c r="B41" s="28">
        <v>11.100000000000001</v>
      </c>
      <c r="C41" s="28">
        <v>-1.1000000000000014</v>
      </c>
      <c r="D41" s="28">
        <v>-0.28209521185172809</v>
      </c>
      <c r="F41" s="28">
        <v>82.5</v>
      </c>
      <c r="G41" s="28">
        <v>18</v>
      </c>
    </row>
    <row r="42" spans="1:7">
      <c r="A42" s="28">
        <v>18</v>
      </c>
      <c r="B42" s="28">
        <v>11.100000000000001</v>
      </c>
      <c r="C42" s="28">
        <v>6.8999999999999986</v>
      </c>
      <c r="D42" s="28">
        <v>1.7695063288881099</v>
      </c>
      <c r="F42" s="28">
        <v>87.5</v>
      </c>
      <c r="G42" s="28">
        <v>18</v>
      </c>
    </row>
    <row r="43" spans="1:7">
      <c r="A43" s="28">
        <v>19</v>
      </c>
      <c r="B43" s="28">
        <v>11.100000000000001</v>
      </c>
      <c r="C43" s="28">
        <v>-7.1000000000000014</v>
      </c>
      <c r="D43" s="28">
        <v>-1.8207963674066066</v>
      </c>
      <c r="F43" s="28">
        <v>92.5</v>
      </c>
      <c r="G43" s="28">
        <v>19</v>
      </c>
    </row>
    <row r="44" spans="1:7" ht="15" thickBot="1">
      <c r="A44" s="31">
        <v>20</v>
      </c>
      <c r="B44" s="31">
        <v>11.100000000000001</v>
      </c>
      <c r="C44" s="31">
        <v>-0.10000000000000142</v>
      </c>
      <c r="D44" s="31">
        <v>-2.564501925924834E-2</v>
      </c>
      <c r="F44" s="31">
        <v>97.5</v>
      </c>
      <c r="G44" s="31">
        <v>20</v>
      </c>
    </row>
  </sheetData>
  <sortState ref="G25:G44">
    <sortCondition ref="G25"/>
  </sortState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sheetPr codeName="Sheet86"/>
  <dimension ref="A1:U23"/>
  <sheetViews>
    <sheetView workbookViewId="0"/>
  </sheetViews>
  <sheetFormatPr defaultRowHeight="14.4"/>
  <cols>
    <col min="3" max="3" width="5.5546875" customWidth="1"/>
    <col min="4" max="5" width="7.109375" customWidth="1"/>
    <col min="6" max="6" width="5.6640625" customWidth="1"/>
    <col min="7" max="7" width="17.33203125" customWidth="1"/>
    <col min="8" max="8" width="11.5546875" customWidth="1"/>
    <col min="9" max="9" width="14.109375" customWidth="1"/>
    <col min="10" max="10" width="11.88671875" customWidth="1"/>
    <col min="11" max="11" width="11.44140625" customWidth="1"/>
    <col min="12" max="13" width="12.44140625" customWidth="1"/>
    <col min="15" max="15" width="28.5546875" customWidth="1"/>
    <col min="16" max="16" width="9.109375" customWidth="1"/>
    <col min="19" max="19" width="28.5546875" customWidth="1"/>
  </cols>
  <sheetData>
    <row r="1" spans="1:21">
      <c r="A1" s="1" t="s">
        <v>769</v>
      </c>
    </row>
    <row r="3" spans="1:21">
      <c r="A3" s="231" t="s">
        <v>216</v>
      </c>
      <c r="B3" s="231" t="s">
        <v>217</v>
      </c>
      <c r="D3" s="231" t="s">
        <v>28</v>
      </c>
      <c r="E3" s="231" t="s">
        <v>400</v>
      </c>
      <c r="G3" t="s">
        <v>691</v>
      </c>
      <c r="O3" t="s">
        <v>220</v>
      </c>
      <c r="S3" t="s">
        <v>235</v>
      </c>
    </row>
    <row r="4" spans="1:21" ht="15" thickBot="1">
      <c r="A4" s="229">
        <v>34</v>
      </c>
      <c r="B4" s="229">
        <v>12</v>
      </c>
      <c r="D4" s="117">
        <v>0</v>
      </c>
      <c r="E4" s="229">
        <v>34</v>
      </c>
    </row>
    <row r="5" spans="1:21">
      <c r="A5" s="117">
        <v>52</v>
      </c>
      <c r="B5" s="117">
        <v>8</v>
      </c>
      <c r="D5" s="117">
        <v>0</v>
      </c>
      <c r="E5" s="117">
        <v>52</v>
      </c>
      <c r="G5" s="35" t="s">
        <v>692</v>
      </c>
      <c r="H5" s="35"/>
      <c r="O5" s="27"/>
      <c r="P5" s="27" t="s">
        <v>216</v>
      </c>
      <c r="Q5" s="27" t="s">
        <v>217</v>
      </c>
      <c r="S5" s="27"/>
      <c r="T5" s="27" t="s">
        <v>216</v>
      </c>
      <c r="U5" s="27" t="s">
        <v>217</v>
      </c>
    </row>
    <row r="6" spans="1:21">
      <c r="A6" s="117">
        <v>17</v>
      </c>
      <c r="B6" s="117">
        <v>6</v>
      </c>
      <c r="D6" s="117">
        <v>0</v>
      </c>
      <c r="E6" s="117">
        <v>17</v>
      </c>
      <c r="G6" s="28" t="s">
        <v>693</v>
      </c>
      <c r="H6" s="28">
        <v>0.63143952239527301</v>
      </c>
      <c r="O6" s="28" t="s">
        <v>76</v>
      </c>
      <c r="P6" s="28">
        <v>33.5</v>
      </c>
      <c r="Q6" s="28">
        <v>11.1</v>
      </c>
      <c r="S6" s="28" t="s">
        <v>76</v>
      </c>
      <c r="T6" s="28">
        <v>33.5</v>
      </c>
      <c r="U6" s="28">
        <v>11.1</v>
      </c>
    </row>
    <row r="7" spans="1:21">
      <c r="A7" s="117">
        <v>45</v>
      </c>
      <c r="B7" s="117">
        <v>16</v>
      </c>
      <c r="D7" s="117">
        <v>0</v>
      </c>
      <c r="E7" s="117">
        <v>45</v>
      </c>
      <c r="G7" s="28" t="s">
        <v>686</v>
      </c>
      <c r="H7" s="28">
        <v>0.39871587044277046</v>
      </c>
      <c r="O7" s="28" t="s">
        <v>223</v>
      </c>
      <c r="P7" s="28">
        <v>401.61111111111109</v>
      </c>
      <c r="Q7" s="28">
        <v>18.766666666666676</v>
      </c>
      <c r="S7" s="28" t="s">
        <v>223</v>
      </c>
      <c r="T7" s="28">
        <v>401.61111111111109</v>
      </c>
      <c r="U7" s="28">
        <v>18.766666666666676</v>
      </c>
    </row>
    <row r="8" spans="1:21">
      <c r="A8" s="117">
        <v>5</v>
      </c>
      <c r="B8" s="117">
        <v>12</v>
      </c>
      <c r="D8" s="117">
        <v>0</v>
      </c>
      <c r="E8" s="117">
        <v>5</v>
      </c>
      <c r="G8" s="28" t="s">
        <v>694</v>
      </c>
      <c r="H8" s="28">
        <v>0.36531119657847994</v>
      </c>
      <c r="O8" s="28" t="s">
        <v>224</v>
      </c>
      <c r="P8" s="28">
        <v>10</v>
      </c>
      <c r="Q8" s="28">
        <v>10</v>
      </c>
      <c r="S8" s="28" t="s">
        <v>224</v>
      </c>
      <c r="T8" s="28">
        <v>10</v>
      </c>
      <c r="U8" s="28">
        <v>10</v>
      </c>
    </row>
    <row r="9" spans="1:21">
      <c r="A9" s="117">
        <v>29</v>
      </c>
      <c r="B9" s="117">
        <v>14</v>
      </c>
      <c r="D9" s="117">
        <v>0</v>
      </c>
      <c r="E9" s="117">
        <v>29</v>
      </c>
      <c r="G9" s="28" t="s">
        <v>77</v>
      </c>
      <c r="H9" s="28">
        <v>14.497892567159163</v>
      </c>
      <c r="O9" s="28" t="s">
        <v>226</v>
      </c>
      <c r="P9" s="28">
        <v>210.1888888888889</v>
      </c>
      <c r="Q9" s="28"/>
      <c r="S9" s="28" t="s">
        <v>227</v>
      </c>
      <c r="T9" s="28">
        <v>0</v>
      </c>
      <c r="U9" s="28"/>
    </row>
    <row r="10" spans="1:21" ht="15" thickBot="1">
      <c r="A10" s="117">
        <v>31</v>
      </c>
      <c r="B10" s="117">
        <v>10</v>
      </c>
      <c r="D10" s="117">
        <v>0</v>
      </c>
      <c r="E10" s="117">
        <v>31</v>
      </c>
      <c r="G10" s="31" t="s">
        <v>224</v>
      </c>
      <c r="H10" s="31">
        <v>20</v>
      </c>
      <c r="O10" s="28" t="s">
        <v>227</v>
      </c>
      <c r="P10" s="28">
        <v>0</v>
      </c>
      <c r="Q10" s="28"/>
      <c r="S10" s="28" t="s">
        <v>186</v>
      </c>
      <c r="T10" s="28">
        <v>10</v>
      </c>
      <c r="U10" s="28"/>
    </row>
    <row r="11" spans="1:21">
      <c r="A11" s="117">
        <v>6</v>
      </c>
      <c r="B11" s="117">
        <v>18</v>
      </c>
      <c r="D11" s="117">
        <v>0</v>
      </c>
      <c r="E11" s="117">
        <v>6</v>
      </c>
      <c r="O11" s="28" t="s">
        <v>186</v>
      </c>
      <c r="P11" s="28">
        <v>18</v>
      </c>
      <c r="Q11" s="28"/>
      <c r="S11" s="28" t="s">
        <v>229</v>
      </c>
      <c r="T11" s="28">
        <v>3.4548416236339881</v>
      </c>
      <c r="U11" s="28"/>
    </row>
    <row r="12" spans="1:21" ht="15" thickBot="1">
      <c r="A12" s="117">
        <v>52</v>
      </c>
      <c r="B12" s="117">
        <v>4</v>
      </c>
      <c r="D12" s="117">
        <v>0</v>
      </c>
      <c r="E12" s="117">
        <v>52</v>
      </c>
      <c r="G12" t="s">
        <v>695</v>
      </c>
      <c r="O12" s="28" t="s">
        <v>229</v>
      </c>
      <c r="P12" s="28">
        <v>3.4548416236339876</v>
      </c>
      <c r="Q12" s="28"/>
      <c r="S12" s="28" t="s">
        <v>230</v>
      </c>
      <c r="T12" s="28">
        <v>3.0879404292687403E-3</v>
      </c>
      <c r="U12" s="28"/>
    </row>
    <row r="13" spans="1:21">
      <c r="A13" s="230">
        <v>64</v>
      </c>
      <c r="B13" s="230">
        <v>11</v>
      </c>
      <c r="D13" s="117">
        <v>0</v>
      </c>
      <c r="E13" s="117">
        <v>64</v>
      </c>
      <c r="G13" s="27"/>
      <c r="H13" s="27" t="s">
        <v>186</v>
      </c>
      <c r="I13" s="27" t="s">
        <v>578</v>
      </c>
      <c r="J13" s="27" t="s">
        <v>641</v>
      </c>
      <c r="K13" s="27" t="s">
        <v>388</v>
      </c>
      <c r="L13" s="27" t="s">
        <v>698</v>
      </c>
      <c r="O13" s="28" t="s">
        <v>230</v>
      </c>
      <c r="P13" s="28">
        <v>1.4131153759735829E-3</v>
      </c>
      <c r="Q13" s="28"/>
      <c r="S13" s="28" t="s">
        <v>231</v>
      </c>
      <c r="T13" s="28">
        <v>1.8124611021972235</v>
      </c>
      <c r="U13" s="28"/>
    </row>
    <row r="14" spans="1:21">
      <c r="A14" s="178"/>
      <c r="B14" s="178"/>
      <c r="D14" s="117">
        <v>1</v>
      </c>
      <c r="E14" s="117">
        <v>12</v>
      </c>
      <c r="G14" s="28" t="s">
        <v>623</v>
      </c>
      <c r="H14" s="28">
        <v>1</v>
      </c>
      <c r="I14" s="28">
        <v>2508.8000000000002</v>
      </c>
      <c r="J14" s="28">
        <v>2508.8000000000002</v>
      </c>
      <c r="K14" s="28">
        <v>11.935930644393933</v>
      </c>
      <c r="L14" s="28">
        <v>2.8262307651200484E-3</v>
      </c>
      <c r="O14" s="28" t="s">
        <v>231</v>
      </c>
      <c r="P14" s="28">
        <v>1.7340635923093939</v>
      </c>
      <c r="Q14" s="28"/>
      <c r="S14" s="28" t="s">
        <v>232</v>
      </c>
      <c r="T14" s="28">
        <v>6.1758808585374806E-3</v>
      </c>
      <c r="U14" s="28"/>
    </row>
    <row r="15" spans="1:21" ht="15" thickBot="1">
      <c r="A15" s="178"/>
      <c r="B15" s="178"/>
      <c r="D15" s="117">
        <v>1</v>
      </c>
      <c r="E15" s="117">
        <v>8</v>
      </c>
      <c r="G15" s="28" t="s">
        <v>696</v>
      </c>
      <c r="H15" s="28">
        <v>18</v>
      </c>
      <c r="I15" s="28">
        <v>3783.3999999999996</v>
      </c>
      <c r="J15" s="28">
        <v>210.18888888888887</v>
      </c>
      <c r="K15" s="28"/>
      <c r="L15" s="28"/>
      <c r="O15" s="28" t="s">
        <v>232</v>
      </c>
      <c r="P15" s="28">
        <v>2.8262307519471659E-3</v>
      </c>
      <c r="Q15" s="28"/>
      <c r="S15" s="31" t="s">
        <v>234</v>
      </c>
      <c r="T15" s="31">
        <v>2.2281388424258681</v>
      </c>
      <c r="U15" s="31"/>
    </row>
    <row r="16" spans="1:21" ht="15" thickBot="1">
      <c r="A16" s="178"/>
      <c r="B16" s="178"/>
      <c r="D16" s="117">
        <v>1</v>
      </c>
      <c r="E16" s="117">
        <v>6</v>
      </c>
      <c r="G16" s="31" t="s">
        <v>12</v>
      </c>
      <c r="H16" s="31">
        <v>19</v>
      </c>
      <c r="I16" s="31">
        <v>6292.2</v>
      </c>
      <c r="J16" s="31"/>
      <c r="K16" s="31"/>
      <c r="L16" s="31"/>
      <c r="O16" s="31" t="s">
        <v>234</v>
      </c>
      <c r="P16" s="31">
        <v>2.1009220368611805</v>
      </c>
      <c r="Q16" s="31"/>
    </row>
    <row r="17" spans="1:13" ht="15" thickBot="1">
      <c r="A17" s="178"/>
      <c r="B17" s="178"/>
      <c r="D17" s="117">
        <v>1</v>
      </c>
      <c r="E17" s="117">
        <v>16</v>
      </c>
    </row>
    <row r="18" spans="1:13">
      <c r="D18" s="117">
        <v>1</v>
      </c>
      <c r="E18" s="117">
        <v>12</v>
      </c>
      <c r="G18" s="27"/>
      <c r="H18" s="27" t="s">
        <v>699</v>
      </c>
      <c r="I18" s="27" t="s">
        <v>77</v>
      </c>
      <c r="J18" s="27" t="s">
        <v>229</v>
      </c>
      <c r="K18" s="27" t="s">
        <v>367</v>
      </c>
      <c r="L18" s="27" t="s">
        <v>700</v>
      </c>
      <c r="M18" s="27" t="s">
        <v>701</v>
      </c>
    </row>
    <row r="19" spans="1:13">
      <c r="D19" s="117">
        <v>1</v>
      </c>
      <c r="E19" s="117">
        <v>14</v>
      </c>
      <c r="G19" s="28" t="s">
        <v>697</v>
      </c>
      <c r="H19" s="28">
        <v>33.5</v>
      </c>
      <c r="I19" s="28">
        <v>4.5846361784648613</v>
      </c>
      <c r="J19" s="28">
        <v>7.3070138383842878</v>
      </c>
      <c r="K19" s="28">
        <v>8.6872089940159996E-7</v>
      </c>
      <c r="L19" s="28">
        <v>23.868036806176729</v>
      </c>
      <c r="M19" s="28">
        <v>43.131963193823267</v>
      </c>
    </row>
    <row r="20" spans="1:13" ht="15" thickBot="1">
      <c r="D20" s="117">
        <v>1</v>
      </c>
      <c r="E20" s="117">
        <v>10</v>
      </c>
      <c r="G20" s="31" t="s">
        <v>28</v>
      </c>
      <c r="H20" s="31">
        <v>-22.399999999999995</v>
      </c>
      <c r="I20" s="31">
        <v>6.4836546621313635</v>
      </c>
      <c r="J20" s="31">
        <v>-3.4548416236339881</v>
      </c>
      <c r="K20" s="31">
        <v>2.8262307651200484E-3</v>
      </c>
      <c r="L20" s="31">
        <v>-36.021652980983333</v>
      </c>
      <c r="M20" s="31">
        <v>-8.778347019016655</v>
      </c>
    </row>
    <row r="21" spans="1:13">
      <c r="D21" s="117">
        <v>1</v>
      </c>
      <c r="E21" s="117">
        <v>18</v>
      </c>
    </row>
    <row r="22" spans="1:13">
      <c r="D22" s="117">
        <v>1</v>
      </c>
      <c r="E22" s="117">
        <v>4</v>
      </c>
    </row>
    <row r="23" spans="1:13">
      <c r="D23" s="230">
        <v>1</v>
      </c>
      <c r="E23" s="230">
        <v>11</v>
      </c>
    </row>
  </sheetData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sheetPr codeName="Sheet87"/>
  <dimension ref="A1:G44"/>
  <sheetViews>
    <sheetView workbookViewId="0"/>
  </sheetViews>
  <sheetFormatPr defaultRowHeight="14.4"/>
  <cols>
    <col min="1" max="1" width="19.88671875" customWidth="1"/>
    <col min="2" max="2" width="14.6640625" customWidth="1"/>
    <col min="3" max="3" width="14.33203125" customWidth="1"/>
    <col min="4" max="4" width="17.109375" customWidth="1"/>
    <col min="6" max="6" width="12" customWidth="1"/>
    <col min="7" max="7" width="11.6640625" customWidth="1"/>
  </cols>
  <sheetData>
    <row r="1" spans="1:7">
      <c r="A1" t="s">
        <v>691</v>
      </c>
    </row>
    <row r="2" spans="1:7" ht="15" thickBot="1"/>
    <row r="3" spans="1:7">
      <c r="A3" s="35" t="s">
        <v>692</v>
      </c>
      <c r="B3" s="35"/>
    </row>
    <row r="4" spans="1:7">
      <c r="A4" s="28" t="s">
        <v>693</v>
      </c>
      <c r="B4" s="28">
        <v>0.63143952239527301</v>
      </c>
    </row>
    <row r="5" spans="1:7">
      <c r="A5" s="28" t="s">
        <v>686</v>
      </c>
      <c r="B5" s="28">
        <v>0.39871587044277046</v>
      </c>
    </row>
    <row r="6" spans="1:7">
      <c r="A6" s="28" t="s">
        <v>694</v>
      </c>
      <c r="B6" s="28">
        <v>0.36531119657847994</v>
      </c>
    </row>
    <row r="7" spans="1:7">
      <c r="A7" s="28" t="s">
        <v>77</v>
      </c>
      <c r="B7" s="28">
        <v>14.497892567159163</v>
      </c>
    </row>
    <row r="8" spans="1:7" ht="15" thickBot="1">
      <c r="A8" s="31" t="s">
        <v>224</v>
      </c>
      <c r="B8" s="31">
        <v>20</v>
      </c>
    </row>
    <row r="10" spans="1:7" ht="15" thickBot="1">
      <c r="A10" t="s">
        <v>695</v>
      </c>
    </row>
    <row r="11" spans="1:7">
      <c r="A11" s="27"/>
      <c r="B11" s="27" t="s">
        <v>186</v>
      </c>
      <c r="C11" s="27" t="s">
        <v>578</v>
      </c>
      <c r="D11" s="27" t="s">
        <v>641</v>
      </c>
      <c r="E11" s="27" t="s">
        <v>388</v>
      </c>
      <c r="F11" s="27" t="s">
        <v>698</v>
      </c>
    </row>
    <row r="12" spans="1:7">
      <c r="A12" s="28" t="s">
        <v>623</v>
      </c>
      <c r="B12" s="28">
        <v>1</v>
      </c>
      <c r="C12" s="28">
        <v>2508.8000000000002</v>
      </c>
      <c r="D12" s="28">
        <v>2508.8000000000002</v>
      </c>
      <c r="E12" s="28">
        <v>11.935930644393933</v>
      </c>
      <c r="F12" s="28">
        <v>2.8262307651200484E-3</v>
      </c>
    </row>
    <row r="13" spans="1:7">
      <c r="A13" s="28" t="s">
        <v>696</v>
      </c>
      <c r="B13" s="28">
        <v>18</v>
      </c>
      <c r="C13" s="28">
        <v>3783.3999999999996</v>
      </c>
      <c r="D13" s="28">
        <v>210.18888888888887</v>
      </c>
      <c r="E13" s="28"/>
      <c r="F13" s="28"/>
    </row>
    <row r="14" spans="1:7" ht="15" thickBot="1">
      <c r="A14" s="31" t="s">
        <v>12</v>
      </c>
      <c r="B14" s="31">
        <v>19</v>
      </c>
      <c r="C14" s="31">
        <v>6292.2</v>
      </c>
      <c r="D14" s="31"/>
      <c r="E14" s="31"/>
      <c r="F14" s="31"/>
    </row>
    <row r="15" spans="1:7" ht="15" thickBot="1"/>
    <row r="16" spans="1:7">
      <c r="A16" s="27"/>
      <c r="B16" s="27" t="s">
        <v>699</v>
      </c>
      <c r="C16" s="27" t="s">
        <v>77</v>
      </c>
      <c r="D16" s="27" t="s">
        <v>229</v>
      </c>
      <c r="E16" s="27" t="s">
        <v>367</v>
      </c>
      <c r="F16" s="27" t="s">
        <v>700</v>
      </c>
      <c r="G16" s="27" t="s">
        <v>701</v>
      </c>
    </row>
    <row r="17" spans="1:7">
      <c r="A17" s="28" t="s">
        <v>697</v>
      </c>
      <c r="B17" s="28">
        <v>33.5</v>
      </c>
      <c r="C17" s="28">
        <v>4.5846361784648613</v>
      </c>
      <c r="D17" s="28">
        <v>7.3070138383842878</v>
      </c>
      <c r="E17" s="28">
        <v>8.6872089940159996E-7</v>
      </c>
      <c r="F17" s="28">
        <v>23.868036806176729</v>
      </c>
      <c r="G17" s="28">
        <v>43.131963193823267</v>
      </c>
    </row>
    <row r="18" spans="1:7" ht="15" thickBot="1">
      <c r="A18" s="31" t="s">
        <v>28</v>
      </c>
      <c r="B18" s="31">
        <v>-22.399999999999995</v>
      </c>
      <c r="C18" s="31">
        <v>6.4836546621313635</v>
      </c>
      <c r="D18" s="31">
        <v>-3.4548416236339881</v>
      </c>
      <c r="E18" s="31">
        <v>2.8262307651200484E-3</v>
      </c>
      <c r="F18" s="31">
        <v>-36.021652980983333</v>
      </c>
      <c r="G18" s="31">
        <v>-8.778347019016655</v>
      </c>
    </row>
    <row r="22" spans="1:7">
      <c r="A22" t="s">
        <v>702</v>
      </c>
      <c r="F22" t="s">
        <v>706</v>
      </c>
    </row>
    <row r="23" spans="1:7" ht="15" thickBot="1"/>
    <row r="24" spans="1:7">
      <c r="A24" s="27" t="s">
        <v>703</v>
      </c>
      <c r="B24" s="27" t="s">
        <v>770</v>
      </c>
      <c r="C24" s="27" t="s">
        <v>704</v>
      </c>
      <c r="D24" s="27" t="s">
        <v>705</v>
      </c>
      <c r="F24" s="27" t="s">
        <v>707</v>
      </c>
      <c r="G24" s="27" t="s">
        <v>400</v>
      </c>
    </row>
    <row r="25" spans="1:7">
      <c r="A25" s="28">
        <v>1</v>
      </c>
      <c r="B25" s="28">
        <v>33.5</v>
      </c>
      <c r="C25" s="28">
        <v>0.5</v>
      </c>
      <c r="D25" s="28">
        <v>3.5432816496221299E-2</v>
      </c>
      <c r="F25" s="28">
        <v>2.5</v>
      </c>
      <c r="G25" s="28">
        <v>4</v>
      </c>
    </row>
    <row r="26" spans="1:7">
      <c r="A26" s="28">
        <v>2</v>
      </c>
      <c r="B26" s="28">
        <v>33.5</v>
      </c>
      <c r="C26" s="28">
        <v>18.5</v>
      </c>
      <c r="D26" s="28">
        <v>1.3110142103601881</v>
      </c>
      <c r="F26" s="28">
        <v>7.5</v>
      </c>
      <c r="G26" s="28">
        <v>5</v>
      </c>
    </row>
    <row r="27" spans="1:7">
      <c r="A27" s="28">
        <v>3</v>
      </c>
      <c r="B27" s="28">
        <v>33.5</v>
      </c>
      <c r="C27" s="28">
        <v>-16.5</v>
      </c>
      <c r="D27" s="28">
        <v>-1.169282944375303</v>
      </c>
      <c r="F27" s="28">
        <v>12.5</v>
      </c>
      <c r="G27" s="28">
        <v>6</v>
      </c>
    </row>
    <row r="28" spans="1:7">
      <c r="A28" s="28">
        <v>4</v>
      </c>
      <c r="B28" s="28">
        <v>33.5</v>
      </c>
      <c r="C28" s="28">
        <v>11.5</v>
      </c>
      <c r="D28" s="28">
        <v>0.81495477941308991</v>
      </c>
      <c r="F28" s="28">
        <v>17.5</v>
      </c>
      <c r="G28" s="28">
        <v>6</v>
      </c>
    </row>
    <row r="29" spans="1:7">
      <c r="A29" s="28">
        <v>5</v>
      </c>
      <c r="B29" s="28">
        <v>33.5</v>
      </c>
      <c r="C29" s="28">
        <v>-28.5</v>
      </c>
      <c r="D29" s="28">
        <v>-2.019670540284614</v>
      </c>
      <c r="F29" s="28">
        <v>22.5</v>
      </c>
      <c r="G29" s="28">
        <v>8</v>
      </c>
    </row>
    <row r="30" spans="1:7">
      <c r="A30" s="28">
        <v>6</v>
      </c>
      <c r="B30" s="28">
        <v>33.5</v>
      </c>
      <c r="C30" s="28">
        <v>-4.5</v>
      </c>
      <c r="D30" s="28">
        <v>-0.31889534846599171</v>
      </c>
      <c r="F30" s="28">
        <v>27.5</v>
      </c>
      <c r="G30" s="28">
        <v>10</v>
      </c>
    </row>
    <row r="31" spans="1:7">
      <c r="A31" s="28">
        <v>7</v>
      </c>
      <c r="B31" s="28">
        <v>33.5</v>
      </c>
      <c r="C31" s="28">
        <v>-2.5</v>
      </c>
      <c r="D31" s="28">
        <v>-0.17716408248110652</v>
      </c>
      <c r="F31" s="28">
        <v>32.5</v>
      </c>
      <c r="G31" s="28">
        <v>11</v>
      </c>
    </row>
    <row r="32" spans="1:7">
      <c r="A32" s="28">
        <v>8</v>
      </c>
      <c r="B32" s="28">
        <v>33.5</v>
      </c>
      <c r="C32" s="28">
        <v>-27.5</v>
      </c>
      <c r="D32" s="28">
        <v>-1.9488049072921716</v>
      </c>
      <c r="F32" s="28">
        <v>37.5</v>
      </c>
      <c r="G32" s="28">
        <v>12</v>
      </c>
    </row>
    <row r="33" spans="1:7">
      <c r="A33" s="28">
        <v>9</v>
      </c>
      <c r="B33" s="28">
        <v>33.5</v>
      </c>
      <c r="C33" s="28">
        <v>18.5</v>
      </c>
      <c r="D33" s="28">
        <v>1.3110142103601881</v>
      </c>
      <c r="F33" s="28">
        <v>42.5</v>
      </c>
      <c r="G33" s="28">
        <v>12</v>
      </c>
    </row>
    <row r="34" spans="1:7">
      <c r="A34" s="28">
        <v>10</v>
      </c>
      <c r="B34" s="28">
        <v>33.5</v>
      </c>
      <c r="C34" s="28">
        <v>30.5</v>
      </c>
      <c r="D34" s="28">
        <v>2.1614018062694993</v>
      </c>
      <c r="F34" s="28">
        <v>47.5</v>
      </c>
      <c r="G34" s="28">
        <v>14</v>
      </c>
    </row>
    <row r="35" spans="1:7">
      <c r="A35" s="28">
        <v>11</v>
      </c>
      <c r="B35" s="28">
        <v>11.100000000000005</v>
      </c>
      <c r="C35" s="28">
        <v>0.89999999999999503</v>
      </c>
      <c r="D35" s="28">
        <v>6.3779069693197993E-2</v>
      </c>
      <c r="F35" s="28">
        <v>52.5</v>
      </c>
      <c r="G35" s="28">
        <v>16</v>
      </c>
    </row>
    <row r="36" spans="1:7">
      <c r="A36" s="28">
        <v>12</v>
      </c>
      <c r="B36" s="28">
        <v>11.100000000000005</v>
      </c>
      <c r="C36" s="28">
        <v>-3.100000000000005</v>
      </c>
      <c r="D36" s="28">
        <v>-0.21968346227657243</v>
      </c>
      <c r="F36" s="28">
        <v>57.5</v>
      </c>
      <c r="G36" s="28">
        <v>17</v>
      </c>
    </row>
    <row r="37" spans="1:7">
      <c r="A37" s="28">
        <v>13</v>
      </c>
      <c r="B37" s="28">
        <v>11.100000000000005</v>
      </c>
      <c r="C37" s="28">
        <v>-5.100000000000005</v>
      </c>
      <c r="D37" s="28">
        <v>-0.36141472826145765</v>
      </c>
      <c r="F37" s="28">
        <v>62.5</v>
      </c>
      <c r="G37" s="28">
        <v>18</v>
      </c>
    </row>
    <row r="38" spans="1:7">
      <c r="A38" s="28">
        <v>14</v>
      </c>
      <c r="B38" s="28">
        <v>11.100000000000005</v>
      </c>
      <c r="C38" s="28">
        <v>4.899999999999995</v>
      </c>
      <c r="D38" s="28">
        <v>0.34724160166296841</v>
      </c>
      <c r="F38" s="28">
        <v>67.5</v>
      </c>
      <c r="G38" s="28">
        <v>29</v>
      </c>
    </row>
    <row r="39" spans="1:7">
      <c r="A39" s="28">
        <v>15</v>
      </c>
      <c r="B39" s="28">
        <v>11.100000000000005</v>
      </c>
      <c r="C39" s="28">
        <v>0.89999999999999503</v>
      </c>
      <c r="D39" s="28">
        <v>6.3779069693197993E-2</v>
      </c>
      <c r="F39" s="28">
        <v>72.5</v>
      </c>
      <c r="G39" s="28">
        <v>31</v>
      </c>
    </row>
    <row r="40" spans="1:7">
      <c r="A40" s="28">
        <v>16</v>
      </c>
      <c r="B40" s="28">
        <v>11.100000000000005</v>
      </c>
      <c r="C40" s="28">
        <v>2.899999999999995</v>
      </c>
      <c r="D40" s="28">
        <v>0.20551033567808319</v>
      </c>
      <c r="F40" s="28">
        <v>77.5</v>
      </c>
      <c r="G40" s="28">
        <v>34</v>
      </c>
    </row>
    <row r="41" spans="1:7">
      <c r="A41" s="28">
        <v>17</v>
      </c>
      <c r="B41" s="28">
        <v>11.100000000000005</v>
      </c>
      <c r="C41" s="28">
        <v>-1.100000000000005</v>
      </c>
      <c r="D41" s="28">
        <v>-7.7952196291687217E-2</v>
      </c>
      <c r="F41" s="28">
        <v>82.5</v>
      </c>
      <c r="G41" s="28">
        <v>45</v>
      </c>
    </row>
    <row r="42" spans="1:7">
      <c r="A42" s="28">
        <v>18</v>
      </c>
      <c r="B42" s="28">
        <v>11.100000000000005</v>
      </c>
      <c r="C42" s="28">
        <v>6.899999999999995</v>
      </c>
      <c r="D42" s="28">
        <v>0.48897286764785364</v>
      </c>
      <c r="F42" s="28">
        <v>87.5</v>
      </c>
      <c r="G42" s="28">
        <v>52</v>
      </c>
    </row>
    <row r="43" spans="1:7">
      <c r="A43" s="28">
        <v>19</v>
      </c>
      <c r="B43" s="28">
        <v>11.100000000000005</v>
      </c>
      <c r="C43" s="28">
        <v>-7.100000000000005</v>
      </c>
      <c r="D43" s="28">
        <v>-0.50314599424634288</v>
      </c>
      <c r="F43" s="28">
        <v>92.5</v>
      </c>
      <c r="G43" s="28">
        <v>52</v>
      </c>
    </row>
    <row r="44" spans="1:7" ht="15" thickBot="1">
      <c r="A44" s="31">
        <v>20</v>
      </c>
      <c r="B44" s="31">
        <v>11.100000000000005</v>
      </c>
      <c r="C44" s="31">
        <v>-0.10000000000000497</v>
      </c>
      <c r="D44" s="31">
        <v>-7.0865632992446132E-3</v>
      </c>
      <c r="F44" s="31">
        <v>97.5</v>
      </c>
      <c r="G44" s="31">
        <v>64</v>
      </c>
    </row>
  </sheetData>
  <sortState ref="G25:G44">
    <sortCondition ref="G25"/>
  </sortState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sheetPr codeName="Sheet90"/>
  <dimension ref="A1:L28"/>
  <sheetViews>
    <sheetView workbookViewId="0"/>
  </sheetViews>
  <sheetFormatPr defaultRowHeight="14.4"/>
  <cols>
    <col min="1" max="3" width="8.33203125" customWidth="1"/>
    <col min="5" max="5" width="4" customWidth="1"/>
    <col min="6" max="6" width="10.5546875" customWidth="1"/>
    <col min="7" max="8" width="9.109375" customWidth="1"/>
  </cols>
  <sheetData>
    <row r="1" spans="1:12">
      <c r="A1" s="1" t="s">
        <v>776</v>
      </c>
    </row>
    <row r="3" spans="1:12">
      <c r="A3" s="231" t="s">
        <v>783</v>
      </c>
      <c r="B3" s="231" t="s">
        <v>784</v>
      </c>
      <c r="C3" s="231" t="s">
        <v>777</v>
      </c>
      <c r="F3" s="232" t="s">
        <v>787</v>
      </c>
      <c r="L3" s="178"/>
    </row>
    <row r="4" spans="1:12">
      <c r="A4" s="178">
        <v>7</v>
      </c>
      <c r="B4" s="178">
        <v>5</v>
      </c>
      <c r="C4" s="178">
        <v>65</v>
      </c>
    </row>
    <row r="5" spans="1:12">
      <c r="A5" s="178">
        <v>3</v>
      </c>
      <c r="B5" s="178">
        <v>7</v>
      </c>
      <c r="C5" s="178">
        <v>38</v>
      </c>
      <c r="G5" s="230" t="s">
        <v>783</v>
      </c>
      <c r="H5" s="230" t="s">
        <v>784</v>
      </c>
      <c r="I5" s="230" t="s">
        <v>777</v>
      </c>
    </row>
    <row r="6" spans="1:12">
      <c r="A6" s="178">
        <v>5</v>
      </c>
      <c r="B6" s="178">
        <v>8</v>
      </c>
      <c r="C6" s="178">
        <v>51</v>
      </c>
      <c r="F6" t="s">
        <v>783</v>
      </c>
      <c r="G6" s="194">
        <f t="array" ref="G6:I8">MMULT(TRANSPOSE(A4:C14-A15:C15),A4:C14-A15:C15)/(B17-1)</f>
        <v>5.8</v>
      </c>
      <c r="H6" s="196">
        <v>-2.0999999999999996</v>
      </c>
      <c r="I6" s="195">
        <v>20.500000000000004</v>
      </c>
    </row>
    <row r="7" spans="1:12">
      <c r="A7" s="178">
        <v>8</v>
      </c>
      <c r="B7" s="178">
        <v>1</v>
      </c>
      <c r="C7" s="178">
        <v>38</v>
      </c>
      <c r="F7" t="s">
        <v>784</v>
      </c>
      <c r="G7" s="7">
        <v>-2.0999999999999996</v>
      </c>
      <c r="H7" s="8">
        <v>6.8181818181818183</v>
      </c>
      <c r="I7" s="9">
        <v>15.345454545454547</v>
      </c>
    </row>
    <row r="8" spans="1:12">
      <c r="A8" s="178">
        <v>9</v>
      </c>
      <c r="B8" s="178">
        <v>3</v>
      </c>
      <c r="C8" s="178">
        <v>55</v>
      </c>
      <c r="F8" t="s">
        <v>777</v>
      </c>
      <c r="G8" s="234">
        <v>20.500000000000004</v>
      </c>
      <c r="H8" s="235">
        <v>15.345454545454547</v>
      </c>
      <c r="I8" s="236">
        <v>185.76363636363632</v>
      </c>
    </row>
    <row r="9" spans="1:12">
      <c r="A9" s="178">
        <v>5</v>
      </c>
      <c r="B9" s="178">
        <v>4</v>
      </c>
      <c r="C9" s="178">
        <v>43</v>
      </c>
    </row>
    <row r="10" spans="1:12">
      <c r="A10" s="178">
        <v>4</v>
      </c>
      <c r="B10" s="178">
        <v>0</v>
      </c>
      <c r="C10" s="178">
        <v>25</v>
      </c>
      <c r="F10" t="s">
        <v>786</v>
      </c>
    </row>
    <row r="11" spans="1:12">
      <c r="A11" s="178">
        <v>2</v>
      </c>
      <c r="B11" s="178">
        <v>6</v>
      </c>
      <c r="C11" s="178">
        <v>33</v>
      </c>
      <c r="G11" s="19" t="s">
        <v>788</v>
      </c>
      <c r="H11" s="19" t="s">
        <v>789</v>
      </c>
      <c r="I11" s="19" t="s">
        <v>780</v>
      </c>
    </row>
    <row r="12" spans="1:12">
      <c r="A12" s="178">
        <v>8</v>
      </c>
      <c r="B12" s="178">
        <v>7</v>
      </c>
      <c r="C12" s="178">
        <v>71</v>
      </c>
      <c r="G12" s="194">
        <f t="shared" ref="G12:I13" si="0">G6</f>
        <v>5.8</v>
      </c>
      <c r="H12" s="237">
        <f t="shared" si="0"/>
        <v>-2.0999999999999996</v>
      </c>
      <c r="I12" s="238">
        <f t="shared" si="0"/>
        <v>20.500000000000004</v>
      </c>
    </row>
    <row r="13" spans="1:12">
      <c r="A13" s="178">
        <v>6</v>
      </c>
      <c r="B13" s="178">
        <v>4</v>
      </c>
      <c r="C13" s="178">
        <v>51</v>
      </c>
      <c r="G13" s="234">
        <f t="shared" si="0"/>
        <v>-2.0999999999999996</v>
      </c>
      <c r="H13" s="235">
        <f t="shared" si="0"/>
        <v>6.8181818181818183</v>
      </c>
      <c r="I13" s="236">
        <f t="shared" si="0"/>
        <v>15.345454545454547</v>
      </c>
    </row>
    <row r="14" spans="1:12">
      <c r="A14" s="230">
        <v>9</v>
      </c>
      <c r="B14" s="230">
        <v>2</v>
      </c>
      <c r="C14" s="230">
        <v>49</v>
      </c>
    </row>
    <row r="15" spans="1:12" ht="16.2">
      <c r="A15" s="178">
        <f>AVERAGE(A4:A14)</f>
        <v>6</v>
      </c>
      <c r="B15" s="178">
        <f>AVERAGE(B4:B14)</f>
        <v>4.2727272727272725</v>
      </c>
      <c r="C15" s="178">
        <f>AVERAGE(C4:C14)</f>
        <v>47.18181818181818</v>
      </c>
      <c r="D15" s="178" t="s">
        <v>63</v>
      </c>
      <c r="F15" t="s">
        <v>526</v>
      </c>
      <c r="I15" t="s">
        <v>385</v>
      </c>
      <c r="K15" t="s">
        <v>782</v>
      </c>
    </row>
    <row r="16" spans="1:12">
      <c r="D16" s="178"/>
      <c r="E16" s="178"/>
      <c r="F16" s="194">
        <f>G12</f>
        <v>5.8</v>
      </c>
      <c r="G16" s="195">
        <f>H12</f>
        <v>-2.0999999999999996</v>
      </c>
      <c r="I16" s="214">
        <f>I12</f>
        <v>20.500000000000004</v>
      </c>
      <c r="K16" s="214">
        <f t="array" ref="K16:K17">MMULT(MINVERSE(F16:G17),I16:I17)</f>
        <v>4.8952883645113729</v>
      </c>
    </row>
    <row r="17" spans="1:11">
      <c r="A17" s="178" t="s">
        <v>106</v>
      </c>
      <c r="B17" s="178">
        <f>COUNT(A4:A14)</f>
        <v>11</v>
      </c>
      <c r="F17" s="163">
        <f>G13</f>
        <v>-2.0999999999999996</v>
      </c>
      <c r="G17" s="165">
        <f>H13</f>
        <v>6.8181818181818183</v>
      </c>
      <c r="I17" s="176">
        <f>I13</f>
        <v>15.345454545454547</v>
      </c>
      <c r="K17" s="176">
        <v>3.7584154829361696</v>
      </c>
    </row>
    <row r="19" spans="1:11">
      <c r="F19" t="s">
        <v>790</v>
      </c>
      <c r="G19" s="241">
        <f>C15-MMULT(A15:B15,G20:G21)</f>
        <v>1.7514036585681296</v>
      </c>
    </row>
    <row r="20" spans="1:11">
      <c r="F20" t="s">
        <v>788</v>
      </c>
      <c r="G20" s="239">
        <f t="array" ref="G20:G21">MMULT(MINVERSE(G12:H13),I12:I13)</f>
        <v>4.8952883645113729</v>
      </c>
    </row>
    <row r="21" spans="1:11">
      <c r="F21" t="s">
        <v>789</v>
      </c>
      <c r="G21" s="233">
        <v>3.7584154829361696</v>
      </c>
    </row>
    <row r="23" spans="1:11">
      <c r="F23" s="232" t="s">
        <v>791</v>
      </c>
    </row>
    <row r="25" spans="1:11">
      <c r="G25" s="230" t="s">
        <v>783</v>
      </c>
      <c r="H25" s="230" t="s">
        <v>784</v>
      </c>
      <c r="I25" s="230" t="s">
        <v>777</v>
      </c>
    </row>
    <row r="26" spans="1:11">
      <c r="F26" t="s">
        <v>783</v>
      </c>
      <c r="G26" s="194" t="e">
        <f t="array" aca="1" ref="G26:I28" ca="1">[1]!COV(A4:C14)</f>
        <v>#NAME?</v>
      </c>
      <c r="H26" s="196" t="e">
        <f ca="1"/>
        <v>#NAME?</v>
      </c>
      <c r="I26" s="195" t="e">
        <f ca="1"/>
        <v>#NAME?</v>
      </c>
    </row>
    <row r="27" spans="1:11">
      <c r="F27" t="s">
        <v>784</v>
      </c>
      <c r="G27" s="7" t="e">
        <f ca="1"/>
        <v>#NAME?</v>
      </c>
      <c r="H27" s="8" t="e">
        <f ca="1"/>
        <v>#NAME?</v>
      </c>
      <c r="I27" s="9" t="e">
        <f ca="1"/>
        <v>#NAME?</v>
      </c>
    </row>
    <row r="28" spans="1:11">
      <c r="F28" t="s">
        <v>777</v>
      </c>
      <c r="G28" s="234" t="e">
        <f ca="1"/>
        <v>#NAME?</v>
      </c>
      <c r="H28" s="235" t="e">
        <f ca="1"/>
        <v>#NAME?</v>
      </c>
      <c r="I28" s="236" t="e">
        <f ca="1"/>
        <v>#NAME?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sheetPr codeName="Sheet91"/>
  <dimension ref="A1:AC58"/>
  <sheetViews>
    <sheetView workbookViewId="0"/>
  </sheetViews>
  <sheetFormatPr defaultRowHeight="14.4"/>
  <cols>
    <col min="1" max="3" width="8.33203125" customWidth="1"/>
    <col min="4" max="4" width="5.5546875" customWidth="1"/>
    <col min="5" max="10" width="5.88671875" customWidth="1"/>
    <col min="11" max="11" width="6.5546875" customWidth="1"/>
    <col min="12" max="12" width="5.44140625" customWidth="1"/>
    <col min="14" max="14" width="5.6640625" customWidth="1"/>
    <col min="16" max="16" width="5.88671875" customWidth="1"/>
  </cols>
  <sheetData>
    <row r="1" spans="1:29">
      <c r="A1" s="1" t="s">
        <v>776</v>
      </c>
    </row>
    <row r="3" spans="1:29" ht="16.2">
      <c r="A3" s="231" t="s">
        <v>783</v>
      </c>
      <c r="B3" s="231" t="s">
        <v>784</v>
      </c>
      <c r="C3" s="231" t="s">
        <v>777</v>
      </c>
      <c r="E3" s="1552" t="s">
        <v>778</v>
      </c>
      <c r="F3" s="1552"/>
      <c r="G3" s="1552"/>
      <c r="I3" s="178" t="s">
        <v>779</v>
      </c>
      <c r="K3" s="178" t="s">
        <v>384</v>
      </c>
      <c r="M3" s="162" t="s">
        <v>792</v>
      </c>
      <c r="N3" s="178"/>
      <c r="O3" s="162" t="s">
        <v>387</v>
      </c>
      <c r="Q3" t="s">
        <v>1135</v>
      </c>
      <c r="AC3" s="422" t="s">
        <v>1148</v>
      </c>
    </row>
    <row r="4" spans="1:29">
      <c r="A4" s="178">
        <v>7</v>
      </c>
      <c r="B4" s="178">
        <v>5</v>
      </c>
      <c r="C4" s="178">
        <v>65</v>
      </c>
      <c r="E4" s="240">
        <v>1</v>
      </c>
      <c r="F4" s="229">
        <f t="shared" ref="F4:F14" si="0">A4</f>
        <v>7</v>
      </c>
      <c r="G4" s="204">
        <f t="shared" ref="G4:G14" si="1">B4</f>
        <v>5</v>
      </c>
      <c r="I4" s="226">
        <f t="shared" ref="I4:I14" si="2">C4</f>
        <v>65</v>
      </c>
      <c r="K4" s="214">
        <f t="array" ref="K4:K6">MMULT(E17:G19,MMULT(TRANSPOSE(E4:G14),I4:I14))</f>
        <v>1.7514036585681367</v>
      </c>
      <c r="M4" s="275">
        <f t="array" ref="M4:M14">MMULT(E4:G14,K4:K6)</f>
        <v>54.810499624828537</v>
      </c>
      <c r="O4" s="267">
        <f>I4-M4</f>
        <v>10.189500375171463</v>
      </c>
      <c r="Q4" s="425">
        <f t="array" ref="Q4:AA14">MMULT(MMULT(E4:G14,E17:G19),TRANSPOSE(E4:G14))</f>
        <v>0.12773939817330332</v>
      </c>
      <c r="R4" s="426">
        <v>6.8695179694170633E-2</v>
      </c>
      <c r="S4" s="426">
        <v>0.13418199694688096</v>
      </c>
      <c r="T4" s="426">
        <v>7.9562213770084489E-2</v>
      </c>
      <c r="U4" s="426">
        <v>0.13927915340629765</v>
      </c>
      <c r="V4" s="426">
        <v>6.2252580920592965E-2</v>
      </c>
      <c r="W4" s="426">
        <v>-3.3429066728764195E-2</v>
      </c>
      <c r="X4" s="426">
        <v>2.6960594064529456E-2</v>
      </c>
      <c r="Y4" s="426">
        <v>0.18745633780951648</v>
      </c>
      <c r="Z4" s="426">
        <v>8.6004812543662157E-2</v>
      </c>
      <c r="AA4" s="427">
        <v>0.12129679939972565</v>
      </c>
      <c r="AB4">
        <v>1</v>
      </c>
      <c r="AC4" s="444">
        <f t="array" ref="AC4:AC14">O4:O14/SQRT(O19*(1-INDEX(Q4:AA14,AB4:AB14,AB4:AB14)))</f>
        <v>1.8529159932154711</v>
      </c>
    </row>
    <row r="5" spans="1:29">
      <c r="A5" s="178">
        <v>3</v>
      </c>
      <c r="B5" s="178">
        <v>7</v>
      </c>
      <c r="C5" s="178">
        <v>38</v>
      </c>
      <c r="E5" s="87">
        <v>1</v>
      </c>
      <c r="F5" s="117">
        <f t="shared" si="0"/>
        <v>3</v>
      </c>
      <c r="G5" s="88">
        <f t="shared" si="1"/>
        <v>7</v>
      </c>
      <c r="I5" s="224">
        <f t="shared" si="2"/>
        <v>38</v>
      </c>
      <c r="K5" s="40">
        <v>4.8952883645113623</v>
      </c>
      <c r="M5" s="276">
        <v>42.746177132655433</v>
      </c>
      <c r="O5" s="40">
        <f t="shared" ref="O5:O14" si="3">I5-M5</f>
        <v>-4.7461771326554327</v>
      </c>
      <c r="Q5" s="377">
        <v>6.8695179694170494E-2</v>
      </c>
      <c r="R5" s="8">
        <v>0.29053791818675778</v>
      </c>
      <c r="S5" s="8">
        <v>0.23379647597609252</v>
      </c>
      <c r="T5" s="8">
        <v>-8.1580377241325941E-2</v>
      </c>
      <c r="U5" s="8">
        <v>-6.9316153069937325E-2</v>
      </c>
      <c r="V5" s="8">
        <v>0.12543662190483582</v>
      </c>
      <c r="W5" s="8">
        <v>5.899247069781885E-2</v>
      </c>
      <c r="X5" s="8">
        <v>0.3053636575331834</v>
      </c>
      <c r="Y5" s="8">
        <v>8.095940386555911E-2</v>
      </c>
      <c r="Z5" s="8">
        <v>8.3520919040596053E-2</v>
      </c>
      <c r="AA5" s="9">
        <v>-9.64061165877515E-2</v>
      </c>
      <c r="AB5">
        <f>AB4+1</f>
        <v>2</v>
      </c>
      <c r="AC5" s="376">
        <v>-0.95698541007981308</v>
      </c>
    </row>
    <row r="6" spans="1:29">
      <c r="A6" s="178">
        <v>5</v>
      </c>
      <c r="B6" s="178">
        <v>8</v>
      </c>
      <c r="C6" s="178">
        <v>51</v>
      </c>
      <c r="E6" s="87">
        <v>1</v>
      </c>
      <c r="F6" s="117">
        <f t="shared" si="0"/>
        <v>5</v>
      </c>
      <c r="G6" s="88">
        <f t="shared" si="1"/>
        <v>8</v>
      </c>
      <c r="I6" s="224">
        <f t="shared" si="2"/>
        <v>51</v>
      </c>
      <c r="K6" s="176">
        <v>3.7584154829361722</v>
      </c>
      <c r="M6" s="276">
        <v>56.295169344614322</v>
      </c>
      <c r="O6" s="40">
        <f t="shared" si="3"/>
        <v>-5.2951693446143224</v>
      </c>
      <c r="Q6" s="7">
        <v>0.13418199694688102</v>
      </c>
      <c r="R6" s="8">
        <v>0.23379647597609252</v>
      </c>
      <c r="S6" s="8">
        <v>0.29509172294237895</v>
      </c>
      <c r="T6" s="8">
        <v>-8.5150974151983277E-2</v>
      </c>
      <c r="U6" s="8">
        <v>2.8823514191829103E-2</v>
      </c>
      <c r="V6" s="8">
        <v>7.2886749980594551E-2</v>
      </c>
      <c r="W6" s="8">
        <v>-0.15219022484411004</v>
      </c>
      <c r="X6" s="8">
        <v>0.17537323087272627</v>
      </c>
      <c r="Y6" s="8">
        <v>0.24815648529069334</v>
      </c>
      <c r="Z6" s="8">
        <v>7.5758751843514716E-2</v>
      </c>
      <c r="AA6" s="9">
        <v>-2.6727729048617005E-2</v>
      </c>
      <c r="AB6">
        <f t="shared" ref="AB6:AB14" si="4">AB5+1</f>
        <v>3</v>
      </c>
      <c r="AC6" s="376">
        <v>-1.0711234253885886</v>
      </c>
    </row>
    <row r="7" spans="1:29">
      <c r="A7" s="178">
        <v>8</v>
      </c>
      <c r="B7" s="178">
        <v>1</v>
      </c>
      <c r="C7" s="178">
        <v>38</v>
      </c>
      <c r="E7" s="87">
        <v>1</v>
      </c>
      <c r="F7" s="117">
        <f t="shared" si="0"/>
        <v>8</v>
      </c>
      <c r="G7" s="88">
        <f t="shared" si="1"/>
        <v>1</v>
      </c>
      <c r="I7" s="224">
        <f t="shared" si="2"/>
        <v>38</v>
      </c>
      <c r="M7" s="276">
        <v>44.672126057595207</v>
      </c>
      <c r="O7" s="40">
        <f t="shared" si="3"/>
        <v>-6.6721260575952073</v>
      </c>
      <c r="Q7" s="7">
        <v>7.9562213770084517E-2</v>
      </c>
      <c r="R7" s="8">
        <v>-8.1580377241325747E-2</v>
      </c>
      <c r="S7" s="8">
        <v>-8.515097415198325E-2</v>
      </c>
      <c r="T7" s="8">
        <v>0.26709617325157176</v>
      </c>
      <c r="U7" s="8">
        <v>0.20220445548397095</v>
      </c>
      <c r="V7" s="8">
        <v>8.3132810680742075E-2</v>
      </c>
      <c r="W7" s="8">
        <v>0.23216642086470549</v>
      </c>
      <c r="X7" s="8">
        <v>-5.8759605681906302E-2</v>
      </c>
      <c r="Y7" s="8">
        <v>1.4670496002483713E-2</v>
      </c>
      <c r="Z7" s="8">
        <v>0.10238298532950396</v>
      </c>
      <c r="AA7" s="9">
        <v>0.24427540169215228</v>
      </c>
      <c r="AB7">
        <f t="shared" si="4"/>
        <v>4</v>
      </c>
      <c r="AC7" s="376">
        <v>-1.3236303505689102</v>
      </c>
    </row>
    <row r="8" spans="1:29">
      <c r="A8" s="178">
        <v>9</v>
      </c>
      <c r="B8" s="178">
        <v>3</v>
      </c>
      <c r="C8" s="178">
        <v>55</v>
      </c>
      <c r="E8" s="87">
        <v>1</v>
      </c>
      <c r="F8" s="117">
        <f t="shared" si="0"/>
        <v>9</v>
      </c>
      <c r="G8" s="88">
        <f t="shared" si="1"/>
        <v>3</v>
      </c>
      <c r="I8" s="224">
        <f t="shared" si="2"/>
        <v>55</v>
      </c>
      <c r="K8" s="193" t="s">
        <v>826</v>
      </c>
      <c r="M8" s="276">
        <v>57.08424538797891</v>
      </c>
      <c r="O8" s="40">
        <f t="shared" si="3"/>
        <v>-2.0842453879789105</v>
      </c>
      <c r="Q8" s="7">
        <v>0.13927915340629782</v>
      </c>
      <c r="R8" s="8">
        <v>-6.9316153069937117E-2</v>
      </c>
      <c r="S8" s="8">
        <v>2.8823514191829103E-2</v>
      </c>
      <c r="T8" s="8">
        <v>0.2022044554839712</v>
      </c>
      <c r="U8" s="8">
        <v>0.24665579963259088</v>
      </c>
      <c r="V8" s="8">
        <v>4.1139486144531556E-2</v>
      </c>
      <c r="W8" s="8">
        <v>2.8461279722631072E-3</v>
      </c>
      <c r="X8" s="8">
        <v>-0.11684649020673242</v>
      </c>
      <c r="Y8" s="8">
        <v>0.18373049755491749</v>
      </c>
      <c r="Z8" s="8">
        <v>9.1748816269502487E-2</v>
      </c>
      <c r="AA8" s="9">
        <v>0.2497347926207665</v>
      </c>
      <c r="AB8">
        <f t="shared" si="4"/>
        <v>5</v>
      </c>
      <c r="AC8" s="376">
        <v>-0.40782898942708506</v>
      </c>
    </row>
    <row r="9" spans="1:29">
      <c r="A9" s="178">
        <v>5</v>
      </c>
      <c r="B9" s="178">
        <v>4</v>
      </c>
      <c r="C9" s="178">
        <v>43</v>
      </c>
      <c r="E9" s="87">
        <v>1</v>
      </c>
      <c r="F9" s="117">
        <f t="shared" si="0"/>
        <v>5</v>
      </c>
      <c r="G9" s="88">
        <f t="shared" si="1"/>
        <v>4</v>
      </c>
      <c r="I9" s="224">
        <f t="shared" si="2"/>
        <v>43</v>
      </c>
      <c r="K9" s="272">
        <f>SQRT(I17)</f>
        <v>6.9602026710152911</v>
      </c>
      <c r="M9" s="276">
        <v>41.261507412869634</v>
      </c>
      <c r="O9" s="40">
        <f t="shared" si="3"/>
        <v>1.7384925871303665</v>
      </c>
      <c r="Q9" s="7">
        <v>6.2252580920593034E-2</v>
      </c>
      <c r="R9" s="8">
        <v>0.12543662190483601</v>
      </c>
      <c r="S9" s="8">
        <v>7.2886749980594689E-2</v>
      </c>
      <c r="T9" s="8">
        <v>8.3132810680742006E-2</v>
      </c>
      <c r="U9" s="8">
        <v>4.1139486144531459E-2</v>
      </c>
      <c r="V9" s="8">
        <v>0.11480245284483437</v>
      </c>
      <c r="W9" s="8">
        <v>0.17775362881316475</v>
      </c>
      <c r="X9" s="8">
        <v>0.15695102072498665</v>
      </c>
      <c r="Y9" s="8">
        <v>2.0259256384382487E-2</v>
      </c>
      <c r="Z9" s="8">
        <v>9.3766979740743661E-2</v>
      </c>
      <c r="AA9" s="9">
        <v>5.1618411860591379E-2</v>
      </c>
      <c r="AB9">
        <f t="shared" si="4"/>
        <v>6</v>
      </c>
      <c r="AC9" s="376">
        <v>0.31381862189921916</v>
      </c>
    </row>
    <row r="10" spans="1:29">
      <c r="A10" s="178">
        <v>4</v>
      </c>
      <c r="B10" s="178">
        <v>0</v>
      </c>
      <c r="C10" s="178">
        <v>25</v>
      </c>
      <c r="E10" s="87">
        <v>1</v>
      </c>
      <c r="F10" s="117">
        <f t="shared" si="0"/>
        <v>4</v>
      </c>
      <c r="G10" s="88">
        <f t="shared" si="1"/>
        <v>0</v>
      </c>
      <c r="I10" s="224">
        <f t="shared" si="2"/>
        <v>25</v>
      </c>
      <c r="K10" s="273">
        <f>SQRT(J18)</f>
        <v>0.82022977846272849</v>
      </c>
      <c r="M10" s="276">
        <v>21.332557116613586</v>
      </c>
      <c r="O10" s="40">
        <f t="shared" si="3"/>
        <v>3.6674428833864141</v>
      </c>
      <c r="Q10" s="7">
        <v>-3.3429066728764167E-2</v>
      </c>
      <c r="R10" s="8">
        <v>5.8992470697819321E-2</v>
      </c>
      <c r="S10" s="8">
        <v>-0.15219022484410982</v>
      </c>
      <c r="T10" s="8">
        <v>0.23216642086470532</v>
      </c>
      <c r="U10" s="8">
        <v>2.8461279722628852E-3</v>
      </c>
      <c r="V10" s="8">
        <v>0.17775362881316481</v>
      </c>
      <c r="W10" s="8">
        <v>0.57204584853424467</v>
      </c>
      <c r="X10" s="8">
        <v>0.20582680017594307</v>
      </c>
      <c r="Y10" s="8">
        <v>-0.2627493596212066</v>
      </c>
      <c r="Z10" s="8">
        <v>0.11340526274935969</v>
      </c>
      <c r="AA10" s="9">
        <v>8.5332091386581543E-2</v>
      </c>
      <c r="AB10">
        <f t="shared" si="4"/>
        <v>7</v>
      </c>
      <c r="AC10" s="376">
        <v>0.95211784652177578</v>
      </c>
    </row>
    <row r="11" spans="1:29">
      <c r="A11" s="178">
        <v>2</v>
      </c>
      <c r="B11" s="178">
        <v>6</v>
      </c>
      <c r="C11" s="178">
        <v>33</v>
      </c>
      <c r="E11" s="87">
        <v>1</v>
      </c>
      <c r="F11" s="117">
        <f t="shared" si="0"/>
        <v>2</v>
      </c>
      <c r="G11" s="88">
        <f t="shared" si="1"/>
        <v>6</v>
      </c>
      <c r="I11" s="224">
        <f t="shared" si="2"/>
        <v>33</v>
      </c>
      <c r="K11" s="274">
        <f>SQRT(K19)</f>
        <v>0.75651098735033706</v>
      </c>
      <c r="M11" s="276">
        <v>34.092473285207895</v>
      </c>
      <c r="O11" s="40">
        <f t="shared" si="3"/>
        <v>-1.0924732852078947</v>
      </c>
      <c r="Q11" s="7">
        <v>2.6960594064529331E-2</v>
      </c>
      <c r="R11" s="8">
        <v>0.3053636575331834</v>
      </c>
      <c r="S11" s="8">
        <v>0.17537323087272627</v>
      </c>
      <c r="T11" s="8">
        <v>-5.8759605681906524E-2</v>
      </c>
      <c r="U11" s="8">
        <v>-0.11684649020673266</v>
      </c>
      <c r="V11" s="8">
        <v>0.15695102072498646</v>
      </c>
      <c r="W11" s="8">
        <v>0.20582680017594268</v>
      </c>
      <c r="X11" s="8">
        <v>0.36805609459494448</v>
      </c>
      <c r="Y11" s="8">
        <v>-3.1126290460296802E-2</v>
      </c>
      <c r="Z11" s="8">
        <v>8.9653031126290417E-2</v>
      </c>
      <c r="AA11" s="9">
        <v>-0.12145204274366761</v>
      </c>
      <c r="AB11">
        <f t="shared" si="4"/>
        <v>8</v>
      </c>
      <c r="AC11" s="376">
        <v>-0.23339821457085794</v>
      </c>
    </row>
    <row r="12" spans="1:29">
      <c r="A12" s="178">
        <v>8</v>
      </c>
      <c r="B12" s="178">
        <v>7</v>
      </c>
      <c r="C12" s="178">
        <v>71</v>
      </c>
      <c r="E12" s="87">
        <v>1</v>
      </c>
      <c r="F12" s="117">
        <f t="shared" si="0"/>
        <v>8</v>
      </c>
      <c r="G12" s="88">
        <f t="shared" si="1"/>
        <v>7</v>
      </c>
      <c r="I12" s="224">
        <f t="shared" si="2"/>
        <v>71</v>
      </c>
      <c r="M12" s="276">
        <v>67.222618955212241</v>
      </c>
      <c r="O12" s="40">
        <f t="shared" si="3"/>
        <v>3.7773810447877594</v>
      </c>
      <c r="Q12" s="7">
        <v>0.18745633780951643</v>
      </c>
      <c r="R12" s="8">
        <v>8.0959403865559054E-2</v>
      </c>
      <c r="S12" s="8">
        <v>0.24815648529069312</v>
      </c>
      <c r="T12" s="8">
        <v>1.4670496002483775E-2</v>
      </c>
      <c r="U12" s="8">
        <v>0.18373049755491741</v>
      </c>
      <c r="V12" s="8">
        <v>2.0259256384382279E-2</v>
      </c>
      <c r="W12" s="8">
        <v>-0.26274935962120671</v>
      </c>
      <c r="X12" s="8">
        <v>-3.1126290460296857E-2</v>
      </c>
      <c r="Y12" s="8">
        <v>0.35651633936195004</v>
      </c>
      <c r="Z12" s="8">
        <v>7.5370643483660488E-2</v>
      </c>
      <c r="AA12" s="9">
        <v>0.12675619032833968</v>
      </c>
      <c r="AB12">
        <f t="shared" si="4"/>
        <v>9</v>
      </c>
      <c r="AC12" s="376">
        <v>0.79973849933219099</v>
      </c>
    </row>
    <row r="13" spans="1:29">
      <c r="A13" s="178">
        <v>6</v>
      </c>
      <c r="B13" s="178">
        <v>4</v>
      </c>
      <c r="C13" s="178">
        <v>51</v>
      </c>
      <c r="E13" s="87">
        <v>1</v>
      </c>
      <c r="F13" s="117">
        <f t="shared" si="0"/>
        <v>6</v>
      </c>
      <c r="G13" s="88">
        <f t="shared" si="1"/>
        <v>4</v>
      </c>
      <c r="I13" s="224">
        <f t="shared" si="2"/>
        <v>51</v>
      </c>
      <c r="M13" s="276">
        <v>46.156795777380999</v>
      </c>
      <c r="O13" s="40">
        <f t="shared" si="3"/>
        <v>4.8432042226190006</v>
      </c>
      <c r="Q13" s="7">
        <v>8.6004812543662199E-2</v>
      </c>
      <c r="R13" s="8">
        <v>8.3520919040596261E-2</v>
      </c>
      <c r="S13" s="8">
        <v>7.5758751843514785E-2</v>
      </c>
      <c r="T13" s="8">
        <v>0.10238298532950396</v>
      </c>
      <c r="U13" s="8">
        <v>9.174881626950239E-2</v>
      </c>
      <c r="V13" s="8">
        <v>9.3766979740743675E-2</v>
      </c>
      <c r="W13" s="8">
        <v>0.11340526274935969</v>
      </c>
      <c r="X13" s="8">
        <v>8.9653031126290611E-2</v>
      </c>
      <c r="Y13" s="8">
        <v>7.5370643483660626E-2</v>
      </c>
      <c r="Z13" s="8">
        <v>9.2136924629356548E-2</v>
      </c>
      <c r="AA13" s="9">
        <v>9.6250873243809612E-2</v>
      </c>
      <c r="AB13">
        <f t="shared" si="4"/>
        <v>10</v>
      </c>
      <c r="AC13" s="376">
        <v>0.86327382787517848</v>
      </c>
    </row>
    <row r="14" spans="1:29">
      <c r="A14" s="230">
        <v>9</v>
      </c>
      <c r="B14" s="230">
        <v>2</v>
      </c>
      <c r="C14" s="230">
        <v>49</v>
      </c>
      <c r="E14" s="206">
        <v>1</v>
      </c>
      <c r="F14" s="230">
        <f t="shared" si="0"/>
        <v>9</v>
      </c>
      <c r="G14" s="207">
        <f t="shared" si="1"/>
        <v>2</v>
      </c>
      <c r="I14" s="225">
        <f t="shared" si="2"/>
        <v>49</v>
      </c>
      <c r="M14" s="277">
        <v>53.325829905042738</v>
      </c>
      <c r="O14" s="268">
        <f t="shared" si="3"/>
        <v>-4.3258299050427382</v>
      </c>
      <c r="Q14" s="10">
        <v>0.12129679939972585</v>
      </c>
      <c r="R14" s="11">
        <v>-9.6406116587751223E-2</v>
      </c>
      <c r="S14" s="11">
        <v>-2.6727729048616949E-2</v>
      </c>
      <c r="T14" s="11">
        <v>0.24427540169215248</v>
      </c>
      <c r="U14" s="11">
        <v>0.24973479262076642</v>
      </c>
      <c r="V14" s="11">
        <v>5.1618411860591518E-2</v>
      </c>
      <c r="W14" s="11">
        <v>8.5332091386581793E-2</v>
      </c>
      <c r="X14" s="11">
        <v>-0.12145204274366732</v>
      </c>
      <c r="Y14" s="11">
        <v>0.12675619032833976</v>
      </c>
      <c r="Z14" s="11">
        <v>9.6250873243809765E-2</v>
      </c>
      <c r="AA14" s="12">
        <v>0.26932132784806856</v>
      </c>
      <c r="AB14">
        <f t="shared" si="4"/>
        <v>11</v>
      </c>
      <c r="AC14" s="268">
        <v>-0.85947290855377767</v>
      </c>
    </row>
    <row r="15" spans="1:29">
      <c r="A15" s="117"/>
      <c r="B15" s="117"/>
      <c r="C15" s="117"/>
    </row>
    <row r="16" spans="1:29" ht="16.8">
      <c r="A16" s="178"/>
      <c r="B16" s="178"/>
      <c r="C16" s="178"/>
      <c r="D16" s="178"/>
      <c r="E16" s="1576" t="s">
        <v>781</v>
      </c>
      <c r="F16" s="1576"/>
      <c r="G16" s="1576"/>
      <c r="I16" s="1552" t="s">
        <v>825</v>
      </c>
      <c r="J16" s="1552"/>
      <c r="K16" s="1552"/>
    </row>
    <row r="17" spans="1:21" ht="15.6">
      <c r="D17" s="178"/>
      <c r="E17" s="194">
        <f t="array" ref="E17:G19">MINVERSE(MMULT(TRANSPOSE(E4:G14),E4:G14))</f>
        <v>1.3973194649279432</v>
      </c>
      <c r="F17" s="196">
        <v>-0.14197003803461952</v>
      </c>
      <c r="G17" s="195">
        <v>-0.10639343838132949</v>
      </c>
      <c r="I17" s="269">
        <f t="array" ref="I17:K19">O19*E17:G19</f>
        <v>48.444421221608387</v>
      </c>
      <c r="J17" s="270">
        <v>-4.9220357234138561</v>
      </c>
      <c r="K17" s="271">
        <v>-3.6886114260393215</v>
      </c>
      <c r="N17" t="s">
        <v>690</v>
      </c>
      <c r="O17" s="267">
        <f>DEVSQ(O4:O14)</f>
        <v>277.35630934823661</v>
      </c>
    </row>
    <row r="18" spans="1:21" ht="15.6">
      <c r="E18" s="7">
        <v>-0.14197003803461947</v>
      </c>
      <c r="F18" s="8">
        <v>1.9405417992703587E-2</v>
      </c>
      <c r="G18" s="9">
        <v>5.9768687417527068E-3</v>
      </c>
      <c r="I18" s="7">
        <v>-4.9220357234138543</v>
      </c>
      <c r="J18" s="8">
        <v>0.67277688947701664</v>
      </c>
      <c r="K18" s="9">
        <v>0.20721528195892117</v>
      </c>
      <c r="N18" t="s">
        <v>688</v>
      </c>
      <c r="O18" s="40">
        <f>COUNT(A4:A14)-COUNT(A4:B4)-1</f>
        <v>8</v>
      </c>
    </row>
    <row r="19" spans="1:21" ht="15.6">
      <c r="E19" s="163">
        <v>-0.10639343838132957</v>
      </c>
      <c r="F19" s="164">
        <v>5.976868741752718E-3</v>
      </c>
      <c r="G19" s="165">
        <v>1.6507542239126507E-2</v>
      </c>
      <c r="I19" s="234">
        <v>-3.6886114260393241</v>
      </c>
      <c r="J19" s="235">
        <v>0.20721528195892158</v>
      </c>
      <c r="K19" s="236">
        <v>0.57230887398178176</v>
      </c>
      <c r="N19" t="s">
        <v>824</v>
      </c>
      <c r="O19" s="268">
        <f>O17/O18</f>
        <v>34.669538668529576</v>
      </c>
    </row>
    <row r="21" spans="1:21">
      <c r="A21" s="1" t="s">
        <v>1142</v>
      </c>
    </row>
    <row r="23" spans="1:21">
      <c r="A23" t="s">
        <v>1150</v>
      </c>
      <c r="R23" t="s">
        <v>1149</v>
      </c>
    </row>
    <row r="25" spans="1:21">
      <c r="A25" t="s">
        <v>88</v>
      </c>
      <c r="B25">
        <f>COUNT(AC4:AC14)</f>
        <v>11</v>
      </c>
      <c r="C25">
        <f>2*B25</f>
        <v>22</v>
      </c>
      <c r="R25" t="s">
        <v>88</v>
      </c>
      <c r="S25">
        <f>COUNT(I4:I14)</f>
        <v>11</v>
      </c>
      <c r="T25">
        <f>2*S25</f>
        <v>22</v>
      </c>
    </row>
    <row r="26" spans="1:21">
      <c r="A26" t="s">
        <v>76</v>
      </c>
      <c r="B26">
        <f>AVERAGE(AC4:AC14)</f>
        <v>-6.4158645222906537E-3</v>
      </c>
      <c r="R26" t="s">
        <v>76</v>
      </c>
      <c r="S26">
        <f>AVERAGE(I4:I14)</f>
        <v>47.18181818181818</v>
      </c>
    </row>
    <row r="27" spans="1:21">
      <c r="A27" t="s">
        <v>182</v>
      </c>
      <c r="B27">
        <f>STDEV(AC4:AC14)</f>
        <v>1.029431660477452</v>
      </c>
      <c r="R27" t="s">
        <v>182</v>
      </c>
      <c r="S27">
        <f>STDEV(I4:I14)</f>
        <v>13.629513430920284</v>
      </c>
    </row>
    <row r="29" spans="1:21">
      <c r="A29" t="s">
        <v>210</v>
      </c>
      <c r="B29" t="s">
        <v>211</v>
      </c>
      <c r="C29" t="s">
        <v>555</v>
      </c>
      <c r="D29" t="s">
        <v>212</v>
      </c>
      <c r="R29" t="s">
        <v>210</v>
      </c>
      <c r="S29" t="s">
        <v>211</v>
      </c>
      <c r="T29" t="s">
        <v>555</v>
      </c>
      <c r="U29" t="s">
        <v>212</v>
      </c>
    </row>
    <row r="30" spans="1:21">
      <c r="A30">
        <v>1</v>
      </c>
      <c r="B30">
        <v>-1.3236303505689102</v>
      </c>
      <c r="C30">
        <f>NORMSINV(A30/C$25)</f>
        <v>-1.6906216295848977</v>
      </c>
      <c r="D30">
        <f>STANDARDIZE(B30,B$26,B$27)</f>
        <v>-1.2795550560740412</v>
      </c>
      <c r="R30">
        <v>1</v>
      </c>
      <c r="S30">
        <v>25</v>
      </c>
      <c r="T30">
        <f>NORMSINV(R30/T$25)</f>
        <v>-1.6906216295848977</v>
      </c>
      <c r="U30">
        <f>STANDARDIZE(S30,S$26,S$27)</f>
        <v>-1.6274842307646806</v>
      </c>
    </row>
    <row r="31" spans="1:21">
      <c r="A31">
        <f>A30+2</f>
        <v>3</v>
      </c>
      <c r="B31">
        <v>-1.0711234253885886</v>
      </c>
      <c r="C31">
        <f t="shared" ref="C31:C40" si="5">NORMSINV(A31/C$25)</f>
        <v>-1.096803562093513</v>
      </c>
      <c r="D31">
        <f t="shared" ref="D31:D40" si="6">STANDARDIZE(B31,B$26,B$27)</f>
        <v>-1.0342673552244206</v>
      </c>
      <c r="R31">
        <f>R30+2</f>
        <v>3</v>
      </c>
      <c r="S31">
        <v>33</v>
      </c>
      <c r="T31">
        <f t="shared" ref="T31:T40" si="7">NORMSINV(R31/T$25)</f>
        <v>-1.096803562093513</v>
      </c>
      <c r="U31">
        <f t="shared" ref="U31:U40" si="8">STANDARDIZE(S31,S$26,S$27)</f>
        <v>-1.0405227049151236</v>
      </c>
    </row>
    <row r="32" spans="1:21">
      <c r="A32">
        <f t="shared" ref="A32:A40" si="9">A31+2</f>
        <v>5</v>
      </c>
      <c r="B32">
        <v>-0.95698541007981308</v>
      </c>
      <c r="C32">
        <f t="shared" si="5"/>
        <v>-0.74785859476330196</v>
      </c>
      <c r="D32">
        <f t="shared" si="6"/>
        <v>-0.92339256897990363</v>
      </c>
      <c r="R32">
        <f t="shared" ref="R32:R40" si="10">R31+2</f>
        <v>5</v>
      </c>
      <c r="S32">
        <v>38</v>
      </c>
      <c r="T32">
        <f t="shared" si="7"/>
        <v>-0.74785859476330196</v>
      </c>
      <c r="U32">
        <f t="shared" si="8"/>
        <v>-0.67367175125915046</v>
      </c>
    </row>
    <row r="33" spans="1:21">
      <c r="A33">
        <f t="shared" si="9"/>
        <v>7</v>
      </c>
      <c r="B33">
        <v>-0.85947290855377767</v>
      </c>
      <c r="C33">
        <f t="shared" si="5"/>
        <v>-0.47278912099226744</v>
      </c>
      <c r="D33">
        <f t="shared" si="6"/>
        <v>-0.8286679696987731</v>
      </c>
      <c r="R33">
        <f t="shared" si="10"/>
        <v>7</v>
      </c>
      <c r="S33">
        <v>38</v>
      </c>
      <c r="T33">
        <f t="shared" si="7"/>
        <v>-0.47278912099226744</v>
      </c>
      <c r="U33">
        <f t="shared" si="8"/>
        <v>-0.67367175125915046</v>
      </c>
    </row>
    <row r="34" spans="1:21">
      <c r="A34">
        <f t="shared" si="9"/>
        <v>9</v>
      </c>
      <c r="B34">
        <v>-0.40782898942708506</v>
      </c>
      <c r="C34">
        <f t="shared" si="5"/>
        <v>-0.22988411757923208</v>
      </c>
      <c r="D34">
        <f t="shared" si="6"/>
        <v>-0.3899366420483108</v>
      </c>
      <c r="R34">
        <f t="shared" si="10"/>
        <v>9</v>
      </c>
      <c r="S34">
        <v>43</v>
      </c>
      <c r="T34">
        <f t="shared" si="7"/>
        <v>-0.22988411757923208</v>
      </c>
      <c r="U34">
        <f t="shared" si="8"/>
        <v>-0.30682079760317738</v>
      </c>
    </row>
    <row r="35" spans="1:21">
      <c r="A35">
        <f t="shared" si="9"/>
        <v>11</v>
      </c>
      <c r="B35">
        <v>-0.23339821457085794</v>
      </c>
      <c r="C35">
        <f t="shared" si="5"/>
        <v>0</v>
      </c>
      <c r="D35">
        <f t="shared" si="6"/>
        <v>-0.22049287851054875</v>
      </c>
      <c r="R35">
        <f t="shared" si="10"/>
        <v>11</v>
      </c>
      <c r="S35">
        <v>49</v>
      </c>
      <c r="T35">
        <f t="shared" si="7"/>
        <v>0</v>
      </c>
      <c r="U35">
        <f t="shared" si="8"/>
        <v>0.13340034678399038</v>
      </c>
    </row>
    <row r="36" spans="1:21">
      <c r="A36">
        <f t="shared" si="9"/>
        <v>13</v>
      </c>
      <c r="B36">
        <v>0.31381862189921916</v>
      </c>
      <c r="C36">
        <f t="shared" si="5"/>
        <v>0.22988411757923222</v>
      </c>
      <c r="D36">
        <f t="shared" si="6"/>
        <v>0.31107891734453219</v>
      </c>
      <c r="R36">
        <f t="shared" si="10"/>
        <v>13</v>
      </c>
      <c r="S36">
        <v>51</v>
      </c>
      <c r="T36">
        <f t="shared" si="7"/>
        <v>0.22988411757923222</v>
      </c>
      <c r="U36">
        <f t="shared" si="8"/>
        <v>0.28014072824637959</v>
      </c>
    </row>
    <row r="37" spans="1:21">
      <c r="A37">
        <f t="shared" si="9"/>
        <v>15</v>
      </c>
      <c r="B37">
        <v>0.79973849933219099</v>
      </c>
      <c r="C37">
        <f t="shared" si="5"/>
        <v>0.47278912099226728</v>
      </c>
      <c r="D37">
        <f t="shared" si="6"/>
        <v>0.78310624668429762</v>
      </c>
      <c r="R37">
        <f t="shared" si="10"/>
        <v>15</v>
      </c>
      <c r="S37">
        <v>51</v>
      </c>
      <c r="T37">
        <f t="shared" si="7"/>
        <v>0.47278912099226728</v>
      </c>
      <c r="U37">
        <f t="shared" si="8"/>
        <v>0.28014072824637959</v>
      </c>
    </row>
    <row r="38" spans="1:21">
      <c r="A38">
        <f t="shared" si="9"/>
        <v>17</v>
      </c>
      <c r="B38">
        <v>0.86327382787517848</v>
      </c>
      <c r="C38">
        <f t="shared" si="5"/>
        <v>0.74785859476330196</v>
      </c>
      <c r="D38">
        <f t="shared" si="6"/>
        <v>0.84482508726621608</v>
      </c>
      <c r="R38">
        <f t="shared" si="10"/>
        <v>17</v>
      </c>
      <c r="S38">
        <v>55</v>
      </c>
      <c r="T38">
        <f t="shared" si="7"/>
        <v>0.74785859476330196</v>
      </c>
      <c r="U38">
        <f t="shared" si="8"/>
        <v>0.57362149117115813</v>
      </c>
    </row>
    <row r="39" spans="1:21">
      <c r="A39">
        <f t="shared" si="9"/>
        <v>19</v>
      </c>
      <c r="B39">
        <v>0.95211784652177578</v>
      </c>
      <c r="C39">
        <f t="shared" si="5"/>
        <v>1.096803562093513</v>
      </c>
      <c r="D39">
        <f t="shared" si="6"/>
        <v>0.93112903735591057</v>
      </c>
      <c r="R39">
        <f t="shared" si="10"/>
        <v>19</v>
      </c>
      <c r="S39">
        <v>65</v>
      </c>
      <c r="T39">
        <f t="shared" si="7"/>
        <v>1.096803562093513</v>
      </c>
      <c r="U39">
        <f t="shared" si="8"/>
        <v>1.3073233984831043</v>
      </c>
    </row>
    <row r="40" spans="1:21">
      <c r="A40">
        <f t="shared" si="9"/>
        <v>21</v>
      </c>
      <c r="B40">
        <v>1.8529159932154711</v>
      </c>
      <c r="C40">
        <f t="shared" si="5"/>
        <v>1.6906216295848984</v>
      </c>
      <c r="D40">
        <f t="shared" si="6"/>
        <v>1.8061731818850419</v>
      </c>
      <c r="R40">
        <f t="shared" si="10"/>
        <v>21</v>
      </c>
      <c r="S40">
        <v>71</v>
      </c>
      <c r="T40">
        <f t="shared" si="7"/>
        <v>1.6906216295848984</v>
      </c>
      <c r="U40">
        <f t="shared" si="8"/>
        <v>1.7475445428702721</v>
      </c>
    </row>
    <row r="45" spans="1:21">
      <c r="A45" s="1" t="s">
        <v>1151</v>
      </c>
    </row>
    <row r="47" spans="1:21">
      <c r="A47" s="162" t="s">
        <v>792</v>
      </c>
      <c r="B47" s="422" t="s">
        <v>1152</v>
      </c>
    </row>
    <row r="48" spans="1:21">
      <c r="A48" s="448">
        <f>M4</f>
        <v>54.810499624828537</v>
      </c>
      <c r="B48" s="443">
        <f>AC4</f>
        <v>1.8529159932154711</v>
      </c>
    </row>
    <row r="49" spans="1:2">
      <c r="A49" s="449">
        <f t="shared" ref="A49:A58" si="11">M5</f>
        <v>42.746177132655433</v>
      </c>
      <c r="B49" s="9">
        <f t="shared" ref="B49:B58" si="12">AC5</f>
        <v>-0.95698541007981308</v>
      </c>
    </row>
    <row r="50" spans="1:2">
      <c r="A50" s="449">
        <f t="shared" si="11"/>
        <v>56.295169344614322</v>
      </c>
      <c r="B50" s="9">
        <f t="shared" si="12"/>
        <v>-1.0711234253885886</v>
      </c>
    </row>
    <row r="51" spans="1:2">
      <c r="A51" s="449">
        <f t="shared" si="11"/>
        <v>44.672126057595207</v>
      </c>
      <c r="B51" s="9">
        <f t="shared" si="12"/>
        <v>-1.3236303505689102</v>
      </c>
    </row>
    <row r="52" spans="1:2">
      <c r="A52" s="449">
        <f t="shared" si="11"/>
        <v>57.08424538797891</v>
      </c>
      <c r="B52" s="9">
        <f t="shared" si="12"/>
        <v>-0.40782898942708506</v>
      </c>
    </row>
    <row r="53" spans="1:2">
      <c r="A53" s="449">
        <f t="shared" si="11"/>
        <v>41.261507412869634</v>
      </c>
      <c r="B53" s="9">
        <f t="shared" si="12"/>
        <v>0.31381862189921916</v>
      </c>
    </row>
    <row r="54" spans="1:2">
      <c r="A54" s="449">
        <f t="shared" si="11"/>
        <v>21.332557116613586</v>
      </c>
      <c r="B54" s="9">
        <f t="shared" si="12"/>
        <v>0.95211784652177578</v>
      </c>
    </row>
    <row r="55" spans="1:2">
      <c r="A55" s="449">
        <f t="shared" si="11"/>
        <v>34.092473285207895</v>
      </c>
      <c r="B55" s="9">
        <f t="shared" si="12"/>
        <v>-0.23339821457085794</v>
      </c>
    </row>
    <row r="56" spans="1:2">
      <c r="A56" s="449">
        <f t="shared" si="11"/>
        <v>67.222618955212241</v>
      </c>
      <c r="B56" s="9">
        <f t="shared" si="12"/>
        <v>0.79973849933219099</v>
      </c>
    </row>
    <row r="57" spans="1:2">
      <c r="A57" s="449">
        <f t="shared" si="11"/>
        <v>46.156795777380999</v>
      </c>
      <c r="B57" s="9">
        <f t="shared" si="12"/>
        <v>0.86327382787517848</v>
      </c>
    </row>
    <row r="58" spans="1:2">
      <c r="A58" s="450">
        <f t="shared" si="11"/>
        <v>53.325829905042738</v>
      </c>
      <c r="B58" s="12">
        <f t="shared" si="12"/>
        <v>-0.85947290855377767</v>
      </c>
    </row>
  </sheetData>
  <mergeCells count="3">
    <mergeCell ref="E3:G3"/>
    <mergeCell ref="E16:G16"/>
    <mergeCell ref="I16:K16"/>
  </mergeCells>
  <pageMargins left="0.7" right="0.7" top="0.75" bottom="0.75" header="0.3" footer="0.3"/>
  <pageSetup paperSize="9" orientation="portrait" horizontalDpi="300" verticalDpi="300" r:id="rId1"/>
  <ignoredErrors>
    <ignoredError sqref="O18" formulaRange="1"/>
  </ignoredErrors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>
  <sheetPr codeName="Sheet206"/>
  <dimension ref="A1:AC19"/>
  <sheetViews>
    <sheetView workbookViewId="0">
      <selection activeCell="K4" sqref="K4"/>
    </sheetView>
  </sheetViews>
  <sheetFormatPr defaultRowHeight="14.4"/>
  <cols>
    <col min="1" max="3" width="8.33203125" customWidth="1"/>
    <col min="4" max="4" width="5.5546875" customWidth="1"/>
    <col min="5" max="8" width="5.88671875" customWidth="1"/>
    <col min="9" max="11" width="7" customWidth="1"/>
    <col min="12" max="12" width="5.44140625" customWidth="1"/>
    <col min="14" max="14" width="5.6640625" customWidth="1"/>
    <col min="16" max="16" width="5.88671875" customWidth="1"/>
  </cols>
  <sheetData>
    <row r="1" spans="1:29">
      <c r="A1" s="1" t="s">
        <v>1967</v>
      </c>
    </row>
    <row r="3" spans="1:29" ht="16.2">
      <c r="A3" s="231" t="s">
        <v>783</v>
      </c>
      <c r="B3" s="231" t="s">
        <v>784</v>
      </c>
      <c r="C3" s="231" t="s">
        <v>777</v>
      </c>
      <c r="E3" s="1552" t="s">
        <v>778</v>
      </c>
      <c r="F3" s="1552"/>
      <c r="G3" s="1552"/>
      <c r="I3" s="693" t="s">
        <v>779</v>
      </c>
      <c r="K3" s="693" t="s">
        <v>384</v>
      </c>
      <c r="M3" s="162" t="s">
        <v>792</v>
      </c>
      <c r="N3" s="693"/>
      <c r="O3" s="162" t="s">
        <v>387</v>
      </c>
      <c r="Q3" t="s">
        <v>1135</v>
      </c>
      <c r="AC3" s="693" t="s">
        <v>1148</v>
      </c>
    </row>
    <row r="4" spans="1:29">
      <c r="A4" s="693">
        <v>7</v>
      </c>
      <c r="B4" s="693">
        <v>5</v>
      </c>
      <c r="C4" s="693">
        <v>65</v>
      </c>
      <c r="E4" s="240" t="e">
        <f t="array" aca="1" ref="E4:G14" ca="1">[1]!DESIGN(A4:B14)</f>
        <v>#NAME?</v>
      </c>
      <c r="F4" s="229" t="e">
        <f ca="1"/>
        <v>#NAME?</v>
      </c>
      <c r="G4" s="204" t="e">
        <f ca="1"/>
        <v>#NAME?</v>
      </c>
      <c r="I4" s="226">
        <f t="shared" ref="I4:I14" si="0">C4</f>
        <v>65</v>
      </c>
      <c r="K4" s="214" t="e">
        <f t="array" aca="1" ref="K4:K6" ca="1">[1]!RegCoeff(A4:B14,C4:C14)</f>
        <v>#NAME?</v>
      </c>
      <c r="M4" s="275" t="e">
        <f t="array" aca="1" ref="M4:M14" ca="1">[1]!regY(A4:B14,C4:C14)</f>
        <v>#NAME?</v>
      </c>
      <c r="O4" s="267" t="e">
        <f t="array" aca="1" ref="O4:O14" ca="1">[1]!rege(A4:B14,C4:C14)</f>
        <v>#NAME?</v>
      </c>
      <c r="Q4" s="425" t="e">
        <f t="array" aca="1" ref="Q4:AA14" ca="1">[1]!hat(A4:B14)</f>
        <v>#NAME?</v>
      </c>
      <c r="R4" s="426" t="e">
        <f ca="1"/>
        <v>#NAME?</v>
      </c>
      <c r="S4" s="426" t="e">
        <f ca="1"/>
        <v>#NAME?</v>
      </c>
      <c r="T4" s="426" t="e">
        <f ca="1"/>
        <v>#NAME?</v>
      </c>
      <c r="U4" s="426" t="e">
        <f ca="1"/>
        <v>#NAME?</v>
      </c>
      <c r="V4" s="426" t="e">
        <f ca="1"/>
        <v>#NAME?</v>
      </c>
      <c r="W4" s="426" t="e">
        <f ca="1"/>
        <v>#NAME?</v>
      </c>
      <c r="X4" s="426" t="e">
        <f ca="1"/>
        <v>#NAME?</v>
      </c>
      <c r="Y4" s="426" t="e">
        <f ca="1"/>
        <v>#NAME?</v>
      </c>
      <c r="Z4" s="426" t="e">
        <f ca="1"/>
        <v>#NAME?</v>
      </c>
      <c r="AA4" s="427" t="e">
        <f ca="1"/>
        <v>#NAME?</v>
      </c>
      <c r="AB4">
        <v>1</v>
      </c>
      <c r="AC4" s="444" t="e">
        <f t="array" aca="1" ref="AC4:AC14" ca="1">[1]!RegStudE(A4:B14,C4:C14)</f>
        <v>#NAME?</v>
      </c>
    </row>
    <row r="5" spans="1:29">
      <c r="A5" s="693">
        <v>3</v>
      </c>
      <c r="B5" s="693">
        <v>7</v>
      </c>
      <c r="C5" s="693">
        <v>38</v>
      </c>
      <c r="E5" s="87" t="e">
        <f ca="1"/>
        <v>#NAME?</v>
      </c>
      <c r="F5" s="117" t="e">
        <f ca="1"/>
        <v>#NAME?</v>
      </c>
      <c r="G5" s="88" t="e">
        <f ca="1"/>
        <v>#NAME?</v>
      </c>
      <c r="I5" s="224">
        <f t="shared" si="0"/>
        <v>38</v>
      </c>
      <c r="K5" s="40" t="e">
        <f ca="1"/>
        <v>#NAME?</v>
      </c>
      <c r="M5" s="276" t="e">
        <f ca="1"/>
        <v>#NAME?</v>
      </c>
      <c r="O5" s="40" t="e">
        <f ca="1"/>
        <v>#NAME?</v>
      </c>
      <c r="Q5" s="377" t="e">
        <f ca="1"/>
        <v>#NAME?</v>
      </c>
      <c r="R5" s="8" t="e">
        <f ca="1"/>
        <v>#NAME?</v>
      </c>
      <c r="S5" s="8" t="e">
        <f ca="1"/>
        <v>#NAME?</v>
      </c>
      <c r="T5" s="8" t="e">
        <f ca="1"/>
        <v>#NAME?</v>
      </c>
      <c r="U5" s="8" t="e">
        <f ca="1"/>
        <v>#NAME?</v>
      </c>
      <c r="V5" s="8" t="e">
        <f ca="1"/>
        <v>#NAME?</v>
      </c>
      <c r="W5" s="8" t="e">
        <f ca="1"/>
        <v>#NAME?</v>
      </c>
      <c r="X5" s="8" t="e">
        <f ca="1"/>
        <v>#NAME?</v>
      </c>
      <c r="Y5" s="8" t="e">
        <f ca="1"/>
        <v>#NAME?</v>
      </c>
      <c r="Z5" s="8" t="e">
        <f ca="1"/>
        <v>#NAME?</v>
      </c>
      <c r="AA5" s="9" t="e">
        <f ca="1"/>
        <v>#NAME?</v>
      </c>
      <c r="AB5">
        <f>AB4+1</f>
        <v>2</v>
      </c>
      <c r="AC5" s="376" t="e">
        <f ca="1"/>
        <v>#NAME?</v>
      </c>
    </row>
    <row r="6" spans="1:29">
      <c r="A6" s="693">
        <v>5</v>
      </c>
      <c r="B6" s="693">
        <v>8</v>
      </c>
      <c r="C6" s="693">
        <v>51</v>
      </c>
      <c r="E6" s="87" t="e">
        <f ca="1"/>
        <v>#NAME?</v>
      </c>
      <c r="F6" s="117" t="e">
        <f ca="1"/>
        <v>#NAME?</v>
      </c>
      <c r="G6" s="88" t="e">
        <f ca="1"/>
        <v>#NAME?</v>
      </c>
      <c r="I6" s="224">
        <f t="shared" si="0"/>
        <v>51</v>
      </c>
      <c r="K6" s="176" t="e">
        <f ca="1"/>
        <v>#NAME?</v>
      </c>
      <c r="M6" s="276" t="e">
        <f ca="1"/>
        <v>#NAME?</v>
      </c>
      <c r="O6" s="40" t="e">
        <f ca="1"/>
        <v>#NAME?</v>
      </c>
      <c r="Q6" s="7" t="e">
        <f ca="1"/>
        <v>#NAME?</v>
      </c>
      <c r="R6" s="8" t="e">
        <f ca="1"/>
        <v>#NAME?</v>
      </c>
      <c r="S6" s="8" t="e">
        <f ca="1"/>
        <v>#NAME?</v>
      </c>
      <c r="T6" s="8" t="e">
        <f ca="1"/>
        <v>#NAME?</v>
      </c>
      <c r="U6" s="8" t="e">
        <f ca="1"/>
        <v>#NAME?</v>
      </c>
      <c r="V6" s="8" t="e">
        <f ca="1"/>
        <v>#NAME?</v>
      </c>
      <c r="W6" s="8" t="e">
        <f ca="1"/>
        <v>#NAME?</v>
      </c>
      <c r="X6" s="8" t="e">
        <f ca="1"/>
        <v>#NAME?</v>
      </c>
      <c r="Y6" s="8" t="e">
        <f ca="1"/>
        <v>#NAME?</v>
      </c>
      <c r="Z6" s="8" t="e">
        <f ca="1"/>
        <v>#NAME?</v>
      </c>
      <c r="AA6" s="9" t="e">
        <f ca="1"/>
        <v>#NAME?</v>
      </c>
      <c r="AB6">
        <f t="shared" ref="AB6:AB14" si="1">AB5+1</f>
        <v>3</v>
      </c>
      <c r="AC6" s="376" t="e">
        <f ca="1"/>
        <v>#NAME?</v>
      </c>
    </row>
    <row r="7" spans="1:29">
      <c r="A7" s="693">
        <v>8</v>
      </c>
      <c r="B7" s="693">
        <v>1</v>
      </c>
      <c r="C7" s="693">
        <v>38</v>
      </c>
      <c r="E7" s="87" t="e">
        <f ca="1"/>
        <v>#NAME?</v>
      </c>
      <c r="F7" s="117" t="e">
        <f ca="1"/>
        <v>#NAME?</v>
      </c>
      <c r="G7" s="88" t="e">
        <f ca="1"/>
        <v>#NAME?</v>
      </c>
      <c r="I7" s="224">
        <f t="shared" si="0"/>
        <v>38</v>
      </c>
      <c r="M7" s="276" t="e">
        <f ca="1"/>
        <v>#NAME?</v>
      </c>
      <c r="O7" s="40" t="e">
        <f ca="1"/>
        <v>#NAME?</v>
      </c>
      <c r="Q7" s="7" t="e">
        <f ca="1"/>
        <v>#NAME?</v>
      </c>
      <c r="R7" s="8" t="e">
        <f ca="1"/>
        <v>#NAME?</v>
      </c>
      <c r="S7" s="8" t="e">
        <f ca="1"/>
        <v>#NAME?</v>
      </c>
      <c r="T7" s="8" t="e">
        <f ca="1"/>
        <v>#NAME?</v>
      </c>
      <c r="U7" s="8" t="e">
        <f ca="1"/>
        <v>#NAME?</v>
      </c>
      <c r="V7" s="8" t="e">
        <f ca="1"/>
        <v>#NAME?</v>
      </c>
      <c r="W7" s="8" t="e">
        <f ca="1"/>
        <v>#NAME?</v>
      </c>
      <c r="X7" s="8" t="e">
        <f ca="1"/>
        <v>#NAME?</v>
      </c>
      <c r="Y7" s="8" t="e">
        <f ca="1"/>
        <v>#NAME?</v>
      </c>
      <c r="Z7" s="8" t="e">
        <f ca="1"/>
        <v>#NAME?</v>
      </c>
      <c r="AA7" s="9" t="e">
        <f ca="1"/>
        <v>#NAME?</v>
      </c>
      <c r="AB7">
        <f t="shared" si="1"/>
        <v>4</v>
      </c>
      <c r="AC7" s="376" t="e">
        <f ca="1"/>
        <v>#NAME?</v>
      </c>
    </row>
    <row r="8" spans="1:29">
      <c r="A8" s="693">
        <v>9</v>
      </c>
      <c r="B8" s="693">
        <v>3</v>
      </c>
      <c r="C8" s="693">
        <v>55</v>
      </c>
      <c r="E8" s="87" t="e">
        <f ca="1"/>
        <v>#NAME?</v>
      </c>
      <c r="F8" s="117" t="e">
        <f ca="1"/>
        <v>#NAME?</v>
      </c>
      <c r="G8" s="88" t="e">
        <f ca="1"/>
        <v>#NAME?</v>
      </c>
      <c r="I8" s="224">
        <f t="shared" si="0"/>
        <v>55</v>
      </c>
      <c r="K8" s="693" t="s">
        <v>826</v>
      </c>
      <c r="M8" s="276" t="e">
        <f ca="1"/>
        <v>#NAME?</v>
      </c>
      <c r="O8" s="40" t="e">
        <f ca="1"/>
        <v>#NAME?</v>
      </c>
      <c r="Q8" s="7" t="e">
        <f ca="1"/>
        <v>#NAME?</v>
      </c>
      <c r="R8" s="8" t="e">
        <f ca="1"/>
        <v>#NAME?</v>
      </c>
      <c r="S8" s="8" t="e">
        <f ca="1"/>
        <v>#NAME?</v>
      </c>
      <c r="T8" s="8" t="e">
        <f ca="1"/>
        <v>#NAME?</v>
      </c>
      <c r="U8" s="8" t="e">
        <f ca="1"/>
        <v>#NAME?</v>
      </c>
      <c r="V8" s="8" t="e">
        <f ca="1"/>
        <v>#NAME?</v>
      </c>
      <c r="W8" s="8" t="e">
        <f ca="1"/>
        <v>#NAME?</v>
      </c>
      <c r="X8" s="8" t="e">
        <f ca="1"/>
        <v>#NAME?</v>
      </c>
      <c r="Y8" s="8" t="e">
        <f ca="1"/>
        <v>#NAME?</v>
      </c>
      <c r="Z8" s="8" t="e">
        <f ca="1"/>
        <v>#NAME?</v>
      </c>
      <c r="AA8" s="9" t="e">
        <f ca="1"/>
        <v>#NAME?</v>
      </c>
      <c r="AB8">
        <f t="shared" si="1"/>
        <v>5</v>
      </c>
      <c r="AC8" s="376" t="e">
        <f ca="1"/>
        <v>#NAME?</v>
      </c>
    </row>
    <row r="9" spans="1:29">
      <c r="A9" s="693">
        <v>5</v>
      </c>
      <c r="B9" s="693">
        <v>4</v>
      </c>
      <c r="C9" s="693">
        <v>43</v>
      </c>
      <c r="E9" s="87" t="e">
        <f ca="1"/>
        <v>#NAME?</v>
      </c>
      <c r="F9" s="117" t="e">
        <f ca="1"/>
        <v>#NAME?</v>
      </c>
      <c r="G9" s="88" t="e">
        <f ca="1"/>
        <v>#NAME?</v>
      </c>
      <c r="I9" s="224">
        <f t="shared" si="0"/>
        <v>43</v>
      </c>
      <c r="K9" s="272" t="e">
        <f t="array" aca="1" ref="K9:K11" ca="1">[1]!RegCoeffSE(A4:B14,C4:C14)</f>
        <v>#NAME?</v>
      </c>
      <c r="M9" s="276" t="e">
        <f ca="1"/>
        <v>#NAME?</v>
      </c>
      <c r="O9" s="40" t="e">
        <f ca="1"/>
        <v>#NAME?</v>
      </c>
      <c r="Q9" s="7" t="e">
        <f ca="1"/>
        <v>#NAME?</v>
      </c>
      <c r="R9" s="8" t="e">
        <f ca="1"/>
        <v>#NAME?</v>
      </c>
      <c r="S9" s="8" t="e">
        <f ca="1"/>
        <v>#NAME?</v>
      </c>
      <c r="T9" s="8" t="e">
        <f ca="1"/>
        <v>#NAME?</v>
      </c>
      <c r="U9" s="8" t="e">
        <f ca="1"/>
        <v>#NAME?</v>
      </c>
      <c r="V9" s="8" t="e">
        <f ca="1"/>
        <v>#NAME?</v>
      </c>
      <c r="W9" s="8" t="e">
        <f ca="1"/>
        <v>#NAME?</v>
      </c>
      <c r="X9" s="8" t="e">
        <f ca="1"/>
        <v>#NAME?</v>
      </c>
      <c r="Y9" s="8" t="e">
        <f ca="1"/>
        <v>#NAME?</v>
      </c>
      <c r="Z9" s="8" t="e">
        <f ca="1"/>
        <v>#NAME?</v>
      </c>
      <c r="AA9" s="9" t="e">
        <f ca="1"/>
        <v>#NAME?</v>
      </c>
      <c r="AB9">
        <f t="shared" si="1"/>
        <v>6</v>
      </c>
      <c r="AC9" s="376" t="e">
        <f ca="1"/>
        <v>#NAME?</v>
      </c>
    </row>
    <row r="10" spans="1:29">
      <c r="A10" s="693">
        <v>4</v>
      </c>
      <c r="B10" s="693">
        <v>0</v>
      </c>
      <c r="C10" s="693">
        <v>25</v>
      </c>
      <c r="E10" s="87" t="e">
        <f ca="1"/>
        <v>#NAME?</v>
      </c>
      <c r="F10" s="117" t="e">
        <f ca="1"/>
        <v>#NAME?</v>
      </c>
      <c r="G10" s="88" t="e">
        <f ca="1"/>
        <v>#NAME?</v>
      </c>
      <c r="I10" s="224">
        <f t="shared" si="0"/>
        <v>25</v>
      </c>
      <c r="K10" s="273" t="e">
        <f ca="1"/>
        <v>#NAME?</v>
      </c>
      <c r="M10" s="276" t="e">
        <f ca="1"/>
        <v>#NAME?</v>
      </c>
      <c r="O10" s="40" t="e">
        <f ca="1"/>
        <v>#NAME?</v>
      </c>
      <c r="Q10" s="7" t="e">
        <f ca="1"/>
        <v>#NAME?</v>
      </c>
      <c r="R10" s="8" t="e">
        <f ca="1"/>
        <v>#NAME?</v>
      </c>
      <c r="S10" s="8" t="e">
        <f ca="1"/>
        <v>#NAME?</v>
      </c>
      <c r="T10" s="8" t="e">
        <f ca="1"/>
        <v>#NAME?</v>
      </c>
      <c r="U10" s="8" t="e">
        <f ca="1"/>
        <v>#NAME?</v>
      </c>
      <c r="V10" s="8" t="e">
        <f ca="1"/>
        <v>#NAME?</v>
      </c>
      <c r="W10" s="8" t="e">
        <f ca="1"/>
        <v>#NAME?</v>
      </c>
      <c r="X10" s="8" t="e">
        <f ca="1"/>
        <v>#NAME?</v>
      </c>
      <c r="Y10" s="8" t="e">
        <f ca="1"/>
        <v>#NAME?</v>
      </c>
      <c r="Z10" s="8" t="e">
        <f ca="1"/>
        <v>#NAME?</v>
      </c>
      <c r="AA10" s="9" t="e">
        <f ca="1"/>
        <v>#NAME?</v>
      </c>
      <c r="AB10">
        <f t="shared" si="1"/>
        <v>7</v>
      </c>
      <c r="AC10" s="376" t="e">
        <f ca="1"/>
        <v>#NAME?</v>
      </c>
    </row>
    <row r="11" spans="1:29">
      <c r="A11" s="693">
        <v>2</v>
      </c>
      <c r="B11" s="693">
        <v>6</v>
      </c>
      <c r="C11" s="693">
        <v>33</v>
      </c>
      <c r="E11" s="87" t="e">
        <f ca="1"/>
        <v>#NAME?</v>
      </c>
      <c r="F11" s="117" t="e">
        <f ca="1"/>
        <v>#NAME?</v>
      </c>
      <c r="G11" s="88" t="e">
        <f ca="1"/>
        <v>#NAME?</v>
      </c>
      <c r="I11" s="224">
        <f t="shared" si="0"/>
        <v>33</v>
      </c>
      <c r="K11" s="274" t="e">
        <f ca="1"/>
        <v>#NAME?</v>
      </c>
      <c r="M11" s="276" t="e">
        <f ca="1"/>
        <v>#NAME?</v>
      </c>
      <c r="O11" s="40" t="e">
        <f ca="1"/>
        <v>#NAME?</v>
      </c>
      <c r="Q11" s="7" t="e">
        <f ca="1"/>
        <v>#NAME?</v>
      </c>
      <c r="R11" s="8" t="e">
        <f ca="1"/>
        <v>#NAME?</v>
      </c>
      <c r="S11" s="8" t="e">
        <f ca="1"/>
        <v>#NAME?</v>
      </c>
      <c r="T11" s="8" t="e">
        <f ca="1"/>
        <v>#NAME?</v>
      </c>
      <c r="U11" s="8" t="e">
        <f ca="1"/>
        <v>#NAME?</v>
      </c>
      <c r="V11" s="8" t="e">
        <f ca="1"/>
        <v>#NAME?</v>
      </c>
      <c r="W11" s="8" t="e">
        <f ca="1"/>
        <v>#NAME?</v>
      </c>
      <c r="X11" s="8" t="e">
        <f ca="1"/>
        <v>#NAME?</v>
      </c>
      <c r="Y11" s="8" t="e">
        <f ca="1"/>
        <v>#NAME?</v>
      </c>
      <c r="Z11" s="8" t="e">
        <f ca="1"/>
        <v>#NAME?</v>
      </c>
      <c r="AA11" s="9" t="e">
        <f ca="1"/>
        <v>#NAME?</v>
      </c>
      <c r="AB11">
        <f t="shared" si="1"/>
        <v>8</v>
      </c>
      <c r="AC11" s="376" t="e">
        <f ca="1"/>
        <v>#NAME?</v>
      </c>
    </row>
    <row r="12" spans="1:29">
      <c r="A12" s="693">
        <v>8</v>
      </c>
      <c r="B12" s="693">
        <v>7</v>
      </c>
      <c r="C12" s="693">
        <v>71</v>
      </c>
      <c r="E12" s="87" t="e">
        <f ca="1"/>
        <v>#NAME?</v>
      </c>
      <c r="F12" s="117" t="e">
        <f ca="1"/>
        <v>#NAME?</v>
      </c>
      <c r="G12" s="88" t="e">
        <f ca="1"/>
        <v>#NAME?</v>
      </c>
      <c r="I12" s="224">
        <f t="shared" si="0"/>
        <v>71</v>
      </c>
      <c r="M12" s="276" t="e">
        <f ca="1"/>
        <v>#NAME?</v>
      </c>
      <c r="O12" s="40" t="e">
        <f ca="1"/>
        <v>#NAME?</v>
      </c>
      <c r="Q12" s="7" t="e">
        <f ca="1"/>
        <v>#NAME?</v>
      </c>
      <c r="R12" s="8" t="e">
        <f ca="1"/>
        <v>#NAME?</v>
      </c>
      <c r="S12" s="8" t="e">
        <f ca="1"/>
        <v>#NAME?</v>
      </c>
      <c r="T12" s="8" t="e">
        <f ca="1"/>
        <v>#NAME?</v>
      </c>
      <c r="U12" s="8" t="e">
        <f ca="1"/>
        <v>#NAME?</v>
      </c>
      <c r="V12" s="8" t="e">
        <f ca="1"/>
        <v>#NAME?</v>
      </c>
      <c r="W12" s="8" t="e">
        <f ca="1"/>
        <v>#NAME?</v>
      </c>
      <c r="X12" s="8" t="e">
        <f ca="1"/>
        <v>#NAME?</v>
      </c>
      <c r="Y12" s="8" t="e">
        <f ca="1"/>
        <v>#NAME?</v>
      </c>
      <c r="Z12" s="8" t="e">
        <f ca="1"/>
        <v>#NAME?</v>
      </c>
      <c r="AA12" s="9" t="e">
        <f ca="1"/>
        <v>#NAME?</v>
      </c>
      <c r="AB12">
        <f t="shared" si="1"/>
        <v>9</v>
      </c>
      <c r="AC12" s="376" t="e">
        <f ca="1"/>
        <v>#NAME?</v>
      </c>
    </row>
    <row r="13" spans="1:29">
      <c r="A13" s="693">
        <v>6</v>
      </c>
      <c r="B13" s="693">
        <v>4</v>
      </c>
      <c r="C13" s="693">
        <v>51</v>
      </c>
      <c r="E13" s="87" t="e">
        <f ca="1"/>
        <v>#NAME?</v>
      </c>
      <c r="F13" s="117" t="e">
        <f ca="1"/>
        <v>#NAME?</v>
      </c>
      <c r="G13" s="88" t="e">
        <f ca="1"/>
        <v>#NAME?</v>
      </c>
      <c r="I13" s="224">
        <f t="shared" si="0"/>
        <v>51</v>
      </c>
      <c r="M13" s="276" t="e">
        <f ca="1"/>
        <v>#NAME?</v>
      </c>
      <c r="O13" s="40" t="e">
        <f ca="1"/>
        <v>#NAME?</v>
      </c>
      <c r="Q13" s="7" t="e">
        <f ca="1"/>
        <v>#NAME?</v>
      </c>
      <c r="R13" s="8" t="e">
        <f ca="1"/>
        <v>#NAME?</v>
      </c>
      <c r="S13" s="8" t="e">
        <f ca="1"/>
        <v>#NAME?</v>
      </c>
      <c r="T13" s="8" t="e">
        <f ca="1"/>
        <v>#NAME?</v>
      </c>
      <c r="U13" s="8" t="e">
        <f ca="1"/>
        <v>#NAME?</v>
      </c>
      <c r="V13" s="8" t="e">
        <f ca="1"/>
        <v>#NAME?</v>
      </c>
      <c r="W13" s="8" t="e">
        <f ca="1"/>
        <v>#NAME?</v>
      </c>
      <c r="X13" s="8" t="e">
        <f ca="1"/>
        <v>#NAME?</v>
      </c>
      <c r="Y13" s="8" t="e">
        <f ca="1"/>
        <v>#NAME?</v>
      </c>
      <c r="Z13" s="8" t="e">
        <f ca="1"/>
        <v>#NAME?</v>
      </c>
      <c r="AA13" s="9" t="e">
        <f ca="1"/>
        <v>#NAME?</v>
      </c>
      <c r="AB13">
        <f t="shared" si="1"/>
        <v>10</v>
      </c>
      <c r="AC13" s="376" t="e">
        <f ca="1"/>
        <v>#NAME?</v>
      </c>
    </row>
    <row r="14" spans="1:29">
      <c r="A14" s="694">
        <v>9</v>
      </c>
      <c r="B14" s="694">
        <v>2</v>
      </c>
      <c r="C14" s="694">
        <v>49</v>
      </c>
      <c r="E14" s="206" t="e">
        <f ca="1"/>
        <v>#NAME?</v>
      </c>
      <c r="F14" s="694" t="e">
        <f ca="1"/>
        <v>#NAME?</v>
      </c>
      <c r="G14" s="207" t="e">
        <f ca="1"/>
        <v>#NAME?</v>
      </c>
      <c r="I14" s="225">
        <f t="shared" si="0"/>
        <v>49</v>
      </c>
      <c r="M14" s="277" t="e">
        <f ca="1"/>
        <v>#NAME?</v>
      </c>
      <c r="O14" s="268" t="e">
        <f ca="1"/>
        <v>#NAME?</v>
      </c>
      <c r="Q14" s="10" t="e">
        <f ca="1"/>
        <v>#NAME?</v>
      </c>
      <c r="R14" s="11" t="e">
        <f ca="1"/>
        <v>#NAME?</v>
      </c>
      <c r="S14" s="11" t="e">
        <f ca="1"/>
        <v>#NAME?</v>
      </c>
      <c r="T14" s="11" t="e">
        <f ca="1"/>
        <v>#NAME?</v>
      </c>
      <c r="U14" s="11" t="e">
        <f ca="1"/>
        <v>#NAME?</v>
      </c>
      <c r="V14" s="11" t="e">
        <f ca="1"/>
        <v>#NAME?</v>
      </c>
      <c r="W14" s="11" t="e">
        <f ca="1"/>
        <v>#NAME?</v>
      </c>
      <c r="X14" s="11" t="e">
        <f ca="1"/>
        <v>#NAME?</v>
      </c>
      <c r="Y14" s="11" t="e">
        <f ca="1"/>
        <v>#NAME?</v>
      </c>
      <c r="Z14" s="11" t="e">
        <f ca="1"/>
        <v>#NAME?</v>
      </c>
      <c r="AA14" s="12" t="e">
        <f ca="1"/>
        <v>#NAME?</v>
      </c>
      <c r="AB14">
        <f t="shared" si="1"/>
        <v>11</v>
      </c>
      <c r="AC14" s="268" t="e">
        <f ca="1"/>
        <v>#NAME?</v>
      </c>
    </row>
    <row r="15" spans="1:29">
      <c r="A15" s="117"/>
      <c r="B15" s="117"/>
      <c r="C15" s="117"/>
    </row>
    <row r="16" spans="1:29" ht="16.8">
      <c r="A16" s="693"/>
      <c r="B16" s="693"/>
      <c r="C16" s="693"/>
      <c r="D16" s="693"/>
      <c r="E16" s="1576" t="s">
        <v>781</v>
      </c>
      <c r="F16" s="1576"/>
      <c r="G16" s="1576"/>
      <c r="I16" s="1552" t="s">
        <v>825</v>
      </c>
      <c r="J16" s="1552"/>
      <c r="K16" s="1552"/>
    </row>
    <row r="17" spans="4:18" ht="15.6">
      <c r="D17" s="693"/>
      <c r="E17" s="194" t="e">
        <f t="array" aca="1" ref="E17:G19" ca="1">[1]!core(A4:B14)</f>
        <v>#NAME?</v>
      </c>
      <c r="F17" s="196" t="e">
        <f ca="1"/>
        <v>#NAME?</v>
      </c>
      <c r="G17" s="195" t="e">
        <f ca="1"/>
        <v>#NAME?</v>
      </c>
      <c r="I17" s="269" t="e">
        <f t="array" aca="1" ref="I17:K19" ca="1">[1]!RegCov(A4:B14,C4:C14)</f>
        <v>#NAME?</v>
      </c>
      <c r="J17" s="270" t="e">
        <f ca="1"/>
        <v>#NAME?</v>
      </c>
      <c r="K17" s="271" t="e">
        <f ca="1"/>
        <v>#NAME?</v>
      </c>
      <c r="N17" t="s">
        <v>690</v>
      </c>
      <c r="O17" s="267" t="e">
        <f ca="1">[1]!ssres(A4:B14,C4:C14)</f>
        <v>#NAME?</v>
      </c>
      <c r="Q17" s="756" t="e">
        <f t="array" aca="1" ref="Q17" ca="1">MMULT(TRANSPOSE(I4:I14-M4:M14),I4:I14-M4:M14)</f>
        <v>#NAME?</v>
      </c>
      <c r="R17" s="23" t="s">
        <v>3347</v>
      </c>
    </row>
    <row r="18" spans="4:18" ht="15.6">
      <c r="E18" s="7" t="e">
        <f ca="1"/>
        <v>#NAME?</v>
      </c>
      <c r="F18" s="8" t="e">
        <f ca="1"/>
        <v>#NAME?</v>
      </c>
      <c r="G18" s="9" t="e">
        <f ca="1"/>
        <v>#NAME?</v>
      </c>
      <c r="I18" s="7" t="e">
        <f ca="1"/>
        <v>#NAME?</v>
      </c>
      <c r="J18" s="8" t="e">
        <f ca="1"/>
        <v>#NAME?</v>
      </c>
      <c r="K18" s="9" t="e">
        <f ca="1"/>
        <v>#NAME?</v>
      </c>
      <c r="N18" t="s">
        <v>688</v>
      </c>
      <c r="O18" s="40" t="e">
        <f t="array" aca="1" ref="O18" ca="1">[1]!dfres(A4:B14)</f>
        <v>#NAME?</v>
      </c>
    </row>
    <row r="19" spans="4:18" ht="15.6">
      <c r="E19" s="163" t="e">
        <f ca="1"/>
        <v>#NAME?</v>
      </c>
      <c r="F19" s="164" t="e">
        <f ca="1"/>
        <v>#NAME?</v>
      </c>
      <c r="G19" s="165" t="e">
        <f ca="1"/>
        <v>#NAME?</v>
      </c>
      <c r="I19" s="234" t="e">
        <f ca="1"/>
        <v>#NAME?</v>
      </c>
      <c r="J19" s="235" t="e">
        <f ca="1"/>
        <v>#NAME?</v>
      </c>
      <c r="K19" s="236" t="e">
        <f ca="1"/>
        <v>#NAME?</v>
      </c>
      <c r="N19" t="s">
        <v>824</v>
      </c>
      <c r="O19" s="268" t="e">
        <f ca="1">[1]!MSRes(A4:B14,C4:C14)</f>
        <v>#NAME?</v>
      </c>
    </row>
  </sheetData>
  <mergeCells count="3">
    <mergeCell ref="E3:G3"/>
    <mergeCell ref="E16:G16"/>
    <mergeCell ref="I16:K16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sheetPr codeName="Sheet160"/>
  <dimension ref="A1:J14"/>
  <sheetViews>
    <sheetView workbookViewId="0">
      <selection activeCell="F4" sqref="F4"/>
    </sheetView>
  </sheetViews>
  <sheetFormatPr defaultRowHeight="14.4"/>
  <cols>
    <col min="7" max="7" width="5.5546875" customWidth="1"/>
    <col min="9" max="9" width="5.6640625" customWidth="1"/>
  </cols>
  <sheetData>
    <row r="1" spans="1:10">
      <c r="A1" s="1" t="s">
        <v>2081</v>
      </c>
    </row>
    <row r="3" spans="1:10">
      <c r="A3" s="231" t="s">
        <v>783</v>
      </c>
      <c r="B3" s="231" t="s">
        <v>784</v>
      </c>
      <c r="C3" s="231" t="s">
        <v>1212</v>
      </c>
      <c r="D3" s="907"/>
      <c r="F3" s="906" t="s">
        <v>384</v>
      </c>
      <c r="H3" s="162" t="s">
        <v>792</v>
      </c>
      <c r="J3" s="906" t="s">
        <v>387</v>
      </c>
    </row>
    <row r="4" spans="1:10">
      <c r="A4" s="906">
        <v>7</v>
      </c>
      <c r="B4" s="906">
        <v>5</v>
      </c>
      <c r="C4" s="906">
        <v>65</v>
      </c>
      <c r="D4" s="906"/>
      <c r="E4" t="s">
        <v>801</v>
      </c>
      <c r="F4" s="214">
        <v>1.751632038762762</v>
      </c>
      <c r="H4" s="853">
        <f>A4*$F$5+B4*$F$6+$F$4</f>
        <v>54.810483602128372</v>
      </c>
      <c r="J4" s="853">
        <f>C4-H4</f>
        <v>10.189516397871628</v>
      </c>
    </row>
    <row r="5" spans="1:10">
      <c r="A5" s="906">
        <v>3</v>
      </c>
      <c r="B5" s="906">
        <v>7</v>
      </c>
      <c r="C5" s="906">
        <v>38</v>
      </c>
      <c r="D5" s="906"/>
      <c r="E5" t="s">
        <v>2079</v>
      </c>
      <c r="F5" s="40">
        <v>4.8952632583756195</v>
      </c>
      <c r="H5" s="627">
        <f t="shared" ref="H5:H14" si="0">A5*$F$5+B5*$F$6+$F$4</f>
        <v>42.746234070520401</v>
      </c>
      <c r="J5" s="627">
        <f t="shared" ref="J5:J14" si="1">C5-H5</f>
        <v>-4.7462340705204014</v>
      </c>
    </row>
    <row r="6" spans="1:10">
      <c r="A6" s="906">
        <v>5</v>
      </c>
      <c r="B6" s="906">
        <v>8</v>
      </c>
      <c r="C6" s="906">
        <v>51</v>
      </c>
      <c r="D6" s="906"/>
      <c r="E6" t="s">
        <v>2080</v>
      </c>
      <c r="F6" s="176">
        <v>3.7584017509472538</v>
      </c>
      <c r="H6" s="627">
        <f t="shared" si="0"/>
        <v>56.295162338218894</v>
      </c>
      <c r="J6" s="627">
        <f t="shared" si="1"/>
        <v>-5.2951623382188941</v>
      </c>
    </row>
    <row r="7" spans="1:10">
      <c r="A7" s="906">
        <v>8</v>
      </c>
      <c r="B7" s="906">
        <v>1</v>
      </c>
      <c r="C7" s="906">
        <v>38</v>
      </c>
      <c r="D7" s="906"/>
      <c r="H7" s="627">
        <f t="shared" si="0"/>
        <v>44.672139856714978</v>
      </c>
      <c r="J7" s="627">
        <f t="shared" si="1"/>
        <v>-6.6721398567149777</v>
      </c>
    </row>
    <row r="8" spans="1:10">
      <c r="A8" s="906">
        <v>9</v>
      </c>
      <c r="B8" s="906">
        <v>3</v>
      </c>
      <c r="C8" s="906">
        <v>55</v>
      </c>
      <c r="D8" s="906"/>
      <c r="E8" t="s">
        <v>1215</v>
      </c>
      <c r="F8" s="756">
        <f>SUMSQ(J4:J14)</f>
        <v>277.35630938717281</v>
      </c>
      <c r="H8" s="627">
        <f t="shared" si="0"/>
        <v>57.084206616985099</v>
      </c>
      <c r="J8" s="627">
        <f t="shared" si="1"/>
        <v>-2.0842066169850995</v>
      </c>
    </row>
    <row r="9" spans="1:10">
      <c r="A9" s="906">
        <v>5</v>
      </c>
      <c r="B9" s="906">
        <v>4</v>
      </c>
      <c r="C9" s="906">
        <v>43</v>
      </c>
      <c r="D9" s="906"/>
      <c r="H9" s="627">
        <f t="shared" si="0"/>
        <v>41.261555334429879</v>
      </c>
      <c r="J9" s="627">
        <f t="shared" si="1"/>
        <v>1.7384446655701211</v>
      </c>
    </row>
    <row r="10" spans="1:10">
      <c r="A10" s="906">
        <v>4</v>
      </c>
      <c r="B10" s="906">
        <v>0</v>
      </c>
      <c r="C10" s="906">
        <v>25</v>
      </c>
      <c r="D10" s="906"/>
      <c r="H10" s="627">
        <f t="shared" si="0"/>
        <v>21.332685072265239</v>
      </c>
      <c r="J10" s="627">
        <f t="shared" si="1"/>
        <v>3.6673149277347612</v>
      </c>
    </row>
    <row r="11" spans="1:10">
      <c r="A11" s="906">
        <v>2</v>
      </c>
      <c r="B11" s="906">
        <v>6</v>
      </c>
      <c r="C11" s="906">
        <v>33</v>
      </c>
      <c r="D11" s="906"/>
      <c r="H11" s="627">
        <f t="shared" si="0"/>
        <v>34.092569061197523</v>
      </c>
      <c r="J11" s="627">
        <f t="shared" si="1"/>
        <v>-1.0925690611975227</v>
      </c>
    </row>
    <row r="12" spans="1:10">
      <c r="A12" s="906">
        <v>8</v>
      </c>
      <c r="B12" s="906">
        <v>7</v>
      </c>
      <c r="C12" s="906">
        <v>71</v>
      </c>
      <c r="D12" s="906"/>
      <c r="H12" s="627">
        <f t="shared" si="0"/>
        <v>67.222550362398493</v>
      </c>
      <c r="J12" s="627">
        <f t="shared" si="1"/>
        <v>3.7774496376015065</v>
      </c>
    </row>
    <row r="13" spans="1:10">
      <c r="A13" s="906">
        <v>6</v>
      </c>
      <c r="B13" s="906">
        <v>4</v>
      </c>
      <c r="C13" s="906">
        <v>51</v>
      </c>
      <c r="D13" s="906"/>
      <c r="H13" s="627">
        <f t="shared" si="0"/>
        <v>46.156818592805493</v>
      </c>
      <c r="J13" s="627">
        <f t="shared" si="1"/>
        <v>4.843181407194507</v>
      </c>
    </row>
    <row r="14" spans="1:10">
      <c r="A14" s="908">
        <v>9</v>
      </c>
      <c r="B14" s="908">
        <v>2</v>
      </c>
      <c r="C14" s="908">
        <v>49</v>
      </c>
      <c r="D14" s="907"/>
      <c r="H14" s="544">
        <f t="shared" si="0"/>
        <v>53.325804866037849</v>
      </c>
      <c r="J14" s="544">
        <f t="shared" si="1"/>
        <v>-4.3258048660378492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sheetPr codeName="Sheet92"/>
  <dimension ref="A1:J13"/>
  <sheetViews>
    <sheetView workbookViewId="0"/>
  </sheetViews>
  <sheetFormatPr defaultRowHeight="14.4"/>
  <cols>
    <col min="1" max="1" width="8" customWidth="1"/>
    <col min="6" max="6" width="8" customWidth="1"/>
  </cols>
  <sheetData>
    <row r="1" spans="1:10">
      <c r="A1" s="1" t="s">
        <v>793</v>
      </c>
    </row>
    <row r="2" spans="1:10">
      <c r="A2" s="1"/>
    </row>
    <row r="3" spans="1:10">
      <c r="B3" s="1552" t="s">
        <v>794</v>
      </c>
      <c r="C3" s="1552"/>
      <c r="D3" s="1552"/>
      <c r="E3" s="1552"/>
      <c r="G3" s="1552" t="s">
        <v>795</v>
      </c>
      <c r="H3" s="1552"/>
      <c r="I3" s="1552"/>
      <c r="J3" s="1552"/>
    </row>
    <row r="4" spans="1:10">
      <c r="A4" s="19" t="s">
        <v>169</v>
      </c>
      <c r="B4" s="242">
        <v>2</v>
      </c>
      <c r="C4" s="243">
        <v>5</v>
      </c>
      <c r="D4" s="243">
        <v>10</v>
      </c>
      <c r="E4" s="244">
        <v>20</v>
      </c>
      <c r="G4" s="242">
        <v>2</v>
      </c>
      <c r="H4" s="243">
        <v>5</v>
      </c>
      <c r="I4" s="243">
        <v>10</v>
      </c>
      <c r="J4" s="244">
        <v>20</v>
      </c>
    </row>
    <row r="5" spans="1:10">
      <c r="A5">
        <v>20</v>
      </c>
      <c r="B5" s="245">
        <v>0.45</v>
      </c>
      <c r="C5" s="246">
        <v>0.56000000000000005</v>
      </c>
      <c r="D5" s="246">
        <v>0.71</v>
      </c>
      <c r="E5" s="247" t="s">
        <v>796</v>
      </c>
      <c r="G5" s="245">
        <v>0.39</v>
      </c>
      <c r="H5" s="246">
        <v>0.48</v>
      </c>
      <c r="I5" s="246">
        <v>0.64</v>
      </c>
      <c r="J5" s="248" t="s">
        <v>796</v>
      </c>
    </row>
    <row r="6" spans="1:10">
      <c r="A6">
        <v>50</v>
      </c>
      <c r="B6" s="100">
        <v>0.23</v>
      </c>
      <c r="C6" s="101">
        <v>0.28999999999999998</v>
      </c>
      <c r="D6" s="101">
        <v>0.36</v>
      </c>
      <c r="E6" s="248">
        <v>0.49</v>
      </c>
      <c r="G6" s="100">
        <v>0.19</v>
      </c>
      <c r="H6" s="101">
        <v>0.23</v>
      </c>
      <c r="I6" s="101">
        <v>0.28999999999999998</v>
      </c>
      <c r="J6" s="21">
        <v>0.42</v>
      </c>
    </row>
    <row r="7" spans="1:10">
      <c r="A7">
        <v>100</v>
      </c>
      <c r="B7" s="100">
        <v>0.13</v>
      </c>
      <c r="C7" s="101">
        <v>0.16</v>
      </c>
      <c r="D7" s="101">
        <v>0.2</v>
      </c>
      <c r="E7" s="21">
        <v>0.26</v>
      </c>
      <c r="G7" s="100">
        <v>0.1</v>
      </c>
      <c r="H7" s="101">
        <v>0.12</v>
      </c>
      <c r="I7" s="101">
        <v>0.15</v>
      </c>
      <c r="J7" s="21">
        <v>0.21</v>
      </c>
    </row>
    <row r="8" spans="1:10">
      <c r="A8">
        <v>250</v>
      </c>
      <c r="B8" s="100">
        <v>0.05</v>
      </c>
      <c r="C8" s="101">
        <v>7.0000000000000007E-2</v>
      </c>
      <c r="D8" s="101">
        <v>0.08</v>
      </c>
      <c r="E8" s="21">
        <v>0.11</v>
      </c>
      <c r="G8" s="100">
        <v>0.04</v>
      </c>
      <c r="H8" s="101">
        <v>0.05</v>
      </c>
      <c r="I8" s="101">
        <v>0.06</v>
      </c>
      <c r="J8" s="21">
        <v>0.09</v>
      </c>
    </row>
    <row r="9" spans="1:10">
      <c r="A9">
        <v>500</v>
      </c>
      <c r="B9" s="100">
        <v>0.03</v>
      </c>
      <c r="C9" s="101">
        <v>0.03</v>
      </c>
      <c r="D9" s="101">
        <v>0.04</v>
      </c>
      <c r="E9" s="21">
        <v>0.06</v>
      </c>
      <c r="G9" s="100">
        <v>0.03</v>
      </c>
      <c r="H9" s="101">
        <v>0.04</v>
      </c>
      <c r="I9" s="101">
        <v>0.05</v>
      </c>
      <c r="J9" s="21">
        <v>0.08</v>
      </c>
    </row>
    <row r="10" spans="1:10">
      <c r="A10">
        <v>1000</v>
      </c>
      <c r="B10" s="249">
        <v>0.01</v>
      </c>
      <c r="C10" s="250">
        <v>0.02</v>
      </c>
      <c r="D10" s="250">
        <v>0.02</v>
      </c>
      <c r="E10" s="251">
        <v>0.03</v>
      </c>
      <c r="G10" s="249">
        <v>0.01</v>
      </c>
      <c r="H10" s="250">
        <v>0.01</v>
      </c>
      <c r="I10" s="250">
        <v>0.02</v>
      </c>
      <c r="J10" s="251">
        <v>0.02</v>
      </c>
    </row>
    <row r="12" spans="1:10" ht="16.2">
      <c r="A12" t="s">
        <v>798</v>
      </c>
    </row>
    <row r="13" spans="1:10">
      <c r="A13" t="s">
        <v>797</v>
      </c>
    </row>
  </sheetData>
  <mergeCells count="2">
    <mergeCell ref="B3:E3"/>
    <mergeCell ref="G3:J3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sheetPr codeName="Sheet93"/>
  <dimension ref="A1:AL58"/>
  <sheetViews>
    <sheetView workbookViewId="0">
      <selection activeCell="I21" sqref="I21"/>
    </sheetView>
  </sheetViews>
  <sheetFormatPr defaultRowHeight="14.4"/>
  <cols>
    <col min="1" max="1" width="13.109375" customWidth="1"/>
    <col min="2" max="5" width="10.33203125" customWidth="1"/>
    <col min="6" max="6" width="6.6640625" customWidth="1"/>
    <col min="7" max="11" width="13.5546875" customWidth="1"/>
    <col min="12" max="12" width="18" customWidth="1"/>
    <col min="13" max="13" width="17.109375" customWidth="1"/>
    <col min="14" max="19" width="13.44140625" customWidth="1"/>
    <col min="20" max="20" width="9.109375" customWidth="1"/>
    <col min="21" max="21" width="17.88671875" customWidth="1"/>
    <col min="22" max="27" width="14.33203125" customWidth="1"/>
    <col min="28" max="28" width="9.109375" customWidth="1"/>
    <col min="30" max="32" width="10.109375" customWidth="1"/>
    <col min="33" max="33" width="3" customWidth="1"/>
    <col min="34" max="34" width="27.44140625" customWidth="1"/>
  </cols>
  <sheetData>
    <row r="1" spans="1:38">
      <c r="A1" s="1" t="s">
        <v>799</v>
      </c>
      <c r="M1" t="s">
        <v>813</v>
      </c>
      <c r="U1" t="s">
        <v>814</v>
      </c>
      <c r="AC1" t="s">
        <v>1213</v>
      </c>
      <c r="AJ1" t="s">
        <v>1236</v>
      </c>
    </row>
    <row r="2" spans="1:38" ht="15.75" customHeight="1"/>
    <row r="3" spans="1:38" ht="15.75" customHeight="1">
      <c r="A3" s="138"/>
      <c r="B3" s="139" t="s">
        <v>416</v>
      </c>
      <c r="C3" s="139" t="s">
        <v>417</v>
      </c>
      <c r="D3" s="139" t="s">
        <v>418</v>
      </c>
      <c r="E3" s="139" t="s">
        <v>419</v>
      </c>
      <c r="G3" s="254" t="s">
        <v>800</v>
      </c>
      <c r="M3" t="s">
        <v>691</v>
      </c>
      <c r="U3" t="s">
        <v>691</v>
      </c>
      <c r="AD3" s="471" t="s">
        <v>1217</v>
      </c>
      <c r="AE3" s="471" t="s">
        <v>1218</v>
      </c>
      <c r="AF3" s="471" t="s">
        <v>1219</v>
      </c>
      <c r="AK3" s="471" t="s">
        <v>1217</v>
      </c>
      <c r="AL3" s="471" t="s">
        <v>1218</v>
      </c>
    </row>
    <row r="4" spans="1:38" ht="15.75" customHeight="1" thickBot="1">
      <c r="A4" s="137" t="s">
        <v>424</v>
      </c>
      <c r="B4" s="140">
        <v>15.7</v>
      </c>
      <c r="C4" s="141">
        <v>9</v>
      </c>
      <c r="D4" s="142">
        <v>71.027177760140717</v>
      </c>
      <c r="E4" s="143">
        <v>448</v>
      </c>
      <c r="AC4" s="492" t="s">
        <v>1215</v>
      </c>
      <c r="AD4" s="474">
        <f>O15</f>
        <v>280.69844043360786</v>
      </c>
      <c r="AE4" s="478">
        <f>W15</f>
        <v>288.40988529461998</v>
      </c>
      <c r="AF4" s="479">
        <f>AE4-AD4</f>
        <v>7.7114448610121258</v>
      </c>
      <c r="AH4" s="23" t="s">
        <v>1220</v>
      </c>
      <c r="AJ4" s="492" t="s">
        <v>106</v>
      </c>
      <c r="AK4" s="474">
        <f>N10</f>
        <v>50</v>
      </c>
      <c r="AL4" s="479">
        <f>AK4</f>
        <v>50</v>
      </c>
    </row>
    <row r="5" spans="1:38" ht="15.75" customHeight="1">
      <c r="A5" s="137" t="s">
        <v>425</v>
      </c>
      <c r="B5" s="140">
        <v>8.4</v>
      </c>
      <c r="C5" s="141">
        <v>6.9</v>
      </c>
      <c r="D5" s="142">
        <v>70.62318863808899</v>
      </c>
      <c r="E5" s="143">
        <v>661.2</v>
      </c>
      <c r="G5" s="139" t="s">
        <v>417</v>
      </c>
      <c r="H5" s="139" t="s">
        <v>418</v>
      </c>
      <c r="I5" s="139" t="s">
        <v>419</v>
      </c>
      <c r="J5" s="139" t="s">
        <v>416</v>
      </c>
      <c r="M5" s="35" t="s">
        <v>692</v>
      </c>
      <c r="N5" s="35"/>
      <c r="U5" s="35" t="s">
        <v>692</v>
      </c>
      <c r="V5" s="35"/>
      <c r="AC5" t="s">
        <v>1214</v>
      </c>
      <c r="AD5" s="7">
        <f>N15</f>
        <v>46</v>
      </c>
      <c r="AE5" s="8">
        <f>V15</f>
        <v>48</v>
      </c>
      <c r="AF5" s="376">
        <f>AE5-AD5</f>
        <v>2</v>
      </c>
      <c r="AH5" s="23" t="s">
        <v>1221</v>
      </c>
      <c r="AJ5" t="s">
        <v>169</v>
      </c>
      <c r="AK5" s="7">
        <f>N14</f>
        <v>3</v>
      </c>
      <c r="AL5" s="376">
        <f>V14</f>
        <v>1</v>
      </c>
    </row>
    <row r="6" spans="1:38" ht="15.75" customHeight="1">
      <c r="A6" s="137" t="s">
        <v>426</v>
      </c>
      <c r="B6" s="140">
        <v>14.7</v>
      </c>
      <c r="C6" s="141">
        <v>6.4</v>
      </c>
      <c r="D6" s="142">
        <v>86.505696765320337</v>
      </c>
      <c r="E6" s="143">
        <v>482.7</v>
      </c>
      <c r="G6" s="64">
        <v>7</v>
      </c>
      <c r="H6">
        <v>80</v>
      </c>
      <c r="I6">
        <v>400</v>
      </c>
      <c r="J6" s="140">
        <f t="array" ref="J6:J8">TREND(B4:B53,C4:E53,G6:I8)</f>
        <v>12.867466231009725</v>
      </c>
      <c r="M6" s="28" t="s">
        <v>693</v>
      </c>
      <c r="N6" s="28">
        <v>0.58034505841999007</v>
      </c>
      <c r="U6" s="28" t="s">
        <v>693</v>
      </c>
      <c r="V6" s="28">
        <v>0.56442956793415189</v>
      </c>
      <c r="AC6" t="s">
        <v>1216</v>
      </c>
      <c r="AD6" s="10">
        <f>AD4/AD5</f>
        <v>6.1021400094262574</v>
      </c>
      <c r="AE6" s="11"/>
      <c r="AF6" s="268">
        <f>AF4/AF5</f>
        <v>3.8557224305060629</v>
      </c>
      <c r="AH6" s="23" t="s">
        <v>1222</v>
      </c>
      <c r="AJ6" t="s">
        <v>1215</v>
      </c>
      <c r="AK6" s="10">
        <f>O15</f>
        <v>280.69844043360786</v>
      </c>
      <c r="AL6" s="376">
        <f>W15</f>
        <v>288.40988529461998</v>
      </c>
    </row>
    <row r="7" spans="1:38" ht="15.75" customHeight="1">
      <c r="A7" s="137" t="s">
        <v>427</v>
      </c>
      <c r="B7" s="140">
        <v>17.3</v>
      </c>
      <c r="C7" s="141">
        <v>8.5</v>
      </c>
      <c r="D7" s="142">
        <v>80.783955956979611</v>
      </c>
      <c r="E7" s="143">
        <v>529.4</v>
      </c>
      <c r="G7" s="64">
        <v>7.5</v>
      </c>
      <c r="H7">
        <v>70</v>
      </c>
      <c r="I7">
        <v>500</v>
      </c>
      <c r="J7" s="140">
        <v>13.286031725599845</v>
      </c>
      <c r="M7" s="28" t="s">
        <v>686</v>
      </c>
      <c r="N7" s="28">
        <v>0.33680038683250163</v>
      </c>
      <c r="U7" s="28" t="s">
        <v>686</v>
      </c>
      <c r="V7" s="28">
        <v>0.31858073715833335</v>
      </c>
      <c r="AC7" t="s">
        <v>388</v>
      </c>
      <c r="AF7" s="376">
        <f>AF6/AD6</f>
        <v>0.63186397305698494</v>
      </c>
      <c r="AH7" s="23" t="s">
        <v>1223</v>
      </c>
      <c r="AJ7" t="s">
        <v>1235</v>
      </c>
      <c r="AK7" s="7">
        <f>AK4*LN(AK6/AK4)+2*(AK5+1)</f>
        <v>94.262896096712964</v>
      </c>
      <c r="AL7" s="479">
        <f>AL4*LN(AL6/AL4)+2*(AL5+1)</f>
        <v>91.617983786443077</v>
      </c>
    </row>
    <row r="8" spans="1:38" ht="15.75" customHeight="1">
      <c r="A8" s="137" t="s">
        <v>428</v>
      </c>
      <c r="B8" s="140">
        <v>13.3</v>
      </c>
      <c r="C8" s="141">
        <v>5</v>
      </c>
      <c r="D8" s="142">
        <v>76.640052174481781</v>
      </c>
      <c r="E8" s="143">
        <v>522.6</v>
      </c>
      <c r="G8" s="255">
        <v>8</v>
      </c>
      <c r="H8" s="235">
        <v>75</v>
      </c>
      <c r="I8" s="235">
        <v>450</v>
      </c>
      <c r="J8" s="256">
        <v>14.036276218092199</v>
      </c>
      <c r="M8" s="28" t="s">
        <v>694</v>
      </c>
      <c r="N8" s="28">
        <v>0.29354823814766479</v>
      </c>
      <c r="U8" s="28" t="s">
        <v>694</v>
      </c>
      <c r="V8" s="28">
        <v>0.30438450251579863</v>
      </c>
      <c r="AC8" s="65" t="s">
        <v>157</v>
      </c>
      <c r="AF8" s="376">
        <v>0.05</v>
      </c>
      <c r="AJ8" t="s">
        <v>1237</v>
      </c>
      <c r="AK8" s="10">
        <f>AK7+2*(AK5+2)*(AK5+3)/(AK4-AK5-3)</f>
        <v>95.626532460349324</v>
      </c>
      <c r="AL8" s="268">
        <f>AL7+2*(AL5+2)*(AL5+3)/(AL4-AL5-3)</f>
        <v>92.139722916877858</v>
      </c>
    </row>
    <row r="9" spans="1:38" ht="15.75" customHeight="1">
      <c r="A9" s="137" t="s">
        <v>429</v>
      </c>
      <c r="B9" s="140">
        <v>11.4</v>
      </c>
      <c r="C9" s="141">
        <v>5.7</v>
      </c>
      <c r="D9" s="142">
        <v>89.734092175332663</v>
      </c>
      <c r="E9" s="143">
        <v>347.8</v>
      </c>
      <c r="M9" s="28" t="s">
        <v>77</v>
      </c>
      <c r="N9" s="28">
        <v>2.4702510013005274</v>
      </c>
      <c r="U9" s="28" t="s">
        <v>77</v>
      </c>
      <c r="V9" s="28">
        <v>2.4512321956459466</v>
      </c>
      <c r="AC9" s="492" t="s">
        <v>200</v>
      </c>
      <c r="AF9" s="376">
        <f>FDIST(AF7,AF5,AD5)</f>
        <v>0.53615051955111592</v>
      </c>
      <c r="AH9" s="23" t="s">
        <v>1224</v>
      </c>
    </row>
    <row r="10" spans="1:38" ht="15.75" customHeight="1" thickBot="1">
      <c r="A10" s="137" t="s">
        <v>430</v>
      </c>
      <c r="B10" s="140">
        <v>9.3000000000000007</v>
      </c>
      <c r="C10" s="141">
        <v>6.2</v>
      </c>
      <c r="D10" s="142">
        <v>84.278652322083644</v>
      </c>
      <c r="E10" s="143">
        <v>256</v>
      </c>
      <c r="G10" s="257" t="s">
        <v>803</v>
      </c>
      <c r="H10" s="257"/>
      <c r="I10" s="257"/>
      <c r="J10" s="257"/>
      <c r="K10" s="257"/>
      <c r="L10" s="257"/>
      <c r="M10" s="31" t="s">
        <v>224</v>
      </c>
      <c r="N10" s="31">
        <v>50</v>
      </c>
      <c r="U10" s="31" t="s">
        <v>224</v>
      </c>
      <c r="V10" s="31">
        <v>50</v>
      </c>
      <c r="AC10" s="493" t="s">
        <v>948</v>
      </c>
      <c r="AF10" s="266" t="str">
        <f>IF(AF9&lt;AF8,"yes","no")</f>
        <v>no</v>
      </c>
      <c r="AH10" s="23" t="s">
        <v>1225</v>
      </c>
      <c r="AJ10" t="s">
        <v>1985</v>
      </c>
    </row>
    <row r="11" spans="1:38" ht="15.75" customHeight="1">
      <c r="A11" s="137" t="s">
        <v>431</v>
      </c>
      <c r="B11" s="149">
        <v>10</v>
      </c>
      <c r="C11" s="141">
        <v>8.3000000000000007</v>
      </c>
      <c r="D11" s="142">
        <v>74.266056727126113</v>
      </c>
      <c r="E11" s="143">
        <v>689.2</v>
      </c>
      <c r="G11" s="257"/>
      <c r="H11" s="257"/>
      <c r="I11" s="257"/>
      <c r="J11" s="257"/>
      <c r="K11" s="257"/>
      <c r="L11" s="257"/>
    </row>
    <row r="12" spans="1:38" ht="15.75" customHeight="1" thickBot="1">
      <c r="A12" s="137" t="s">
        <v>432</v>
      </c>
      <c r="B12" s="140">
        <v>13.2</v>
      </c>
      <c r="C12" s="141">
        <v>7.3</v>
      </c>
      <c r="D12" s="142">
        <v>79.811068541941054</v>
      </c>
      <c r="E12" s="143">
        <v>722.6</v>
      </c>
      <c r="G12" s="257"/>
      <c r="H12" s="258" t="s">
        <v>802</v>
      </c>
      <c r="I12" s="258" t="s">
        <v>789</v>
      </c>
      <c r="J12" s="258" t="s">
        <v>788</v>
      </c>
      <c r="K12" s="258" t="s">
        <v>801</v>
      </c>
      <c r="L12" s="257"/>
      <c r="M12" t="s">
        <v>695</v>
      </c>
      <c r="U12" t="s">
        <v>695</v>
      </c>
      <c r="AJ12" t="s">
        <v>1235</v>
      </c>
      <c r="AK12" s="841" t="e">
        <f ca="1">[1]!RegAIC(C4:E53,B4:B53)</f>
        <v>#NAME?</v>
      </c>
      <c r="AL12" s="842" t="e">
        <f ca="1">[1]!RegAIC(C4:C53,B4:B53)</f>
        <v>#NAME?</v>
      </c>
    </row>
    <row r="13" spans="1:38" ht="15.75" customHeight="1">
      <c r="A13" s="137" t="s">
        <v>433</v>
      </c>
      <c r="B13" s="140">
        <v>14.7</v>
      </c>
      <c r="C13" s="141">
        <v>8.1</v>
      </c>
      <c r="D13" s="142">
        <v>65.387718279566343</v>
      </c>
      <c r="E13" s="143">
        <v>493.2</v>
      </c>
      <c r="G13" s="257" t="s">
        <v>682</v>
      </c>
      <c r="H13" s="259">
        <f t="array" ref="H13:K17">LINEST(B4:B53,C4:E53,TRUE,TRUE)</f>
        <v>1.4214989878583481E-3</v>
      </c>
      <c r="I13" s="259">
        <v>3.6326923072065739E-2</v>
      </c>
      <c r="J13" s="259">
        <v>1.279369653049887</v>
      </c>
      <c r="K13" s="259">
        <v>0.43712521875191612</v>
      </c>
      <c r="L13" s="257" t="s">
        <v>683</v>
      </c>
      <c r="M13" s="27"/>
      <c r="N13" s="27" t="s">
        <v>186</v>
      </c>
      <c r="O13" s="27" t="s">
        <v>578</v>
      </c>
      <c r="P13" s="27" t="s">
        <v>641</v>
      </c>
      <c r="Q13" s="27" t="s">
        <v>388</v>
      </c>
      <c r="R13" s="27" t="s">
        <v>698</v>
      </c>
      <c r="U13" s="27"/>
      <c r="V13" s="27" t="s">
        <v>186</v>
      </c>
      <c r="W13" s="27" t="s">
        <v>578</v>
      </c>
      <c r="X13" s="27" t="s">
        <v>641</v>
      </c>
      <c r="Y13" s="27" t="s">
        <v>388</v>
      </c>
      <c r="Z13" s="27" t="s">
        <v>698</v>
      </c>
      <c r="AD13" s="471" t="s">
        <v>1217</v>
      </c>
      <c r="AE13" s="471" t="s">
        <v>1218</v>
      </c>
      <c r="AF13" s="471" t="s">
        <v>1219</v>
      </c>
      <c r="AJ13" t="s">
        <v>1237</v>
      </c>
      <c r="AK13" s="10" t="e">
        <f ca="1">[1]!RegAICc(C4:E53,B4:B53)</f>
        <v>#NAME?</v>
      </c>
      <c r="AL13" s="12" t="e">
        <f ca="1">[1]!RegAICc(C4:C53,B4:B53)</f>
        <v>#NAME?</v>
      </c>
    </row>
    <row r="14" spans="1:38" ht="15.75" customHeight="1">
      <c r="A14" s="137" t="s">
        <v>434</v>
      </c>
      <c r="B14" s="140">
        <v>9.1</v>
      </c>
      <c r="C14" s="141">
        <v>5.6</v>
      </c>
      <c r="D14" s="142">
        <v>29.667333748383395</v>
      </c>
      <c r="E14" s="143">
        <v>272.8</v>
      </c>
      <c r="G14" s="257" t="s">
        <v>804</v>
      </c>
      <c r="H14" s="259">
        <v>2.2421016620427178E-3</v>
      </c>
      <c r="I14" s="259">
        <v>3.3602531929280269E-2</v>
      </c>
      <c r="J14" s="259">
        <v>0.3006729090126502</v>
      </c>
      <c r="K14" s="259">
        <v>3.9875336904973384</v>
      </c>
      <c r="L14" s="257" t="s">
        <v>805</v>
      </c>
      <c r="M14" s="28" t="s">
        <v>623</v>
      </c>
      <c r="N14" s="28">
        <v>3</v>
      </c>
      <c r="O14" s="28">
        <v>142.5503595663921</v>
      </c>
      <c r="P14" s="28">
        <v>47.516786522130701</v>
      </c>
      <c r="Q14" s="28">
        <v>7.7869053231701217</v>
      </c>
      <c r="R14" s="28">
        <v>2.6221319906024227E-4</v>
      </c>
      <c r="U14" s="28" t="s">
        <v>623</v>
      </c>
      <c r="V14" s="28">
        <v>1</v>
      </c>
      <c r="W14" s="28">
        <v>134.83891470537998</v>
      </c>
      <c r="X14" s="28">
        <v>134.83891470537998</v>
      </c>
      <c r="Y14" s="28">
        <v>22.441213827489335</v>
      </c>
      <c r="Z14" s="28">
        <v>1.9607327286956678E-5</v>
      </c>
      <c r="AC14" s="492" t="s">
        <v>1230</v>
      </c>
      <c r="AD14" s="474">
        <f>N7</f>
        <v>0.33680038683250163</v>
      </c>
      <c r="AE14" s="478">
        <f>V7</f>
        <v>0.31858073715833335</v>
      </c>
      <c r="AF14" s="479">
        <f>AD14-AE14</f>
        <v>1.8219649674168281E-2</v>
      </c>
      <c r="AH14" s="23" t="s">
        <v>1231</v>
      </c>
    </row>
    <row r="15" spans="1:38" ht="15.75" customHeight="1">
      <c r="A15" s="137" t="s">
        <v>435</v>
      </c>
      <c r="B15" s="140">
        <v>12.6</v>
      </c>
      <c r="C15" s="141">
        <v>6.8</v>
      </c>
      <c r="D15" s="142">
        <v>94.600660447193093</v>
      </c>
      <c r="E15" s="143">
        <v>239.4</v>
      </c>
      <c r="G15" s="257" t="s">
        <v>686</v>
      </c>
      <c r="H15" s="259">
        <v>0.33680038683250163</v>
      </c>
      <c r="I15" s="259">
        <v>2.4702510013005274</v>
      </c>
      <c r="J15" s="259" t="e">
        <v>#N/A</v>
      </c>
      <c r="K15" s="259" t="e">
        <v>#N/A</v>
      </c>
      <c r="L15" s="257" t="s">
        <v>806</v>
      </c>
      <c r="M15" s="28" t="s">
        <v>696</v>
      </c>
      <c r="N15" s="28">
        <v>46</v>
      </c>
      <c r="O15" s="28">
        <v>280.69844043360786</v>
      </c>
      <c r="P15" s="28">
        <v>6.1021400094262574</v>
      </c>
      <c r="Q15" s="28"/>
      <c r="R15" s="28"/>
      <c r="U15" s="28" t="s">
        <v>696</v>
      </c>
      <c r="V15" s="28">
        <v>48</v>
      </c>
      <c r="W15" s="28">
        <v>288.40988529461998</v>
      </c>
      <c r="X15" s="28">
        <v>6.0085392769712493</v>
      </c>
      <c r="Y15" s="28"/>
      <c r="Z15" s="28"/>
      <c r="AC15" t="s">
        <v>1214</v>
      </c>
      <c r="AD15" s="10">
        <f>N15</f>
        <v>46</v>
      </c>
      <c r="AE15" s="11">
        <f>V15</f>
        <v>48</v>
      </c>
      <c r="AF15" s="268">
        <f>AE15-AD15</f>
        <v>2</v>
      </c>
      <c r="AH15" s="23" t="s">
        <v>1232</v>
      </c>
    </row>
    <row r="16" spans="1:38" ht="15.75" customHeight="1" thickBot="1">
      <c r="A16" s="137" t="s">
        <v>436</v>
      </c>
      <c r="B16" s="140">
        <v>12.2</v>
      </c>
      <c r="C16" s="141">
        <v>7.3</v>
      </c>
      <c r="D16" s="142">
        <v>79.13310968601246</v>
      </c>
      <c r="E16" s="143">
        <v>533.20000000000005</v>
      </c>
      <c r="G16" s="257" t="s">
        <v>388</v>
      </c>
      <c r="H16" s="259">
        <v>7.7869053231701217</v>
      </c>
      <c r="I16" s="259">
        <v>46</v>
      </c>
      <c r="J16" s="259" t="e">
        <v>#N/A</v>
      </c>
      <c r="K16" s="259" t="e">
        <v>#N/A</v>
      </c>
      <c r="L16" s="257" t="s">
        <v>807</v>
      </c>
      <c r="M16" s="31" t="s">
        <v>12</v>
      </c>
      <c r="N16" s="31">
        <v>49</v>
      </c>
      <c r="O16" s="31">
        <v>423.24879999999996</v>
      </c>
      <c r="P16" s="31"/>
      <c r="Q16" s="31"/>
      <c r="R16" s="31"/>
      <c r="U16" s="31" t="s">
        <v>12</v>
      </c>
      <c r="V16" s="31">
        <v>49</v>
      </c>
      <c r="W16" s="31">
        <v>423.24879999999996</v>
      </c>
      <c r="X16" s="31"/>
      <c r="Y16" s="31"/>
      <c r="Z16" s="31"/>
      <c r="AC16" t="s">
        <v>388</v>
      </c>
      <c r="AF16" s="376">
        <f>AF14*AD15/(AF15*(1-AD14))</f>
        <v>0.63186397305698405</v>
      </c>
      <c r="AH16" s="23" t="s">
        <v>1990</v>
      </c>
    </row>
    <row r="17" spans="1:34" ht="15.75" customHeight="1" thickBot="1">
      <c r="A17" s="137" t="s">
        <v>437</v>
      </c>
      <c r="B17" s="140">
        <v>13.1</v>
      </c>
      <c r="C17" s="141">
        <v>8</v>
      </c>
      <c r="D17" s="142">
        <v>88.000000627274659</v>
      </c>
      <c r="E17" s="143">
        <v>333.6</v>
      </c>
      <c r="G17" s="257" t="s">
        <v>808</v>
      </c>
      <c r="H17" s="259">
        <v>142.5503595663921</v>
      </c>
      <c r="I17" s="259">
        <v>280.69844043360786</v>
      </c>
      <c r="J17" s="259" t="e">
        <v>#N/A</v>
      </c>
      <c r="K17" s="259" t="e">
        <v>#N/A</v>
      </c>
      <c r="L17" s="257" t="s">
        <v>809</v>
      </c>
      <c r="AC17" s="65" t="s">
        <v>157</v>
      </c>
      <c r="AF17" s="376">
        <v>0.05</v>
      </c>
    </row>
    <row r="18" spans="1:34" ht="15.75" customHeight="1">
      <c r="A18" s="137" t="s">
        <v>438</v>
      </c>
      <c r="B18" s="140">
        <v>11.5</v>
      </c>
      <c r="C18" s="141">
        <v>5.0999999999999996</v>
      </c>
      <c r="D18" s="142">
        <v>94.170464820794294</v>
      </c>
      <c r="E18" s="143">
        <v>294.7</v>
      </c>
      <c r="M18" s="27"/>
      <c r="N18" s="27" t="s">
        <v>699</v>
      </c>
      <c r="O18" s="27" t="s">
        <v>77</v>
      </c>
      <c r="P18" s="27" t="s">
        <v>229</v>
      </c>
      <c r="Q18" s="27" t="s">
        <v>367</v>
      </c>
      <c r="R18" s="27" t="s">
        <v>700</v>
      </c>
      <c r="S18" s="27" t="s">
        <v>701</v>
      </c>
      <c r="U18" s="27"/>
      <c r="V18" s="27" t="s">
        <v>699</v>
      </c>
      <c r="W18" s="27" t="s">
        <v>77</v>
      </c>
      <c r="X18" s="27" t="s">
        <v>229</v>
      </c>
      <c r="Y18" s="27" t="s">
        <v>367</v>
      </c>
      <c r="Z18" s="27" t="s">
        <v>700</v>
      </c>
      <c r="AA18" s="27" t="s">
        <v>701</v>
      </c>
      <c r="AC18" s="492" t="s">
        <v>200</v>
      </c>
      <c r="AF18" s="376">
        <f>FDIST(AF16,AF15,AD15)</f>
        <v>0.53615051955111637</v>
      </c>
      <c r="AH18" s="23" t="s">
        <v>1233</v>
      </c>
    </row>
    <row r="19" spans="1:34" ht="15.75" customHeight="1">
      <c r="A19" s="137" t="s">
        <v>439</v>
      </c>
      <c r="B19" s="140">
        <v>11.3</v>
      </c>
      <c r="C19" s="141">
        <v>7.1</v>
      </c>
      <c r="D19" s="142">
        <v>88.703716524620162</v>
      </c>
      <c r="E19" s="143">
        <v>452.7</v>
      </c>
      <c r="M19" s="28" t="s">
        <v>697</v>
      </c>
      <c r="N19" s="28">
        <v>0.43712521875191612</v>
      </c>
      <c r="O19" s="28">
        <v>3.9875336904973384</v>
      </c>
      <c r="P19" s="28">
        <v>0.10962295310347495</v>
      </c>
      <c r="Q19" s="28">
        <v>0.91318525331884337</v>
      </c>
      <c r="R19" s="28">
        <v>-7.5893637973931281</v>
      </c>
      <c r="S19" s="28">
        <v>8.4636142348969603</v>
      </c>
      <c r="U19" s="28" t="s">
        <v>697</v>
      </c>
      <c r="V19" s="28">
        <v>4.2690992314261393</v>
      </c>
      <c r="W19" s="28">
        <v>1.8197942130118463</v>
      </c>
      <c r="X19" s="28">
        <v>2.3459241714812227</v>
      </c>
      <c r="Y19" s="28">
        <v>2.3158321935178951E-2</v>
      </c>
      <c r="Z19" s="28">
        <v>0.61015773502108672</v>
      </c>
      <c r="AA19" s="28">
        <v>7.928040727831192</v>
      </c>
      <c r="AC19" s="493" t="s">
        <v>948</v>
      </c>
      <c r="AF19" s="266" t="str">
        <f>IF(AF18&lt;AF17,"yes","no")</f>
        <v>no</v>
      </c>
      <c r="AH19" s="23" t="s">
        <v>1234</v>
      </c>
    </row>
    <row r="20" spans="1:34" ht="15.75" customHeight="1" thickBot="1">
      <c r="A20" s="137" t="s">
        <v>440</v>
      </c>
      <c r="B20" s="140">
        <v>17.3</v>
      </c>
      <c r="C20" s="141">
        <v>7.5</v>
      </c>
      <c r="D20" s="142">
        <v>89.904327345935869</v>
      </c>
      <c r="E20" s="143">
        <v>295</v>
      </c>
      <c r="M20" s="28" t="s">
        <v>417</v>
      </c>
      <c r="N20" s="28">
        <v>1.279369653049887</v>
      </c>
      <c r="O20" s="28">
        <v>0.3006729090126502</v>
      </c>
      <c r="P20" s="28">
        <v>4.255021369404651</v>
      </c>
      <c r="Q20" s="28">
        <v>1.0162763056825428E-4</v>
      </c>
      <c r="R20" s="28">
        <v>0.67414647778402126</v>
      </c>
      <c r="S20" s="28">
        <v>1.8845928283157529</v>
      </c>
      <c r="U20" s="31" t="s">
        <v>417</v>
      </c>
      <c r="V20" s="31">
        <v>1.2390777113578131</v>
      </c>
      <c r="W20" s="31">
        <v>0.26156243574638349</v>
      </c>
      <c r="X20" s="31">
        <v>4.7372158307902028</v>
      </c>
      <c r="Y20" s="31">
        <v>1.9607327286956929E-5</v>
      </c>
      <c r="Z20" s="31">
        <v>0.71317118675727975</v>
      </c>
      <c r="AA20" s="31">
        <v>1.7649842359583463</v>
      </c>
    </row>
    <row r="21" spans="1:34" ht="15.75" customHeight="1">
      <c r="A21" s="137" t="s">
        <v>441</v>
      </c>
      <c r="B21" s="140">
        <v>17.3</v>
      </c>
      <c r="C21" s="141">
        <v>9.9</v>
      </c>
      <c r="D21" s="142">
        <v>64.839543701408999</v>
      </c>
      <c r="E21" s="143">
        <v>729.5</v>
      </c>
      <c r="M21" s="28" t="s">
        <v>418</v>
      </c>
      <c r="N21" s="28">
        <v>3.6326923072065739E-2</v>
      </c>
      <c r="O21" s="28">
        <v>3.3602531929280269E-2</v>
      </c>
      <c r="P21" s="28">
        <v>1.0810769601683352</v>
      </c>
      <c r="Q21" s="28">
        <v>0.28529815262504604</v>
      </c>
      <c r="R21" s="28">
        <v>-3.1311465560932131E-2</v>
      </c>
      <c r="S21" s="28">
        <v>0.10396531170506361</v>
      </c>
      <c r="AC21" t="s">
        <v>1987</v>
      </c>
      <c r="AF21" s="756" t="e">
        <f ca="1">[1]!RSquareTest(C4:E53,C4:C53,B4:B53)</f>
        <v>#NAME?</v>
      </c>
      <c r="AH21" s="23" t="s">
        <v>1988</v>
      </c>
    </row>
    <row r="22" spans="1:34" ht="15.75" customHeight="1" thickBot="1">
      <c r="A22" s="137" t="s">
        <v>442</v>
      </c>
      <c r="B22" s="140">
        <v>12.3</v>
      </c>
      <c r="C22" s="141">
        <v>6.3</v>
      </c>
      <c r="D22" s="142">
        <v>96.389852756187835</v>
      </c>
      <c r="E22" s="143">
        <v>118</v>
      </c>
      <c r="M22" s="31" t="s">
        <v>419</v>
      </c>
      <c r="N22" s="31">
        <v>1.4214989878583481E-3</v>
      </c>
      <c r="O22" s="31">
        <v>2.2421016620427178E-3</v>
      </c>
      <c r="P22" s="31">
        <v>0.63400291428501021</v>
      </c>
      <c r="Q22" s="31">
        <v>0.52921921764794777</v>
      </c>
      <c r="R22" s="31">
        <v>-3.091617579997377E-3</v>
      </c>
      <c r="S22" s="31">
        <v>5.9346155557140736E-3</v>
      </c>
    </row>
    <row r="23" spans="1:34" ht="15.75" customHeight="1">
      <c r="A23" s="137" t="s">
        <v>443</v>
      </c>
      <c r="B23" s="140">
        <v>8.1</v>
      </c>
      <c r="C23" s="141">
        <v>8</v>
      </c>
      <c r="D23" s="142">
        <v>63.398020838196281</v>
      </c>
      <c r="E23" s="143">
        <v>641.9</v>
      </c>
      <c r="AC23" t="s">
        <v>1986</v>
      </c>
    </row>
    <row r="24" spans="1:34" ht="15.75" customHeight="1">
      <c r="A24" s="137" t="s">
        <v>444</v>
      </c>
      <c r="B24" s="149">
        <v>10</v>
      </c>
      <c r="C24" s="141">
        <v>4.8</v>
      </c>
      <c r="D24" s="142">
        <v>86.203669547721617</v>
      </c>
      <c r="E24" s="143">
        <v>431.5</v>
      </c>
    </row>
    <row r="25" spans="1:34" ht="15.75" customHeight="1">
      <c r="A25" s="137" t="s">
        <v>445</v>
      </c>
      <c r="B25" s="140">
        <v>14.4</v>
      </c>
      <c r="C25" s="141">
        <v>7.4</v>
      </c>
      <c r="D25" s="142">
        <v>81.183409037427396</v>
      </c>
      <c r="E25" s="143">
        <v>536</v>
      </c>
      <c r="AD25" s="471" t="s">
        <v>1217</v>
      </c>
      <c r="AE25" s="471" t="s">
        <v>1218</v>
      </c>
      <c r="AF25" s="471" t="s">
        <v>1219</v>
      </c>
    </row>
    <row r="26" spans="1:34" ht="15.75" customHeight="1">
      <c r="A26" s="137" t="s">
        <v>446</v>
      </c>
      <c r="B26" s="140">
        <v>9.6</v>
      </c>
      <c r="C26" s="141">
        <v>5.2</v>
      </c>
      <c r="D26" s="142">
        <v>89.045556531854984</v>
      </c>
      <c r="E26" s="143">
        <v>288.7</v>
      </c>
      <c r="AC26" s="492" t="s">
        <v>1131</v>
      </c>
      <c r="AD26" s="474">
        <f>O14</f>
        <v>142.5503595663921</v>
      </c>
      <c r="AE26" s="478">
        <f>W14</f>
        <v>134.83891470537998</v>
      </c>
      <c r="AF26" s="479">
        <f>AD26-AE26</f>
        <v>7.7114448610121258</v>
      </c>
    </row>
    <row r="27" spans="1:34" ht="15.75" customHeight="1">
      <c r="A27" s="137" t="s">
        <v>447</v>
      </c>
      <c r="B27" s="140">
        <v>21.2</v>
      </c>
      <c r="C27" s="141">
        <v>10.6</v>
      </c>
      <c r="D27" s="142">
        <v>60.598179144073846</v>
      </c>
      <c r="E27" s="143">
        <v>291.3</v>
      </c>
      <c r="AC27" t="s">
        <v>1132</v>
      </c>
      <c r="AD27" s="7">
        <f>N14</f>
        <v>3</v>
      </c>
      <c r="AE27" s="8">
        <f>V14</f>
        <v>1</v>
      </c>
      <c r="AF27" s="376">
        <f>AD27-AE27</f>
        <v>2</v>
      </c>
    </row>
    <row r="28" spans="1:34" ht="15.75" customHeight="1">
      <c r="A28" s="137" t="s">
        <v>448</v>
      </c>
      <c r="B28" s="140">
        <v>13.4</v>
      </c>
      <c r="C28" s="141">
        <v>7.4</v>
      </c>
      <c r="D28" s="142">
        <v>85.028888093842554</v>
      </c>
      <c r="E28" s="143">
        <v>504.9</v>
      </c>
      <c r="AC28" t="s">
        <v>1216</v>
      </c>
      <c r="AD28" s="7">
        <f>P15</f>
        <v>6.1021400094262574</v>
      </c>
      <c r="AE28" s="8"/>
      <c r="AF28" s="376"/>
    </row>
    <row r="29" spans="1:34" ht="15.75" customHeight="1">
      <c r="A29" s="137" t="s">
        <v>449</v>
      </c>
      <c r="B29" s="140">
        <v>14.8</v>
      </c>
      <c r="C29" s="141">
        <v>5.8</v>
      </c>
      <c r="D29" s="142">
        <v>90.467729264863962</v>
      </c>
      <c r="E29" s="143">
        <v>287.5</v>
      </c>
      <c r="AC29" t="s">
        <v>1214</v>
      </c>
      <c r="AD29" s="10">
        <f>N15</f>
        <v>46</v>
      </c>
      <c r="AE29" s="11"/>
      <c r="AF29" s="268"/>
    </row>
    <row r="30" spans="1:34" ht="15.75" customHeight="1">
      <c r="A30" s="137" t="s">
        <v>450</v>
      </c>
      <c r="B30" s="140">
        <v>10.8</v>
      </c>
      <c r="C30" s="141">
        <v>5.6</v>
      </c>
      <c r="D30" s="142">
        <v>91.372477335833381</v>
      </c>
      <c r="E30" s="143">
        <v>302.39999999999998</v>
      </c>
      <c r="AC30" t="s">
        <v>388</v>
      </c>
      <c r="AF30" s="376">
        <f>AF26/(AF27*AD28)</f>
        <v>0.63186397305698494</v>
      </c>
    </row>
    <row r="31" spans="1:34" ht="15.75" customHeight="1">
      <c r="A31" s="137" t="s">
        <v>451</v>
      </c>
      <c r="B31" s="140">
        <v>11.3</v>
      </c>
      <c r="C31" s="141">
        <v>6.4</v>
      </c>
      <c r="D31" s="142">
        <v>80.891227371165002</v>
      </c>
      <c r="E31" s="143">
        <v>750.6</v>
      </c>
      <c r="AC31" s="65" t="s">
        <v>157</v>
      </c>
      <c r="AF31" s="376">
        <v>0.05</v>
      </c>
    </row>
    <row r="32" spans="1:34" ht="15.75" customHeight="1">
      <c r="A32" s="137" t="s">
        <v>452</v>
      </c>
      <c r="B32" s="140">
        <v>7.6</v>
      </c>
      <c r="C32" s="141">
        <v>6.1</v>
      </c>
      <c r="D32" s="142">
        <v>95.487186970145373</v>
      </c>
      <c r="E32" s="143">
        <v>137.30000000000001</v>
      </c>
      <c r="AC32" s="492" t="s">
        <v>200</v>
      </c>
      <c r="AF32" s="376">
        <f>FDIST(AF30,AF27,AD29)</f>
        <v>0.53615051955111592</v>
      </c>
    </row>
    <row r="33" spans="1:32" ht="15.75" customHeight="1">
      <c r="A33" s="137" t="s">
        <v>453</v>
      </c>
      <c r="B33" s="140">
        <v>8.6999999999999993</v>
      </c>
      <c r="C33" s="141">
        <v>5.5</v>
      </c>
      <c r="D33" s="142">
        <v>76.032117342828414</v>
      </c>
      <c r="E33" s="143">
        <v>329.3</v>
      </c>
      <c r="AC33" s="493" t="s">
        <v>948</v>
      </c>
      <c r="AF33" s="266" t="str">
        <f>IF(AF32&lt;AF31,"yes","no")</f>
        <v>no</v>
      </c>
    </row>
    <row r="34" spans="1:32" ht="15.75" customHeight="1">
      <c r="A34" s="137" t="s">
        <v>454</v>
      </c>
      <c r="B34" s="140">
        <v>17.100000000000001</v>
      </c>
      <c r="C34" s="141">
        <v>5.8</v>
      </c>
      <c r="D34" s="142">
        <v>83.996520785584835</v>
      </c>
      <c r="E34" s="143">
        <v>664.2</v>
      </c>
    </row>
    <row r="35" spans="1:32" ht="15.75" customHeight="1">
      <c r="A35" s="137" t="s">
        <v>455</v>
      </c>
      <c r="B35" s="140">
        <v>13.6</v>
      </c>
      <c r="C35" s="141">
        <v>5.6</v>
      </c>
      <c r="D35" s="142">
        <v>73.422529169257928</v>
      </c>
      <c r="E35" s="143">
        <v>414.1</v>
      </c>
    </row>
    <row r="36" spans="1:32" ht="15.75" customHeight="1">
      <c r="A36" s="137" t="s">
        <v>456</v>
      </c>
      <c r="B36" s="140">
        <v>14.6</v>
      </c>
      <c r="C36" s="141">
        <v>8.1</v>
      </c>
      <c r="D36" s="142">
        <v>73.937344387272134</v>
      </c>
      <c r="E36" s="143">
        <v>466.4</v>
      </c>
    </row>
    <row r="37" spans="1:32" ht="15.75" customHeight="1">
      <c r="A37" s="137" t="s">
        <v>457</v>
      </c>
      <c r="B37" s="150">
        <v>12</v>
      </c>
      <c r="C37" s="141">
        <v>5.8</v>
      </c>
      <c r="D37" s="142">
        <v>91.393509706444945</v>
      </c>
      <c r="E37" s="143">
        <v>142.4</v>
      </c>
    </row>
    <row r="38" spans="1:32" ht="15.75" customHeight="1">
      <c r="A38" s="137" t="s">
        <v>458</v>
      </c>
      <c r="B38" s="140">
        <v>13.4</v>
      </c>
      <c r="C38" s="141">
        <v>7.8</v>
      </c>
      <c r="D38" s="142">
        <v>84.764237226305966</v>
      </c>
      <c r="E38" s="143">
        <v>343.2</v>
      </c>
    </row>
    <row r="39" spans="1:32" ht="15.75" customHeight="1">
      <c r="A39" s="137" t="s">
        <v>459</v>
      </c>
      <c r="B39" s="140">
        <v>15.9</v>
      </c>
      <c r="C39" s="141">
        <v>8</v>
      </c>
      <c r="D39" s="142">
        <v>78.141238608693655</v>
      </c>
      <c r="E39" s="143">
        <v>499.6</v>
      </c>
    </row>
    <row r="40" spans="1:32" ht="15.75" customHeight="1">
      <c r="A40" s="137" t="s">
        <v>460</v>
      </c>
      <c r="B40" s="140">
        <v>13.6</v>
      </c>
      <c r="C40" s="141">
        <v>5.5</v>
      </c>
      <c r="D40" s="142">
        <v>90.140446325387984</v>
      </c>
      <c r="E40" s="143">
        <v>287.60000000000002</v>
      </c>
    </row>
    <row r="41" spans="1:32" ht="15.75" customHeight="1">
      <c r="A41" s="137" t="s">
        <v>461</v>
      </c>
      <c r="B41" s="140">
        <v>12.1</v>
      </c>
      <c r="C41" s="141">
        <v>7.6</v>
      </c>
      <c r="D41" s="142">
        <v>85.424563507935517</v>
      </c>
      <c r="E41" s="143">
        <v>416.5</v>
      </c>
    </row>
    <row r="42" spans="1:32" ht="15.75" customHeight="1">
      <c r="A42" s="137" t="s">
        <v>462</v>
      </c>
      <c r="B42" s="140">
        <v>11.7</v>
      </c>
      <c r="C42" s="141">
        <v>6.1</v>
      </c>
      <c r="D42" s="142">
        <v>88.483880668602993</v>
      </c>
      <c r="E42" s="143">
        <v>227.3</v>
      </c>
    </row>
    <row r="43" spans="1:32" ht="15.75" customHeight="1">
      <c r="A43" s="137" t="s">
        <v>463</v>
      </c>
      <c r="B43" s="140">
        <v>15.7</v>
      </c>
      <c r="C43" s="141">
        <v>8.4</v>
      </c>
      <c r="D43" s="142">
        <v>68.748136077503446</v>
      </c>
      <c r="E43" s="143">
        <v>788.3</v>
      </c>
    </row>
    <row r="44" spans="1:32" ht="15.75" customHeight="1">
      <c r="A44" s="137" t="s">
        <v>464</v>
      </c>
      <c r="B44" s="140">
        <v>12.5</v>
      </c>
      <c r="C44" s="141">
        <v>6.9</v>
      </c>
      <c r="D44" s="142">
        <v>88.189790025789804</v>
      </c>
      <c r="E44" s="143">
        <v>169.2</v>
      </c>
    </row>
    <row r="45" spans="1:32" ht="15.75" customHeight="1">
      <c r="A45" s="137" t="s">
        <v>465</v>
      </c>
      <c r="B45" s="140">
        <v>15.5</v>
      </c>
      <c r="C45" s="141">
        <v>8.6999999999999993</v>
      </c>
      <c r="D45" s="142">
        <v>80.371971305033981</v>
      </c>
      <c r="E45" s="143">
        <v>753.3</v>
      </c>
    </row>
    <row r="46" spans="1:32" ht="15.75" customHeight="1">
      <c r="A46" s="137" t="s">
        <v>466</v>
      </c>
      <c r="B46" s="140">
        <v>15.8</v>
      </c>
      <c r="C46" s="141">
        <v>6.2</v>
      </c>
      <c r="D46" s="142">
        <v>82.402677784750395</v>
      </c>
      <c r="E46" s="143">
        <v>510.6</v>
      </c>
    </row>
    <row r="47" spans="1:32" ht="15.75" customHeight="1">
      <c r="A47" s="137" t="s">
        <v>467</v>
      </c>
      <c r="B47" s="140">
        <v>9.6</v>
      </c>
      <c r="C47" s="141">
        <v>5.0999999999999996</v>
      </c>
      <c r="D47" s="142">
        <v>92.915461931338129</v>
      </c>
      <c r="E47" s="143">
        <v>234.8</v>
      </c>
    </row>
    <row r="48" spans="1:32" ht="15.75" customHeight="1">
      <c r="A48" s="137" t="s">
        <v>468</v>
      </c>
      <c r="B48" s="140">
        <v>10.6</v>
      </c>
      <c r="C48" s="141">
        <v>5.5</v>
      </c>
      <c r="D48" s="142">
        <v>96.408807764739961</v>
      </c>
      <c r="E48" s="143">
        <v>124.3</v>
      </c>
    </row>
    <row r="49" spans="1:5" ht="15.75" customHeight="1">
      <c r="A49" s="137" t="s">
        <v>469</v>
      </c>
      <c r="B49" s="140">
        <v>10.199999999999999</v>
      </c>
      <c r="C49" s="141">
        <v>7.1</v>
      </c>
      <c r="D49" s="142">
        <v>73.031896017666924</v>
      </c>
      <c r="E49" s="143">
        <v>269.7</v>
      </c>
    </row>
    <row r="50" spans="1:5" ht="15.75" customHeight="1">
      <c r="A50" s="137" t="s">
        <v>470</v>
      </c>
      <c r="B50" s="140">
        <v>11.3</v>
      </c>
      <c r="C50" s="141">
        <v>4.7</v>
      </c>
      <c r="D50" s="142">
        <v>84.290902250404002</v>
      </c>
      <c r="E50" s="143">
        <v>333.1</v>
      </c>
    </row>
    <row r="51" spans="1:5" ht="15.75" customHeight="1">
      <c r="A51" s="137" t="s">
        <v>471</v>
      </c>
      <c r="B51" s="150">
        <v>17</v>
      </c>
      <c r="C51" s="141">
        <v>7.4</v>
      </c>
      <c r="D51" s="142">
        <v>94.524786328554711</v>
      </c>
      <c r="E51" s="143">
        <v>275.2</v>
      </c>
    </row>
    <row r="52" spans="1:5" ht="15.75" customHeight="1">
      <c r="A52" s="137" t="s">
        <v>472</v>
      </c>
      <c r="B52" s="140">
        <v>10.4</v>
      </c>
      <c r="C52" s="141">
        <v>6.4</v>
      </c>
      <c r="D52" s="142">
        <v>89.673695670212709</v>
      </c>
      <c r="E52" s="143">
        <v>290.89999999999998</v>
      </c>
    </row>
    <row r="53" spans="1:5" ht="15.75" customHeight="1">
      <c r="A53" s="151" t="s">
        <v>473</v>
      </c>
      <c r="B53" s="152">
        <v>9.4</v>
      </c>
      <c r="C53" s="153">
        <v>7</v>
      </c>
      <c r="D53" s="154">
        <v>93.867286940458214</v>
      </c>
      <c r="E53" s="155">
        <v>239.3</v>
      </c>
    </row>
    <row r="54" spans="1:5">
      <c r="A54" s="137"/>
      <c r="B54" s="137"/>
      <c r="C54" s="137"/>
      <c r="D54" s="137"/>
      <c r="E54" s="137"/>
    </row>
    <row r="55" spans="1:5">
      <c r="A55" s="137" t="s">
        <v>474</v>
      </c>
      <c r="B55" s="137"/>
      <c r="C55" s="137"/>
      <c r="D55" s="137"/>
      <c r="E55" s="137"/>
    </row>
    <row r="56" spans="1:5">
      <c r="A56" s="137" t="s">
        <v>475</v>
      </c>
      <c r="B56" s="137"/>
      <c r="C56" s="137"/>
      <c r="D56" s="137"/>
      <c r="E56" s="137"/>
    </row>
    <row r="57" spans="1:5">
      <c r="A57" s="137" t="s">
        <v>476</v>
      </c>
      <c r="B57" s="137"/>
      <c r="C57" s="137"/>
      <c r="D57" s="137"/>
      <c r="E57" s="137"/>
    </row>
    <row r="58" spans="1:5">
      <c r="A58" s="137" t="s">
        <v>477</v>
      </c>
      <c r="B58" s="137"/>
      <c r="C58" s="137"/>
      <c r="D58" s="137"/>
      <c r="E58" s="137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sheetPr codeName="Sheet74"/>
  <dimension ref="A1:Q63"/>
  <sheetViews>
    <sheetView workbookViewId="0"/>
  </sheetViews>
  <sheetFormatPr defaultRowHeight="14.4"/>
  <cols>
    <col min="1" max="1" width="13.109375" customWidth="1"/>
    <col min="2" max="10" width="11.109375" customWidth="1"/>
  </cols>
  <sheetData>
    <row r="1" spans="1:17">
      <c r="A1" s="1" t="s">
        <v>799</v>
      </c>
    </row>
    <row r="3" spans="1:17">
      <c r="A3" s="138"/>
      <c r="B3" s="139" t="s">
        <v>416</v>
      </c>
      <c r="C3" s="139" t="s">
        <v>417</v>
      </c>
      <c r="D3" s="139" t="s">
        <v>418</v>
      </c>
      <c r="E3" s="139" t="s">
        <v>419</v>
      </c>
      <c r="F3" s="139" t="s">
        <v>420</v>
      </c>
      <c r="G3" s="139" t="s">
        <v>421</v>
      </c>
      <c r="H3" s="139" t="s">
        <v>422</v>
      </c>
      <c r="I3" s="139" t="s">
        <v>423</v>
      </c>
      <c r="J3" s="139" t="s">
        <v>23</v>
      </c>
      <c r="N3" t="s">
        <v>209</v>
      </c>
    </row>
    <row r="4" spans="1:17">
      <c r="A4" s="137" t="s">
        <v>424</v>
      </c>
      <c r="B4" s="140">
        <v>15.7</v>
      </c>
      <c r="C4" s="141">
        <v>9</v>
      </c>
      <c r="D4" s="142">
        <v>71.027177760140717</v>
      </c>
      <c r="E4" s="143">
        <v>448</v>
      </c>
      <c r="F4" s="144">
        <v>218.17340830567619</v>
      </c>
      <c r="G4" s="145">
        <v>1.81</v>
      </c>
      <c r="H4" s="146">
        <v>22</v>
      </c>
      <c r="I4" s="147">
        <v>5</v>
      </c>
      <c r="J4" s="148">
        <v>42666</v>
      </c>
    </row>
    <row r="5" spans="1:17">
      <c r="A5" s="137" t="s">
        <v>425</v>
      </c>
      <c r="B5" s="140">
        <v>8.4</v>
      </c>
      <c r="C5" s="141">
        <v>6.9</v>
      </c>
      <c r="D5" s="142">
        <v>70.62318863808899</v>
      </c>
      <c r="E5" s="143">
        <v>661.2</v>
      </c>
      <c r="F5" s="144">
        <v>228.45028196578826</v>
      </c>
      <c r="G5" s="145">
        <v>1.63</v>
      </c>
      <c r="H5" s="146">
        <v>27.3</v>
      </c>
      <c r="I5" s="147">
        <v>6.7</v>
      </c>
      <c r="J5" s="148">
        <v>68460</v>
      </c>
      <c r="N5" t="s">
        <v>88</v>
      </c>
      <c r="O5">
        <f>COUNT(B4:B53)</f>
        <v>50</v>
      </c>
      <c r="P5">
        <f>2*O5</f>
        <v>100</v>
      </c>
    </row>
    <row r="6" spans="1:17">
      <c r="A6" s="137" t="s">
        <v>426</v>
      </c>
      <c r="B6" s="140">
        <v>14.7</v>
      </c>
      <c r="C6" s="141">
        <v>6.4</v>
      </c>
      <c r="D6" s="142">
        <v>86.505696765320337</v>
      </c>
      <c r="E6" s="143">
        <v>482.7</v>
      </c>
      <c r="F6" s="144">
        <v>209.66657175716827</v>
      </c>
      <c r="G6" s="145">
        <v>1.69</v>
      </c>
      <c r="H6" s="146">
        <v>25.1</v>
      </c>
      <c r="I6" s="147">
        <v>5.5</v>
      </c>
      <c r="J6" s="148">
        <v>50958</v>
      </c>
      <c r="N6" t="s">
        <v>76</v>
      </c>
      <c r="O6">
        <f>AVERAGE(B4:B53)</f>
        <v>12.732000000000001</v>
      </c>
    </row>
    <row r="7" spans="1:17">
      <c r="A7" s="137" t="s">
        <v>427</v>
      </c>
      <c r="B7" s="140">
        <v>17.3</v>
      </c>
      <c r="C7" s="141">
        <v>8.5</v>
      </c>
      <c r="D7" s="142">
        <v>80.783955956979611</v>
      </c>
      <c r="E7" s="143">
        <v>529.4</v>
      </c>
      <c r="F7" s="144">
        <v>203.42285988234826</v>
      </c>
      <c r="G7" s="145">
        <v>1.96</v>
      </c>
      <c r="H7" s="146">
        <v>18.8</v>
      </c>
      <c r="I7" s="147">
        <v>5.0999999999999996</v>
      </c>
      <c r="J7" s="148">
        <v>38815</v>
      </c>
      <c r="N7" t="s">
        <v>182</v>
      </c>
      <c r="O7">
        <f>STDEV(B4:B53)</f>
        <v>2.9390016352912913</v>
      </c>
    </row>
    <row r="8" spans="1:17">
      <c r="A8" s="137" t="s">
        <v>428</v>
      </c>
      <c r="B8" s="140">
        <v>13.3</v>
      </c>
      <c r="C8" s="141">
        <v>5</v>
      </c>
      <c r="D8" s="142">
        <v>76.640052174481781</v>
      </c>
      <c r="E8" s="143">
        <v>522.6</v>
      </c>
      <c r="F8" s="144">
        <v>268.69056049813605</v>
      </c>
      <c r="G8" s="145">
        <v>1.21</v>
      </c>
      <c r="H8" s="146">
        <v>29.6</v>
      </c>
      <c r="I8" s="147">
        <v>7.2</v>
      </c>
      <c r="J8" s="148">
        <v>61021</v>
      </c>
    </row>
    <row r="9" spans="1:17">
      <c r="A9" s="137" t="s">
        <v>429</v>
      </c>
      <c r="B9" s="140">
        <v>11.4</v>
      </c>
      <c r="C9" s="141">
        <v>5.7</v>
      </c>
      <c r="D9" s="142">
        <v>89.734092175332663</v>
      </c>
      <c r="E9" s="143">
        <v>347.8</v>
      </c>
      <c r="F9" s="144">
        <v>259.68608874672964</v>
      </c>
      <c r="G9" s="145">
        <v>1.1399999999999999</v>
      </c>
      <c r="H9" s="146">
        <v>35.6</v>
      </c>
      <c r="I9" s="147">
        <v>4.9000000000000004</v>
      </c>
      <c r="J9" s="148">
        <v>56993</v>
      </c>
      <c r="N9" t="s">
        <v>210</v>
      </c>
      <c r="O9" t="s">
        <v>211</v>
      </c>
      <c r="P9" t="s">
        <v>555</v>
      </c>
      <c r="Q9" t="s">
        <v>212</v>
      </c>
    </row>
    <row r="10" spans="1:17">
      <c r="A10" s="137" t="s">
        <v>430</v>
      </c>
      <c r="B10" s="140">
        <v>9.3000000000000007</v>
      </c>
      <c r="C10" s="141">
        <v>6.2</v>
      </c>
      <c r="D10" s="142">
        <v>84.278652322083644</v>
      </c>
      <c r="E10" s="143">
        <v>256</v>
      </c>
      <c r="F10" s="144">
        <v>376.3752669155395</v>
      </c>
      <c r="G10" s="145">
        <v>0.86</v>
      </c>
      <c r="H10" s="146">
        <v>35.6</v>
      </c>
      <c r="I10" s="147">
        <v>5.7</v>
      </c>
      <c r="J10" s="148">
        <v>68595</v>
      </c>
      <c r="N10">
        <v>1</v>
      </c>
      <c r="O10">
        <v>7.6</v>
      </c>
      <c r="P10">
        <f>NORMSINV(N10/P$5)</f>
        <v>-2.3263478740408408</v>
      </c>
      <c r="Q10">
        <f>STANDARDIZE(O10,O$6,O$7)</f>
        <v>-1.7461711958153969</v>
      </c>
    </row>
    <row r="11" spans="1:17">
      <c r="A11" s="137" t="s">
        <v>431</v>
      </c>
      <c r="B11" s="149">
        <v>10</v>
      </c>
      <c r="C11" s="141">
        <v>8.3000000000000007</v>
      </c>
      <c r="D11" s="142">
        <v>74.266056727126113</v>
      </c>
      <c r="E11" s="143">
        <v>689.2</v>
      </c>
      <c r="F11" s="144">
        <v>250.94175668510928</v>
      </c>
      <c r="G11" s="145">
        <v>1.23</v>
      </c>
      <c r="H11" s="146">
        <v>27.5</v>
      </c>
      <c r="I11" s="147">
        <v>4.8</v>
      </c>
      <c r="J11" s="148">
        <v>57989</v>
      </c>
      <c r="N11">
        <f>N10+2</f>
        <v>3</v>
      </c>
      <c r="O11">
        <v>8.1</v>
      </c>
      <c r="P11">
        <f t="shared" ref="P11:P59" si="0">NORMSINV(N11/P$5)</f>
        <v>-1.8807936081512509</v>
      </c>
      <c r="Q11">
        <f t="shared" ref="Q11:Q59" si="1">STANDARDIZE(O11,O$6,O$7)</f>
        <v>-1.5760453973142867</v>
      </c>
    </row>
    <row r="12" spans="1:17">
      <c r="A12" s="137" t="s">
        <v>432</v>
      </c>
      <c r="B12" s="140">
        <v>13.2</v>
      </c>
      <c r="C12" s="141">
        <v>7.3</v>
      </c>
      <c r="D12" s="142">
        <v>79.811068541941054</v>
      </c>
      <c r="E12" s="143">
        <v>722.6</v>
      </c>
      <c r="F12" s="144">
        <v>247.86359820579941</v>
      </c>
      <c r="G12" s="145">
        <v>1.56</v>
      </c>
      <c r="H12" s="146">
        <v>25.8</v>
      </c>
      <c r="I12" s="147">
        <v>6.2</v>
      </c>
      <c r="J12" s="148">
        <v>47778</v>
      </c>
      <c r="N12">
        <f t="shared" ref="N12:N59" si="2">N11+2</f>
        <v>5</v>
      </c>
      <c r="O12">
        <v>8.4</v>
      </c>
      <c r="P12">
        <f t="shared" si="0"/>
        <v>-1.6448536269514726</v>
      </c>
      <c r="Q12">
        <f t="shared" si="1"/>
        <v>-1.4739699182136201</v>
      </c>
    </row>
    <row r="13" spans="1:17">
      <c r="A13" s="137" t="s">
        <v>433</v>
      </c>
      <c r="B13" s="140">
        <v>14.7</v>
      </c>
      <c r="C13" s="141">
        <v>8.1</v>
      </c>
      <c r="D13" s="142">
        <v>65.387718279566343</v>
      </c>
      <c r="E13" s="143">
        <v>493.2</v>
      </c>
      <c r="F13" s="144">
        <v>217.44570184044454</v>
      </c>
      <c r="G13" s="145">
        <v>1.46</v>
      </c>
      <c r="H13" s="146">
        <v>27.5</v>
      </c>
      <c r="I13" s="147">
        <v>6.2</v>
      </c>
      <c r="J13" s="148">
        <v>50861</v>
      </c>
      <c r="N13">
        <f t="shared" si="2"/>
        <v>7</v>
      </c>
      <c r="O13">
        <v>8.6999999999999993</v>
      </c>
      <c r="P13">
        <f t="shared" si="0"/>
        <v>-1.4757910281791702</v>
      </c>
      <c r="Q13">
        <f t="shared" si="1"/>
        <v>-1.3718944391129544</v>
      </c>
    </row>
    <row r="14" spans="1:17">
      <c r="A14" s="137" t="s">
        <v>434</v>
      </c>
      <c r="B14" s="140">
        <v>9.1</v>
      </c>
      <c r="C14" s="141">
        <v>5.6</v>
      </c>
      <c r="D14" s="142">
        <v>29.667333748383395</v>
      </c>
      <c r="E14" s="143">
        <v>272.8</v>
      </c>
      <c r="F14" s="144">
        <v>316.98289278791503</v>
      </c>
      <c r="G14" s="145">
        <v>1.33</v>
      </c>
      <c r="H14" s="146">
        <v>29.1</v>
      </c>
      <c r="I14" s="147">
        <v>3.9</v>
      </c>
      <c r="J14" s="148">
        <v>67214</v>
      </c>
      <c r="N14">
        <f t="shared" si="2"/>
        <v>9</v>
      </c>
      <c r="O14">
        <v>9.1</v>
      </c>
      <c r="P14">
        <f t="shared" si="0"/>
        <v>-1.3407550336902161</v>
      </c>
      <c r="Q14">
        <f t="shared" si="1"/>
        <v>-1.2357938003120661</v>
      </c>
    </row>
    <row r="15" spans="1:17">
      <c r="A15" s="137" t="s">
        <v>435</v>
      </c>
      <c r="B15" s="140">
        <v>12.6</v>
      </c>
      <c r="C15" s="141">
        <v>6.8</v>
      </c>
      <c r="D15" s="142">
        <v>94.600660447193093</v>
      </c>
      <c r="E15" s="143">
        <v>239.4</v>
      </c>
      <c r="F15" s="144">
        <v>168.83390313104681</v>
      </c>
      <c r="G15" s="145">
        <v>1.6</v>
      </c>
      <c r="H15" s="146">
        <v>24</v>
      </c>
      <c r="I15" s="147">
        <v>4.9000000000000004</v>
      </c>
      <c r="J15" s="148">
        <v>47576</v>
      </c>
      <c r="N15">
        <f t="shared" si="2"/>
        <v>11</v>
      </c>
      <c r="O15">
        <v>9.3000000000000007</v>
      </c>
      <c r="P15">
        <f t="shared" si="0"/>
        <v>-1.2265281200366105</v>
      </c>
      <c r="Q15">
        <f t="shared" si="1"/>
        <v>-1.1677434809116214</v>
      </c>
    </row>
    <row r="16" spans="1:17">
      <c r="A16" s="137" t="s">
        <v>436</v>
      </c>
      <c r="B16" s="140">
        <v>12.2</v>
      </c>
      <c r="C16" s="141">
        <v>7.3</v>
      </c>
      <c r="D16" s="142">
        <v>79.13310968601246</v>
      </c>
      <c r="E16" s="143">
        <v>533.20000000000005</v>
      </c>
      <c r="F16" s="144">
        <v>280.15386787687231</v>
      </c>
      <c r="G16" s="145">
        <v>1.1599999999999999</v>
      </c>
      <c r="H16" s="146">
        <v>29.9</v>
      </c>
      <c r="I16" s="147">
        <v>6.5</v>
      </c>
      <c r="J16" s="148">
        <v>56235</v>
      </c>
      <c r="N16">
        <f t="shared" si="2"/>
        <v>13</v>
      </c>
      <c r="O16">
        <v>9.4</v>
      </c>
      <c r="P16">
        <f t="shared" si="0"/>
        <v>-1.1263911290388013</v>
      </c>
      <c r="Q16">
        <f t="shared" si="1"/>
        <v>-1.1337183212113995</v>
      </c>
    </row>
    <row r="17" spans="1:17">
      <c r="A17" s="137" t="s">
        <v>437</v>
      </c>
      <c r="B17" s="140">
        <v>13.1</v>
      </c>
      <c r="C17" s="141">
        <v>8</v>
      </c>
      <c r="D17" s="142">
        <v>88.000000627274659</v>
      </c>
      <c r="E17" s="143">
        <v>333.6</v>
      </c>
      <c r="F17" s="144">
        <v>216.93969975987483</v>
      </c>
      <c r="G17" s="145">
        <v>1.26</v>
      </c>
      <c r="H17" s="146">
        <v>22.9</v>
      </c>
      <c r="I17" s="147">
        <v>5.9</v>
      </c>
      <c r="J17" s="148">
        <v>47966</v>
      </c>
      <c r="N17">
        <f t="shared" si="2"/>
        <v>15</v>
      </c>
      <c r="O17">
        <v>9.6</v>
      </c>
      <c r="P17">
        <f t="shared" si="0"/>
        <v>-1.0364333894937898</v>
      </c>
      <c r="Q17">
        <f t="shared" si="1"/>
        <v>-1.0656680018109557</v>
      </c>
    </row>
    <row r="18" spans="1:17">
      <c r="A18" s="137" t="s">
        <v>438</v>
      </c>
      <c r="B18" s="140">
        <v>11.5</v>
      </c>
      <c r="C18" s="141">
        <v>5.0999999999999996</v>
      </c>
      <c r="D18" s="142">
        <v>94.170464820794294</v>
      </c>
      <c r="E18" s="143">
        <v>294.7</v>
      </c>
      <c r="F18" s="144">
        <v>189.28322428402873</v>
      </c>
      <c r="G18" s="145">
        <v>1.42</v>
      </c>
      <c r="H18" s="146">
        <v>24.3</v>
      </c>
      <c r="I18" s="147">
        <v>4.0999999999999996</v>
      </c>
      <c r="J18" s="148">
        <v>48980</v>
      </c>
      <c r="N18">
        <f t="shared" si="2"/>
        <v>17</v>
      </c>
      <c r="O18">
        <v>9.6</v>
      </c>
      <c r="P18">
        <f t="shared" si="0"/>
        <v>-0.95416525314619549</v>
      </c>
      <c r="Q18">
        <f t="shared" si="1"/>
        <v>-1.0656680018109557</v>
      </c>
    </row>
    <row r="19" spans="1:17">
      <c r="A19" s="137" t="s">
        <v>439</v>
      </c>
      <c r="B19" s="140">
        <v>11.3</v>
      </c>
      <c r="C19" s="141">
        <v>7.1</v>
      </c>
      <c r="D19" s="142">
        <v>88.703716524620162</v>
      </c>
      <c r="E19" s="143">
        <v>452.7</v>
      </c>
      <c r="F19" s="144">
        <v>222.54770859752097</v>
      </c>
      <c r="G19" s="145">
        <v>1.38</v>
      </c>
      <c r="H19" s="146">
        <v>29.6</v>
      </c>
      <c r="I19" s="147">
        <v>4.4000000000000004</v>
      </c>
      <c r="J19" s="148">
        <v>50177</v>
      </c>
      <c r="N19">
        <f t="shared" si="2"/>
        <v>19</v>
      </c>
      <c r="O19">
        <v>10</v>
      </c>
      <c r="P19">
        <f t="shared" si="0"/>
        <v>-0.87789629505122846</v>
      </c>
      <c r="Q19">
        <f t="shared" si="1"/>
        <v>-0.92956736301006726</v>
      </c>
    </row>
    <row r="20" spans="1:17">
      <c r="A20" s="137" t="s">
        <v>440</v>
      </c>
      <c r="B20" s="140">
        <v>17.3</v>
      </c>
      <c r="C20" s="141">
        <v>7.5</v>
      </c>
      <c r="D20" s="142">
        <v>89.904327345935869</v>
      </c>
      <c r="E20" s="143">
        <v>295</v>
      </c>
      <c r="F20" s="144">
        <v>232.34854500664258</v>
      </c>
      <c r="G20" s="145">
        <v>1.8</v>
      </c>
      <c r="H20" s="146">
        <v>19.7</v>
      </c>
      <c r="I20" s="147">
        <v>6.4</v>
      </c>
      <c r="J20" s="148">
        <v>41538</v>
      </c>
      <c r="N20">
        <f t="shared" si="2"/>
        <v>21</v>
      </c>
      <c r="O20">
        <v>10</v>
      </c>
      <c r="P20">
        <f t="shared" si="0"/>
        <v>-0.80642124701824058</v>
      </c>
      <c r="Q20">
        <f t="shared" si="1"/>
        <v>-0.92956736301006726</v>
      </c>
    </row>
    <row r="21" spans="1:17">
      <c r="A21" s="137" t="s">
        <v>441</v>
      </c>
      <c r="B21" s="140">
        <v>17.3</v>
      </c>
      <c r="C21" s="141">
        <v>9.9</v>
      </c>
      <c r="D21" s="142">
        <v>64.839543701408999</v>
      </c>
      <c r="E21" s="143">
        <v>729.5</v>
      </c>
      <c r="F21" s="144">
        <v>262.66146237060713</v>
      </c>
      <c r="G21" s="145">
        <v>2.17</v>
      </c>
      <c r="H21" s="146">
        <v>20.3</v>
      </c>
      <c r="I21" s="147">
        <v>4.5999999999999996</v>
      </c>
      <c r="J21" s="148">
        <v>43733</v>
      </c>
      <c r="N21">
        <f t="shared" si="2"/>
        <v>23</v>
      </c>
      <c r="O21">
        <v>10.199999999999999</v>
      </c>
      <c r="P21">
        <f t="shared" si="0"/>
        <v>-0.73884684918521393</v>
      </c>
      <c r="Q21">
        <f t="shared" si="1"/>
        <v>-0.86151704360962333</v>
      </c>
    </row>
    <row r="22" spans="1:17">
      <c r="A22" s="137" t="s">
        <v>442</v>
      </c>
      <c r="B22" s="140">
        <v>12.3</v>
      </c>
      <c r="C22" s="141">
        <v>6.3</v>
      </c>
      <c r="D22" s="142">
        <v>96.389852756187835</v>
      </c>
      <c r="E22" s="143">
        <v>118</v>
      </c>
      <c r="F22" s="144">
        <v>278.39482802923527</v>
      </c>
      <c r="G22" s="145">
        <v>1.22</v>
      </c>
      <c r="H22" s="146">
        <v>25.4</v>
      </c>
      <c r="I22" s="147">
        <v>5.4</v>
      </c>
      <c r="J22" s="148">
        <v>46581</v>
      </c>
      <c r="N22">
        <f t="shared" si="2"/>
        <v>25</v>
      </c>
      <c r="O22">
        <v>10.4</v>
      </c>
      <c r="P22">
        <f t="shared" si="0"/>
        <v>-0.67448975019608193</v>
      </c>
      <c r="Q22">
        <f t="shared" si="1"/>
        <v>-0.79346672420917885</v>
      </c>
    </row>
    <row r="23" spans="1:17">
      <c r="A23" s="137" t="s">
        <v>443</v>
      </c>
      <c r="B23" s="140">
        <v>8.1</v>
      </c>
      <c r="C23" s="141">
        <v>8</v>
      </c>
      <c r="D23" s="142">
        <v>63.398020838196281</v>
      </c>
      <c r="E23" s="143">
        <v>641.9</v>
      </c>
      <c r="F23" s="144">
        <v>421.43487540886565</v>
      </c>
      <c r="G23" s="145">
        <v>1.0900000000000001</v>
      </c>
      <c r="H23" s="146">
        <v>35.200000000000003</v>
      </c>
      <c r="I23" s="147">
        <v>4.4000000000000004</v>
      </c>
      <c r="J23" s="148">
        <v>70545</v>
      </c>
      <c r="N23">
        <f t="shared" si="2"/>
        <v>27</v>
      </c>
      <c r="O23">
        <v>10.6</v>
      </c>
      <c r="P23">
        <f t="shared" si="0"/>
        <v>-0.61281299101662734</v>
      </c>
      <c r="Q23">
        <f t="shared" si="1"/>
        <v>-0.72541640480873493</v>
      </c>
    </row>
    <row r="24" spans="1:17">
      <c r="A24" s="137" t="s">
        <v>444</v>
      </c>
      <c r="B24" s="149">
        <v>10</v>
      </c>
      <c r="C24" s="141">
        <v>4.8</v>
      </c>
      <c r="D24" s="142">
        <v>86.203669547721617</v>
      </c>
      <c r="E24" s="143">
        <v>431.5</v>
      </c>
      <c r="F24" s="144">
        <v>469.00740037554607</v>
      </c>
      <c r="G24" s="145">
        <v>0.76</v>
      </c>
      <c r="H24" s="146">
        <v>38.1</v>
      </c>
      <c r="I24" s="147">
        <v>5.3</v>
      </c>
      <c r="J24" s="148">
        <v>65401</v>
      </c>
      <c r="N24">
        <f t="shared" si="2"/>
        <v>29</v>
      </c>
      <c r="O24">
        <v>10.8</v>
      </c>
      <c r="P24">
        <f t="shared" si="0"/>
        <v>-0.55338471955567303</v>
      </c>
      <c r="Q24">
        <f t="shared" si="1"/>
        <v>-0.65736608540829045</v>
      </c>
    </row>
    <row r="25" spans="1:17">
      <c r="A25" s="137" t="s">
        <v>445</v>
      </c>
      <c r="B25" s="140">
        <v>14.4</v>
      </c>
      <c r="C25" s="141">
        <v>7.4</v>
      </c>
      <c r="D25" s="142">
        <v>81.183409037427396</v>
      </c>
      <c r="E25" s="143">
        <v>536</v>
      </c>
      <c r="F25" s="144">
        <v>250.2141835799554</v>
      </c>
      <c r="G25" s="145">
        <v>1.04</v>
      </c>
      <c r="H25" s="146">
        <v>24.7</v>
      </c>
      <c r="I25" s="147">
        <v>8.4</v>
      </c>
      <c r="J25" s="148">
        <v>48591</v>
      </c>
      <c r="N25">
        <f t="shared" si="2"/>
        <v>31</v>
      </c>
      <c r="O25">
        <v>11.3</v>
      </c>
      <c r="P25">
        <f t="shared" si="0"/>
        <v>-0.49585034734745354</v>
      </c>
      <c r="Q25">
        <f t="shared" si="1"/>
        <v>-0.48724028690718013</v>
      </c>
    </row>
    <row r="26" spans="1:17">
      <c r="A26" s="137" t="s">
        <v>446</v>
      </c>
      <c r="B26" s="140">
        <v>9.6</v>
      </c>
      <c r="C26" s="141">
        <v>5.2</v>
      </c>
      <c r="D26" s="142">
        <v>89.045556531854984</v>
      </c>
      <c r="E26" s="143">
        <v>288.7</v>
      </c>
      <c r="F26" s="144">
        <v>293.18688782716754</v>
      </c>
      <c r="G26" s="145">
        <v>0.88</v>
      </c>
      <c r="H26" s="146">
        <v>31.5</v>
      </c>
      <c r="I26" s="147">
        <v>5.4</v>
      </c>
      <c r="J26" s="148">
        <v>57288</v>
      </c>
      <c r="N26">
        <f t="shared" si="2"/>
        <v>33</v>
      </c>
      <c r="O26">
        <v>11.3</v>
      </c>
      <c r="P26">
        <f t="shared" si="0"/>
        <v>-0.43991316567323374</v>
      </c>
      <c r="Q26">
        <f t="shared" si="1"/>
        <v>-0.48724028690718013</v>
      </c>
    </row>
    <row r="27" spans="1:17">
      <c r="A27" s="137" t="s">
        <v>447</v>
      </c>
      <c r="B27" s="140">
        <v>21.2</v>
      </c>
      <c r="C27" s="141">
        <v>10.6</v>
      </c>
      <c r="D27" s="142">
        <v>60.598179144073846</v>
      </c>
      <c r="E27" s="143">
        <v>291.3</v>
      </c>
      <c r="F27" s="144">
        <v>177.88245926950424</v>
      </c>
      <c r="G27" s="145">
        <v>2.04</v>
      </c>
      <c r="H27" s="146">
        <v>19.399999999999999</v>
      </c>
      <c r="I27" s="147">
        <v>6.9</v>
      </c>
      <c r="J27" s="148">
        <v>37790</v>
      </c>
      <c r="N27">
        <f t="shared" si="2"/>
        <v>35</v>
      </c>
      <c r="O27">
        <v>11.3</v>
      </c>
      <c r="P27">
        <f t="shared" si="0"/>
        <v>-0.38532046640756784</v>
      </c>
      <c r="Q27">
        <f t="shared" si="1"/>
        <v>-0.48724028690718013</v>
      </c>
    </row>
    <row r="28" spans="1:17">
      <c r="A28" s="137" t="s">
        <v>448</v>
      </c>
      <c r="B28" s="140">
        <v>13.4</v>
      </c>
      <c r="C28" s="141">
        <v>7.4</v>
      </c>
      <c r="D28" s="142">
        <v>85.028888093842554</v>
      </c>
      <c r="E28" s="143">
        <v>504.9</v>
      </c>
      <c r="F28" s="144">
        <v>246.01936683780735</v>
      </c>
      <c r="G28" s="145">
        <v>1.43</v>
      </c>
      <c r="H28" s="146">
        <v>25</v>
      </c>
      <c r="I28" s="147">
        <v>6.1</v>
      </c>
      <c r="J28" s="148">
        <v>46867</v>
      </c>
      <c r="N28">
        <f t="shared" si="2"/>
        <v>37</v>
      </c>
      <c r="O28">
        <v>11.4</v>
      </c>
      <c r="P28">
        <f t="shared" si="0"/>
        <v>-0.33185334643681658</v>
      </c>
      <c r="Q28">
        <f t="shared" si="1"/>
        <v>-0.45321512720695817</v>
      </c>
    </row>
    <row r="29" spans="1:17">
      <c r="A29" s="137" t="s">
        <v>449</v>
      </c>
      <c r="B29" s="140">
        <v>14.8</v>
      </c>
      <c r="C29" s="141">
        <v>5.8</v>
      </c>
      <c r="D29" s="142">
        <v>90.467729264863962</v>
      </c>
      <c r="E29" s="143">
        <v>287.5</v>
      </c>
      <c r="F29" s="144">
        <v>220.56732843834149</v>
      </c>
      <c r="G29" s="145">
        <v>2.4500000000000002</v>
      </c>
      <c r="H29" s="146">
        <v>27.1</v>
      </c>
      <c r="I29" s="147">
        <v>4.5</v>
      </c>
      <c r="J29" s="148">
        <v>43654</v>
      </c>
      <c r="N29">
        <f t="shared" si="2"/>
        <v>39</v>
      </c>
      <c r="O29">
        <v>11.5</v>
      </c>
      <c r="P29">
        <f t="shared" si="0"/>
        <v>-0.27931903444745415</v>
      </c>
      <c r="Q29">
        <f t="shared" si="1"/>
        <v>-0.41918996750673626</v>
      </c>
    </row>
    <row r="30" spans="1:17">
      <c r="A30" s="137" t="s">
        <v>450</v>
      </c>
      <c r="B30" s="140">
        <v>10.8</v>
      </c>
      <c r="C30" s="141">
        <v>5.6</v>
      </c>
      <c r="D30" s="142">
        <v>91.372477335833381</v>
      </c>
      <c r="E30" s="143">
        <v>302.39999999999998</v>
      </c>
      <c r="F30" s="144">
        <v>245.38379506214562</v>
      </c>
      <c r="G30" s="145">
        <v>1.32</v>
      </c>
      <c r="H30" s="146">
        <v>27.1</v>
      </c>
      <c r="I30" s="147">
        <v>3.3</v>
      </c>
      <c r="J30" s="148">
        <v>49693</v>
      </c>
      <c r="N30">
        <f t="shared" si="2"/>
        <v>41</v>
      </c>
      <c r="O30">
        <v>11.7</v>
      </c>
      <c r="P30">
        <f t="shared" si="0"/>
        <v>-0.2275449766411495</v>
      </c>
      <c r="Q30">
        <f t="shared" si="1"/>
        <v>-0.35113964810629233</v>
      </c>
    </row>
    <row r="31" spans="1:17">
      <c r="A31" s="137" t="s">
        <v>451</v>
      </c>
      <c r="B31" s="140">
        <v>11.3</v>
      </c>
      <c r="C31" s="141">
        <v>6.4</v>
      </c>
      <c r="D31" s="142">
        <v>80.891227371165002</v>
      </c>
      <c r="E31" s="143">
        <v>750.6</v>
      </c>
      <c r="F31" s="144">
        <v>187.75857911072276</v>
      </c>
      <c r="G31" s="145">
        <v>1.68</v>
      </c>
      <c r="H31" s="146">
        <v>21.9</v>
      </c>
      <c r="I31" s="147">
        <v>6.7</v>
      </c>
      <c r="J31" s="148">
        <v>56361</v>
      </c>
      <c r="N31">
        <f t="shared" si="2"/>
        <v>43</v>
      </c>
      <c r="O31">
        <v>12</v>
      </c>
      <c r="P31">
        <f t="shared" si="0"/>
        <v>-0.17637416478086138</v>
      </c>
      <c r="Q31">
        <f t="shared" si="1"/>
        <v>-0.24906416900562592</v>
      </c>
    </row>
    <row r="32" spans="1:17">
      <c r="A32" s="137" t="s">
        <v>452</v>
      </c>
      <c r="B32" s="140">
        <v>7.6</v>
      </c>
      <c r="C32" s="141">
        <v>6.1</v>
      </c>
      <c r="D32" s="142">
        <v>95.487186970145373</v>
      </c>
      <c r="E32" s="143">
        <v>137.30000000000001</v>
      </c>
      <c r="F32" s="144">
        <v>274.87014728833395</v>
      </c>
      <c r="G32" s="145">
        <v>0.96</v>
      </c>
      <c r="H32" s="146">
        <v>33.299999999999997</v>
      </c>
      <c r="I32" s="147">
        <v>3.8</v>
      </c>
      <c r="J32" s="148">
        <v>63731</v>
      </c>
      <c r="N32">
        <f t="shared" si="2"/>
        <v>45</v>
      </c>
      <c r="O32">
        <v>12.1</v>
      </c>
      <c r="P32">
        <f t="shared" si="0"/>
        <v>-0.12566134685507402</v>
      </c>
      <c r="Q32">
        <f t="shared" si="1"/>
        <v>-0.21503900930540396</v>
      </c>
    </row>
    <row r="33" spans="1:17">
      <c r="A33" s="137" t="s">
        <v>453</v>
      </c>
      <c r="B33" s="140">
        <v>8.6999999999999993</v>
      </c>
      <c r="C33" s="141">
        <v>5.5</v>
      </c>
      <c r="D33" s="142">
        <v>76.032117342828414</v>
      </c>
      <c r="E33" s="143">
        <v>329.3</v>
      </c>
      <c r="F33" s="144">
        <v>316.33654704669738</v>
      </c>
      <c r="G33" s="145">
        <v>0.95</v>
      </c>
      <c r="H33" s="146">
        <v>34.4</v>
      </c>
      <c r="I33" s="147">
        <v>5.5</v>
      </c>
      <c r="J33" s="148">
        <v>70378</v>
      </c>
      <c r="N33">
        <f t="shared" si="2"/>
        <v>47</v>
      </c>
      <c r="O33">
        <v>12.2</v>
      </c>
      <c r="P33">
        <f t="shared" si="0"/>
        <v>-7.5269862099829901E-2</v>
      </c>
      <c r="Q33">
        <f t="shared" si="1"/>
        <v>-0.18101384960518202</v>
      </c>
    </row>
    <row r="34" spans="1:17">
      <c r="A34" s="137" t="s">
        <v>454</v>
      </c>
      <c r="B34" s="140">
        <v>17.100000000000001</v>
      </c>
      <c r="C34" s="141">
        <v>5.8</v>
      </c>
      <c r="D34" s="142">
        <v>83.996520785584835</v>
      </c>
      <c r="E34" s="143">
        <v>664.2</v>
      </c>
      <c r="F34" s="144">
        <v>243.58557973367977</v>
      </c>
      <c r="G34" s="145">
        <v>1.54</v>
      </c>
      <c r="H34" s="146">
        <v>24.7</v>
      </c>
      <c r="I34" s="147">
        <v>4.2</v>
      </c>
      <c r="J34" s="148">
        <v>43508</v>
      </c>
      <c r="N34">
        <f t="shared" si="2"/>
        <v>49</v>
      </c>
      <c r="O34">
        <v>12.3</v>
      </c>
      <c r="P34">
        <f t="shared" si="0"/>
        <v>-2.506890825871106E-2</v>
      </c>
      <c r="Q34">
        <f t="shared" si="1"/>
        <v>-0.14698868990495947</v>
      </c>
    </row>
    <row r="35" spans="1:17">
      <c r="A35" s="137" t="s">
        <v>455</v>
      </c>
      <c r="B35" s="140">
        <v>13.6</v>
      </c>
      <c r="C35" s="141">
        <v>5.6</v>
      </c>
      <c r="D35" s="142">
        <v>73.422529169257928</v>
      </c>
      <c r="E35" s="143">
        <v>414.1</v>
      </c>
      <c r="F35" s="144">
        <v>395.92232685906185</v>
      </c>
      <c r="G35" s="145">
        <v>0.97</v>
      </c>
      <c r="H35" s="146">
        <v>31.9</v>
      </c>
      <c r="I35" s="147">
        <v>5.4</v>
      </c>
      <c r="J35" s="148">
        <v>56033</v>
      </c>
      <c r="N35">
        <f t="shared" si="2"/>
        <v>51</v>
      </c>
      <c r="O35">
        <v>12.5</v>
      </c>
      <c r="P35">
        <f t="shared" si="0"/>
        <v>2.506890825871106E-2</v>
      </c>
      <c r="Q35">
        <f t="shared" si="1"/>
        <v>-7.8938370504515562E-2</v>
      </c>
    </row>
    <row r="36" spans="1:17">
      <c r="A36" s="137" t="s">
        <v>456</v>
      </c>
      <c r="B36" s="140">
        <v>14.6</v>
      </c>
      <c r="C36" s="141">
        <v>8.1</v>
      </c>
      <c r="D36" s="142">
        <v>73.937344387272134</v>
      </c>
      <c r="E36" s="143">
        <v>466.4</v>
      </c>
      <c r="F36" s="144">
        <v>254.23614464440675</v>
      </c>
      <c r="G36" s="145">
        <v>1.62</v>
      </c>
      <c r="H36" s="146">
        <v>26.1</v>
      </c>
      <c r="I36" s="147">
        <v>6.3</v>
      </c>
      <c r="J36" s="148">
        <v>46549</v>
      </c>
      <c r="N36">
        <f t="shared" si="2"/>
        <v>53</v>
      </c>
      <c r="O36">
        <v>12.6</v>
      </c>
      <c r="P36">
        <f t="shared" si="0"/>
        <v>7.5269862099829901E-2</v>
      </c>
      <c r="Q36">
        <f t="shared" si="1"/>
        <v>-4.491321080429362E-2</v>
      </c>
    </row>
    <row r="37" spans="1:17">
      <c r="A37" s="137" t="s">
        <v>457</v>
      </c>
      <c r="B37" s="150">
        <v>12</v>
      </c>
      <c r="C37" s="141">
        <v>5.8</v>
      </c>
      <c r="D37" s="142">
        <v>91.393509706444945</v>
      </c>
      <c r="E37" s="143">
        <v>142.4</v>
      </c>
      <c r="F37" s="144">
        <v>244.39414081115655</v>
      </c>
      <c r="G37" s="145">
        <v>1.42</v>
      </c>
      <c r="H37" s="146">
        <v>26.9</v>
      </c>
      <c r="I37" s="147">
        <v>3.2</v>
      </c>
      <c r="J37" s="148">
        <v>45685</v>
      </c>
      <c r="N37">
        <f t="shared" si="2"/>
        <v>55</v>
      </c>
      <c r="O37">
        <v>13.1</v>
      </c>
      <c r="P37">
        <f t="shared" si="0"/>
        <v>0.12566134685507416</v>
      </c>
      <c r="Q37">
        <f t="shared" si="1"/>
        <v>0.1252125876968167</v>
      </c>
    </row>
    <row r="38" spans="1:17">
      <c r="A38" s="137" t="s">
        <v>458</v>
      </c>
      <c r="B38" s="140">
        <v>13.4</v>
      </c>
      <c r="C38" s="141">
        <v>7.8</v>
      </c>
      <c r="D38" s="142">
        <v>84.764237226305966</v>
      </c>
      <c r="E38" s="143">
        <v>343.2</v>
      </c>
      <c r="F38" s="144">
        <v>266.73599566322036</v>
      </c>
      <c r="G38" s="145">
        <v>1.1399999999999999</v>
      </c>
      <c r="H38" s="146">
        <v>24.1</v>
      </c>
      <c r="I38" s="147">
        <v>6.5</v>
      </c>
      <c r="J38" s="148">
        <v>47988</v>
      </c>
      <c r="N38">
        <f t="shared" si="2"/>
        <v>57</v>
      </c>
      <c r="O38">
        <v>13.2</v>
      </c>
      <c r="P38">
        <f t="shared" si="0"/>
        <v>0.17637416478086121</v>
      </c>
      <c r="Q38">
        <f t="shared" si="1"/>
        <v>0.15923774739703866</v>
      </c>
    </row>
    <row r="39" spans="1:17">
      <c r="A39" s="137" t="s">
        <v>459</v>
      </c>
      <c r="B39" s="140">
        <v>15.9</v>
      </c>
      <c r="C39" s="141">
        <v>8</v>
      </c>
      <c r="D39" s="142">
        <v>78.141238608693655</v>
      </c>
      <c r="E39" s="143">
        <v>499.6</v>
      </c>
      <c r="F39" s="144">
        <v>173.49741125787563</v>
      </c>
      <c r="G39" s="145">
        <v>1.58</v>
      </c>
      <c r="H39" s="146">
        <v>22.2</v>
      </c>
      <c r="I39" s="147">
        <v>3.8</v>
      </c>
      <c r="J39" s="148">
        <v>42822</v>
      </c>
      <c r="N39">
        <f t="shared" si="2"/>
        <v>59</v>
      </c>
      <c r="O39">
        <v>13.3</v>
      </c>
      <c r="P39">
        <f t="shared" si="0"/>
        <v>0.22754497664114934</v>
      </c>
      <c r="Q39">
        <f t="shared" si="1"/>
        <v>0.19326290709726121</v>
      </c>
    </row>
    <row r="40" spans="1:17">
      <c r="A40" s="137" t="s">
        <v>460</v>
      </c>
      <c r="B40" s="140">
        <v>13.6</v>
      </c>
      <c r="C40" s="141">
        <v>5.5</v>
      </c>
      <c r="D40" s="142">
        <v>90.140446325387984</v>
      </c>
      <c r="E40" s="143">
        <v>287.60000000000002</v>
      </c>
      <c r="F40" s="144">
        <v>274.47103491347588</v>
      </c>
      <c r="G40" s="145">
        <v>1.31</v>
      </c>
      <c r="H40" s="146">
        <v>28.1</v>
      </c>
      <c r="I40" s="147">
        <v>6.4</v>
      </c>
      <c r="J40" s="148">
        <v>50169</v>
      </c>
      <c r="N40">
        <f t="shared" si="2"/>
        <v>61</v>
      </c>
      <c r="O40">
        <v>13.4</v>
      </c>
      <c r="P40">
        <f t="shared" si="0"/>
        <v>0.27931903444745415</v>
      </c>
      <c r="Q40">
        <f t="shared" si="1"/>
        <v>0.22728806679748315</v>
      </c>
    </row>
    <row r="41" spans="1:17">
      <c r="A41" s="137" t="s">
        <v>461</v>
      </c>
      <c r="B41" s="140">
        <v>12.1</v>
      </c>
      <c r="C41" s="141">
        <v>7.6</v>
      </c>
      <c r="D41" s="142">
        <v>85.424563507935517</v>
      </c>
      <c r="E41" s="143">
        <v>416.5</v>
      </c>
      <c r="F41" s="144">
        <v>305.34793674360481</v>
      </c>
      <c r="G41" s="145">
        <v>1.37</v>
      </c>
      <c r="H41" s="146">
        <v>26.3</v>
      </c>
      <c r="I41" s="147">
        <v>5.4</v>
      </c>
      <c r="J41" s="148">
        <v>50713</v>
      </c>
      <c r="N41">
        <f t="shared" si="2"/>
        <v>63</v>
      </c>
      <c r="O41">
        <v>13.4</v>
      </c>
      <c r="P41">
        <f t="shared" si="0"/>
        <v>0.33185334643681658</v>
      </c>
      <c r="Q41">
        <f t="shared" si="1"/>
        <v>0.22728806679748315</v>
      </c>
    </row>
    <row r="42" spans="1:17">
      <c r="A42" s="137" t="s">
        <v>462</v>
      </c>
      <c r="B42" s="140">
        <v>11.7</v>
      </c>
      <c r="C42" s="141">
        <v>6.1</v>
      </c>
      <c r="D42" s="142">
        <v>88.483880668602993</v>
      </c>
      <c r="E42" s="143">
        <v>227.3</v>
      </c>
      <c r="F42" s="144">
        <v>375.54503881739873</v>
      </c>
      <c r="G42" s="145">
        <v>0.8</v>
      </c>
      <c r="H42" s="146">
        <v>30</v>
      </c>
      <c r="I42" s="147">
        <v>7.8</v>
      </c>
      <c r="J42" s="148">
        <v>55701</v>
      </c>
      <c r="N42">
        <f t="shared" si="2"/>
        <v>65</v>
      </c>
      <c r="O42">
        <v>13.6</v>
      </c>
      <c r="P42">
        <f t="shared" si="0"/>
        <v>0.38532046640756784</v>
      </c>
      <c r="Q42">
        <f t="shared" si="1"/>
        <v>0.29533838619792707</v>
      </c>
    </row>
    <row r="43" spans="1:17">
      <c r="A43" s="137" t="s">
        <v>463</v>
      </c>
      <c r="B43" s="140">
        <v>15.7</v>
      </c>
      <c r="C43" s="141">
        <v>8.4</v>
      </c>
      <c r="D43" s="142">
        <v>68.748136077503446</v>
      </c>
      <c r="E43" s="143">
        <v>788.3</v>
      </c>
      <c r="F43" s="144">
        <v>229.78882221083092</v>
      </c>
      <c r="G43" s="145">
        <v>2.09</v>
      </c>
      <c r="H43" s="146">
        <v>23.7</v>
      </c>
      <c r="I43" s="147">
        <v>6.9</v>
      </c>
      <c r="J43" s="148">
        <v>44625</v>
      </c>
      <c r="N43">
        <f t="shared" si="2"/>
        <v>67</v>
      </c>
      <c r="O43">
        <v>13.6</v>
      </c>
      <c r="P43">
        <f t="shared" si="0"/>
        <v>0.43991316567323396</v>
      </c>
      <c r="Q43">
        <f t="shared" si="1"/>
        <v>0.29533838619792707</v>
      </c>
    </row>
    <row r="44" spans="1:17">
      <c r="A44" s="137" t="s">
        <v>464</v>
      </c>
      <c r="B44" s="140">
        <v>12.5</v>
      </c>
      <c r="C44" s="141">
        <v>6.9</v>
      </c>
      <c r="D44" s="142">
        <v>88.189790025789804</v>
      </c>
      <c r="E44" s="143">
        <v>169.2</v>
      </c>
      <c r="F44" s="144">
        <v>219.05543497522274</v>
      </c>
      <c r="G44" s="145">
        <v>1.62</v>
      </c>
      <c r="H44" s="146">
        <v>25.1</v>
      </c>
      <c r="I44" s="147">
        <v>3</v>
      </c>
      <c r="J44" s="148">
        <v>46032</v>
      </c>
      <c r="N44">
        <f t="shared" si="2"/>
        <v>69</v>
      </c>
      <c r="O44">
        <v>14.4</v>
      </c>
      <c r="P44">
        <f t="shared" si="0"/>
        <v>0.49585034734745331</v>
      </c>
      <c r="Q44">
        <f t="shared" si="1"/>
        <v>0.56753966379970389</v>
      </c>
    </row>
    <row r="45" spans="1:17">
      <c r="A45" s="137" t="s">
        <v>465</v>
      </c>
      <c r="B45" s="140">
        <v>15.5</v>
      </c>
      <c r="C45" s="141">
        <v>8.6999999999999993</v>
      </c>
      <c r="D45" s="142">
        <v>80.371971305033981</v>
      </c>
      <c r="E45" s="143">
        <v>753.3</v>
      </c>
      <c r="F45" s="144">
        <v>263.55007776727581</v>
      </c>
      <c r="G45" s="145">
        <v>1.7</v>
      </c>
      <c r="H45" s="146">
        <v>22.9</v>
      </c>
      <c r="I45" s="147">
        <v>6.4</v>
      </c>
      <c r="J45" s="148">
        <v>43614</v>
      </c>
      <c r="N45">
        <f t="shared" si="2"/>
        <v>71</v>
      </c>
      <c r="O45">
        <v>14.6</v>
      </c>
      <c r="P45">
        <f t="shared" si="0"/>
        <v>0.5533847195556727</v>
      </c>
      <c r="Q45">
        <f t="shared" si="1"/>
        <v>0.6355899832001477</v>
      </c>
    </row>
    <row r="46" spans="1:17">
      <c r="A46" s="137" t="s">
        <v>466</v>
      </c>
      <c r="B46" s="140">
        <v>15.8</v>
      </c>
      <c r="C46" s="141">
        <v>6.2</v>
      </c>
      <c r="D46" s="142">
        <v>82.402677784750395</v>
      </c>
      <c r="E46" s="143">
        <v>510.6</v>
      </c>
      <c r="F46" s="144">
        <v>214.23090434296537</v>
      </c>
      <c r="G46" s="145">
        <v>1.38</v>
      </c>
      <c r="H46" s="146">
        <v>25.3</v>
      </c>
      <c r="I46" s="147">
        <v>4.9000000000000004</v>
      </c>
      <c r="J46" s="148">
        <v>50043</v>
      </c>
      <c r="N46">
        <f t="shared" si="2"/>
        <v>73</v>
      </c>
      <c r="O46">
        <v>14.7</v>
      </c>
      <c r="P46">
        <f t="shared" si="0"/>
        <v>0.61281299101662734</v>
      </c>
      <c r="Q46">
        <f t="shared" si="1"/>
        <v>0.66961514290036972</v>
      </c>
    </row>
    <row r="47" spans="1:17">
      <c r="A47" s="137" t="s">
        <v>467</v>
      </c>
      <c r="B47" s="140">
        <v>9.6</v>
      </c>
      <c r="C47" s="141">
        <v>5.0999999999999996</v>
      </c>
      <c r="D47" s="142">
        <v>92.915461931338129</v>
      </c>
      <c r="E47" s="143">
        <v>234.8</v>
      </c>
      <c r="F47" s="144">
        <v>208.06129808818156</v>
      </c>
      <c r="G47" s="145">
        <v>1.1100000000000001</v>
      </c>
      <c r="H47" s="146">
        <v>29.1</v>
      </c>
      <c r="I47" s="147">
        <v>3.4</v>
      </c>
      <c r="J47" s="148">
        <v>56633</v>
      </c>
      <c r="N47">
        <f t="shared" si="2"/>
        <v>75</v>
      </c>
      <c r="O47">
        <v>14.7</v>
      </c>
      <c r="P47">
        <f t="shared" si="0"/>
        <v>0.67448975019608193</v>
      </c>
      <c r="Q47">
        <f t="shared" si="1"/>
        <v>0.66961514290036972</v>
      </c>
    </row>
    <row r="48" spans="1:17">
      <c r="A48" s="137" t="s">
        <v>468</v>
      </c>
      <c r="B48" s="140">
        <v>10.6</v>
      </c>
      <c r="C48" s="141">
        <v>5.5</v>
      </c>
      <c r="D48" s="142">
        <v>96.408807764739961</v>
      </c>
      <c r="E48" s="143">
        <v>124.3</v>
      </c>
      <c r="F48" s="144">
        <v>373.74264596905664</v>
      </c>
      <c r="G48" s="145">
        <v>0.86</v>
      </c>
      <c r="H48" s="146">
        <v>32.1</v>
      </c>
      <c r="I48" s="147">
        <v>4.8</v>
      </c>
      <c r="J48" s="148">
        <v>52104</v>
      </c>
      <c r="N48">
        <f t="shared" si="2"/>
        <v>77</v>
      </c>
      <c r="O48">
        <v>14.8</v>
      </c>
      <c r="P48">
        <f t="shared" si="0"/>
        <v>0.73884684918521393</v>
      </c>
      <c r="Q48">
        <f t="shared" si="1"/>
        <v>0.70364030260059218</v>
      </c>
    </row>
    <row r="49" spans="1:17">
      <c r="A49" s="137" t="s">
        <v>469</v>
      </c>
      <c r="B49" s="140">
        <v>10.199999999999999</v>
      </c>
      <c r="C49" s="141">
        <v>7.1</v>
      </c>
      <c r="D49" s="142">
        <v>73.031896017666924</v>
      </c>
      <c r="E49" s="143">
        <v>269.7</v>
      </c>
      <c r="F49" s="144">
        <v>274.48522654578164</v>
      </c>
      <c r="G49" s="145">
        <v>1.25</v>
      </c>
      <c r="H49" s="146">
        <v>33.700000000000003</v>
      </c>
      <c r="I49" s="147">
        <v>4</v>
      </c>
      <c r="J49" s="148">
        <v>61233</v>
      </c>
      <c r="N49">
        <f t="shared" si="2"/>
        <v>79</v>
      </c>
      <c r="O49">
        <v>15.5</v>
      </c>
      <c r="P49">
        <f t="shared" si="0"/>
        <v>0.80642124701824058</v>
      </c>
      <c r="Q49">
        <f t="shared" si="1"/>
        <v>0.94181642050214642</v>
      </c>
    </row>
    <row r="50" spans="1:17">
      <c r="A50" s="137" t="s">
        <v>470</v>
      </c>
      <c r="B50" s="140">
        <v>11.3</v>
      </c>
      <c r="C50" s="141">
        <v>4.7</v>
      </c>
      <c r="D50" s="142">
        <v>84.290902250404002</v>
      </c>
      <c r="E50" s="143">
        <v>333.1</v>
      </c>
      <c r="F50" s="144">
        <v>269.98946121651699</v>
      </c>
      <c r="G50" s="145">
        <v>1</v>
      </c>
      <c r="H50" s="146">
        <v>30.7</v>
      </c>
      <c r="I50" s="147">
        <v>5.3</v>
      </c>
      <c r="J50" s="148">
        <v>58078</v>
      </c>
      <c r="N50">
        <f t="shared" si="2"/>
        <v>81</v>
      </c>
      <c r="O50">
        <v>15.7</v>
      </c>
      <c r="P50">
        <f t="shared" si="0"/>
        <v>0.87789629505122857</v>
      </c>
      <c r="Q50">
        <f t="shared" si="1"/>
        <v>1.0098667399025902</v>
      </c>
    </row>
    <row r="51" spans="1:17">
      <c r="A51" s="137" t="s">
        <v>471</v>
      </c>
      <c r="B51" s="150">
        <v>17</v>
      </c>
      <c r="C51" s="141">
        <v>7.4</v>
      </c>
      <c r="D51" s="142">
        <v>94.524786328554711</v>
      </c>
      <c r="E51" s="143">
        <v>275.2</v>
      </c>
      <c r="F51" s="144">
        <v>232.12047942465506</v>
      </c>
      <c r="G51" s="145">
        <v>2.1</v>
      </c>
      <c r="H51" s="146">
        <v>17.100000000000001</v>
      </c>
      <c r="I51" s="147">
        <v>4.3</v>
      </c>
      <c r="J51" s="148">
        <v>37989</v>
      </c>
      <c r="N51">
        <f t="shared" si="2"/>
        <v>83</v>
      </c>
      <c r="O51">
        <v>15.7</v>
      </c>
      <c r="P51">
        <f t="shared" si="0"/>
        <v>0.95416525314619549</v>
      </c>
      <c r="Q51">
        <f t="shared" si="1"/>
        <v>1.0098667399025902</v>
      </c>
    </row>
    <row r="52" spans="1:17">
      <c r="A52" s="137" t="s">
        <v>472</v>
      </c>
      <c r="B52" s="140">
        <v>10.4</v>
      </c>
      <c r="C52" s="141">
        <v>6.4</v>
      </c>
      <c r="D52" s="142">
        <v>89.673695670212709</v>
      </c>
      <c r="E52" s="143">
        <v>290.89999999999998</v>
      </c>
      <c r="F52" s="144">
        <v>259.10479089348553</v>
      </c>
      <c r="G52" s="145">
        <v>1.27</v>
      </c>
      <c r="H52" s="146">
        <v>25.7</v>
      </c>
      <c r="I52" s="147">
        <v>4.7</v>
      </c>
      <c r="J52" s="148">
        <v>52094</v>
      </c>
      <c r="N52">
        <f t="shared" si="2"/>
        <v>85</v>
      </c>
      <c r="O52">
        <v>15.8</v>
      </c>
      <c r="P52">
        <f t="shared" si="0"/>
        <v>1.0364333894937898</v>
      </c>
      <c r="Q52">
        <f t="shared" si="1"/>
        <v>1.0438918996028128</v>
      </c>
    </row>
    <row r="53" spans="1:17">
      <c r="A53" s="151" t="s">
        <v>473</v>
      </c>
      <c r="B53" s="152">
        <v>9.4</v>
      </c>
      <c r="C53" s="153">
        <v>7</v>
      </c>
      <c r="D53" s="154">
        <v>93.867286940458214</v>
      </c>
      <c r="E53" s="155">
        <v>239.3</v>
      </c>
      <c r="F53" s="156">
        <v>184.42356646510669</v>
      </c>
      <c r="G53" s="157">
        <v>1.6</v>
      </c>
      <c r="H53" s="158">
        <v>23.6</v>
      </c>
      <c r="I53" s="159">
        <v>3.1</v>
      </c>
      <c r="J53" s="160">
        <v>53207</v>
      </c>
      <c r="N53">
        <f t="shared" si="2"/>
        <v>87</v>
      </c>
      <c r="O53">
        <v>15.9</v>
      </c>
      <c r="P53">
        <f t="shared" si="0"/>
        <v>1.1263911290388013</v>
      </c>
      <c r="Q53">
        <f t="shared" si="1"/>
        <v>1.0779170593030349</v>
      </c>
    </row>
    <row r="54" spans="1:17">
      <c r="A54" s="137"/>
      <c r="B54" s="137"/>
      <c r="C54" s="137"/>
      <c r="D54" s="137"/>
      <c r="E54" s="137"/>
      <c r="F54" s="137"/>
      <c r="G54" s="137"/>
      <c r="H54" s="137"/>
      <c r="I54" s="137"/>
      <c r="J54" s="137"/>
      <c r="N54">
        <f t="shared" si="2"/>
        <v>89</v>
      </c>
      <c r="O54">
        <v>17</v>
      </c>
      <c r="P54">
        <f t="shared" si="0"/>
        <v>1.2265281200366105</v>
      </c>
      <c r="Q54">
        <f t="shared" si="1"/>
        <v>1.4521938160054775</v>
      </c>
    </row>
    <row r="55" spans="1:17">
      <c r="A55" s="137" t="s">
        <v>474</v>
      </c>
      <c r="B55" s="137"/>
      <c r="C55" s="137"/>
      <c r="D55" s="137"/>
      <c r="E55" s="137"/>
      <c r="F55" s="137"/>
      <c r="G55" s="137"/>
      <c r="H55" s="137"/>
      <c r="I55" s="137"/>
      <c r="J55" s="137"/>
      <c r="N55">
        <f t="shared" si="2"/>
        <v>91</v>
      </c>
      <c r="O55">
        <v>17.100000000000001</v>
      </c>
      <c r="P55">
        <f t="shared" si="0"/>
        <v>1.3407550336902161</v>
      </c>
      <c r="Q55">
        <f t="shared" si="1"/>
        <v>1.4862189757057001</v>
      </c>
    </row>
    <row r="56" spans="1:17">
      <c r="A56" s="137" t="s">
        <v>475</v>
      </c>
      <c r="B56" s="137"/>
      <c r="C56" s="137"/>
      <c r="D56" s="137"/>
      <c r="E56" s="137"/>
      <c r="F56" s="137"/>
      <c r="G56" s="137"/>
      <c r="H56" s="137"/>
      <c r="I56" s="137"/>
      <c r="J56" s="137"/>
      <c r="N56">
        <f t="shared" si="2"/>
        <v>93</v>
      </c>
      <c r="O56">
        <v>17.3</v>
      </c>
      <c r="P56">
        <f t="shared" si="0"/>
        <v>1.4757910281791713</v>
      </c>
      <c r="Q56">
        <f t="shared" si="1"/>
        <v>1.5542692951061439</v>
      </c>
    </row>
    <row r="57" spans="1:17">
      <c r="A57" s="137" t="s">
        <v>476</v>
      </c>
      <c r="B57" s="137"/>
      <c r="C57" s="137"/>
      <c r="D57" s="137"/>
      <c r="E57" s="137"/>
      <c r="F57" s="137"/>
      <c r="G57" s="137"/>
      <c r="H57" s="137"/>
      <c r="I57" s="137"/>
      <c r="J57" s="137"/>
      <c r="N57">
        <f t="shared" si="2"/>
        <v>95</v>
      </c>
      <c r="O57">
        <v>17.3</v>
      </c>
      <c r="P57">
        <f t="shared" si="0"/>
        <v>1.6448536269514715</v>
      </c>
      <c r="Q57">
        <f t="shared" si="1"/>
        <v>1.5542692951061439</v>
      </c>
    </row>
    <row r="58" spans="1:17">
      <c r="A58" s="137" t="s">
        <v>477</v>
      </c>
      <c r="B58" s="137"/>
      <c r="C58" s="137"/>
      <c r="D58" s="137"/>
      <c r="E58" s="137"/>
      <c r="F58" s="137"/>
      <c r="G58" s="137"/>
      <c r="H58" s="137"/>
      <c r="I58" s="137"/>
      <c r="J58" s="137"/>
      <c r="N58">
        <f t="shared" si="2"/>
        <v>97</v>
      </c>
      <c r="O58">
        <v>17.3</v>
      </c>
      <c r="P58">
        <f t="shared" si="0"/>
        <v>1.8807936081512504</v>
      </c>
      <c r="Q58">
        <f t="shared" si="1"/>
        <v>1.5542692951061439</v>
      </c>
    </row>
    <row r="59" spans="1:17">
      <c r="A59" s="137" t="s">
        <v>478</v>
      </c>
      <c r="B59" s="137"/>
      <c r="C59" s="137"/>
      <c r="D59" s="137"/>
      <c r="E59" s="137"/>
      <c r="F59" s="137"/>
      <c r="G59" s="137"/>
      <c r="H59" s="137"/>
      <c r="I59" s="137"/>
      <c r="J59" s="137"/>
      <c r="N59">
        <f t="shared" si="2"/>
        <v>99</v>
      </c>
      <c r="O59">
        <v>21.2</v>
      </c>
      <c r="P59">
        <f t="shared" si="0"/>
        <v>2.3263478740408408</v>
      </c>
      <c r="Q59">
        <f t="shared" si="1"/>
        <v>2.881250523414804</v>
      </c>
    </row>
    <row r="60" spans="1:17">
      <c r="A60" s="137" t="s">
        <v>479</v>
      </c>
      <c r="B60" s="137"/>
      <c r="C60" s="137"/>
      <c r="D60" s="137"/>
      <c r="E60" s="137"/>
      <c r="F60" s="137"/>
      <c r="G60" s="137"/>
      <c r="H60" s="137"/>
      <c r="I60" s="137"/>
      <c r="J60" s="137"/>
    </row>
    <row r="61" spans="1:17">
      <c r="A61" s="137" t="s">
        <v>480</v>
      </c>
      <c r="B61" s="137"/>
      <c r="C61" s="137"/>
      <c r="D61" s="137"/>
      <c r="E61" s="137"/>
      <c r="F61" s="137"/>
      <c r="G61" s="137"/>
      <c r="H61" s="137"/>
      <c r="I61" s="137"/>
      <c r="J61" s="137"/>
    </row>
    <row r="62" spans="1:17">
      <c r="A62" s="137" t="s">
        <v>481</v>
      </c>
      <c r="B62" s="137"/>
      <c r="C62" s="137"/>
      <c r="D62" s="137"/>
      <c r="E62" s="137"/>
      <c r="F62" s="137"/>
      <c r="G62" s="137"/>
      <c r="H62" s="137"/>
      <c r="I62" s="137"/>
      <c r="J62" s="137"/>
    </row>
    <row r="63" spans="1:17">
      <c r="A63" s="137" t="s">
        <v>482</v>
      </c>
      <c r="B63" s="137"/>
      <c r="C63" s="137"/>
      <c r="D63" s="137"/>
      <c r="E63" s="137"/>
      <c r="F63" s="137"/>
      <c r="G63" s="137"/>
      <c r="H63" s="137"/>
      <c r="I63" s="137"/>
      <c r="J63" s="137"/>
    </row>
  </sheetData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sheetPr codeName="Sheet85"/>
  <dimension ref="A1:O101"/>
  <sheetViews>
    <sheetView workbookViewId="0"/>
  </sheetViews>
  <sheetFormatPr defaultRowHeight="14.4"/>
  <cols>
    <col min="1" max="3" width="7.5546875" customWidth="1"/>
    <col min="4" max="4" width="6.5546875" customWidth="1"/>
    <col min="5" max="5" width="17.88671875" customWidth="1"/>
    <col min="6" max="11" width="13.44140625" customWidth="1"/>
  </cols>
  <sheetData>
    <row r="1" spans="1:10">
      <c r="A1" s="1" t="s">
        <v>815</v>
      </c>
      <c r="E1" t="s">
        <v>819</v>
      </c>
    </row>
    <row r="3" spans="1:10">
      <c r="A3" s="231" t="s">
        <v>783</v>
      </c>
      <c r="B3" s="231" t="s">
        <v>784</v>
      </c>
      <c r="C3" s="231" t="s">
        <v>777</v>
      </c>
      <c r="E3" t="s">
        <v>691</v>
      </c>
    </row>
    <row r="4" spans="1:10" ht="15" thickBot="1">
      <c r="A4" s="193">
        <v>7</v>
      </c>
      <c r="B4" s="193">
        <v>5</v>
      </c>
      <c r="C4" s="193">
        <v>65</v>
      </c>
    </row>
    <row r="5" spans="1:10">
      <c r="A5" s="193">
        <v>3</v>
      </c>
      <c r="B5" s="193">
        <v>7</v>
      </c>
      <c r="C5" s="193">
        <v>38</v>
      </c>
      <c r="E5" s="35" t="s">
        <v>692</v>
      </c>
      <c r="F5" s="35"/>
    </row>
    <row r="6" spans="1:10">
      <c r="A6" s="193">
        <v>5</v>
      </c>
      <c r="B6" s="193">
        <v>8</v>
      </c>
      <c r="C6" s="193">
        <v>51</v>
      </c>
      <c r="E6" s="28" t="s">
        <v>693</v>
      </c>
      <c r="F6" s="28">
        <v>0.92233072739359667</v>
      </c>
    </row>
    <row r="7" spans="1:10">
      <c r="A7" s="193">
        <v>8</v>
      </c>
      <c r="B7" s="193">
        <v>1</v>
      </c>
      <c r="C7" s="193">
        <v>38</v>
      </c>
      <c r="E7" s="28" t="s">
        <v>686</v>
      </c>
      <c r="F7" s="28">
        <v>0.85069397069440122</v>
      </c>
    </row>
    <row r="8" spans="1:10">
      <c r="A8" s="193">
        <v>9</v>
      </c>
      <c r="B8" s="193">
        <v>3</v>
      </c>
      <c r="C8" s="193">
        <v>55</v>
      </c>
      <c r="E8" s="28" t="s">
        <v>694</v>
      </c>
      <c r="F8" s="28">
        <v>0.81336746336800148</v>
      </c>
    </row>
    <row r="9" spans="1:10">
      <c r="A9" s="193">
        <v>5</v>
      </c>
      <c r="B9" s="193">
        <v>4</v>
      </c>
      <c r="C9" s="193">
        <v>43</v>
      </c>
      <c r="E9" s="28" t="s">
        <v>77</v>
      </c>
      <c r="F9" s="28">
        <v>5.8880844651320681</v>
      </c>
    </row>
    <row r="10" spans="1:10" ht="15" thickBot="1">
      <c r="A10" s="193">
        <v>4</v>
      </c>
      <c r="B10" s="193">
        <v>0</v>
      </c>
      <c r="C10" s="193">
        <v>25</v>
      </c>
      <c r="E10" s="31" t="s">
        <v>224</v>
      </c>
      <c r="F10" s="31">
        <v>11</v>
      </c>
    </row>
    <row r="11" spans="1:10">
      <c r="A11" s="193">
        <v>2</v>
      </c>
      <c r="B11" s="193">
        <v>6</v>
      </c>
      <c r="C11" s="193">
        <v>33</v>
      </c>
    </row>
    <row r="12" spans="1:10" ht="15" thickBot="1">
      <c r="A12" s="193">
        <v>8</v>
      </c>
      <c r="B12" s="193">
        <v>7</v>
      </c>
      <c r="C12" s="193">
        <v>71</v>
      </c>
      <c r="E12" t="s">
        <v>695</v>
      </c>
    </row>
    <row r="13" spans="1:10">
      <c r="A13" s="193">
        <v>6</v>
      </c>
      <c r="B13" s="193">
        <v>4</v>
      </c>
      <c r="C13" s="193">
        <v>51</v>
      </c>
      <c r="E13" s="424"/>
      <c r="F13" s="424" t="s">
        <v>186</v>
      </c>
      <c r="G13" s="424" t="s">
        <v>578</v>
      </c>
      <c r="H13" s="424" t="s">
        <v>641</v>
      </c>
      <c r="I13" s="424" t="s">
        <v>388</v>
      </c>
      <c r="J13" s="424" t="s">
        <v>698</v>
      </c>
    </row>
    <row r="14" spans="1:10">
      <c r="A14" s="230">
        <v>9</v>
      </c>
      <c r="B14" s="230">
        <v>2</v>
      </c>
      <c r="C14" s="230">
        <v>49</v>
      </c>
      <c r="E14" s="28" t="s">
        <v>623</v>
      </c>
      <c r="F14" s="28">
        <v>2</v>
      </c>
      <c r="G14" s="28">
        <v>1580.2800542881264</v>
      </c>
      <c r="H14" s="28">
        <v>790.1400271440632</v>
      </c>
      <c r="I14" s="28">
        <v>22.790612667173818</v>
      </c>
      <c r="J14" s="28">
        <v>4.9694621069852531E-4</v>
      </c>
    </row>
    <row r="15" spans="1:10">
      <c r="E15" s="28" t="s">
        <v>696</v>
      </c>
      <c r="F15" s="28">
        <v>8</v>
      </c>
      <c r="G15" s="28">
        <v>277.35630934823678</v>
      </c>
      <c r="H15" s="28">
        <v>34.669538668529597</v>
      </c>
      <c r="I15" s="28"/>
      <c r="J15" s="28"/>
    </row>
    <row r="16" spans="1:10" ht="15" thickBot="1">
      <c r="E16" s="31" t="s">
        <v>12</v>
      </c>
      <c r="F16" s="31">
        <v>10</v>
      </c>
      <c r="G16" s="31">
        <v>1857.6363636363631</v>
      </c>
      <c r="H16" s="31"/>
      <c r="I16" s="31"/>
      <c r="J16" s="31"/>
    </row>
    <row r="17" spans="5:11" ht="15" thickBot="1"/>
    <row r="18" spans="5:11">
      <c r="E18" s="424"/>
      <c r="F18" s="424" t="s">
        <v>699</v>
      </c>
      <c r="G18" s="424" t="s">
        <v>77</v>
      </c>
      <c r="H18" s="424" t="s">
        <v>229</v>
      </c>
      <c r="I18" s="424" t="s">
        <v>367</v>
      </c>
      <c r="J18" s="424" t="s">
        <v>700</v>
      </c>
      <c r="K18" s="424" t="s">
        <v>701</v>
      </c>
    </row>
    <row r="19" spans="5:11">
      <c r="E19" s="28" t="s">
        <v>697</v>
      </c>
      <c r="F19" s="28">
        <v>1.7514036585681438</v>
      </c>
      <c r="G19" s="28">
        <v>6.9602026710152867</v>
      </c>
      <c r="H19" s="28">
        <v>0.25163112934363246</v>
      </c>
      <c r="I19" s="28">
        <v>0.80766962414536592</v>
      </c>
      <c r="J19" s="28">
        <v>-14.298852482652197</v>
      </c>
      <c r="K19" s="28">
        <v>17.801659799788485</v>
      </c>
    </row>
    <row r="20" spans="5:11">
      <c r="E20" s="28" t="s">
        <v>783</v>
      </c>
      <c r="F20" s="28">
        <v>4.8952883645113721</v>
      </c>
      <c r="G20" s="28">
        <v>0.82022977846272815</v>
      </c>
      <c r="H20" s="28">
        <v>5.9681914666474372</v>
      </c>
      <c r="I20" s="28">
        <v>3.3508360543825895E-4</v>
      </c>
      <c r="J20" s="28">
        <v>3.003835103558723</v>
      </c>
      <c r="K20" s="28">
        <v>6.7867416254640212</v>
      </c>
    </row>
    <row r="21" spans="5:11" ht="15" thickBot="1">
      <c r="E21" s="31" t="s">
        <v>784</v>
      </c>
      <c r="F21" s="31">
        <v>3.7584154829361673</v>
      </c>
      <c r="G21" s="31">
        <v>0.75651098735033695</v>
      </c>
      <c r="H21" s="31">
        <v>4.9680910730720971</v>
      </c>
      <c r="I21" s="31">
        <v>1.0957202090976618E-3</v>
      </c>
      <c r="J21" s="31">
        <v>2.013898017778903</v>
      </c>
      <c r="K21" s="31">
        <v>5.5029329480934317</v>
      </c>
    </row>
    <row r="25" spans="5:11">
      <c r="E25" t="s">
        <v>702</v>
      </c>
      <c r="J25" t="s">
        <v>706</v>
      </c>
    </row>
    <row r="26" spans="5:11" ht="15" thickBot="1"/>
    <row r="27" spans="5:11">
      <c r="E27" s="424" t="s">
        <v>703</v>
      </c>
      <c r="F27" s="424" t="s">
        <v>785</v>
      </c>
      <c r="G27" s="424" t="s">
        <v>704</v>
      </c>
      <c r="H27" s="424" t="s">
        <v>705</v>
      </c>
      <c r="J27" s="424" t="s">
        <v>707</v>
      </c>
      <c r="K27" s="424" t="s">
        <v>777</v>
      </c>
    </row>
    <row r="28" spans="5:11">
      <c r="E28" s="28">
        <v>1</v>
      </c>
      <c r="F28" s="28">
        <v>54.81049962482858</v>
      </c>
      <c r="G28" s="28">
        <v>10.18950037517142</v>
      </c>
      <c r="H28" s="28">
        <v>1.934790136806559</v>
      </c>
      <c r="J28" s="28">
        <v>4.5454545454545459</v>
      </c>
      <c r="K28" s="28">
        <v>25</v>
      </c>
    </row>
    <row r="29" spans="5:11">
      <c r="E29" s="28">
        <v>2</v>
      </c>
      <c r="F29" s="28">
        <v>42.746177132655433</v>
      </c>
      <c r="G29" s="28">
        <v>-4.7461771326554327</v>
      </c>
      <c r="H29" s="28">
        <v>-0.90120774971207374</v>
      </c>
      <c r="J29" s="28">
        <v>13.636363636363637</v>
      </c>
      <c r="K29" s="28">
        <v>33</v>
      </c>
    </row>
    <row r="30" spans="5:11">
      <c r="E30" s="28">
        <v>3</v>
      </c>
      <c r="F30" s="28">
        <v>56.295169344614344</v>
      </c>
      <c r="G30" s="28">
        <v>-5.2951693446143437</v>
      </c>
      <c r="H30" s="28">
        <v>-1.005450811469049</v>
      </c>
      <c r="J30" s="28">
        <v>22.72727272727273</v>
      </c>
      <c r="K30" s="28">
        <v>38</v>
      </c>
    </row>
    <row r="31" spans="5:11">
      <c r="E31" s="28">
        <v>4</v>
      </c>
      <c r="F31" s="28">
        <v>44.672126057595285</v>
      </c>
      <c r="G31" s="28">
        <v>-6.6721260575952854</v>
      </c>
      <c r="H31" s="28">
        <v>-1.2669084069343504</v>
      </c>
      <c r="J31" s="28">
        <v>31.81818181818182</v>
      </c>
      <c r="K31" s="28">
        <v>38</v>
      </c>
    </row>
    <row r="32" spans="5:11">
      <c r="E32" s="28">
        <v>5</v>
      </c>
      <c r="F32" s="28">
        <v>57.084245387978996</v>
      </c>
      <c r="G32" s="28">
        <v>-2.0842453879789957</v>
      </c>
      <c r="H32" s="28">
        <v>-0.39575811088563606</v>
      </c>
      <c r="J32" s="28">
        <v>40.909090909090914</v>
      </c>
      <c r="K32" s="28">
        <v>43</v>
      </c>
    </row>
    <row r="33" spans="5:15">
      <c r="E33" s="28">
        <v>6</v>
      </c>
      <c r="F33" s="28">
        <v>41.261507412869676</v>
      </c>
      <c r="G33" s="28">
        <v>1.7384925871303238</v>
      </c>
      <c r="H33" s="28">
        <v>0.33010630419987413</v>
      </c>
      <c r="J33" s="28">
        <v>50.000000000000007</v>
      </c>
      <c r="K33" s="28">
        <v>49</v>
      </c>
    </row>
    <row r="34" spans="5:15">
      <c r="E34" s="28">
        <v>7</v>
      </c>
      <c r="F34" s="28">
        <v>21.332557116613632</v>
      </c>
      <c r="G34" s="28">
        <v>3.6674428833863679</v>
      </c>
      <c r="H34" s="28">
        <v>0.69637686410684085</v>
      </c>
      <c r="J34" s="28">
        <v>59.090909090909093</v>
      </c>
      <c r="K34" s="28">
        <v>51</v>
      </c>
    </row>
    <row r="35" spans="5:15">
      <c r="E35" s="28">
        <v>8</v>
      </c>
      <c r="F35" s="28">
        <v>34.092473285207895</v>
      </c>
      <c r="G35" s="28">
        <v>-1.0924732852078947</v>
      </c>
      <c r="H35" s="28">
        <v>-0.20743966427395458</v>
      </c>
      <c r="J35" s="28">
        <v>68.181818181818187</v>
      </c>
      <c r="K35" s="28">
        <v>51</v>
      </c>
    </row>
    <row r="36" spans="5:15">
      <c r="E36" s="28">
        <v>9</v>
      </c>
      <c r="F36" s="28">
        <v>67.222618955212283</v>
      </c>
      <c r="G36" s="28">
        <v>3.7773810447877167</v>
      </c>
      <c r="H36" s="28">
        <v>0.71725200641080289</v>
      </c>
      <c r="J36" s="28">
        <v>77.27272727272728</v>
      </c>
      <c r="K36" s="28">
        <v>55</v>
      </c>
    </row>
    <row r="37" spans="5:15">
      <c r="E37" s="28">
        <v>10</v>
      </c>
      <c r="F37" s="28">
        <v>46.156795777381042</v>
      </c>
      <c r="G37" s="28">
        <v>4.843204222618958</v>
      </c>
      <c r="H37" s="28">
        <v>0.91963132788101942</v>
      </c>
      <c r="J37" s="28">
        <v>86.363636363636374</v>
      </c>
      <c r="K37" s="28">
        <v>65</v>
      </c>
    </row>
    <row r="38" spans="5:15" ht="15" thickBot="1">
      <c r="E38" s="31">
        <v>11</v>
      </c>
      <c r="F38" s="31">
        <v>53.325829905042831</v>
      </c>
      <c r="G38" s="31">
        <v>-4.3258299050428306</v>
      </c>
      <c r="H38" s="31">
        <v>-0.82139189613003172</v>
      </c>
      <c r="J38" s="31">
        <v>95.454545454545467</v>
      </c>
      <c r="K38" s="31">
        <v>71</v>
      </c>
      <c r="N38" t="s">
        <v>1156</v>
      </c>
    </row>
    <row r="40" spans="5:15">
      <c r="N40">
        <v>1</v>
      </c>
      <c r="O40">
        <v>-1</v>
      </c>
    </row>
    <row r="41" spans="5:15">
      <c r="N41">
        <f>N40+1</f>
        <v>2</v>
      </c>
      <c r="O41">
        <v>7</v>
      </c>
    </row>
    <row r="42" spans="5:15">
      <c r="N42">
        <f t="shared" ref="N42:N59" si="0">N41+1</f>
        <v>3</v>
      </c>
      <c r="O42">
        <v>8</v>
      </c>
    </row>
    <row r="43" spans="5:15">
      <c r="N43">
        <f t="shared" si="0"/>
        <v>4</v>
      </c>
      <c r="O43">
        <v>7</v>
      </c>
    </row>
    <row r="44" spans="5:15">
      <c r="N44">
        <f t="shared" si="0"/>
        <v>5</v>
      </c>
      <c r="O44">
        <v>0</v>
      </c>
    </row>
    <row r="45" spans="5:15">
      <c r="N45">
        <f t="shared" si="0"/>
        <v>6</v>
      </c>
      <c r="O45">
        <v>-7</v>
      </c>
    </row>
    <row r="46" spans="5:15">
      <c r="N46">
        <f t="shared" si="0"/>
        <v>7</v>
      </c>
      <c r="O46">
        <v>-4</v>
      </c>
    </row>
    <row r="47" spans="5:15">
      <c r="N47">
        <f t="shared" si="0"/>
        <v>8</v>
      </c>
      <c r="O47">
        <v>1</v>
      </c>
    </row>
    <row r="48" spans="5:15">
      <c r="N48">
        <f t="shared" si="0"/>
        <v>9</v>
      </c>
      <c r="O48">
        <v>8</v>
      </c>
    </row>
    <row r="49" spans="14:15">
      <c r="N49">
        <f t="shared" si="0"/>
        <v>10</v>
      </c>
      <c r="O49">
        <v>5</v>
      </c>
    </row>
    <row r="50" spans="14:15">
      <c r="N50">
        <f t="shared" si="0"/>
        <v>11</v>
      </c>
      <c r="O50">
        <v>6</v>
      </c>
    </row>
    <row r="51" spans="14:15">
      <c r="N51">
        <f t="shared" si="0"/>
        <v>12</v>
      </c>
      <c r="O51">
        <v>-2</v>
      </c>
    </row>
    <row r="52" spans="14:15">
      <c r="N52">
        <f t="shared" si="0"/>
        <v>13</v>
      </c>
      <c r="O52">
        <v>-1</v>
      </c>
    </row>
    <row r="53" spans="14:15">
      <c r="N53">
        <f t="shared" si="0"/>
        <v>14</v>
      </c>
      <c r="O53">
        <v>7</v>
      </c>
    </row>
    <row r="54" spans="14:15">
      <c r="N54">
        <f t="shared" si="0"/>
        <v>15</v>
      </c>
      <c r="O54">
        <v>0</v>
      </c>
    </row>
    <row r="55" spans="14:15">
      <c r="N55">
        <f t="shared" si="0"/>
        <v>16</v>
      </c>
      <c r="O55">
        <v>-4</v>
      </c>
    </row>
    <row r="56" spans="14:15">
      <c r="N56">
        <f t="shared" si="0"/>
        <v>17</v>
      </c>
      <c r="O56">
        <v>6</v>
      </c>
    </row>
    <row r="57" spans="14:15">
      <c r="N57">
        <f t="shared" si="0"/>
        <v>18</v>
      </c>
      <c r="O57">
        <v>5</v>
      </c>
    </row>
    <row r="58" spans="14:15">
      <c r="N58">
        <f t="shared" si="0"/>
        <v>19</v>
      </c>
      <c r="O58">
        <v>-8</v>
      </c>
    </row>
    <row r="59" spans="14:15">
      <c r="N59">
        <f t="shared" si="0"/>
        <v>20</v>
      </c>
      <c r="O59">
        <v>-3</v>
      </c>
    </row>
    <row r="61" spans="14:15">
      <c r="N61">
        <v>1</v>
      </c>
      <c r="O61">
        <f>INT(O40*0.3)</f>
        <v>-1</v>
      </c>
    </row>
    <row r="62" spans="14:15">
      <c r="N62">
        <f>N61+1</f>
        <v>2</v>
      </c>
      <c r="O62">
        <v>1</v>
      </c>
    </row>
    <row r="63" spans="14:15">
      <c r="N63">
        <f t="shared" ref="N63:N80" si="1">N62+1</f>
        <v>3</v>
      </c>
      <c r="O63">
        <v>-2</v>
      </c>
    </row>
    <row r="64" spans="14:15">
      <c r="N64">
        <f t="shared" si="1"/>
        <v>4</v>
      </c>
      <c r="O64">
        <v>1</v>
      </c>
    </row>
    <row r="65" spans="14:15">
      <c r="N65">
        <f t="shared" si="1"/>
        <v>5</v>
      </c>
      <c r="O65">
        <f>INT(O44*0.3)</f>
        <v>0</v>
      </c>
    </row>
    <row r="66" spans="14:15">
      <c r="N66">
        <f t="shared" si="1"/>
        <v>6</v>
      </c>
      <c r="O66">
        <f>INT(O45*0.3)</f>
        <v>-3</v>
      </c>
    </row>
    <row r="67" spans="14:15">
      <c r="N67">
        <f t="shared" si="1"/>
        <v>7</v>
      </c>
      <c r="O67">
        <v>-1</v>
      </c>
    </row>
    <row r="68" spans="14:15">
      <c r="N68">
        <f t="shared" si="1"/>
        <v>8</v>
      </c>
      <c r="O68">
        <f t="shared" ref="O68:O74" si="2">INT(O47*0.6)</f>
        <v>0</v>
      </c>
    </row>
    <row r="69" spans="14:15">
      <c r="N69">
        <f t="shared" si="1"/>
        <v>9</v>
      </c>
      <c r="O69">
        <f t="shared" si="2"/>
        <v>4</v>
      </c>
    </row>
    <row r="70" spans="14:15">
      <c r="N70">
        <f t="shared" si="1"/>
        <v>10</v>
      </c>
      <c r="O70">
        <f t="shared" si="2"/>
        <v>3</v>
      </c>
    </row>
    <row r="71" spans="14:15">
      <c r="N71">
        <f t="shared" si="1"/>
        <v>11</v>
      </c>
      <c r="O71">
        <f t="shared" si="2"/>
        <v>3</v>
      </c>
    </row>
    <row r="72" spans="14:15">
      <c r="N72">
        <f t="shared" si="1"/>
        <v>12</v>
      </c>
      <c r="O72">
        <f t="shared" si="2"/>
        <v>-2</v>
      </c>
    </row>
    <row r="73" spans="14:15">
      <c r="N73">
        <f t="shared" si="1"/>
        <v>13</v>
      </c>
      <c r="O73">
        <f t="shared" si="2"/>
        <v>-1</v>
      </c>
    </row>
    <row r="74" spans="14:15">
      <c r="N74">
        <f t="shared" si="1"/>
        <v>14</v>
      </c>
      <c r="O74">
        <f t="shared" si="2"/>
        <v>4</v>
      </c>
    </row>
    <row r="75" spans="14:15">
      <c r="N75">
        <f t="shared" si="1"/>
        <v>15</v>
      </c>
      <c r="O75">
        <f>INT(O54)</f>
        <v>0</v>
      </c>
    </row>
    <row r="76" spans="14:15">
      <c r="N76">
        <f t="shared" si="1"/>
        <v>16</v>
      </c>
      <c r="O76">
        <f>INT(O55)</f>
        <v>-4</v>
      </c>
    </row>
    <row r="77" spans="14:15">
      <c r="N77">
        <f t="shared" si="1"/>
        <v>17</v>
      </c>
      <c r="O77">
        <v>8</v>
      </c>
    </row>
    <row r="78" spans="14:15">
      <c r="N78">
        <f t="shared" si="1"/>
        <v>18</v>
      </c>
      <c r="O78">
        <f>INT(O57)</f>
        <v>5</v>
      </c>
    </row>
    <row r="79" spans="14:15">
      <c r="N79">
        <f t="shared" si="1"/>
        <v>19</v>
      </c>
      <c r="O79">
        <f>INT(O58)</f>
        <v>-8</v>
      </c>
    </row>
    <row r="80" spans="14:15">
      <c r="N80">
        <f t="shared" si="1"/>
        <v>20</v>
      </c>
      <c r="O80">
        <f>INT(O59)</f>
        <v>-3</v>
      </c>
    </row>
    <row r="82" spans="14:15">
      <c r="N82">
        <v>1</v>
      </c>
      <c r="O82">
        <f>INT(O61*0.3)</f>
        <v>-1</v>
      </c>
    </row>
    <row r="83" spans="14:15">
      <c r="N83">
        <f>N82+1</f>
        <v>2</v>
      </c>
      <c r="O83">
        <v>1</v>
      </c>
    </row>
    <row r="84" spans="14:15">
      <c r="N84">
        <f t="shared" ref="N84:N101" si="3">N83+1</f>
        <v>3</v>
      </c>
      <c r="O84">
        <v>3</v>
      </c>
    </row>
    <row r="85" spans="14:15">
      <c r="N85">
        <f t="shared" si="3"/>
        <v>4</v>
      </c>
      <c r="O85">
        <v>6</v>
      </c>
    </row>
    <row r="86" spans="14:15">
      <c r="N86">
        <f t="shared" si="3"/>
        <v>5</v>
      </c>
      <c r="O86">
        <v>6</v>
      </c>
    </row>
    <row r="87" spans="14:15">
      <c r="N87">
        <f t="shared" si="3"/>
        <v>6</v>
      </c>
      <c r="O87">
        <v>4</v>
      </c>
    </row>
    <row r="88" spans="14:15">
      <c r="N88">
        <f t="shared" si="3"/>
        <v>7</v>
      </c>
      <c r="O88">
        <v>3</v>
      </c>
    </row>
    <row r="89" spans="14:15">
      <c r="N89">
        <f t="shared" si="3"/>
        <v>8</v>
      </c>
      <c r="O89">
        <v>1</v>
      </c>
    </row>
    <row r="90" spans="14:15">
      <c r="N90">
        <f t="shared" si="3"/>
        <v>9</v>
      </c>
      <c r="O90">
        <f t="shared" ref="O90:O95" si="4">INT(O69*0.6)</f>
        <v>2</v>
      </c>
    </row>
    <row r="91" spans="14:15">
      <c r="N91">
        <f t="shared" si="3"/>
        <v>10</v>
      </c>
      <c r="O91">
        <f t="shared" si="4"/>
        <v>1</v>
      </c>
    </row>
    <row r="92" spans="14:15">
      <c r="N92">
        <f t="shared" si="3"/>
        <v>11</v>
      </c>
      <c r="O92">
        <f t="shared" si="4"/>
        <v>1</v>
      </c>
    </row>
    <row r="93" spans="14:15">
      <c r="N93">
        <f t="shared" si="3"/>
        <v>12</v>
      </c>
      <c r="O93">
        <f t="shared" si="4"/>
        <v>-2</v>
      </c>
    </row>
    <row r="94" spans="14:15">
      <c r="N94">
        <f t="shared" si="3"/>
        <v>13</v>
      </c>
      <c r="O94">
        <f t="shared" si="4"/>
        <v>-1</v>
      </c>
    </row>
    <row r="95" spans="14:15">
      <c r="N95">
        <f t="shared" si="3"/>
        <v>14</v>
      </c>
      <c r="O95">
        <f t="shared" si="4"/>
        <v>2</v>
      </c>
    </row>
    <row r="96" spans="14:15">
      <c r="N96">
        <f t="shared" si="3"/>
        <v>15</v>
      </c>
      <c r="O96">
        <f>INT(O75)</f>
        <v>0</v>
      </c>
    </row>
    <row r="97" spans="14:15">
      <c r="N97">
        <f t="shared" si="3"/>
        <v>16</v>
      </c>
      <c r="O97">
        <v>6</v>
      </c>
    </row>
    <row r="98" spans="14:15">
      <c r="N98">
        <f t="shared" si="3"/>
        <v>17</v>
      </c>
      <c r="O98">
        <v>8</v>
      </c>
    </row>
    <row r="99" spans="14:15">
      <c r="N99">
        <f t="shared" si="3"/>
        <v>18</v>
      </c>
      <c r="O99">
        <v>-3</v>
      </c>
    </row>
    <row r="100" spans="14:15">
      <c r="N100">
        <f t="shared" si="3"/>
        <v>19</v>
      </c>
      <c r="O100">
        <v>6</v>
      </c>
    </row>
    <row r="101" spans="14:15">
      <c r="N101">
        <f t="shared" si="3"/>
        <v>20</v>
      </c>
      <c r="O101">
        <v>4</v>
      </c>
    </row>
  </sheetData>
  <sortState ref="K28:K38">
    <sortCondition ref="K28"/>
  </sortState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sheetPr codeName="Sheet79"/>
  <dimension ref="A1:G76"/>
  <sheetViews>
    <sheetView workbookViewId="0"/>
  </sheetViews>
  <sheetFormatPr defaultRowHeight="14.4"/>
  <cols>
    <col min="1" max="1" width="16.33203125" customWidth="1"/>
    <col min="2" max="2" width="13.33203125" customWidth="1"/>
    <col min="3" max="3" width="14.33203125" customWidth="1"/>
    <col min="6" max="6" width="12.109375" customWidth="1"/>
    <col min="7" max="7" width="12.5546875" customWidth="1"/>
  </cols>
  <sheetData>
    <row r="1" spans="1:7">
      <c r="A1" t="s">
        <v>691</v>
      </c>
    </row>
    <row r="2" spans="1:7" ht="15" thickBot="1"/>
    <row r="3" spans="1:7">
      <c r="A3" s="35" t="s">
        <v>692</v>
      </c>
      <c r="B3" s="35"/>
    </row>
    <row r="4" spans="1:7">
      <c r="A4" s="28" t="s">
        <v>693</v>
      </c>
      <c r="B4" s="28">
        <v>0.58034505841999007</v>
      </c>
    </row>
    <row r="5" spans="1:7">
      <c r="A5" s="28" t="s">
        <v>686</v>
      </c>
      <c r="B5" s="28">
        <v>0.33680038683250163</v>
      </c>
    </row>
    <row r="6" spans="1:7">
      <c r="A6" s="28" t="s">
        <v>694</v>
      </c>
      <c r="B6" s="28">
        <v>0.29354823814766479</v>
      </c>
    </row>
    <row r="7" spans="1:7">
      <c r="A7" s="28" t="s">
        <v>77</v>
      </c>
      <c r="B7" s="28">
        <v>2.4702510013005274</v>
      </c>
    </row>
    <row r="8" spans="1:7" ht="15" thickBot="1">
      <c r="A8" s="31" t="s">
        <v>224</v>
      </c>
      <c r="B8" s="31">
        <v>50</v>
      </c>
    </row>
    <row r="10" spans="1:7" ht="15" thickBot="1">
      <c r="A10" t="s">
        <v>695</v>
      </c>
    </row>
    <row r="11" spans="1:7">
      <c r="A11" s="27"/>
      <c r="B11" s="27" t="s">
        <v>186</v>
      </c>
      <c r="C11" s="27" t="s">
        <v>578</v>
      </c>
      <c r="D11" s="27" t="s">
        <v>641</v>
      </c>
      <c r="E11" s="27" t="s">
        <v>388</v>
      </c>
      <c r="F11" s="27" t="s">
        <v>698</v>
      </c>
    </row>
    <row r="12" spans="1:7">
      <c r="A12" s="28" t="s">
        <v>623</v>
      </c>
      <c r="B12" s="28">
        <v>3</v>
      </c>
      <c r="C12" s="28">
        <v>142.5503595663921</v>
      </c>
      <c r="D12" s="28">
        <v>47.516786522130701</v>
      </c>
      <c r="E12" s="28">
        <v>7.7869053231701217</v>
      </c>
      <c r="F12" s="28">
        <v>2.6221319906024227E-4</v>
      </c>
    </row>
    <row r="13" spans="1:7">
      <c r="A13" s="28" t="s">
        <v>696</v>
      </c>
      <c r="B13" s="28">
        <v>46</v>
      </c>
      <c r="C13" s="28">
        <v>280.69844043360786</v>
      </c>
      <c r="D13" s="28">
        <v>6.1021400094262574</v>
      </c>
      <c r="E13" s="28"/>
      <c r="F13" s="28"/>
    </row>
    <row r="14" spans="1:7" ht="15" thickBot="1">
      <c r="A14" s="31" t="s">
        <v>12</v>
      </c>
      <c r="B14" s="31">
        <v>49</v>
      </c>
      <c r="C14" s="31">
        <v>423.24879999999996</v>
      </c>
      <c r="D14" s="31"/>
      <c r="E14" s="31"/>
      <c r="F14" s="31"/>
    </row>
    <row r="15" spans="1:7" ht="15" thickBot="1"/>
    <row r="16" spans="1:7">
      <c r="A16" s="27"/>
      <c r="B16" s="27" t="s">
        <v>699</v>
      </c>
      <c r="C16" s="27" t="s">
        <v>77</v>
      </c>
      <c r="D16" s="27" t="s">
        <v>229</v>
      </c>
      <c r="E16" s="27" t="s">
        <v>367</v>
      </c>
      <c r="F16" s="27" t="s">
        <v>700</v>
      </c>
      <c r="G16" s="27" t="s">
        <v>701</v>
      </c>
    </row>
    <row r="17" spans="1:7">
      <c r="A17" s="28" t="s">
        <v>697</v>
      </c>
      <c r="B17" s="28">
        <v>0.43712521875191612</v>
      </c>
      <c r="C17" s="28">
        <v>3.9875336904973384</v>
      </c>
      <c r="D17" s="28">
        <v>0.10962295310347495</v>
      </c>
      <c r="E17" s="28">
        <v>0.91318525331884337</v>
      </c>
      <c r="F17" s="28">
        <v>-7.5893637973931281</v>
      </c>
      <c r="G17" s="28">
        <v>8.4636142348969603</v>
      </c>
    </row>
    <row r="18" spans="1:7">
      <c r="A18" s="28" t="s">
        <v>417</v>
      </c>
      <c r="B18" s="28">
        <v>1.279369653049887</v>
      </c>
      <c r="C18" s="28">
        <v>0.3006729090126502</v>
      </c>
      <c r="D18" s="28">
        <v>4.255021369404651</v>
      </c>
      <c r="E18" s="28">
        <v>1.0162763056825428E-4</v>
      </c>
      <c r="F18" s="28">
        <v>0.67414647778402126</v>
      </c>
      <c r="G18" s="28">
        <v>1.8845928283157529</v>
      </c>
    </row>
    <row r="19" spans="1:7">
      <c r="A19" s="28" t="s">
        <v>418</v>
      </c>
      <c r="B19" s="28">
        <v>3.6326923072065739E-2</v>
      </c>
      <c r="C19" s="28">
        <v>3.3602531929280269E-2</v>
      </c>
      <c r="D19" s="28">
        <v>1.0810769601683352</v>
      </c>
      <c r="E19" s="28">
        <v>0.28529815262504604</v>
      </c>
      <c r="F19" s="28">
        <v>-3.1311465560932131E-2</v>
      </c>
      <c r="G19" s="28">
        <v>0.10396531170506361</v>
      </c>
    </row>
    <row r="20" spans="1:7" ht="15" thickBot="1">
      <c r="A20" s="31" t="s">
        <v>419</v>
      </c>
      <c r="B20" s="31">
        <v>1.4214989878583481E-3</v>
      </c>
      <c r="C20" s="31">
        <v>2.2421016620427178E-3</v>
      </c>
      <c r="D20" s="31">
        <v>0.63400291428501021</v>
      </c>
      <c r="E20" s="31">
        <v>0.52921921764794777</v>
      </c>
      <c r="F20" s="31">
        <v>-3.091617579997377E-3</v>
      </c>
      <c r="G20" s="31">
        <v>5.9346155557140736E-3</v>
      </c>
    </row>
    <row r="24" spans="1:7">
      <c r="A24" t="s">
        <v>702</v>
      </c>
      <c r="F24" t="s">
        <v>706</v>
      </c>
    </row>
    <row r="25" spans="1:7" ht="15" thickBot="1"/>
    <row r="26" spans="1:7">
      <c r="A26" s="27" t="s">
        <v>703</v>
      </c>
      <c r="B26" s="27" t="s">
        <v>812</v>
      </c>
      <c r="C26" s="27" t="s">
        <v>704</v>
      </c>
      <c r="D26" s="27" t="s">
        <v>705</v>
      </c>
      <c r="F26" s="27" t="s">
        <v>707</v>
      </c>
      <c r="G26" s="27" t="s">
        <v>416</v>
      </c>
    </row>
    <row r="27" spans="1:7">
      <c r="A27" s="28">
        <v>1</v>
      </c>
      <c r="B27" s="28">
        <v>15.168482465280009</v>
      </c>
      <c r="C27" s="28">
        <v>0.53151753471999008</v>
      </c>
      <c r="D27" s="28">
        <v>0.22207293714662787</v>
      </c>
      <c r="F27" s="28">
        <v>1</v>
      </c>
      <c r="G27" s="28">
        <v>7.6</v>
      </c>
    </row>
    <row r="28" spans="1:7">
      <c r="A28" s="28">
        <v>2</v>
      </c>
      <c r="B28" s="28">
        <v>12.770194096327922</v>
      </c>
      <c r="C28" s="28">
        <v>-4.3701940963279213</v>
      </c>
      <c r="D28" s="28">
        <v>-1.8259074733699368</v>
      </c>
      <c r="F28" s="28">
        <v>3</v>
      </c>
      <c r="G28" s="28">
        <v>8.1</v>
      </c>
    </row>
    <row r="29" spans="1:7">
      <c r="A29" s="28">
        <v>3</v>
      </c>
      <c r="B29" s="28">
        <v>12.453734351399657</v>
      </c>
      <c r="C29" s="28">
        <v>2.2462656486003425</v>
      </c>
      <c r="D29" s="28">
        <v>0.93851054313578841</v>
      </c>
      <c r="F29" s="28">
        <v>5</v>
      </c>
      <c r="G29" s="28">
        <v>8.4</v>
      </c>
    </row>
    <row r="30" spans="1:7">
      <c r="A30" s="28">
        <v>4</v>
      </c>
      <c r="B30" s="28">
        <v>14.998941387354511</v>
      </c>
      <c r="C30" s="28">
        <v>2.3010586126454893</v>
      </c>
      <c r="D30" s="28">
        <v>0.96140354979244669</v>
      </c>
      <c r="F30" s="28">
        <v>7</v>
      </c>
      <c r="G30" s="28">
        <v>8.6999999999999993</v>
      </c>
    </row>
    <row r="31" spans="1:7">
      <c r="A31" s="28">
        <v>5</v>
      </c>
      <c r="B31" s="28">
        <v>10.360946134637627</v>
      </c>
      <c r="C31" s="28">
        <v>2.9390538653623732</v>
      </c>
      <c r="D31" s="28">
        <v>1.2279638613559833</v>
      </c>
      <c r="F31" s="28">
        <v>9</v>
      </c>
      <c r="G31" s="28">
        <v>9.1</v>
      </c>
    </row>
    <row r="32" spans="1:7">
      <c r="A32" s="28">
        <v>6</v>
      </c>
      <c r="B32" s="28">
        <v>11.483693052508372</v>
      </c>
      <c r="C32" s="28">
        <v>-8.3693052508371224E-2</v>
      </c>
      <c r="D32" s="28">
        <v>-3.4967730648984632E-2</v>
      </c>
      <c r="F32" s="28">
        <v>11</v>
      </c>
      <c r="G32" s="28">
        <v>9.3000000000000007</v>
      </c>
    </row>
    <row r="33" spans="1:7">
      <c r="A33" s="28">
        <v>7</v>
      </c>
      <c r="B33" s="28">
        <v>11.79470492807466</v>
      </c>
      <c r="C33" s="28">
        <v>-2.4947049280746594</v>
      </c>
      <c r="D33" s="28">
        <v>-1.0423107696410505</v>
      </c>
      <c r="F33" s="28">
        <v>13</v>
      </c>
      <c r="G33" s="28">
        <v>9.4</v>
      </c>
    </row>
    <row r="34" spans="1:7">
      <c r="A34" s="28">
        <v>8</v>
      </c>
      <c r="B34" s="28">
        <v>14.733447771089935</v>
      </c>
      <c r="C34" s="28">
        <v>-4.733447771089935</v>
      </c>
      <c r="D34" s="28">
        <v>-1.9776782150938266</v>
      </c>
      <c r="F34" s="28">
        <v>15</v>
      </c>
      <c r="G34" s="28">
        <v>9.6</v>
      </c>
    </row>
    <row r="35" spans="1:7">
      <c r="A35" s="28">
        <v>9</v>
      </c>
      <c r="B35" s="28">
        <v>13.702989401864992</v>
      </c>
      <c r="C35" s="28">
        <v>-0.5029894018649923</v>
      </c>
      <c r="D35" s="28">
        <v>-0.21015361964423146</v>
      </c>
      <c r="F35" s="28">
        <v>17</v>
      </c>
      <c r="G35" s="28">
        <v>9.6</v>
      </c>
    </row>
    <row r="36" spans="1:7">
      <c r="A36" s="28">
        <v>10</v>
      </c>
      <c r="B36" s="28">
        <v>13.876437321067451</v>
      </c>
      <c r="C36" s="28">
        <v>0.82356267893254831</v>
      </c>
      <c r="D36" s="28">
        <v>0.34409209685103892</v>
      </c>
      <c r="F36" s="28">
        <v>19</v>
      </c>
      <c r="G36" s="28">
        <v>10</v>
      </c>
    </row>
    <row r="37" spans="1:7">
      <c r="A37" s="28">
        <v>11</v>
      </c>
      <c r="B37" s="28">
        <v>9.0671031505498636</v>
      </c>
      <c r="C37" s="28">
        <v>3.2896849450136045E-2</v>
      </c>
      <c r="D37" s="28">
        <v>1.3744607662117428E-2</v>
      </c>
      <c r="F37" s="28">
        <v>21</v>
      </c>
      <c r="G37" s="28">
        <v>10</v>
      </c>
    </row>
    <row r="38" spans="1:7">
      <c r="A38" s="28">
        <v>12</v>
      </c>
      <c r="B38" s="28">
        <v>12.913696631816233</v>
      </c>
      <c r="C38" s="28">
        <v>-0.31369663181623331</v>
      </c>
      <c r="D38" s="28">
        <v>-0.13106535128165592</v>
      </c>
      <c r="F38" s="28">
        <v>23</v>
      </c>
      <c r="G38" s="28">
        <v>10.199999999999999</v>
      </c>
    </row>
    <row r="39" spans="1:7">
      <c r="A39" s="28">
        <v>13</v>
      </c>
      <c r="B39" s="28">
        <v>13.409129334359276</v>
      </c>
      <c r="C39" s="28">
        <v>-1.2091293343592771</v>
      </c>
      <c r="D39" s="28">
        <v>-0.50518540806517076</v>
      </c>
      <c r="F39" s="28">
        <v>25</v>
      </c>
      <c r="G39" s="28">
        <v>10.4</v>
      </c>
    </row>
    <row r="40" spans="1:7">
      <c r="A40" s="28">
        <v>14</v>
      </c>
      <c r="B40" s="28">
        <v>14.343063758629301</v>
      </c>
      <c r="C40" s="28">
        <v>-1.243063758629301</v>
      </c>
      <c r="D40" s="28">
        <v>-0.51936352407406972</v>
      </c>
      <c r="F40" s="28">
        <v>27</v>
      </c>
      <c r="G40" s="28">
        <v>10.6</v>
      </c>
    </row>
    <row r="41" spans="1:7">
      <c r="A41" s="28">
        <v>15</v>
      </c>
      <c r="B41" s="28">
        <v>10.801749432233862</v>
      </c>
      <c r="C41" s="28">
        <v>0.69825056776613792</v>
      </c>
      <c r="D41" s="28">
        <v>0.29173553894099774</v>
      </c>
      <c r="F41" s="28">
        <v>29</v>
      </c>
      <c r="G41" s="28">
        <v>10.8</v>
      </c>
    </row>
    <row r="42" spans="1:7">
      <c r="A42" s="28">
        <v>16</v>
      </c>
      <c r="B42" s="28">
        <v>13.386495433605791</v>
      </c>
      <c r="C42" s="28">
        <v>-2.0864954336057906</v>
      </c>
      <c r="D42" s="28">
        <v>-0.87175707105874778</v>
      </c>
      <c r="F42" s="28">
        <v>31</v>
      </c>
      <c r="G42" s="28">
        <v>11.3</v>
      </c>
    </row>
    <row r="43" spans="1:7">
      <c r="A43" s="28">
        <v>17</v>
      </c>
      <c r="B43" s="28">
        <v>13.717687401385909</v>
      </c>
      <c r="C43" s="28">
        <v>3.5823125986140916</v>
      </c>
      <c r="D43" s="28">
        <v>1.4967233037207281</v>
      </c>
      <c r="F43" s="28">
        <v>33</v>
      </c>
      <c r="G43" s="28">
        <v>11.3</v>
      </c>
    </row>
    <row r="44" spans="1:7">
      <c r="A44" s="28">
        <v>18</v>
      </c>
      <c r="B44" s="28">
        <v>16.495289411657392</v>
      </c>
      <c r="C44" s="28">
        <v>0.80471058834260845</v>
      </c>
      <c r="D44" s="28">
        <v>0.33621551921213227</v>
      </c>
      <c r="F44" s="28">
        <v>35</v>
      </c>
      <c r="G44" s="28">
        <v>11.3</v>
      </c>
    </row>
    <row r="45" spans="1:7">
      <c r="A45" s="28">
        <v>19</v>
      </c>
      <c r="B45" s="28">
        <v>12.166437679535267</v>
      </c>
      <c r="C45" s="28">
        <v>0.13356232046473338</v>
      </c>
      <c r="D45" s="28">
        <v>5.5803571585550903E-2</v>
      </c>
      <c r="F45" s="28">
        <v>37</v>
      </c>
      <c r="G45" s="28">
        <v>11.4</v>
      </c>
    </row>
    <row r="46" spans="1:7">
      <c r="A46" s="28">
        <v>20</v>
      </c>
      <c r="B46" s="28">
        <v>13.887597669367663</v>
      </c>
      <c r="C46" s="28">
        <v>-5.7875976693676634</v>
      </c>
      <c r="D46" s="28">
        <v>-2.4181117827778729</v>
      </c>
      <c r="F46" s="28">
        <v>39</v>
      </c>
      <c r="G46" s="28">
        <v>11.5</v>
      </c>
    </row>
    <row r="47" spans="1:7">
      <c r="A47" s="28">
        <v>21</v>
      </c>
      <c r="B47" s="28">
        <v>10.32299043884211</v>
      </c>
      <c r="C47" s="28">
        <v>-0.32299043884211009</v>
      </c>
      <c r="D47" s="28">
        <v>-0.13494838973042075</v>
      </c>
      <c r="F47" s="28">
        <v>41</v>
      </c>
      <c r="G47" s="28">
        <v>11.7</v>
      </c>
    </row>
    <row r="48" spans="1:7">
      <c r="A48" s="28">
        <v>22</v>
      </c>
      <c r="B48" s="28">
        <v>13.615527563643827</v>
      </c>
      <c r="C48" s="28">
        <v>0.78447243635617347</v>
      </c>
      <c r="D48" s="28">
        <v>0.32775983231477501</v>
      </c>
      <c r="F48" s="28">
        <v>43</v>
      </c>
      <c r="G48" s="28">
        <v>12</v>
      </c>
    </row>
    <row r="49" spans="1:7">
      <c r="A49" s="28">
        <v>23</v>
      </c>
      <c r="B49" s="28">
        <v>10.734985254448009</v>
      </c>
      <c r="C49" s="28">
        <v>-1.1349852544480097</v>
      </c>
      <c r="D49" s="28">
        <v>-0.47420732639830038</v>
      </c>
      <c r="F49" s="28">
        <v>45</v>
      </c>
      <c r="G49" s="28">
        <v>12.1</v>
      </c>
    </row>
    <row r="50" spans="1:7">
      <c r="A50" s="28">
        <v>24</v>
      </c>
      <c r="B50" s="28">
        <v>16.613871588317885</v>
      </c>
      <c r="C50" s="28">
        <v>4.5861284116821146</v>
      </c>
      <c r="D50" s="28">
        <v>1.9161268255249209</v>
      </c>
      <c r="F50" s="28">
        <v>47</v>
      </c>
      <c r="G50" s="28">
        <v>12.2</v>
      </c>
    </row>
    <row r="51" spans="1:7">
      <c r="A51" s="28">
        <v>25</v>
      </c>
      <c r="B51" s="28">
        <v>13.711013366979067</v>
      </c>
      <c r="C51" s="28">
        <v>-0.31101336697906667</v>
      </c>
      <c r="D51" s="28">
        <v>-0.12994425843973156</v>
      </c>
      <c r="F51" s="28">
        <v>49</v>
      </c>
      <c r="G51" s="28">
        <v>12.3</v>
      </c>
    </row>
    <row r="52" spans="1:7">
      <c r="A52" s="28">
        <v>26</v>
      </c>
      <c r="B52" s="28">
        <v>11.55256440695972</v>
      </c>
      <c r="C52" s="28">
        <v>3.2474355930402812</v>
      </c>
      <c r="D52" s="28">
        <v>1.3568085965797467</v>
      </c>
      <c r="F52" s="28">
        <v>51</v>
      </c>
      <c r="G52" s="28">
        <v>12.5</v>
      </c>
    </row>
    <row r="53" spans="1:7">
      <c r="A53" s="28">
        <v>27</v>
      </c>
      <c r="B53" s="28">
        <v>11.350737524842538</v>
      </c>
      <c r="C53" s="28">
        <v>-0.55073752484253724</v>
      </c>
      <c r="D53" s="28">
        <v>-0.23010322660959318</v>
      </c>
      <c r="F53" s="28">
        <v>53</v>
      </c>
      <c r="G53" s="28">
        <v>12.6</v>
      </c>
    </row>
    <row r="54" spans="1:7">
      <c r="A54" s="28">
        <v>28</v>
      </c>
      <c r="B54" s="28">
        <v>12.630597532474958</v>
      </c>
      <c r="C54" s="28">
        <v>-1.3305975324749575</v>
      </c>
      <c r="D54" s="28">
        <v>-0.55593594358544907</v>
      </c>
      <c r="F54" s="28">
        <v>55</v>
      </c>
      <c r="G54" s="28">
        <v>13.1</v>
      </c>
    </row>
    <row r="55" spans="1:7">
      <c r="A55" s="28">
        <v>29</v>
      </c>
      <c r="B55" s="28">
        <v>11.905207608821607</v>
      </c>
      <c r="C55" s="28">
        <v>-4.3052076088216076</v>
      </c>
      <c r="D55" s="28">
        <v>-1.7987555184246073</v>
      </c>
      <c r="F55" s="28">
        <v>57</v>
      </c>
      <c r="G55" s="28">
        <v>13.2</v>
      </c>
    </row>
    <row r="56" spans="1:7">
      <c r="A56" s="28">
        <v>30</v>
      </c>
      <c r="B56" s="28">
        <v>10.703770804947251</v>
      </c>
      <c r="C56" s="28">
        <v>-2.0037708049472513</v>
      </c>
      <c r="D56" s="28">
        <v>-0.8371939568423109</v>
      </c>
      <c r="F56" s="28">
        <v>59</v>
      </c>
      <c r="G56" s="28">
        <v>13.3</v>
      </c>
    </row>
    <row r="57" spans="1:7">
      <c r="A57" s="28">
        <v>31</v>
      </c>
      <c r="B57" s="28">
        <v>11.852963983075886</v>
      </c>
      <c r="C57" s="28">
        <v>5.247036016924115</v>
      </c>
      <c r="D57" s="28">
        <v>2.1922601296800797</v>
      </c>
      <c r="F57" s="28">
        <v>61</v>
      </c>
      <c r="G57" s="28">
        <v>13.4</v>
      </c>
    </row>
    <row r="58" spans="1:7">
      <c r="A58" s="28">
        <v>32</v>
      </c>
      <c r="B58" s="28">
        <v>10.857452575591561</v>
      </c>
      <c r="C58" s="28">
        <v>2.7425474244084391</v>
      </c>
      <c r="D58" s="28">
        <v>1.1458616546360114</v>
      </c>
      <c r="F58" s="28">
        <v>63</v>
      </c>
      <c r="G58" s="28">
        <v>13.4</v>
      </c>
    </row>
    <row r="59" spans="1:7">
      <c r="A59" s="28">
        <v>33</v>
      </c>
      <c r="B59" s="28">
        <v>14.148922758102401</v>
      </c>
      <c r="C59" s="28">
        <v>0.45107724189759857</v>
      </c>
      <c r="D59" s="28">
        <v>0.18846423954944688</v>
      </c>
      <c r="F59" s="28">
        <v>65</v>
      </c>
      <c r="G59" s="28">
        <v>13.6</v>
      </c>
    </row>
    <row r="60" spans="1:7">
      <c r="A60" s="28">
        <v>34</v>
      </c>
      <c r="B60" s="28">
        <v>11.379935658704408</v>
      </c>
      <c r="C60" s="28">
        <v>0.62006434129559196</v>
      </c>
      <c r="D60" s="28">
        <v>0.25906861109284568</v>
      </c>
      <c r="F60" s="28">
        <v>67</v>
      </c>
      <c r="G60" s="28">
        <v>13.6</v>
      </c>
    </row>
    <row r="61" spans="1:7">
      <c r="A61" s="28">
        <v>35</v>
      </c>
      <c r="B61" s="28">
        <v>13.983290890156367</v>
      </c>
      <c r="C61" s="28">
        <v>-0.58329089015636626</v>
      </c>
      <c r="D61" s="28">
        <v>-0.24370432342582071</v>
      </c>
      <c r="F61" s="28">
        <v>69</v>
      </c>
      <c r="G61" s="28">
        <v>14.4</v>
      </c>
    </row>
    <row r="62" spans="1:7">
      <c r="A62" s="28">
        <v>36</v>
      </c>
      <c r="B62" s="28">
        <v>14.22089410117899</v>
      </c>
      <c r="C62" s="28">
        <v>1.6791058988210104</v>
      </c>
      <c r="D62" s="28">
        <v>0.70154595920875906</v>
      </c>
      <c r="F62" s="28">
        <v>71</v>
      </c>
      <c r="G62" s="28">
        <v>14.6</v>
      </c>
    </row>
    <row r="63" spans="1:7">
      <c r="A63" s="28">
        <v>37</v>
      </c>
      <c r="B63" s="28">
        <v>11.157006478778396</v>
      </c>
      <c r="C63" s="28">
        <v>2.4429935212216041</v>
      </c>
      <c r="D63" s="28">
        <v>1.0207052660523646</v>
      </c>
      <c r="F63" s="28">
        <v>73</v>
      </c>
      <c r="G63" s="28">
        <v>14.7</v>
      </c>
    </row>
    <row r="64" spans="1:7">
      <c r="A64" s="28">
        <v>38</v>
      </c>
      <c r="B64" s="28">
        <v>13.855600457391626</v>
      </c>
      <c r="C64" s="28">
        <v>-1.7556004573916262</v>
      </c>
      <c r="D64" s="28">
        <v>-0.73350609257756794</v>
      </c>
      <c r="F64" s="28">
        <v>75</v>
      </c>
      <c r="G64" s="28">
        <v>14.7</v>
      </c>
    </row>
    <row r="65" spans="1:7">
      <c r="A65" s="28">
        <v>39</v>
      </c>
      <c r="B65" s="28">
        <v>11.778733948462614</v>
      </c>
      <c r="C65" s="28">
        <v>-7.8733948462614833E-2</v>
      </c>
      <c r="D65" s="28">
        <v>-3.2895771157305742E-2</v>
      </c>
      <c r="F65" s="28">
        <v>77</v>
      </c>
      <c r="G65" s="28">
        <v>14.8</v>
      </c>
    </row>
    <row r="66" spans="1:7">
      <c r="A66" s="28">
        <v>40</v>
      </c>
      <c r="B66" s="28">
        <v>14.801806207135078</v>
      </c>
      <c r="C66" s="28">
        <v>0.89819379286492129</v>
      </c>
      <c r="D66" s="28">
        <v>0.37527366583204691</v>
      </c>
      <c r="F66" s="28">
        <v>79</v>
      </c>
      <c r="G66" s="28">
        <v>15.5</v>
      </c>
    </row>
    <row r="67" spans="1:7">
      <c r="A67" s="28">
        <v>41</v>
      </c>
      <c r="B67" s="28">
        <v>12.708957171550267</v>
      </c>
      <c r="C67" s="28">
        <v>-0.20895717155026716</v>
      </c>
      <c r="D67" s="28">
        <v>-8.730423700596382E-2</v>
      </c>
      <c r="F67" s="28">
        <v>81</v>
      </c>
      <c r="G67" s="28">
        <v>15.7</v>
      </c>
    </row>
    <row r="68" spans="1:7">
      <c r="A68" s="28">
        <v>42</v>
      </c>
      <c r="B68" s="28">
        <v>15.558122806587869</v>
      </c>
      <c r="C68" s="28">
        <v>-5.8122806587869391E-2</v>
      </c>
      <c r="D68" s="28">
        <v>-2.4284245638242882E-2</v>
      </c>
      <c r="F68" s="28">
        <v>83</v>
      </c>
      <c r="G68" s="28">
        <v>15.7</v>
      </c>
    </row>
    <row r="69" spans="1:7">
      <c r="A69" s="28">
        <v>43</v>
      </c>
      <c r="B69" s="28">
        <v>12.088470187680537</v>
      </c>
      <c r="C69" s="28">
        <v>3.7115298123194638</v>
      </c>
      <c r="D69" s="28">
        <v>1.5507114495540968</v>
      </c>
      <c r="F69" s="28">
        <v>85</v>
      </c>
      <c r="G69" s="28">
        <v>15.8</v>
      </c>
    </row>
    <row r="70" spans="1:7">
      <c r="A70" s="28">
        <v>44</v>
      </c>
      <c r="B70" s="28">
        <v>10.671011249440653</v>
      </c>
      <c r="C70" s="28">
        <v>-1.0710112494406534</v>
      </c>
      <c r="D70" s="28">
        <v>-0.44747839599621864</v>
      </c>
      <c r="F70" s="28">
        <v>87</v>
      </c>
      <c r="G70" s="28">
        <v>15.9</v>
      </c>
    </row>
    <row r="71" spans="1:7">
      <c r="A71" s="28">
        <v>45</v>
      </c>
      <c r="B71" s="28">
        <v>11.15258597785637</v>
      </c>
      <c r="C71" s="28">
        <v>-0.55258597785637065</v>
      </c>
      <c r="D71" s="28">
        <v>-0.2308755273581955</v>
      </c>
      <c r="F71" s="28">
        <v>89</v>
      </c>
      <c r="G71" s="28">
        <v>17</v>
      </c>
    </row>
    <row r="72" spans="1:7">
      <c r="A72" s="28">
        <v>46</v>
      </c>
      <c r="B72" s="28">
        <v>12.557052100872401</v>
      </c>
      <c r="C72" s="28">
        <v>-2.3570521008724015</v>
      </c>
      <c r="D72" s="28">
        <v>-0.98479814654490605</v>
      </c>
      <c r="F72" s="28">
        <v>91</v>
      </c>
      <c r="G72" s="28">
        <v>17.100000000000001</v>
      </c>
    </row>
    <row r="73" spans="1:7">
      <c r="A73" s="28">
        <v>47</v>
      </c>
      <c r="B73" s="28">
        <v>9.9856930226674407</v>
      </c>
      <c r="C73" s="28">
        <v>1.31430697733256</v>
      </c>
      <c r="D73" s="28">
        <v>0.54912959912472081</v>
      </c>
      <c r="F73" s="28">
        <v>93</v>
      </c>
      <c r="G73" s="28">
        <v>17.3</v>
      </c>
    </row>
    <row r="74" spans="1:7">
      <c r="A74" s="28">
        <v>48</v>
      </c>
      <c r="B74" s="28">
        <v>13.729451814140557</v>
      </c>
      <c r="C74" s="28">
        <v>3.2705481858594432</v>
      </c>
      <c r="D74" s="28">
        <v>1.3664652514164104</v>
      </c>
      <c r="F74" s="28">
        <v>95</v>
      </c>
      <c r="G74" s="28">
        <v>17.3</v>
      </c>
    </row>
    <row r="75" spans="1:7">
      <c r="A75" s="28">
        <v>49</v>
      </c>
      <c r="B75" s="28">
        <v>12.296174498038839</v>
      </c>
      <c r="C75" s="28">
        <v>-1.8961744980388389</v>
      </c>
      <c r="D75" s="28">
        <v>-0.79223922564257931</v>
      </c>
      <c r="F75" s="28">
        <v>97</v>
      </c>
      <c r="G75" s="28">
        <v>17.3</v>
      </c>
    </row>
    <row r="76" spans="1:7" ht="15" thickBot="1">
      <c r="A76" s="31">
        <v>50</v>
      </c>
      <c r="B76" s="31">
        <v>13.142787209565174</v>
      </c>
      <c r="C76" s="31">
        <v>-3.742787209565174</v>
      </c>
      <c r="D76" s="31">
        <v>-1.5637710789369179</v>
      </c>
      <c r="F76" s="31">
        <v>99</v>
      </c>
      <c r="G76" s="31">
        <v>21.2</v>
      </c>
    </row>
  </sheetData>
  <sortState ref="G27:G76">
    <sortCondition ref="G27"/>
  </sortState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sheetPr codeName="Sheet82"/>
  <dimension ref="A1:G74"/>
  <sheetViews>
    <sheetView workbookViewId="0"/>
  </sheetViews>
  <sheetFormatPr defaultRowHeight="14.4"/>
  <cols>
    <col min="1" max="1" width="17.44140625" customWidth="1"/>
    <col min="2" max="2" width="16.88671875" customWidth="1"/>
    <col min="3" max="3" width="12.5546875" customWidth="1"/>
    <col min="4" max="4" width="17.33203125" customWidth="1"/>
    <col min="6" max="7" width="12.109375" customWidth="1"/>
  </cols>
  <sheetData>
    <row r="1" spans="1:7">
      <c r="A1" t="s">
        <v>691</v>
      </c>
    </row>
    <row r="2" spans="1:7" ht="15" thickBot="1"/>
    <row r="3" spans="1:7">
      <c r="A3" s="35" t="s">
        <v>692</v>
      </c>
      <c r="B3" s="35"/>
    </row>
    <row r="4" spans="1:7">
      <c r="A4" s="28" t="s">
        <v>693</v>
      </c>
      <c r="B4" s="28">
        <v>0.56442956793415189</v>
      </c>
    </row>
    <row r="5" spans="1:7">
      <c r="A5" s="28" t="s">
        <v>686</v>
      </c>
      <c r="B5" s="28">
        <v>0.31858073715833335</v>
      </c>
    </row>
    <row r="6" spans="1:7">
      <c r="A6" s="28" t="s">
        <v>694</v>
      </c>
      <c r="B6" s="28">
        <v>0.30438450251579863</v>
      </c>
    </row>
    <row r="7" spans="1:7">
      <c r="A7" s="28" t="s">
        <v>77</v>
      </c>
      <c r="B7" s="28">
        <v>2.4512321956459466</v>
      </c>
    </row>
    <row r="8" spans="1:7" ht="15" thickBot="1">
      <c r="A8" s="31" t="s">
        <v>224</v>
      </c>
      <c r="B8" s="31">
        <v>50</v>
      </c>
    </row>
    <row r="10" spans="1:7" ht="15" thickBot="1">
      <c r="A10" t="s">
        <v>695</v>
      </c>
    </row>
    <row r="11" spans="1:7">
      <c r="A11" s="27"/>
      <c r="B11" s="27" t="s">
        <v>186</v>
      </c>
      <c r="C11" s="27" t="s">
        <v>578</v>
      </c>
      <c r="D11" s="27" t="s">
        <v>641</v>
      </c>
      <c r="E11" s="27" t="s">
        <v>388</v>
      </c>
      <c r="F11" s="27" t="s">
        <v>698</v>
      </c>
    </row>
    <row r="12" spans="1:7">
      <c r="A12" s="28" t="s">
        <v>623</v>
      </c>
      <c r="B12" s="28">
        <v>1</v>
      </c>
      <c r="C12" s="28">
        <v>134.83891470537998</v>
      </c>
      <c r="D12" s="28">
        <v>134.83891470537998</v>
      </c>
      <c r="E12" s="28">
        <v>22.441213827489335</v>
      </c>
      <c r="F12" s="28">
        <v>1.9607327286956678E-5</v>
      </c>
    </row>
    <row r="13" spans="1:7">
      <c r="A13" s="28" t="s">
        <v>696</v>
      </c>
      <c r="B13" s="28">
        <v>48</v>
      </c>
      <c r="C13" s="28">
        <v>288.40988529461998</v>
      </c>
      <c r="D13" s="28">
        <v>6.0085392769712493</v>
      </c>
      <c r="E13" s="28"/>
      <c r="F13" s="28"/>
    </row>
    <row r="14" spans="1:7" ht="15" thickBot="1">
      <c r="A14" s="31" t="s">
        <v>12</v>
      </c>
      <c r="B14" s="31">
        <v>49</v>
      </c>
      <c r="C14" s="31">
        <v>423.24879999999996</v>
      </c>
      <c r="D14" s="31"/>
      <c r="E14" s="31"/>
      <c r="F14" s="31"/>
    </row>
    <row r="15" spans="1:7" ht="15" thickBot="1"/>
    <row r="16" spans="1:7">
      <c r="A16" s="27"/>
      <c r="B16" s="27" t="s">
        <v>699</v>
      </c>
      <c r="C16" s="27" t="s">
        <v>77</v>
      </c>
      <c r="D16" s="27" t="s">
        <v>229</v>
      </c>
      <c r="E16" s="27" t="s">
        <v>367</v>
      </c>
      <c r="F16" s="27" t="s">
        <v>700</v>
      </c>
      <c r="G16" s="27" t="s">
        <v>701</v>
      </c>
    </row>
    <row r="17" spans="1:7">
      <c r="A17" s="28" t="s">
        <v>697</v>
      </c>
      <c r="B17" s="28">
        <v>4.2690992314261393</v>
      </c>
      <c r="C17" s="28">
        <v>1.8197942130118463</v>
      </c>
      <c r="D17" s="28">
        <v>2.3459241714812227</v>
      </c>
      <c r="E17" s="28">
        <v>2.3158321935178951E-2</v>
      </c>
      <c r="F17" s="28">
        <v>0.61015773502108672</v>
      </c>
      <c r="G17" s="28">
        <v>7.928040727831192</v>
      </c>
    </row>
    <row r="18" spans="1:7" ht="15" thickBot="1">
      <c r="A18" s="31" t="s">
        <v>417</v>
      </c>
      <c r="B18" s="31">
        <v>1.2390777113578131</v>
      </c>
      <c r="C18" s="31">
        <v>0.26156243574638349</v>
      </c>
      <c r="D18" s="31">
        <v>4.7372158307902028</v>
      </c>
      <c r="E18" s="31">
        <v>1.9607327286956929E-5</v>
      </c>
      <c r="F18" s="31">
        <v>0.71317118675727975</v>
      </c>
      <c r="G18" s="31">
        <v>1.7649842359583463</v>
      </c>
    </row>
    <row r="22" spans="1:7">
      <c r="A22" t="s">
        <v>702</v>
      </c>
      <c r="F22" t="s">
        <v>706</v>
      </c>
    </row>
    <row r="23" spans="1:7" ht="15" thickBot="1"/>
    <row r="24" spans="1:7">
      <c r="A24" s="27" t="s">
        <v>703</v>
      </c>
      <c r="B24" s="27" t="s">
        <v>812</v>
      </c>
      <c r="C24" s="27" t="s">
        <v>704</v>
      </c>
      <c r="D24" s="27" t="s">
        <v>705</v>
      </c>
      <c r="F24" s="27" t="s">
        <v>707</v>
      </c>
      <c r="G24" s="27" t="s">
        <v>416</v>
      </c>
    </row>
    <row r="25" spans="1:7">
      <c r="A25" s="28">
        <v>1</v>
      </c>
      <c r="B25" s="28">
        <v>15.420798633646458</v>
      </c>
      <c r="C25" s="28">
        <v>0.27920136635354176</v>
      </c>
      <c r="D25" s="28">
        <v>0.11508282346329814</v>
      </c>
      <c r="F25" s="28">
        <v>1</v>
      </c>
      <c r="G25" s="28">
        <v>7.6</v>
      </c>
    </row>
    <row r="26" spans="1:7">
      <c r="A26" s="28">
        <v>2</v>
      </c>
      <c r="B26" s="28">
        <v>12.81873543979505</v>
      </c>
      <c r="C26" s="28">
        <v>-4.41873543979505</v>
      </c>
      <c r="D26" s="28">
        <v>-1.8213397634488406</v>
      </c>
      <c r="F26" s="28">
        <v>3</v>
      </c>
      <c r="G26" s="28">
        <v>8.1</v>
      </c>
    </row>
    <row r="27" spans="1:7">
      <c r="A27" s="28">
        <v>3</v>
      </c>
      <c r="B27" s="28">
        <v>12.199196584116144</v>
      </c>
      <c r="C27" s="28">
        <v>2.5008034158838548</v>
      </c>
      <c r="D27" s="28">
        <v>1.0307955214737214</v>
      </c>
      <c r="F27" s="28">
        <v>5</v>
      </c>
      <c r="G27" s="28">
        <v>8.4</v>
      </c>
    </row>
    <row r="28" spans="1:7">
      <c r="A28" s="28">
        <v>4</v>
      </c>
      <c r="B28" s="28">
        <v>14.80125977796755</v>
      </c>
      <c r="C28" s="28">
        <v>2.4987402220324508</v>
      </c>
      <c r="D28" s="28">
        <v>1.0299451023770219</v>
      </c>
      <c r="F28" s="28">
        <v>7</v>
      </c>
      <c r="G28" s="28">
        <v>8.6999999999999993</v>
      </c>
    </row>
    <row r="29" spans="1:7">
      <c r="A29" s="28">
        <v>5</v>
      </c>
      <c r="B29" s="28">
        <v>10.464487788215205</v>
      </c>
      <c r="C29" s="28">
        <v>2.8355122117847955</v>
      </c>
      <c r="D29" s="28">
        <v>1.168757716191299</v>
      </c>
      <c r="F29" s="28">
        <v>9</v>
      </c>
      <c r="G29" s="28">
        <v>9.1</v>
      </c>
    </row>
    <row r="30" spans="1:7">
      <c r="A30" s="28">
        <v>6</v>
      </c>
      <c r="B30" s="28">
        <v>11.331842186165673</v>
      </c>
      <c r="C30" s="28">
        <v>6.8157813834327285E-2</v>
      </c>
      <c r="D30" s="28">
        <v>2.8093679338259177E-2</v>
      </c>
      <c r="F30" s="28">
        <v>11</v>
      </c>
      <c r="G30" s="28">
        <v>9.3000000000000007</v>
      </c>
    </row>
    <row r="31" spans="1:7">
      <c r="A31" s="28">
        <v>7</v>
      </c>
      <c r="B31" s="28">
        <v>11.951381041844581</v>
      </c>
      <c r="C31" s="28">
        <v>-2.65138104184458</v>
      </c>
      <c r="D31" s="28">
        <v>-1.0928614725551276</v>
      </c>
      <c r="F31" s="28">
        <v>13</v>
      </c>
      <c r="G31" s="28">
        <v>9.4</v>
      </c>
    </row>
    <row r="32" spans="1:7">
      <c r="A32" s="28">
        <v>8</v>
      </c>
      <c r="B32" s="28">
        <v>14.55344423569599</v>
      </c>
      <c r="C32" s="28">
        <v>-4.5534442356959897</v>
      </c>
      <c r="D32" s="28">
        <v>-1.8768648089745521</v>
      </c>
      <c r="F32" s="28">
        <v>15</v>
      </c>
      <c r="G32" s="28">
        <v>9.6</v>
      </c>
    </row>
    <row r="33" spans="1:7">
      <c r="A33" s="28">
        <v>9</v>
      </c>
      <c r="B33" s="28">
        <v>13.314366524338174</v>
      </c>
      <c r="C33" s="28">
        <v>-0.11436652433817507</v>
      </c>
      <c r="D33" s="28">
        <v>-4.7140251147106293E-2</v>
      </c>
      <c r="F33" s="28">
        <v>17</v>
      </c>
      <c r="G33" s="28">
        <v>9.6</v>
      </c>
    </row>
    <row r="34" spans="1:7">
      <c r="A34" s="28">
        <v>10</v>
      </c>
      <c r="B34" s="28">
        <v>14.305628693424424</v>
      </c>
      <c r="C34" s="28">
        <v>0.39437130657557518</v>
      </c>
      <c r="D34" s="28">
        <v>0.16255423118580817</v>
      </c>
      <c r="F34" s="28">
        <v>19</v>
      </c>
      <c r="G34" s="28">
        <v>10</v>
      </c>
    </row>
    <row r="35" spans="1:7">
      <c r="A35" s="28">
        <v>11</v>
      </c>
      <c r="B35" s="28">
        <v>11.207934415029893</v>
      </c>
      <c r="C35" s="28">
        <v>-2.1079344150298933</v>
      </c>
      <c r="D35" s="28">
        <v>-0.86886051929243557</v>
      </c>
      <c r="F35" s="28">
        <v>21</v>
      </c>
      <c r="G35" s="28">
        <v>10</v>
      </c>
    </row>
    <row r="36" spans="1:7">
      <c r="A36" s="28">
        <v>12</v>
      </c>
      <c r="B36" s="28">
        <v>12.694827668659268</v>
      </c>
      <c r="C36" s="28">
        <v>-9.4827668659268838E-2</v>
      </c>
      <c r="D36" s="28">
        <v>-3.9086613343904682E-2</v>
      </c>
      <c r="F36" s="28">
        <v>23</v>
      </c>
      <c r="G36" s="28">
        <v>10.199999999999999</v>
      </c>
    </row>
    <row r="37" spans="1:7">
      <c r="A37" s="28">
        <v>13</v>
      </c>
      <c r="B37" s="28">
        <v>13.314366524338174</v>
      </c>
      <c r="C37" s="28">
        <v>-1.1143665243381751</v>
      </c>
      <c r="D37" s="28">
        <v>-0.45932599710643396</v>
      </c>
      <c r="F37" s="28">
        <v>25</v>
      </c>
      <c r="G37" s="28">
        <v>10.4</v>
      </c>
    </row>
    <row r="38" spans="1:7">
      <c r="A38" s="28">
        <v>14</v>
      </c>
      <c r="B38" s="28">
        <v>14.181720922288644</v>
      </c>
      <c r="C38" s="28">
        <v>-1.0817209222886444</v>
      </c>
      <c r="D38" s="28">
        <v>-0.44586994527335683</v>
      </c>
      <c r="F38" s="28">
        <v>27</v>
      </c>
      <c r="G38" s="28">
        <v>10.6</v>
      </c>
    </row>
    <row r="39" spans="1:7">
      <c r="A39" s="28">
        <v>15</v>
      </c>
      <c r="B39" s="28">
        <v>10.588395559350985</v>
      </c>
      <c r="C39" s="28">
        <v>0.91160444064901469</v>
      </c>
      <c r="D39" s="28">
        <v>0.37575035638874976</v>
      </c>
      <c r="F39" s="28">
        <v>29</v>
      </c>
      <c r="G39" s="28">
        <v>10.8</v>
      </c>
    </row>
    <row r="40" spans="1:7">
      <c r="A40" s="28">
        <v>16</v>
      </c>
      <c r="B40" s="28">
        <v>13.066550982066612</v>
      </c>
      <c r="C40" s="28">
        <v>-1.7665509820666117</v>
      </c>
      <c r="D40" s="28">
        <v>-0.72814713431830924</v>
      </c>
      <c r="F40" s="28">
        <v>31</v>
      </c>
      <c r="G40" s="28">
        <v>11.3</v>
      </c>
    </row>
    <row r="41" spans="1:7">
      <c r="A41" s="28">
        <v>17</v>
      </c>
      <c r="B41" s="28">
        <v>13.562182066609738</v>
      </c>
      <c r="C41" s="28">
        <v>3.7378179333902626</v>
      </c>
      <c r="D41" s="28">
        <v>1.5406752731346181</v>
      </c>
      <c r="F41" s="28">
        <v>33</v>
      </c>
      <c r="G41" s="28">
        <v>11.3</v>
      </c>
    </row>
    <row r="42" spans="1:7">
      <c r="A42" s="28">
        <v>18</v>
      </c>
      <c r="B42" s="28">
        <v>16.535968573868487</v>
      </c>
      <c r="C42" s="28">
        <v>0.76403142613151331</v>
      </c>
      <c r="D42" s="28">
        <v>0.3149228633163868</v>
      </c>
      <c r="F42" s="28">
        <v>35</v>
      </c>
      <c r="G42" s="28">
        <v>11.3</v>
      </c>
    </row>
    <row r="43" spans="1:7">
      <c r="A43" s="28">
        <v>19</v>
      </c>
      <c r="B43" s="28">
        <v>12.075288812980361</v>
      </c>
      <c r="C43" s="28">
        <v>0.22471118701963988</v>
      </c>
      <c r="D43" s="28">
        <v>9.2622748247096251E-2</v>
      </c>
      <c r="F43" s="28">
        <v>37</v>
      </c>
      <c r="G43" s="28">
        <v>11.4</v>
      </c>
    </row>
    <row r="44" spans="1:7">
      <c r="A44" s="28">
        <v>20</v>
      </c>
      <c r="B44" s="28">
        <v>14.181720922288644</v>
      </c>
      <c r="C44" s="28">
        <v>-6.0817209222886444</v>
      </c>
      <c r="D44" s="28">
        <v>-2.5067986750699953</v>
      </c>
      <c r="F44" s="28">
        <v>39</v>
      </c>
      <c r="G44" s="28">
        <v>11.5</v>
      </c>
    </row>
    <row r="45" spans="1:7">
      <c r="A45" s="28">
        <v>21</v>
      </c>
      <c r="B45" s="28">
        <v>10.216672245943641</v>
      </c>
      <c r="C45" s="28">
        <v>-0.21667224594364143</v>
      </c>
      <c r="D45" s="28">
        <v>-8.9309211322962753E-2</v>
      </c>
      <c r="F45" s="28">
        <v>41</v>
      </c>
      <c r="G45" s="28">
        <v>11.7</v>
      </c>
    </row>
    <row r="46" spans="1:7">
      <c r="A46" s="28">
        <v>22</v>
      </c>
      <c r="B46" s="28">
        <v>13.438274295473956</v>
      </c>
      <c r="C46" s="28">
        <v>0.96172570452604411</v>
      </c>
      <c r="D46" s="28">
        <v>0.39640962692832743</v>
      </c>
      <c r="F46" s="28">
        <v>43</v>
      </c>
      <c r="G46" s="28">
        <v>12</v>
      </c>
    </row>
    <row r="47" spans="1:7">
      <c r="A47" s="28">
        <v>23</v>
      </c>
      <c r="B47" s="28">
        <v>10.712303330486767</v>
      </c>
      <c r="C47" s="28">
        <v>-1.1123033304867675</v>
      </c>
      <c r="D47" s="28">
        <v>-0.45847557800973288</v>
      </c>
      <c r="F47" s="28">
        <v>45</v>
      </c>
      <c r="G47" s="28">
        <v>12.1</v>
      </c>
    </row>
    <row r="48" spans="1:7">
      <c r="A48" s="28">
        <v>24</v>
      </c>
      <c r="B48" s="28">
        <v>17.403322971818959</v>
      </c>
      <c r="C48" s="28">
        <v>3.7966770281810405</v>
      </c>
      <c r="D48" s="28">
        <v>1.5649361530274455</v>
      </c>
      <c r="F48" s="28">
        <v>47</v>
      </c>
      <c r="G48" s="28">
        <v>12.2</v>
      </c>
    </row>
    <row r="49" spans="1:7">
      <c r="A49" s="28">
        <v>25</v>
      </c>
      <c r="B49" s="28">
        <v>13.438274295473956</v>
      </c>
      <c r="C49" s="28">
        <v>-3.8274295473955888E-2</v>
      </c>
      <c r="D49" s="28">
        <v>-1.5776119031000228E-2</v>
      </c>
      <c r="F49" s="28">
        <v>49</v>
      </c>
      <c r="G49" s="28">
        <v>12.3</v>
      </c>
    </row>
    <row r="50" spans="1:7">
      <c r="A50" s="28">
        <v>26</v>
      </c>
      <c r="B50" s="28">
        <v>11.455749957301455</v>
      </c>
      <c r="C50" s="28">
        <v>3.3442500426985458</v>
      </c>
      <c r="D50" s="28">
        <v>1.3784521985242135</v>
      </c>
      <c r="F50" s="28">
        <v>51</v>
      </c>
      <c r="G50" s="28">
        <v>12.5</v>
      </c>
    </row>
    <row r="51" spans="1:7">
      <c r="A51" s="28">
        <v>27</v>
      </c>
      <c r="B51" s="28">
        <v>11.207934415029893</v>
      </c>
      <c r="C51" s="28">
        <v>-0.40793441502989225</v>
      </c>
      <c r="D51" s="28">
        <v>-0.16814475116157812</v>
      </c>
      <c r="F51" s="28">
        <v>53</v>
      </c>
      <c r="G51" s="28">
        <v>12.6</v>
      </c>
    </row>
    <row r="52" spans="1:7">
      <c r="A52" s="28">
        <v>28</v>
      </c>
      <c r="B52" s="28">
        <v>12.199196584116144</v>
      </c>
      <c r="C52" s="28">
        <v>-0.89919658411614378</v>
      </c>
      <c r="D52" s="28">
        <v>-0.37063601478799207</v>
      </c>
      <c r="F52" s="28">
        <v>55</v>
      </c>
      <c r="G52" s="28">
        <v>13.1</v>
      </c>
    </row>
    <row r="53" spans="1:7">
      <c r="A53" s="28">
        <v>29</v>
      </c>
      <c r="B53" s="28">
        <v>11.827473270708799</v>
      </c>
      <c r="C53" s="28">
        <v>-4.2274732707087992</v>
      </c>
      <c r="D53" s="28">
        <v>-1.7425042236102253</v>
      </c>
      <c r="F53" s="28">
        <v>57</v>
      </c>
      <c r="G53" s="28">
        <v>13.2</v>
      </c>
    </row>
    <row r="54" spans="1:7">
      <c r="A54" s="28">
        <v>30</v>
      </c>
      <c r="B54" s="28">
        <v>11.084026643894111</v>
      </c>
      <c r="C54" s="28">
        <v>-2.3840266438941118</v>
      </c>
      <c r="D54" s="28">
        <v>-0.98266180060040687</v>
      </c>
      <c r="F54" s="28">
        <v>59</v>
      </c>
      <c r="G54" s="28">
        <v>13.3</v>
      </c>
    </row>
    <row r="55" spans="1:7">
      <c r="A55" s="28">
        <v>31</v>
      </c>
      <c r="B55" s="28">
        <v>11.455749957301455</v>
      </c>
      <c r="C55" s="28">
        <v>5.6442500426985465</v>
      </c>
      <c r="D55" s="28">
        <v>2.3264794142306675</v>
      </c>
      <c r="F55" s="28">
        <v>61</v>
      </c>
      <c r="G55" s="28">
        <v>13.4</v>
      </c>
    </row>
    <row r="56" spans="1:7">
      <c r="A56" s="28">
        <v>32</v>
      </c>
      <c r="B56" s="28">
        <v>11.207934415029893</v>
      </c>
      <c r="C56" s="28">
        <v>2.3920655849701067</v>
      </c>
      <c r="D56" s="28">
        <v>0.98597533752453892</v>
      </c>
      <c r="F56" s="28">
        <v>63</v>
      </c>
      <c r="G56" s="28">
        <v>13.4</v>
      </c>
    </row>
    <row r="57" spans="1:7">
      <c r="A57" s="28">
        <v>33</v>
      </c>
      <c r="B57" s="28">
        <v>14.305628693424424</v>
      </c>
      <c r="C57" s="28">
        <v>0.29437130657557553</v>
      </c>
      <c r="D57" s="28">
        <v>0.12133565658987554</v>
      </c>
      <c r="F57" s="28">
        <v>65</v>
      </c>
      <c r="G57" s="28">
        <v>13.6</v>
      </c>
    </row>
    <row r="58" spans="1:7">
      <c r="A58" s="28">
        <v>34</v>
      </c>
      <c r="B58" s="28">
        <v>11.455749957301455</v>
      </c>
      <c r="C58" s="28">
        <v>0.54425004269854504</v>
      </c>
      <c r="D58" s="28">
        <v>0.22433210983809573</v>
      </c>
      <c r="F58" s="28">
        <v>67</v>
      </c>
      <c r="G58" s="28">
        <v>13.6</v>
      </c>
    </row>
    <row r="59" spans="1:7">
      <c r="A59" s="28">
        <v>35</v>
      </c>
      <c r="B59" s="28">
        <v>13.933905380017082</v>
      </c>
      <c r="C59" s="28">
        <v>-0.53390538001708165</v>
      </c>
      <c r="D59" s="28">
        <v>-0.22006818733403913</v>
      </c>
      <c r="F59" s="28">
        <v>69</v>
      </c>
      <c r="G59" s="28">
        <v>14.4</v>
      </c>
    </row>
    <row r="60" spans="1:7">
      <c r="A60" s="28">
        <v>36</v>
      </c>
      <c r="B60" s="28">
        <v>14.181720922288644</v>
      </c>
      <c r="C60" s="28">
        <v>1.7182790777113564</v>
      </c>
      <c r="D60" s="28">
        <v>0.70825014341276105</v>
      </c>
      <c r="F60" s="28">
        <v>71</v>
      </c>
      <c r="G60" s="28">
        <v>14.6</v>
      </c>
    </row>
    <row r="61" spans="1:7">
      <c r="A61" s="28">
        <v>37</v>
      </c>
      <c r="B61" s="28">
        <v>11.084026643894111</v>
      </c>
      <c r="C61" s="28">
        <v>2.5159733561058886</v>
      </c>
      <c r="D61" s="28">
        <v>1.0370483546002989</v>
      </c>
      <c r="F61" s="28">
        <v>73</v>
      </c>
      <c r="G61" s="28">
        <v>14.7</v>
      </c>
    </row>
    <row r="62" spans="1:7">
      <c r="A62" s="28">
        <v>38</v>
      </c>
      <c r="B62" s="28">
        <v>13.686089837745518</v>
      </c>
      <c r="C62" s="28">
        <v>-1.5860898377455186</v>
      </c>
      <c r="D62" s="28">
        <v>-0.65376362292964563</v>
      </c>
      <c r="F62" s="28">
        <v>75</v>
      </c>
      <c r="G62" s="28">
        <v>14.7</v>
      </c>
    </row>
    <row r="63" spans="1:7">
      <c r="A63" s="28">
        <v>39</v>
      </c>
      <c r="B63" s="28">
        <v>11.827473270708799</v>
      </c>
      <c r="C63" s="28">
        <v>-0.12747327070879955</v>
      </c>
      <c r="D63" s="28">
        <v>-5.2542665176981855E-2</v>
      </c>
      <c r="F63" s="28">
        <v>77</v>
      </c>
      <c r="G63" s="28">
        <v>14.8</v>
      </c>
    </row>
    <row r="64" spans="1:7">
      <c r="A64" s="28">
        <v>40</v>
      </c>
      <c r="B64" s="28">
        <v>14.67735200683177</v>
      </c>
      <c r="C64" s="28">
        <v>1.0226479931682295</v>
      </c>
      <c r="D64" s="28">
        <v>0.42152092591785612</v>
      </c>
      <c r="F64" s="28">
        <v>79</v>
      </c>
      <c r="G64" s="28">
        <v>15.5</v>
      </c>
    </row>
    <row r="65" spans="1:7">
      <c r="A65" s="28">
        <v>41</v>
      </c>
      <c r="B65" s="28">
        <v>12.81873543979505</v>
      </c>
      <c r="C65" s="28">
        <v>-0.31873543979505037</v>
      </c>
      <c r="D65" s="28">
        <v>-0.13137820501559722</v>
      </c>
      <c r="F65" s="28">
        <v>81</v>
      </c>
      <c r="G65" s="28">
        <v>15.7</v>
      </c>
    </row>
    <row r="66" spans="1:7">
      <c r="A66" s="28">
        <v>42</v>
      </c>
      <c r="B66" s="28">
        <v>15.049075320239112</v>
      </c>
      <c r="C66" s="28">
        <v>0.45092467976088813</v>
      </c>
      <c r="D66" s="28">
        <v>0.18586472549871261</v>
      </c>
      <c r="F66" s="28">
        <v>83</v>
      </c>
      <c r="G66" s="28">
        <v>15.7</v>
      </c>
    </row>
    <row r="67" spans="1:7">
      <c r="A67" s="28">
        <v>43</v>
      </c>
      <c r="B67" s="28">
        <v>11.951381041844581</v>
      </c>
      <c r="C67" s="28">
        <v>3.84861895815542</v>
      </c>
      <c r="D67" s="28">
        <v>1.5863458761805023</v>
      </c>
      <c r="F67" s="28">
        <v>85</v>
      </c>
      <c r="G67" s="28">
        <v>15.8</v>
      </c>
    </row>
    <row r="68" spans="1:7">
      <c r="A68" s="28">
        <v>44</v>
      </c>
      <c r="B68" s="28">
        <v>10.588395559350985</v>
      </c>
      <c r="C68" s="28">
        <v>-0.98839555935098566</v>
      </c>
      <c r="D68" s="28">
        <v>-0.40740256093397298</v>
      </c>
      <c r="F68" s="28">
        <v>87</v>
      </c>
      <c r="G68" s="28">
        <v>15.9</v>
      </c>
    </row>
    <row r="69" spans="1:7">
      <c r="A69" s="28">
        <v>45</v>
      </c>
      <c r="B69" s="28">
        <v>11.084026643894111</v>
      </c>
      <c r="C69" s="28">
        <v>-0.48402664389411143</v>
      </c>
      <c r="D69" s="28">
        <v>-0.19950888327768418</v>
      </c>
      <c r="F69" s="28">
        <v>89</v>
      </c>
      <c r="G69" s="28">
        <v>17</v>
      </c>
    </row>
    <row r="70" spans="1:7">
      <c r="A70" s="28">
        <v>46</v>
      </c>
      <c r="B70" s="28">
        <v>13.066550982066612</v>
      </c>
      <c r="C70" s="28">
        <v>-2.8665509820666131</v>
      </c>
      <c r="D70" s="28">
        <v>-1.1815514548735702</v>
      </c>
      <c r="F70" s="28">
        <v>91</v>
      </c>
      <c r="G70" s="28">
        <v>17.100000000000001</v>
      </c>
    </row>
    <row r="71" spans="1:7">
      <c r="A71" s="28">
        <v>47</v>
      </c>
      <c r="B71" s="28">
        <v>10.092764474807861</v>
      </c>
      <c r="C71" s="28">
        <v>1.2072355251921394</v>
      </c>
      <c r="D71" s="28">
        <v>0.49760527549992267</v>
      </c>
      <c r="F71" s="28">
        <v>93</v>
      </c>
      <c r="G71" s="28">
        <v>17.3</v>
      </c>
    </row>
    <row r="72" spans="1:7">
      <c r="A72" s="28">
        <v>48</v>
      </c>
      <c r="B72" s="28">
        <v>13.438274295473956</v>
      </c>
      <c r="C72" s="28">
        <v>3.5617257045260438</v>
      </c>
      <c r="D72" s="28">
        <v>1.4680925664225792</v>
      </c>
      <c r="F72" s="28">
        <v>95</v>
      </c>
      <c r="G72" s="28">
        <v>17.3</v>
      </c>
    </row>
    <row r="73" spans="1:7">
      <c r="A73" s="28">
        <v>49</v>
      </c>
      <c r="B73" s="28">
        <v>12.199196584116144</v>
      </c>
      <c r="C73" s="28">
        <v>-1.7991965841161441</v>
      </c>
      <c r="D73" s="28">
        <v>-0.74160318615138709</v>
      </c>
      <c r="F73" s="28">
        <v>97</v>
      </c>
      <c r="G73" s="28">
        <v>17.3</v>
      </c>
    </row>
    <row r="74" spans="1:7" ht="15" thickBot="1">
      <c r="A74" s="31">
        <v>50</v>
      </c>
      <c r="B74" s="31">
        <v>12.94264321093083</v>
      </c>
      <c r="C74" s="31">
        <v>-3.5426432109308301</v>
      </c>
      <c r="D74" s="31">
        <v>-1.4602270345652721</v>
      </c>
      <c r="F74" s="31">
        <v>99</v>
      </c>
      <c r="G74" s="31">
        <v>21.2</v>
      </c>
    </row>
  </sheetData>
  <sortState ref="G25:G74">
    <sortCondition ref="G25"/>
  </sortState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sheetPr codeName="Sheet88"/>
  <dimension ref="A1:G36"/>
  <sheetViews>
    <sheetView workbookViewId="0"/>
  </sheetViews>
  <sheetFormatPr defaultRowHeight="14.4"/>
  <cols>
    <col min="1" max="1" width="17.6640625" customWidth="1"/>
    <col min="2" max="2" width="14.5546875" customWidth="1"/>
    <col min="3" max="3" width="13.44140625" customWidth="1"/>
    <col min="4" max="4" width="17" customWidth="1"/>
    <col min="6" max="6" width="13.33203125" customWidth="1"/>
    <col min="7" max="7" width="11.109375" customWidth="1"/>
  </cols>
  <sheetData>
    <row r="1" spans="1:7">
      <c r="A1" t="s">
        <v>691</v>
      </c>
    </row>
    <row r="2" spans="1:7" ht="15" thickBot="1"/>
    <row r="3" spans="1:7">
      <c r="A3" s="35" t="s">
        <v>692</v>
      </c>
      <c r="B3" s="35"/>
    </row>
    <row r="4" spans="1:7">
      <c r="A4" s="28" t="s">
        <v>693</v>
      </c>
      <c r="B4" s="28">
        <v>0.92233072739359667</v>
      </c>
    </row>
    <row r="5" spans="1:7">
      <c r="A5" s="28" t="s">
        <v>686</v>
      </c>
      <c r="B5" s="28">
        <v>0.85069397069440122</v>
      </c>
    </row>
    <row r="6" spans="1:7">
      <c r="A6" s="28" t="s">
        <v>694</v>
      </c>
      <c r="B6" s="28">
        <v>0.81336746336800148</v>
      </c>
    </row>
    <row r="7" spans="1:7">
      <c r="A7" s="28" t="s">
        <v>77</v>
      </c>
      <c r="B7" s="28">
        <v>5.8880844651320681</v>
      </c>
    </row>
    <row r="8" spans="1:7" ht="15" thickBot="1">
      <c r="A8" s="31" t="s">
        <v>224</v>
      </c>
      <c r="B8" s="31">
        <v>11</v>
      </c>
    </row>
    <row r="10" spans="1:7" ht="15" thickBot="1">
      <c r="A10" t="s">
        <v>695</v>
      </c>
    </row>
    <row r="11" spans="1:7">
      <c r="A11" s="27"/>
      <c r="B11" s="27" t="s">
        <v>186</v>
      </c>
      <c r="C11" s="27" t="s">
        <v>578</v>
      </c>
      <c r="D11" s="27" t="s">
        <v>641</v>
      </c>
      <c r="E11" s="27" t="s">
        <v>388</v>
      </c>
      <c r="F11" s="27" t="s">
        <v>698</v>
      </c>
    </row>
    <row r="12" spans="1:7">
      <c r="A12" s="28" t="s">
        <v>623</v>
      </c>
      <c r="B12" s="28">
        <v>2</v>
      </c>
      <c r="C12" s="28">
        <v>1580.2800542881264</v>
      </c>
      <c r="D12" s="28">
        <v>790.1400271440632</v>
      </c>
      <c r="E12" s="28">
        <v>22.790612667173818</v>
      </c>
      <c r="F12" s="28">
        <v>4.9694621069852531E-4</v>
      </c>
    </row>
    <row r="13" spans="1:7">
      <c r="A13" s="28" t="s">
        <v>696</v>
      </c>
      <c r="B13" s="28">
        <v>8</v>
      </c>
      <c r="C13" s="28">
        <v>277.35630934823678</v>
      </c>
      <c r="D13" s="28">
        <v>34.669538668529597</v>
      </c>
      <c r="E13" s="28"/>
      <c r="F13" s="28"/>
    </row>
    <row r="14" spans="1:7" ht="15" thickBot="1">
      <c r="A14" s="31" t="s">
        <v>12</v>
      </c>
      <c r="B14" s="31">
        <v>10</v>
      </c>
      <c r="C14" s="31">
        <v>1857.6363636363631</v>
      </c>
      <c r="D14" s="31"/>
      <c r="E14" s="31"/>
      <c r="F14" s="31"/>
    </row>
    <row r="15" spans="1:7" ht="15" thickBot="1"/>
    <row r="16" spans="1:7">
      <c r="A16" s="27"/>
      <c r="B16" s="27" t="s">
        <v>699</v>
      </c>
      <c r="C16" s="27" t="s">
        <v>77</v>
      </c>
      <c r="D16" s="27" t="s">
        <v>229</v>
      </c>
      <c r="E16" s="27" t="s">
        <v>367</v>
      </c>
      <c r="F16" s="27" t="s">
        <v>700</v>
      </c>
      <c r="G16" s="27" t="s">
        <v>701</v>
      </c>
    </row>
    <row r="17" spans="1:7">
      <c r="A17" s="28" t="s">
        <v>697</v>
      </c>
      <c r="B17" s="28">
        <v>1.7514036585681438</v>
      </c>
      <c r="C17" s="28">
        <v>6.9602026710152867</v>
      </c>
      <c r="D17" s="28">
        <v>0.25163112934363246</v>
      </c>
      <c r="E17" s="28">
        <v>0.80766962414536592</v>
      </c>
      <c r="F17" s="28">
        <v>-14.298852482652197</v>
      </c>
      <c r="G17" s="28">
        <v>17.801659799788485</v>
      </c>
    </row>
    <row r="18" spans="1:7">
      <c r="A18" s="28" t="s">
        <v>783</v>
      </c>
      <c r="B18" s="28">
        <v>4.8952883645113721</v>
      </c>
      <c r="C18" s="28">
        <v>0.82022977846272815</v>
      </c>
      <c r="D18" s="28">
        <v>5.9681914666474372</v>
      </c>
      <c r="E18" s="28">
        <v>3.3508360543825895E-4</v>
      </c>
      <c r="F18" s="28">
        <v>3.003835103558723</v>
      </c>
      <c r="G18" s="28">
        <v>6.7867416254640212</v>
      </c>
    </row>
    <row r="19" spans="1:7" ht="15" thickBot="1">
      <c r="A19" s="31" t="s">
        <v>784</v>
      </c>
      <c r="B19" s="31">
        <v>3.7584154829361673</v>
      </c>
      <c r="C19" s="31">
        <v>0.75651098735033695</v>
      </c>
      <c r="D19" s="31">
        <v>4.9680910730720971</v>
      </c>
      <c r="E19" s="31">
        <v>1.0957202090976618E-3</v>
      </c>
      <c r="F19" s="31">
        <v>2.013898017778903</v>
      </c>
      <c r="G19" s="31">
        <v>5.5029329480934317</v>
      </c>
    </row>
    <row r="23" spans="1:7">
      <c r="A23" t="s">
        <v>702</v>
      </c>
      <c r="F23" t="s">
        <v>706</v>
      </c>
    </row>
    <row r="24" spans="1:7" ht="15" thickBot="1"/>
    <row r="25" spans="1:7">
      <c r="A25" s="27" t="s">
        <v>703</v>
      </c>
      <c r="B25" s="27" t="s">
        <v>785</v>
      </c>
      <c r="C25" s="27" t="s">
        <v>704</v>
      </c>
      <c r="D25" s="27" t="s">
        <v>705</v>
      </c>
      <c r="F25" s="27" t="s">
        <v>707</v>
      </c>
      <c r="G25" s="27" t="s">
        <v>777</v>
      </c>
    </row>
    <row r="26" spans="1:7">
      <c r="A26" s="28">
        <v>1</v>
      </c>
      <c r="B26" s="28">
        <v>54.81049962482858</v>
      </c>
      <c r="C26" s="28">
        <v>10.18950037517142</v>
      </c>
      <c r="D26" s="28">
        <v>1.934790136806559</v>
      </c>
      <c r="F26" s="28">
        <v>4.5454545454545459</v>
      </c>
      <c r="G26" s="28">
        <v>25</v>
      </c>
    </row>
    <row r="27" spans="1:7">
      <c r="A27" s="28">
        <v>2</v>
      </c>
      <c r="B27" s="28">
        <v>42.746177132655433</v>
      </c>
      <c r="C27" s="28">
        <v>-4.7461771326554327</v>
      </c>
      <c r="D27" s="28">
        <v>-0.90120774971207374</v>
      </c>
      <c r="F27" s="28">
        <v>13.636363636363637</v>
      </c>
      <c r="G27" s="28">
        <v>33</v>
      </c>
    </row>
    <row r="28" spans="1:7">
      <c r="A28" s="28">
        <v>3</v>
      </c>
      <c r="B28" s="28">
        <v>56.295169344614344</v>
      </c>
      <c r="C28" s="28">
        <v>-5.2951693446143437</v>
      </c>
      <c r="D28" s="28">
        <v>-1.005450811469049</v>
      </c>
      <c r="F28" s="28">
        <v>22.72727272727273</v>
      </c>
      <c r="G28" s="28">
        <v>38</v>
      </c>
    </row>
    <row r="29" spans="1:7">
      <c r="A29" s="28">
        <v>4</v>
      </c>
      <c r="B29" s="28">
        <v>44.672126057595285</v>
      </c>
      <c r="C29" s="28">
        <v>-6.6721260575952854</v>
      </c>
      <c r="D29" s="28">
        <v>-1.2669084069343504</v>
      </c>
      <c r="F29" s="28">
        <v>31.81818181818182</v>
      </c>
      <c r="G29" s="28">
        <v>38</v>
      </c>
    </row>
    <row r="30" spans="1:7">
      <c r="A30" s="28">
        <v>5</v>
      </c>
      <c r="B30" s="28">
        <v>57.084245387978996</v>
      </c>
      <c r="C30" s="28">
        <v>-2.0842453879789957</v>
      </c>
      <c r="D30" s="28">
        <v>-0.39575811088563606</v>
      </c>
      <c r="F30" s="28">
        <v>40.909090909090914</v>
      </c>
      <c r="G30" s="28">
        <v>43</v>
      </c>
    </row>
    <row r="31" spans="1:7">
      <c r="A31" s="28">
        <v>6</v>
      </c>
      <c r="B31" s="28">
        <v>41.261507412869676</v>
      </c>
      <c r="C31" s="28">
        <v>1.7384925871303238</v>
      </c>
      <c r="D31" s="28">
        <v>0.33010630419987413</v>
      </c>
      <c r="F31" s="28">
        <v>50.000000000000007</v>
      </c>
      <c r="G31" s="28">
        <v>49</v>
      </c>
    </row>
    <row r="32" spans="1:7">
      <c r="A32" s="28">
        <v>7</v>
      </c>
      <c r="B32" s="28">
        <v>21.332557116613632</v>
      </c>
      <c r="C32" s="28">
        <v>3.6674428833863679</v>
      </c>
      <c r="D32" s="28">
        <v>0.69637686410684085</v>
      </c>
      <c r="F32" s="28">
        <v>59.090909090909093</v>
      </c>
      <c r="G32" s="28">
        <v>51</v>
      </c>
    </row>
    <row r="33" spans="1:7">
      <c r="A33" s="28">
        <v>8</v>
      </c>
      <c r="B33" s="28">
        <v>34.092473285207895</v>
      </c>
      <c r="C33" s="28">
        <v>-1.0924732852078947</v>
      </c>
      <c r="D33" s="28">
        <v>-0.20743966427395458</v>
      </c>
      <c r="F33" s="28">
        <v>68.181818181818187</v>
      </c>
      <c r="G33" s="28">
        <v>51</v>
      </c>
    </row>
    <row r="34" spans="1:7">
      <c r="A34" s="28">
        <v>9</v>
      </c>
      <c r="B34" s="28">
        <v>67.222618955212283</v>
      </c>
      <c r="C34" s="28">
        <v>3.7773810447877167</v>
      </c>
      <c r="D34" s="28">
        <v>0.71725200641080289</v>
      </c>
      <c r="F34" s="28">
        <v>77.27272727272728</v>
      </c>
      <c r="G34" s="28">
        <v>55</v>
      </c>
    </row>
    <row r="35" spans="1:7">
      <c r="A35" s="28">
        <v>10</v>
      </c>
      <c r="B35" s="28">
        <v>46.156795777381042</v>
      </c>
      <c r="C35" s="28">
        <v>4.843204222618958</v>
      </c>
      <c r="D35" s="28">
        <v>0.91963132788101942</v>
      </c>
      <c r="F35" s="28">
        <v>86.363636363636374</v>
      </c>
      <c r="G35" s="28">
        <v>65</v>
      </c>
    </row>
    <row r="36" spans="1:7" ht="15" thickBot="1">
      <c r="A36" s="31">
        <v>11</v>
      </c>
      <c r="B36" s="31">
        <v>53.325829905042831</v>
      </c>
      <c r="C36" s="31">
        <v>-4.3258299050428306</v>
      </c>
      <c r="D36" s="31">
        <v>-0.82139189613003172</v>
      </c>
      <c r="F36" s="31">
        <v>95.454545454545467</v>
      </c>
      <c r="G36" s="31">
        <v>71</v>
      </c>
    </row>
  </sheetData>
  <sortState ref="G26:G36">
    <sortCondition ref="G26"/>
  </sortState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sheetPr codeName="Sheet94"/>
  <dimension ref="A1:AQ68"/>
  <sheetViews>
    <sheetView workbookViewId="0"/>
  </sheetViews>
  <sheetFormatPr defaultRowHeight="14.4"/>
  <cols>
    <col min="1" max="3" width="7.5546875" customWidth="1"/>
    <col min="4" max="4" width="6.5546875" customWidth="1"/>
    <col min="5" max="5" width="17.88671875" customWidth="1"/>
    <col min="6" max="6" width="13" customWidth="1"/>
    <col min="7" max="11" width="13.44140625" customWidth="1"/>
    <col min="14" max="14" width="17" customWidth="1"/>
    <col min="15" max="15" width="14" customWidth="1"/>
    <col min="17" max="17" width="14.33203125" customWidth="1"/>
    <col min="18" max="18" width="12.88671875" customWidth="1"/>
  </cols>
  <sheetData>
    <row r="1" spans="1:18">
      <c r="A1" s="1" t="s">
        <v>815</v>
      </c>
      <c r="E1" t="s">
        <v>820</v>
      </c>
    </row>
    <row r="3" spans="1:18">
      <c r="A3" s="231" t="s">
        <v>783</v>
      </c>
      <c r="B3" s="231" t="s">
        <v>784</v>
      </c>
      <c r="C3" s="231" t="s">
        <v>777</v>
      </c>
      <c r="E3" t="s">
        <v>691</v>
      </c>
      <c r="N3" t="s">
        <v>1170</v>
      </c>
    </row>
    <row r="4" spans="1:18" ht="15" thickBot="1">
      <c r="A4" s="193">
        <v>7</v>
      </c>
      <c r="B4" s="193">
        <v>5</v>
      </c>
      <c r="C4" s="193">
        <v>65</v>
      </c>
    </row>
    <row r="5" spans="1:18">
      <c r="A5" s="193">
        <v>3</v>
      </c>
      <c r="B5" s="193">
        <v>7</v>
      </c>
      <c r="C5" s="193">
        <v>38</v>
      </c>
      <c r="E5" s="35" t="s">
        <v>692</v>
      </c>
      <c r="F5" s="35"/>
      <c r="N5" s="231" t="s">
        <v>777</v>
      </c>
      <c r="O5" s="260" t="s">
        <v>785</v>
      </c>
      <c r="Q5" s="1577" t="s">
        <v>845</v>
      </c>
      <c r="R5" s="1577"/>
    </row>
    <row r="6" spans="1:18">
      <c r="A6" s="193">
        <v>5</v>
      </c>
      <c r="B6" s="193">
        <v>8</v>
      </c>
      <c r="C6" s="193">
        <v>51</v>
      </c>
      <c r="E6" s="28" t="s">
        <v>693</v>
      </c>
      <c r="F6">
        <f>SQRT(F7)</f>
        <v>0.92233072739359589</v>
      </c>
      <c r="N6" s="193">
        <f>C4</f>
        <v>65</v>
      </c>
      <c r="O6" s="28">
        <f>F26</f>
        <v>54.810499624828537</v>
      </c>
      <c r="Q6" t="s">
        <v>816</v>
      </c>
      <c r="R6">
        <f>CORREL(C4:C14,A4:A14)</f>
        <v>0.62453892636382968</v>
      </c>
    </row>
    <row r="7" spans="1:18">
      <c r="A7" s="193">
        <v>8</v>
      </c>
      <c r="B7" s="193">
        <v>1</v>
      </c>
      <c r="C7" s="193">
        <v>38</v>
      </c>
      <c r="E7" s="28" t="s">
        <v>686</v>
      </c>
      <c r="F7">
        <f>G14/G16</f>
        <v>0.85069397069439978</v>
      </c>
      <c r="N7" s="193">
        <f t="shared" ref="N7:N16" si="0">C5</f>
        <v>38</v>
      </c>
      <c r="O7" s="28">
        <f t="shared" ref="O7:O16" si="1">F27</f>
        <v>42.746177132655433</v>
      </c>
      <c r="Q7" t="s">
        <v>817</v>
      </c>
      <c r="R7">
        <f>CORREL(C4:C14,B4:B14)</f>
        <v>0.43118646126661814</v>
      </c>
    </row>
    <row r="8" spans="1:18">
      <c r="A8" s="193">
        <v>9</v>
      </c>
      <c r="B8" s="193">
        <v>3</v>
      </c>
      <c r="C8" s="193">
        <v>55</v>
      </c>
      <c r="E8" s="28" t="s">
        <v>694</v>
      </c>
      <c r="F8">
        <f>1-(1-F7)*(F10-1)/(F10-F14-1)</f>
        <v>0.8133674633679997</v>
      </c>
      <c r="N8" s="193">
        <f t="shared" si="0"/>
        <v>51</v>
      </c>
      <c r="O8" s="28">
        <f t="shared" si="1"/>
        <v>56.295169344614322</v>
      </c>
      <c r="Q8" t="s">
        <v>818</v>
      </c>
      <c r="R8">
        <f>CORREL(A4:A14,B4:B14)</f>
        <v>-0.33394197307213463</v>
      </c>
    </row>
    <row r="9" spans="1:18">
      <c r="A9" s="193">
        <v>5</v>
      </c>
      <c r="B9" s="193">
        <v>4</v>
      </c>
      <c r="C9" s="193">
        <v>43</v>
      </c>
      <c r="E9" s="28" t="s">
        <v>77</v>
      </c>
      <c r="F9">
        <f>SQRT(H15)</f>
        <v>5.8880844651320965</v>
      </c>
      <c r="N9" s="193">
        <f t="shared" si="0"/>
        <v>38</v>
      </c>
      <c r="O9" s="28">
        <f t="shared" si="1"/>
        <v>44.672126057595207</v>
      </c>
    </row>
    <row r="10" spans="1:18" ht="15" thickBot="1">
      <c r="A10" s="193">
        <v>4</v>
      </c>
      <c r="B10" s="193">
        <v>0</v>
      </c>
      <c r="C10" s="193">
        <v>25</v>
      </c>
      <c r="E10" s="31" t="s">
        <v>224</v>
      </c>
      <c r="F10" s="31">
        <f>COUNT(A4:A14)</f>
        <v>11</v>
      </c>
      <c r="N10" s="193">
        <f t="shared" si="0"/>
        <v>55</v>
      </c>
      <c r="O10" s="28">
        <f t="shared" si="1"/>
        <v>57.08424538797891</v>
      </c>
      <c r="Q10" t="s">
        <v>693</v>
      </c>
      <c r="R10">
        <f>SQRT((R6^2+R7^2-2*R6*R7*R8)/(1-R8^2))</f>
        <v>0.92233072739359701</v>
      </c>
    </row>
    <row r="11" spans="1:18">
      <c r="A11" s="193">
        <v>2</v>
      </c>
      <c r="B11" s="193">
        <v>6</v>
      </c>
      <c r="C11" s="193">
        <v>33</v>
      </c>
      <c r="N11" s="193">
        <f t="shared" si="0"/>
        <v>43</v>
      </c>
      <c r="O11" s="28">
        <f t="shared" si="1"/>
        <v>41.261507412869634</v>
      </c>
    </row>
    <row r="12" spans="1:18" ht="15" thickBot="1">
      <c r="A12" s="193">
        <v>8</v>
      </c>
      <c r="B12" s="193">
        <v>7</v>
      </c>
      <c r="C12" s="193">
        <v>71</v>
      </c>
      <c r="E12" t="s">
        <v>695</v>
      </c>
      <c r="N12" s="193">
        <f t="shared" si="0"/>
        <v>25</v>
      </c>
      <c r="O12" s="28">
        <f t="shared" si="1"/>
        <v>21.332557116613586</v>
      </c>
    </row>
    <row r="13" spans="1:18">
      <c r="A13" s="193">
        <v>6</v>
      </c>
      <c r="B13" s="193">
        <v>4</v>
      </c>
      <c r="C13" s="193">
        <v>51</v>
      </c>
      <c r="E13" s="27"/>
      <c r="F13" s="27" t="s">
        <v>186</v>
      </c>
      <c r="G13" s="27" t="s">
        <v>578</v>
      </c>
      <c r="H13" s="27" t="s">
        <v>641</v>
      </c>
      <c r="I13" s="27" t="s">
        <v>388</v>
      </c>
      <c r="J13" s="27" t="s">
        <v>698</v>
      </c>
      <c r="N13" s="193">
        <f t="shared" si="0"/>
        <v>33</v>
      </c>
      <c r="O13" s="28">
        <f t="shared" si="1"/>
        <v>34.092473285207895</v>
      </c>
    </row>
    <row r="14" spans="1:18">
      <c r="A14" s="230">
        <v>9</v>
      </c>
      <c r="B14" s="230">
        <v>2</v>
      </c>
      <c r="C14" s="230">
        <v>49</v>
      </c>
      <c r="E14" s="28" t="s">
        <v>623</v>
      </c>
      <c r="F14">
        <f>COUNT(A4:B4)</f>
        <v>2</v>
      </c>
      <c r="G14" s="28">
        <f>DEVSQ('Mult Reg 2'!M4:M14)</f>
        <v>1580.2800542881239</v>
      </c>
      <c r="H14" s="28">
        <f>G14/F14</f>
        <v>790.14002714406195</v>
      </c>
      <c r="I14" s="28">
        <f>H14/H15</f>
        <v>22.790612667173569</v>
      </c>
      <c r="J14">
        <f>FDIST(I14,F14,F15)</f>
        <v>4.9694621069854385E-4</v>
      </c>
      <c r="N14" s="193">
        <f t="shared" si="0"/>
        <v>71</v>
      </c>
      <c r="O14" s="28">
        <f t="shared" si="1"/>
        <v>67.222618955212241</v>
      </c>
    </row>
    <row r="15" spans="1:18">
      <c r="E15" s="28" t="s">
        <v>696</v>
      </c>
      <c r="F15" s="28">
        <f>F16-F14</f>
        <v>8</v>
      </c>
      <c r="G15" s="28">
        <f>G16-G14</f>
        <v>277.35630934823939</v>
      </c>
      <c r="H15" s="28">
        <f>G15/F15</f>
        <v>34.669538668529924</v>
      </c>
      <c r="I15" s="28"/>
      <c r="J15" s="28"/>
      <c r="N15" s="193">
        <f t="shared" si="0"/>
        <v>51</v>
      </c>
      <c r="O15" s="28">
        <f t="shared" si="1"/>
        <v>46.156795777380999</v>
      </c>
    </row>
    <row r="16" spans="1:18" ht="15" thickBot="1">
      <c r="E16" s="31" t="s">
        <v>12</v>
      </c>
      <c r="F16" s="31">
        <f>F10-1</f>
        <v>10</v>
      </c>
      <c r="G16" s="31">
        <f>DEVSQ(C4:C14)</f>
        <v>1857.6363636363633</v>
      </c>
      <c r="H16" s="31"/>
      <c r="I16" s="31"/>
      <c r="J16" s="31"/>
      <c r="N16" s="262">
        <f t="shared" si="0"/>
        <v>49</v>
      </c>
      <c r="O16" s="263">
        <f t="shared" si="1"/>
        <v>53.325829905042738</v>
      </c>
    </row>
    <row r="17" spans="5:43" ht="15" thickBot="1">
      <c r="N17" s="91" t="s">
        <v>693</v>
      </c>
      <c r="O17">
        <f>CORREL(N6:N16,O6:O16)</f>
        <v>0.92233072739359689</v>
      </c>
    </row>
    <row r="18" spans="5:43">
      <c r="E18" s="27"/>
      <c r="F18" s="27" t="s">
        <v>699</v>
      </c>
      <c r="G18" s="27" t="s">
        <v>77</v>
      </c>
      <c r="H18" s="27" t="s">
        <v>229</v>
      </c>
      <c r="I18" s="27" t="s">
        <v>367</v>
      </c>
      <c r="J18" s="27" t="s">
        <v>700</v>
      </c>
      <c r="K18" s="27" t="s">
        <v>701</v>
      </c>
    </row>
    <row r="19" spans="5:43" ht="16.8">
      <c r="E19" s="28" t="s">
        <v>697</v>
      </c>
      <c r="F19" s="28">
        <f>'Mult Reg 2'!K4</f>
        <v>1.7514036585681367</v>
      </c>
      <c r="G19" s="28">
        <f>SQRT($H$15*'Mult Reg 2'!E17)</f>
        <v>6.9602026710153257</v>
      </c>
      <c r="H19" s="28">
        <f>F19/G19</f>
        <v>0.25163112934363002</v>
      </c>
      <c r="I19" s="28">
        <f>TDIST(ABS(H19),$F$15,2)</f>
        <v>0.8076696241453678</v>
      </c>
      <c r="J19" s="28">
        <f>F19-TINV(0.05,$F$15)*G19</f>
        <v>-14.298852482652293</v>
      </c>
      <c r="K19" s="28">
        <f>F19+TINV(0.05,$F$15)*G19</f>
        <v>17.801659799788567</v>
      </c>
      <c r="N19" s="289" t="s">
        <v>844</v>
      </c>
      <c r="O19">
        <f>G16*(1-F7)</f>
        <v>277.35630934823951</v>
      </c>
    </row>
    <row r="20" spans="5:43">
      <c r="E20" s="28" t="s">
        <v>783</v>
      </c>
      <c r="F20" s="28">
        <f>'Mult Reg 2'!K5</f>
        <v>4.8952883645113623</v>
      </c>
      <c r="G20" s="28">
        <f>SQRT($H$15*'Mult Reg 2'!F18)</f>
        <v>0.82022977846273259</v>
      </c>
      <c r="H20" s="28">
        <f>F20/G20</f>
        <v>5.9681914666473928</v>
      </c>
      <c r="I20" s="28">
        <f>TDIST(ABS(H20),$F$15,2)</f>
        <v>3.3508360543827521E-4</v>
      </c>
      <c r="J20" s="28">
        <f>F20-TINV(0.05,$F$15)*G20</f>
        <v>3.003835103558703</v>
      </c>
      <c r="K20" s="28">
        <f>F20+TINV(0.05,$F$15)*G20</f>
        <v>6.7867416254640212</v>
      </c>
    </row>
    <row r="21" spans="5:43" ht="15" thickBot="1">
      <c r="E21" s="31" t="s">
        <v>784</v>
      </c>
      <c r="F21" s="31">
        <f>'Mult Reg 2'!K6</f>
        <v>3.7584154829361722</v>
      </c>
      <c r="G21" s="31">
        <f>SQRT($H$15*'Mult Reg 2'!G19)</f>
        <v>0.75651098735034072</v>
      </c>
      <c r="H21" s="31">
        <f>F21/G21</f>
        <v>4.9680910730720793</v>
      </c>
      <c r="I21" s="31">
        <f>TDIST(ABS(H21),$F$15,2)</f>
        <v>1.0957202090976868E-3</v>
      </c>
      <c r="J21" s="31">
        <f>F21-TINV(0.05,$F$15)*G21</f>
        <v>2.0138980177788994</v>
      </c>
      <c r="K21" s="31">
        <f>F21+TINV(0.05,$F$15)*G21</f>
        <v>5.502932948093445</v>
      </c>
    </row>
    <row r="23" spans="5:43">
      <c r="E23" t="s">
        <v>702</v>
      </c>
      <c r="J23" t="s">
        <v>706</v>
      </c>
      <c r="AC23" t="s">
        <v>209</v>
      </c>
    </row>
    <row r="24" spans="5:43" ht="15" thickBot="1"/>
    <row r="25" spans="5:43">
      <c r="E25" s="27" t="s">
        <v>703</v>
      </c>
      <c r="F25" s="27" t="s">
        <v>785</v>
      </c>
      <c r="G25" s="27" t="s">
        <v>704</v>
      </c>
      <c r="H25" s="27" t="s">
        <v>821</v>
      </c>
      <c r="J25" s="27" t="s">
        <v>707</v>
      </c>
      <c r="K25" s="27" t="s">
        <v>777</v>
      </c>
      <c r="AC25" t="s">
        <v>88</v>
      </c>
      <c r="AD25">
        <f>COUNT(C4:C14)</f>
        <v>11</v>
      </c>
      <c r="AE25">
        <f>2*AD25</f>
        <v>22</v>
      </c>
    </row>
    <row r="26" spans="5:43">
      <c r="E26" s="28">
        <v>1</v>
      </c>
      <c r="F26" s="28">
        <f>$F$19+A4*$F$20+B4*$F$21</f>
        <v>54.810499624828537</v>
      </c>
      <c r="G26" s="28">
        <f>C4-F26</f>
        <v>10.189500375171463</v>
      </c>
      <c r="H26" s="28">
        <f>G26/STDEV($G$26:$G$36)</f>
        <v>1.9347901368065681</v>
      </c>
      <c r="J26">
        <f>100/(2*$E$36)</f>
        <v>4.5454545454545459</v>
      </c>
      <c r="K26" s="28" t="e">
        <f t="array" aca="1" ref="K26:K36" ca="1">[1]!QSORT(C4:C14)</f>
        <v>#NAME?</v>
      </c>
      <c r="AC26" t="s">
        <v>76</v>
      </c>
      <c r="AD26">
        <f>AVERAGE(C4:C14)</f>
        <v>47.18181818181818</v>
      </c>
    </row>
    <row r="27" spans="5:43">
      <c r="E27" s="28">
        <v>2</v>
      </c>
      <c r="F27" s="28">
        <f t="shared" ref="F27:F36" si="2">$F$19+A5*$F$20+B5*$F$21</f>
        <v>42.746177132655433</v>
      </c>
      <c r="G27" s="28">
        <f t="shared" ref="G27:G36" si="3">C5-F27</f>
        <v>-4.7461771326554327</v>
      </c>
      <c r="H27" s="28">
        <f t="shared" ref="H27:H36" si="4">G27/STDEV($G$26:$G$36)</f>
        <v>-0.90120774971207429</v>
      </c>
      <c r="J27">
        <f>J26+100/$E$36</f>
        <v>13.636363636363637</v>
      </c>
      <c r="K27" s="28" t="e">
        <f ca="1"/>
        <v>#NAME?</v>
      </c>
      <c r="AC27" t="s">
        <v>182</v>
      </c>
      <c r="AD27">
        <f>STDEV(C4:C14)</f>
        <v>13.629513430920284</v>
      </c>
      <c r="AP27" t="s">
        <v>1155</v>
      </c>
    </row>
    <row r="28" spans="5:43">
      <c r="E28" s="28">
        <v>3</v>
      </c>
      <c r="F28" s="28">
        <f t="shared" si="2"/>
        <v>56.295169344614322</v>
      </c>
      <c r="G28" s="28">
        <f t="shared" si="3"/>
        <v>-5.2951693446143224</v>
      </c>
      <c r="H28" s="28">
        <f t="shared" si="4"/>
        <v>-1.0054508114690455</v>
      </c>
      <c r="J28">
        <f t="shared" ref="J28:J36" si="5">J27+100/$E$36</f>
        <v>22.727272727272727</v>
      </c>
      <c r="K28" s="28" t="e">
        <f ca="1"/>
        <v>#NAME?</v>
      </c>
    </row>
    <row r="29" spans="5:43">
      <c r="E29" s="28">
        <v>4</v>
      </c>
      <c r="F29" s="28">
        <f t="shared" si="2"/>
        <v>44.672126057595207</v>
      </c>
      <c r="G29" s="28">
        <f t="shared" si="3"/>
        <v>-6.6721260575952073</v>
      </c>
      <c r="H29" s="28">
        <f t="shared" si="4"/>
        <v>-1.2669084069343362</v>
      </c>
      <c r="J29">
        <f t="shared" si="5"/>
        <v>31.81818181818182</v>
      </c>
      <c r="K29" s="28" t="e">
        <f ca="1"/>
        <v>#NAME?</v>
      </c>
      <c r="AC29" t="s">
        <v>210</v>
      </c>
      <c r="AD29" t="s">
        <v>211</v>
      </c>
      <c r="AE29" t="s">
        <v>555</v>
      </c>
      <c r="AF29" t="s">
        <v>212</v>
      </c>
      <c r="AP29" t="s">
        <v>555</v>
      </c>
      <c r="AQ29" t="s">
        <v>211</v>
      </c>
    </row>
    <row r="30" spans="5:43">
      <c r="E30" s="28">
        <v>5</v>
      </c>
      <c r="F30" s="28">
        <f t="shared" si="2"/>
        <v>57.08424538797891</v>
      </c>
      <c r="G30" s="28">
        <f t="shared" si="3"/>
        <v>-2.0842453879789105</v>
      </c>
      <c r="H30" s="28">
        <f t="shared" si="4"/>
        <v>-0.39575811088562007</v>
      </c>
      <c r="J30">
        <f t="shared" si="5"/>
        <v>40.909090909090914</v>
      </c>
      <c r="K30" s="28" t="e">
        <f ca="1"/>
        <v>#NAME?</v>
      </c>
      <c r="AC30">
        <v>1</v>
      </c>
      <c r="AD30">
        <v>25</v>
      </c>
      <c r="AE30">
        <f t="shared" ref="AE30:AE40" si="6">NORMSINV(AC30/AE$25)</f>
        <v>-1.6906216295848977</v>
      </c>
      <c r="AF30">
        <f t="shared" ref="AF30:AF40" si="7">STANDARDIZE(AD30,AD$26,AD$27)</f>
        <v>-1.6274842307646806</v>
      </c>
      <c r="AP30">
        <f t="shared" ref="AP30:AP40" si="8">AE30</f>
        <v>-1.6906216295848977</v>
      </c>
      <c r="AQ30">
        <f t="shared" ref="AQ30:AQ40" si="9">AD30</f>
        <v>25</v>
      </c>
    </row>
    <row r="31" spans="5:43">
      <c r="E31" s="28">
        <v>6</v>
      </c>
      <c r="F31" s="28">
        <f t="shared" si="2"/>
        <v>41.261507412869634</v>
      </c>
      <c r="G31" s="28">
        <f t="shared" si="3"/>
        <v>1.7384925871303665</v>
      </c>
      <c r="H31" s="28">
        <f t="shared" si="4"/>
        <v>0.33010630419988235</v>
      </c>
      <c r="J31">
        <f t="shared" si="5"/>
        <v>50.000000000000007</v>
      </c>
      <c r="K31" s="28" t="e">
        <f ca="1"/>
        <v>#NAME?</v>
      </c>
      <c r="AC31">
        <f>AC30+2</f>
        <v>3</v>
      </c>
      <c r="AD31">
        <v>33</v>
      </c>
      <c r="AE31">
        <f t="shared" si="6"/>
        <v>-1.096803562093513</v>
      </c>
      <c r="AF31">
        <f t="shared" si="7"/>
        <v>-1.0405227049151236</v>
      </c>
      <c r="AP31">
        <f t="shared" si="8"/>
        <v>-1.096803562093513</v>
      </c>
      <c r="AQ31">
        <f t="shared" si="9"/>
        <v>33</v>
      </c>
    </row>
    <row r="32" spans="5:43">
      <c r="E32" s="28">
        <v>7</v>
      </c>
      <c r="F32" s="28">
        <f t="shared" si="2"/>
        <v>21.332557116613586</v>
      </c>
      <c r="G32" s="28">
        <f t="shared" si="3"/>
        <v>3.6674428833864141</v>
      </c>
      <c r="H32" s="28">
        <f t="shared" si="4"/>
        <v>0.69637686410685007</v>
      </c>
      <c r="J32">
        <f t="shared" si="5"/>
        <v>59.090909090909101</v>
      </c>
      <c r="K32" s="28" t="e">
        <f ca="1"/>
        <v>#NAME?</v>
      </c>
      <c r="AC32">
        <f t="shared" ref="AC32:AC40" si="10">AC31+2</f>
        <v>5</v>
      </c>
      <c r="AD32">
        <v>38</v>
      </c>
      <c r="AE32">
        <f t="shared" si="6"/>
        <v>-0.74785859476330196</v>
      </c>
      <c r="AF32">
        <f t="shared" si="7"/>
        <v>-0.67367175125915046</v>
      </c>
      <c r="AP32">
        <f t="shared" si="8"/>
        <v>-0.74785859476330196</v>
      </c>
      <c r="AQ32">
        <f t="shared" si="9"/>
        <v>38</v>
      </c>
    </row>
    <row r="33" spans="5:43">
      <c r="E33" s="28">
        <v>8</v>
      </c>
      <c r="F33" s="28">
        <f t="shared" si="2"/>
        <v>34.092473285207895</v>
      </c>
      <c r="G33" s="28">
        <f t="shared" si="3"/>
        <v>-1.0924732852078947</v>
      </c>
      <c r="H33" s="28">
        <f t="shared" si="4"/>
        <v>-0.20743966427395469</v>
      </c>
      <c r="J33">
        <f t="shared" si="5"/>
        <v>68.181818181818187</v>
      </c>
      <c r="K33" s="28" t="e">
        <f ca="1"/>
        <v>#NAME?</v>
      </c>
      <c r="AC33">
        <f t="shared" si="10"/>
        <v>7</v>
      </c>
      <c r="AD33">
        <v>38</v>
      </c>
      <c r="AE33">
        <f t="shared" si="6"/>
        <v>-0.47278912099226744</v>
      </c>
      <c r="AF33">
        <f t="shared" si="7"/>
        <v>-0.67367175125915046</v>
      </c>
      <c r="AP33">
        <f t="shared" si="8"/>
        <v>-0.47278912099226744</v>
      </c>
      <c r="AQ33">
        <f t="shared" si="9"/>
        <v>38</v>
      </c>
    </row>
    <row r="34" spans="5:43">
      <c r="E34" s="28">
        <v>9</v>
      </c>
      <c r="F34" s="28">
        <f t="shared" si="2"/>
        <v>67.222618955212241</v>
      </c>
      <c r="G34" s="28">
        <f t="shared" si="3"/>
        <v>3.7773810447877594</v>
      </c>
      <c r="H34" s="28">
        <f t="shared" si="4"/>
        <v>0.71725200641081133</v>
      </c>
      <c r="J34">
        <f t="shared" si="5"/>
        <v>77.27272727272728</v>
      </c>
      <c r="K34" s="28" t="e">
        <f ca="1"/>
        <v>#NAME?</v>
      </c>
      <c r="AC34">
        <f t="shared" si="10"/>
        <v>9</v>
      </c>
      <c r="AD34">
        <v>43</v>
      </c>
      <c r="AE34">
        <f t="shared" si="6"/>
        <v>-0.22988411757923208</v>
      </c>
      <c r="AF34">
        <f t="shared" si="7"/>
        <v>-0.30682079760317738</v>
      </c>
      <c r="AP34">
        <f t="shared" si="8"/>
        <v>-0.22988411757923208</v>
      </c>
      <c r="AQ34">
        <f t="shared" si="9"/>
        <v>43</v>
      </c>
    </row>
    <row r="35" spans="5:43">
      <c r="E35" s="28">
        <v>10</v>
      </c>
      <c r="F35" s="28">
        <f t="shared" si="2"/>
        <v>46.156795777380999</v>
      </c>
      <c r="G35" s="28">
        <f t="shared" si="3"/>
        <v>4.8432042226190006</v>
      </c>
      <c r="H35" s="28">
        <f t="shared" si="4"/>
        <v>0.91963132788102797</v>
      </c>
      <c r="J35">
        <f t="shared" si="5"/>
        <v>86.363636363636374</v>
      </c>
      <c r="K35" s="28" t="e">
        <f ca="1"/>
        <v>#NAME?</v>
      </c>
      <c r="AC35">
        <f t="shared" si="10"/>
        <v>11</v>
      </c>
      <c r="AD35">
        <v>49</v>
      </c>
      <c r="AE35">
        <f t="shared" si="6"/>
        <v>0</v>
      </c>
      <c r="AF35">
        <f t="shared" si="7"/>
        <v>0.13340034678399038</v>
      </c>
      <c r="AP35">
        <f t="shared" si="8"/>
        <v>0</v>
      </c>
      <c r="AQ35">
        <f t="shared" si="9"/>
        <v>49</v>
      </c>
    </row>
    <row r="36" spans="5:43" ht="15" thickBot="1">
      <c r="E36" s="31">
        <v>11</v>
      </c>
      <c r="F36" s="31">
        <f t="shared" si="2"/>
        <v>53.325829905042738</v>
      </c>
      <c r="G36" s="31">
        <f t="shared" si="3"/>
        <v>-4.3258299050427382</v>
      </c>
      <c r="H36" s="31">
        <f t="shared" si="4"/>
        <v>-0.82139189613001462</v>
      </c>
      <c r="J36" s="31">
        <f t="shared" si="5"/>
        <v>95.454545454545467</v>
      </c>
      <c r="K36" s="31" t="e">
        <f ca="1"/>
        <v>#NAME?</v>
      </c>
      <c r="AC36">
        <f t="shared" si="10"/>
        <v>13</v>
      </c>
      <c r="AD36">
        <v>51</v>
      </c>
      <c r="AE36">
        <f t="shared" si="6"/>
        <v>0.22988411757923222</v>
      </c>
      <c r="AF36">
        <f t="shared" si="7"/>
        <v>0.28014072824637959</v>
      </c>
      <c r="AP36">
        <f t="shared" si="8"/>
        <v>0.22988411757923222</v>
      </c>
      <c r="AQ36">
        <f t="shared" si="9"/>
        <v>51</v>
      </c>
    </row>
    <row r="37" spans="5:43">
      <c r="AC37">
        <f t="shared" si="10"/>
        <v>15</v>
      </c>
      <c r="AD37">
        <v>51</v>
      </c>
      <c r="AE37">
        <f t="shared" si="6"/>
        <v>0.47278912099226728</v>
      </c>
      <c r="AF37">
        <f t="shared" si="7"/>
        <v>0.28014072824637959</v>
      </c>
      <c r="AP37">
        <f t="shared" si="8"/>
        <v>0.47278912099226728</v>
      </c>
      <c r="AQ37">
        <f t="shared" si="9"/>
        <v>51</v>
      </c>
    </row>
    <row r="38" spans="5:43">
      <c r="AC38">
        <f t="shared" si="10"/>
        <v>17</v>
      </c>
      <c r="AD38">
        <v>55</v>
      </c>
      <c r="AE38">
        <f t="shared" si="6"/>
        <v>0.74785859476330196</v>
      </c>
      <c r="AF38">
        <f t="shared" si="7"/>
        <v>0.57362149117115813</v>
      </c>
      <c r="AP38">
        <f t="shared" si="8"/>
        <v>0.74785859476330196</v>
      </c>
      <c r="AQ38">
        <f t="shared" si="9"/>
        <v>55</v>
      </c>
    </row>
    <row r="39" spans="5:43">
      <c r="F39" t="s">
        <v>1154</v>
      </c>
      <c r="AC39">
        <f t="shared" si="10"/>
        <v>19</v>
      </c>
      <c r="AD39">
        <v>65</v>
      </c>
      <c r="AE39">
        <f t="shared" si="6"/>
        <v>1.096803562093513</v>
      </c>
      <c r="AF39">
        <f t="shared" si="7"/>
        <v>1.3073233984831043</v>
      </c>
      <c r="AP39">
        <f t="shared" si="8"/>
        <v>1.096803562093513</v>
      </c>
      <c r="AQ39">
        <f t="shared" si="9"/>
        <v>65</v>
      </c>
    </row>
    <row r="40" spans="5:43">
      <c r="AC40">
        <f t="shared" si="10"/>
        <v>21</v>
      </c>
      <c r="AD40">
        <v>71</v>
      </c>
      <c r="AE40">
        <f t="shared" si="6"/>
        <v>1.6906216295848984</v>
      </c>
      <c r="AF40">
        <f t="shared" si="7"/>
        <v>1.7475445428702721</v>
      </c>
      <c r="AP40">
        <f t="shared" si="8"/>
        <v>1.6906216295848984</v>
      </c>
      <c r="AQ40">
        <f t="shared" si="9"/>
        <v>71</v>
      </c>
    </row>
    <row r="41" spans="5:43">
      <c r="F41" s="231" t="s">
        <v>783</v>
      </c>
      <c r="G41" s="231" t="s">
        <v>704</v>
      </c>
      <c r="I41" s="231" t="s">
        <v>784</v>
      </c>
      <c r="J41" s="231" t="s">
        <v>704</v>
      </c>
    </row>
    <row r="42" spans="5:43">
      <c r="F42" s="422">
        <f>A4</f>
        <v>7</v>
      </c>
      <c r="G42">
        <f>G26</f>
        <v>10.189500375171463</v>
      </c>
      <c r="I42" s="422">
        <f>B4</f>
        <v>5</v>
      </c>
      <c r="J42">
        <f>G42</f>
        <v>10.189500375171463</v>
      </c>
    </row>
    <row r="43" spans="5:43">
      <c r="F43" s="422">
        <f t="shared" ref="F43:F52" si="11">A5</f>
        <v>3</v>
      </c>
      <c r="G43">
        <f t="shared" ref="G43:G52" si="12">G27</f>
        <v>-4.7461771326554327</v>
      </c>
      <c r="I43" s="422">
        <f t="shared" ref="I43:I52" si="13">B5</f>
        <v>7</v>
      </c>
      <c r="J43">
        <f t="shared" ref="J43:J52" si="14">G43</f>
        <v>-4.7461771326554327</v>
      </c>
    </row>
    <row r="44" spans="5:43">
      <c r="F44" s="422">
        <f t="shared" si="11"/>
        <v>5</v>
      </c>
      <c r="G44">
        <f t="shared" si="12"/>
        <v>-5.2951693446143224</v>
      </c>
      <c r="I44" s="422">
        <f t="shared" si="13"/>
        <v>8</v>
      </c>
      <c r="J44">
        <f t="shared" si="14"/>
        <v>-5.2951693446143224</v>
      </c>
    </row>
    <row r="45" spans="5:43">
      <c r="F45" s="422">
        <f t="shared" si="11"/>
        <v>8</v>
      </c>
      <c r="G45">
        <f t="shared" si="12"/>
        <v>-6.6721260575952073</v>
      </c>
      <c r="I45" s="422">
        <f t="shared" si="13"/>
        <v>1</v>
      </c>
      <c r="J45">
        <f t="shared" si="14"/>
        <v>-6.6721260575952073</v>
      </c>
    </row>
    <row r="46" spans="5:43">
      <c r="F46" s="422">
        <f t="shared" si="11"/>
        <v>9</v>
      </c>
      <c r="G46">
        <f t="shared" si="12"/>
        <v>-2.0842453879789105</v>
      </c>
      <c r="I46" s="422">
        <f t="shared" si="13"/>
        <v>3</v>
      </c>
      <c r="J46">
        <f t="shared" si="14"/>
        <v>-2.0842453879789105</v>
      </c>
    </row>
    <row r="47" spans="5:43">
      <c r="F47" s="422">
        <f t="shared" si="11"/>
        <v>5</v>
      </c>
      <c r="G47">
        <f t="shared" si="12"/>
        <v>1.7384925871303665</v>
      </c>
      <c r="I47" s="422">
        <f t="shared" si="13"/>
        <v>4</v>
      </c>
      <c r="J47">
        <f t="shared" si="14"/>
        <v>1.7384925871303665</v>
      </c>
    </row>
    <row r="48" spans="5:43">
      <c r="F48" s="422">
        <f t="shared" si="11"/>
        <v>4</v>
      </c>
      <c r="G48">
        <f t="shared" si="12"/>
        <v>3.6674428833864141</v>
      </c>
      <c r="I48" s="422">
        <f t="shared" si="13"/>
        <v>0</v>
      </c>
      <c r="J48">
        <f t="shared" si="14"/>
        <v>3.6674428833864141</v>
      </c>
    </row>
    <row r="49" spans="6:12">
      <c r="F49" s="422">
        <f t="shared" si="11"/>
        <v>2</v>
      </c>
      <c r="G49">
        <f t="shared" si="12"/>
        <v>-1.0924732852078947</v>
      </c>
      <c r="I49" s="422">
        <f t="shared" si="13"/>
        <v>6</v>
      </c>
      <c r="J49">
        <f t="shared" si="14"/>
        <v>-1.0924732852078947</v>
      </c>
    </row>
    <row r="50" spans="6:12">
      <c r="F50" s="422">
        <f t="shared" si="11"/>
        <v>8</v>
      </c>
      <c r="G50">
        <f t="shared" si="12"/>
        <v>3.7773810447877594</v>
      </c>
      <c r="I50" s="422">
        <f t="shared" si="13"/>
        <v>7</v>
      </c>
      <c r="J50">
        <f t="shared" si="14"/>
        <v>3.7773810447877594</v>
      </c>
    </row>
    <row r="51" spans="6:12">
      <c r="F51" s="422">
        <f t="shared" si="11"/>
        <v>6</v>
      </c>
      <c r="G51">
        <f t="shared" si="12"/>
        <v>4.8432042226190006</v>
      </c>
      <c r="I51" s="422">
        <f t="shared" si="13"/>
        <v>4</v>
      </c>
      <c r="J51">
        <f t="shared" si="14"/>
        <v>4.8432042226190006</v>
      </c>
    </row>
    <row r="52" spans="6:12">
      <c r="F52" s="423">
        <f t="shared" si="11"/>
        <v>9</v>
      </c>
      <c r="G52" s="451">
        <f t="shared" si="12"/>
        <v>-4.3258299050427382</v>
      </c>
      <c r="I52" s="423">
        <f t="shared" si="13"/>
        <v>2</v>
      </c>
      <c r="J52" s="451">
        <f t="shared" si="14"/>
        <v>-4.3258299050427382</v>
      </c>
    </row>
    <row r="55" spans="6:12">
      <c r="F55" t="s">
        <v>1157</v>
      </c>
    </row>
    <row r="57" spans="6:12">
      <c r="F57" s="231" t="s">
        <v>783</v>
      </c>
      <c r="G57" s="231" t="s">
        <v>777</v>
      </c>
      <c r="H57" s="231" t="s">
        <v>1158</v>
      </c>
      <c r="J57" s="231" t="s">
        <v>784</v>
      </c>
      <c r="K57" s="231" t="s">
        <v>777</v>
      </c>
      <c r="L57" s="231" t="s">
        <v>1158</v>
      </c>
    </row>
    <row r="58" spans="6:12">
      <c r="F58" s="422">
        <f>A4</f>
        <v>7</v>
      </c>
      <c r="G58" s="422">
        <f>C4</f>
        <v>65</v>
      </c>
      <c r="H58">
        <f>F26</f>
        <v>54.810499624828537</v>
      </c>
      <c r="J58" s="422">
        <f t="shared" ref="J58:J68" si="15">B4</f>
        <v>5</v>
      </c>
      <c r="K58" s="422">
        <f t="shared" ref="K58:K68" si="16">C4</f>
        <v>65</v>
      </c>
      <c r="L58">
        <f>H58</f>
        <v>54.810499624828537</v>
      </c>
    </row>
    <row r="59" spans="6:12">
      <c r="F59" s="422">
        <f t="shared" ref="F59:F68" si="17">A5</f>
        <v>3</v>
      </c>
      <c r="G59" s="422">
        <f t="shared" ref="G59:G68" si="18">C5</f>
        <v>38</v>
      </c>
      <c r="H59">
        <f t="shared" ref="H59:H68" si="19">F27</f>
        <v>42.746177132655433</v>
      </c>
      <c r="J59" s="422">
        <f t="shared" si="15"/>
        <v>7</v>
      </c>
      <c r="K59" s="422">
        <f t="shared" si="16"/>
        <v>38</v>
      </c>
      <c r="L59">
        <f t="shared" ref="L59:L68" si="20">H59</f>
        <v>42.746177132655433</v>
      </c>
    </row>
    <row r="60" spans="6:12">
      <c r="F60" s="422">
        <f t="shared" si="17"/>
        <v>5</v>
      </c>
      <c r="G60" s="422">
        <f t="shared" si="18"/>
        <v>51</v>
      </c>
      <c r="H60">
        <f t="shared" si="19"/>
        <v>56.295169344614322</v>
      </c>
      <c r="J60" s="422">
        <f t="shared" si="15"/>
        <v>8</v>
      </c>
      <c r="K60" s="422">
        <f t="shared" si="16"/>
        <v>51</v>
      </c>
      <c r="L60">
        <f t="shared" si="20"/>
        <v>56.295169344614322</v>
      </c>
    </row>
    <row r="61" spans="6:12">
      <c r="F61" s="422">
        <f t="shared" si="17"/>
        <v>8</v>
      </c>
      <c r="G61" s="422">
        <f t="shared" si="18"/>
        <v>38</v>
      </c>
      <c r="H61">
        <f t="shared" si="19"/>
        <v>44.672126057595207</v>
      </c>
      <c r="J61" s="422">
        <f t="shared" si="15"/>
        <v>1</v>
      </c>
      <c r="K61" s="422">
        <f t="shared" si="16"/>
        <v>38</v>
      </c>
      <c r="L61">
        <f t="shared" si="20"/>
        <v>44.672126057595207</v>
      </c>
    </row>
    <row r="62" spans="6:12">
      <c r="F62" s="422">
        <f t="shared" si="17"/>
        <v>9</v>
      </c>
      <c r="G62" s="422">
        <f t="shared" si="18"/>
        <v>55</v>
      </c>
      <c r="H62">
        <f t="shared" si="19"/>
        <v>57.08424538797891</v>
      </c>
      <c r="J62" s="422">
        <f t="shared" si="15"/>
        <v>3</v>
      </c>
      <c r="K62" s="422">
        <f t="shared" si="16"/>
        <v>55</v>
      </c>
      <c r="L62">
        <f t="shared" si="20"/>
        <v>57.08424538797891</v>
      </c>
    </row>
    <row r="63" spans="6:12">
      <c r="F63" s="422">
        <f t="shared" si="17"/>
        <v>5</v>
      </c>
      <c r="G63" s="422">
        <f t="shared" si="18"/>
        <v>43</v>
      </c>
      <c r="H63">
        <f t="shared" si="19"/>
        <v>41.261507412869634</v>
      </c>
      <c r="J63" s="422">
        <f t="shared" si="15"/>
        <v>4</v>
      </c>
      <c r="K63" s="422">
        <f t="shared" si="16"/>
        <v>43</v>
      </c>
      <c r="L63">
        <f t="shared" si="20"/>
        <v>41.261507412869634</v>
      </c>
    </row>
    <row r="64" spans="6:12">
      <c r="F64" s="422">
        <f t="shared" si="17"/>
        <v>4</v>
      </c>
      <c r="G64" s="422">
        <f t="shared" si="18"/>
        <v>25</v>
      </c>
      <c r="H64">
        <f t="shared" si="19"/>
        <v>21.332557116613586</v>
      </c>
      <c r="J64" s="422">
        <f t="shared" si="15"/>
        <v>0</v>
      </c>
      <c r="K64" s="422">
        <f t="shared" si="16"/>
        <v>25</v>
      </c>
      <c r="L64">
        <f t="shared" si="20"/>
        <v>21.332557116613586</v>
      </c>
    </row>
    <row r="65" spans="6:12">
      <c r="F65" s="422">
        <f t="shared" si="17"/>
        <v>2</v>
      </c>
      <c r="G65" s="422">
        <f t="shared" si="18"/>
        <v>33</v>
      </c>
      <c r="H65">
        <f t="shared" si="19"/>
        <v>34.092473285207895</v>
      </c>
      <c r="J65" s="422">
        <f t="shared" si="15"/>
        <v>6</v>
      </c>
      <c r="K65" s="422">
        <f t="shared" si="16"/>
        <v>33</v>
      </c>
      <c r="L65">
        <f t="shared" si="20"/>
        <v>34.092473285207895</v>
      </c>
    </row>
    <row r="66" spans="6:12">
      <c r="F66" s="422">
        <f t="shared" si="17"/>
        <v>8</v>
      </c>
      <c r="G66" s="422">
        <f t="shared" si="18"/>
        <v>71</v>
      </c>
      <c r="H66">
        <f t="shared" si="19"/>
        <v>67.222618955212241</v>
      </c>
      <c r="J66" s="422">
        <f t="shared" si="15"/>
        <v>7</v>
      </c>
      <c r="K66" s="422">
        <f t="shared" si="16"/>
        <v>71</v>
      </c>
      <c r="L66">
        <f t="shared" si="20"/>
        <v>67.222618955212241</v>
      </c>
    </row>
    <row r="67" spans="6:12">
      <c r="F67" s="422">
        <f t="shared" si="17"/>
        <v>6</v>
      </c>
      <c r="G67" s="422">
        <f t="shared" si="18"/>
        <v>51</v>
      </c>
      <c r="H67">
        <f t="shared" si="19"/>
        <v>46.156795777380999</v>
      </c>
      <c r="J67" s="422">
        <f t="shared" si="15"/>
        <v>4</v>
      </c>
      <c r="K67" s="422">
        <f t="shared" si="16"/>
        <v>51</v>
      </c>
      <c r="L67">
        <f t="shared" si="20"/>
        <v>46.156795777380999</v>
      </c>
    </row>
    <row r="68" spans="6:12">
      <c r="F68" s="423">
        <f t="shared" si="17"/>
        <v>9</v>
      </c>
      <c r="G68" s="423">
        <f t="shared" si="18"/>
        <v>49</v>
      </c>
      <c r="H68" s="451">
        <f t="shared" si="19"/>
        <v>53.325829905042738</v>
      </c>
      <c r="J68" s="423">
        <f t="shared" si="15"/>
        <v>2</v>
      </c>
      <c r="K68" s="423">
        <f t="shared" si="16"/>
        <v>49</v>
      </c>
      <c r="L68" s="451">
        <f t="shared" si="20"/>
        <v>53.325829905042738</v>
      </c>
    </row>
  </sheetData>
  <mergeCells count="1">
    <mergeCell ref="Q5:R5"/>
  </mergeCells>
  <pageMargins left="0.7" right="0.7" top="0.75" bottom="0.75" header="0.3" footer="0.3"/>
  <ignoredErrors>
    <ignoredError sqref="F14" formulaRange="1"/>
  </ignoredErrors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sheetPr codeName="Sheet207"/>
  <dimension ref="A1:K21"/>
  <sheetViews>
    <sheetView workbookViewId="0"/>
  </sheetViews>
  <sheetFormatPr defaultRowHeight="14.4"/>
  <cols>
    <col min="1" max="3" width="7.5546875" customWidth="1"/>
    <col min="4" max="4" width="6.5546875" customWidth="1"/>
    <col min="5" max="5" width="17.88671875" customWidth="1"/>
    <col min="6" max="6" width="13" customWidth="1"/>
    <col min="7" max="11" width="13.44140625" customWidth="1"/>
  </cols>
  <sheetData>
    <row r="1" spans="1:10">
      <c r="A1" s="1" t="s">
        <v>815</v>
      </c>
      <c r="E1" t="s">
        <v>2817</v>
      </c>
    </row>
    <row r="3" spans="1:10">
      <c r="A3" s="231" t="s">
        <v>783</v>
      </c>
      <c r="B3" s="231" t="s">
        <v>784</v>
      </c>
      <c r="C3" s="231" t="s">
        <v>777</v>
      </c>
      <c r="E3" t="s">
        <v>691</v>
      </c>
    </row>
    <row r="4" spans="1:10" ht="15" thickBot="1">
      <c r="A4" s="693">
        <v>7</v>
      </c>
      <c r="B4" s="693">
        <v>5</v>
      </c>
      <c r="C4" s="693">
        <v>65</v>
      </c>
    </row>
    <row r="5" spans="1:10">
      <c r="A5" s="693">
        <v>3</v>
      </c>
      <c r="B5" s="693">
        <v>7</v>
      </c>
      <c r="C5" s="693">
        <v>38</v>
      </c>
      <c r="E5" s="35" t="s">
        <v>692</v>
      </c>
      <c r="F5" s="35"/>
    </row>
    <row r="6" spans="1:10">
      <c r="A6" s="693">
        <v>5</v>
      </c>
      <c r="B6" s="693">
        <v>8</v>
      </c>
      <c r="C6" s="693">
        <v>51</v>
      </c>
      <c r="E6" s="28" t="s">
        <v>693</v>
      </c>
      <c r="F6" t="e">
        <f ca="1">[1]!MultipleR(A4:B14,C4:C14)</f>
        <v>#NAME?</v>
      </c>
    </row>
    <row r="7" spans="1:10">
      <c r="A7" s="693">
        <v>8</v>
      </c>
      <c r="B7" s="693">
        <v>1</v>
      </c>
      <c r="C7" s="693">
        <v>38</v>
      </c>
      <c r="E7" s="28" t="s">
        <v>686</v>
      </c>
      <c r="F7" t="e">
        <f ca="1">[1]!RSquare(A4:B14,C4:C14)</f>
        <v>#NAME?</v>
      </c>
    </row>
    <row r="8" spans="1:10">
      <c r="A8" s="693">
        <v>9</v>
      </c>
      <c r="B8" s="693">
        <v>3</v>
      </c>
      <c r="C8" s="693">
        <v>55</v>
      </c>
      <c r="E8" s="28" t="s">
        <v>694</v>
      </c>
      <c r="F8" t="e">
        <f ca="1">[1]!AdjRSquare(A4:B14,C4:C14)</f>
        <v>#NAME?</v>
      </c>
    </row>
    <row r="9" spans="1:10">
      <c r="A9" s="693">
        <v>5</v>
      </c>
      <c r="B9" s="693">
        <v>4</v>
      </c>
      <c r="C9" s="693">
        <v>43</v>
      </c>
      <c r="E9" s="28" t="s">
        <v>77</v>
      </c>
      <c r="F9" t="e">
        <f ca="1">[1]!regse(A4:B14,C4:C14)</f>
        <v>#NAME?</v>
      </c>
    </row>
    <row r="10" spans="1:10" ht="15" thickBot="1">
      <c r="A10" s="693">
        <v>4</v>
      </c>
      <c r="B10" s="693">
        <v>0</v>
      </c>
      <c r="C10" s="693">
        <v>25</v>
      </c>
      <c r="E10" s="31" t="s">
        <v>224</v>
      </c>
      <c r="F10" s="31">
        <f>COUNT(A4:A14)</f>
        <v>11</v>
      </c>
    </row>
    <row r="11" spans="1:10">
      <c r="A11" s="693">
        <v>2</v>
      </c>
      <c r="B11" s="693">
        <v>6</v>
      </c>
      <c r="C11" s="693">
        <v>33</v>
      </c>
    </row>
    <row r="12" spans="1:10" ht="15" thickBot="1">
      <c r="A12" s="693">
        <v>8</v>
      </c>
      <c r="B12" s="693">
        <v>7</v>
      </c>
      <c r="C12" s="693">
        <v>71</v>
      </c>
      <c r="E12" t="s">
        <v>695</v>
      </c>
    </row>
    <row r="13" spans="1:10">
      <c r="A13" s="693">
        <v>6</v>
      </c>
      <c r="B13" s="693">
        <v>4</v>
      </c>
      <c r="C13" s="693">
        <v>51</v>
      </c>
      <c r="E13" s="695"/>
      <c r="F13" s="695" t="s">
        <v>186</v>
      </c>
      <c r="G13" s="695" t="s">
        <v>578</v>
      </c>
      <c r="H13" s="695" t="s">
        <v>641</v>
      </c>
      <c r="I13" s="695" t="s">
        <v>388</v>
      </c>
      <c r="J13" s="695" t="s">
        <v>698</v>
      </c>
    </row>
    <row r="14" spans="1:10">
      <c r="A14" s="694">
        <v>9</v>
      </c>
      <c r="B14" s="694">
        <v>2</v>
      </c>
      <c r="C14" s="694">
        <v>49</v>
      </c>
      <c r="E14" s="28" t="s">
        <v>623</v>
      </c>
      <c r="F14" t="e">
        <f ca="1">[1]!dfreg(A4:B14)</f>
        <v>#NAME?</v>
      </c>
      <c r="G14" s="28" t="e">
        <f ca="1">[1]!SSReg(A4:B14,C4:C14)</f>
        <v>#NAME?</v>
      </c>
      <c r="H14" s="28" t="e">
        <f ca="1">[1]!mSReg(A4:B14,C4:C14)</f>
        <v>#NAME?</v>
      </c>
      <c r="I14" s="28" t="e">
        <f ca="1">[1]!regF(A4:B14,C4:C14)</f>
        <v>#NAME?</v>
      </c>
      <c r="J14" t="e">
        <f ca="1">[1]!regtest(A4:B14,C4:C14)</f>
        <v>#NAME?</v>
      </c>
    </row>
    <row r="15" spans="1:10">
      <c r="E15" s="28" t="s">
        <v>696</v>
      </c>
      <c r="F15" s="28" t="e">
        <f ca="1">[1]!dfres(A4:B14)</f>
        <v>#NAME?</v>
      </c>
      <c r="G15" s="28" t="e">
        <f ca="1">[1]!ssres(A4:B14,C4:C14)</f>
        <v>#NAME?</v>
      </c>
      <c r="H15" s="28" t="e">
        <f ca="1">[1]!MSRes(A4:B14,C4:C14)</f>
        <v>#NAME?</v>
      </c>
      <c r="I15" s="28"/>
      <c r="J15" s="28"/>
    </row>
    <row r="16" spans="1:10" ht="15" thickBot="1">
      <c r="E16" s="31" t="s">
        <v>12</v>
      </c>
      <c r="F16" s="31" t="e">
        <f ca="1">[1]!dfregtot(A4:B14)</f>
        <v>#NAME?</v>
      </c>
      <c r="G16" s="31" t="e">
        <f ca="1">[1]!SSRegTot(C4:C14)</f>
        <v>#NAME?</v>
      </c>
      <c r="H16" s="31"/>
      <c r="I16" s="31"/>
      <c r="J16" s="31"/>
    </row>
    <row r="17" spans="5:11" ht="15" thickBot="1"/>
    <row r="18" spans="5:11">
      <c r="E18" s="695"/>
      <c r="F18" s="695" t="s">
        <v>699</v>
      </c>
      <c r="G18" s="695" t="s">
        <v>77</v>
      </c>
      <c r="H18" s="695" t="s">
        <v>229</v>
      </c>
      <c r="I18" s="695" t="s">
        <v>367</v>
      </c>
      <c r="J18" s="695" t="s">
        <v>700</v>
      </c>
      <c r="K18" s="695" t="s">
        <v>701</v>
      </c>
    </row>
    <row r="19" spans="5:11">
      <c r="E19" s="28" t="s">
        <v>697</v>
      </c>
      <c r="F19" s="28" t="e">
        <f t="array" aca="1" ref="F19:F21" ca="1">[1]!RegCoeff(A4:B14,C4:C14)</f>
        <v>#NAME?</v>
      </c>
      <c r="G19" s="28" t="e">
        <f t="array" aca="1" ref="G19:G21" ca="1">[1]!RegCoeffSE(A4:B14,C4:C14)</f>
        <v>#NAME?</v>
      </c>
      <c r="H19" s="28" t="e">
        <f ca="1">F19/G19</f>
        <v>#NAME?</v>
      </c>
      <c r="I19" s="28" t="e">
        <f ca="1">TDIST(ABS(H19),$F$15,2)</f>
        <v>#NAME?</v>
      </c>
      <c r="J19" s="28" t="e">
        <f ca="1">F19-TINV(0.05,$F$15)*G19</f>
        <v>#NAME?</v>
      </c>
      <c r="K19" s="28" t="e">
        <f ca="1">F19+TINV(0.05,$F$15)*G19</f>
        <v>#NAME?</v>
      </c>
    </row>
    <row r="20" spans="5:11">
      <c r="E20" s="28" t="s">
        <v>783</v>
      </c>
      <c r="F20" s="28" t="e">
        <f ca="1"/>
        <v>#NAME?</v>
      </c>
      <c r="G20" s="28" t="e">
        <f ca="1"/>
        <v>#NAME?</v>
      </c>
      <c r="H20" s="28" t="e">
        <f ca="1">F20/G20</f>
        <v>#NAME?</v>
      </c>
      <c r="I20" s="28" t="e">
        <f ca="1">TDIST(ABS(H20),$F$15,2)</f>
        <v>#NAME?</v>
      </c>
      <c r="J20" s="28" t="e">
        <f ca="1">F20-TINV(0.05,$F$15)*G20</f>
        <v>#NAME?</v>
      </c>
      <c r="K20" s="28" t="e">
        <f ca="1">F20+TINV(0.05,$F$15)*G20</f>
        <v>#NAME?</v>
      </c>
    </row>
    <row r="21" spans="5:11" ht="15" thickBot="1">
      <c r="E21" s="31" t="s">
        <v>784</v>
      </c>
      <c r="F21" s="31" t="e">
        <f ca="1"/>
        <v>#NAME?</v>
      </c>
      <c r="G21" s="31" t="e">
        <f ca="1"/>
        <v>#NAME?</v>
      </c>
      <c r="H21" s="31" t="e">
        <f ca="1">F21/G21</f>
        <v>#NAME?</v>
      </c>
      <c r="I21" s="31" t="e">
        <f ca="1">TDIST(ABS(H21),$F$15,2)</f>
        <v>#NAME?</v>
      </c>
      <c r="J21" s="31" t="e">
        <f ca="1">F21-TINV(0.05,$F$15)*G21</f>
        <v>#NAME?</v>
      </c>
      <c r="K21" s="31" t="e">
        <f ca="1">F21+TINV(0.05,$F$15)*G21</f>
        <v>#NAME?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sheetPr codeName="Sheet253"/>
  <dimension ref="A1:K21"/>
  <sheetViews>
    <sheetView workbookViewId="0"/>
  </sheetViews>
  <sheetFormatPr defaultRowHeight="14.4"/>
  <cols>
    <col min="1" max="3" width="7.5546875" customWidth="1"/>
    <col min="4" max="4" width="6.5546875" customWidth="1"/>
    <col min="5" max="5" width="17.88671875" customWidth="1"/>
    <col min="6" max="11" width="9.6640625" customWidth="1"/>
  </cols>
  <sheetData>
    <row r="1" spans="1:11">
      <c r="A1" s="1" t="s">
        <v>2745</v>
      </c>
    </row>
    <row r="3" spans="1:11">
      <c r="A3" s="231" t="s">
        <v>783</v>
      </c>
      <c r="B3" s="231" t="s">
        <v>784</v>
      </c>
      <c r="C3" s="231" t="s">
        <v>777</v>
      </c>
      <c r="E3" t="s">
        <v>2744</v>
      </c>
    </row>
    <row r="4" spans="1:11">
      <c r="A4" s="1050">
        <v>7</v>
      </c>
      <c r="B4" s="1050">
        <v>5</v>
      </c>
      <c r="C4" s="1050">
        <v>65</v>
      </c>
    </row>
    <row r="5" spans="1:11" ht="15" thickBot="1">
      <c r="A5" s="1050">
        <v>3</v>
      </c>
      <c r="B5" s="1050">
        <v>7</v>
      </c>
      <c r="C5" s="1050">
        <v>38</v>
      </c>
      <c r="E5" s="1059" t="s">
        <v>2750</v>
      </c>
      <c r="F5" s="1059"/>
    </row>
    <row r="6" spans="1:11" ht="15" thickTop="1">
      <c r="A6" s="1050">
        <v>5</v>
      </c>
      <c r="B6" s="1050">
        <v>8</v>
      </c>
      <c r="C6" s="1050">
        <v>51</v>
      </c>
      <c r="E6" t="s">
        <v>693</v>
      </c>
      <c r="F6" t="e">
        <f ca="1">SQRT(F7)</f>
        <v>#NAME?</v>
      </c>
    </row>
    <row r="7" spans="1:11">
      <c r="A7" s="1050">
        <v>8</v>
      </c>
      <c r="B7" s="1050">
        <v>1</v>
      </c>
      <c r="C7" s="1050">
        <v>38</v>
      </c>
      <c r="E7" t="s">
        <v>686</v>
      </c>
      <c r="F7" t="e">
        <f ca="1">G14/G16</f>
        <v>#NAME?</v>
      </c>
    </row>
    <row r="8" spans="1:11">
      <c r="A8" s="1050">
        <v>9</v>
      </c>
      <c r="B8" s="1050">
        <v>3</v>
      </c>
      <c r="C8" s="1050">
        <v>55</v>
      </c>
      <c r="E8" t="s">
        <v>694</v>
      </c>
      <c r="F8" t="e">
        <f ca="1">1-(1-F7)*(F10-1)/(F10-F14-1)</f>
        <v>#NAME?</v>
      </c>
    </row>
    <row r="9" spans="1:11">
      <c r="A9" s="1050">
        <v>5</v>
      </c>
      <c r="B9" s="1050">
        <v>4</v>
      </c>
      <c r="C9" s="1050">
        <v>43</v>
      </c>
      <c r="E9" t="s">
        <v>77</v>
      </c>
      <c r="F9" t="e">
        <f ca="1">SQRT(H15)</f>
        <v>#NAME?</v>
      </c>
    </row>
    <row r="10" spans="1:11">
      <c r="A10" s="1050">
        <v>4</v>
      </c>
      <c r="B10" s="1050">
        <v>0</v>
      </c>
      <c r="C10" s="1050">
        <v>25</v>
      </c>
      <c r="E10" s="534" t="s">
        <v>224</v>
      </c>
      <c r="F10" s="534">
        <f>COUNT(C4:C14)</f>
        <v>11</v>
      </c>
    </row>
    <row r="11" spans="1:11">
      <c r="A11" s="1050">
        <v>2</v>
      </c>
      <c r="B11" s="1050">
        <v>6</v>
      </c>
      <c r="C11" s="1050">
        <v>33</v>
      </c>
    </row>
    <row r="12" spans="1:11" ht="15" thickBot="1">
      <c r="A12" s="1050">
        <v>8</v>
      </c>
      <c r="B12" s="1050">
        <v>7</v>
      </c>
      <c r="C12" s="1050">
        <v>71</v>
      </c>
      <c r="E12" t="s">
        <v>695</v>
      </c>
      <c r="I12" s="1056" t="s">
        <v>116</v>
      </c>
      <c r="J12" s="1056">
        <v>0.05</v>
      </c>
    </row>
    <row r="13" spans="1:11" ht="15" thickTop="1">
      <c r="A13" s="1050">
        <v>6</v>
      </c>
      <c r="B13" s="1050">
        <v>4</v>
      </c>
      <c r="C13" s="1050">
        <v>51</v>
      </c>
      <c r="E13" s="973"/>
      <c r="F13" s="973" t="s">
        <v>186</v>
      </c>
      <c r="G13" s="973" t="s">
        <v>578</v>
      </c>
      <c r="H13" s="973" t="s">
        <v>641</v>
      </c>
      <c r="I13" s="973" t="s">
        <v>388</v>
      </c>
      <c r="J13" s="973" t="s">
        <v>200</v>
      </c>
      <c r="K13" s="973" t="s">
        <v>948</v>
      </c>
    </row>
    <row r="14" spans="1:11">
      <c r="A14" s="1052">
        <v>9</v>
      </c>
      <c r="B14" s="1052">
        <v>2</v>
      </c>
      <c r="C14" s="1052">
        <v>49</v>
      </c>
      <c r="E14" t="s">
        <v>623</v>
      </c>
      <c r="F14">
        <f>COUNT(A4:B4)</f>
        <v>2</v>
      </c>
      <c r="G14" t="e">
        <f ca="1">DEVSQ(MMULT([1]!DESIGN(A4:B14),F19:F21))</f>
        <v>#NAME?</v>
      </c>
      <c r="H14" t="e">
        <f ca="1">G14/F14</f>
        <v>#NAME?</v>
      </c>
      <c r="I14" t="e">
        <f ca="1">H14/H15</f>
        <v>#NAME?</v>
      </c>
      <c r="J14" t="e">
        <f ca="1">FDIST(I14,F14,F15)</f>
        <v>#NAME?</v>
      </c>
      <c r="K14" s="1056" t="e">
        <f ca="1">IF(J14&lt;J12,"yes","no")</f>
        <v>#NAME?</v>
      </c>
    </row>
    <row r="15" spans="1:11">
      <c r="E15" t="s">
        <v>696</v>
      </c>
      <c r="F15">
        <f>F16-F14</f>
        <v>8</v>
      </c>
      <c r="G15" t="e">
        <f ca="1">G16-G14</f>
        <v>#NAME?</v>
      </c>
      <c r="H15" t="e">
        <f ca="1">G15/F15</f>
        <v>#NAME?</v>
      </c>
    </row>
    <row r="16" spans="1:11">
      <c r="E16" s="534" t="s">
        <v>12</v>
      </c>
      <c r="F16" s="534">
        <f>F10-1</f>
        <v>10</v>
      </c>
      <c r="G16" s="534">
        <f>DEVSQ(C4:C14)</f>
        <v>1857.6363636363633</v>
      </c>
      <c r="H16" s="534"/>
      <c r="I16" s="534"/>
      <c r="J16" s="534"/>
      <c r="K16" s="534"/>
    </row>
    <row r="17" spans="5:11" ht="15" thickBot="1"/>
    <row r="18" spans="5:11" ht="15" thickTop="1">
      <c r="E18" s="973"/>
      <c r="F18" s="973" t="s">
        <v>2743</v>
      </c>
      <c r="G18" s="973" t="s">
        <v>1469</v>
      </c>
      <c r="H18" s="973" t="s">
        <v>188</v>
      </c>
      <c r="I18" s="973" t="s">
        <v>200</v>
      </c>
      <c r="J18" s="973" t="s">
        <v>103</v>
      </c>
      <c r="K18" s="973" t="s">
        <v>104</v>
      </c>
    </row>
    <row r="19" spans="5:11">
      <c r="E19" t="s">
        <v>697</v>
      </c>
      <c r="F19" t="e">
        <f t="array" aca="1" ref="F19:F21" ca="1">[1]!RegCoeff(A4:B14,C4:C14)</f>
        <v>#NAME?</v>
      </c>
      <c r="G19" t="e">
        <f t="array" aca="1" ref="G19:G21" ca="1">[1]!RegCoeffSE(A4:B14,C4:C14)</f>
        <v>#NAME?</v>
      </c>
      <c r="H19" t="e">
        <f ca="1">F19/G19</f>
        <v>#NAME?</v>
      </c>
      <c r="I19" t="e">
        <f ca="1">TDIST(ABS(H19),$F$15,2)</f>
        <v>#NAME?</v>
      </c>
      <c r="J19" t="e">
        <f ca="1">F19-TINV(J$12,$F$15)*G19</f>
        <v>#NAME?</v>
      </c>
      <c r="K19" t="e">
        <f ca="1">F19+TINV(J$12,$F$15)*G19</f>
        <v>#NAME?</v>
      </c>
    </row>
    <row r="20" spans="5:11">
      <c r="E20" t="str">
        <f t="array" ref="E20:E21">TRANSPOSE(A3:B3)</f>
        <v>Color</v>
      </c>
      <c r="F20" t="e">
        <f ca="1"/>
        <v>#NAME?</v>
      </c>
      <c r="G20" t="e">
        <f ca="1"/>
        <v>#NAME?</v>
      </c>
      <c r="H20" t="e">
        <f ca="1">F20/G20</f>
        <v>#NAME?</v>
      </c>
      <c r="I20" t="e">
        <f ca="1">TDIST(ABS(H20),$F$15,2)</f>
        <v>#NAME?</v>
      </c>
      <c r="J20" t="e">
        <f ca="1">F20-TINV(J$12,$F$15)*G20</f>
        <v>#NAME?</v>
      </c>
      <c r="K20" t="e">
        <f ca="1">F20+TINV(J$12,$F$15)*G20</f>
        <v>#NAME?</v>
      </c>
    </row>
    <row r="21" spans="5:11">
      <c r="E21" s="534" t="str">
        <v>Quality</v>
      </c>
      <c r="F21" s="534" t="e">
        <f ca="1"/>
        <v>#NAME?</v>
      </c>
      <c r="G21" s="534" t="e">
        <f ca="1"/>
        <v>#NAME?</v>
      </c>
      <c r="H21" s="534" t="e">
        <f ca="1">F21/G21</f>
        <v>#NAME?</v>
      </c>
      <c r="I21" s="534" t="e">
        <f ca="1">TDIST(ABS(H21),$F$15,2)</f>
        <v>#NAME?</v>
      </c>
      <c r="J21" s="534" t="e">
        <f ca="1">F21-TINV(J$12,$F$15)*G21</f>
        <v>#NAME?</v>
      </c>
      <c r="K21" s="534" t="e">
        <f ca="1">F21+TINV(J$12,$F$15)*G21</f>
        <v>#NAME?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sheetPr codeName="Sheet95"/>
  <dimension ref="A1:F14"/>
  <sheetViews>
    <sheetView workbookViewId="0"/>
  </sheetViews>
  <sheetFormatPr defaultRowHeight="14.4"/>
  <sheetData>
    <row r="1" spans="1:6">
      <c r="A1" s="1" t="s">
        <v>846</v>
      </c>
    </row>
    <row r="3" spans="1:6">
      <c r="A3" s="231" t="s">
        <v>783</v>
      </c>
      <c r="B3" s="231" t="s">
        <v>784</v>
      </c>
      <c r="C3" s="231" t="s">
        <v>777</v>
      </c>
      <c r="E3" s="232" t="s">
        <v>106</v>
      </c>
      <c r="F3" s="264">
        <f>COUNT(A4:A14)</f>
        <v>11</v>
      </c>
    </row>
    <row r="4" spans="1:6">
      <c r="A4" s="193">
        <v>7</v>
      </c>
      <c r="B4" s="193">
        <v>5</v>
      </c>
      <c r="C4" s="193">
        <v>65</v>
      </c>
      <c r="E4" s="126" t="s">
        <v>169</v>
      </c>
      <c r="F4" s="265">
        <f>COUNT(A4:B4)</f>
        <v>2</v>
      </c>
    </row>
    <row r="5" spans="1:6">
      <c r="A5" s="193">
        <v>3</v>
      </c>
      <c r="B5" s="193">
        <v>7</v>
      </c>
      <c r="C5" s="193">
        <v>38</v>
      </c>
      <c r="E5" s="126" t="s">
        <v>686</v>
      </c>
      <c r="F5" s="265">
        <f>'Mult Reg 6'!O17^2</f>
        <v>0.85069397069440156</v>
      </c>
    </row>
    <row r="6" spans="1:6">
      <c r="A6" s="193">
        <v>5</v>
      </c>
      <c r="B6" s="193">
        <v>8</v>
      </c>
      <c r="C6" s="193">
        <v>51</v>
      </c>
      <c r="E6" s="126" t="s">
        <v>822</v>
      </c>
      <c r="F6" s="265">
        <f>F4</f>
        <v>2</v>
      </c>
    </row>
    <row r="7" spans="1:6">
      <c r="A7" s="193">
        <v>8</v>
      </c>
      <c r="B7" s="193">
        <v>1</v>
      </c>
      <c r="C7" s="193">
        <v>38</v>
      </c>
      <c r="E7" s="126" t="s">
        <v>823</v>
      </c>
      <c r="F7" s="265">
        <f>F3-F4-1</f>
        <v>8</v>
      </c>
    </row>
    <row r="8" spans="1:6">
      <c r="A8" s="193">
        <v>9</v>
      </c>
      <c r="B8" s="193">
        <v>3</v>
      </c>
      <c r="C8" s="193">
        <v>55</v>
      </c>
      <c r="E8" s="351" t="s">
        <v>157</v>
      </c>
      <c r="F8" s="265">
        <v>0.05</v>
      </c>
    </row>
    <row r="9" spans="1:6">
      <c r="A9" s="193">
        <v>5</v>
      </c>
      <c r="B9" s="193">
        <v>4</v>
      </c>
      <c r="C9" s="193">
        <v>43</v>
      </c>
      <c r="E9" s="126" t="s">
        <v>388</v>
      </c>
      <c r="F9" s="265">
        <f>F7*F5/(F4*(1-F5))</f>
        <v>22.790612667173878</v>
      </c>
    </row>
    <row r="10" spans="1:6">
      <c r="A10" s="193">
        <v>4</v>
      </c>
      <c r="B10" s="193">
        <v>0</v>
      </c>
      <c r="C10" s="193">
        <v>25</v>
      </c>
      <c r="E10" t="s">
        <v>200</v>
      </c>
      <c r="F10" s="265">
        <f>FDIST(F9,F6,F7)</f>
        <v>4.9694621069852087E-4</v>
      </c>
    </row>
    <row r="11" spans="1:6">
      <c r="A11" s="193">
        <v>2</v>
      </c>
      <c r="B11" s="193">
        <v>6</v>
      </c>
      <c r="C11" s="193">
        <v>33</v>
      </c>
      <c r="E11" s="126" t="s">
        <v>647</v>
      </c>
      <c r="F11" s="265">
        <f>FINV(F8,F6,F7)</f>
        <v>4.4589701075245118</v>
      </c>
    </row>
    <row r="12" spans="1:6">
      <c r="A12" s="193">
        <v>8</v>
      </c>
      <c r="B12" s="193">
        <v>7</v>
      </c>
      <c r="C12" s="193">
        <v>71</v>
      </c>
      <c r="E12" s="126" t="s">
        <v>948</v>
      </c>
      <c r="F12" s="266" t="str">
        <f>IF(F10&lt;F8,"yes","no")</f>
        <v>yes</v>
      </c>
    </row>
    <row r="13" spans="1:6">
      <c r="A13" s="193">
        <v>6</v>
      </c>
      <c r="B13" s="193">
        <v>4</v>
      </c>
      <c r="C13" s="193">
        <v>51</v>
      </c>
    </row>
    <row r="14" spans="1:6">
      <c r="A14" s="230">
        <v>9</v>
      </c>
      <c r="B14" s="230">
        <v>2</v>
      </c>
      <c r="C14" s="230">
        <v>49</v>
      </c>
    </row>
  </sheetData>
  <pageMargins left="0.7" right="0.7" top="0.75" bottom="0.75" header="0.3" footer="0.3"/>
  <ignoredErrors>
    <ignoredError sqref="F4" formulaRange="1"/>
  </ignoredErrors>
</worksheet>
</file>

<file path=xl/worksheets/sheet216.xml><?xml version="1.0" encoding="utf-8"?>
<worksheet xmlns="http://schemas.openxmlformats.org/spreadsheetml/2006/main" xmlns:r="http://schemas.openxmlformats.org/officeDocument/2006/relationships">
  <sheetPr codeName="Sheet381"/>
  <dimension ref="A1:T58"/>
  <sheetViews>
    <sheetView workbookViewId="0">
      <selection activeCell="S6" sqref="S6"/>
    </sheetView>
  </sheetViews>
  <sheetFormatPr defaultRowHeight="14.4"/>
  <cols>
    <col min="1" max="1" width="13.109375" customWidth="1"/>
    <col min="2" max="5" width="10.33203125" customWidth="1"/>
    <col min="7" max="7" width="17.6640625" customWidth="1"/>
    <col min="10" max="12" width="9.33203125" bestFit="1" customWidth="1"/>
    <col min="13" max="13" width="9.33203125" customWidth="1"/>
    <col min="15" max="15" width="9.109375" customWidth="1"/>
    <col min="19" max="19" width="11.6640625" customWidth="1"/>
  </cols>
  <sheetData>
    <row r="1" spans="1:20">
      <c r="A1" s="1" t="s">
        <v>4205</v>
      </c>
    </row>
    <row r="3" spans="1:20">
      <c r="A3" s="138"/>
      <c r="B3" s="139" t="s">
        <v>416</v>
      </c>
      <c r="C3" s="139" t="s">
        <v>417</v>
      </c>
      <c r="D3" s="139" t="s">
        <v>418</v>
      </c>
      <c r="E3" s="139" t="s">
        <v>419</v>
      </c>
      <c r="G3" t="s">
        <v>2744</v>
      </c>
      <c r="O3" t="s">
        <v>4210</v>
      </c>
      <c r="S3" t="s">
        <v>4040</v>
      </c>
    </row>
    <row r="4" spans="1:20">
      <c r="A4" s="137" t="s">
        <v>424</v>
      </c>
      <c r="B4" s="140">
        <v>15.7</v>
      </c>
      <c r="C4" s="141">
        <v>9</v>
      </c>
      <c r="D4" s="142">
        <v>71.027177760140717</v>
      </c>
      <c r="E4" s="143">
        <v>448</v>
      </c>
    </row>
    <row r="5" spans="1:20" ht="15" thickBot="1">
      <c r="A5" s="137" t="s">
        <v>425</v>
      </c>
      <c r="B5" s="140">
        <v>8.4</v>
      </c>
      <c r="C5" s="141">
        <v>6.9</v>
      </c>
      <c r="D5" s="142">
        <v>70.62318863808899</v>
      </c>
      <c r="E5" s="143">
        <v>661.2</v>
      </c>
      <c r="G5" s="1059" t="s">
        <v>2750</v>
      </c>
      <c r="H5" s="1059"/>
      <c r="J5" t="s">
        <v>4209</v>
      </c>
      <c r="P5" s="1543" t="s">
        <v>4211</v>
      </c>
      <c r="Q5" s="1543" t="s">
        <v>2968</v>
      </c>
    </row>
    <row r="6" spans="1:20" ht="15" thickTop="1">
      <c r="A6" s="137" t="s">
        <v>426</v>
      </c>
      <c r="B6" s="140">
        <v>14.7</v>
      </c>
      <c r="C6" s="141">
        <v>6.4</v>
      </c>
      <c r="D6" s="142">
        <v>86.505696765320337</v>
      </c>
      <c r="E6" s="143">
        <v>482.7</v>
      </c>
      <c r="G6" t="s">
        <v>693</v>
      </c>
      <c r="H6" t="e">
        <f ca="1">SQRT(H7)</f>
        <v>#NAME?</v>
      </c>
      <c r="J6" s="1236" t="e">
        <f t="array" aca="1" ref="J6:M9" ca="1">[1]!core(C4:E53)</f>
        <v>#NAME?</v>
      </c>
      <c r="K6" s="1152" t="e">
        <f ca="1"/>
        <v>#NAME?</v>
      </c>
      <c r="L6" s="1152" t="e">
        <f ca="1"/>
        <v>#NAME?</v>
      </c>
      <c r="M6" s="1237" t="e">
        <f ca="1"/>
        <v>#NAME?</v>
      </c>
      <c r="O6" t="s">
        <v>337</v>
      </c>
      <c r="P6" s="1236">
        <v>0.05</v>
      </c>
      <c r="Q6" s="1237">
        <f>P6</f>
        <v>0.05</v>
      </c>
      <c r="S6" t="e">
        <f t="array" aca="1" ref="S6:T12" ca="1">[1]!RegPred(O20:O22,C4:E53,B4:B53,TRUE)</f>
        <v>#NAME?</v>
      </c>
      <c r="T6" s="1235" t="e">
        <f ca="1"/>
        <v>#NAME?</v>
      </c>
    </row>
    <row r="7" spans="1:20">
      <c r="A7" s="137" t="s">
        <v>427</v>
      </c>
      <c r="B7" s="140">
        <v>17.3</v>
      </c>
      <c r="C7" s="141">
        <v>8.5</v>
      </c>
      <c r="D7" s="142">
        <v>80.783955956979611</v>
      </c>
      <c r="E7" s="143">
        <v>529.4</v>
      </c>
      <c r="G7" t="s">
        <v>686</v>
      </c>
      <c r="H7" t="e">
        <f ca="1">I14/I16</f>
        <v>#NAME?</v>
      </c>
      <c r="J7" s="656" t="e">
        <f ca="1"/>
        <v>#NAME?</v>
      </c>
      <c r="K7" s="8" t="e">
        <f ca="1"/>
        <v>#NAME?</v>
      </c>
      <c r="L7" s="8" t="e">
        <f ca="1"/>
        <v>#NAME?</v>
      </c>
      <c r="M7" s="657" t="e">
        <f ca="1"/>
        <v>#NAME?</v>
      </c>
      <c r="O7" t="s">
        <v>4212</v>
      </c>
      <c r="P7" s="656" t="e">
        <f ca="1">SUMPRODUCT(H19:H22,O19:O22)</f>
        <v>#NAME?</v>
      </c>
      <c r="Q7" s="657" t="e">
        <f t="shared" ref="Q7:Q8" ca="1" si="0">P7</f>
        <v>#NAME?</v>
      </c>
      <c r="S7" t="e">
        <f ca="1"/>
        <v>#NAME?</v>
      </c>
      <c r="T7" s="627" t="e">
        <f ca="1"/>
        <v>#NAME?</v>
      </c>
    </row>
    <row r="8" spans="1:20">
      <c r="A8" s="137" t="s">
        <v>428</v>
      </c>
      <c r="B8" s="140">
        <v>13.3</v>
      </c>
      <c r="C8" s="141">
        <v>5</v>
      </c>
      <c r="D8" s="142">
        <v>76.640052174481781</v>
      </c>
      <c r="E8" s="143">
        <v>522.6</v>
      </c>
      <c r="G8" t="s">
        <v>694</v>
      </c>
      <c r="H8" t="e">
        <f ca="1">1-(1-H7)*(H10-1)/(H10-H14-1)</f>
        <v>#NAME?</v>
      </c>
      <c r="J8" s="656" t="e">
        <f ca="1"/>
        <v>#NAME?</v>
      </c>
      <c r="K8" s="8" t="e">
        <f ca="1"/>
        <v>#NAME?</v>
      </c>
      <c r="L8" s="8" t="e">
        <f ca="1"/>
        <v>#NAME?</v>
      </c>
      <c r="M8" s="657" t="e">
        <f ca="1"/>
        <v>#NAME?</v>
      </c>
      <c r="O8" t="s">
        <v>4213</v>
      </c>
      <c r="P8" s="656" t="e">
        <f ca="1">J15</f>
        <v>#NAME?</v>
      </c>
      <c r="Q8" s="657" t="e">
        <f t="shared" ca="1" si="0"/>
        <v>#NAME?</v>
      </c>
      <c r="S8" t="e">
        <f ca="1"/>
        <v>#NAME?</v>
      </c>
      <c r="T8" s="627" t="e">
        <f ca="1"/>
        <v>#NAME?</v>
      </c>
    </row>
    <row r="9" spans="1:20">
      <c r="A9" s="137" t="s">
        <v>429</v>
      </c>
      <c r="B9" s="140">
        <v>11.4</v>
      </c>
      <c r="C9" s="141">
        <v>5.7</v>
      </c>
      <c r="D9" s="142">
        <v>89.734092175332663</v>
      </c>
      <c r="E9" s="143">
        <v>347.8</v>
      </c>
      <c r="G9" t="s">
        <v>77</v>
      </c>
      <c r="H9" t="e">
        <f ca="1">SQRT(J15)</f>
        <v>#NAME?</v>
      </c>
      <c r="J9" s="533" t="e">
        <f ca="1"/>
        <v>#NAME?</v>
      </c>
      <c r="K9" s="1078" t="e">
        <f ca="1"/>
        <v>#NAME?</v>
      </c>
      <c r="L9" s="1078" t="e">
        <f ca="1"/>
        <v>#NAME?</v>
      </c>
      <c r="M9" s="541" t="e">
        <f ca="1"/>
        <v>#NAME?</v>
      </c>
      <c r="O9" s="25" t="s">
        <v>4206</v>
      </c>
      <c r="P9" s="656">
        <f>H15</f>
        <v>46</v>
      </c>
      <c r="Q9" s="657">
        <f>P9</f>
        <v>46</v>
      </c>
      <c r="S9" t="e">
        <f ca="1"/>
        <v>#NAME?</v>
      </c>
      <c r="T9" s="627" t="e">
        <f ca="1"/>
        <v>#NAME?</v>
      </c>
    </row>
    <row r="10" spans="1:20">
      <c r="A10" s="137" t="s">
        <v>430</v>
      </c>
      <c r="B10" s="140">
        <v>9.3000000000000007</v>
      </c>
      <c r="C10" s="141">
        <v>6.2</v>
      </c>
      <c r="D10" s="142">
        <v>84.278652322083644</v>
      </c>
      <c r="E10" s="143">
        <v>256</v>
      </c>
      <c r="G10" s="1078" t="s">
        <v>224</v>
      </c>
      <c r="H10" s="1078">
        <f>COUNT(B4:B53)</f>
        <v>50</v>
      </c>
      <c r="O10" s="25" t="s">
        <v>201</v>
      </c>
      <c r="P10" s="656">
        <f>TINV(P6,P9)</f>
        <v>2.0128955989194299</v>
      </c>
      <c r="Q10" s="657">
        <f>P10</f>
        <v>2.0128955989194299</v>
      </c>
      <c r="S10" t="e">
        <f ca="1"/>
        <v>#NAME?</v>
      </c>
      <c r="T10" s="627" t="e">
        <f ca="1"/>
        <v>#NAME?</v>
      </c>
    </row>
    <row r="11" spans="1:20">
      <c r="A11" s="137" t="s">
        <v>431</v>
      </c>
      <c r="B11" s="149">
        <v>10</v>
      </c>
      <c r="C11" s="141">
        <v>8.3000000000000007</v>
      </c>
      <c r="D11" s="142">
        <v>74.266056727126113</v>
      </c>
      <c r="E11" s="143">
        <v>689.2</v>
      </c>
      <c r="O11" s="25" t="s">
        <v>826</v>
      </c>
      <c r="P11" s="656" t="e">
        <f t="array" aca="1" ref="P11" ca="1">SQRT(P8*MMULT(TRANSPOSE(O19:O22),MMULT(J6:M9,O19:O22)))</f>
        <v>#NAME?</v>
      </c>
      <c r="Q11" s="657" t="e">
        <f t="array" aca="1" ref="Q11" ca="1">SQRT(P8*(1+MMULT(TRANSPOSE(O19:O22),MMULT(J6:M9,O19:O22))))</f>
        <v>#NAME?</v>
      </c>
      <c r="S11" t="e">
        <f ca="1"/>
        <v>#NAME?</v>
      </c>
      <c r="T11" s="627" t="e">
        <f ca="1"/>
        <v>#NAME?</v>
      </c>
    </row>
    <row r="12" spans="1:20" ht="15" thickBot="1">
      <c r="A12" s="137" t="s">
        <v>432</v>
      </c>
      <c r="B12" s="140">
        <v>13.2</v>
      </c>
      <c r="C12" s="141">
        <v>7.3</v>
      </c>
      <c r="D12" s="142">
        <v>79.811068541941054</v>
      </c>
      <c r="E12" s="143">
        <v>722.6</v>
      </c>
      <c r="G12" t="s">
        <v>695</v>
      </c>
      <c r="K12" s="1543" t="s">
        <v>116</v>
      </c>
      <c r="L12" s="1543">
        <v>0.05</v>
      </c>
      <c r="O12" s="25" t="s">
        <v>103</v>
      </c>
      <c r="P12" s="656" t="e">
        <f ca="1">P7-P11*P10</f>
        <v>#NAME?</v>
      </c>
      <c r="Q12" s="657" t="e">
        <f ca="1">Q7-Q11*Q10</f>
        <v>#NAME?</v>
      </c>
      <c r="S12" t="e">
        <f ca="1"/>
        <v>#NAME?</v>
      </c>
      <c r="T12" s="544" t="e">
        <f ca="1"/>
        <v>#NAME?</v>
      </c>
    </row>
    <row r="13" spans="1:20" ht="15" thickTop="1">
      <c r="A13" s="137" t="s">
        <v>433</v>
      </c>
      <c r="B13" s="140">
        <v>14.7</v>
      </c>
      <c r="C13" s="141">
        <v>8.1</v>
      </c>
      <c r="D13" s="142">
        <v>65.387718279566343</v>
      </c>
      <c r="E13" s="143">
        <v>493.2</v>
      </c>
      <c r="G13" s="1151"/>
      <c r="H13" s="1151" t="s">
        <v>186</v>
      </c>
      <c r="I13" s="1151" t="s">
        <v>578</v>
      </c>
      <c r="J13" s="1151" t="s">
        <v>641</v>
      </c>
      <c r="K13" s="1151" t="s">
        <v>388</v>
      </c>
      <c r="L13" s="1151" t="s">
        <v>200</v>
      </c>
      <c r="M13" s="1151" t="s">
        <v>948</v>
      </c>
      <c r="O13" s="25" t="s">
        <v>104</v>
      </c>
      <c r="P13" s="533" t="e">
        <f ca="1">P7+P11*P10</f>
        <v>#NAME?</v>
      </c>
      <c r="Q13" s="541" t="e">
        <f ca="1">Q7+Q11*Q10</f>
        <v>#NAME?</v>
      </c>
    </row>
    <row r="14" spans="1:20">
      <c r="A14" s="137" t="s">
        <v>434</v>
      </c>
      <c r="B14" s="140">
        <v>9.1</v>
      </c>
      <c r="C14" s="141">
        <v>5.6</v>
      </c>
      <c r="D14" s="142">
        <v>29.667333748383395</v>
      </c>
      <c r="E14" s="143">
        <v>272.8</v>
      </c>
      <c r="G14" t="s">
        <v>623</v>
      </c>
      <c r="H14">
        <f>COUNT(C4:E4)</f>
        <v>3</v>
      </c>
      <c r="I14" t="e">
        <f ca="1">DEVSQ(MMULT([1]!DESIGN(C4:E53),H19:H22))</f>
        <v>#NAME?</v>
      </c>
      <c r="J14" t="e">
        <f ca="1">I14/H14</f>
        <v>#NAME?</v>
      </c>
      <c r="K14" t="e">
        <f ca="1">J14/J15</f>
        <v>#NAME?</v>
      </c>
      <c r="L14" t="e">
        <f ca="1">FDIST(K14,H14,H15)</f>
        <v>#NAME?</v>
      </c>
      <c r="M14" s="1543" t="e">
        <f ca="1">IF(L14&lt;L12,"yes","no")</f>
        <v>#NAME?</v>
      </c>
    </row>
    <row r="15" spans="1:20">
      <c r="A15" s="137" t="s">
        <v>435</v>
      </c>
      <c r="B15" s="140">
        <v>12.6</v>
      </c>
      <c r="C15" s="141">
        <v>6.8</v>
      </c>
      <c r="D15" s="142">
        <v>94.600660447193093</v>
      </c>
      <c r="E15" s="143">
        <v>239.4</v>
      </c>
      <c r="G15" t="s">
        <v>696</v>
      </c>
      <c r="H15">
        <f>H16-H14</f>
        <v>46</v>
      </c>
      <c r="I15" t="e">
        <f ca="1">I16-I14</f>
        <v>#NAME?</v>
      </c>
      <c r="J15" t="e">
        <f ca="1">I15/H15</f>
        <v>#NAME?</v>
      </c>
    </row>
    <row r="16" spans="1:20">
      <c r="A16" s="137" t="s">
        <v>436</v>
      </c>
      <c r="B16" s="140">
        <v>12.2</v>
      </c>
      <c r="C16" s="141">
        <v>7.3</v>
      </c>
      <c r="D16" s="142">
        <v>79.13310968601246</v>
      </c>
      <c r="E16" s="143">
        <v>533.20000000000005</v>
      </c>
      <c r="G16" s="1078" t="s">
        <v>12</v>
      </c>
      <c r="H16" s="1078">
        <f>H10-1</f>
        <v>49</v>
      </c>
      <c r="I16" s="1078">
        <f>DEVSQ(B4:B53)</f>
        <v>423.24879999999996</v>
      </c>
      <c r="J16" s="1078"/>
      <c r="K16" s="1078"/>
      <c r="L16" s="1078"/>
      <c r="M16" s="1078"/>
    </row>
    <row r="17" spans="1:15" ht="15" thickBot="1">
      <c r="A17" s="137" t="s">
        <v>437</v>
      </c>
      <c r="B17" s="140">
        <v>13.1</v>
      </c>
      <c r="C17" s="141">
        <v>8</v>
      </c>
      <c r="D17" s="142">
        <v>88.000000627274659</v>
      </c>
      <c r="E17" s="143">
        <v>333.6</v>
      </c>
    </row>
    <row r="18" spans="1:15" ht="15" thickTop="1">
      <c r="A18" s="137" t="s">
        <v>438</v>
      </c>
      <c r="B18" s="140">
        <v>11.5</v>
      </c>
      <c r="C18" s="141">
        <v>5.0999999999999996</v>
      </c>
      <c r="D18" s="142">
        <v>94.170464820794294</v>
      </c>
      <c r="E18" s="143">
        <v>294.7</v>
      </c>
      <c r="G18" s="1151"/>
      <c r="H18" s="1151" t="s">
        <v>2743</v>
      </c>
      <c r="I18" s="1151" t="s">
        <v>1469</v>
      </c>
      <c r="J18" s="1151" t="s">
        <v>188</v>
      </c>
      <c r="K18" s="1151" t="s">
        <v>200</v>
      </c>
      <c r="L18" s="1151" t="s">
        <v>103</v>
      </c>
      <c r="M18" s="1151" t="s">
        <v>104</v>
      </c>
      <c r="O18" s="1151" t="s">
        <v>3451</v>
      </c>
    </row>
    <row r="19" spans="1:15">
      <c r="A19" s="137" t="s">
        <v>439</v>
      </c>
      <c r="B19" s="140">
        <v>11.3</v>
      </c>
      <c r="C19" s="141">
        <v>7.1</v>
      </c>
      <c r="D19" s="142">
        <v>88.703716524620162</v>
      </c>
      <c r="E19" s="143">
        <v>452.7</v>
      </c>
      <c r="G19" t="s">
        <v>697</v>
      </c>
      <c r="H19" t="e">
        <f t="array" aca="1" ref="H19:H22" ca="1">[1]!RegCoeff(C4:E53,B4:B53)</f>
        <v>#NAME?</v>
      </c>
      <c r="I19" t="e">
        <f t="array" aca="1" ref="I19:I22" ca="1">[1]!RegCoeffSE(C4:E53,B4:B53)</f>
        <v>#NAME?</v>
      </c>
      <c r="J19" t="e">
        <f ca="1">H19/I19</f>
        <v>#NAME?</v>
      </c>
      <c r="K19" t="e">
        <f ca="1">TDIST(ABS(J19),$H$15,2)</f>
        <v>#NAME?</v>
      </c>
      <c r="L19" t="e">
        <f ca="1">H19-TINV(L$12,$H$15)*I19</f>
        <v>#NAME?</v>
      </c>
      <c r="M19" t="e">
        <f ca="1">H19+TINV(L$12,$H$15)*I19</f>
        <v>#NAME?</v>
      </c>
      <c r="O19">
        <v>1</v>
      </c>
    </row>
    <row r="20" spans="1:15">
      <c r="A20" s="137" t="s">
        <v>440</v>
      </c>
      <c r="B20" s="140">
        <v>17.3</v>
      </c>
      <c r="C20" s="141">
        <v>7.5</v>
      </c>
      <c r="D20" s="142">
        <v>89.904327345935869</v>
      </c>
      <c r="E20" s="143">
        <v>295</v>
      </c>
      <c r="G20" t="str">
        <f t="array" ref="G20:G22">TRANSPOSE(C3:E3)</f>
        <v>Infant Mort</v>
      </c>
      <c r="H20" t="e">
        <f ca="1"/>
        <v>#NAME?</v>
      </c>
      <c r="I20" t="e">
        <f ca="1"/>
        <v>#NAME?</v>
      </c>
      <c r="J20" t="e">
        <f t="shared" ref="J20:J22" ca="1" si="1">H20/I20</f>
        <v>#NAME?</v>
      </c>
      <c r="K20" t="e">
        <f t="shared" ref="K20:K22" ca="1" si="2">TDIST(ABS(J20),$H$15,2)</f>
        <v>#NAME?</v>
      </c>
      <c r="L20" t="e">
        <f t="shared" ref="L20:L22" ca="1" si="3">H20-TINV(L$12,$H$15)*I20</f>
        <v>#NAME?</v>
      </c>
      <c r="M20" t="e">
        <f t="shared" ref="M20:M22" ca="1" si="4">H20+TINV(L$12,$H$15)*I20</f>
        <v>#NAME?</v>
      </c>
      <c r="O20">
        <v>7</v>
      </c>
    </row>
    <row r="21" spans="1:15">
      <c r="A21" s="137" t="s">
        <v>441</v>
      </c>
      <c r="B21" s="140">
        <v>17.3</v>
      </c>
      <c r="C21" s="141">
        <v>9.9</v>
      </c>
      <c r="D21" s="142">
        <v>64.839543701408999</v>
      </c>
      <c r="E21" s="143">
        <v>729.5</v>
      </c>
      <c r="G21" t="str">
        <v>White</v>
      </c>
      <c r="H21" t="e">
        <f ca="1"/>
        <v>#NAME?</v>
      </c>
      <c r="I21" t="e">
        <f ca="1"/>
        <v>#NAME?</v>
      </c>
      <c r="J21" t="e">
        <f t="shared" ca="1" si="1"/>
        <v>#NAME?</v>
      </c>
      <c r="K21" t="e">
        <f t="shared" ca="1" si="2"/>
        <v>#NAME?</v>
      </c>
      <c r="L21" t="e">
        <f t="shared" ca="1" si="3"/>
        <v>#NAME?</v>
      </c>
      <c r="M21" t="e">
        <f t="shared" ca="1" si="4"/>
        <v>#NAME?</v>
      </c>
      <c r="O21">
        <v>80</v>
      </c>
    </row>
    <row r="22" spans="1:15">
      <c r="A22" s="137" t="s">
        <v>442</v>
      </c>
      <c r="B22" s="140">
        <v>12.3</v>
      </c>
      <c r="C22" s="141">
        <v>6.3</v>
      </c>
      <c r="D22" s="142">
        <v>96.389852756187835</v>
      </c>
      <c r="E22" s="143">
        <v>118</v>
      </c>
      <c r="G22" s="1078" t="str">
        <v>Crime</v>
      </c>
      <c r="H22" s="1078" t="e">
        <f ca="1"/>
        <v>#NAME?</v>
      </c>
      <c r="I22" s="1078" t="e">
        <f ca="1"/>
        <v>#NAME?</v>
      </c>
      <c r="J22" s="1078" t="e">
        <f t="shared" ca="1" si="1"/>
        <v>#NAME?</v>
      </c>
      <c r="K22" s="1078" t="e">
        <f t="shared" ca="1" si="2"/>
        <v>#NAME?</v>
      </c>
      <c r="L22" s="1078" t="e">
        <f t="shared" ca="1" si="3"/>
        <v>#NAME?</v>
      </c>
      <c r="M22" s="1078" t="e">
        <f t="shared" ca="1" si="4"/>
        <v>#NAME?</v>
      </c>
      <c r="O22" s="1078">
        <v>400</v>
      </c>
    </row>
    <row r="23" spans="1:15">
      <c r="A23" s="137" t="s">
        <v>443</v>
      </c>
      <c r="B23" s="140">
        <v>8.1</v>
      </c>
      <c r="C23" s="141">
        <v>8</v>
      </c>
      <c r="D23" s="142">
        <v>63.398020838196281</v>
      </c>
      <c r="E23" s="143">
        <v>641.9</v>
      </c>
      <c r="N23" s="1543"/>
    </row>
    <row r="24" spans="1:15">
      <c r="A24" s="137" t="s">
        <v>444</v>
      </c>
      <c r="B24" s="149">
        <v>10</v>
      </c>
      <c r="C24" s="141">
        <v>4.8</v>
      </c>
      <c r="D24" s="142">
        <v>86.203669547721617</v>
      </c>
      <c r="E24" s="143">
        <v>431.5</v>
      </c>
    </row>
    <row r="25" spans="1:15">
      <c r="A25" s="137" t="s">
        <v>445</v>
      </c>
      <c r="B25" s="140">
        <v>14.4</v>
      </c>
      <c r="C25" s="141">
        <v>7.4</v>
      </c>
      <c r="D25" s="142">
        <v>81.183409037427396</v>
      </c>
      <c r="E25" s="143">
        <v>536</v>
      </c>
    </row>
    <row r="26" spans="1:15">
      <c r="A26" s="137" t="s">
        <v>446</v>
      </c>
      <c r="B26" s="140">
        <v>9.6</v>
      </c>
      <c r="C26" s="141">
        <v>5.2</v>
      </c>
      <c r="D26" s="142">
        <v>89.045556531854984</v>
      </c>
      <c r="E26" s="143">
        <v>288.7</v>
      </c>
    </row>
    <row r="27" spans="1:15">
      <c r="A27" s="137" t="s">
        <v>447</v>
      </c>
      <c r="B27" s="140">
        <v>21.2</v>
      </c>
      <c r="C27" s="141">
        <v>10.6</v>
      </c>
      <c r="D27" s="142">
        <v>60.598179144073846</v>
      </c>
      <c r="E27" s="143">
        <v>291.3</v>
      </c>
    </row>
    <row r="28" spans="1:15">
      <c r="A28" s="137" t="s">
        <v>448</v>
      </c>
      <c r="B28" s="140">
        <v>13.4</v>
      </c>
      <c r="C28" s="141">
        <v>7.4</v>
      </c>
      <c r="D28" s="142">
        <v>85.028888093842554</v>
      </c>
      <c r="E28" s="143">
        <v>504.9</v>
      </c>
    </row>
    <row r="29" spans="1:15">
      <c r="A29" s="137" t="s">
        <v>449</v>
      </c>
      <c r="B29" s="140">
        <v>14.8</v>
      </c>
      <c r="C29" s="141">
        <v>5.8</v>
      </c>
      <c r="D29" s="142">
        <v>90.467729264863962</v>
      </c>
      <c r="E29" s="143">
        <v>287.5</v>
      </c>
    </row>
    <row r="30" spans="1:15">
      <c r="A30" s="137" t="s">
        <v>450</v>
      </c>
      <c r="B30" s="140">
        <v>10.8</v>
      </c>
      <c r="C30" s="141">
        <v>5.6</v>
      </c>
      <c r="D30" s="142">
        <v>91.372477335833381</v>
      </c>
      <c r="E30" s="143">
        <v>302.39999999999998</v>
      </c>
    </row>
    <row r="31" spans="1:15">
      <c r="A31" s="137" t="s">
        <v>451</v>
      </c>
      <c r="B31" s="140">
        <v>11.3</v>
      </c>
      <c r="C31" s="141">
        <v>6.4</v>
      </c>
      <c r="D31" s="142">
        <v>80.891227371165002</v>
      </c>
      <c r="E31" s="143">
        <v>750.6</v>
      </c>
    </row>
    <row r="32" spans="1:15">
      <c r="A32" s="137" t="s">
        <v>452</v>
      </c>
      <c r="B32" s="140">
        <v>7.6</v>
      </c>
      <c r="C32" s="141">
        <v>6.1</v>
      </c>
      <c r="D32" s="142">
        <v>95.487186970145373</v>
      </c>
      <c r="E32" s="143">
        <v>137.30000000000001</v>
      </c>
    </row>
    <row r="33" spans="1:5">
      <c r="A33" s="137" t="s">
        <v>453</v>
      </c>
      <c r="B33" s="140">
        <v>8.6999999999999993</v>
      </c>
      <c r="C33" s="141">
        <v>5.5</v>
      </c>
      <c r="D33" s="142">
        <v>76.032117342828414</v>
      </c>
      <c r="E33" s="143">
        <v>329.3</v>
      </c>
    </row>
    <row r="34" spans="1:5">
      <c r="A34" s="137" t="s">
        <v>454</v>
      </c>
      <c r="B34" s="140">
        <v>17.100000000000001</v>
      </c>
      <c r="C34" s="141">
        <v>5.8</v>
      </c>
      <c r="D34" s="142">
        <v>83.996520785584835</v>
      </c>
      <c r="E34" s="143">
        <v>664.2</v>
      </c>
    </row>
    <row r="35" spans="1:5">
      <c r="A35" s="137" t="s">
        <v>455</v>
      </c>
      <c r="B35" s="140">
        <v>13.6</v>
      </c>
      <c r="C35" s="141">
        <v>5.6</v>
      </c>
      <c r="D35" s="142">
        <v>73.422529169257928</v>
      </c>
      <c r="E35" s="143">
        <v>414.1</v>
      </c>
    </row>
    <row r="36" spans="1:5">
      <c r="A36" s="137" t="s">
        <v>456</v>
      </c>
      <c r="B36" s="140">
        <v>14.6</v>
      </c>
      <c r="C36" s="141">
        <v>8.1</v>
      </c>
      <c r="D36" s="142">
        <v>73.937344387272134</v>
      </c>
      <c r="E36" s="143">
        <v>466.4</v>
      </c>
    </row>
    <row r="37" spans="1:5">
      <c r="A37" s="137" t="s">
        <v>457</v>
      </c>
      <c r="B37" s="150">
        <v>12</v>
      </c>
      <c r="C37" s="141">
        <v>5.8</v>
      </c>
      <c r="D37" s="142">
        <v>91.393509706444945</v>
      </c>
      <c r="E37" s="143">
        <v>142.4</v>
      </c>
    </row>
    <row r="38" spans="1:5">
      <c r="A38" s="137" t="s">
        <v>458</v>
      </c>
      <c r="B38" s="140">
        <v>13.4</v>
      </c>
      <c r="C38" s="141">
        <v>7.8</v>
      </c>
      <c r="D38" s="142">
        <v>84.764237226305966</v>
      </c>
      <c r="E38" s="143">
        <v>343.2</v>
      </c>
    </row>
    <row r="39" spans="1:5">
      <c r="A39" s="137" t="s">
        <v>459</v>
      </c>
      <c r="B39" s="140">
        <v>15.9</v>
      </c>
      <c r="C39" s="141">
        <v>8</v>
      </c>
      <c r="D39" s="142">
        <v>78.141238608693655</v>
      </c>
      <c r="E39" s="143">
        <v>499.6</v>
      </c>
    </row>
    <row r="40" spans="1:5">
      <c r="A40" s="137" t="s">
        <v>460</v>
      </c>
      <c r="B40" s="140">
        <v>13.6</v>
      </c>
      <c r="C40" s="141">
        <v>5.5</v>
      </c>
      <c r="D40" s="142">
        <v>90.140446325387984</v>
      </c>
      <c r="E40" s="143">
        <v>287.60000000000002</v>
      </c>
    </row>
    <row r="41" spans="1:5">
      <c r="A41" s="137" t="s">
        <v>461</v>
      </c>
      <c r="B41" s="140">
        <v>12.1</v>
      </c>
      <c r="C41" s="141">
        <v>7.6</v>
      </c>
      <c r="D41" s="142">
        <v>85.424563507935517</v>
      </c>
      <c r="E41" s="143">
        <v>416.5</v>
      </c>
    </row>
    <row r="42" spans="1:5">
      <c r="A42" s="137" t="s">
        <v>462</v>
      </c>
      <c r="B42" s="140">
        <v>11.7</v>
      </c>
      <c r="C42" s="141">
        <v>6.1</v>
      </c>
      <c r="D42" s="142">
        <v>88.483880668602993</v>
      </c>
      <c r="E42" s="143">
        <v>227.3</v>
      </c>
    </row>
    <row r="43" spans="1:5">
      <c r="A43" s="137" t="s">
        <v>463</v>
      </c>
      <c r="B43" s="140">
        <v>15.7</v>
      </c>
      <c r="C43" s="141">
        <v>8.4</v>
      </c>
      <c r="D43" s="142">
        <v>68.748136077503446</v>
      </c>
      <c r="E43" s="143">
        <v>788.3</v>
      </c>
    </row>
    <row r="44" spans="1:5">
      <c r="A44" s="137" t="s">
        <v>464</v>
      </c>
      <c r="B44" s="140">
        <v>12.5</v>
      </c>
      <c r="C44" s="141">
        <v>6.9</v>
      </c>
      <c r="D44" s="142">
        <v>88.189790025789804</v>
      </c>
      <c r="E44" s="143">
        <v>169.2</v>
      </c>
    </row>
    <row r="45" spans="1:5">
      <c r="A45" s="137" t="s">
        <v>465</v>
      </c>
      <c r="B45" s="140">
        <v>15.5</v>
      </c>
      <c r="C45" s="141">
        <v>8.6999999999999993</v>
      </c>
      <c r="D45" s="142">
        <v>80.371971305033981</v>
      </c>
      <c r="E45" s="143">
        <v>753.3</v>
      </c>
    </row>
    <row r="46" spans="1:5">
      <c r="A46" s="137" t="s">
        <v>466</v>
      </c>
      <c r="B46" s="140">
        <v>15.8</v>
      </c>
      <c r="C46" s="141">
        <v>6.2</v>
      </c>
      <c r="D46" s="142">
        <v>82.402677784750395</v>
      </c>
      <c r="E46" s="143">
        <v>510.6</v>
      </c>
    </row>
    <row r="47" spans="1:5">
      <c r="A47" s="137" t="s">
        <v>467</v>
      </c>
      <c r="B47" s="140">
        <v>9.6</v>
      </c>
      <c r="C47" s="141">
        <v>5.0999999999999996</v>
      </c>
      <c r="D47" s="142">
        <v>92.915461931338129</v>
      </c>
      <c r="E47" s="143">
        <v>234.8</v>
      </c>
    </row>
    <row r="48" spans="1:5">
      <c r="A48" s="137" t="s">
        <v>468</v>
      </c>
      <c r="B48" s="140">
        <v>10.6</v>
      </c>
      <c r="C48" s="141">
        <v>5.5</v>
      </c>
      <c r="D48" s="142">
        <v>96.408807764739961</v>
      </c>
      <c r="E48" s="143">
        <v>124.3</v>
      </c>
    </row>
    <row r="49" spans="1:5">
      <c r="A49" s="137" t="s">
        <v>469</v>
      </c>
      <c r="B49" s="140">
        <v>10.199999999999999</v>
      </c>
      <c r="C49" s="141">
        <v>7.1</v>
      </c>
      <c r="D49" s="142">
        <v>73.031896017666924</v>
      </c>
      <c r="E49" s="143">
        <v>269.7</v>
      </c>
    </row>
    <row r="50" spans="1:5">
      <c r="A50" s="137" t="s">
        <v>470</v>
      </c>
      <c r="B50" s="140">
        <v>11.3</v>
      </c>
      <c r="C50" s="141">
        <v>4.7</v>
      </c>
      <c r="D50" s="142">
        <v>84.290902250404002</v>
      </c>
      <c r="E50" s="143">
        <v>333.1</v>
      </c>
    </row>
    <row r="51" spans="1:5">
      <c r="A51" s="137" t="s">
        <v>471</v>
      </c>
      <c r="B51" s="150">
        <v>17</v>
      </c>
      <c r="C51" s="141">
        <v>7.4</v>
      </c>
      <c r="D51" s="142">
        <v>94.524786328554711</v>
      </c>
      <c r="E51" s="143">
        <v>275.2</v>
      </c>
    </row>
    <row r="52" spans="1:5">
      <c r="A52" s="137" t="s">
        <v>472</v>
      </c>
      <c r="B52" s="140">
        <v>10.4</v>
      </c>
      <c r="C52" s="141">
        <v>6.4</v>
      </c>
      <c r="D52" s="142">
        <v>89.673695670212709</v>
      </c>
      <c r="E52" s="143">
        <v>290.89999999999998</v>
      </c>
    </row>
    <row r="53" spans="1:5">
      <c r="A53" s="151" t="s">
        <v>473</v>
      </c>
      <c r="B53" s="152">
        <v>9.4</v>
      </c>
      <c r="C53" s="153">
        <v>7</v>
      </c>
      <c r="D53" s="154">
        <v>93.867286940458214</v>
      </c>
      <c r="E53" s="155">
        <v>239.3</v>
      </c>
    </row>
    <row r="54" spans="1:5">
      <c r="A54" s="137"/>
      <c r="B54" s="137"/>
      <c r="C54" s="137"/>
      <c r="D54" s="137"/>
      <c r="E54" s="137"/>
    </row>
    <row r="55" spans="1:5">
      <c r="A55" s="137" t="s">
        <v>474</v>
      </c>
      <c r="B55" s="137"/>
      <c r="C55" s="137"/>
      <c r="D55" s="137"/>
      <c r="E55" s="137"/>
    </row>
    <row r="56" spans="1:5">
      <c r="A56" s="137" t="s">
        <v>475</v>
      </c>
      <c r="B56" s="137"/>
      <c r="C56" s="137"/>
      <c r="D56" s="137"/>
      <c r="E56" s="137"/>
    </row>
    <row r="57" spans="1:5">
      <c r="A57" s="137" t="s">
        <v>476</v>
      </c>
      <c r="B57" s="137"/>
      <c r="C57" s="137"/>
      <c r="D57" s="137"/>
      <c r="E57" s="137"/>
    </row>
    <row r="58" spans="1:5">
      <c r="A58" s="137" t="s">
        <v>477</v>
      </c>
      <c r="B58" s="137"/>
      <c r="C58" s="137"/>
      <c r="D58" s="137"/>
      <c r="E58" s="137"/>
    </row>
  </sheetData>
  <pageMargins left="0.7" right="0.7" top="0.75" bottom="0.75" header="0.3" footer="0.3"/>
  <ignoredErrors>
    <ignoredError sqref="H14" formulaRange="1"/>
  </ignoredErrors>
</worksheet>
</file>

<file path=xl/worksheets/sheet217.xml><?xml version="1.0" encoding="utf-8"?>
<worksheet xmlns="http://schemas.openxmlformats.org/spreadsheetml/2006/main" xmlns:r="http://schemas.openxmlformats.org/officeDocument/2006/relationships">
  <sheetPr codeName="Sheet382"/>
  <dimension ref="A1:Q23"/>
  <sheetViews>
    <sheetView workbookViewId="0">
      <selection activeCell="P3" sqref="P3:Q12"/>
    </sheetView>
  </sheetViews>
  <sheetFormatPr defaultRowHeight="14.4"/>
  <cols>
    <col min="1" max="1" width="10.44140625" customWidth="1"/>
    <col min="2" max="2" width="10.33203125" customWidth="1"/>
    <col min="4" max="4" width="17.6640625" customWidth="1"/>
    <col min="7" max="9" width="9.33203125" bestFit="1" customWidth="1"/>
    <col min="10" max="10" width="9.33203125" customWidth="1"/>
    <col min="12" max="12" width="9.109375" customWidth="1"/>
    <col min="16" max="16" width="12" customWidth="1"/>
  </cols>
  <sheetData>
    <row r="1" spans="1:17">
      <c r="A1" s="1" t="s">
        <v>4214</v>
      </c>
    </row>
    <row r="3" spans="1:17">
      <c r="A3" s="1220" t="s">
        <v>628</v>
      </c>
      <c r="B3" s="1220" t="s">
        <v>629</v>
      </c>
      <c r="D3" t="s">
        <v>2744</v>
      </c>
      <c r="L3" t="s">
        <v>4210</v>
      </c>
      <c r="P3" t="s">
        <v>4040</v>
      </c>
    </row>
    <row r="4" spans="1:17">
      <c r="A4" s="1544">
        <v>5</v>
      </c>
      <c r="B4" s="1227">
        <v>80</v>
      </c>
    </row>
    <row r="5" spans="1:17" ht="15" thickBot="1">
      <c r="A5" s="1544">
        <v>23</v>
      </c>
      <c r="B5" s="1544">
        <v>78</v>
      </c>
      <c r="D5" s="1059" t="s">
        <v>2750</v>
      </c>
      <c r="E5" s="1059"/>
      <c r="G5" t="s">
        <v>4209</v>
      </c>
      <c r="M5" s="1543" t="s">
        <v>4211</v>
      </c>
      <c r="N5" s="1543" t="s">
        <v>2968</v>
      </c>
    </row>
    <row r="6" spans="1:17" ht="15" thickTop="1">
      <c r="A6" s="1544">
        <v>25</v>
      </c>
      <c r="B6" s="1544">
        <v>60</v>
      </c>
      <c r="D6" t="s">
        <v>693</v>
      </c>
      <c r="E6" t="e">
        <f ca="1">SQRT(E7)</f>
        <v>#NAME?</v>
      </c>
      <c r="G6" s="1236" t="e">
        <f t="array" aca="1" ref="G6:H7" ca="1">[1]!core(A4:A18)</f>
        <v>#NAME?</v>
      </c>
      <c r="H6" s="1237" t="e">
        <f ca="1"/>
        <v>#NAME?</v>
      </c>
      <c r="L6" t="s">
        <v>337</v>
      </c>
      <c r="M6" s="1236">
        <v>0.05</v>
      </c>
      <c r="N6" s="1237">
        <f>M6</f>
        <v>0.05</v>
      </c>
      <c r="P6" t="e">
        <f t="array" aca="1" ref="P6:Q12" ca="1">[1]!RegPred(L20,A4:A18,B4:B18,TRUE)</f>
        <v>#NAME?</v>
      </c>
      <c r="Q6" s="1235" t="e">
        <f ca="1"/>
        <v>#NAME?</v>
      </c>
    </row>
    <row r="7" spans="1:17">
      <c r="A7" s="1544">
        <v>48</v>
      </c>
      <c r="B7" s="1544">
        <v>53</v>
      </c>
      <c r="D7" t="s">
        <v>686</v>
      </c>
      <c r="E7" t="e">
        <f ca="1">F14/F16</f>
        <v>#NAME?</v>
      </c>
      <c r="G7" s="533" t="e">
        <f ca="1"/>
        <v>#NAME?</v>
      </c>
      <c r="H7" s="541" t="e">
        <f ca="1"/>
        <v>#NAME?</v>
      </c>
      <c r="L7" t="s">
        <v>4212</v>
      </c>
      <c r="M7" s="656" t="e">
        <f ca="1">SUMPRODUCT(E19:E20,L19:L20)</f>
        <v>#NAME?</v>
      </c>
      <c r="N7" s="657" t="e">
        <f t="shared" ref="N7:N8" ca="1" si="0">M7</f>
        <v>#NAME?</v>
      </c>
      <c r="P7" t="e">
        <f ca="1"/>
        <v>#NAME?</v>
      </c>
      <c r="Q7" s="627" t="e">
        <f ca="1"/>
        <v>#NAME?</v>
      </c>
    </row>
    <row r="8" spans="1:17">
      <c r="A8" s="201">
        <v>17</v>
      </c>
      <c r="B8" s="1544">
        <v>85</v>
      </c>
      <c r="D8" t="s">
        <v>694</v>
      </c>
      <c r="E8" t="e">
        <f ca="1">1-(1-E7)*(E10-1)/(E10-E14-1)</f>
        <v>#NAME?</v>
      </c>
      <c r="L8" t="s">
        <v>4213</v>
      </c>
      <c r="M8" s="656" t="e">
        <f ca="1">G15</f>
        <v>#NAME?</v>
      </c>
      <c r="N8" s="657" t="e">
        <f t="shared" ca="1" si="0"/>
        <v>#NAME?</v>
      </c>
      <c r="P8" t="e">
        <f ca="1"/>
        <v>#NAME?</v>
      </c>
      <c r="Q8" s="627" t="e">
        <f ca="1"/>
        <v>#NAME?</v>
      </c>
    </row>
    <row r="9" spans="1:17">
      <c r="A9" s="201">
        <v>8</v>
      </c>
      <c r="B9" s="1544">
        <v>84</v>
      </c>
      <c r="D9" t="s">
        <v>77</v>
      </c>
      <c r="E9" t="e">
        <f ca="1">SQRT(G15)</f>
        <v>#NAME?</v>
      </c>
      <c r="L9" s="25" t="s">
        <v>4206</v>
      </c>
      <c r="M9" s="656">
        <f>E15</f>
        <v>13</v>
      </c>
      <c r="N9" s="657">
        <f>M9</f>
        <v>13</v>
      </c>
      <c r="P9" t="e">
        <f ca="1"/>
        <v>#NAME?</v>
      </c>
      <c r="Q9" s="627" t="e">
        <f ca="1"/>
        <v>#NAME?</v>
      </c>
    </row>
    <row r="10" spans="1:17">
      <c r="A10" s="1544">
        <v>4</v>
      </c>
      <c r="B10" s="1544">
        <v>73</v>
      </c>
      <c r="D10" s="1078" t="s">
        <v>224</v>
      </c>
      <c r="E10" s="1078">
        <f>COUNT(B4:B18)</f>
        <v>15</v>
      </c>
      <c r="L10" s="25" t="s">
        <v>201</v>
      </c>
      <c r="M10" s="656">
        <f>TINV(M6,M9)</f>
        <v>2.1603686564627926</v>
      </c>
      <c r="N10" s="657">
        <f>M10</f>
        <v>2.1603686564627926</v>
      </c>
      <c r="P10" t="e">
        <f ca="1"/>
        <v>#NAME?</v>
      </c>
      <c r="Q10" s="627" t="e">
        <f ca="1"/>
        <v>#NAME?</v>
      </c>
    </row>
    <row r="11" spans="1:17">
      <c r="A11" s="1544">
        <v>26</v>
      </c>
      <c r="B11" s="1544">
        <v>79</v>
      </c>
      <c r="L11" s="25" t="s">
        <v>826</v>
      </c>
      <c r="M11" s="656" t="e">
        <f t="array" aca="1" ref="M11" ca="1">SQRT(M8*MMULT(TRANSPOSE(L19:L20),MMULT(G6:H7,L19:L20)))</f>
        <v>#NAME?</v>
      </c>
      <c r="N11" s="657" t="e">
        <f t="array" aca="1" ref="N11" ca="1">SQRT(M8*(1+MMULT(TRANSPOSE(L19:L20),MMULT(G6:H7,L19:L20))))</f>
        <v>#NAME?</v>
      </c>
      <c r="P11" t="e">
        <f ca="1"/>
        <v>#NAME?</v>
      </c>
      <c r="Q11" s="627" t="e">
        <f ca="1"/>
        <v>#NAME?</v>
      </c>
    </row>
    <row r="12" spans="1:17" ht="15" thickBot="1">
      <c r="A12" s="1544">
        <v>11</v>
      </c>
      <c r="B12" s="1544">
        <v>81</v>
      </c>
      <c r="D12" t="s">
        <v>695</v>
      </c>
      <c r="H12" s="1543" t="s">
        <v>116</v>
      </c>
      <c r="I12" s="1543">
        <v>0.05</v>
      </c>
      <c r="L12" s="25" t="s">
        <v>103</v>
      </c>
      <c r="M12" s="656" t="e">
        <f ca="1">M7-M11*M10</f>
        <v>#NAME?</v>
      </c>
      <c r="N12" s="657" t="e">
        <f ca="1">N7-N11*N10</f>
        <v>#NAME?</v>
      </c>
      <c r="P12" t="e">
        <f ca="1"/>
        <v>#NAME?</v>
      </c>
      <c r="Q12" s="544" t="e">
        <f ca="1"/>
        <v>#NAME?</v>
      </c>
    </row>
    <row r="13" spans="1:17" ht="15" thickTop="1">
      <c r="A13" s="1544">
        <v>19</v>
      </c>
      <c r="B13" s="1544">
        <v>75</v>
      </c>
      <c r="D13" s="1151"/>
      <c r="E13" s="1151" t="s">
        <v>186</v>
      </c>
      <c r="F13" s="1151" t="s">
        <v>578</v>
      </c>
      <c r="G13" s="1151" t="s">
        <v>641</v>
      </c>
      <c r="H13" s="1151" t="s">
        <v>388</v>
      </c>
      <c r="I13" s="1151" t="s">
        <v>200</v>
      </c>
      <c r="J13" s="1151" t="s">
        <v>948</v>
      </c>
      <c r="L13" s="25" t="s">
        <v>104</v>
      </c>
      <c r="M13" s="533" t="e">
        <f ca="1">M7+M11*M10</f>
        <v>#NAME?</v>
      </c>
      <c r="N13" s="541" t="e">
        <f ca="1">N7+N11*N10</f>
        <v>#NAME?</v>
      </c>
    </row>
    <row r="14" spans="1:17">
      <c r="A14" s="1544">
        <v>14</v>
      </c>
      <c r="B14" s="1544">
        <v>68</v>
      </c>
      <c r="D14" t="s">
        <v>623</v>
      </c>
      <c r="E14">
        <f>COUNT(A4)</f>
        <v>1</v>
      </c>
      <c r="F14" t="e">
        <f ca="1">DEVSQ(MMULT([1]!DESIGN(A4:A18),E19:E20))</f>
        <v>#NAME?</v>
      </c>
      <c r="G14" t="e">
        <f ca="1">F14/E14</f>
        <v>#NAME?</v>
      </c>
      <c r="H14" t="e">
        <f ca="1">G14/G15</f>
        <v>#NAME?</v>
      </c>
      <c r="I14" t="e">
        <f ca="1">FDIST(H14,E14,E15)</f>
        <v>#NAME?</v>
      </c>
      <c r="J14" s="1543" t="e">
        <f ca="1">IF(I14&lt;I12,"yes","no")</f>
        <v>#NAME?</v>
      </c>
    </row>
    <row r="15" spans="1:17">
      <c r="A15" s="1544">
        <v>35</v>
      </c>
      <c r="B15" s="1544">
        <v>72</v>
      </c>
      <c r="D15" t="s">
        <v>696</v>
      </c>
      <c r="E15">
        <f>E16-E14</f>
        <v>13</v>
      </c>
      <c r="F15" t="e">
        <f ca="1">F16-F14</f>
        <v>#NAME?</v>
      </c>
      <c r="G15" t="e">
        <f ca="1">F15/E15</f>
        <v>#NAME?</v>
      </c>
    </row>
    <row r="16" spans="1:17">
      <c r="A16" s="1544">
        <v>29</v>
      </c>
      <c r="B16" s="1544">
        <v>58</v>
      </c>
      <c r="D16" s="1078" t="s">
        <v>12</v>
      </c>
      <c r="E16" s="1078">
        <f>E10-1</f>
        <v>14</v>
      </c>
      <c r="F16" s="1078">
        <f>DEVSQ(B4:B18)</f>
        <v>1683.7333333333333</v>
      </c>
      <c r="G16" s="1078"/>
      <c r="H16" s="1078"/>
      <c r="I16" s="1078"/>
      <c r="J16" s="1078"/>
    </row>
    <row r="17" spans="1:12" ht="15" thickBot="1">
      <c r="A17" s="1544">
        <v>4</v>
      </c>
      <c r="B17" s="1544">
        <v>92</v>
      </c>
    </row>
    <row r="18" spans="1:12" ht="15" thickTop="1">
      <c r="A18" s="1219">
        <v>23</v>
      </c>
      <c r="B18" s="1219">
        <v>65</v>
      </c>
      <c r="D18" s="1151"/>
      <c r="E18" s="1151" t="s">
        <v>2743</v>
      </c>
      <c r="F18" s="1151" t="s">
        <v>1469</v>
      </c>
      <c r="G18" s="1151" t="s">
        <v>188</v>
      </c>
      <c r="H18" s="1151" t="s">
        <v>200</v>
      </c>
      <c r="I18" s="1151" t="s">
        <v>103</v>
      </c>
      <c r="J18" s="1151" t="s">
        <v>104</v>
      </c>
      <c r="L18" s="1151" t="s">
        <v>3451</v>
      </c>
    </row>
    <row r="19" spans="1:12">
      <c r="D19" t="s">
        <v>697</v>
      </c>
      <c r="E19" t="e">
        <f t="array" aca="1" ref="E19:E20" ca="1">[1]!RegCoeff(A4:A18,B4:B18)</f>
        <v>#NAME?</v>
      </c>
      <c r="F19" t="e">
        <f t="array" aca="1" ref="F19:F20" ca="1">[1]!RegCoeffSE(A4:A18,B4:B18)</f>
        <v>#NAME?</v>
      </c>
      <c r="G19" t="e">
        <f ca="1">E19/F19</f>
        <v>#NAME?</v>
      </c>
      <c r="H19" t="e">
        <f ca="1">TDIST(ABS(G19),$E$15,2)</f>
        <v>#NAME?</v>
      </c>
      <c r="I19" t="e">
        <f ca="1">E19-TINV(I$12,$E$15)*F19</f>
        <v>#NAME?</v>
      </c>
      <c r="J19" t="e">
        <f ca="1">E19+TINV(I$12,$E$15)*F19</f>
        <v>#NAME?</v>
      </c>
      <c r="L19">
        <v>1</v>
      </c>
    </row>
    <row r="20" spans="1:12">
      <c r="D20" s="1078" t="str">
        <f t="array" ref="D20">TRANSPOSE(A3)</f>
        <v>Cig (x)</v>
      </c>
      <c r="E20" s="1078" t="e">
        <f ca="1"/>
        <v>#NAME?</v>
      </c>
      <c r="F20" s="1078" t="e">
        <f ca="1"/>
        <v>#NAME?</v>
      </c>
      <c r="G20" s="1078" t="e">
        <f ca="1">E20/F20</f>
        <v>#NAME?</v>
      </c>
      <c r="H20" s="1078" t="e">
        <f ca="1">TDIST(ABS(G20),$E$15,2)</f>
        <v>#NAME?</v>
      </c>
      <c r="I20" s="1078" t="e">
        <f ca="1">E20-TINV(I$12,$E$15)*F20</f>
        <v>#NAME?</v>
      </c>
      <c r="J20" s="1078" t="e">
        <f ca="1">E20+TINV(I$12,$E$15)*F20</f>
        <v>#NAME?</v>
      </c>
      <c r="L20" s="1078">
        <v>20</v>
      </c>
    </row>
    <row r="23" spans="1:12">
      <c r="K23" s="1543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sheetPr codeName="Sheet96"/>
  <dimension ref="A1:V43"/>
  <sheetViews>
    <sheetView zoomScaleNormal="100" workbookViewId="0"/>
  </sheetViews>
  <sheetFormatPr defaultColWidth="9.109375" defaultRowHeight="14.4"/>
  <cols>
    <col min="1" max="1" width="9.109375" style="25"/>
    <col min="2" max="7" width="7.109375" style="25" customWidth="1"/>
    <col min="8" max="8" width="13.5546875" style="25" customWidth="1"/>
    <col min="9" max="12" width="9.109375" style="25"/>
    <col min="13" max="13" width="17.33203125" style="25" customWidth="1"/>
    <col min="14" max="14" width="11.88671875" style="25" customWidth="1"/>
    <col min="15" max="15" width="14.33203125" style="25" customWidth="1"/>
    <col min="16" max="19" width="11.88671875" style="25" customWidth="1"/>
    <col min="20" max="20" width="9.109375" style="25"/>
    <col min="21" max="21" width="12.88671875" style="25" customWidth="1"/>
    <col min="22" max="16384" width="9.109375" style="25"/>
  </cols>
  <sheetData>
    <row r="1" spans="1:18">
      <c r="A1" s="1" t="s">
        <v>827</v>
      </c>
    </row>
    <row r="2" spans="1:18">
      <c r="I2" s="894" t="s">
        <v>830</v>
      </c>
      <c r="J2" s="894" t="s">
        <v>831</v>
      </c>
      <c r="K2" s="894" t="s">
        <v>833</v>
      </c>
      <c r="M2" s="1" t="s">
        <v>835</v>
      </c>
    </row>
    <row r="3" spans="1:18">
      <c r="B3" s="1578" t="s">
        <v>828</v>
      </c>
      <c r="C3" s="1578"/>
      <c r="D3" s="1578"/>
      <c r="E3" s="1578"/>
      <c r="F3" s="1578"/>
      <c r="G3" s="1578"/>
      <c r="I3" s="361">
        <v>1</v>
      </c>
      <c r="J3" s="318">
        <f>I3^2</f>
        <v>1</v>
      </c>
      <c r="K3" s="318">
        <v>7</v>
      </c>
    </row>
    <row r="4" spans="1:18">
      <c r="A4" s="290" t="s">
        <v>243</v>
      </c>
      <c r="B4" s="290">
        <v>1</v>
      </c>
      <c r="C4" s="290">
        <v>2</v>
      </c>
      <c r="D4" s="290">
        <v>3</v>
      </c>
      <c r="E4" s="290">
        <v>4</v>
      </c>
      <c r="F4" s="290">
        <v>5</v>
      </c>
      <c r="G4" s="290">
        <v>6</v>
      </c>
      <c r="I4" s="361">
        <v>2</v>
      </c>
      <c r="J4" s="318">
        <f t="shared" ref="J4:J32" si="0">I4^2</f>
        <v>4</v>
      </c>
      <c r="K4" s="318">
        <v>11</v>
      </c>
      <c r="M4" s="25" t="s">
        <v>691</v>
      </c>
    </row>
    <row r="5" spans="1:18" ht="15" thickBot="1">
      <c r="A5" s="290">
        <v>1</v>
      </c>
      <c r="B5" s="895">
        <v>7</v>
      </c>
      <c r="C5" s="896">
        <v>11</v>
      </c>
      <c r="D5" s="896">
        <v>23</v>
      </c>
      <c r="E5" s="896">
        <v>59</v>
      </c>
      <c r="F5" s="896">
        <v>120</v>
      </c>
      <c r="G5" s="897">
        <v>180</v>
      </c>
      <c r="I5" s="361">
        <v>3</v>
      </c>
      <c r="J5" s="318">
        <f t="shared" si="0"/>
        <v>9</v>
      </c>
      <c r="K5" s="318">
        <v>23</v>
      </c>
    </row>
    <row r="6" spans="1:18">
      <c r="A6" s="290">
        <v>2</v>
      </c>
      <c r="B6" s="116">
        <v>3</v>
      </c>
      <c r="C6" s="318">
        <v>8</v>
      </c>
      <c r="D6" s="318">
        <v>20</v>
      </c>
      <c r="E6" s="318">
        <v>48</v>
      </c>
      <c r="F6" s="318">
        <v>88</v>
      </c>
      <c r="G6" s="898">
        <v>140</v>
      </c>
      <c r="I6" s="361">
        <v>4</v>
      </c>
      <c r="J6" s="318">
        <f t="shared" si="0"/>
        <v>16</v>
      </c>
      <c r="K6" s="318">
        <v>59</v>
      </c>
      <c r="M6" s="35" t="s">
        <v>692</v>
      </c>
      <c r="N6" s="35"/>
    </row>
    <row r="7" spans="1:18">
      <c r="A7" s="290">
        <v>3</v>
      </c>
      <c r="B7" s="116">
        <v>4</v>
      </c>
      <c r="C7" s="318">
        <v>11</v>
      </c>
      <c r="D7" s="318">
        <v>21</v>
      </c>
      <c r="E7" s="318">
        <v>58</v>
      </c>
      <c r="F7" s="318">
        <v>128</v>
      </c>
      <c r="G7" s="898">
        <v>195</v>
      </c>
      <c r="I7" s="361">
        <v>5</v>
      </c>
      <c r="J7" s="318">
        <f t="shared" si="0"/>
        <v>25</v>
      </c>
      <c r="K7" s="318">
        <v>120</v>
      </c>
      <c r="M7" s="899" t="s">
        <v>693</v>
      </c>
      <c r="N7" s="899">
        <v>0.97741197717339279</v>
      </c>
    </row>
    <row r="8" spans="1:18">
      <c r="A8" s="290">
        <v>4</v>
      </c>
      <c r="B8" s="116">
        <v>5</v>
      </c>
      <c r="C8" s="318">
        <v>9</v>
      </c>
      <c r="D8" s="318">
        <v>16</v>
      </c>
      <c r="E8" s="318">
        <v>45</v>
      </c>
      <c r="F8" s="318">
        <v>111</v>
      </c>
      <c r="G8" s="898">
        <v>156</v>
      </c>
      <c r="I8" s="361">
        <v>6</v>
      </c>
      <c r="J8" s="318">
        <f t="shared" si="0"/>
        <v>36</v>
      </c>
      <c r="K8" s="318">
        <v>180</v>
      </c>
      <c r="M8" s="899" t="s">
        <v>686</v>
      </c>
      <c r="N8" s="899">
        <v>0.95533417312200086</v>
      </c>
    </row>
    <row r="9" spans="1:18">
      <c r="A9" s="290">
        <v>5</v>
      </c>
      <c r="B9" s="900">
        <v>2</v>
      </c>
      <c r="C9" s="901">
        <v>5</v>
      </c>
      <c r="D9" s="901">
        <v>12</v>
      </c>
      <c r="E9" s="901">
        <v>38</v>
      </c>
      <c r="F9" s="901">
        <v>78</v>
      </c>
      <c r="G9" s="902">
        <v>145</v>
      </c>
      <c r="I9" s="361">
        <v>1</v>
      </c>
      <c r="J9" s="318">
        <f t="shared" si="0"/>
        <v>1</v>
      </c>
      <c r="K9" s="318">
        <v>3</v>
      </c>
      <c r="M9" s="899" t="s">
        <v>694</v>
      </c>
      <c r="N9" s="899">
        <v>0.9520255933532602</v>
      </c>
    </row>
    <row r="10" spans="1:18">
      <c r="I10" s="361">
        <v>2</v>
      </c>
      <c r="J10" s="318">
        <f t="shared" si="0"/>
        <v>4</v>
      </c>
      <c r="K10" s="318">
        <v>8</v>
      </c>
      <c r="M10" s="899" t="s">
        <v>77</v>
      </c>
      <c r="N10" s="899">
        <v>13.217448784881009</v>
      </c>
    </row>
    <row r="11" spans="1:18" ht="15" thickBot="1">
      <c r="I11" s="361">
        <v>3</v>
      </c>
      <c r="J11" s="318">
        <f t="shared" si="0"/>
        <v>9</v>
      </c>
      <c r="K11" s="318">
        <v>20</v>
      </c>
      <c r="M11" s="903" t="s">
        <v>224</v>
      </c>
      <c r="N11" s="903">
        <v>30</v>
      </c>
    </row>
    <row r="12" spans="1:18">
      <c r="I12" s="361">
        <v>4</v>
      </c>
      <c r="J12" s="318">
        <f t="shared" si="0"/>
        <v>16</v>
      </c>
      <c r="K12" s="318">
        <v>48</v>
      </c>
    </row>
    <row r="13" spans="1:18" ht="15" thickBot="1">
      <c r="I13" s="361">
        <v>5</v>
      </c>
      <c r="J13" s="318">
        <f t="shared" si="0"/>
        <v>25</v>
      </c>
      <c r="K13" s="318">
        <v>88</v>
      </c>
      <c r="M13" s="25" t="s">
        <v>695</v>
      </c>
    </row>
    <row r="14" spans="1:18">
      <c r="I14" s="361">
        <v>6</v>
      </c>
      <c r="J14" s="318">
        <f t="shared" si="0"/>
        <v>36</v>
      </c>
      <c r="K14" s="318">
        <v>140</v>
      </c>
      <c r="M14" s="862"/>
      <c r="N14" s="862" t="s">
        <v>186</v>
      </c>
      <c r="O14" s="862" t="s">
        <v>578</v>
      </c>
      <c r="P14" s="862" t="s">
        <v>641</v>
      </c>
      <c r="Q14" s="862" t="s">
        <v>388</v>
      </c>
      <c r="R14" s="862" t="s">
        <v>698</v>
      </c>
    </row>
    <row r="15" spans="1:18">
      <c r="I15" s="361">
        <v>1</v>
      </c>
      <c r="J15" s="318">
        <f t="shared" si="0"/>
        <v>1</v>
      </c>
      <c r="K15" s="318">
        <v>4</v>
      </c>
      <c r="M15" s="899" t="s">
        <v>623</v>
      </c>
      <c r="N15" s="899">
        <v>2</v>
      </c>
      <c r="O15" s="899">
        <v>100887.87428571429</v>
      </c>
      <c r="P15" s="899">
        <v>50443.937142857147</v>
      </c>
      <c r="Q15" s="899">
        <v>288.74448854096238</v>
      </c>
      <c r="R15" s="899">
        <v>5.9520642004325394E-19</v>
      </c>
    </row>
    <row r="16" spans="1:18">
      <c r="I16" s="361">
        <v>2</v>
      </c>
      <c r="J16" s="318">
        <f t="shared" si="0"/>
        <v>4</v>
      </c>
      <c r="K16" s="318">
        <v>11</v>
      </c>
      <c r="M16" s="899" t="s">
        <v>696</v>
      </c>
      <c r="N16" s="899">
        <v>27</v>
      </c>
      <c r="O16" s="899">
        <v>4716.9257142857168</v>
      </c>
      <c r="P16" s="899">
        <v>174.70095238095249</v>
      </c>
      <c r="Q16" s="899"/>
      <c r="R16" s="899"/>
    </row>
    <row r="17" spans="9:22" ht="15" thickBot="1">
      <c r="I17" s="361">
        <v>3</v>
      </c>
      <c r="J17" s="318">
        <f t="shared" si="0"/>
        <v>9</v>
      </c>
      <c r="K17" s="318">
        <v>21</v>
      </c>
      <c r="M17" s="903" t="s">
        <v>12</v>
      </c>
      <c r="N17" s="903">
        <v>29</v>
      </c>
      <c r="O17" s="903">
        <v>105604.80000000002</v>
      </c>
      <c r="P17" s="903"/>
      <c r="Q17" s="903"/>
      <c r="R17" s="903"/>
    </row>
    <row r="18" spans="9:22" ht="15" thickBot="1">
      <c r="I18" s="361">
        <v>4</v>
      </c>
      <c r="J18" s="318">
        <f t="shared" si="0"/>
        <v>16</v>
      </c>
      <c r="K18" s="318">
        <v>58</v>
      </c>
    </row>
    <row r="19" spans="9:22">
      <c r="I19" s="361">
        <v>5</v>
      </c>
      <c r="J19" s="318">
        <f t="shared" si="0"/>
        <v>25</v>
      </c>
      <c r="K19" s="318">
        <v>128</v>
      </c>
      <c r="M19" s="862"/>
      <c r="N19" s="862" t="s">
        <v>699</v>
      </c>
      <c r="O19" s="862" t="s">
        <v>77</v>
      </c>
      <c r="P19" s="862" t="s">
        <v>229</v>
      </c>
      <c r="Q19" s="862" t="s">
        <v>367</v>
      </c>
      <c r="R19" s="862" t="s">
        <v>700</v>
      </c>
      <c r="S19" s="862" t="s">
        <v>701</v>
      </c>
      <c r="U19" s="25" t="s">
        <v>830</v>
      </c>
      <c r="V19" s="905">
        <v>3</v>
      </c>
    </row>
    <row r="20" spans="9:22">
      <c r="I20" s="361">
        <v>6</v>
      </c>
      <c r="J20" s="318">
        <f t="shared" si="0"/>
        <v>36</v>
      </c>
      <c r="K20" s="318">
        <v>195</v>
      </c>
      <c r="M20" s="899" t="s">
        <v>697</v>
      </c>
      <c r="N20" s="899">
        <v>21.920000000000073</v>
      </c>
      <c r="O20" s="899">
        <v>10.573959027904825</v>
      </c>
      <c r="P20" s="899">
        <v>2.0730173005354842</v>
      </c>
      <c r="Q20" s="899">
        <v>4.7839766500995397E-2</v>
      </c>
      <c r="R20" s="899">
        <v>0.22402818653273116</v>
      </c>
      <c r="S20" s="899">
        <v>43.615971813467411</v>
      </c>
      <c r="U20" s="25" t="s">
        <v>836</v>
      </c>
      <c r="V20" s="827">
        <f>N20+V19*N21+V19^2*N22</f>
        <v>20.78857142857143</v>
      </c>
    </row>
    <row r="21" spans="9:22">
      <c r="I21" s="361">
        <v>1</v>
      </c>
      <c r="J21" s="318">
        <f t="shared" si="0"/>
        <v>1</v>
      </c>
      <c r="K21" s="318">
        <v>5</v>
      </c>
      <c r="M21" s="899" t="s">
        <v>830</v>
      </c>
      <c r="N21" s="899">
        <v>-24.548571428571464</v>
      </c>
      <c r="O21" s="899">
        <v>6.9177729301362048</v>
      </c>
      <c r="P21" s="899">
        <v>-3.5486234770195217</v>
      </c>
      <c r="Q21" s="899">
        <v>1.441195885607783E-3</v>
      </c>
      <c r="R21" s="899">
        <v>-38.742669032706175</v>
      </c>
      <c r="S21" s="899">
        <v>-10.354473824436754</v>
      </c>
    </row>
    <row r="22" spans="9:22" ht="15" thickBot="1">
      <c r="I22" s="361">
        <v>2</v>
      </c>
      <c r="J22" s="318">
        <f t="shared" si="0"/>
        <v>4</v>
      </c>
      <c r="K22" s="318">
        <v>9</v>
      </c>
      <c r="M22" s="903" t="s">
        <v>831</v>
      </c>
      <c r="N22" s="903">
        <v>8.0571428571428605</v>
      </c>
      <c r="O22" s="903">
        <v>0.9674181925019163</v>
      </c>
      <c r="P22" s="903">
        <v>8.3285004557394657</v>
      </c>
      <c r="Q22" s="903">
        <v>6.1451920419363139E-9</v>
      </c>
      <c r="R22" s="903">
        <v>6.072164687569229</v>
      </c>
      <c r="S22" s="903">
        <v>10.042121026716492</v>
      </c>
    </row>
    <row r="23" spans="9:22">
      <c r="I23" s="361">
        <v>3</v>
      </c>
      <c r="J23" s="318">
        <f t="shared" si="0"/>
        <v>9</v>
      </c>
      <c r="K23" s="318">
        <v>16</v>
      </c>
    </row>
    <row r="24" spans="9:22">
      <c r="I24" s="361">
        <v>4</v>
      </c>
      <c r="J24" s="318">
        <f t="shared" si="0"/>
        <v>16</v>
      </c>
      <c r="K24" s="318">
        <v>45</v>
      </c>
      <c r="M24" s="1" t="s">
        <v>834</v>
      </c>
    </row>
    <row r="25" spans="9:22">
      <c r="I25" s="361">
        <v>5</v>
      </c>
      <c r="J25" s="318">
        <f t="shared" si="0"/>
        <v>25</v>
      </c>
      <c r="K25" s="318">
        <v>111</v>
      </c>
    </row>
    <row r="26" spans="9:22">
      <c r="I26" s="361">
        <v>6</v>
      </c>
      <c r="J26" s="318">
        <f t="shared" si="0"/>
        <v>36</v>
      </c>
      <c r="K26" s="318">
        <v>156</v>
      </c>
      <c r="M26" s="25" t="s">
        <v>691</v>
      </c>
    </row>
    <row r="27" spans="9:22" ht="15" thickBot="1">
      <c r="I27" s="361">
        <v>1</v>
      </c>
      <c r="J27" s="318">
        <f t="shared" si="0"/>
        <v>1</v>
      </c>
      <c r="K27" s="318">
        <v>2</v>
      </c>
    </row>
    <row r="28" spans="9:22">
      <c r="I28" s="361">
        <v>2</v>
      </c>
      <c r="J28" s="318">
        <f t="shared" si="0"/>
        <v>4</v>
      </c>
      <c r="K28" s="318">
        <v>5</v>
      </c>
      <c r="M28" s="35" t="s">
        <v>692</v>
      </c>
      <c r="N28" s="35"/>
    </row>
    <row r="29" spans="9:22">
      <c r="I29" s="361">
        <v>3</v>
      </c>
      <c r="J29" s="318">
        <f t="shared" si="0"/>
        <v>9</v>
      </c>
      <c r="K29" s="318">
        <v>12</v>
      </c>
      <c r="M29" s="899" t="s">
        <v>693</v>
      </c>
      <c r="N29" s="899">
        <v>0.91683485000753651</v>
      </c>
    </row>
    <row r="30" spans="9:22">
      <c r="I30" s="361">
        <v>4</v>
      </c>
      <c r="J30" s="318">
        <f t="shared" si="0"/>
        <v>16</v>
      </c>
      <c r="K30" s="318">
        <v>38</v>
      </c>
      <c r="M30" s="899" t="s">
        <v>686</v>
      </c>
      <c r="N30" s="899">
        <v>0.84058614218834204</v>
      </c>
    </row>
    <row r="31" spans="9:22">
      <c r="I31" s="361">
        <v>5</v>
      </c>
      <c r="J31" s="318">
        <f t="shared" si="0"/>
        <v>25</v>
      </c>
      <c r="K31" s="318">
        <v>78</v>
      </c>
      <c r="M31" s="899" t="s">
        <v>694</v>
      </c>
      <c r="N31" s="899">
        <v>0.83489279012364004</v>
      </c>
    </row>
    <row r="32" spans="9:22">
      <c r="I32" s="904">
        <v>6</v>
      </c>
      <c r="J32" s="901">
        <f t="shared" si="0"/>
        <v>36</v>
      </c>
      <c r="K32" s="901">
        <v>145</v>
      </c>
      <c r="M32" s="899" t="s">
        <v>77</v>
      </c>
      <c r="N32" s="899">
        <v>24.520303956567286</v>
      </c>
    </row>
    <row r="33" spans="13:19" ht="15" thickBot="1">
      <c r="M33" s="903" t="s">
        <v>224</v>
      </c>
      <c r="N33" s="903">
        <v>30</v>
      </c>
    </row>
    <row r="35" spans="13:19" ht="15" thickBot="1">
      <c r="M35" s="25" t="s">
        <v>695</v>
      </c>
    </row>
    <row r="36" spans="13:19">
      <c r="M36" s="862"/>
      <c r="N36" s="862" t="s">
        <v>186</v>
      </c>
      <c r="O36" s="862" t="s">
        <v>578</v>
      </c>
      <c r="P36" s="862" t="s">
        <v>641</v>
      </c>
      <c r="Q36" s="862" t="s">
        <v>388</v>
      </c>
      <c r="R36" s="862" t="s">
        <v>698</v>
      </c>
    </row>
    <row r="37" spans="13:19">
      <c r="M37" s="899" t="s">
        <v>623</v>
      </c>
      <c r="N37" s="899">
        <v>1</v>
      </c>
      <c r="O37" s="899">
        <v>88769.931428571435</v>
      </c>
      <c r="P37" s="899">
        <v>88769.931428571435</v>
      </c>
      <c r="Q37" s="899">
        <v>147.64345022677418</v>
      </c>
      <c r="R37" s="899">
        <v>1.108796400759207E-12</v>
      </c>
    </row>
    <row r="38" spans="13:19">
      <c r="M38" s="899" t="s">
        <v>696</v>
      </c>
      <c r="N38" s="899">
        <v>28</v>
      </c>
      <c r="O38" s="899">
        <v>16834.868571428578</v>
      </c>
      <c r="P38" s="899">
        <v>601.24530612244928</v>
      </c>
      <c r="Q38" s="899"/>
      <c r="R38" s="899"/>
    </row>
    <row r="39" spans="13:19" ht="15" thickBot="1">
      <c r="M39" s="903" t="s">
        <v>12</v>
      </c>
      <c r="N39" s="903">
        <v>29</v>
      </c>
      <c r="O39" s="903">
        <v>105604.80000000002</v>
      </c>
      <c r="P39" s="903"/>
      <c r="Q39" s="903"/>
      <c r="R39" s="903"/>
    </row>
    <row r="40" spans="13:19" ht="15" thickBot="1"/>
    <row r="41" spans="13:19">
      <c r="M41" s="862"/>
      <c r="N41" s="862" t="s">
        <v>699</v>
      </c>
      <c r="O41" s="862" t="s">
        <v>77</v>
      </c>
      <c r="P41" s="862" t="s">
        <v>229</v>
      </c>
      <c r="Q41" s="862" t="s">
        <v>367</v>
      </c>
      <c r="R41" s="862" t="s">
        <v>700</v>
      </c>
      <c r="S41" s="862" t="s">
        <v>701</v>
      </c>
    </row>
    <row r="42" spans="13:19">
      <c r="M42" s="899" t="s">
        <v>697</v>
      </c>
      <c r="N42" s="899">
        <v>-53.280000000000015</v>
      </c>
      <c r="O42" s="899">
        <v>10.208616608592202</v>
      </c>
      <c r="P42" s="899">
        <v>-5.2191204785921999</v>
      </c>
      <c r="Q42" s="899">
        <v>1.5237399157471087E-5</v>
      </c>
      <c r="R42" s="899">
        <v>-74.191403168889835</v>
      </c>
      <c r="S42" s="899">
        <v>-32.368596831110196</v>
      </c>
    </row>
    <row r="43" spans="13:19" ht="15" thickBot="1">
      <c r="M43" s="903" t="s">
        <v>830</v>
      </c>
      <c r="N43" s="903">
        <v>31.851428571428578</v>
      </c>
      <c r="O43" s="903">
        <v>2.6213307550009226</v>
      </c>
      <c r="P43" s="903">
        <v>12.150862118663605</v>
      </c>
      <c r="Q43" s="903">
        <v>1.1087964007592032E-12</v>
      </c>
      <c r="R43" s="903">
        <v>26.481875931877166</v>
      </c>
      <c r="S43" s="903">
        <v>37.220981210979986</v>
      </c>
    </row>
  </sheetData>
  <mergeCells count="1">
    <mergeCell ref="B3:G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>
  <sheetPr codeName="Sheet105"/>
  <dimension ref="A1:G55"/>
  <sheetViews>
    <sheetView workbookViewId="0"/>
  </sheetViews>
  <sheetFormatPr defaultRowHeight="14.4"/>
  <cols>
    <col min="1" max="1" width="18.44140625" customWidth="1"/>
    <col min="2" max="2" width="11.5546875" customWidth="1"/>
    <col min="3" max="3" width="13.6640625" customWidth="1"/>
    <col min="6" max="6" width="12.88671875" customWidth="1"/>
    <col min="7" max="7" width="13" customWidth="1"/>
  </cols>
  <sheetData>
    <row r="1" spans="1:7">
      <c r="A1" t="s">
        <v>691</v>
      </c>
    </row>
    <row r="2" spans="1:7" ht="15" thickBot="1"/>
    <row r="3" spans="1:7">
      <c r="A3" s="35" t="s">
        <v>692</v>
      </c>
      <c r="B3" s="35"/>
    </row>
    <row r="4" spans="1:7">
      <c r="A4" s="28" t="s">
        <v>693</v>
      </c>
      <c r="B4" s="28">
        <v>0.97741197717339279</v>
      </c>
    </row>
    <row r="5" spans="1:7">
      <c r="A5" s="28" t="s">
        <v>686</v>
      </c>
      <c r="B5" s="28">
        <v>0.95533417312200086</v>
      </c>
    </row>
    <row r="6" spans="1:7">
      <c r="A6" s="28" t="s">
        <v>694</v>
      </c>
      <c r="B6" s="28">
        <v>0.9520255933532602</v>
      </c>
    </row>
    <row r="7" spans="1:7">
      <c r="A7" s="28" t="s">
        <v>77</v>
      </c>
      <c r="B7" s="28">
        <v>13.217448784881009</v>
      </c>
    </row>
    <row r="8" spans="1:7" ht="15" thickBot="1">
      <c r="A8" s="31" t="s">
        <v>224</v>
      </c>
      <c r="B8" s="31">
        <v>30</v>
      </c>
    </row>
    <row r="10" spans="1:7" ht="15" thickBot="1">
      <c r="A10" t="s">
        <v>695</v>
      </c>
    </row>
    <row r="11" spans="1:7">
      <c r="A11" s="27"/>
      <c r="B11" s="27" t="s">
        <v>186</v>
      </c>
      <c r="C11" s="27" t="s">
        <v>578</v>
      </c>
      <c r="D11" s="27" t="s">
        <v>641</v>
      </c>
      <c r="E11" s="27" t="s">
        <v>388</v>
      </c>
      <c r="F11" s="27" t="s">
        <v>698</v>
      </c>
    </row>
    <row r="12" spans="1:7">
      <c r="A12" s="28" t="s">
        <v>623</v>
      </c>
      <c r="B12" s="28">
        <v>2</v>
      </c>
      <c r="C12" s="28">
        <v>100887.87428571429</v>
      </c>
      <c r="D12" s="28">
        <v>50443.937142857147</v>
      </c>
      <c r="E12" s="28">
        <v>288.74448854096238</v>
      </c>
      <c r="F12" s="28">
        <v>5.9520642004325394E-19</v>
      </c>
    </row>
    <row r="13" spans="1:7">
      <c r="A13" s="28" t="s">
        <v>696</v>
      </c>
      <c r="B13" s="28">
        <v>27</v>
      </c>
      <c r="C13" s="28">
        <v>4716.9257142857168</v>
      </c>
      <c r="D13" s="28">
        <v>174.70095238095249</v>
      </c>
      <c r="E13" s="28"/>
      <c r="F13" s="28"/>
    </row>
    <row r="14" spans="1:7" ht="15" thickBot="1">
      <c r="A14" s="31" t="s">
        <v>12</v>
      </c>
      <c r="B14" s="31">
        <v>29</v>
      </c>
      <c r="C14" s="31">
        <v>105604.80000000002</v>
      </c>
      <c r="D14" s="31"/>
      <c r="E14" s="31"/>
      <c r="F14" s="31"/>
    </row>
    <row r="15" spans="1:7" ht="15" thickBot="1"/>
    <row r="16" spans="1:7">
      <c r="A16" s="27"/>
      <c r="B16" s="27" t="s">
        <v>699</v>
      </c>
      <c r="C16" s="27" t="s">
        <v>77</v>
      </c>
      <c r="D16" s="27" t="s">
        <v>229</v>
      </c>
      <c r="E16" s="27" t="s">
        <v>367</v>
      </c>
      <c r="F16" s="27" t="s">
        <v>700</v>
      </c>
      <c r="G16" s="27" t="s">
        <v>701</v>
      </c>
    </row>
    <row r="17" spans="1:7">
      <c r="A17" s="28" t="s">
        <v>697</v>
      </c>
      <c r="B17" s="28">
        <v>21.920000000000073</v>
      </c>
      <c r="C17" s="28">
        <v>10.573959027904825</v>
      </c>
      <c r="D17" s="28">
        <v>2.0730173005354842</v>
      </c>
      <c r="E17" s="28">
        <v>4.7839766500995397E-2</v>
      </c>
      <c r="F17" s="28">
        <v>0.22402818653273116</v>
      </c>
      <c r="G17" s="28">
        <v>43.615971813467411</v>
      </c>
    </row>
    <row r="18" spans="1:7">
      <c r="A18" s="28" t="s">
        <v>830</v>
      </c>
      <c r="B18" s="28">
        <v>-24.548571428571464</v>
      </c>
      <c r="C18" s="28">
        <v>6.9177729301362048</v>
      </c>
      <c r="D18" s="28">
        <v>-3.5486234770195217</v>
      </c>
      <c r="E18" s="28">
        <v>1.441195885607783E-3</v>
      </c>
      <c r="F18" s="28">
        <v>-38.742669032706175</v>
      </c>
      <c r="G18" s="28">
        <v>-10.354473824436754</v>
      </c>
    </row>
    <row r="19" spans="1:7" ht="15" thickBot="1">
      <c r="A19" s="31" t="s">
        <v>831</v>
      </c>
      <c r="B19" s="31">
        <v>8.0571428571428605</v>
      </c>
      <c r="C19" s="31">
        <v>0.9674181925019163</v>
      </c>
      <c r="D19" s="31">
        <v>8.3285004557394657</v>
      </c>
      <c r="E19" s="31">
        <v>6.1451920419363139E-9</v>
      </c>
      <c r="F19" s="31">
        <v>6.072164687569229</v>
      </c>
      <c r="G19" s="31">
        <v>10.042121026716492</v>
      </c>
    </row>
    <row r="23" spans="1:7">
      <c r="A23" t="s">
        <v>702</v>
      </c>
      <c r="F23" t="s">
        <v>706</v>
      </c>
    </row>
    <row r="24" spans="1:7" ht="15" thickBot="1"/>
    <row r="25" spans="1:7">
      <c r="A25" s="27" t="s">
        <v>703</v>
      </c>
      <c r="B25" s="27" t="s">
        <v>832</v>
      </c>
      <c r="C25" s="27" t="s">
        <v>704</v>
      </c>
      <c r="D25" s="27" t="s">
        <v>705</v>
      </c>
      <c r="F25" s="27" t="s">
        <v>707</v>
      </c>
      <c r="G25" s="27" t="s">
        <v>829</v>
      </c>
    </row>
    <row r="26" spans="1:7">
      <c r="A26" s="28">
        <v>1</v>
      </c>
      <c r="B26" s="28">
        <v>5.4285714285714697</v>
      </c>
      <c r="C26" s="28">
        <v>1.5714285714285303</v>
      </c>
      <c r="D26" s="28">
        <v>0.12321515444488092</v>
      </c>
      <c r="F26" s="28">
        <v>1.6666666666666667</v>
      </c>
      <c r="G26" s="28">
        <v>2</v>
      </c>
    </row>
    <row r="27" spans="1:7">
      <c r="A27" s="28">
        <v>2</v>
      </c>
      <c r="B27" s="28">
        <v>5.0514285714285876</v>
      </c>
      <c r="C27" s="28">
        <v>5.9485714285714124</v>
      </c>
      <c r="D27" s="28">
        <v>0.46642536646226923</v>
      </c>
      <c r="F27" s="28">
        <v>5</v>
      </c>
      <c r="G27" s="28">
        <v>3</v>
      </c>
    </row>
    <row r="28" spans="1:7">
      <c r="A28" s="28">
        <v>3</v>
      </c>
      <c r="B28" s="28">
        <v>20.78857142857143</v>
      </c>
      <c r="C28" s="28">
        <v>2.21142857142857</v>
      </c>
      <c r="D28" s="28">
        <v>0.1733973264369823</v>
      </c>
      <c r="F28" s="28">
        <v>8.3333333333333339</v>
      </c>
      <c r="G28" s="28">
        <v>4</v>
      </c>
    </row>
    <row r="29" spans="1:7">
      <c r="A29" s="28">
        <v>4</v>
      </c>
      <c r="B29" s="28">
        <v>52.639999999999986</v>
      </c>
      <c r="C29" s="28">
        <v>6.3600000000000136</v>
      </c>
      <c r="D29" s="28">
        <v>0.49868533417147765</v>
      </c>
      <c r="F29" s="28">
        <v>11.666666666666666</v>
      </c>
      <c r="G29" s="28">
        <v>5</v>
      </c>
    </row>
    <row r="30" spans="1:7">
      <c r="A30" s="28">
        <v>5</v>
      </c>
      <c r="B30" s="28">
        <v>100.60571428571426</v>
      </c>
      <c r="C30" s="28">
        <v>19.394285714285743</v>
      </c>
      <c r="D30" s="28">
        <v>1.5206990334034087</v>
      </c>
      <c r="F30" s="28">
        <v>15</v>
      </c>
      <c r="G30" s="28">
        <v>5</v>
      </c>
    </row>
    <row r="31" spans="1:7">
      <c r="A31" s="28">
        <v>6</v>
      </c>
      <c r="B31" s="28">
        <v>164.68571428571428</v>
      </c>
      <c r="C31" s="28">
        <v>15.314285714285717</v>
      </c>
      <c r="D31" s="28">
        <v>1.2007876869537801</v>
      </c>
      <c r="F31" s="28">
        <v>18.333333333333336</v>
      </c>
      <c r="G31" s="28">
        <v>7</v>
      </c>
    </row>
    <row r="32" spans="1:7">
      <c r="A32" s="28">
        <v>7</v>
      </c>
      <c r="B32" s="28">
        <v>5.4285714285714697</v>
      </c>
      <c r="C32" s="28">
        <v>-2.4285714285714697</v>
      </c>
      <c r="D32" s="28">
        <v>-0.19042342050573327</v>
      </c>
      <c r="F32" s="28">
        <v>21.666666666666668</v>
      </c>
      <c r="G32" s="28">
        <v>8</v>
      </c>
    </row>
    <row r="33" spans="1:7">
      <c r="A33" s="28">
        <v>8</v>
      </c>
      <c r="B33" s="28">
        <v>5.0514285714285876</v>
      </c>
      <c r="C33" s="28">
        <v>2.9485714285714124</v>
      </c>
      <c r="D33" s="28">
        <v>0.23119643524930861</v>
      </c>
      <c r="F33" s="28">
        <v>25.000000000000004</v>
      </c>
      <c r="G33" s="28">
        <v>9</v>
      </c>
    </row>
    <row r="34" spans="1:7">
      <c r="A34" s="28">
        <v>9</v>
      </c>
      <c r="B34" s="28">
        <v>20.78857142857143</v>
      </c>
      <c r="C34" s="28">
        <v>-0.78857142857143003</v>
      </c>
      <c r="D34" s="28">
        <v>-6.1831604775978342E-2</v>
      </c>
      <c r="F34" s="28">
        <v>28.333333333333336</v>
      </c>
      <c r="G34" s="28">
        <v>11</v>
      </c>
    </row>
    <row r="35" spans="1:7">
      <c r="A35" s="28">
        <v>10</v>
      </c>
      <c r="B35" s="28">
        <v>52.639999999999986</v>
      </c>
      <c r="C35" s="28">
        <v>-4.6399999999999864</v>
      </c>
      <c r="D35" s="28">
        <v>-0.36382074694271138</v>
      </c>
      <c r="F35" s="28">
        <v>31.666666666666668</v>
      </c>
      <c r="G35" s="28">
        <v>11</v>
      </c>
    </row>
    <row r="36" spans="1:7">
      <c r="A36" s="28">
        <v>11</v>
      </c>
      <c r="B36" s="28">
        <v>100.60571428571426</v>
      </c>
      <c r="C36" s="28">
        <v>-12.605714285714257</v>
      </c>
      <c r="D36" s="28">
        <v>-0.98840956620150466</v>
      </c>
      <c r="F36" s="28">
        <v>35</v>
      </c>
      <c r="G36" s="28">
        <v>12</v>
      </c>
    </row>
    <row r="37" spans="1:7">
      <c r="A37" s="28">
        <v>12</v>
      </c>
      <c r="B37" s="28">
        <v>164.68571428571428</v>
      </c>
      <c r="C37" s="28">
        <v>-24.685714285714283</v>
      </c>
      <c r="D37" s="28">
        <v>-1.9355980625523617</v>
      </c>
      <c r="F37" s="28">
        <v>38.333333333333336</v>
      </c>
      <c r="G37" s="28">
        <v>16</v>
      </c>
    </row>
    <row r="38" spans="1:7">
      <c r="A38" s="28">
        <v>13</v>
      </c>
      <c r="B38" s="28">
        <v>5.4285714285714697</v>
      </c>
      <c r="C38" s="28">
        <v>-1.4285714285714697</v>
      </c>
      <c r="D38" s="28">
        <v>-0.11201377676807972</v>
      </c>
      <c r="F38" s="28">
        <v>41.666666666666664</v>
      </c>
      <c r="G38" s="28">
        <v>20</v>
      </c>
    </row>
    <row r="39" spans="1:7">
      <c r="A39" s="28">
        <v>14</v>
      </c>
      <c r="B39" s="28">
        <v>5.0514285714285876</v>
      </c>
      <c r="C39" s="28">
        <v>5.9485714285714124</v>
      </c>
      <c r="D39" s="28">
        <v>0.46642536646226923</v>
      </c>
      <c r="F39" s="28">
        <v>45</v>
      </c>
      <c r="G39" s="28">
        <v>21</v>
      </c>
    </row>
    <row r="40" spans="1:7">
      <c r="A40" s="28">
        <v>15</v>
      </c>
      <c r="B40" s="28">
        <v>20.78857142857143</v>
      </c>
      <c r="C40" s="28">
        <v>0.21142857142856997</v>
      </c>
      <c r="D40" s="28">
        <v>1.6578038961675208E-2</v>
      </c>
      <c r="F40" s="28">
        <v>48.333333333333336</v>
      </c>
      <c r="G40" s="28">
        <v>23</v>
      </c>
    </row>
    <row r="41" spans="1:7">
      <c r="A41" s="28">
        <v>16</v>
      </c>
      <c r="B41" s="28">
        <v>52.639999999999986</v>
      </c>
      <c r="C41" s="28">
        <v>5.3600000000000136</v>
      </c>
      <c r="D41" s="28">
        <v>0.42027569043382407</v>
      </c>
      <c r="F41" s="28">
        <v>51.666666666666664</v>
      </c>
      <c r="G41" s="28">
        <v>38</v>
      </c>
    </row>
    <row r="42" spans="1:7">
      <c r="A42" s="28">
        <v>17</v>
      </c>
      <c r="B42" s="28">
        <v>100.60571428571426</v>
      </c>
      <c r="C42" s="28">
        <v>27.394285714285743</v>
      </c>
      <c r="D42" s="28">
        <v>2.1479761833046371</v>
      </c>
      <c r="F42" s="28">
        <v>55</v>
      </c>
      <c r="G42" s="28">
        <v>45</v>
      </c>
    </row>
    <row r="43" spans="1:7">
      <c r="A43" s="28">
        <v>18</v>
      </c>
      <c r="B43" s="28">
        <v>164.68571428571428</v>
      </c>
      <c r="C43" s="28">
        <v>30.314285714285717</v>
      </c>
      <c r="D43" s="28">
        <v>2.3769323430185834</v>
      </c>
      <c r="F43" s="28">
        <v>58.333333333333336</v>
      </c>
      <c r="G43" s="28">
        <v>48</v>
      </c>
    </row>
    <row r="44" spans="1:7">
      <c r="A44" s="28">
        <v>19</v>
      </c>
      <c r="B44" s="28">
        <v>5.4285714285714697</v>
      </c>
      <c r="C44" s="28">
        <v>-0.42857142857146968</v>
      </c>
      <c r="D44" s="28">
        <v>-3.360413303042617E-2</v>
      </c>
      <c r="F44" s="28">
        <v>61.666666666666664</v>
      </c>
      <c r="G44" s="28">
        <v>58</v>
      </c>
    </row>
    <row r="45" spans="1:7">
      <c r="A45" s="28">
        <v>20</v>
      </c>
      <c r="B45" s="28">
        <v>5.0514285714285876</v>
      </c>
      <c r="C45" s="28">
        <v>3.9485714285714124</v>
      </c>
      <c r="D45" s="28">
        <v>0.30960607898696219</v>
      </c>
      <c r="F45" s="28">
        <v>65</v>
      </c>
      <c r="G45" s="28">
        <v>59</v>
      </c>
    </row>
    <row r="46" spans="1:7">
      <c r="A46" s="28">
        <v>21</v>
      </c>
      <c r="B46" s="28">
        <v>20.78857142857143</v>
      </c>
      <c r="C46" s="28">
        <v>-4.78857142857143</v>
      </c>
      <c r="D46" s="28">
        <v>-0.37547017972659252</v>
      </c>
      <c r="F46" s="28">
        <v>68.333333333333343</v>
      </c>
      <c r="G46" s="28">
        <v>78</v>
      </c>
    </row>
    <row r="47" spans="1:7">
      <c r="A47" s="28">
        <v>22</v>
      </c>
      <c r="B47" s="28">
        <v>52.639999999999986</v>
      </c>
      <c r="C47" s="28">
        <v>-7.6399999999999864</v>
      </c>
      <c r="D47" s="28">
        <v>-0.59904967815567201</v>
      </c>
      <c r="F47" s="28">
        <v>71.666666666666671</v>
      </c>
      <c r="G47" s="28">
        <v>88</v>
      </c>
    </row>
    <row r="48" spans="1:7">
      <c r="A48" s="28">
        <v>23</v>
      </c>
      <c r="B48" s="28">
        <v>100.60571428571426</v>
      </c>
      <c r="C48" s="28">
        <v>10.394285714285743</v>
      </c>
      <c r="D48" s="28">
        <v>0.81501223976452686</v>
      </c>
      <c r="F48" s="28">
        <v>75.000000000000014</v>
      </c>
      <c r="G48" s="28">
        <v>111</v>
      </c>
    </row>
    <row r="49" spans="1:7">
      <c r="A49" s="28">
        <v>24</v>
      </c>
      <c r="B49" s="28">
        <v>164.68571428571428</v>
      </c>
      <c r="C49" s="28">
        <v>-8.6857142857142833</v>
      </c>
      <c r="D49" s="28">
        <v>-0.68104376274990486</v>
      </c>
      <c r="F49" s="28">
        <v>78.333333333333343</v>
      </c>
      <c r="G49" s="28">
        <v>120</v>
      </c>
    </row>
    <row r="50" spans="1:7">
      <c r="A50" s="28">
        <v>25</v>
      </c>
      <c r="B50" s="28">
        <v>5.4285714285714697</v>
      </c>
      <c r="C50" s="28">
        <v>-3.4285714285714697</v>
      </c>
      <c r="D50" s="28">
        <v>-0.26883306424338682</v>
      </c>
      <c r="F50" s="28">
        <v>81.666666666666671</v>
      </c>
      <c r="G50" s="28">
        <v>128</v>
      </c>
    </row>
    <row r="51" spans="1:7">
      <c r="A51" s="28">
        <v>26</v>
      </c>
      <c r="B51" s="28">
        <v>5.0514285714285876</v>
      </c>
      <c r="C51" s="28">
        <v>-5.1428571428587588E-2</v>
      </c>
      <c r="D51" s="28">
        <v>-4.0324959636520207E-3</v>
      </c>
      <c r="F51" s="28">
        <v>85.000000000000014</v>
      </c>
      <c r="G51" s="28">
        <v>140</v>
      </c>
    </row>
    <row r="52" spans="1:7">
      <c r="A52" s="28">
        <v>27</v>
      </c>
      <c r="B52" s="28">
        <v>20.78857142857143</v>
      </c>
      <c r="C52" s="28">
        <v>-8.78857142857143</v>
      </c>
      <c r="D52" s="28">
        <v>-0.68910875467720667</v>
      </c>
      <c r="F52" s="28">
        <v>88.333333333333343</v>
      </c>
      <c r="G52" s="28">
        <v>145</v>
      </c>
    </row>
    <row r="53" spans="1:7">
      <c r="A53" s="28">
        <v>28</v>
      </c>
      <c r="B53" s="28">
        <v>52.639999999999986</v>
      </c>
      <c r="C53" s="28">
        <v>-14.639999999999986</v>
      </c>
      <c r="D53" s="28">
        <v>-1.1479171843192468</v>
      </c>
      <c r="F53" s="28">
        <v>91.666666666666671</v>
      </c>
      <c r="G53" s="28">
        <v>156</v>
      </c>
    </row>
    <row r="54" spans="1:7">
      <c r="A54" s="28">
        <v>29</v>
      </c>
      <c r="B54" s="28">
        <v>100.60571428571426</v>
      </c>
      <c r="C54" s="28">
        <v>-22.605714285714257</v>
      </c>
      <c r="D54" s="28">
        <v>-1.7725060035780402</v>
      </c>
      <c r="F54" s="28">
        <v>95.000000000000014</v>
      </c>
      <c r="G54" s="28">
        <v>180</v>
      </c>
    </row>
    <row r="55" spans="1:7" ht="15" thickBot="1">
      <c r="A55" s="31">
        <v>30</v>
      </c>
      <c r="B55" s="31">
        <v>164.68571428571428</v>
      </c>
      <c r="C55" s="31">
        <v>-19.685714285714283</v>
      </c>
      <c r="D55" s="31">
        <v>-1.543549843864094</v>
      </c>
      <c r="F55" s="31">
        <v>98.333333333333343</v>
      </c>
      <c r="G55" s="31">
        <v>195</v>
      </c>
    </row>
  </sheetData>
  <sortState ref="G26:G55">
    <sortCondition ref="G26"/>
  </sortState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sheetPr codeName="Sheet107"/>
  <dimension ref="A1:G18"/>
  <sheetViews>
    <sheetView workbookViewId="0"/>
  </sheetViews>
  <sheetFormatPr defaultRowHeight="14.4"/>
  <cols>
    <col min="1" max="1" width="19.88671875" customWidth="1"/>
    <col min="2" max="2" width="11.88671875" customWidth="1"/>
    <col min="3" max="3" width="14.6640625" customWidth="1"/>
    <col min="4" max="7" width="11.88671875" customWidth="1"/>
  </cols>
  <sheetData>
    <row r="1" spans="1:7">
      <c r="A1" t="s">
        <v>691</v>
      </c>
    </row>
    <row r="2" spans="1:7" ht="15" thickBot="1"/>
    <row r="3" spans="1:7">
      <c r="A3" s="35" t="s">
        <v>692</v>
      </c>
      <c r="B3" s="35"/>
    </row>
    <row r="4" spans="1:7">
      <c r="A4" s="28" t="s">
        <v>693</v>
      </c>
      <c r="B4" s="28">
        <v>0.91683485000753651</v>
      </c>
    </row>
    <row r="5" spans="1:7">
      <c r="A5" s="28" t="s">
        <v>686</v>
      </c>
      <c r="B5" s="28">
        <v>0.84058614218834204</v>
      </c>
    </row>
    <row r="6" spans="1:7">
      <c r="A6" s="28" t="s">
        <v>694</v>
      </c>
      <c r="B6" s="28">
        <v>0.83489279012364004</v>
      </c>
    </row>
    <row r="7" spans="1:7">
      <c r="A7" s="28" t="s">
        <v>77</v>
      </c>
      <c r="B7" s="28">
        <v>24.520303956567286</v>
      </c>
    </row>
    <row r="8" spans="1:7" ht="15" thickBot="1">
      <c r="A8" s="31" t="s">
        <v>224</v>
      </c>
      <c r="B8" s="31">
        <v>30</v>
      </c>
    </row>
    <row r="10" spans="1:7" ht="15" thickBot="1">
      <c r="A10" t="s">
        <v>695</v>
      </c>
    </row>
    <row r="11" spans="1:7">
      <c r="A11" s="27"/>
      <c r="B11" s="27" t="s">
        <v>186</v>
      </c>
      <c r="C11" s="27" t="s">
        <v>578</v>
      </c>
      <c r="D11" s="27" t="s">
        <v>641</v>
      </c>
      <c r="E11" s="27" t="s">
        <v>388</v>
      </c>
      <c r="F11" s="27" t="s">
        <v>698</v>
      </c>
    </row>
    <row r="12" spans="1:7">
      <c r="A12" s="28" t="s">
        <v>623</v>
      </c>
      <c r="B12" s="28">
        <v>1</v>
      </c>
      <c r="C12" s="28">
        <v>88769.931428571435</v>
      </c>
      <c r="D12" s="28">
        <v>88769.931428571435</v>
      </c>
      <c r="E12" s="28">
        <v>147.64345022677418</v>
      </c>
      <c r="F12" s="28">
        <v>1.108796400759207E-12</v>
      </c>
    </row>
    <row r="13" spans="1:7">
      <c r="A13" s="28" t="s">
        <v>696</v>
      </c>
      <c r="B13" s="28">
        <v>28</v>
      </c>
      <c r="C13" s="28">
        <v>16834.868571428578</v>
      </c>
      <c r="D13" s="28">
        <v>601.24530612244928</v>
      </c>
      <c r="E13" s="28"/>
      <c r="F13" s="28"/>
    </row>
    <row r="14" spans="1:7" ht="15" thickBot="1">
      <c r="A14" s="31" t="s">
        <v>12</v>
      </c>
      <c r="B14" s="31">
        <v>29</v>
      </c>
      <c r="C14" s="31">
        <v>105604.80000000002</v>
      </c>
      <c r="D14" s="31"/>
      <c r="E14" s="31"/>
      <c r="F14" s="31"/>
    </row>
    <row r="15" spans="1:7" ht="15" thickBot="1"/>
    <row r="16" spans="1:7">
      <c r="A16" s="27"/>
      <c r="B16" s="27" t="s">
        <v>699</v>
      </c>
      <c r="C16" s="27" t="s">
        <v>77</v>
      </c>
      <c r="D16" s="27" t="s">
        <v>229</v>
      </c>
      <c r="E16" s="27" t="s">
        <v>367</v>
      </c>
      <c r="F16" s="27" t="s">
        <v>700</v>
      </c>
      <c r="G16" s="27" t="s">
        <v>701</v>
      </c>
    </row>
    <row r="17" spans="1:7">
      <c r="A17" s="28" t="s">
        <v>697</v>
      </c>
      <c r="B17" s="28">
        <v>-53.280000000000015</v>
      </c>
      <c r="C17" s="28">
        <v>10.208616608592202</v>
      </c>
      <c r="D17" s="28">
        <v>-5.2191204785921999</v>
      </c>
      <c r="E17" s="28">
        <v>1.5237399157471087E-5</v>
      </c>
      <c r="F17" s="28">
        <v>-74.191403168889835</v>
      </c>
      <c r="G17" s="28">
        <v>-32.368596831110196</v>
      </c>
    </row>
    <row r="18" spans="1:7" ht="15" thickBot="1">
      <c r="A18" s="31" t="s">
        <v>830</v>
      </c>
      <c r="B18" s="31">
        <v>31.851428571428578</v>
      </c>
      <c r="C18" s="31">
        <v>2.6213307550009226</v>
      </c>
      <c r="D18" s="31">
        <v>12.150862118663605</v>
      </c>
      <c r="E18" s="31">
        <v>1.1087964007592032E-12</v>
      </c>
      <c r="F18" s="31">
        <v>26.481875931877166</v>
      </c>
      <c r="G18" s="31">
        <v>37.220981210979986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sheetPr codeName="Sheet257"/>
  <dimension ref="A1:AA58"/>
  <sheetViews>
    <sheetView workbookViewId="0">
      <selection activeCell="A33" sqref="A33"/>
    </sheetView>
  </sheetViews>
  <sheetFormatPr defaultRowHeight="14.4"/>
  <cols>
    <col min="4" max="4" width="5.44140625" customWidth="1"/>
    <col min="6" max="6" width="9.109375" customWidth="1"/>
    <col min="9" max="9" width="17.88671875" customWidth="1"/>
    <col min="17" max="17" width="12.88671875" customWidth="1"/>
    <col min="21" max="21" width="19.109375" customWidth="1"/>
    <col min="26" max="26" width="4.88671875" customWidth="1"/>
    <col min="27" max="27" width="47.109375" customWidth="1"/>
  </cols>
  <sheetData>
    <row r="1" spans="1:27">
      <c r="A1" s="1" t="s">
        <v>2751</v>
      </c>
    </row>
    <row r="2" spans="1:27">
      <c r="A2" s="1"/>
    </row>
    <row r="3" spans="1:27">
      <c r="A3" s="1" t="s">
        <v>2758</v>
      </c>
    </row>
    <row r="5" spans="1:27">
      <c r="A5" s="231" t="s">
        <v>783</v>
      </c>
      <c r="B5" s="231" t="s">
        <v>784</v>
      </c>
      <c r="C5" s="1061" t="s">
        <v>777</v>
      </c>
      <c r="E5" s="231" t="s">
        <v>783</v>
      </c>
      <c r="F5" s="231" t="s">
        <v>784</v>
      </c>
      <c r="G5" s="1061" t="s">
        <v>2753</v>
      </c>
      <c r="I5" t="s">
        <v>2744</v>
      </c>
      <c r="Q5" s="1" t="s">
        <v>762</v>
      </c>
      <c r="W5" s="1" t="s">
        <v>768</v>
      </c>
    </row>
    <row r="6" spans="1:27">
      <c r="A6" s="1056">
        <v>7</v>
      </c>
      <c r="B6" s="1056">
        <v>5</v>
      </c>
      <c r="C6" s="1056">
        <v>58</v>
      </c>
      <c r="E6" s="1056">
        <f>A6</f>
        <v>7</v>
      </c>
      <c r="F6" s="1056">
        <f>B6</f>
        <v>5</v>
      </c>
      <c r="G6" s="19">
        <f>LN(C6)</f>
        <v>4.0604430105464191</v>
      </c>
    </row>
    <row r="7" spans="1:27" ht="15" thickBot="1">
      <c r="A7" s="1056">
        <v>3</v>
      </c>
      <c r="B7" s="1056">
        <v>7</v>
      </c>
      <c r="C7" s="1056">
        <v>11</v>
      </c>
      <c r="E7" s="1056">
        <f t="shared" ref="E7:E16" si="0">A7</f>
        <v>3</v>
      </c>
      <c r="F7" s="1056">
        <f t="shared" ref="F7:F16" si="1">B7</f>
        <v>7</v>
      </c>
      <c r="G7" s="19">
        <f t="shared" ref="G7:G16" si="2">LN(C7)</f>
        <v>2.3978952727983707</v>
      </c>
      <c r="I7" s="1059" t="s">
        <v>2750</v>
      </c>
      <c r="J7" s="1059"/>
      <c r="Q7" t="s">
        <v>763</v>
      </c>
      <c r="R7" s="227">
        <f t="array" ref="R7:T11">LOGEST(C6:C16,A6:B16,TRUE,TRUE)</f>
        <v>1.2586149756368867</v>
      </c>
      <c r="S7" s="227">
        <v>1.3490959792835211</v>
      </c>
      <c r="T7" s="227">
        <v>1.1934517062513368</v>
      </c>
      <c r="U7" t="s">
        <v>764</v>
      </c>
      <c r="W7" s="1056" t="s">
        <v>783</v>
      </c>
      <c r="X7" s="1056" t="s">
        <v>784</v>
      </c>
      <c r="Y7" s="1056" t="s">
        <v>777</v>
      </c>
    </row>
    <row r="8" spans="1:27" ht="16.2" thickTop="1">
      <c r="A8" s="1056">
        <v>5</v>
      </c>
      <c r="B8" s="1056">
        <v>8</v>
      </c>
      <c r="C8" s="1056">
        <v>24</v>
      </c>
      <c r="E8" s="1056">
        <f t="shared" si="0"/>
        <v>5</v>
      </c>
      <c r="F8" s="1056">
        <f t="shared" si="1"/>
        <v>8</v>
      </c>
      <c r="G8" s="19">
        <f t="shared" si="2"/>
        <v>3.1780538303479458</v>
      </c>
      <c r="I8" t="s">
        <v>693</v>
      </c>
      <c r="J8" t="e">
        <f ca="1">SQRT(J9)</f>
        <v>#NAME?</v>
      </c>
      <c r="Q8" t="s">
        <v>765</v>
      </c>
      <c r="R8" s="227">
        <v>4.7228556379341986E-2</v>
      </c>
      <c r="S8" s="227">
        <v>5.1206484748915648E-2</v>
      </c>
      <c r="T8" s="227">
        <v>0.43452154662158687</v>
      </c>
      <c r="U8" t="s">
        <v>685</v>
      </c>
      <c r="W8" s="926">
        <v>7</v>
      </c>
      <c r="X8" s="5">
        <v>7</v>
      </c>
      <c r="Y8" s="1063">
        <f t="array" ref="Y8:Y9">GROWTH(C6:C16,A6:B16,W8:X9)</f>
        <v>48.568540133870997</v>
      </c>
      <c r="AA8" s="23" t="s">
        <v>2773</v>
      </c>
    </row>
    <row r="9" spans="1:27" ht="15.6">
      <c r="A9" s="1056">
        <v>8</v>
      </c>
      <c r="B9" s="1056">
        <v>1</v>
      </c>
      <c r="C9" s="1056">
        <v>11</v>
      </c>
      <c r="E9" s="1056">
        <f t="shared" si="0"/>
        <v>8</v>
      </c>
      <c r="F9" s="1056">
        <f t="shared" si="1"/>
        <v>1</v>
      </c>
      <c r="G9" s="19">
        <f t="shared" si="2"/>
        <v>2.3978952727983707</v>
      </c>
      <c r="I9" t="s">
        <v>686</v>
      </c>
      <c r="J9" t="e">
        <f ca="1">K16/K18</f>
        <v>#NAME?</v>
      </c>
      <c r="Q9" t="s">
        <v>766</v>
      </c>
      <c r="R9" s="227">
        <v>0.84548244133075312</v>
      </c>
      <c r="S9" s="227">
        <v>0.3675898087109174</v>
      </c>
      <c r="T9" s="227" t="e">
        <v>#N/A</v>
      </c>
      <c r="U9" t="s">
        <v>687</v>
      </c>
      <c r="W9" s="533">
        <v>4</v>
      </c>
      <c r="X9" s="11">
        <v>5</v>
      </c>
      <c r="Y9" s="1064">
        <v>12.486499842727524</v>
      </c>
    </row>
    <row r="10" spans="1:27" ht="15.6">
      <c r="A10" s="1056">
        <v>9</v>
      </c>
      <c r="B10" s="1056">
        <v>3</v>
      </c>
      <c r="C10" s="1056">
        <v>31</v>
      </c>
      <c r="E10" s="1056">
        <f t="shared" si="0"/>
        <v>9</v>
      </c>
      <c r="F10" s="1056">
        <f t="shared" si="1"/>
        <v>3</v>
      </c>
      <c r="G10" s="19">
        <f t="shared" si="2"/>
        <v>3.4339872044851463</v>
      </c>
      <c r="I10" t="s">
        <v>694</v>
      </c>
      <c r="J10" t="e">
        <f ca="1">1-(1-J9)*(J12-1)/(J12-J16-1)</f>
        <v>#NAME?</v>
      </c>
      <c r="Q10" t="s">
        <v>388</v>
      </c>
      <c r="R10" s="227">
        <v>21.887025619931087</v>
      </c>
      <c r="S10" s="227">
        <v>8</v>
      </c>
      <c r="T10" s="227" t="e">
        <v>#N/A</v>
      </c>
      <c r="U10" t="s">
        <v>688</v>
      </c>
    </row>
    <row r="11" spans="1:27" ht="15.6">
      <c r="A11" s="1056">
        <v>5</v>
      </c>
      <c r="B11" s="1056">
        <v>4</v>
      </c>
      <c r="C11" s="1056">
        <v>15</v>
      </c>
      <c r="E11" s="1056">
        <f t="shared" si="0"/>
        <v>5</v>
      </c>
      <c r="F11" s="1056">
        <f t="shared" si="1"/>
        <v>4</v>
      </c>
      <c r="G11" s="19">
        <f t="shared" si="2"/>
        <v>2.7080502011022101</v>
      </c>
      <c r="I11" t="s">
        <v>77</v>
      </c>
      <c r="J11" t="e">
        <f ca="1">SQRT(L17)</f>
        <v>#NAME?</v>
      </c>
      <c r="Q11" t="s">
        <v>689</v>
      </c>
      <c r="R11" s="227">
        <v>5.9148490597962331</v>
      </c>
      <c r="S11" s="227">
        <v>1.0809781397450307</v>
      </c>
      <c r="T11" s="227" t="e">
        <v>#N/A</v>
      </c>
      <c r="U11" t="s">
        <v>690</v>
      </c>
      <c r="W11" s="1" t="s">
        <v>767</v>
      </c>
    </row>
    <row r="12" spans="1:27">
      <c r="A12" s="1056">
        <v>4</v>
      </c>
      <c r="B12" s="1056">
        <v>0</v>
      </c>
      <c r="C12" s="1056">
        <v>5</v>
      </c>
      <c r="E12" s="1056">
        <f t="shared" si="0"/>
        <v>4</v>
      </c>
      <c r="F12" s="1056">
        <f t="shared" si="1"/>
        <v>0</v>
      </c>
      <c r="G12" s="19">
        <f t="shared" si="2"/>
        <v>1.6094379124341003</v>
      </c>
      <c r="I12" s="534" t="s">
        <v>224</v>
      </c>
      <c r="J12" s="534">
        <f>COUNT(G6:G16)</f>
        <v>11</v>
      </c>
    </row>
    <row r="13" spans="1:27">
      <c r="A13" s="1056">
        <v>2</v>
      </c>
      <c r="B13" s="1056">
        <v>6</v>
      </c>
      <c r="C13" s="1056">
        <v>8</v>
      </c>
      <c r="E13" s="1056">
        <f t="shared" si="0"/>
        <v>2</v>
      </c>
      <c r="F13" s="1056">
        <f t="shared" si="1"/>
        <v>6</v>
      </c>
      <c r="G13" s="19">
        <f t="shared" si="2"/>
        <v>2.0794415416798357</v>
      </c>
      <c r="W13" s="1056" t="s">
        <v>783</v>
      </c>
      <c r="X13" s="1056" t="s">
        <v>784</v>
      </c>
      <c r="Y13" s="1056" t="s">
        <v>777</v>
      </c>
    </row>
    <row r="14" spans="1:27" ht="15" thickBot="1">
      <c r="A14" s="1056">
        <v>8</v>
      </c>
      <c r="B14" s="1056">
        <v>7</v>
      </c>
      <c r="C14" s="1056">
        <v>84</v>
      </c>
      <c r="E14" s="1056">
        <f t="shared" si="0"/>
        <v>8</v>
      </c>
      <c r="F14" s="1056">
        <f t="shared" si="1"/>
        <v>7</v>
      </c>
      <c r="G14" s="19">
        <f t="shared" si="2"/>
        <v>4.4308167988433134</v>
      </c>
      <c r="I14" t="s">
        <v>695</v>
      </c>
      <c r="M14" s="1056" t="s">
        <v>116</v>
      </c>
      <c r="N14" s="1056">
        <v>0.05</v>
      </c>
      <c r="W14" s="1067">
        <v>7</v>
      </c>
      <c r="X14" s="1068">
        <v>7</v>
      </c>
      <c r="Y14" s="1069">
        <f>$T$7*$S$7^W14*$R$7^X14</f>
        <v>48.568540133870975</v>
      </c>
      <c r="AA14" s="23" t="s">
        <v>2774</v>
      </c>
    </row>
    <row r="15" spans="1:27" ht="15" thickTop="1">
      <c r="A15" s="1056">
        <v>6</v>
      </c>
      <c r="B15" s="1056">
        <v>4</v>
      </c>
      <c r="C15" s="1056">
        <v>24</v>
      </c>
      <c r="E15" s="1056">
        <f t="shared" si="0"/>
        <v>6</v>
      </c>
      <c r="F15" s="1056">
        <f t="shared" si="1"/>
        <v>4</v>
      </c>
      <c r="G15" s="19">
        <f t="shared" si="2"/>
        <v>3.1780538303479458</v>
      </c>
      <c r="I15" s="973"/>
      <c r="J15" s="973" t="s">
        <v>186</v>
      </c>
      <c r="K15" s="973" t="s">
        <v>578</v>
      </c>
      <c r="L15" s="973" t="s">
        <v>641</v>
      </c>
      <c r="M15" s="973" t="s">
        <v>388</v>
      </c>
      <c r="N15" s="973" t="s">
        <v>200</v>
      </c>
      <c r="O15" s="973" t="s">
        <v>948</v>
      </c>
      <c r="W15" s="533">
        <v>4</v>
      </c>
      <c r="X15" s="534">
        <v>5</v>
      </c>
      <c r="Y15" s="1064">
        <f>$T$7*$S$7^W15*$R$7^X15</f>
        <v>12.48649984272752</v>
      </c>
      <c r="AA15" s="23" t="s">
        <v>2775</v>
      </c>
    </row>
    <row r="16" spans="1:27">
      <c r="A16" s="1057">
        <v>9</v>
      </c>
      <c r="B16" s="1057">
        <v>2</v>
      </c>
      <c r="C16" s="1057">
        <v>21</v>
      </c>
      <c r="E16" s="1057">
        <f t="shared" si="0"/>
        <v>9</v>
      </c>
      <c r="F16" s="1057">
        <f t="shared" si="1"/>
        <v>2</v>
      </c>
      <c r="G16" s="451">
        <f t="shared" si="2"/>
        <v>3.044522437723423</v>
      </c>
      <c r="I16" t="s">
        <v>623</v>
      </c>
      <c r="J16">
        <f>COUNT(E6:F6)</f>
        <v>2</v>
      </c>
      <c r="K16" t="e">
        <f ca="1">DEVSQ(MMULT([1]!DESIGN(E6:F16),J21:J23))</f>
        <v>#NAME?</v>
      </c>
      <c r="L16" t="e">
        <f ca="1">K16/J16</f>
        <v>#NAME?</v>
      </c>
      <c r="M16" t="e">
        <f ca="1">L16/L17</f>
        <v>#NAME?</v>
      </c>
      <c r="N16" t="e">
        <f ca="1">FDIST(M16,J16,J17)</f>
        <v>#NAME?</v>
      </c>
      <c r="O16" s="1056" t="e">
        <f ca="1">IF(N16&lt;N14,"yes","no")</f>
        <v>#NAME?</v>
      </c>
      <c r="T16" s="1056"/>
    </row>
    <row r="17" spans="9:27">
      <c r="I17" t="s">
        <v>696</v>
      </c>
      <c r="J17">
        <f>J18-J16</f>
        <v>8</v>
      </c>
      <c r="K17" t="e">
        <f ca="1">K18-K16</f>
        <v>#NAME?</v>
      </c>
      <c r="L17" t="e">
        <f ca="1">K17/J17</f>
        <v>#NAME?</v>
      </c>
      <c r="W17" s="1" t="s">
        <v>2742</v>
      </c>
    </row>
    <row r="18" spans="9:27">
      <c r="I18" s="534" t="s">
        <v>12</v>
      </c>
      <c r="J18" s="534">
        <f>J12-1</f>
        <v>10</v>
      </c>
      <c r="K18" s="534">
        <f>DEVSQ(G6:G16)</f>
        <v>6.9958271995412638</v>
      </c>
      <c r="L18" s="534"/>
      <c r="M18" s="534"/>
      <c r="N18" s="534"/>
      <c r="O18" s="534"/>
    </row>
    <row r="19" spans="9:27" ht="15" thickBot="1">
      <c r="W19" s="1056" t="s">
        <v>783</v>
      </c>
      <c r="X19" s="1056" t="s">
        <v>784</v>
      </c>
      <c r="Y19" s="1056" t="s">
        <v>777</v>
      </c>
    </row>
    <row r="20" spans="9:27" ht="15" thickTop="1">
      <c r="I20" s="973"/>
      <c r="J20" s="973" t="s">
        <v>2743</v>
      </c>
      <c r="K20" s="973" t="s">
        <v>1469</v>
      </c>
      <c r="L20" s="973" t="s">
        <v>188</v>
      </c>
      <c r="M20" s="973" t="s">
        <v>200</v>
      </c>
      <c r="N20" s="973" t="s">
        <v>103</v>
      </c>
      <c r="O20" s="973" t="s">
        <v>104</v>
      </c>
      <c r="W20" s="926">
        <v>7</v>
      </c>
      <c r="X20" s="5">
        <v>7</v>
      </c>
      <c r="Y20" s="1063">
        <f t="array" ref="Y20:Y21">EXP(TREND(LN(C6:C16),A6:B16,W20:X21))</f>
        <v>48.568540133870997</v>
      </c>
      <c r="AA20" s="23" t="s">
        <v>2776</v>
      </c>
    </row>
    <row r="21" spans="9:27">
      <c r="I21" t="s">
        <v>697</v>
      </c>
      <c r="J21" t="e">
        <f t="array" aca="1" ref="J21:J23" ca="1">[1]!RegCoeff(E6:F16,G6:G16)</f>
        <v>#NAME?</v>
      </c>
      <c r="K21" t="e">
        <f t="array" aca="1" ref="K21:K23" ca="1">[1]!RegCoeffSE(E6:F16,G6:G16)</f>
        <v>#NAME?</v>
      </c>
      <c r="L21" t="e">
        <f ca="1">J21/K21</f>
        <v>#NAME?</v>
      </c>
      <c r="M21" t="e">
        <f ca="1">TDIST(ABS(L21),$J$17,2)</f>
        <v>#NAME?</v>
      </c>
      <c r="N21" t="e">
        <f ca="1">J21-TINV(N$14,$J$17)*K21</f>
        <v>#NAME?</v>
      </c>
      <c r="O21" t="e">
        <f ca="1">J21+TINV(N$14,$J$17)*K21</f>
        <v>#NAME?</v>
      </c>
      <c r="W21" s="533">
        <v>4</v>
      </c>
      <c r="X21" s="11">
        <v>5</v>
      </c>
      <c r="Y21" s="1064">
        <v>12.486499842727525</v>
      </c>
    </row>
    <row r="22" spans="9:27">
      <c r="I22" t="str">
        <f t="array" ref="I22:I23">TRANSPOSE(E5:F5)</f>
        <v>Color</v>
      </c>
      <c r="J22" t="e">
        <f ca="1"/>
        <v>#NAME?</v>
      </c>
      <c r="K22" t="e">
        <f ca="1"/>
        <v>#NAME?</v>
      </c>
      <c r="L22" t="e">
        <f ca="1">J22/K22</f>
        <v>#NAME?</v>
      </c>
      <c r="M22" t="e">
        <f ca="1">TDIST(ABS(L22),$J$17,2)</f>
        <v>#NAME?</v>
      </c>
      <c r="N22" t="e">
        <f ca="1">J22-TINV(N$14,$J$17)*K22</f>
        <v>#NAME?</v>
      </c>
      <c r="O22" t="e">
        <f ca="1">J22+TINV(N$14,$J$17)*K22</f>
        <v>#NAME?</v>
      </c>
    </row>
    <row r="23" spans="9:27">
      <c r="I23" s="534" t="str">
        <v>Quality</v>
      </c>
      <c r="J23" s="534" t="e">
        <f ca="1"/>
        <v>#NAME?</v>
      </c>
      <c r="K23" s="534" t="e">
        <f ca="1"/>
        <v>#NAME?</v>
      </c>
      <c r="L23" s="534" t="e">
        <f ca="1">J23/K23</f>
        <v>#NAME?</v>
      </c>
      <c r="M23" s="534" t="e">
        <f ca="1">TDIST(ABS(L23),$J$17,2)</f>
        <v>#NAME?</v>
      </c>
      <c r="N23" s="534" t="e">
        <f ca="1">J23-TINV(N$14,$J$17)*K23</f>
        <v>#NAME?</v>
      </c>
      <c r="O23" s="534" t="e">
        <f ca="1">J23+TINV(N$14,$J$17)*K23</f>
        <v>#NAME?</v>
      </c>
    </row>
    <row r="25" spans="9:27">
      <c r="J25" t="s">
        <v>2752</v>
      </c>
    </row>
    <row r="26" spans="9:27">
      <c r="I26" t="str">
        <f>I21</f>
        <v>Intercept</v>
      </c>
      <c r="J26" s="929" t="e">
        <f ca="1">EXP(J21)</f>
        <v>#NAME?</v>
      </c>
    </row>
    <row r="27" spans="9:27">
      <c r="I27" t="str">
        <f>I22</f>
        <v>Color</v>
      </c>
      <c r="J27" s="627" t="e">
        <f ca="1">EXP(J22)</f>
        <v>#NAME?</v>
      </c>
    </row>
    <row r="28" spans="9:27">
      <c r="I28" t="str">
        <f>I23</f>
        <v>Quality</v>
      </c>
      <c r="J28" s="544" t="e">
        <f ca="1">EXP(J23)</f>
        <v>#NAME?</v>
      </c>
    </row>
    <row r="31" spans="9:27">
      <c r="Q31" s="8"/>
      <c r="R31" s="8"/>
      <c r="S31" s="8"/>
    </row>
    <row r="32" spans="9:27">
      <c r="Q32" s="8"/>
      <c r="R32" s="8"/>
      <c r="S32" s="8"/>
    </row>
    <row r="33" spans="1:27">
      <c r="A33" s="1" t="s">
        <v>2761</v>
      </c>
    </row>
    <row r="35" spans="1:27">
      <c r="A35" s="231" t="s">
        <v>783</v>
      </c>
      <c r="B35" s="231" t="s">
        <v>784</v>
      </c>
      <c r="C35" s="1061" t="s">
        <v>777</v>
      </c>
      <c r="E35" s="231" t="s">
        <v>2754</v>
      </c>
      <c r="F35" s="231" t="s">
        <v>2755</v>
      </c>
      <c r="G35" s="1061" t="s">
        <v>2753</v>
      </c>
      <c r="I35" t="s">
        <v>2744</v>
      </c>
      <c r="W35" s="1" t="s">
        <v>767</v>
      </c>
    </row>
    <row r="36" spans="1:27">
      <c r="A36" s="1056">
        <v>6</v>
      </c>
      <c r="B36" s="1056">
        <v>3</v>
      </c>
      <c r="C36" s="1056">
        <v>58</v>
      </c>
      <c r="E36" s="19">
        <f>LN(A36)</f>
        <v>1.791759469228055</v>
      </c>
      <c r="F36" s="19">
        <f>LN(B36)</f>
        <v>1.0986122886681098</v>
      </c>
      <c r="G36" s="19">
        <f>LN(C36)</f>
        <v>4.0604430105464191</v>
      </c>
    </row>
    <row r="37" spans="1:27" ht="15" thickBot="1">
      <c r="A37" s="1056">
        <v>2</v>
      </c>
      <c r="B37" s="1056">
        <v>6</v>
      </c>
      <c r="C37" s="1056">
        <v>11</v>
      </c>
      <c r="E37" s="19">
        <f t="shared" ref="E37:E46" si="3">LN(A37)</f>
        <v>0.69314718055994529</v>
      </c>
      <c r="F37" s="19">
        <f t="shared" ref="F37:F46" si="4">LN(B37)</f>
        <v>1.791759469228055</v>
      </c>
      <c r="G37" s="19">
        <f t="shared" ref="G37:G46" si="5">LN(C37)</f>
        <v>2.3978952727983707</v>
      </c>
      <c r="I37" s="1059" t="s">
        <v>2750</v>
      </c>
      <c r="J37" s="1059"/>
      <c r="W37" s="1056" t="s">
        <v>783</v>
      </c>
      <c r="X37" s="1056" t="s">
        <v>784</v>
      </c>
      <c r="Y37" s="1056" t="s">
        <v>777</v>
      </c>
    </row>
    <row r="38" spans="1:27" ht="15" thickTop="1">
      <c r="A38" s="1056">
        <v>3</v>
      </c>
      <c r="B38" s="1056">
        <v>7</v>
      </c>
      <c r="C38" s="1056">
        <v>24</v>
      </c>
      <c r="E38" s="19">
        <f t="shared" si="3"/>
        <v>1.0986122886681098</v>
      </c>
      <c r="F38" s="19">
        <f t="shared" si="4"/>
        <v>1.9459101490553132</v>
      </c>
      <c r="G38" s="19">
        <f t="shared" si="5"/>
        <v>3.1780538303479458</v>
      </c>
      <c r="I38" t="s">
        <v>693</v>
      </c>
      <c r="J38" t="e">
        <f ca="1">SQRT(J39)</f>
        <v>#NAME?</v>
      </c>
      <c r="W38" s="1067">
        <v>7</v>
      </c>
      <c r="X38" s="1068">
        <v>7</v>
      </c>
      <c r="Y38" s="1069" t="e">
        <f ca="1">$J$56*$J$57^LN(W38)*$J$58^LN(X38)</f>
        <v>#NAME?</v>
      </c>
      <c r="AA38" s="23" t="s">
        <v>2777</v>
      </c>
    </row>
    <row r="39" spans="1:27">
      <c r="A39" s="1056">
        <v>7</v>
      </c>
      <c r="B39" s="1056">
        <v>1</v>
      </c>
      <c r="C39" s="1056">
        <v>11</v>
      </c>
      <c r="E39" s="19">
        <f t="shared" si="3"/>
        <v>1.9459101490553132</v>
      </c>
      <c r="F39" s="19">
        <f t="shared" si="4"/>
        <v>0</v>
      </c>
      <c r="G39" s="19">
        <f t="shared" si="5"/>
        <v>2.3978952727983707</v>
      </c>
      <c r="I39" t="s">
        <v>686</v>
      </c>
      <c r="J39" t="e">
        <f ca="1">K46/K48</f>
        <v>#NAME?</v>
      </c>
      <c r="W39" s="533">
        <v>4</v>
      </c>
      <c r="X39" s="534">
        <v>5</v>
      </c>
      <c r="Y39" s="1064" t="e">
        <f ca="1">$J$56*$J$57^LN(W39)*$J$58^LN(X39)</f>
        <v>#NAME?</v>
      </c>
      <c r="AA39" s="23" t="s">
        <v>2778</v>
      </c>
    </row>
    <row r="40" spans="1:27">
      <c r="A40" s="1056">
        <v>9</v>
      </c>
      <c r="B40" s="1056">
        <v>2</v>
      </c>
      <c r="C40" s="1056">
        <v>31</v>
      </c>
      <c r="E40" s="19">
        <f t="shared" si="3"/>
        <v>2.1972245773362196</v>
      </c>
      <c r="F40" s="19">
        <f t="shared" si="4"/>
        <v>0.69314718055994529</v>
      </c>
      <c r="G40" s="19">
        <f t="shared" si="5"/>
        <v>3.4339872044851463</v>
      </c>
      <c r="I40" t="s">
        <v>694</v>
      </c>
      <c r="J40" t="e">
        <f ca="1">1-(1-J39)*(J42-1)/(J42-J46-1)</f>
        <v>#NAME?</v>
      </c>
    </row>
    <row r="41" spans="1:27">
      <c r="A41" s="1056">
        <v>3</v>
      </c>
      <c r="B41" s="1056">
        <v>3</v>
      </c>
      <c r="C41" s="1056">
        <v>15</v>
      </c>
      <c r="E41" s="19">
        <f t="shared" si="3"/>
        <v>1.0986122886681098</v>
      </c>
      <c r="F41" s="19">
        <f t="shared" si="4"/>
        <v>1.0986122886681098</v>
      </c>
      <c r="G41" s="19">
        <f t="shared" si="5"/>
        <v>2.7080502011022101</v>
      </c>
      <c r="I41" t="s">
        <v>77</v>
      </c>
      <c r="J41" t="e">
        <f ca="1">SQRT(L47)</f>
        <v>#NAME?</v>
      </c>
      <c r="W41" s="1" t="s">
        <v>2742</v>
      </c>
    </row>
    <row r="42" spans="1:27">
      <c r="A42" s="1056">
        <v>3</v>
      </c>
      <c r="B42" s="1056">
        <v>1</v>
      </c>
      <c r="C42" s="1056">
        <v>5</v>
      </c>
      <c r="E42" s="19">
        <f t="shared" si="3"/>
        <v>1.0986122886681098</v>
      </c>
      <c r="F42" s="19">
        <f t="shared" si="4"/>
        <v>0</v>
      </c>
      <c r="G42" s="19">
        <f t="shared" si="5"/>
        <v>1.6094379124341003</v>
      </c>
      <c r="I42" s="534" t="s">
        <v>224</v>
      </c>
      <c r="J42" s="534">
        <f>COUNT(G36:G46)</f>
        <v>11</v>
      </c>
    </row>
    <row r="43" spans="1:27">
      <c r="A43" s="1056">
        <v>2</v>
      </c>
      <c r="B43" s="1056">
        <v>4</v>
      </c>
      <c r="C43" s="1056">
        <v>8</v>
      </c>
      <c r="E43" s="19">
        <f t="shared" si="3"/>
        <v>0.69314718055994529</v>
      </c>
      <c r="F43" s="19">
        <f t="shared" si="4"/>
        <v>1.3862943611198906</v>
      </c>
      <c r="G43" s="19">
        <f t="shared" si="5"/>
        <v>2.0794415416798357</v>
      </c>
      <c r="W43" s="1056" t="s">
        <v>783</v>
      </c>
      <c r="X43" s="1056" t="s">
        <v>784</v>
      </c>
      <c r="Y43" s="1056" t="s">
        <v>777</v>
      </c>
    </row>
    <row r="44" spans="1:27" ht="15" thickBot="1">
      <c r="A44" s="1056">
        <v>7</v>
      </c>
      <c r="B44" s="1056">
        <v>6</v>
      </c>
      <c r="C44" s="1056">
        <v>84</v>
      </c>
      <c r="E44" s="19">
        <f t="shared" si="3"/>
        <v>1.9459101490553132</v>
      </c>
      <c r="F44" s="19">
        <f t="shared" si="4"/>
        <v>1.791759469228055</v>
      </c>
      <c r="G44" s="19">
        <f t="shared" si="5"/>
        <v>4.4308167988433134</v>
      </c>
      <c r="I44" t="s">
        <v>695</v>
      </c>
      <c r="M44" s="1056" t="s">
        <v>116</v>
      </c>
      <c r="N44" s="1056">
        <v>0.05</v>
      </c>
      <c r="W44" s="926">
        <v>7</v>
      </c>
      <c r="X44" s="5">
        <v>7</v>
      </c>
      <c r="Y44" s="1063">
        <f t="array" ref="Y44:Y45">EXP(TREND(LN(C36:C46),LN(A36:B46),LN(W44:X45)))</f>
        <v>84.437934073646957</v>
      </c>
      <c r="AA44" t="s">
        <v>2779</v>
      </c>
    </row>
    <row r="45" spans="1:27" ht="15" thickTop="1">
      <c r="A45" s="1056">
        <v>4</v>
      </c>
      <c r="B45" s="1056">
        <v>3</v>
      </c>
      <c r="C45" s="1056">
        <v>24</v>
      </c>
      <c r="E45" s="19">
        <f t="shared" si="3"/>
        <v>1.3862943611198906</v>
      </c>
      <c r="F45" s="19">
        <f t="shared" si="4"/>
        <v>1.0986122886681098</v>
      </c>
      <c r="G45" s="19">
        <f t="shared" si="5"/>
        <v>3.1780538303479458</v>
      </c>
      <c r="I45" s="973"/>
      <c r="J45" s="973" t="s">
        <v>186</v>
      </c>
      <c r="K45" s="973" t="s">
        <v>578</v>
      </c>
      <c r="L45" s="973" t="s">
        <v>641</v>
      </c>
      <c r="M45" s="973" t="s">
        <v>388</v>
      </c>
      <c r="N45" s="973" t="s">
        <v>200</v>
      </c>
      <c r="O45" s="973" t="s">
        <v>948</v>
      </c>
      <c r="W45" s="533">
        <v>4</v>
      </c>
      <c r="X45" s="11">
        <v>5</v>
      </c>
      <c r="Y45" s="1064">
        <v>29.525611831769641</v>
      </c>
    </row>
    <row r="46" spans="1:27">
      <c r="A46" s="1057">
        <v>9</v>
      </c>
      <c r="B46" s="1057">
        <v>2</v>
      </c>
      <c r="C46" s="1057">
        <v>21</v>
      </c>
      <c r="E46" s="451">
        <f t="shared" si="3"/>
        <v>2.1972245773362196</v>
      </c>
      <c r="F46" s="451">
        <f t="shared" si="4"/>
        <v>0.69314718055994529</v>
      </c>
      <c r="G46" s="451">
        <f t="shared" si="5"/>
        <v>3.044522437723423</v>
      </c>
      <c r="I46" t="s">
        <v>623</v>
      </c>
      <c r="J46">
        <f>COUNT(E36:F36)</f>
        <v>2</v>
      </c>
      <c r="K46" t="e">
        <f ca="1">DEVSQ(MMULT([1]!DESIGN(E36:F46),J51:J53))</f>
        <v>#NAME?</v>
      </c>
      <c r="L46" t="e">
        <f ca="1">K46/J46</f>
        <v>#NAME?</v>
      </c>
      <c r="M46" t="e">
        <f ca="1">L46/L47</f>
        <v>#NAME?</v>
      </c>
      <c r="N46" t="e">
        <f ca="1">FDIST(M46,J46,J47)</f>
        <v>#NAME?</v>
      </c>
      <c r="O46" s="1056" t="e">
        <f ca="1">IF(N46&lt;N44,"yes","no")</f>
        <v>#NAME?</v>
      </c>
    </row>
    <row r="47" spans="1:27">
      <c r="I47" t="s">
        <v>696</v>
      </c>
      <c r="J47">
        <f>J48-J46</f>
        <v>8</v>
      </c>
      <c r="K47" t="e">
        <f ca="1">K48-K46</f>
        <v>#NAME?</v>
      </c>
      <c r="L47" t="e">
        <f ca="1">K47/J47</f>
        <v>#NAME?</v>
      </c>
    </row>
    <row r="48" spans="1:27">
      <c r="I48" s="534" t="s">
        <v>12</v>
      </c>
      <c r="J48" s="534">
        <f>J42-1</f>
        <v>10</v>
      </c>
      <c r="K48" s="534">
        <f>DEVSQ(G36:G46)</f>
        <v>6.9958271995412638</v>
      </c>
      <c r="L48" s="534"/>
      <c r="M48" s="534"/>
      <c r="N48" s="534"/>
      <c r="O48" s="534"/>
    </row>
    <row r="49" spans="9:15" ht="15" thickBot="1"/>
    <row r="50" spans="9:15" ht="15" thickTop="1">
      <c r="I50" s="973"/>
      <c r="J50" s="973" t="s">
        <v>2743</v>
      </c>
      <c r="K50" s="973" t="s">
        <v>1469</v>
      </c>
      <c r="L50" s="973" t="s">
        <v>188</v>
      </c>
      <c r="M50" s="973" t="s">
        <v>200</v>
      </c>
      <c r="N50" s="973" t="s">
        <v>103</v>
      </c>
      <c r="O50" s="973" t="s">
        <v>104</v>
      </c>
    </row>
    <row r="51" spans="9:15">
      <c r="I51" t="s">
        <v>697</v>
      </c>
      <c r="J51" t="e">
        <f t="array" aca="1" ref="J51:J53" ca="1">[1]!RegCoeff(E36:F46,G36:G46)</f>
        <v>#NAME?</v>
      </c>
      <c r="K51" t="e">
        <f t="array" aca="1" ref="K51:K53" ca="1">[1]!RegCoeffSE(E36:F46,G36:G46)</f>
        <v>#NAME?</v>
      </c>
      <c r="L51" t="e">
        <f ca="1">J51/K51</f>
        <v>#NAME?</v>
      </c>
      <c r="M51" t="e">
        <f ca="1">TDIST(ABS(L51),$J$47,2)</f>
        <v>#NAME?</v>
      </c>
      <c r="N51" t="e">
        <f ca="1">J51-TINV(N$44,$J$47)*K51</f>
        <v>#NAME?</v>
      </c>
      <c r="O51" t="e">
        <f ca="1">J51+TINV(N$44,$J$47)*K51</f>
        <v>#NAME?</v>
      </c>
    </row>
    <row r="52" spans="9:15">
      <c r="I52" t="str">
        <f t="array" ref="I52:I53">TRANSPOSE(E35:F35)</f>
        <v>Ln Color</v>
      </c>
      <c r="J52" t="e">
        <f ca="1"/>
        <v>#NAME?</v>
      </c>
      <c r="K52" t="e">
        <f ca="1"/>
        <v>#NAME?</v>
      </c>
      <c r="L52" t="e">
        <f ca="1">J52/K52</f>
        <v>#NAME?</v>
      </c>
      <c r="M52" t="e">
        <f ca="1">TDIST(ABS(L52),$J$47,2)</f>
        <v>#NAME?</v>
      </c>
      <c r="N52" t="e">
        <f ca="1">J52-TINV(N$44,$J$47)*K52</f>
        <v>#NAME?</v>
      </c>
      <c r="O52" t="e">
        <f ca="1">J52+TINV(N$44,$J$47)*K52</f>
        <v>#NAME?</v>
      </c>
    </row>
    <row r="53" spans="9:15">
      <c r="I53" s="1062" t="str">
        <v>Ln Quality</v>
      </c>
      <c r="J53" s="1062" t="e">
        <f ca="1"/>
        <v>#NAME?</v>
      </c>
      <c r="K53" s="1062" t="e">
        <f ca="1"/>
        <v>#NAME?</v>
      </c>
      <c r="L53" s="1062" t="e">
        <f ca="1">J53/K53</f>
        <v>#NAME?</v>
      </c>
      <c r="M53" s="1062" t="e">
        <f ca="1">TDIST(ABS(L53),$J$47,2)</f>
        <v>#NAME?</v>
      </c>
      <c r="N53" s="1062" t="e">
        <f ca="1">J53-TINV(N$44,$J$47)*K53</f>
        <v>#NAME?</v>
      </c>
      <c r="O53" s="1062" t="e">
        <f ca="1">J53+TINV(N$44,$J$47)*K53</f>
        <v>#NAME?</v>
      </c>
    </row>
    <row r="55" spans="9:15">
      <c r="J55" s="1056" t="s">
        <v>2743</v>
      </c>
    </row>
    <row r="56" spans="9:15">
      <c r="I56" t="s">
        <v>2756</v>
      </c>
      <c r="J56" s="929" t="e">
        <f ca="1">EXP(J51)</f>
        <v>#NAME?</v>
      </c>
    </row>
    <row r="57" spans="9:15">
      <c r="I57" t="s">
        <v>783</v>
      </c>
      <c r="J57" s="627" t="e">
        <f ca="1">EXP(J52)</f>
        <v>#NAME?</v>
      </c>
    </row>
    <row r="58" spans="9:15">
      <c r="I58" t="s">
        <v>784</v>
      </c>
      <c r="J58" s="544" t="e">
        <f ca="1">EXP(J53)</f>
        <v>#NAME?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sheetPr codeName="Sheet143"/>
  <dimension ref="A1:P44"/>
  <sheetViews>
    <sheetView workbookViewId="0"/>
  </sheetViews>
  <sheetFormatPr defaultRowHeight="14.4"/>
  <cols>
    <col min="1" max="3" width="7.88671875" customWidth="1"/>
    <col min="4" max="4" width="4.88671875" customWidth="1"/>
    <col min="5" max="8" width="10.5546875" style="193" customWidth="1"/>
    <col min="9" max="9" width="6.88671875" customWidth="1"/>
    <col min="10" max="10" width="18" bestFit="1" customWidth="1"/>
    <col min="11" max="11" width="12.5546875" customWidth="1"/>
    <col min="12" max="16" width="13.33203125" customWidth="1"/>
  </cols>
  <sheetData>
    <row r="1" spans="1:15">
      <c r="A1" s="1" t="s">
        <v>841</v>
      </c>
      <c r="J1" s="1" t="s">
        <v>842</v>
      </c>
    </row>
    <row r="3" spans="1:15">
      <c r="A3" s="1556" t="s">
        <v>757</v>
      </c>
      <c r="B3" s="1556"/>
      <c r="C3" s="1556"/>
      <c r="E3" s="1556" t="s">
        <v>837</v>
      </c>
      <c r="F3" s="1556"/>
      <c r="G3" s="1556"/>
      <c r="H3" s="1556"/>
      <c r="J3" t="s">
        <v>691</v>
      </c>
    </row>
    <row r="4" spans="1:15" ht="15" thickBot="1">
      <c r="A4" s="283" t="s">
        <v>839</v>
      </c>
      <c r="B4" s="283" t="s">
        <v>840</v>
      </c>
      <c r="C4" s="283" t="s">
        <v>784</v>
      </c>
      <c r="E4" s="283" t="s">
        <v>839</v>
      </c>
      <c r="F4" s="283" t="s">
        <v>840</v>
      </c>
      <c r="G4" s="283" t="s">
        <v>784</v>
      </c>
      <c r="H4" s="283" t="s">
        <v>838</v>
      </c>
    </row>
    <row r="5" spans="1:15">
      <c r="A5" s="284">
        <v>70.400000000000006</v>
      </c>
      <c r="B5" s="284">
        <v>10.8</v>
      </c>
      <c r="C5" s="284">
        <v>4.3</v>
      </c>
      <c r="E5" s="284">
        <f>A5</f>
        <v>70.400000000000006</v>
      </c>
      <c r="F5" s="284">
        <f t="shared" ref="F5:G16" si="0">B5</f>
        <v>10.8</v>
      </c>
      <c r="G5" s="284">
        <f t="shared" si="0"/>
        <v>4.3</v>
      </c>
      <c r="H5" s="285">
        <f>F5*G5</f>
        <v>46.44</v>
      </c>
      <c r="J5" s="35" t="s">
        <v>692</v>
      </c>
      <c r="K5" s="35"/>
    </row>
    <row r="6" spans="1:15">
      <c r="A6" s="284">
        <v>41.8</v>
      </c>
      <c r="B6" s="284">
        <v>8.1</v>
      </c>
      <c r="C6" s="284">
        <v>3.5</v>
      </c>
      <c r="E6" s="284">
        <f t="shared" ref="E6:E16" si="1">A6</f>
        <v>41.8</v>
      </c>
      <c r="F6" s="284">
        <f t="shared" si="0"/>
        <v>8.1</v>
      </c>
      <c r="G6" s="284">
        <f t="shared" si="0"/>
        <v>3.5</v>
      </c>
      <c r="H6" s="285">
        <f t="shared" ref="H6:H16" si="2">F6*G6</f>
        <v>28.349999999999998</v>
      </c>
      <c r="J6" s="28" t="s">
        <v>693</v>
      </c>
      <c r="K6" s="28">
        <v>0.99897476937756113</v>
      </c>
    </row>
    <row r="7" spans="1:15">
      <c r="A7" s="284">
        <v>7.2</v>
      </c>
      <c r="B7" s="284">
        <v>10.7</v>
      </c>
      <c r="C7" s="284">
        <v>1.3</v>
      </c>
      <c r="E7" s="284">
        <f t="shared" si="1"/>
        <v>7.2</v>
      </c>
      <c r="F7" s="284">
        <f t="shared" si="0"/>
        <v>10.7</v>
      </c>
      <c r="G7" s="284">
        <f t="shared" si="0"/>
        <v>1.3</v>
      </c>
      <c r="H7" s="285">
        <f t="shared" si="2"/>
        <v>13.91</v>
      </c>
      <c r="J7" s="28" t="s">
        <v>686</v>
      </c>
      <c r="K7" s="28">
        <v>0.99795058985295138</v>
      </c>
    </row>
    <row r="8" spans="1:15">
      <c r="A8" s="284">
        <v>57.4</v>
      </c>
      <c r="B8" s="284">
        <v>2.8</v>
      </c>
      <c r="C8" s="284">
        <v>7.8</v>
      </c>
      <c r="E8" s="284">
        <f t="shared" si="1"/>
        <v>57.4</v>
      </c>
      <c r="F8" s="284">
        <f t="shared" si="0"/>
        <v>2.8</v>
      </c>
      <c r="G8" s="284">
        <f t="shared" si="0"/>
        <v>7.8</v>
      </c>
      <c r="H8" s="285">
        <f t="shared" si="2"/>
        <v>21.84</v>
      </c>
      <c r="J8" s="28" t="s">
        <v>694</v>
      </c>
      <c r="K8" s="28">
        <v>0.99718206104780815</v>
      </c>
    </row>
    <row r="9" spans="1:15">
      <c r="A9" s="284">
        <v>48.3</v>
      </c>
      <c r="B9" s="284">
        <v>6.2</v>
      </c>
      <c r="C9" s="284">
        <v>4.5999999999999996</v>
      </c>
      <c r="E9" s="284">
        <f t="shared" si="1"/>
        <v>48.3</v>
      </c>
      <c r="F9" s="284">
        <f t="shared" si="0"/>
        <v>6.2</v>
      </c>
      <c r="G9" s="284">
        <f t="shared" si="0"/>
        <v>4.5999999999999996</v>
      </c>
      <c r="H9" s="285">
        <f t="shared" si="2"/>
        <v>28.52</v>
      </c>
      <c r="J9" s="28" t="s">
        <v>77</v>
      </c>
      <c r="K9" s="28">
        <v>1.0190748818564479</v>
      </c>
    </row>
    <row r="10" spans="1:15" ht="15" thickBot="1">
      <c r="A10" s="284">
        <v>19.600000000000001</v>
      </c>
      <c r="B10" s="284">
        <v>4.5</v>
      </c>
      <c r="C10" s="284">
        <v>3</v>
      </c>
      <c r="E10" s="284">
        <f t="shared" si="1"/>
        <v>19.600000000000001</v>
      </c>
      <c r="F10" s="284">
        <f t="shared" si="0"/>
        <v>4.5</v>
      </c>
      <c r="G10" s="284">
        <f t="shared" si="0"/>
        <v>3</v>
      </c>
      <c r="H10" s="285">
        <f t="shared" si="2"/>
        <v>13.5</v>
      </c>
      <c r="J10" s="31" t="s">
        <v>224</v>
      </c>
      <c r="K10" s="31">
        <v>12</v>
      </c>
    </row>
    <row r="11" spans="1:15">
      <c r="A11" s="284">
        <v>72.099999999999994</v>
      </c>
      <c r="B11" s="284">
        <v>6.8</v>
      </c>
      <c r="C11" s="284">
        <v>5.7</v>
      </c>
      <c r="E11" s="284">
        <f t="shared" si="1"/>
        <v>72.099999999999994</v>
      </c>
      <c r="F11" s="284">
        <f t="shared" si="0"/>
        <v>6.8</v>
      </c>
      <c r="G11" s="284">
        <f t="shared" si="0"/>
        <v>5.7</v>
      </c>
      <c r="H11" s="285">
        <f t="shared" si="2"/>
        <v>38.76</v>
      </c>
    </row>
    <row r="12" spans="1:15" ht="15" thickBot="1">
      <c r="A12" s="284">
        <v>40.799999999999997</v>
      </c>
      <c r="B12" s="284">
        <v>2.1</v>
      </c>
      <c r="C12" s="284">
        <v>6.8</v>
      </c>
      <c r="E12" s="284">
        <f t="shared" si="1"/>
        <v>40.799999999999997</v>
      </c>
      <c r="F12" s="284">
        <f t="shared" si="0"/>
        <v>2.1</v>
      </c>
      <c r="G12" s="284">
        <f t="shared" si="0"/>
        <v>6.8</v>
      </c>
      <c r="H12" s="285">
        <f t="shared" si="2"/>
        <v>14.28</v>
      </c>
      <c r="J12" t="s">
        <v>695</v>
      </c>
    </row>
    <row r="13" spans="1:15">
      <c r="A13" s="284">
        <v>55.5</v>
      </c>
      <c r="B13" s="284">
        <v>7.9</v>
      </c>
      <c r="C13" s="284">
        <v>4.3</v>
      </c>
      <c r="E13" s="284">
        <f t="shared" si="1"/>
        <v>55.5</v>
      </c>
      <c r="F13" s="284">
        <f t="shared" si="0"/>
        <v>7.9</v>
      </c>
      <c r="G13" s="284">
        <f t="shared" si="0"/>
        <v>4.3</v>
      </c>
      <c r="H13" s="285">
        <f t="shared" si="2"/>
        <v>33.97</v>
      </c>
      <c r="J13" s="27"/>
      <c r="K13" s="27" t="s">
        <v>186</v>
      </c>
      <c r="L13" s="27" t="s">
        <v>578</v>
      </c>
      <c r="M13" s="27" t="s">
        <v>641</v>
      </c>
      <c r="N13" s="27" t="s">
        <v>388</v>
      </c>
      <c r="O13" s="27" t="s">
        <v>698</v>
      </c>
    </row>
    <row r="14" spans="1:15">
      <c r="A14" s="284">
        <v>50.8</v>
      </c>
      <c r="B14" s="284">
        <v>3.1</v>
      </c>
      <c r="C14" s="284">
        <v>6.8</v>
      </c>
      <c r="E14" s="284">
        <f t="shared" si="1"/>
        <v>50.8</v>
      </c>
      <c r="F14" s="284">
        <f t="shared" si="0"/>
        <v>3.1</v>
      </c>
      <c r="G14" s="284">
        <f t="shared" si="0"/>
        <v>6.8</v>
      </c>
      <c r="H14" s="285">
        <f t="shared" si="2"/>
        <v>21.08</v>
      </c>
      <c r="J14" s="28" t="s">
        <v>623</v>
      </c>
      <c r="K14" s="28">
        <v>3</v>
      </c>
      <c r="L14" s="28">
        <v>4045.594391081353</v>
      </c>
      <c r="M14" s="28">
        <v>1348.5314636937844</v>
      </c>
      <c r="N14" s="28">
        <v>1298.5207362096844</v>
      </c>
      <c r="O14" s="28">
        <v>4.3377028270600085E-11</v>
      </c>
    </row>
    <row r="15" spans="1:15">
      <c r="A15" s="284">
        <v>37.700000000000003</v>
      </c>
      <c r="B15" s="284">
        <v>7.6</v>
      </c>
      <c r="C15" s="284">
        <v>3.4</v>
      </c>
      <c r="E15" s="284">
        <f t="shared" si="1"/>
        <v>37.700000000000003</v>
      </c>
      <c r="F15" s="284">
        <f t="shared" si="0"/>
        <v>7.6</v>
      </c>
      <c r="G15" s="284">
        <f t="shared" si="0"/>
        <v>3.4</v>
      </c>
      <c r="H15" s="285">
        <f t="shared" si="2"/>
        <v>25.84</v>
      </c>
      <c r="J15" s="28" t="s">
        <v>696</v>
      </c>
      <c r="K15" s="28">
        <v>8</v>
      </c>
      <c r="L15" s="28">
        <v>8.3081089186458659</v>
      </c>
      <c r="M15" s="28">
        <v>1.0385136148307332</v>
      </c>
      <c r="N15" s="28"/>
      <c r="O15" s="28"/>
    </row>
    <row r="16" spans="1:15" ht="15" thickBot="1">
      <c r="A16" s="286">
        <v>60.9</v>
      </c>
      <c r="B16" s="286">
        <v>4.5999999999999996</v>
      </c>
      <c r="C16" s="286">
        <v>6.4</v>
      </c>
      <c r="E16" s="286">
        <f t="shared" si="1"/>
        <v>60.9</v>
      </c>
      <c r="F16" s="286">
        <f t="shared" si="0"/>
        <v>4.5999999999999996</v>
      </c>
      <c r="G16" s="286">
        <f t="shared" si="0"/>
        <v>6.4</v>
      </c>
      <c r="H16" s="287">
        <f t="shared" si="2"/>
        <v>29.439999999999998</v>
      </c>
      <c r="J16" s="31" t="s">
        <v>12</v>
      </c>
      <c r="K16" s="31">
        <v>11</v>
      </c>
      <c r="L16" s="31">
        <v>4053.9024999999988</v>
      </c>
      <c r="M16" s="31"/>
      <c r="N16" s="31"/>
      <c r="O16" s="31"/>
    </row>
    <row r="17" spans="10:16" ht="15" thickBot="1"/>
    <row r="18" spans="10:16">
      <c r="J18" s="27"/>
      <c r="K18" s="27" t="s">
        <v>699</v>
      </c>
      <c r="L18" s="27" t="s">
        <v>77</v>
      </c>
      <c r="M18" s="27" t="s">
        <v>229</v>
      </c>
      <c r="N18" s="27" t="s">
        <v>367</v>
      </c>
      <c r="O18" s="27" t="s">
        <v>700</v>
      </c>
      <c r="P18" s="27" t="s">
        <v>701</v>
      </c>
    </row>
    <row r="19" spans="10:16">
      <c r="J19" s="28" t="s">
        <v>697</v>
      </c>
      <c r="K19" s="28">
        <v>-12.215691616407756</v>
      </c>
      <c r="L19" s="28">
        <v>2.7986444940223763</v>
      </c>
      <c r="M19" s="28">
        <v>-4.3648600751182398</v>
      </c>
      <c r="N19" s="28">
        <v>2.3969573399909285E-3</v>
      </c>
      <c r="O19" s="28">
        <v>-18.66937739258973</v>
      </c>
      <c r="P19" s="28">
        <v>-5.7620058402257825</v>
      </c>
    </row>
    <row r="20" spans="10:16">
      <c r="J20" s="28" t="s">
        <v>840</v>
      </c>
      <c r="K20" s="28">
        <v>-0.85520312620746741</v>
      </c>
      <c r="L20" s="28">
        <v>0.31668929151556091</v>
      </c>
      <c r="M20" s="28">
        <v>-2.7004485125302886</v>
      </c>
      <c r="N20" s="28">
        <v>2.7055237806074824E-2</v>
      </c>
      <c r="O20" s="28">
        <v>-1.5854899420172288</v>
      </c>
      <c r="P20" s="28">
        <v>-0.12491631039770601</v>
      </c>
    </row>
    <row r="21" spans="10:16">
      <c r="J21" s="28" t="s">
        <v>784</v>
      </c>
      <c r="K21" s="28">
        <v>4.8619416857110602</v>
      </c>
      <c r="L21" s="28">
        <v>0.42581456487221331</v>
      </c>
      <c r="M21" s="28">
        <v>11.417978826464346</v>
      </c>
      <c r="N21" s="28">
        <v>3.1285738320413038E-6</v>
      </c>
      <c r="O21" s="28">
        <v>3.8800115382855731</v>
      </c>
      <c r="P21" s="28">
        <v>5.8438718331365473</v>
      </c>
    </row>
    <row r="22" spans="10:16" ht="15" thickBot="1">
      <c r="J22" s="31" t="s">
        <v>838</v>
      </c>
      <c r="K22" s="31">
        <v>1.5569687933562002</v>
      </c>
      <c r="L22" s="31">
        <v>5.8327913128754592E-2</v>
      </c>
      <c r="M22" s="31">
        <v>26.69337388977565</v>
      </c>
      <c r="N22" s="31">
        <v>4.173810263024243E-9</v>
      </c>
      <c r="O22" s="31">
        <v>1.4224643844834626</v>
      </c>
      <c r="P22" s="31">
        <v>1.6914732022289378</v>
      </c>
    </row>
    <row r="24" spans="10:16">
      <c r="J24" s="1" t="s">
        <v>843</v>
      </c>
    </row>
    <row r="26" spans="10:16">
      <c r="J26" t="s">
        <v>691</v>
      </c>
    </row>
    <row r="27" spans="10:16" ht="15" thickBot="1"/>
    <row r="28" spans="10:16">
      <c r="J28" s="35" t="s">
        <v>692</v>
      </c>
      <c r="K28" s="35"/>
    </row>
    <row r="29" spans="10:16">
      <c r="J29" s="28" t="s">
        <v>693</v>
      </c>
      <c r="K29" s="28">
        <v>0.90300372235460102</v>
      </c>
    </row>
    <row r="30" spans="10:16">
      <c r="J30" s="28" t="s">
        <v>686</v>
      </c>
      <c r="K30" s="28">
        <v>0.81541572258626538</v>
      </c>
    </row>
    <row r="31" spans="10:16">
      <c r="J31" s="28" t="s">
        <v>694</v>
      </c>
      <c r="K31" s="28">
        <v>0.77439699427210207</v>
      </c>
    </row>
    <row r="32" spans="10:16">
      <c r="J32" s="28" t="s">
        <v>77</v>
      </c>
      <c r="K32" s="28">
        <v>9.1182762970752069</v>
      </c>
    </row>
    <row r="33" spans="10:16" ht="15" thickBot="1">
      <c r="J33" s="31" t="s">
        <v>224</v>
      </c>
      <c r="K33" s="31">
        <v>12</v>
      </c>
    </row>
    <row r="35" spans="10:16" ht="15" thickBot="1">
      <c r="J35" t="s">
        <v>695</v>
      </c>
    </row>
    <row r="36" spans="10:16">
      <c r="J36" s="27"/>
      <c r="K36" s="27" t="s">
        <v>186</v>
      </c>
      <c r="L36" s="27" t="s">
        <v>578</v>
      </c>
      <c r="M36" s="27" t="s">
        <v>641</v>
      </c>
      <c r="N36" s="27" t="s">
        <v>388</v>
      </c>
      <c r="O36" s="27" t="s">
        <v>698</v>
      </c>
    </row>
    <row r="37" spans="10:16">
      <c r="J37" s="28" t="s">
        <v>623</v>
      </c>
      <c r="K37" s="28">
        <v>2</v>
      </c>
      <c r="L37" s="28">
        <v>3305.6158363317668</v>
      </c>
      <c r="M37" s="28">
        <v>1652.8079181658834</v>
      </c>
      <c r="N37" s="28">
        <v>19.879107814873741</v>
      </c>
      <c r="O37" s="28">
        <v>4.9874226811219417E-4</v>
      </c>
    </row>
    <row r="38" spans="10:16">
      <c r="J38" s="28" t="s">
        <v>696</v>
      </c>
      <c r="K38" s="28">
        <v>9</v>
      </c>
      <c r="L38" s="28">
        <v>748.28666366823211</v>
      </c>
      <c r="M38" s="28">
        <v>83.142962629803563</v>
      </c>
      <c r="N38" s="28"/>
      <c r="O38" s="28"/>
    </row>
    <row r="39" spans="10:16" ht="15" thickBot="1">
      <c r="J39" s="31" t="s">
        <v>12</v>
      </c>
      <c r="K39" s="31">
        <v>11</v>
      </c>
      <c r="L39" s="31">
        <v>4053.9024999999988</v>
      </c>
      <c r="M39" s="31"/>
      <c r="N39" s="31"/>
      <c r="O39" s="31"/>
    </row>
    <row r="40" spans="10:16" ht="15" thickBot="1"/>
    <row r="41" spans="10:16">
      <c r="J41" s="27"/>
      <c r="K41" s="27" t="s">
        <v>699</v>
      </c>
      <c r="L41" s="27" t="s">
        <v>77</v>
      </c>
      <c r="M41" s="27" t="s">
        <v>229</v>
      </c>
      <c r="N41" s="27" t="s">
        <v>367</v>
      </c>
      <c r="O41" s="27" t="s">
        <v>700</v>
      </c>
      <c r="P41" s="27" t="s">
        <v>701</v>
      </c>
    </row>
    <row r="42" spans="10:16">
      <c r="J42" s="28" t="s">
        <v>697</v>
      </c>
      <c r="K42" s="28">
        <v>-60.889358536201684</v>
      </c>
      <c r="L42" s="28">
        <v>18.99652168748192</v>
      </c>
      <c r="M42" s="28">
        <v>-3.2052898703200889</v>
      </c>
      <c r="N42" s="28">
        <v>1.0739759828494441E-2</v>
      </c>
      <c r="O42" s="28">
        <v>-103.86247613979036</v>
      </c>
      <c r="P42" s="28">
        <v>-17.916240932613007</v>
      </c>
    </row>
    <row r="43" spans="10:16">
      <c r="J43" s="28" t="s">
        <v>840</v>
      </c>
      <c r="K43" s="28">
        <v>6.3778321962728031</v>
      </c>
      <c r="L43" s="28">
        <v>1.4666631843115363</v>
      </c>
      <c r="M43" s="28">
        <v>4.3485322768680597</v>
      </c>
      <c r="N43" s="28">
        <v>1.8542219059633242E-3</v>
      </c>
      <c r="O43" s="28">
        <v>3.0600095684700368</v>
      </c>
      <c r="P43" s="28">
        <v>9.6956548240755698</v>
      </c>
    </row>
    <row r="44" spans="10:16" ht="15" thickBot="1">
      <c r="J44" s="31" t="s">
        <v>784</v>
      </c>
      <c r="K44" s="31">
        <v>14.051110902844657</v>
      </c>
      <c r="L44" s="31">
        <v>2.2424521701120192</v>
      </c>
      <c r="M44" s="31">
        <v>6.265957905422237</v>
      </c>
      <c r="N44" s="31">
        <v>1.4681233441750968E-4</v>
      </c>
      <c r="O44" s="31">
        <v>8.978331663993373</v>
      </c>
      <c r="P44" s="31">
        <v>19.123890141695941</v>
      </c>
    </row>
  </sheetData>
  <mergeCells count="2">
    <mergeCell ref="A3:C3"/>
    <mergeCell ref="E3:H3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sheetPr codeName="Sheet115"/>
  <dimension ref="A1:R37"/>
  <sheetViews>
    <sheetView workbookViewId="0"/>
  </sheetViews>
  <sheetFormatPr defaultRowHeight="14.4"/>
  <cols>
    <col min="1" max="3" width="8.109375" customWidth="1"/>
    <col min="4" max="4" width="5.88671875" customWidth="1"/>
    <col min="8" max="8" width="7.109375" customWidth="1"/>
    <col min="9" max="9" width="17.88671875" customWidth="1"/>
    <col min="10" max="10" width="10.5546875" customWidth="1"/>
    <col min="11" max="11" width="14.6640625" customWidth="1"/>
    <col min="12" max="13" width="10.5546875" customWidth="1"/>
    <col min="14" max="14" width="12.109375" customWidth="1"/>
    <col min="15" max="15" width="11.109375" customWidth="1"/>
  </cols>
  <sheetData>
    <row r="1" spans="1:18">
      <c r="A1" s="1" t="s">
        <v>987</v>
      </c>
    </row>
    <row r="2" spans="1:18">
      <c r="E2" s="1552" t="s">
        <v>988</v>
      </c>
      <c r="F2" s="1552"/>
      <c r="G2" s="1552"/>
      <c r="I2" t="s">
        <v>691</v>
      </c>
      <c r="Q2" t="s">
        <v>379</v>
      </c>
    </row>
    <row r="3" spans="1:18" ht="15" thickBot="1">
      <c r="A3" s="231" t="s">
        <v>874</v>
      </c>
      <c r="B3" s="231" t="s">
        <v>875</v>
      </c>
      <c r="C3" s="231" t="s">
        <v>876</v>
      </c>
      <c r="E3" s="331" t="s">
        <v>131</v>
      </c>
      <c r="F3" s="331" t="s">
        <v>989</v>
      </c>
      <c r="G3" s="331" t="s">
        <v>990</v>
      </c>
    </row>
    <row r="4" spans="1:18" ht="16.2">
      <c r="A4" s="117">
        <v>16</v>
      </c>
      <c r="B4" s="117">
        <v>7</v>
      </c>
      <c r="C4" s="327">
        <v>15</v>
      </c>
      <c r="E4" s="117">
        <v>16</v>
      </c>
      <c r="F4" s="357">
        <v>1</v>
      </c>
      <c r="G4" s="357">
        <v>0</v>
      </c>
      <c r="I4" s="35" t="s">
        <v>692</v>
      </c>
      <c r="J4" s="35"/>
      <c r="Q4" s="65" t="s">
        <v>999</v>
      </c>
      <c r="R4" s="743">
        <f>(K13-J13*L14)/(K15+L14)</f>
        <v>-3.888213851761859E-2</v>
      </c>
    </row>
    <row r="5" spans="1:18">
      <c r="A5" s="117">
        <v>8</v>
      </c>
      <c r="B5" s="117">
        <v>14</v>
      </c>
      <c r="C5" s="327">
        <v>12</v>
      </c>
      <c r="E5" s="117">
        <v>8</v>
      </c>
      <c r="F5" s="357">
        <v>1</v>
      </c>
      <c r="G5" s="357">
        <v>0</v>
      </c>
      <c r="I5" s="28" t="s">
        <v>693</v>
      </c>
      <c r="J5" s="28">
        <v>0.28502265002126576</v>
      </c>
      <c r="Q5" s="65" t="s">
        <v>1134</v>
      </c>
      <c r="R5" s="544">
        <f>SQRT(ABS(R4))</f>
        <v>0.19718554337886587</v>
      </c>
    </row>
    <row r="6" spans="1:18">
      <c r="A6" s="117">
        <v>14</v>
      </c>
      <c r="B6" s="117">
        <v>10</v>
      </c>
      <c r="C6" s="327">
        <v>11</v>
      </c>
      <c r="E6" s="117">
        <v>14</v>
      </c>
      <c r="F6" s="357">
        <v>1</v>
      </c>
      <c r="G6" s="357">
        <v>0</v>
      </c>
      <c r="I6" s="28" t="s">
        <v>686</v>
      </c>
      <c r="J6" s="28">
        <v>8.1237911025144952E-2</v>
      </c>
    </row>
    <row r="7" spans="1:18">
      <c r="A7" s="117">
        <v>12</v>
      </c>
      <c r="B7" s="117">
        <v>12</v>
      </c>
      <c r="C7" s="327">
        <v>17</v>
      </c>
      <c r="E7" s="117">
        <v>12</v>
      </c>
      <c r="F7" s="357">
        <v>1</v>
      </c>
      <c r="G7" s="357">
        <v>0</v>
      </c>
      <c r="I7" s="28" t="s">
        <v>694</v>
      </c>
      <c r="J7" s="28">
        <v>-4.1263700838169062E-2</v>
      </c>
    </row>
    <row r="8" spans="1:18">
      <c r="A8" s="117">
        <v>15</v>
      </c>
      <c r="B8" s="117">
        <v>8</v>
      </c>
      <c r="C8" s="327">
        <v>20</v>
      </c>
      <c r="E8" s="117">
        <v>15</v>
      </c>
      <c r="F8" s="357">
        <v>1</v>
      </c>
      <c r="G8" s="357">
        <v>0</v>
      </c>
      <c r="I8" s="28" t="s">
        <v>77</v>
      </c>
      <c r="J8" s="28">
        <v>3.9791121287711078</v>
      </c>
    </row>
    <row r="9" spans="1:18" ht="15" thickBot="1">
      <c r="A9" s="328">
        <v>7</v>
      </c>
      <c r="B9" s="328">
        <v>18</v>
      </c>
      <c r="C9" s="328">
        <v>9</v>
      </c>
      <c r="E9" s="117">
        <v>7</v>
      </c>
      <c r="F9" s="357">
        <v>1</v>
      </c>
      <c r="G9" s="357">
        <v>0</v>
      </c>
      <c r="I9" s="31" t="s">
        <v>224</v>
      </c>
      <c r="J9" s="31">
        <v>18</v>
      </c>
    </row>
    <row r="10" spans="1:18">
      <c r="A10" s="117"/>
      <c r="B10" s="117"/>
      <c r="C10" s="327"/>
      <c r="E10" s="117">
        <v>7</v>
      </c>
      <c r="F10" s="357">
        <v>0</v>
      </c>
      <c r="G10" s="357">
        <v>1</v>
      </c>
    </row>
    <row r="11" spans="1:18" ht="15" thickBot="1">
      <c r="A11" s="117"/>
      <c r="B11" s="117"/>
      <c r="C11" s="327"/>
      <c r="E11" s="117">
        <v>14</v>
      </c>
      <c r="F11" s="357">
        <v>0</v>
      </c>
      <c r="G11" s="357">
        <v>1</v>
      </c>
      <c r="I11" t="s">
        <v>695</v>
      </c>
    </row>
    <row r="12" spans="1:18">
      <c r="A12" s="117"/>
      <c r="B12" s="117"/>
      <c r="C12" s="327"/>
      <c r="E12" s="117">
        <v>10</v>
      </c>
      <c r="F12" s="357">
        <v>0</v>
      </c>
      <c r="G12" s="357">
        <v>1</v>
      </c>
      <c r="I12" s="329"/>
      <c r="J12" s="329" t="s">
        <v>186</v>
      </c>
      <c r="K12" s="329" t="s">
        <v>578</v>
      </c>
      <c r="L12" s="329" t="s">
        <v>641</v>
      </c>
      <c r="M12" s="329" t="s">
        <v>388</v>
      </c>
      <c r="N12" s="329" t="s">
        <v>698</v>
      </c>
    </row>
    <row r="13" spans="1:18">
      <c r="A13" s="117"/>
      <c r="B13" s="117"/>
      <c r="C13" s="327"/>
      <c r="E13" s="117">
        <v>12</v>
      </c>
      <c r="F13" s="357">
        <v>0</v>
      </c>
      <c r="G13" s="357">
        <v>1</v>
      </c>
      <c r="I13" s="28" t="s">
        <v>623</v>
      </c>
      <c r="J13" s="28">
        <v>2</v>
      </c>
      <c r="K13" s="28">
        <v>20.999999999999972</v>
      </c>
      <c r="L13" s="28">
        <v>10.499999999999986</v>
      </c>
      <c r="M13" s="28">
        <v>0.66315789473684106</v>
      </c>
      <c r="N13" s="28">
        <v>0.52969149408120253</v>
      </c>
    </row>
    <row r="14" spans="1:18">
      <c r="A14" s="117"/>
      <c r="B14" s="117"/>
      <c r="C14" s="327"/>
      <c r="E14" s="117">
        <v>8</v>
      </c>
      <c r="F14" s="357">
        <v>0</v>
      </c>
      <c r="G14" s="357">
        <v>1</v>
      </c>
      <c r="I14" s="28" t="s">
        <v>696</v>
      </c>
      <c r="J14" s="28">
        <v>15</v>
      </c>
      <c r="K14" s="28">
        <v>237.50000000000003</v>
      </c>
      <c r="L14" s="28">
        <v>15.833333333333336</v>
      </c>
      <c r="M14" s="28"/>
      <c r="N14" s="28"/>
    </row>
    <row r="15" spans="1:18" ht="15" thickBot="1">
      <c r="A15" s="117"/>
      <c r="B15" s="117"/>
      <c r="C15" s="327"/>
      <c r="E15" s="117">
        <v>18</v>
      </c>
      <c r="F15" s="357">
        <v>0</v>
      </c>
      <c r="G15" s="357">
        <v>1</v>
      </c>
      <c r="I15" s="31" t="s">
        <v>12</v>
      </c>
      <c r="J15" s="31">
        <v>17</v>
      </c>
      <c r="K15" s="31">
        <v>258.5</v>
      </c>
      <c r="L15" s="31"/>
      <c r="M15" s="31"/>
      <c r="N15" s="31"/>
    </row>
    <row r="16" spans="1:18" ht="15" thickBot="1">
      <c r="A16" s="117"/>
      <c r="B16" s="117"/>
      <c r="C16" s="327"/>
      <c r="E16" s="327">
        <v>15</v>
      </c>
      <c r="F16" s="358">
        <v>0</v>
      </c>
      <c r="G16" s="358">
        <v>0</v>
      </c>
    </row>
    <row r="17" spans="1:15">
      <c r="A17" s="117"/>
      <c r="B17" s="117"/>
      <c r="C17" s="327"/>
      <c r="E17" s="327">
        <v>12</v>
      </c>
      <c r="F17" s="358">
        <v>0</v>
      </c>
      <c r="G17" s="358">
        <v>0</v>
      </c>
      <c r="I17" s="329"/>
      <c r="J17" s="329" t="s">
        <v>699</v>
      </c>
      <c r="K17" s="329" t="s">
        <v>77</v>
      </c>
      <c r="L17" s="329" t="s">
        <v>229</v>
      </c>
      <c r="M17" s="329" t="s">
        <v>367</v>
      </c>
      <c r="N17" s="329" t="s">
        <v>700</v>
      </c>
      <c r="O17" s="329" t="s">
        <v>701</v>
      </c>
    </row>
    <row r="18" spans="1:15">
      <c r="E18" s="327">
        <v>11</v>
      </c>
      <c r="F18" s="358">
        <v>0</v>
      </c>
      <c r="G18" s="358">
        <v>0</v>
      </c>
      <c r="I18" s="28" t="s">
        <v>697</v>
      </c>
      <c r="J18" s="28">
        <v>14</v>
      </c>
      <c r="K18" s="28">
        <v>1.6244657241348277</v>
      </c>
      <c r="L18" s="28">
        <v>8.6182181575152921</v>
      </c>
      <c r="M18" s="28">
        <v>3.4027731523469263E-7</v>
      </c>
      <c r="N18" s="28">
        <v>10.537533270515393</v>
      </c>
      <c r="O18" s="28">
        <v>17.462466729484607</v>
      </c>
    </row>
    <row r="19" spans="1:15">
      <c r="E19" s="327">
        <v>17</v>
      </c>
      <c r="F19" s="358">
        <v>0</v>
      </c>
      <c r="G19" s="358">
        <v>0</v>
      </c>
      <c r="I19" s="28" t="s">
        <v>989</v>
      </c>
      <c r="J19" s="28">
        <v>-1.9999999999999998</v>
      </c>
      <c r="K19" s="28">
        <v>2.2973414586817031</v>
      </c>
      <c r="L19" s="28">
        <v>-0.87057150013201412</v>
      </c>
      <c r="M19" s="28">
        <v>0.39770691285569448</v>
      </c>
      <c r="N19" s="28">
        <v>-6.8966674081027453</v>
      </c>
      <c r="O19" s="28">
        <v>2.8966674081027453</v>
      </c>
    </row>
    <row r="20" spans="1:15" ht="15" thickBot="1">
      <c r="E20" s="327">
        <v>20</v>
      </c>
      <c r="F20" s="358">
        <v>0</v>
      </c>
      <c r="G20" s="358">
        <v>0</v>
      </c>
      <c r="I20" s="31" t="s">
        <v>990</v>
      </c>
      <c r="J20" s="31">
        <v>-2.5</v>
      </c>
      <c r="K20" s="31">
        <v>2.297341458681704</v>
      </c>
      <c r="L20" s="31">
        <v>-1.0882143751650173</v>
      </c>
      <c r="M20" s="31">
        <v>0.29367674527164767</v>
      </c>
      <c r="N20" s="31">
        <v>-7.396667408102747</v>
      </c>
      <c r="O20" s="31">
        <v>2.396667408102747</v>
      </c>
    </row>
    <row r="21" spans="1:15">
      <c r="E21" s="328">
        <v>9</v>
      </c>
      <c r="F21" s="359">
        <v>0</v>
      </c>
      <c r="G21" s="359">
        <v>0</v>
      </c>
    </row>
    <row r="23" spans="1:15">
      <c r="I23" t="s">
        <v>885</v>
      </c>
    </row>
    <row r="25" spans="1:15" ht="15" thickBot="1">
      <c r="I25" t="s">
        <v>194</v>
      </c>
    </row>
    <row r="26" spans="1:15">
      <c r="I26" s="329" t="s">
        <v>222</v>
      </c>
      <c r="J26" s="329" t="s">
        <v>88</v>
      </c>
      <c r="K26" s="329" t="s">
        <v>87</v>
      </c>
      <c r="L26" s="329" t="s">
        <v>886</v>
      </c>
      <c r="M26" s="329" t="s">
        <v>223</v>
      </c>
    </row>
    <row r="27" spans="1:15">
      <c r="I27" s="28" t="s">
        <v>874</v>
      </c>
      <c r="J27" s="28">
        <v>6</v>
      </c>
      <c r="K27" s="28">
        <v>72</v>
      </c>
      <c r="L27" s="28">
        <v>12</v>
      </c>
      <c r="M27" s="28">
        <v>14</v>
      </c>
    </row>
    <row r="28" spans="1:15">
      <c r="I28" s="28" t="s">
        <v>875</v>
      </c>
      <c r="J28" s="28">
        <v>6</v>
      </c>
      <c r="K28" s="28">
        <v>69</v>
      </c>
      <c r="L28" s="28">
        <v>11.5</v>
      </c>
      <c r="M28" s="28">
        <v>16.7</v>
      </c>
    </row>
    <row r="29" spans="1:15" ht="15" thickBot="1">
      <c r="I29" s="31" t="s">
        <v>876</v>
      </c>
      <c r="J29" s="31">
        <v>6</v>
      </c>
      <c r="K29" s="31">
        <v>84</v>
      </c>
      <c r="L29" s="31">
        <v>14</v>
      </c>
      <c r="M29" s="31">
        <v>16.8</v>
      </c>
    </row>
    <row r="32" spans="1:15" ht="15" thickBot="1">
      <c r="I32" t="s">
        <v>695</v>
      </c>
    </row>
    <row r="33" spans="9:15">
      <c r="I33" s="329" t="s">
        <v>887</v>
      </c>
      <c r="J33" s="329" t="s">
        <v>578</v>
      </c>
      <c r="K33" s="329" t="s">
        <v>186</v>
      </c>
      <c r="L33" s="329" t="s">
        <v>641</v>
      </c>
      <c r="M33" s="329" t="s">
        <v>388</v>
      </c>
      <c r="N33" s="329" t="s">
        <v>367</v>
      </c>
      <c r="O33" s="329" t="s">
        <v>888</v>
      </c>
    </row>
    <row r="34" spans="9:15">
      <c r="I34" s="28" t="s">
        <v>883</v>
      </c>
      <c r="J34" s="28">
        <v>21</v>
      </c>
      <c r="K34" s="28">
        <v>2</v>
      </c>
      <c r="L34" s="28">
        <v>10.5</v>
      </c>
      <c r="M34" s="28">
        <v>0.66315789473684206</v>
      </c>
      <c r="N34" s="28">
        <v>0.52969149408120197</v>
      </c>
      <c r="O34" s="28">
        <v>3.6823203436732408</v>
      </c>
    </row>
    <row r="35" spans="9:15">
      <c r="I35" s="28" t="s">
        <v>884</v>
      </c>
      <c r="J35" s="28">
        <v>237.5</v>
      </c>
      <c r="K35" s="28">
        <v>15</v>
      </c>
      <c r="L35" s="28">
        <v>15.833333333333334</v>
      </c>
      <c r="M35" s="28"/>
      <c r="N35" s="28"/>
      <c r="O35" s="28"/>
    </row>
    <row r="36" spans="9:15">
      <c r="I36" s="28"/>
      <c r="J36" s="28"/>
      <c r="K36" s="28"/>
      <c r="L36" s="28"/>
      <c r="M36" s="28"/>
      <c r="N36" s="28"/>
      <c r="O36" s="28"/>
    </row>
    <row r="37" spans="9:15" ht="15" thickBot="1">
      <c r="I37" s="31" t="s">
        <v>12</v>
      </c>
      <c r="J37" s="31">
        <v>258.5</v>
      </c>
      <c r="K37" s="31">
        <v>17</v>
      </c>
      <c r="L37" s="31"/>
      <c r="M37" s="31"/>
      <c r="N37" s="31"/>
      <c r="O37" s="31"/>
    </row>
  </sheetData>
  <mergeCells count="1">
    <mergeCell ref="E2:G2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sheetPr codeName="Sheet116"/>
  <dimension ref="A1:U37"/>
  <sheetViews>
    <sheetView workbookViewId="0"/>
  </sheetViews>
  <sheetFormatPr defaultRowHeight="14.4"/>
  <cols>
    <col min="1" max="3" width="8.109375" customWidth="1"/>
    <col min="4" max="4" width="5.88671875" customWidth="1"/>
    <col min="8" max="8" width="7.109375" customWidth="1"/>
    <col min="9" max="9" width="17.88671875" customWidth="1"/>
    <col min="10" max="10" width="10.5546875" customWidth="1"/>
    <col min="11" max="11" width="14.6640625" customWidth="1"/>
    <col min="12" max="13" width="10.5546875" customWidth="1"/>
    <col min="14" max="14" width="12.109375" customWidth="1"/>
    <col min="15" max="16" width="11.109375" customWidth="1"/>
  </cols>
  <sheetData>
    <row r="1" spans="1:21">
      <c r="A1" s="1" t="s">
        <v>987</v>
      </c>
    </row>
    <row r="2" spans="1:21">
      <c r="E2" s="1552" t="s">
        <v>988</v>
      </c>
      <c r="F2" s="1552"/>
      <c r="G2" s="1552"/>
      <c r="I2" t="s">
        <v>691</v>
      </c>
      <c r="R2" t="s">
        <v>991</v>
      </c>
    </row>
    <row r="3" spans="1:21" ht="15" thickBot="1">
      <c r="A3" s="231" t="s">
        <v>874</v>
      </c>
      <c r="B3" s="231" t="s">
        <v>875</v>
      </c>
      <c r="C3" s="231" t="s">
        <v>876</v>
      </c>
      <c r="E3" s="331" t="s">
        <v>131</v>
      </c>
      <c r="F3" s="331" t="s">
        <v>989</v>
      </c>
      <c r="G3" s="331" t="s">
        <v>990</v>
      </c>
    </row>
    <row r="4" spans="1:21">
      <c r="A4" s="117">
        <v>16</v>
      </c>
      <c r="B4" s="117">
        <v>7</v>
      </c>
      <c r="C4" s="327">
        <v>15</v>
      </c>
      <c r="E4" s="117">
        <v>16</v>
      </c>
      <c r="F4" s="357">
        <v>1</v>
      </c>
      <c r="G4" s="357">
        <v>0</v>
      </c>
      <c r="I4" s="35" t="s">
        <v>692</v>
      </c>
      <c r="J4" s="35"/>
      <c r="R4" s="117" t="s">
        <v>874</v>
      </c>
      <c r="S4" s="117" t="s">
        <v>875</v>
      </c>
      <c r="T4" s="117" t="s">
        <v>876</v>
      </c>
      <c r="U4" s="8"/>
    </row>
    <row r="5" spans="1:21">
      <c r="A5" s="117">
        <v>8</v>
      </c>
      <c r="B5" s="117">
        <v>14</v>
      </c>
      <c r="C5" s="327">
        <v>12</v>
      </c>
      <c r="E5" s="117">
        <v>8</v>
      </c>
      <c r="F5" s="357">
        <v>1</v>
      </c>
      <c r="G5" s="357">
        <v>0</v>
      </c>
      <c r="I5" s="28" t="s">
        <v>693</v>
      </c>
      <c r="J5" s="28">
        <v>0.28502265002126614</v>
      </c>
      <c r="R5" s="333">
        <v>16</v>
      </c>
      <c r="S5" s="334">
        <v>7</v>
      </c>
      <c r="T5" s="335">
        <v>15</v>
      </c>
      <c r="U5" s="8"/>
    </row>
    <row r="6" spans="1:21">
      <c r="A6" s="117">
        <v>14</v>
      </c>
      <c r="B6" s="117">
        <v>10</v>
      </c>
      <c r="C6" s="327">
        <v>11</v>
      </c>
      <c r="E6" s="117">
        <v>14</v>
      </c>
      <c r="F6" s="357">
        <v>1</v>
      </c>
      <c r="G6" s="357">
        <v>0</v>
      </c>
      <c r="I6" s="28" t="s">
        <v>686</v>
      </c>
      <c r="J6" s="28">
        <v>8.1237911025145174E-2</v>
      </c>
      <c r="R6" s="360">
        <v>8</v>
      </c>
      <c r="S6" s="117">
        <v>14</v>
      </c>
      <c r="T6" s="88">
        <v>12</v>
      </c>
      <c r="U6" s="8"/>
    </row>
    <row r="7" spans="1:21">
      <c r="A7" s="117">
        <v>12</v>
      </c>
      <c r="B7" s="117">
        <v>12</v>
      </c>
      <c r="C7" s="327">
        <v>17</v>
      </c>
      <c r="E7" s="117">
        <v>12</v>
      </c>
      <c r="F7" s="357">
        <v>1</v>
      </c>
      <c r="G7" s="357">
        <v>0</v>
      </c>
      <c r="I7" s="28" t="s">
        <v>694</v>
      </c>
      <c r="J7" s="28">
        <v>-4.1263700838168806E-2</v>
      </c>
      <c r="R7" s="360">
        <v>14</v>
      </c>
      <c r="S7" s="117">
        <v>10</v>
      </c>
      <c r="T7" s="88">
        <v>11</v>
      </c>
      <c r="U7" s="8"/>
    </row>
    <row r="8" spans="1:21">
      <c r="A8" s="117">
        <v>15</v>
      </c>
      <c r="B8" s="117">
        <v>8</v>
      </c>
      <c r="C8" s="327">
        <v>20</v>
      </c>
      <c r="E8" s="117">
        <v>15</v>
      </c>
      <c r="F8" s="357">
        <v>1</v>
      </c>
      <c r="G8" s="357">
        <v>0</v>
      </c>
      <c r="I8" s="28" t="s">
        <v>77</v>
      </c>
      <c r="J8" s="28">
        <v>3.9791121287711073</v>
      </c>
      <c r="R8" s="360">
        <v>12</v>
      </c>
      <c r="S8" s="117">
        <v>12</v>
      </c>
      <c r="T8" s="88">
        <v>17</v>
      </c>
      <c r="U8" s="8"/>
    </row>
    <row r="9" spans="1:21" ht="15" thickBot="1">
      <c r="A9" s="328">
        <v>7</v>
      </c>
      <c r="B9" s="328">
        <v>18</v>
      </c>
      <c r="C9" s="328">
        <v>9</v>
      </c>
      <c r="E9" s="117">
        <v>7</v>
      </c>
      <c r="F9" s="357">
        <v>1</v>
      </c>
      <c r="G9" s="357">
        <v>0</v>
      </c>
      <c r="I9" s="31" t="s">
        <v>224</v>
      </c>
      <c r="J9" s="31">
        <v>18</v>
      </c>
      <c r="R9" s="360">
        <v>15</v>
      </c>
      <c r="S9" s="117">
        <v>8</v>
      </c>
      <c r="T9" s="88">
        <v>20</v>
      </c>
      <c r="U9" s="8"/>
    </row>
    <row r="10" spans="1:21">
      <c r="A10" s="117"/>
      <c r="B10" s="117"/>
      <c r="C10" s="327"/>
      <c r="E10" s="117">
        <v>7</v>
      </c>
      <c r="F10" s="357">
        <v>0</v>
      </c>
      <c r="G10" s="357">
        <v>1</v>
      </c>
      <c r="R10" s="281">
        <v>7</v>
      </c>
      <c r="S10" s="328">
        <v>18</v>
      </c>
      <c r="T10" s="282">
        <v>9</v>
      </c>
      <c r="U10" s="8"/>
    </row>
    <row r="11" spans="1:21" ht="15" thickBot="1">
      <c r="A11" s="117"/>
      <c r="B11" s="117"/>
      <c r="C11" s="327"/>
      <c r="E11" s="117">
        <v>14</v>
      </c>
      <c r="F11" s="357">
        <v>0</v>
      </c>
      <c r="G11" s="357">
        <v>1</v>
      </c>
      <c r="I11" t="s">
        <v>695</v>
      </c>
      <c r="Q11" t="s">
        <v>63</v>
      </c>
      <c r="R11" s="117">
        <f>AVERAGE(R5:R10)</f>
        <v>12</v>
      </c>
      <c r="S11" s="117">
        <f>AVERAGE(S5:S10)</f>
        <v>11.5</v>
      </c>
      <c r="T11" s="117">
        <f>AVERAGE(T5:T10)</f>
        <v>14</v>
      </c>
      <c r="U11" s="117">
        <f>AVERAGE(R11:T11)</f>
        <v>12.5</v>
      </c>
    </row>
    <row r="12" spans="1:21">
      <c r="A12" s="117"/>
      <c r="B12" s="117"/>
      <c r="C12" s="327"/>
      <c r="E12" s="117">
        <v>10</v>
      </c>
      <c r="F12" s="357">
        <v>0</v>
      </c>
      <c r="G12" s="357">
        <v>1</v>
      </c>
      <c r="I12" s="329"/>
      <c r="J12" s="329" t="s">
        <v>186</v>
      </c>
      <c r="K12" s="329" t="s">
        <v>578</v>
      </c>
      <c r="L12" s="329" t="s">
        <v>641</v>
      </c>
      <c r="M12" s="329" t="s">
        <v>388</v>
      </c>
      <c r="N12" s="329" t="s">
        <v>698</v>
      </c>
      <c r="Q12" s="361" t="s">
        <v>992</v>
      </c>
      <c r="R12" s="117">
        <f>R11-$U$11</f>
        <v>-0.5</v>
      </c>
      <c r="S12" s="117">
        <f>S11-$U$11</f>
        <v>-1</v>
      </c>
      <c r="T12" s="117">
        <f>T11-$U$11</f>
        <v>1.5</v>
      </c>
      <c r="U12" s="8"/>
    </row>
    <row r="13" spans="1:21">
      <c r="A13" s="117"/>
      <c r="B13" s="117"/>
      <c r="C13" s="327"/>
      <c r="E13" s="117">
        <v>12</v>
      </c>
      <c r="F13" s="357">
        <v>0</v>
      </c>
      <c r="G13" s="357">
        <v>1</v>
      </c>
      <c r="I13" s="28" t="s">
        <v>623</v>
      </c>
      <c r="J13" s="28">
        <v>2</v>
      </c>
      <c r="K13" s="28">
        <v>21.000000000000028</v>
      </c>
      <c r="L13" s="28">
        <v>10.500000000000014</v>
      </c>
      <c r="M13" s="28">
        <v>0.66315789473684306</v>
      </c>
      <c r="N13" s="28">
        <v>0.52969149408120164</v>
      </c>
    </row>
    <row r="14" spans="1:21">
      <c r="A14" s="117"/>
      <c r="B14" s="117"/>
      <c r="C14" s="327"/>
      <c r="E14" s="117">
        <v>8</v>
      </c>
      <c r="F14" s="357">
        <v>0</v>
      </c>
      <c r="G14" s="357">
        <v>1</v>
      </c>
      <c r="I14" s="28" t="s">
        <v>696</v>
      </c>
      <c r="J14" s="28">
        <v>15</v>
      </c>
      <c r="K14" s="28">
        <v>237.49999999999997</v>
      </c>
      <c r="L14" s="28">
        <v>15.833333333333332</v>
      </c>
      <c r="M14" s="28"/>
      <c r="N14" s="28"/>
    </row>
    <row r="15" spans="1:21" ht="15" thickBot="1">
      <c r="A15" s="117"/>
      <c r="B15" s="117"/>
      <c r="C15" s="327"/>
      <c r="E15" s="117">
        <v>18</v>
      </c>
      <c r="F15" s="357">
        <v>0</v>
      </c>
      <c r="G15" s="357">
        <v>1</v>
      </c>
      <c r="I15" s="31" t="s">
        <v>12</v>
      </c>
      <c r="J15" s="31">
        <v>17</v>
      </c>
      <c r="K15" s="31">
        <v>258.5</v>
      </c>
      <c r="L15" s="31"/>
      <c r="M15" s="31"/>
      <c r="N15" s="31"/>
    </row>
    <row r="16" spans="1:21" ht="15" thickBot="1">
      <c r="A16" s="117"/>
      <c r="B16" s="117"/>
      <c r="C16" s="327"/>
      <c r="E16" s="327">
        <v>15</v>
      </c>
      <c r="F16" s="358">
        <v>-1</v>
      </c>
      <c r="G16" s="358">
        <v>-1</v>
      </c>
    </row>
    <row r="17" spans="1:16">
      <c r="A17" s="117"/>
      <c r="B17" s="117"/>
      <c r="C17" s="327"/>
      <c r="E17" s="327">
        <v>12</v>
      </c>
      <c r="F17" s="358">
        <v>-1</v>
      </c>
      <c r="G17" s="358">
        <v>-1</v>
      </c>
      <c r="I17" s="329"/>
      <c r="J17" s="329" t="s">
        <v>699</v>
      </c>
      <c r="K17" s="329" t="s">
        <v>77</v>
      </c>
      <c r="L17" s="329" t="s">
        <v>229</v>
      </c>
      <c r="M17" s="329" t="s">
        <v>367</v>
      </c>
      <c r="N17" s="329" t="s">
        <v>700</v>
      </c>
      <c r="O17" s="329" t="s">
        <v>701</v>
      </c>
      <c r="P17" s="91"/>
    </row>
    <row r="18" spans="1:16">
      <c r="E18" s="327">
        <v>11</v>
      </c>
      <c r="F18" s="358">
        <v>-1</v>
      </c>
      <c r="G18" s="358">
        <v>-1</v>
      </c>
      <c r="I18" s="28" t="s">
        <v>697</v>
      </c>
      <c r="J18" s="28">
        <v>12.5</v>
      </c>
      <c r="K18" s="28">
        <v>0.93788572311856289</v>
      </c>
      <c r="L18" s="28">
        <v>13.327849749579578</v>
      </c>
      <c r="M18" s="28">
        <v>1.0170895024375537E-9</v>
      </c>
      <c r="N18" s="28">
        <v>10.500943901671938</v>
      </c>
      <c r="O18" s="28">
        <v>14.499056098328062</v>
      </c>
      <c r="P18" s="28"/>
    </row>
    <row r="19" spans="1:16">
      <c r="E19" s="327">
        <v>17</v>
      </c>
      <c r="F19" s="358">
        <v>-1</v>
      </c>
      <c r="G19" s="358">
        <v>-1</v>
      </c>
      <c r="I19" s="28" t="s">
        <v>989</v>
      </c>
      <c r="J19" s="28">
        <v>-0.49999999999999994</v>
      </c>
      <c r="K19" s="28">
        <v>1.326370709590369</v>
      </c>
      <c r="L19" s="28">
        <v>-0.37696851746252596</v>
      </c>
      <c r="M19" s="28">
        <v>0.71147657623552352</v>
      </c>
      <c r="N19" s="28">
        <v>-3.3270922462001873</v>
      </c>
      <c r="O19" s="28">
        <v>2.3270922462001873</v>
      </c>
      <c r="P19" s="28"/>
    </row>
    <row r="20" spans="1:16" ht="15" thickBot="1">
      <c r="E20" s="327">
        <v>20</v>
      </c>
      <c r="F20" s="358">
        <v>-1</v>
      </c>
      <c r="G20" s="358">
        <v>-1</v>
      </c>
      <c r="I20" s="31" t="s">
        <v>990</v>
      </c>
      <c r="J20" s="31">
        <v>-1.0000000000000002</v>
      </c>
      <c r="K20" s="31">
        <v>1.3263707095903692</v>
      </c>
      <c r="L20" s="31">
        <v>-0.75393703492505204</v>
      </c>
      <c r="M20" s="31">
        <v>0.46255887733323142</v>
      </c>
      <c r="N20" s="31">
        <v>-3.8270922462001877</v>
      </c>
      <c r="O20" s="31">
        <v>1.8270922462001875</v>
      </c>
      <c r="P20" s="28"/>
    </row>
    <row r="21" spans="1:16">
      <c r="E21" s="328">
        <v>9</v>
      </c>
      <c r="F21" s="328">
        <v>-1</v>
      </c>
      <c r="G21" s="328">
        <v>-1</v>
      </c>
    </row>
    <row r="23" spans="1:16">
      <c r="I23" t="s">
        <v>885</v>
      </c>
    </row>
    <row r="25" spans="1:16" ht="15" thickBot="1">
      <c r="I25" t="s">
        <v>194</v>
      </c>
    </row>
    <row r="26" spans="1:16">
      <c r="I26" s="810" t="s">
        <v>222</v>
      </c>
      <c r="J26" s="810" t="s">
        <v>88</v>
      </c>
      <c r="K26" s="810" t="s">
        <v>87</v>
      </c>
      <c r="L26" s="810" t="s">
        <v>886</v>
      </c>
      <c r="M26" s="810" t="s">
        <v>223</v>
      </c>
    </row>
    <row r="27" spans="1:16">
      <c r="I27" s="28" t="s">
        <v>874</v>
      </c>
      <c r="J27" s="28">
        <v>6</v>
      </c>
      <c r="K27" s="28">
        <v>72</v>
      </c>
      <c r="L27" s="28">
        <v>12</v>
      </c>
      <c r="M27" s="28">
        <v>14</v>
      </c>
    </row>
    <row r="28" spans="1:16">
      <c r="I28" s="28" t="s">
        <v>875</v>
      </c>
      <c r="J28" s="28">
        <v>6</v>
      </c>
      <c r="K28" s="28">
        <v>69</v>
      </c>
      <c r="L28" s="28">
        <v>11.5</v>
      </c>
      <c r="M28" s="28">
        <v>16.7</v>
      </c>
    </row>
    <row r="29" spans="1:16" ht="15" thickBot="1">
      <c r="I29" s="31" t="s">
        <v>876</v>
      </c>
      <c r="J29" s="31">
        <v>6</v>
      </c>
      <c r="K29" s="31">
        <v>84</v>
      </c>
      <c r="L29" s="31">
        <v>14</v>
      </c>
      <c r="M29" s="31">
        <v>16.8</v>
      </c>
    </row>
    <row r="32" spans="1:16" ht="15" thickBot="1">
      <c r="I32" t="s">
        <v>695</v>
      </c>
    </row>
    <row r="33" spans="9:16">
      <c r="I33" s="810" t="s">
        <v>887</v>
      </c>
      <c r="J33" s="810" t="s">
        <v>578</v>
      </c>
      <c r="K33" s="810" t="s">
        <v>186</v>
      </c>
      <c r="L33" s="810" t="s">
        <v>641</v>
      </c>
      <c r="M33" s="810" t="s">
        <v>388</v>
      </c>
      <c r="N33" s="810" t="s">
        <v>367</v>
      </c>
      <c r="O33" s="810" t="s">
        <v>888</v>
      </c>
      <c r="P33" s="91"/>
    </row>
    <row r="34" spans="9:16">
      <c r="I34" s="28" t="s">
        <v>883</v>
      </c>
      <c r="J34" s="28">
        <v>21</v>
      </c>
      <c r="K34" s="28">
        <v>2</v>
      </c>
      <c r="L34" s="28">
        <v>10.5</v>
      </c>
      <c r="M34" s="28">
        <v>0.66315789473684206</v>
      </c>
      <c r="N34" s="28">
        <v>0.52969149408120197</v>
      </c>
      <c r="O34" s="28">
        <v>3.6823203436732408</v>
      </c>
      <c r="P34" s="28"/>
    </row>
    <row r="35" spans="9:16">
      <c r="I35" s="28" t="s">
        <v>884</v>
      </c>
      <c r="J35" s="28">
        <v>237.5</v>
      </c>
      <c r="K35" s="28">
        <v>15</v>
      </c>
      <c r="L35" s="28">
        <v>15.833333333333334</v>
      </c>
      <c r="M35" s="28"/>
      <c r="N35" s="28"/>
      <c r="O35" s="28"/>
      <c r="P35" s="28"/>
    </row>
    <row r="36" spans="9:16">
      <c r="I36" s="28"/>
      <c r="J36" s="28"/>
      <c r="K36" s="28"/>
      <c r="L36" s="28"/>
      <c r="M36" s="28"/>
      <c r="N36" s="28"/>
      <c r="O36" s="28"/>
      <c r="P36" s="28"/>
    </row>
    <row r="37" spans="9:16" ht="15" thickBot="1">
      <c r="I37" s="31" t="s">
        <v>12</v>
      </c>
      <c r="J37" s="31">
        <v>258.5</v>
      </c>
      <c r="K37" s="31">
        <v>17</v>
      </c>
      <c r="L37" s="31"/>
      <c r="M37" s="31"/>
      <c r="N37" s="31"/>
      <c r="O37" s="31"/>
      <c r="P37" s="28"/>
    </row>
  </sheetData>
  <mergeCells count="1">
    <mergeCell ref="E2:G2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sheetPr codeName="Sheet121"/>
  <dimension ref="A1:AB69"/>
  <sheetViews>
    <sheetView workbookViewId="0"/>
  </sheetViews>
  <sheetFormatPr defaultRowHeight="14.4"/>
  <cols>
    <col min="6" max="11" width="7.44140625" customWidth="1"/>
    <col min="14" max="14" width="19.5546875" customWidth="1"/>
    <col min="22" max="22" width="18" customWidth="1"/>
    <col min="23" max="23" width="11.5546875" customWidth="1"/>
    <col min="24" max="24" width="14.109375" customWidth="1"/>
    <col min="25" max="26" width="11.5546875" customWidth="1"/>
    <col min="27" max="27" width="12.33203125" customWidth="1"/>
    <col min="28" max="28" width="11.5546875" customWidth="1"/>
  </cols>
  <sheetData>
    <row r="1" spans="1:27">
      <c r="A1" s="1" t="s">
        <v>1083</v>
      </c>
    </row>
    <row r="3" spans="1:27">
      <c r="A3" s="12"/>
      <c r="B3" s="1563" t="s">
        <v>1022</v>
      </c>
      <c r="C3" s="1564"/>
      <c r="D3" s="1565"/>
      <c r="F3" s="19" t="s">
        <v>989</v>
      </c>
      <c r="G3" s="19" t="s">
        <v>990</v>
      </c>
      <c r="H3" s="19" t="s">
        <v>1084</v>
      </c>
      <c r="I3" s="43" t="s">
        <v>1085</v>
      </c>
      <c r="J3" s="43" t="s">
        <v>1086</v>
      </c>
      <c r="K3" s="43" t="s">
        <v>400</v>
      </c>
      <c r="N3" t="s">
        <v>1020</v>
      </c>
      <c r="V3" t="s">
        <v>691</v>
      </c>
    </row>
    <row r="4" spans="1:27" ht="15" thickBot="1">
      <c r="A4" s="388" t="s">
        <v>1023</v>
      </c>
      <c r="B4" s="374" t="s">
        <v>1012</v>
      </c>
      <c r="C4" s="374" t="s">
        <v>1013</v>
      </c>
      <c r="D4" s="374" t="s">
        <v>1017</v>
      </c>
      <c r="F4" s="393">
        <v>1</v>
      </c>
      <c r="G4" s="391">
        <v>1</v>
      </c>
      <c r="H4" s="392">
        <v>0</v>
      </c>
      <c r="I4" s="393">
        <f t="shared" ref="I4:I33" si="0">F4*G4</f>
        <v>1</v>
      </c>
      <c r="J4" s="392">
        <f t="shared" ref="J4:J33" si="1">F4*H4</f>
        <v>0</v>
      </c>
      <c r="K4" s="375">
        <v>128</v>
      </c>
    </row>
    <row r="5" spans="1:27">
      <c r="A5" s="400" t="s">
        <v>1014</v>
      </c>
      <c r="B5" s="375">
        <v>128</v>
      </c>
      <c r="C5" s="375">
        <v>166</v>
      </c>
      <c r="D5" s="375">
        <v>151</v>
      </c>
      <c r="F5" s="377">
        <v>1</v>
      </c>
      <c r="G5" s="8">
        <v>1</v>
      </c>
      <c r="H5" s="9">
        <v>0</v>
      </c>
      <c r="I5">
        <f t="shared" si="0"/>
        <v>1</v>
      </c>
      <c r="J5">
        <f t="shared" si="1"/>
        <v>0</v>
      </c>
      <c r="K5" s="376">
        <v>150</v>
      </c>
      <c r="N5" t="s">
        <v>194</v>
      </c>
      <c r="O5" t="s">
        <v>1012</v>
      </c>
      <c r="P5" t="s">
        <v>1013</v>
      </c>
      <c r="Q5" t="s">
        <v>1017</v>
      </c>
      <c r="R5" t="s">
        <v>12</v>
      </c>
      <c r="V5" s="35" t="s">
        <v>692</v>
      </c>
      <c r="W5" s="35"/>
    </row>
    <row r="6" spans="1:27" ht="15" thickBot="1">
      <c r="A6" s="376"/>
      <c r="B6" s="376">
        <v>150</v>
      </c>
      <c r="C6" s="376">
        <v>178</v>
      </c>
      <c r="D6" s="376">
        <v>125</v>
      </c>
      <c r="F6" s="377">
        <v>1</v>
      </c>
      <c r="G6" s="8">
        <v>1</v>
      </c>
      <c r="H6" s="9">
        <v>0</v>
      </c>
      <c r="I6">
        <f t="shared" si="0"/>
        <v>1</v>
      </c>
      <c r="J6">
        <f t="shared" si="1"/>
        <v>0</v>
      </c>
      <c r="K6" s="376">
        <v>174</v>
      </c>
      <c r="N6" s="378" t="s">
        <v>1014</v>
      </c>
      <c r="O6" s="378"/>
      <c r="P6" s="378"/>
      <c r="Q6" s="378"/>
      <c r="R6" s="378"/>
      <c r="V6" s="28" t="s">
        <v>693</v>
      </c>
      <c r="W6" s="28">
        <v>0.61717863365297299</v>
      </c>
    </row>
    <row r="7" spans="1:27">
      <c r="A7" s="376"/>
      <c r="B7" s="376">
        <v>174</v>
      </c>
      <c r="C7" s="376">
        <v>187</v>
      </c>
      <c r="D7" s="376">
        <v>117</v>
      </c>
      <c r="F7" s="377">
        <v>1</v>
      </c>
      <c r="G7" s="8">
        <v>1</v>
      </c>
      <c r="H7" s="9">
        <v>0</v>
      </c>
      <c r="I7">
        <f t="shared" si="0"/>
        <v>1</v>
      </c>
      <c r="J7">
        <f t="shared" si="1"/>
        <v>0</v>
      </c>
      <c r="K7" s="376">
        <v>116</v>
      </c>
      <c r="N7" s="28" t="s">
        <v>88</v>
      </c>
      <c r="O7" s="28">
        <v>5</v>
      </c>
      <c r="P7" s="28">
        <v>5</v>
      </c>
      <c r="Q7" s="28">
        <v>5</v>
      </c>
      <c r="R7" s="28">
        <v>15</v>
      </c>
      <c r="V7" s="28" t="s">
        <v>686</v>
      </c>
      <c r="W7" s="28">
        <v>0.38090946583775059</v>
      </c>
    </row>
    <row r="8" spans="1:27">
      <c r="A8" s="376"/>
      <c r="B8" s="376">
        <v>116</v>
      </c>
      <c r="C8" s="376">
        <v>153</v>
      </c>
      <c r="D8" s="376">
        <v>155</v>
      </c>
      <c r="F8" s="10">
        <v>1</v>
      </c>
      <c r="G8" s="11">
        <v>1</v>
      </c>
      <c r="H8" s="12">
        <v>0</v>
      </c>
      <c r="I8">
        <f t="shared" si="0"/>
        <v>1</v>
      </c>
      <c r="J8">
        <f t="shared" si="1"/>
        <v>0</v>
      </c>
      <c r="K8" s="41">
        <v>109</v>
      </c>
      <c r="N8" s="28" t="s">
        <v>87</v>
      </c>
      <c r="O8" s="28">
        <v>677</v>
      </c>
      <c r="P8" s="28">
        <v>879</v>
      </c>
      <c r="Q8" s="28">
        <v>706</v>
      </c>
      <c r="R8" s="28">
        <v>2262</v>
      </c>
      <c r="V8" s="28" t="s">
        <v>694</v>
      </c>
      <c r="W8" s="28">
        <v>0.25193227122061529</v>
      </c>
    </row>
    <row r="9" spans="1:27">
      <c r="A9" s="376"/>
      <c r="B9" s="41">
        <v>109</v>
      </c>
      <c r="C9" s="41">
        <v>195</v>
      </c>
      <c r="D9" s="41">
        <v>158</v>
      </c>
      <c r="F9" s="393">
        <v>0</v>
      </c>
      <c r="G9" s="391">
        <v>1</v>
      </c>
      <c r="H9" s="392">
        <v>0</v>
      </c>
      <c r="I9" s="393">
        <f t="shared" si="0"/>
        <v>0</v>
      </c>
      <c r="J9" s="392">
        <f t="shared" si="1"/>
        <v>0</v>
      </c>
      <c r="K9" s="375">
        <v>175</v>
      </c>
      <c r="N9" s="28" t="s">
        <v>886</v>
      </c>
      <c r="O9" s="28">
        <v>135.4</v>
      </c>
      <c r="P9" s="28">
        <v>175.8</v>
      </c>
      <c r="Q9" s="28">
        <v>141.19999999999999</v>
      </c>
      <c r="R9" s="28">
        <v>150.80000000000001</v>
      </c>
      <c r="V9" s="28" t="s">
        <v>77</v>
      </c>
      <c r="W9" s="28">
        <v>21.221058723196002</v>
      </c>
    </row>
    <row r="10" spans="1:27" ht="15" thickBot="1">
      <c r="A10" s="400" t="s">
        <v>1015</v>
      </c>
      <c r="B10" s="375">
        <v>175</v>
      </c>
      <c r="C10" s="375">
        <v>140</v>
      </c>
      <c r="D10" s="375">
        <v>167</v>
      </c>
      <c r="F10" s="377">
        <v>0</v>
      </c>
      <c r="G10" s="8">
        <v>1</v>
      </c>
      <c r="H10" s="9">
        <v>0</v>
      </c>
      <c r="I10">
        <f t="shared" si="0"/>
        <v>0</v>
      </c>
      <c r="J10">
        <f t="shared" si="1"/>
        <v>0</v>
      </c>
      <c r="K10" s="376">
        <v>132</v>
      </c>
      <c r="N10" s="28" t="s">
        <v>223</v>
      </c>
      <c r="O10" s="28">
        <v>707.79999999999927</v>
      </c>
      <c r="P10" s="28">
        <v>278.7</v>
      </c>
      <c r="Q10" s="28">
        <v>354.20000000000073</v>
      </c>
      <c r="R10" s="28">
        <v>723.88571428571595</v>
      </c>
      <c r="V10" s="31" t="s">
        <v>224</v>
      </c>
      <c r="W10" s="31">
        <v>30</v>
      </c>
    </row>
    <row r="11" spans="1:27">
      <c r="A11" s="376"/>
      <c r="B11" s="376">
        <v>132</v>
      </c>
      <c r="C11" s="376">
        <v>145</v>
      </c>
      <c r="D11" s="376">
        <v>183</v>
      </c>
      <c r="F11" s="377">
        <v>0</v>
      </c>
      <c r="G11" s="8">
        <v>1</v>
      </c>
      <c r="H11" s="9">
        <v>0</v>
      </c>
      <c r="I11">
        <f t="shared" si="0"/>
        <v>0</v>
      </c>
      <c r="J11">
        <f t="shared" si="1"/>
        <v>0</v>
      </c>
      <c r="K11" s="376">
        <v>120</v>
      </c>
      <c r="N11" s="28"/>
      <c r="O11" s="28"/>
      <c r="P11" s="28"/>
      <c r="Q11" s="28"/>
      <c r="R11" s="28"/>
    </row>
    <row r="12" spans="1:27" ht="15" thickBot="1">
      <c r="A12" s="376"/>
      <c r="B12" s="376">
        <v>120</v>
      </c>
      <c r="C12" s="376">
        <v>159</v>
      </c>
      <c r="D12" s="376">
        <v>142</v>
      </c>
      <c r="F12" s="377">
        <v>0</v>
      </c>
      <c r="G12" s="8">
        <v>1</v>
      </c>
      <c r="H12" s="9">
        <v>0</v>
      </c>
      <c r="I12">
        <f t="shared" si="0"/>
        <v>0</v>
      </c>
      <c r="J12">
        <f t="shared" si="1"/>
        <v>0</v>
      </c>
      <c r="K12" s="376">
        <v>187</v>
      </c>
      <c r="N12" s="378" t="s">
        <v>1015</v>
      </c>
      <c r="O12" s="378"/>
      <c r="P12" s="378"/>
      <c r="Q12" s="378"/>
      <c r="R12" s="378"/>
      <c r="V12" t="s">
        <v>695</v>
      </c>
    </row>
    <row r="13" spans="1:27">
      <c r="A13" s="376"/>
      <c r="B13" s="376">
        <v>187</v>
      </c>
      <c r="C13" s="376">
        <v>131</v>
      </c>
      <c r="D13" s="376">
        <v>167</v>
      </c>
      <c r="F13" s="10">
        <v>0</v>
      </c>
      <c r="G13" s="11">
        <v>1</v>
      </c>
      <c r="H13" s="12">
        <v>0</v>
      </c>
      <c r="I13">
        <f t="shared" si="0"/>
        <v>0</v>
      </c>
      <c r="J13">
        <f t="shared" si="1"/>
        <v>0</v>
      </c>
      <c r="K13" s="41">
        <v>184</v>
      </c>
      <c r="N13" s="28" t="s">
        <v>88</v>
      </c>
      <c r="O13" s="28">
        <v>5</v>
      </c>
      <c r="P13" s="28">
        <v>5</v>
      </c>
      <c r="Q13" s="28">
        <v>5</v>
      </c>
      <c r="R13" s="28">
        <v>15</v>
      </c>
      <c r="V13" s="369"/>
      <c r="W13" s="369" t="s">
        <v>186</v>
      </c>
      <c r="X13" s="369" t="s">
        <v>578</v>
      </c>
      <c r="Y13" s="369" t="s">
        <v>641</v>
      </c>
      <c r="Z13" s="369" t="s">
        <v>388</v>
      </c>
      <c r="AA13" s="369" t="s">
        <v>698</v>
      </c>
    </row>
    <row r="14" spans="1:27">
      <c r="A14" s="268"/>
      <c r="B14" s="41">
        <v>184</v>
      </c>
      <c r="C14" s="41">
        <v>126</v>
      </c>
      <c r="D14" s="41">
        <v>168</v>
      </c>
      <c r="F14" s="393">
        <v>1</v>
      </c>
      <c r="G14" s="402">
        <v>0</v>
      </c>
      <c r="H14" s="392">
        <v>1</v>
      </c>
      <c r="I14" s="393">
        <f t="shared" si="0"/>
        <v>0</v>
      </c>
      <c r="J14" s="392">
        <f t="shared" si="1"/>
        <v>1</v>
      </c>
      <c r="K14" s="375">
        <v>166</v>
      </c>
      <c r="N14" s="28" t="s">
        <v>87</v>
      </c>
      <c r="O14" s="28">
        <v>798</v>
      </c>
      <c r="P14" s="28">
        <v>701</v>
      </c>
      <c r="Q14" s="28">
        <v>827</v>
      </c>
      <c r="R14" s="28">
        <v>2326</v>
      </c>
      <c r="V14" s="28" t="s">
        <v>623</v>
      </c>
      <c r="W14" s="28">
        <v>5</v>
      </c>
      <c r="X14" s="28">
        <v>6649.8666666666722</v>
      </c>
      <c r="Y14" s="28">
        <v>1329.9733333333345</v>
      </c>
      <c r="Z14" s="28">
        <v>2.9533086602516687</v>
      </c>
      <c r="AA14" s="28">
        <v>3.237417922643393E-2</v>
      </c>
    </row>
    <row r="15" spans="1:27">
      <c r="F15" s="377">
        <v>1</v>
      </c>
      <c r="G15" s="66">
        <v>0</v>
      </c>
      <c r="H15" s="9">
        <v>1</v>
      </c>
      <c r="I15">
        <f t="shared" si="0"/>
        <v>0</v>
      </c>
      <c r="J15">
        <f t="shared" si="1"/>
        <v>1</v>
      </c>
      <c r="K15" s="376">
        <v>178</v>
      </c>
      <c r="N15" s="28" t="s">
        <v>886</v>
      </c>
      <c r="O15" s="28">
        <v>159.6</v>
      </c>
      <c r="P15" s="28">
        <v>140.19999999999999</v>
      </c>
      <c r="Q15" s="28">
        <v>165.4</v>
      </c>
      <c r="R15" s="28">
        <v>155.06666666666666</v>
      </c>
      <c r="V15" s="28" t="s">
        <v>696</v>
      </c>
      <c r="W15" s="28">
        <v>24</v>
      </c>
      <c r="X15" s="28">
        <v>10807.999999999996</v>
      </c>
      <c r="Y15" s="28">
        <v>450.3333333333332</v>
      </c>
      <c r="Z15" s="28"/>
      <c r="AA15" s="28"/>
    </row>
    <row r="16" spans="1:27" ht="15" thickBot="1">
      <c r="A16" t="s">
        <v>1087</v>
      </c>
      <c r="F16" s="377">
        <v>1</v>
      </c>
      <c r="G16" s="66">
        <v>0</v>
      </c>
      <c r="H16" s="9">
        <v>1</v>
      </c>
      <c r="I16">
        <f t="shared" si="0"/>
        <v>0</v>
      </c>
      <c r="J16">
        <f t="shared" si="1"/>
        <v>1</v>
      </c>
      <c r="K16" s="376">
        <v>187</v>
      </c>
      <c r="N16" s="28" t="s">
        <v>223</v>
      </c>
      <c r="O16" s="28">
        <v>978.29999999999927</v>
      </c>
      <c r="P16" s="28">
        <v>165.7</v>
      </c>
      <c r="Q16" s="28">
        <v>217.3</v>
      </c>
      <c r="R16" s="28">
        <v>513.35238095238208</v>
      </c>
      <c r="V16" s="31" t="s">
        <v>12</v>
      </c>
      <c r="W16" s="31">
        <v>29</v>
      </c>
      <c r="X16" s="31">
        <v>17457.866666666669</v>
      </c>
      <c r="Y16" s="31"/>
      <c r="Z16" s="31"/>
      <c r="AA16" s="31"/>
    </row>
    <row r="17" spans="1:28" ht="15" thickBot="1">
      <c r="A17" t="s">
        <v>1088</v>
      </c>
      <c r="F17" s="377">
        <v>1</v>
      </c>
      <c r="G17" s="66">
        <v>0</v>
      </c>
      <c r="H17" s="9">
        <v>1</v>
      </c>
      <c r="I17">
        <f t="shared" si="0"/>
        <v>0</v>
      </c>
      <c r="J17">
        <f t="shared" si="1"/>
        <v>1</v>
      </c>
      <c r="K17" s="376">
        <v>153</v>
      </c>
      <c r="N17" s="28"/>
      <c r="O17" s="28"/>
      <c r="P17" s="28"/>
      <c r="Q17" s="28"/>
      <c r="R17" s="28"/>
    </row>
    <row r="18" spans="1:28" ht="15" thickBot="1">
      <c r="A18" t="s">
        <v>1089</v>
      </c>
      <c r="F18" s="10">
        <v>1</v>
      </c>
      <c r="G18" s="403">
        <v>0</v>
      </c>
      <c r="H18" s="12">
        <v>1</v>
      </c>
      <c r="I18">
        <f t="shared" si="0"/>
        <v>0</v>
      </c>
      <c r="J18">
        <f t="shared" si="1"/>
        <v>1</v>
      </c>
      <c r="K18" s="41">
        <v>195</v>
      </c>
      <c r="N18" s="378" t="s">
        <v>12</v>
      </c>
      <c r="O18" s="378"/>
      <c r="P18" s="378"/>
      <c r="Q18" s="378"/>
      <c r="V18" s="369"/>
      <c r="W18" s="369" t="s">
        <v>699</v>
      </c>
      <c r="X18" s="369" t="s">
        <v>77</v>
      </c>
      <c r="Y18" s="369" t="s">
        <v>229</v>
      </c>
      <c r="Z18" s="369" t="s">
        <v>367</v>
      </c>
      <c r="AA18" s="369" t="s">
        <v>700</v>
      </c>
      <c r="AB18" s="369" t="s">
        <v>701</v>
      </c>
    </row>
    <row r="19" spans="1:28">
      <c r="F19" s="393">
        <v>0</v>
      </c>
      <c r="G19" s="402">
        <v>0</v>
      </c>
      <c r="H19" s="392">
        <v>1</v>
      </c>
      <c r="I19" s="393">
        <f t="shared" si="0"/>
        <v>0</v>
      </c>
      <c r="J19" s="392">
        <f t="shared" si="1"/>
        <v>0</v>
      </c>
      <c r="K19" s="375">
        <v>140</v>
      </c>
      <c r="N19" s="28" t="s">
        <v>88</v>
      </c>
      <c r="O19" s="28">
        <v>10</v>
      </c>
      <c r="P19" s="28">
        <v>10</v>
      </c>
      <c r="Q19" s="28">
        <v>10</v>
      </c>
      <c r="V19" s="28" t="s">
        <v>697</v>
      </c>
      <c r="W19" s="28">
        <v>165.4</v>
      </c>
      <c r="X19" s="28">
        <v>9.4903459719162306</v>
      </c>
      <c r="Y19" s="28">
        <v>17.42823712533248</v>
      </c>
      <c r="Z19" s="28">
        <v>3.9686361709731235E-15</v>
      </c>
      <c r="AA19" s="28">
        <v>145.81288859920977</v>
      </c>
      <c r="AB19" s="28">
        <v>184.98711140079024</v>
      </c>
    </row>
    <row r="20" spans="1:28">
      <c r="F20" s="377">
        <v>0</v>
      </c>
      <c r="G20" s="66">
        <v>0</v>
      </c>
      <c r="H20" s="9">
        <v>1</v>
      </c>
      <c r="I20">
        <f t="shared" si="0"/>
        <v>0</v>
      </c>
      <c r="J20">
        <f t="shared" si="1"/>
        <v>0</v>
      </c>
      <c r="K20" s="376">
        <v>145</v>
      </c>
      <c r="N20" s="28" t="s">
        <v>87</v>
      </c>
      <c r="O20" s="28">
        <v>1475</v>
      </c>
      <c r="P20" s="28">
        <v>1580</v>
      </c>
      <c r="Q20" s="28">
        <v>1533</v>
      </c>
      <c r="V20" s="28" t="s">
        <v>989</v>
      </c>
      <c r="W20" s="28">
        <v>-24.200000000000003</v>
      </c>
      <c r="X20" s="28">
        <v>13.421375985096804</v>
      </c>
      <c r="Y20" s="28">
        <v>-1.8030938129497203</v>
      </c>
      <c r="Z20" s="28">
        <v>8.3944409308501486E-2</v>
      </c>
      <c r="AA20" s="28">
        <v>-51.900358590710219</v>
      </c>
      <c r="AB20" s="28">
        <v>3.5003585907102135</v>
      </c>
    </row>
    <row r="21" spans="1:28">
      <c r="F21" s="377">
        <v>0</v>
      </c>
      <c r="G21" s="66">
        <v>0</v>
      </c>
      <c r="H21" s="9">
        <v>1</v>
      </c>
      <c r="I21">
        <f t="shared" si="0"/>
        <v>0</v>
      </c>
      <c r="J21">
        <f t="shared" si="1"/>
        <v>0</v>
      </c>
      <c r="K21" s="376">
        <v>159</v>
      </c>
      <c r="N21" s="28" t="s">
        <v>886</v>
      </c>
      <c r="O21" s="28">
        <v>147.5</v>
      </c>
      <c r="P21" s="28">
        <v>158</v>
      </c>
      <c r="Q21" s="28">
        <v>153.30000000000001</v>
      </c>
      <c r="V21" s="28" t="s">
        <v>990</v>
      </c>
      <c r="W21" s="28">
        <v>-5.800000000000014</v>
      </c>
      <c r="X21" s="28">
        <v>13.421375985096805</v>
      </c>
      <c r="Y21" s="28">
        <v>-0.43214645103753718</v>
      </c>
      <c r="Z21" s="28">
        <v>0.66949292622206347</v>
      </c>
      <c r="AA21" s="28">
        <v>-33.500358590710235</v>
      </c>
      <c r="AB21" s="28">
        <v>21.900358590710205</v>
      </c>
    </row>
    <row r="22" spans="1:28">
      <c r="F22" s="377">
        <v>0</v>
      </c>
      <c r="G22" s="66">
        <v>0</v>
      </c>
      <c r="H22" s="9">
        <v>1</v>
      </c>
      <c r="I22">
        <f t="shared" si="0"/>
        <v>0</v>
      </c>
      <c r="J22">
        <f t="shared" si="1"/>
        <v>0</v>
      </c>
      <c r="K22" s="376">
        <v>131</v>
      </c>
      <c r="N22" s="28" t="s">
        <v>223</v>
      </c>
      <c r="O22" s="28">
        <v>912.05555555555554</v>
      </c>
      <c r="P22" s="28">
        <v>549.55555555555554</v>
      </c>
      <c r="Q22" s="28">
        <v>416.67777777777843</v>
      </c>
      <c r="V22" s="28" t="s">
        <v>1084</v>
      </c>
      <c r="W22" s="28">
        <v>-25.199999999999978</v>
      </c>
      <c r="X22" s="28">
        <v>13.421375985096804</v>
      </c>
      <c r="Y22" s="28">
        <v>-1.8776018217492936</v>
      </c>
      <c r="Z22" s="28">
        <v>7.2641419078709163E-2</v>
      </c>
      <c r="AA22" s="28">
        <v>-52.900358590710198</v>
      </c>
      <c r="AB22" s="28">
        <v>2.5003585907102384</v>
      </c>
    </row>
    <row r="23" spans="1:28">
      <c r="F23" s="10">
        <v>0</v>
      </c>
      <c r="G23" s="403">
        <v>0</v>
      </c>
      <c r="H23" s="12">
        <v>1</v>
      </c>
      <c r="I23">
        <f t="shared" si="0"/>
        <v>0</v>
      </c>
      <c r="J23">
        <f t="shared" si="1"/>
        <v>0</v>
      </c>
      <c r="K23" s="41">
        <v>126</v>
      </c>
      <c r="N23" s="28"/>
      <c r="O23" s="28"/>
      <c r="P23" s="28"/>
      <c r="Q23" s="28"/>
      <c r="V23" s="28" t="s">
        <v>1085</v>
      </c>
      <c r="W23" s="28">
        <v>3.3365259019643346E-14</v>
      </c>
      <c r="X23" s="28">
        <v>18.980691943832461</v>
      </c>
      <c r="Y23" s="28">
        <v>1.7578526177221358E-15</v>
      </c>
      <c r="Z23" s="28">
        <v>1</v>
      </c>
      <c r="AA23" s="28">
        <v>-39.174222801580434</v>
      </c>
      <c r="AB23" s="28">
        <v>39.174222801580505</v>
      </c>
    </row>
    <row r="24" spans="1:28" ht="15" thickBot="1">
      <c r="F24" s="393">
        <v>1</v>
      </c>
      <c r="G24" s="402">
        <v>0</v>
      </c>
      <c r="H24" s="404">
        <v>0</v>
      </c>
      <c r="I24" s="393">
        <f t="shared" si="0"/>
        <v>0</v>
      </c>
      <c r="J24" s="392">
        <f t="shared" si="1"/>
        <v>0</v>
      </c>
      <c r="K24" s="375">
        <v>151</v>
      </c>
      <c r="V24" s="31" t="s">
        <v>1086</v>
      </c>
      <c r="W24" s="31">
        <v>59.79999999999999</v>
      </c>
      <c r="X24" s="31">
        <v>18.980691943832458</v>
      </c>
      <c r="Y24" s="31">
        <v>3.1505700728382173</v>
      </c>
      <c r="Z24" s="31">
        <v>4.3278128988797253E-3</v>
      </c>
      <c r="AA24" s="31">
        <v>20.625777198419527</v>
      </c>
      <c r="AB24" s="31">
        <v>98.974222801580453</v>
      </c>
    </row>
    <row r="25" spans="1:28" ht="15" thickBot="1">
      <c r="F25" s="377">
        <v>1</v>
      </c>
      <c r="G25" s="66">
        <v>0</v>
      </c>
      <c r="H25" s="367">
        <v>0</v>
      </c>
      <c r="I25">
        <f t="shared" si="0"/>
        <v>0</v>
      </c>
      <c r="J25">
        <f t="shared" si="1"/>
        <v>0</v>
      </c>
      <c r="K25" s="376">
        <v>125</v>
      </c>
      <c r="N25" t="s">
        <v>695</v>
      </c>
    </row>
    <row r="26" spans="1:28">
      <c r="F26" s="377">
        <v>1</v>
      </c>
      <c r="G26" s="66">
        <v>0</v>
      </c>
      <c r="H26" s="367">
        <v>0</v>
      </c>
      <c r="I26">
        <f t="shared" si="0"/>
        <v>0</v>
      </c>
      <c r="J26">
        <f t="shared" si="1"/>
        <v>0</v>
      </c>
      <c r="K26" s="376">
        <v>117</v>
      </c>
      <c r="N26" s="369" t="s">
        <v>887</v>
      </c>
      <c r="O26" s="369" t="s">
        <v>578</v>
      </c>
      <c r="P26" s="369" t="s">
        <v>186</v>
      </c>
      <c r="Q26" s="369" t="s">
        <v>641</v>
      </c>
      <c r="R26" s="369" t="s">
        <v>388</v>
      </c>
      <c r="S26" s="369" t="s">
        <v>367</v>
      </c>
      <c r="T26" s="369" t="s">
        <v>888</v>
      </c>
      <c r="V26" t="s">
        <v>1111</v>
      </c>
      <c r="W26" s="756">
        <f>X14/X16</f>
        <v>0.38090946583775059</v>
      </c>
    </row>
    <row r="27" spans="1:28">
      <c r="F27" s="377">
        <v>1</v>
      </c>
      <c r="G27" s="66">
        <v>0</v>
      </c>
      <c r="H27" s="367">
        <v>0</v>
      </c>
      <c r="I27">
        <f t="shared" si="0"/>
        <v>0</v>
      </c>
      <c r="J27">
        <f t="shared" si="1"/>
        <v>0</v>
      </c>
      <c r="K27" s="376">
        <v>155</v>
      </c>
      <c r="N27" s="28" t="s">
        <v>390</v>
      </c>
      <c r="O27" s="28">
        <v>136.53333333333285</v>
      </c>
      <c r="P27" s="28">
        <v>1</v>
      </c>
      <c r="Q27" s="28">
        <v>136.53333333333285</v>
      </c>
      <c r="R27" s="28">
        <v>0.30318282753515807</v>
      </c>
      <c r="S27" s="28">
        <v>0.58698317897716845</v>
      </c>
      <c r="T27" s="28">
        <v>4.2596772726902348</v>
      </c>
    </row>
    <row r="28" spans="1:28">
      <c r="F28" s="10">
        <v>1</v>
      </c>
      <c r="G28" s="403">
        <v>0</v>
      </c>
      <c r="H28" s="405">
        <v>0</v>
      </c>
      <c r="I28">
        <f t="shared" si="0"/>
        <v>0</v>
      </c>
      <c r="J28">
        <f t="shared" si="1"/>
        <v>0</v>
      </c>
      <c r="K28" s="41">
        <v>158</v>
      </c>
      <c r="N28" s="28" t="s">
        <v>1010</v>
      </c>
      <c r="O28" s="28">
        <v>553.26666666666642</v>
      </c>
      <c r="P28" s="28">
        <v>2</v>
      </c>
      <c r="Q28" s="28">
        <v>276.63333333333321</v>
      </c>
      <c r="R28" s="28">
        <v>0.61428571428571399</v>
      </c>
      <c r="S28" s="28">
        <v>0.54931693706660334</v>
      </c>
      <c r="T28" s="28">
        <v>3.4028261053501945</v>
      </c>
      <c r="V28" t="s">
        <v>1112</v>
      </c>
    </row>
    <row r="29" spans="1:28">
      <c r="F29" s="393">
        <v>0</v>
      </c>
      <c r="G29" s="402">
        <v>0</v>
      </c>
      <c r="H29" s="404">
        <v>0</v>
      </c>
      <c r="I29" s="393">
        <f t="shared" si="0"/>
        <v>0</v>
      </c>
      <c r="J29" s="392">
        <f t="shared" si="1"/>
        <v>0</v>
      </c>
      <c r="K29" s="375">
        <v>167</v>
      </c>
      <c r="N29" s="28" t="s">
        <v>838</v>
      </c>
      <c r="O29" s="28">
        <v>5960.0666666666657</v>
      </c>
      <c r="P29" s="28">
        <v>2</v>
      </c>
      <c r="Q29" s="28">
        <v>2980.0333333333328</v>
      </c>
      <c r="R29" s="28">
        <v>6.6173945225758688</v>
      </c>
      <c r="S29" s="28">
        <v>5.1421901060349955E-3</v>
      </c>
      <c r="T29" s="28">
        <v>3.4028261053501945</v>
      </c>
    </row>
    <row r="30" spans="1:28">
      <c r="F30" s="377">
        <v>0</v>
      </c>
      <c r="G30" s="66">
        <v>0</v>
      </c>
      <c r="H30" s="367">
        <v>0</v>
      </c>
      <c r="I30" s="377">
        <f t="shared" si="0"/>
        <v>0</v>
      </c>
      <c r="J30" s="9">
        <f t="shared" si="1"/>
        <v>0</v>
      </c>
      <c r="K30" s="376">
        <v>183</v>
      </c>
      <c r="N30" s="28" t="s">
        <v>1021</v>
      </c>
      <c r="O30" s="28">
        <v>10808</v>
      </c>
      <c r="P30" s="28">
        <v>24</v>
      </c>
      <c r="Q30" s="28">
        <v>450.33333333333331</v>
      </c>
      <c r="R30" s="28"/>
      <c r="S30" s="28"/>
      <c r="T30" s="28"/>
      <c r="V30" t="s">
        <v>691</v>
      </c>
    </row>
    <row r="31" spans="1:28" ht="15" thickBot="1">
      <c r="F31" s="377">
        <v>0</v>
      </c>
      <c r="G31" s="66">
        <v>0</v>
      </c>
      <c r="H31" s="367">
        <v>0</v>
      </c>
      <c r="I31" s="377">
        <f t="shared" si="0"/>
        <v>0</v>
      </c>
      <c r="J31" s="9">
        <f t="shared" si="1"/>
        <v>0</v>
      </c>
      <c r="K31" s="376">
        <v>142</v>
      </c>
      <c r="N31" s="28"/>
      <c r="O31" s="28"/>
      <c r="P31" s="28"/>
      <c r="Q31" s="28"/>
      <c r="R31" s="28"/>
      <c r="S31" s="28"/>
      <c r="T31" s="28"/>
    </row>
    <row r="32" spans="1:28" ht="15" thickBot="1">
      <c r="F32" s="377">
        <v>0</v>
      </c>
      <c r="G32" s="66">
        <v>0</v>
      </c>
      <c r="H32" s="367">
        <v>0</v>
      </c>
      <c r="I32" s="377">
        <f t="shared" si="0"/>
        <v>0</v>
      </c>
      <c r="J32" s="9">
        <f t="shared" si="1"/>
        <v>0</v>
      </c>
      <c r="K32" s="376">
        <v>167</v>
      </c>
      <c r="N32" s="31" t="s">
        <v>12</v>
      </c>
      <c r="O32" s="31">
        <v>17457.866666666665</v>
      </c>
      <c r="P32" s="31">
        <v>29</v>
      </c>
      <c r="Q32" s="31"/>
      <c r="R32" s="31"/>
      <c r="S32" s="31"/>
      <c r="T32" s="31"/>
      <c r="V32" s="35" t="s">
        <v>692</v>
      </c>
      <c r="W32" s="35"/>
    </row>
    <row r="33" spans="6:28">
      <c r="F33" s="10">
        <v>0</v>
      </c>
      <c r="G33" s="403">
        <v>0</v>
      </c>
      <c r="H33" s="405">
        <v>0</v>
      </c>
      <c r="I33" s="10">
        <f t="shared" si="0"/>
        <v>0</v>
      </c>
      <c r="J33" s="12">
        <f t="shared" si="1"/>
        <v>0</v>
      </c>
      <c r="K33" s="41">
        <v>168</v>
      </c>
      <c r="V33" s="28" t="s">
        <v>693</v>
      </c>
      <c r="W33" s="28">
        <v>8.8434914543495211E-2</v>
      </c>
    </row>
    <row r="34" spans="6:28">
      <c r="V34" s="28" t="s">
        <v>686</v>
      </c>
      <c r="W34" s="28">
        <v>7.8207341103152996E-3</v>
      </c>
    </row>
    <row r="35" spans="6:28">
      <c r="F35" t="s">
        <v>1107</v>
      </c>
      <c r="N35" t="s">
        <v>1968</v>
      </c>
      <c r="V35" s="28" t="s">
        <v>694</v>
      </c>
      <c r="W35" s="28">
        <v>-2.7614239671459154E-2</v>
      </c>
    </row>
    <row r="36" spans="6:28">
      <c r="V36" s="28" t="s">
        <v>77</v>
      </c>
      <c r="W36" s="28">
        <v>24.872053546481592</v>
      </c>
    </row>
    <row r="37" spans="6:28" ht="15" thickBot="1">
      <c r="F37" s="19" t="s">
        <v>989</v>
      </c>
      <c r="G37" s="19" t="s">
        <v>990</v>
      </c>
      <c r="H37" s="19" t="s">
        <v>1084</v>
      </c>
      <c r="I37" s="19" t="s">
        <v>1085</v>
      </c>
      <c r="J37" s="19" t="s">
        <v>1086</v>
      </c>
      <c r="K37" s="19" t="s">
        <v>63</v>
      </c>
      <c r="N37" t="s">
        <v>1110</v>
      </c>
      <c r="O37" s="743">
        <f>O32/P32</f>
        <v>601.99540229885054</v>
      </c>
      <c r="V37" s="31" t="s">
        <v>224</v>
      </c>
      <c r="W37" s="31">
        <v>30</v>
      </c>
    </row>
    <row r="38" spans="6:28">
      <c r="F38" s="407">
        <v>0</v>
      </c>
      <c r="G38" s="408">
        <v>0</v>
      </c>
      <c r="H38" s="408">
        <v>0</v>
      </c>
      <c r="I38" s="409">
        <f t="shared" ref="I38:I43" si="2">F38*G38</f>
        <v>0</v>
      </c>
      <c r="J38" s="410">
        <f t="shared" ref="J38:J43" si="3">F38*H38</f>
        <v>0</v>
      </c>
      <c r="K38" s="412">
        <f t="shared" ref="K38:K43" si="4">AVERAGEIFS($K$4:$K$33,$F$4:$F$33,F38,$G$4:$G$33,G38,$H$4:$H$33,H38)</f>
        <v>165.4</v>
      </c>
      <c r="N38" t="s">
        <v>1111</v>
      </c>
      <c r="O38" s="544">
        <f>1-O30/O32</f>
        <v>0.38090946583775021</v>
      </c>
    </row>
    <row r="39" spans="6:28" ht="15" thickBot="1">
      <c r="F39" s="394">
        <v>0</v>
      </c>
      <c r="G39" s="8">
        <v>0</v>
      </c>
      <c r="H39" s="8">
        <v>1</v>
      </c>
      <c r="I39" s="7">
        <f t="shared" si="2"/>
        <v>0</v>
      </c>
      <c r="J39" s="9">
        <f t="shared" si="3"/>
        <v>0</v>
      </c>
      <c r="K39" s="376">
        <f t="shared" si="4"/>
        <v>140.19999999999999</v>
      </c>
      <c r="V39" t="s">
        <v>695</v>
      </c>
    </row>
    <row r="40" spans="6:28">
      <c r="F40" s="411">
        <v>0</v>
      </c>
      <c r="G40" s="8">
        <v>1</v>
      </c>
      <c r="H40" s="8">
        <v>0</v>
      </c>
      <c r="I40" s="7">
        <f t="shared" si="2"/>
        <v>0</v>
      </c>
      <c r="J40" s="9">
        <f t="shared" si="3"/>
        <v>0</v>
      </c>
      <c r="K40" s="376">
        <f t="shared" si="4"/>
        <v>159.6</v>
      </c>
      <c r="N40" t="s">
        <v>1969</v>
      </c>
      <c r="V40" s="413"/>
      <c r="W40" s="413" t="s">
        <v>186</v>
      </c>
      <c r="X40" s="413" t="s">
        <v>578</v>
      </c>
      <c r="Y40" s="413" t="s">
        <v>641</v>
      </c>
      <c r="Z40" s="413" t="s">
        <v>388</v>
      </c>
      <c r="AA40" s="413" t="s">
        <v>698</v>
      </c>
    </row>
    <row r="41" spans="6:28">
      <c r="F41" s="411">
        <v>1</v>
      </c>
      <c r="G41" s="8">
        <v>0</v>
      </c>
      <c r="H41" s="8">
        <v>0</v>
      </c>
      <c r="I41" s="7">
        <f t="shared" si="2"/>
        <v>0</v>
      </c>
      <c r="J41" s="9">
        <f t="shared" si="3"/>
        <v>0</v>
      </c>
      <c r="K41" s="376">
        <f t="shared" si="4"/>
        <v>141.19999999999999</v>
      </c>
      <c r="V41" s="28" t="s">
        <v>623</v>
      </c>
      <c r="W41" s="28">
        <v>1</v>
      </c>
      <c r="X41" s="28">
        <v>136.53333333333649</v>
      </c>
      <c r="Y41" s="28">
        <v>136.53333333333649</v>
      </c>
      <c r="Z41" s="28">
        <v>0.22070664306058552</v>
      </c>
      <c r="AA41" s="28">
        <v>0.64214034280893406</v>
      </c>
    </row>
    <row r="42" spans="6:28" ht="16.2">
      <c r="F42" s="411">
        <v>1</v>
      </c>
      <c r="G42" s="8">
        <v>0</v>
      </c>
      <c r="H42" s="8">
        <v>1</v>
      </c>
      <c r="I42" s="7">
        <f t="shared" si="2"/>
        <v>0</v>
      </c>
      <c r="J42" s="9">
        <f t="shared" si="3"/>
        <v>1</v>
      </c>
      <c r="K42" s="376">
        <f t="shared" si="4"/>
        <v>175.8</v>
      </c>
      <c r="N42" s="65" t="s">
        <v>1970</v>
      </c>
      <c r="O42" s="756">
        <f>(O32-P32*Q30)/(O32+Q30)</f>
        <v>0.24559698908879729</v>
      </c>
      <c r="V42" s="28" t="s">
        <v>696</v>
      </c>
      <c r="W42" s="28">
        <v>28</v>
      </c>
      <c r="X42" s="28">
        <v>17321.333333333332</v>
      </c>
      <c r="Y42" s="28">
        <v>618.61904761904759</v>
      </c>
      <c r="Z42" s="28"/>
      <c r="AA42" s="28"/>
    </row>
    <row r="43" spans="6:28" ht="15" thickBot="1">
      <c r="F43" s="395">
        <v>1</v>
      </c>
      <c r="G43" s="11">
        <v>1</v>
      </c>
      <c r="H43" s="11">
        <v>0</v>
      </c>
      <c r="I43" s="10">
        <f t="shared" si="2"/>
        <v>1</v>
      </c>
      <c r="J43" s="12">
        <f t="shared" si="3"/>
        <v>0</v>
      </c>
      <c r="K43" s="268">
        <f t="shared" si="4"/>
        <v>135.4</v>
      </c>
      <c r="V43" s="31" t="s">
        <v>12</v>
      </c>
      <c r="W43" s="31">
        <v>29</v>
      </c>
      <c r="X43" s="31">
        <v>17457.866666666669</v>
      </c>
      <c r="Y43" s="31"/>
      <c r="Z43" s="31"/>
      <c r="AA43" s="31"/>
    </row>
    <row r="44" spans="6:28" ht="15" thickBot="1"/>
    <row r="45" spans="6:28">
      <c r="F45" t="s">
        <v>790</v>
      </c>
      <c r="G45" s="743">
        <f>K38</f>
        <v>165.4</v>
      </c>
      <c r="V45" s="413"/>
      <c r="W45" s="413" t="s">
        <v>699</v>
      </c>
      <c r="X45" s="413" t="s">
        <v>77</v>
      </c>
      <c r="Y45" s="413" t="s">
        <v>229</v>
      </c>
      <c r="Z45" s="413" t="s">
        <v>367</v>
      </c>
      <c r="AA45" s="413" t="s">
        <v>700</v>
      </c>
      <c r="AB45" s="413" t="s">
        <v>701</v>
      </c>
    </row>
    <row r="46" spans="6:28">
      <c r="F46" t="s">
        <v>802</v>
      </c>
      <c r="G46" s="627">
        <f>K39-G45</f>
        <v>-25.200000000000017</v>
      </c>
      <c r="V46" s="28" t="s">
        <v>697</v>
      </c>
      <c r="W46" s="28">
        <v>155.06666666666666</v>
      </c>
      <c r="X46" s="28">
        <v>6.4219366114334884</v>
      </c>
      <c r="Y46" s="28">
        <v>24.146402565012718</v>
      </c>
      <c r="Z46" s="28">
        <v>2.7487004367434417E-20</v>
      </c>
      <c r="AA46" s="28">
        <v>141.91192584764997</v>
      </c>
      <c r="AB46" s="28">
        <v>168.22140748568336</v>
      </c>
    </row>
    <row r="47" spans="6:28" ht="15" thickBot="1">
      <c r="F47" t="s">
        <v>789</v>
      </c>
      <c r="G47" s="627">
        <f>K40-K38</f>
        <v>-5.8000000000000114</v>
      </c>
      <c r="V47" s="31" t="s">
        <v>989</v>
      </c>
      <c r="W47" s="31">
        <v>-4.2666666666666675</v>
      </c>
      <c r="X47" s="31">
        <v>9.0819898525895564</v>
      </c>
      <c r="Y47" s="31">
        <v>-0.46979425609577274</v>
      </c>
      <c r="Z47" s="31">
        <v>0.64214034280893784</v>
      </c>
      <c r="AA47" s="31">
        <v>-22.870279542423056</v>
      </c>
      <c r="AB47" s="31">
        <v>14.336946209089719</v>
      </c>
    </row>
    <row r="48" spans="6:28">
      <c r="F48" t="s">
        <v>788</v>
      </c>
      <c r="G48" s="627">
        <f>K41-K38</f>
        <v>-24.200000000000017</v>
      </c>
    </row>
    <row r="49" spans="6:27">
      <c r="F49" t="s">
        <v>1108</v>
      </c>
      <c r="G49" s="627">
        <f>K42-G44-G45-G48-G46</f>
        <v>59.80000000000004</v>
      </c>
      <c r="V49" t="s">
        <v>1113</v>
      </c>
    </row>
    <row r="50" spans="6:27">
      <c r="F50" t="s">
        <v>1109</v>
      </c>
      <c r="G50" s="544">
        <f>K43-G45-G48-G47</f>
        <v>2.8421709430404007E-14</v>
      </c>
    </row>
    <row r="51" spans="6:27">
      <c r="V51" t="s">
        <v>691</v>
      </c>
    </row>
    <row r="52" spans="6:27" ht="15" thickBot="1"/>
    <row r="53" spans="6:27">
      <c r="V53" s="35" t="s">
        <v>692</v>
      </c>
      <c r="W53" s="35"/>
    </row>
    <row r="54" spans="6:27">
      <c r="V54" s="28" t="s">
        <v>693</v>
      </c>
      <c r="W54" s="28">
        <v>0.17802117640545412</v>
      </c>
    </row>
    <row r="55" spans="6:27">
      <c r="V55" s="28" t="s">
        <v>686</v>
      </c>
      <c r="W55" s="28">
        <v>3.1691539248781812E-2</v>
      </c>
    </row>
    <row r="56" spans="6:27">
      <c r="V56" s="28" t="s">
        <v>694</v>
      </c>
      <c r="W56" s="28">
        <v>-4.0035013399456566E-2</v>
      </c>
    </row>
    <row r="57" spans="6:27">
      <c r="V57" s="28" t="s">
        <v>77</v>
      </c>
      <c r="W57" s="28">
        <v>25.021916319424786</v>
      </c>
    </row>
    <row r="58" spans="6:27" ht="15" thickBot="1">
      <c r="V58" s="31" t="s">
        <v>224</v>
      </c>
      <c r="W58" s="31">
        <v>30</v>
      </c>
    </row>
    <row r="60" spans="6:27" ht="15" thickBot="1">
      <c r="V60" t="s">
        <v>695</v>
      </c>
    </row>
    <row r="61" spans="6:27">
      <c r="V61" s="413"/>
      <c r="W61" s="413" t="s">
        <v>186</v>
      </c>
      <c r="X61" s="413" t="s">
        <v>578</v>
      </c>
      <c r="Y61" s="413" t="s">
        <v>641</v>
      </c>
      <c r="Z61" s="413" t="s">
        <v>388</v>
      </c>
      <c r="AA61" s="413" t="s">
        <v>698</v>
      </c>
    </row>
    <row r="62" spans="6:27">
      <c r="V62" s="28" t="s">
        <v>623</v>
      </c>
      <c r="W62" s="28">
        <v>2</v>
      </c>
      <c r="X62" s="28">
        <v>553.26666666666642</v>
      </c>
      <c r="Y62" s="28">
        <v>276.63333333333321</v>
      </c>
      <c r="Z62" s="28">
        <v>0.44183831619795771</v>
      </c>
      <c r="AA62" s="28">
        <v>0.64741880368758675</v>
      </c>
    </row>
    <row r="63" spans="6:27">
      <c r="V63" s="28" t="s">
        <v>696</v>
      </c>
      <c r="W63" s="28">
        <v>27</v>
      </c>
      <c r="X63" s="28">
        <v>16904.600000000002</v>
      </c>
      <c r="Y63" s="28">
        <v>626.09629629629637</v>
      </c>
      <c r="Z63" s="28"/>
      <c r="AA63" s="28"/>
    </row>
    <row r="64" spans="6:27" ht="15" thickBot="1">
      <c r="V64" s="31" t="s">
        <v>12</v>
      </c>
      <c r="W64" s="31">
        <v>29</v>
      </c>
      <c r="X64" s="31">
        <v>17457.866666666669</v>
      </c>
      <c r="Y64" s="31"/>
      <c r="Z64" s="31"/>
      <c r="AA64" s="31"/>
    </row>
    <row r="65" spans="22:28" ht="15" thickBot="1"/>
    <row r="66" spans="22:28">
      <c r="V66" s="413"/>
      <c r="W66" s="413" t="s">
        <v>699</v>
      </c>
      <c r="X66" s="413" t="s">
        <v>77</v>
      </c>
      <c r="Y66" s="413" t="s">
        <v>229</v>
      </c>
      <c r="Z66" s="413" t="s">
        <v>367</v>
      </c>
      <c r="AA66" s="413" t="s">
        <v>700</v>
      </c>
      <c r="AB66" s="413" t="s">
        <v>701</v>
      </c>
    </row>
    <row r="67" spans="22:28">
      <c r="V67" s="28" t="s">
        <v>697</v>
      </c>
      <c r="W67" s="28">
        <v>153.30000000000001</v>
      </c>
      <c r="X67" s="28">
        <v>7.9126246991519587</v>
      </c>
      <c r="Y67" s="28">
        <v>19.374102251611916</v>
      </c>
      <c r="Z67" s="28">
        <v>2.2773089840122635E-17</v>
      </c>
      <c r="AA67" s="28">
        <v>137.06463517682437</v>
      </c>
      <c r="AB67" s="28">
        <v>169.53536482317566</v>
      </c>
    </row>
    <row r="68" spans="22:28">
      <c r="V68" s="28" t="s">
        <v>990</v>
      </c>
      <c r="W68" s="28">
        <v>-5.8000000000000025</v>
      </c>
      <c r="X68" s="28">
        <v>11.190141163509033</v>
      </c>
      <c r="Y68" s="28">
        <v>-0.51831338990733733</v>
      </c>
      <c r="Z68" s="28">
        <v>0.60846147622121627</v>
      </c>
      <c r="AA68" s="28">
        <v>-28.760273123010052</v>
      </c>
      <c r="AB68" s="28">
        <v>17.160273123010043</v>
      </c>
    </row>
    <row r="69" spans="22:28" ht="15" thickBot="1">
      <c r="V69" s="31" t="s">
        <v>1084</v>
      </c>
      <c r="W69" s="31">
        <v>4.6999999999999984</v>
      </c>
      <c r="X69" s="31">
        <v>11.190141163509031</v>
      </c>
      <c r="Y69" s="31">
        <v>0.42001257458008345</v>
      </c>
      <c r="Z69" s="31">
        <v>0.67779993734881439</v>
      </c>
      <c r="AA69" s="31">
        <v>-18.260273123010045</v>
      </c>
      <c r="AB69" s="31">
        <v>27.660273123010043</v>
      </c>
    </row>
  </sheetData>
  <mergeCells count="1">
    <mergeCell ref="B3:D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>
  <sheetPr codeName="Sheet122"/>
  <dimension ref="A1:AA119"/>
  <sheetViews>
    <sheetView zoomScaleNormal="100" workbookViewId="0"/>
  </sheetViews>
  <sheetFormatPr defaultRowHeight="14.4"/>
  <cols>
    <col min="6" max="11" width="7.44140625" customWidth="1"/>
    <col min="13" max="13" width="18" customWidth="1"/>
    <col min="14" max="14" width="11.5546875" customWidth="1"/>
    <col min="15" max="15" width="14.109375" customWidth="1"/>
    <col min="16" max="17" width="11.5546875" customWidth="1"/>
    <col min="18" max="18" width="12.33203125" customWidth="1"/>
    <col min="19" max="19" width="11.5546875" customWidth="1"/>
    <col min="21" max="21" width="19.5546875" customWidth="1"/>
  </cols>
  <sheetData>
    <row r="1" spans="1:25">
      <c r="A1" s="1" t="s">
        <v>1083</v>
      </c>
    </row>
    <row r="2" spans="1:25">
      <c r="M2" t="s">
        <v>691</v>
      </c>
    </row>
    <row r="3" spans="1:25" ht="15" thickBot="1">
      <c r="A3" s="12"/>
      <c r="B3" s="1563" t="s">
        <v>1022</v>
      </c>
      <c r="C3" s="1564"/>
      <c r="D3" s="1565"/>
      <c r="F3" s="19" t="s">
        <v>989</v>
      </c>
      <c r="G3" s="19" t="s">
        <v>990</v>
      </c>
      <c r="H3" s="19" t="s">
        <v>1084</v>
      </c>
      <c r="I3" s="43" t="s">
        <v>1085</v>
      </c>
      <c r="J3" s="43" t="s">
        <v>1086</v>
      </c>
      <c r="K3" s="43" t="s">
        <v>400</v>
      </c>
      <c r="U3" t="s">
        <v>1020</v>
      </c>
    </row>
    <row r="4" spans="1:25">
      <c r="A4" s="388" t="s">
        <v>1023</v>
      </c>
      <c r="B4" s="374" t="s">
        <v>1012</v>
      </c>
      <c r="C4" s="374" t="s">
        <v>1013</v>
      </c>
      <c r="D4" s="374" t="s">
        <v>1017</v>
      </c>
      <c r="F4" s="393">
        <v>1</v>
      </c>
      <c r="G4" s="391">
        <v>1</v>
      </c>
      <c r="H4" s="392">
        <v>0</v>
      </c>
      <c r="I4" s="393">
        <f>F4*G4</f>
        <v>1</v>
      </c>
      <c r="J4" s="392">
        <f>F4*H4</f>
        <v>0</v>
      </c>
      <c r="K4" s="375">
        <v>128</v>
      </c>
      <c r="M4" s="35" t="s">
        <v>692</v>
      </c>
      <c r="N4" s="35"/>
    </row>
    <row r="5" spans="1:25">
      <c r="A5" s="400" t="s">
        <v>1014</v>
      </c>
      <c r="B5" s="375">
        <v>128</v>
      </c>
      <c r="C5" s="375">
        <v>166</v>
      </c>
      <c r="D5" s="375">
        <v>151</v>
      </c>
      <c r="F5" s="377">
        <v>1</v>
      </c>
      <c r="G5" s="8">
        <v>1</v>
      </c>
      <c r="H5" s="9">
        <v>0</v>
      </c>
      <c r="I5">
        <f>F5*G5</f>
        <v>1</v>
      </c>
      <c r="J5">
        <f>F5*H5</f>
        <v>0</v>
      </c>
      <c r="K5" s="376">
        <v>150</v>
      </c>
      <c r="M5" s="28" t="s">
        <v>693</v>
      </c>
      <c r="N5" s="28">
        <v>0.56029164944145027</v>
      </c>
      <c r="U5" t="s">
        <v>194</v>
      </c>
      <c r="V5" t="s">
        <v>1012</v>
      </c>
      <c r="W5" t="s">
        <v>1013</v>
      </c>
      <c r="X5" t="s">
        <v>1017</v>
      </c>
      <c r="Y5" t="s">
        <v>12</v>
      </c>
    </row>
    <row r="6" spans="1:25" ht="15" thickBot="1">
      <c r="A6" s="376"/>
      <c r="B6" s="376">
        <v>150</v>
      </c>
      <c r="C6" s="376">
        <v>178</v>
      </c>
      <c r="D6" s="376">
        <v>125</v>
      </c>
      <c r="F6" s="377">
        <v>1</v>
      </c>
      <c r="G6" s="8">
        <v>1</v>
      </c>
      <c r="H6" s="9">
        <v>0</v>
      </c>
      <c r="I6">
        <f>F6*G6</f>
        <v>1</v>
      </c>
      <c r="J6">
        <f>F6*H6</f>
        <v>0</v>
      </c>
      <c r="K6" s="376">
        <v>174</v>
      </c>
      <c r="M6" s="28" t="s">
        <v>686</v>
      </c>
      <c r="N6" s="28">
        <v>0.31392673243382097</v>
      </c>
      <c r="U6" s="378" t="s">
        <v>1014</v>
      </c>
      <c r="V6" s="378"/>
      <c r="W6" s="378"/>
      <c r="X6" s="378"/>
      <c r="Y6" s="378"/>
    </row>
    <row r="7" spans="1:25">
      <c r="A7" s="376"/>
      <c r="B7" s="376">
        <v>174</v>
      </c>
      <c r="C7" s="376">
        <v>187</v>
      </c>
      <c r="D7" s="376">
        <v>117</v>
      </c>
      <c r="F7" s="377">
        <v>1</v>
      </c>
      <c r="G7" s="8">
        <v>1</v>
      </c>
      <c r="H7" s="9">
        <v>0</v>
      </c>
      <c r="I7">
        <f>F7*G7</f>
        <v>1</v>
      </c>
      <c r="J7">
        <f>F7*H7</f>
        <v>0</v>
      </c>
      <c r="K7" s="376">
        <v>116</v>
      </c>
      <c r="M7" s="28" t="s">
        <v>694</v>
      </c>
      <c r="N7" s="28">
        <v>0.15057595444187358</v>
      </c>
      <c r="U7" s="28" t="s">
        <v>88</v>
      </c>
      <c r="V7" s="28">
        <v>5</v>
      </c>
      <c r="W7" s="28">
        <v>5</v>
      </c>
      <c r="X7" s="28">
        <v>5</v>
      </c>
      <c r="Y7" s="28">
        <v>15</v>
      </c>
    </row>
    <row r="8" spans="1:25">
      <c r="A8" s="376"/>
      <c r="B8" s="376">
        <v>116</v>
      </c>
      <c r="C8" s="376">
        <v>153</v>
      </c>
      <c r="D8" s="376">
        <v>155</v>
      </c>
      <c r="F8" s="10">
        <v>1</v>
      </c>
      <c r="G8" s="11">
        <v>1</v>
      </c>
      <c r="H8" s="12">
        <v>0</v>
      </c>
      <c r="I8">
        <f>F8*G8</f>
        <v>1</v>
      </c>
      <c r="J8">
        <f>F8*H8</f>
        <v>0</v>
      </c>
      <c r="K8" s="41">
        <v>109</v>
      </c>
      <c r="M8" s="28" t="s">
        <v>77</v>
      </c>
      <c r="N8" s="28">
        <v>21.916182323092858</v>
      </c>
      <c r="U8" s="28" t="s">
        <v>87</v>
      </c>
      <c r="V8" s="28">
        <v>677</v>
      </c>
      <c r="W8" s="28">
        <v>879</v>
      </c>
      <c r="X8" s="28">
        <v>706</v>
      </c>
      <c r="Y8" s="28">
        <v>2262</v>
      </c>
    </row>
    <row r="9" spans="1:25" ht="15" thickBot="1">
      <c r="A9" s="376"/>
      <c r="B9" s="41">
        <v>109</v>
      </c>
      <c r="C9" s="41"/>
      <c r="D9" s="41">
        <v>158</v>
      </c>
      <c r="F9" s="393">
        <v>-1</v>
      </c>
      <c r="G9" s="391">
        <v>1</v>
      </c>
      <c r="H9" s="392">
        <v>0</v>
      </c>
      <c r="I9" s="393">
        <f t="shared" ref="I9:I30" si="0">F9*G9</f>
        <v>-1</v>
      </c>
      <c r="J9" s="392">
        <f t="shared" ref="J9:J30" si="1">F9*H9</f>
        <v>0</v>
      </c>
      <c r="K9" s="375">
        <v>175</v>
      </c>
      <c r="M9" s="31" t="s">
        <v>224</v>
      </c>
      <c r="N9" s="31">
        <v>27</v>
      </c>
      <c r="U9" s="28" t="s">
        <v>886</v>
      </c>
      <c r="V9" s="28">
        <v>135.4</v>
      </c>
      <c r="W9" s="28">
        <v>175.8</v>
      </c>
      <c r="X9" s="28">
        <v>141.19999999999999</v>
      </c>
      <c r="Y9" s="28">
        <v>150.80000000000001</v>
      </c>
    </row>
    <row r="10" spans="1:25">
      <c r="A10" s="400" t="s">
        <v>1015</v>
      </c>
      <c r="B10" s="375">
        <v>175</v>
      </c>
      <c r="C10" s="375">
        <v>140</v>
      </c>
      <c r="D10" s="375">
        <v>167</v>
      </c>
      <c r="F10" s="377">
        <v>-1</v>
      </c>
      <c r="G10" s="8">
        <v>1</v>
      </c>
      <c r="H10" s="9">
        <v>0</v>
      </c>
      <c r="I10">
        <f t="shared" si="0"/>
        <v>-1</v>
      </c>
      <c r="J10">
        <f t="shared" si="1"/>
        <v>0</v>
      </c>
      <c r="K10" s="376">
        <v>132</v>
      </c>
      <c r="U10" s="28" t="s">
        <v>223</v>
      </c>
      <c r="V10" s="28">
        <v>707.79999999999927</v>
      </c>
      <c r="W10" s="28">
        <v>278.7</v>
      </c>
      <c r="X10" s="28">
        <v>354.20000000000073</v>
      </c>
      <c r="Y10" s="28">
        <v>723.88571428571595</v>
      </c>
    </row>
    <row r="11" spans="1:25" ht="15" thickBot="1">
      <c r="A11" s="376"/>
      <c r="B11" s="376">
        <v>132</v>
      </c>
      <c r="C11" s="376">
        <v>145</v>
      </c>
      <c r="D11" s="376">
        <v>183</v>
      </c>
      <c r="F11" s="377">
        <v>-1</v>
      </c>
      <c r="G11" s="8">
        <v>1</v>
      </c>
      <c r="H11" s="9">
        <v>0</v>
      </c>
      <c r="I11">
        <f t="shared" si="0"/>
        <v>-1</v>
      </c>
      <c r="J11">
        <f t="shared" si="1"/>
        <v>0</v>
      </c>
      <c r="K11" s="376">
        <v>120</v>
      </c>
      <c r="M11" t="s">
        <v>695</v>
      </c>
      <c r="U11" s="28"/>
      <c r="V11" s="28"/>
      <c r="W11" s="28"/>
      <c r="X11" s="28"/>
      <c r="Y11" s="28"/>
    </row>
    <row r="12" spans="1:25" ht="15" thickBot="1">
      <c r="A12" s="376"/>
      <c r="B12" s="376">
        <v>120</v>
      </c>
      <c r="C12" s="376">
        <v>159</v>
      </c>
      <c r="D12" s="376">
        <v>142</v>
      </c>
      <c r="F12" s="377">
        <v>-1</v>
      </c>
      <c r="G12" s="8">
        <v>1</v>
      </c>
      <c r="H12" s="9">
        <v>0</v>
      </c>
      <c r="I12">
        <f t="shared" si="0"/>
        <v>-1</v>
      </c>
      <c r="J12">
        <f t="shared" si="1"/>
        <v>0</v>
      </c>
      <c r="K12" s="376">
        <v>187</v>
      </c>
      <c r="M12" s="413"/>
      <c r="N12" s="413" t="s">
        <v>186</v>
      </c>
      <c r="O12" s="413" t="s">
        <v>578</v>
      </c>
      <c r="P12" s="413" t="s">
        <v>641</v>
      </c>
      <c r="Q12" s="413" t="s">
        <v>388</v>
      </c>
      <c r="R12" s="413" t="s">
        <v>698</v>
      </c>
      <c r="U12" s="378" t="s">
        <v>1015</v>
      </c>
      <c r="V12" s="378"/>
      <c r="W12" s="378"/>
      <c r="X12" s="378"/>
      <c r="Y12" s="378"/>
    </row>
    <row r="13" spans="1:25">
      <c r="A13" s="376"/>
      <c r="B13" s="376">
        <v>187</v>
      </c>
      <c r="C13" s="376">
        <v>131</v>
      </c>
      <c r="D13" s="376">
        <v>167</v>
      </c>
      <c r="F13" s="10">
        <v>-1</v>
      </c>
      <c r="G13" s="11">
        <v>1</v>
      </c>
      <c r="H13" s="12">
        <v>0</v>
      </c>
      <c r="I13">
        <f t="shared" si="0"/>
        <v>-1</v>
      </c>
      <c r="J13">
        <f t="shared" si="1"/>
        <v>0</v>
      </c>
      <c r="K13" s="41">
        <v>184</v>
      </c>
      <c r="M13" s="28" t="s">
        <v>623</v>
      </c>
      <c r="N13" s="28">
        <v>5</v>
      </c>
      <c r="O13" s="28">
        <v>4615.3740740740668</v>
      </c>
      <c r="P13" s="28">
        <v>923.07481481481341</v>
      </c>
      <c r="Q13" s="28">
        <v>1.9217951471850134</v>
      </c>
      <c r="R13" s="28">
        <v>0.13335730785056746</v>
      </c>
      <c r="U13" s="28" t="s">
        <v>88</v>
      </c>
      <c r="V13" s="28">
        <v>5</v>
      </c>
      <c r="W13" s="28">
        <v>5</v>
      </c>
      <c r="X13" s="28">
        <v>5</v>
      </c>
      <c r="Y13" s="28">
        <v>15</v>
      </c>
    </row>
    <row r="14" spans="1:25">
      <c r="A14" s="268"/>
      <c r="B14" s="41">
        <v>184</v>
      </c>
      <c r="C14" s="41"/>
      <c r="D14" s="41"/>
      <c r="F14" s="393">
        <v>1</v>
      </c>
      <c r="G14" s="402">
        <v>0</v>
      </c>
      <c r="H14" s="392">
        <v>1</v>
      </c>
      <c r="I14" s="393">
        <f t="shared" si="0"/>
        <v>0</v>
      </c>
      <c r="J14" s="392">
        <f t="shared" si="1"/>
        <v>1</v>
      </c>
      <c r="K14" s="375">
        <v>166</v>
      </c>
      <c r="M14" s="28" t="s">
        <v>696</v>
      </c>
      <c r="N14" s="28">
        <v>21</v>
      </c>
      <c r="O14" s="28">
        <v>10086.700000000004</v>
      </c>
      <c r="P14" s="28">
        <v>480.31904761904781</v>
      </c>
      <c r="Q14" s="28"/>
      <c r="R14" s="28"/>
      <c r="U14" s="28" t="s">
        <v>87</v>
      </c>
      <c r="V14" s="28">
        <v>798</v>
      </c>
      <c r="W14" s="28">
        <v>701</v>
      </c>
      <c r="X14" s="28">
        <v>827</v>
      </c>
      <c r="Y14" s="28">
        <v>2326</v>
      </c>
    </row>
    <row r="15" spans="1:25" ht="15" thickBot="1">
      <c r="F15" s="377">
        <v>1</v>
      </c>
      <c r="G15" s="66">
        <v>0</v>
      </c>
      <c r="H15" s="9">
        <v>1</v>
      </c>
      <c r="I15">
        <f t="shared" si="0"/>
        <v>0</v>
      </c>
      <c r="J15">
        <f t="shared" si="1"/>
        <v>1</v>
      </c>
      <c r="K15" s="376">
        <v>178</v>
      </c>
      <c r="M15" s="31" t="s">
        <v>12</v>
      </c>
      <c r="N15" s="31">
        <v>26</v>
      </c>
      <c r="O15" s="31">
        <v>14702.074074074071</v>
      </c>
      <c r="P15" s="31"/>
      <c r="Q15" s="31"/>
      <c r="R15" s="31"/>
      <c r="U15" s="28" t="s">
        <v>886</v>
      </c>
      <c r="V15" s="28">
        <v>159.6</v>
      </c>
      <c r="W15" s="28">
        <v>140.19999999999999</v>
      </c>
      <c r="X15" s="28">
        <v>165.4</v>
      </c>
      <c r="Y15" s="28">
        <v>155.06666666666666</v>
      </c>
    </row>
    <row r="16" spans="1:25" ht="15" thickBot="1">
      <c r="A16" t="s">
        <v>1114</v>
      </c>
      <c r="F16" s="377">
        <v>1</v>
      </c>
      <c r="G16" s="66">
        <v>0</v>
      </c>
      <c r="H16" s="9">
        <v>1</v>
      </c>
      <c r="I16">
        <f t="shared" si="0"/>
        <v>0</v>
      </c>
      <c r="J16">
        <f t="shared" si="1"/>
        <v>1</v>
      </c>
      <c r="K16" s="376">
        <v>187</v>
      </c>
      <c r="U16" s="28" t="s">
        <v>223</v>
      </c>
      <c r="V16" s="28">
        <v>978.29999999999927</v>
      </c>
      <c r="W16" s="28">
        <v>165.7</v>
      </c>
      <c r="X16" s="28">
        <v>217.3</v>
      </c>
      <c r="Y16" s="28">
        <v>513.35238095238208</v>
      </c>
    </row>
    <row r="17" spans="1:27">
      <c r="A17" t="s">
        <v>1115</v>
      </c>
      <c r="F17" s="377">
        <v>1</v>
      </c>
      <c r="G17" s="66">
        <v>0</v>
      </c>
      <c r="H17" s="9">
        <v>1</v>
      </c>
      <c r="I17">
        <f t="shared" si="0"/>
        <v>0</v>
      </c>
      <c r="J17">
        <f t="shared" si="1"/>
        <v>1</v>
      </c>
      <c r="K17" s="376">
        <v>153</v>
      </c>
      <c r="M17" s="413"/>
      <c r="N17" s="413" t="s">
        <v>699</v>
      </c>
      <c r="O17" s="413" t="s">
        <v>77</v>
      </c>
      <c r="P17" s="413" t="s">
        <v>229</v>
      </c>
      <c r="Q17" s="413" t="s">
        <v>367</v>
      </c>
      <c r="R17" s="413" t="s">
        <v>700</v>
      </c>
      <c r="S17" s="413" t="s">
        <v>701</v>
      </c>
      <c r="U17" s="28"/>
      <c r="V17" s="28"/>
      <c r="W17" s="28"/>
      <c r="X17" s="28"/>
      <c r="Y17" s="28"/>
    </row>
    <row r="18" spans="1:27" ht="15" thickBot="1">
      <c r="A18" t="s">
        <v>1116</v>
      </c>
      <c r="F18" s="393">
        <v>-1</v>
      </c>
      <c r="G18" s="402">
        <v>0</v>
      </c>
      <c r="H18" s="392">
        <v>1</v>
      </c>
      <c r="I18" s="393">
        <f t="shared" si="0"/>
        <v>0</v>
      </c>
      <c r="J18" s="392">
        <f t="shared" si="1"/>
        <v>-1</v>
      </c>
      <c r="K18" s="375">
        <v>140</v>
      </c>
      <c r="M18" s="28" t="s">
        <v>697</v>
      </c>
      <c r="N18" s="28">
        <v>152.61666666666667</v>
      </c>
      <c r="O18" s="28">
        <v>4.2440504574892008</v>
      </c>
      <c r="P18" s="28">
        <v>35.960144252609894</v>
      </c>
      <c r="Q18" s="28">
        <v>2.3792900077186923E-20</v>
      </c>
      <c r="R18" s="28">
        <v>143.7906805775493</v>
      </c>
      <c r="S18" s="28">
        <v>161.44265275578405</v>
      </c>
      <c r="U18" s="378" t="s">
        <v>12</v>
      </c>
      <c r="V18" s="378"/>
      <c r="W18" s="378"/>
      <c r="X18" s="378"/>
    </row>
    <row r="19" spans="1:27">
      <c r="F19" s="377">
        <v>-1</v>
      </c>
      <c r="G19" s="66">
        <v>0</v>
      </c>
      <c r="H19" s="9">
        <v>1</v>
      </c>
      <c r="I19">
        <f t="shared" si="0"/>
        <v>0</v>
      </c>
      <c r="J19">
        <f t="shared" si="1"/>
        <v>-1</v>
      </c>
      <c r="K19" s="376">
        <v>145</v>
      </c>
      <c r="M19" s="28" t="s">
        <v>989</v>
      </c>
      <c r="N19" s="28">
        <v>-3.4166666666666652</v>
      </c>
      <c r="O19" s="28">
        <v>4.2440504574892017</v>
      </c>
      <c r="P19" s="28">
        <v>-0.80504854993830111</v>
      </c>
      <c r="Q19" s="28">
        <v>0.42981280716326731</v>
      </c>
      <c r="R19" s="28">
        <v>-12.242652755784054</v>
      </c>
      <c r="S19" s="28">
        <v>5.4093194224507224</v>
      </c>
      <c r="U19" s="28" t="s">
        <v>88</v>
      </c>
      <c r="V19" s="28">
        <v>10</v>
      </c>
      <c r="W19" s="28">
        <v>10</v>
      </c>
      <c r="X19" s="28">
        <v>10</v>
      </c>
    </row>
    <row r="20" spans="1:27">
      <c r="F20" s="377">
        <v>-1</v>
      </c>
      <c r="G20" s="66">
        <v>0</v>
      </c>
      <c r="H20" s="9">
        <v>1</v>
      </c>
      <c r="I20">
        <f t="shared" si="0"/>
        <v>0</v>
      </c>
      <c r="J20">
        <f t="shared" si="1"/>
        <v>-1</v>
      </c>
      <c r="K20" s="376">
        <v>159</v>
      </c>
      <c r="M20" s="28" t="s">
        <v>990</v>
      </c>
      <c r="N20" s="28">
        <v>-5.1166666666666645</v>
      </c>
      <c r="O20" s="28">
        <v>5.8328894388929777</v>
      </c>
      <c r="P20" s="28">
        <v>-0.87720960945177029</v>
      </c>
      <c r="Q20" s="28">
        <v>0.39029810809252885</v>
      </c>
      <c r="R20" s="28">
        <v>-17.246824298554369</v>
      </c>
      <c r="S20" s="28">
        <v>7.0134909652210409</v>
      </c>
      <c r="U20" s="28" t="s">
        <v>87</v>
      </c>
      <c r="V20" s="28">
        <v>1475</v>
      </c>
      <c r="W20" s="28">
        <v>1580</v>
      </c>
      <c r="X20" s="28">
        <v>1533</v>
      </c>
    </row>
    <row r="21" spans="1:27">
      <c r="F21" s="377">
        <v>-1</v>
      </c>
      <c r="G21" s="66">
        <v>0</v>
      </c>
      <c r="H21" s="9">
        <v>1</v>
      </c>
      <c r="I21">
        <f t="shared" si="0"/>
        <v>0</v>
      </c>
      <c r="J21">
        <f t="shared" si="1"/>
        <v>-1</v>
      </c>
      <c r="K21" s="376">
        <v>131</v>
      </c>
      <c r="M21" s="28" t="s">
        <v>1084</v>
      </c>
      <c r="N21" s="28">
        <v>4.7583333333333293</v>
      </c>
      <c r="O21" s="28">
        <v>6.1664623518276622</v>
      </c>
      <c r="P21" s="28">
        <v>0.7716471879412381</v>
      </c>
      <c r="Q21" s="28">
        <v>0.44892011727768966</v>
      </c>
      <c r="R21" s="28">
        <v>-8.0655271465194875</v>
      </c>
      <c r="S21" s="28">
        <v>17.582193813186144</v>
      </c>
      <c r="U21" s="28" t="s">
        <v>886</v>
      </c>
      <c r="V21" s="28">
        <v>147.5</v>
      </c>
      <c r="W21" s="28">
        <v>158</v>
      </c>
      <c r="X21" s="28">
        <v>153.30000000000001</v>
      </c>
    </row>
    <row r="22" spans="1:27">
      <c r="F22" s="393">
        <v>1</v>
      </c>
      <c r="G22" s="402">
        <v>-1</v>
      </c>
      <c r="H22" s="404">
        <v>-1</v>
      </c>
      <c r="I22" s="393">
        <f t="shared" si="0"/>
        <v>-1</v>
      </c>
      <c r="J22" s="392">
        <f t="shared" si="1"/>
        <v>-1</v>
      </c>
      <c r="K22" s="375">
        <v>151</v>
      </c>
      <c r="M22" s="28" t="s">
        <v>1085</v>
      </c>
      <c r="N22" s="28">
        <v>-8.6833333333333318</v>
      </c>
      <c r="O22" s="28">
        <v>5.832889438892976</v>
      </c>
      <c r="P22" s="28">
        <v>-1.4886847118057738</v>
      </c>
      <c r="Q22" s="28">
        <v>0.15143508092319719</v>
      </c>
      <c r="R22" s="28">
        <v>-20.813490965221035</v>
      </c>
      <c r="S22" s="28">
        <v>3.44682429855437</v>
      </c>
      <c r="U22" s="28" t="s">
        <v>223</v>
      </c>
      <c r="V22" s="28">
        <v>912.05555555555554</v>
      </c>
      <c r="W22" s="28">
        <v>549.55555555555554</v>
      </c>
      <c r="X22" s="28">
        <v>416.67777777777843</v>
      </c>
    </row>
    <row r="23" spans="1:27" ht="15" thickBot="1">
      <c r="F23" s="377">
        <v>1</v>
      </c>
      <c r="G23" s="66">
        <v>-1</v>
      </c>
      <c r="H23" s="367">
        <v>-1</v>
      </c>
      <c r="I23">
        <f t="shared" si="0"/>
        <v>-1</v>
      </c>
      <c r="J23">
        <f t="shared" si="1"/>
        <v>-1</v>
      </c>
      <c r="K23" s="376">
        <v>125</v>
      </c>
      <c r="M23" s="31" t="s">
        <v>1086</v>
      </c>
      <c r="N23" s="31">
        <v>17.041666666666668</v>
      </c>
      <c r="O23" s="31">
        <v>6.1664623518276622</v>
      </c>
      <c r="P23" s="31">
        <v>2.7636050776529482</v>
      </c>
      <c r="Q23" s="31">
        <v>1.1640056661955401E-2</v>
      </c>
      <c r="R23" s="31">
        <v>4.217806186813851</v>
      </c>
      <c r="S23" s="31">
        <v>29.865527146519483</v>
      </c>
      <c r="U23" s="28"/>
      <c r="V23" s="28"/>
      <c r="W23" s="28"/>
      <c r="X23" s="28"/>
    </row>
    <row r="24" spans="1:27">
      <c r="F24" s="377">
        <v>1</v>
      </c>
      <c r="G24" s="66">
        <v>-1</v>
      </c>
      <c r="H24" s="367">
        <v>-1</v>
      </c>
      <c r="I24">
        <f t="shared" si="0"/>
        <v>-1</v>
      </c>
      <c r="J24">
        <f t="shared" si="1"/>
        <v>-1</v>
      </c>
      <c r="K24" s="376">
        <v>117</v>
      </c>
    </row>
    <row r="25" spans="1:27" ht="15" thickBot="1">
      <c r="F25" s="377">
        <v>1</v>
      </c>
      <c r="G25" s="66">
        <v>-1</v>
      </c>
      <c r="H25" s="367">
        <v>-1</v>
      </c>
      <c r="I25">
        <f t="shared" si="0"/>
        <v>-1</v>
      </c>
      <c r="J25">
        <f t="shared" si="1"/>
        <v>-1</v>
      </c>
      <c r="K25" s="376">
        <v>155</v>
      </c>
      <c r="M25" s="65" t="s">
        <v>1119</v>
      </c>
      <c r="U25" t="s">
        <v>695</v>
      </c>
    </row>
    <row r="26" spans="1:27">
      <c r="F26" s="10">
        <v>1</v>
      </c>
      <c r="G26" s="403">
        <v>-1</v>
      </c>
      <c r="H26" s="405">
        <v>-1</v>
      </c>
      <c r="I26">
        <f t="shared" si="0"/>
        <v>-1</v>
      </c>
      <c r="J26">
        <f t="shared" si="1"/>
        <v>-1</v>
      </c>
      <c r="K26" s="41">
        <v>158</v>
      </c>
      <c r="U26" s="413" t="s">
        <v>887</v>
      </c>
      <c r="V26" s="413" t="s">
        <v>578</v>
      </c>
      <c r="W26" s="413" t="s">
        <v>186</v>
      </c>
      <c r="X26" s="413" t="s">
        <v>641</v>
      </c>
      <c r="Y26" s="413" t="s">
        <v>388</v>
      </c>
      <c r="Z26" s="413" t="s">
        <v>367</v>
      </c>
      <c r="AA26" s="413" t="s">
        <v>888</v>
      </c>
    </row>
    <row r="27" spans="1:27">
      <c r="F27" s="393">
        <v>-1</v>
      </c>
      <c r="G27" s="402">
        <v>-1</v>
      </c>
      <c r="H27" s="404">
        <v>-1</v>
      </c>
      <c r="I27" s="393">
        <f t="shared" si="0"/>
        <v>1</v>
      </c>
      <c r="J27" s="392">
        <f t="shared" si="1"/>
        <v>1</v>
      </c>
      <c r="K27" s="375">
        <v>167</v>
      </c>
      <c r="M27" t="s">
        <v>691</v>
      </c>
      <c r="U27" s="28" t="s">
        <v>390</v>
      </c>
      <c r="V27" s="28">
        <v>136.53333333333285</v>
      </c>
      <c r="W27" s="28">
        <v>1</v>
      </c>
      <c r="X27" s="28">
        <v>136.53333333333285</v>
      </c>
      <c r="Y27" s="28">
        <v>0.30318282753515807</v>
      </c>
      <c r="Z27" s="28">
        <v>0.58698317897716845</v>
      </c>
      <c r="AA27" s="28">
        <v>4.2596772726902348</v>
      </c>
    </row>
    <row r="28" spans="1:27" ht="15" thickBot="1">
      <c r="F28" s="377">
        <v>-1</v>
      </c>
      <c r="G28" s="66">
        <v>-1</v>
      </c>
      <c r="H28" s="367">
        <v>-1</v>
      </c>
      <c r="I28" s="377">
        <f t="shared" si="0"/>
        <v>1</v>
      </c>
      <c r="J28" s="9">
        <f t="shared" si="1"/>
        <v>1</v>
      </c>
      <c r="K28" s="376">
        <v>183</v>
      </c>
      <c r="U28" s="28" t="s">
        <v>1010</v>
      </c>
      <c r="V28" s="28">
        <v>553.26666666666642</v>
      </c>
      <c r="W28" s="28">
        <v>2</v>
      </c>
      <c r="X28" s="28">
        <v>276.63333333333321</v>
      </c>
      <c r="Y28" s="28">
        <v>0.61428571428571399</v>
      </c>
      <c r="Z28" s="28">
        <v>0.54931693706660334</v>
      </c>
      <c r="AA28" s="28">
        <v>3.4028261053501945</v>
      </c>
    </row>
    <row r="29" spans="1:27">
      <c r="F29" s="377">
        <v>-1</v>
      </c>
      <c r="G29" s="66">
        <v>-1</v>
      </c>
      <c r="H29" s="367">
        <v>-1</v>
      </c>
      <c r="I29" s="377">
        <f t="shared" si="0"/>
        <v>1</v>
      </c>
      <c r="J29" s="9">
        <f t="shared" si="1"/>
        <v>1</v>
      </c>
      <c r="K29" s="376">
        <v>142</v>
      </c>
      <c r="M29" s="35" t="s">
        <v>692</v>
      </c>
      <c r="N29" s="35"/>
      <c r="U29" s="28" t="s">
        <v>838</v>
      </c>
      <c r="V29" s="28">
        <v>5960.0666666666657</v>
      </c>
      <c r="W29" s="28">
        <v>2</v>
      </c>
      <c r="X29" s="28">
        <v>2980.0333333333328</v>
      </c>
      <c r="Y29" s="28">
        <v>6.6173945225758688</v>
      </c>
      <c r="Z29" s="28">
        <v>5.1421901060349955E-3</v>
      </c>
      <c r="AA29" s="28">
        <v>3.4028261053501945</v>
      </c>
    </row>
    <row r="30" spans="1:27">
      <c r="F30" s="10">
        <v>-1</v>
      </c>
      <c r="G30" s="403">
        <v>-1</v>
      </c>
      <c r="H30" s="405">
        <v>-1</v>
      </c>
      <c r="I30" s="10">
        <f t="shared" si="0"/>
        <v>1</v>
      </c>
      <c r="J30" s="12">
        <f t="shared" si="1"/>
        <v>1</v>
      </c>
      <c r="K30" s="41">
        <v>167</v>
      </c>
      <c r="M30" s="28" t="s">
        <v>693</v>
      </c>
      <c r="N30" s="28">
        <v>0.25284299482842942</v>
      </c>
      <c r="U30" s="28" t="s">
        <v>1021</v>
      </c>
      <c r="V30" s="28">
        <v>10808</v>
      </c>
      <c r="W30" s="28">
        <v>24</v>
      </c>
      <c r="X30" s="28">
        <v>450.33333333333331</v>
      </c>
      <c r="Y30" s="28"/>
      <c r="Z30" s="28"/>
      <c r="AA30" s="28"/>
    </row>
    <row r="31" spans="1:27">
      <c r="M31" s="28" t="s">
        <v>686</v>
      </c>
      <c r="N31" s="28">
        <v>6.3929580033809177E-2</v>
      </c>
      <c r="U31" s="28"/>
      <c r="V31" s="28"/>
      <c r="W31" s="28"/>
      <c r="X31" s="28"/>
      <c r="Y31" s="28"/>
      <c r="Z31" s="28"/>
      <c r="AA31" s="28"/>
    </row>
    <row r="32" spans="1:27" ht="15" thickBot="1">
      <c r="F32" t="s">
        <v>1117</v>
      </c>
      <c r="M32" s="28" t="s">
        <v>694</v>
      </c>
      <c r="N32" s="28">
        <v>-5.8166561700911369E-2</v>
      </c>
      <c r="U32" s="31" t="s">
        <v>12</v>
      </c>
      <c r="V32" s="31">
        <v>17457.866666666665</v>
      </c>
      <c r="W32" s="31">
        <v>29</v>
      </c>
      <c r="X32" s="31"/>
      <c r="Y32" s="31"/>
      <c r="Z32" s="31"/>
      <c r="AA32" s="31"/>
    </row>
    <row r="33" spans="6:23">
      <c r="M33" s="28" t="s">
        <v>77</v>
      </c>
      <c r="N33" s="28">
        <v>24.46130631522983</v>
      </c>
    </row>
    <row r="34" spans="6:23" ht="15" thickBot="1">
      <c r="F34" s="8"/>
      <c r="G34" s="42" t="s">
        <v>1012</v>
      </c>
      <c r="H34" s="42" t="s">
        <v>1013</v>
      </c>
      <c r="I34" s="42" t="s">
        <v>1017</v>
      </c>
      <c r="J34" s="8"/>
      <c r="M34" s="31" t="s">
        <v>224</v>
      </c>
      <c r="N34" s="31">
        <v>27</v>
      </c>
      <c r="V34" t="s">
        <v>1110</v>
      </c>
      <c r="W34">
        <f>V32/W32</f>
        <v>601.99540229885054</v>
      </c>
    </row>
    <row r="35" spans="6:23">
      <c r="F35" s="8" t="s">
        <v>1014</v>
      </c>
      <c r="G35" s="417">
        <f>AVERAGE(B5:B9)</f>
        <v>135.4</v>
      </c>
      <c r="H35" s="418">
        <f>AVERAGE(C5:C9)</f>
        <v>171</v>
      </c>
      <c r="I35" s="419">
        <f>AVERAGE(D5:D9)</f>
        <v>141.19999999999999</v>
      </c>
      <c r="J35" s="8">
        <f>AVERAGE(G35:I35)</f>
        <v>149.19999999999999</v>
      </c>
      <c r="V35" t="s">
        <v>1111</v>
      </c>
      <c r="W35">
        <f>1-V30/V32</f>
        <v>0.38090946583775021</v>
      </c>
    </row>
    <row r="36" spans="6:23" ht="15" thickBot="1">
      <c r="F36" s="8" t="s">
        <v>1015</v>
      </c>
      <c r="G36" s="10">
        <f>AVERAGE(B10:B14)</f>
        <v>159.6</v>
      </c>
      <c r="H36" s="11">
        <f>AVERAGE(C10:C14)</f>
        <v>143.75</v>
      </c>
      <c r="I36" s="12">
        <f>AVERAGE(D10:D14)</f>
        <v>164.75</v>
      </c>
      <c r="J36" s="8">
        <f>AVERAGE(G36:I36)</f>
        <v>156.03333333333333</v>
      </c>
      <c r="M36" t="s">
        <v>695</v>
      </c>
    </row>
    <row r="37" spans="6:23">
      <c r="F37" s="8"/>
      <c r="G37" s="8">
        <f>AVERAGE(G35:G36)</f>
        <v>147.5</v>
      </c>
      <c r="H37" s="8">
        <f>AVERAGE(H35:H36)</f>
        <v>157.375</v>
      </c>
      <c r="I37" s="8">
        <f>AVERAGE(I35:I36)</f>
        <v>152.97499999999999</v>
      </c>
      <c r="J37" s="8">
        <f>AVERAGE(J35:J36)</f>
        <v>152.61666666666667</v>
      </c>
      <c r="M37" s="413"/>
      <c r="N37" s="413" t="s">
        <v>186</v>
      </c>
      <c r="O37" s="413" t="s">
        <v>578</v>
      </c>
      <c r="P37" s="413" t="s">
        <v>641</v>
      </c>
      <c r="Q37" s="413" t="s">
        <v>388</v>
      </c>
      <c r="R37" s="413" t="s">
        <v>698</v>
      </c>
    </row>
    <row r="38" spans="6:23">
      <c r="M38" s="28" t="s">
        <v>623</v>
      </c>
      <c r="N38" s="28">
        <v>3</v>
      </c>
      <c r="O38" s="28">
        <v>939.89742118150934</v>
      </c>
      <c r="P38" s="28">
        <v>313.29914039383647</v>
      </c>
      <c r="Q38" s="28">
        <v>0.52360032942490187</v>
      </c>
      <c r="R38" s="28">
        <v>0.67037893748451094</v>
      </c>
    </row>
    <row r="39" spans="6:23">
      <c r="F39" t="s">
        <v>1118</v>
      </c>
      <c r="M39" s="28" t="s">
        <v>696</v>
      </c>
      <c r="N39" s="28">
        <v>23</v>
      </c>
      <c r="O39" s="28">
        <v>13762.176652892562</v>
      </c>
      <c r="P39" s="28">
        <v>598.35550664750269</v>
      </c>
      <c r="Q39" s="28"/>
      <c r="R39" s="28"/>
    </row>
    <row r="40" spans="6:23" ht="15" thickBot="1">
      <c r="M40" s="31" t="s">
        <v>12</v>
      </c>
      <c r="N40" s="31">
        <v>26</v>
      </c>
      <c r="O40" s="31">
        <v>14702.074074074071</v>
      </c>
      <c r="P40" s="31"/>
      <c r="Q40" s="31"/>
      <c r="R40" s="31"/>
    </row>
    <row r="41" spans="6:23" ht="15" thickBot="1">
      <c r="F41" t="s">
        <v>790</v>
      </c>
      <c r="G41">
        <f>J37</f>
        <v>152.61666666666667</v>
      </c>
    </row>
    <row r="42" spans="6:23">
      <c r="F42" t="s">
        <v>788</v>
      </c>
      <c r="G42">
        <f>J35-J37</f>
        <v>-3.4166666666666856</v>
      </c>
      <c r="M42" s="413"/>
      <c r="N42" s="413" t="s">
        <v>699</v>
      </c>
      <c r="O42" s="413" t="s">
        <v>77</v>
      </c>
      <c r="P42" s="413" t="s">
        <v>229</v>
      </c>
      <c r="Q42" s="413" t="s">
        <v>367</v>
      </c>
      <c r="R42" s="413" t="s">
        <v>700</v>
      </c>
      <c r="S42" s="413" t="s">
        <v>701</v>
      </c>
    </row>
    <row r="43" spans="6:23">
      <c r="F43" t="s">
        <v>789</v>
      </c>
      <c r="G43">
        <f>G37-J37</f>
        <v>-5.1166666666666742</v>
      </c>
      <c r="M43" s="28" t="s">
        <v>697</v>
      </c>
      <c r="N43" s="28">
        <v>152.34125344352617</v>
      </c>
      <c r="O43" s="28">
        <v>4.7303824278681619</v>
      </c>
      <c r="P43" s="28">
        <v>32.204849347071011</v>
      </c>
      <c r="Q43" s="28">
        <v>1.2270731664950653E-20</v>
      </c>
      <c r="R43" s="28">
        <v>142.55571183392416</v>
      </c>
      <c r="S43" s="28">
        <v>162.12679505312818</v>
      </c>
    </row>
    <row r="44" spans="6:23">
      <c r="F44" t="s">
        <v>802</v>
      </c>
      <c r="G44">
        <f>H37-J37</f>
        <v>4.7583333333333258</v>
      </c>
      <c r="M44" s="28" t="s">
        <v>989</v>
      </c>
      <c r="N44" s="28">
        <v>-4.3388429752066129</v>
      </c>
      <c r="O44" s="28">
        <v>4.717296974231</v>
      </c>
      <c r="P44" s="28">
        <v>-0.91977312408106726</v>
      </c>
      <c r="Q44" s="28">
        <v>0.36723788404834612</v>
      </c>
      <c r="R44" s="28">
        <v>-14.097315261556325</v>
      </c>
      <c r="S44" s="28">
        <v>5.4196293111430984</v>
      </c>
    </row>
    <row r="45" spans="6:23">
      <c r="F45" t="s">
        <v>1109</v>
      </c>
      <c r="G45">
        <f>G35-J35-G37+J37</f>
        <v>-8.6833333333333087</v>
      </c>
      <c r="M45" s="28" t="s">
        <v>990</v>
      </c>
      <c r="N45" s="28">
        <v>-4.8412534435261785</v>
      </c>
      <c r="O45" s="28">
        <v>6.5055131595286655</v>
      </c>
      <c r="P45" s="28">
        <v>-0.74417702720886281</v>
      </c>
      <c r="Q45" s="28">
        <v>0.46430515688438911</v>
      </c>
      <c r="R45" s="28">
        <v>-18.298932750666424</v>
      </c>
      <c r="S45" s="28">
        <v>8.6164258636140687</v>
      </c>
    </row>
    <row r="46" spans="6:23" ht="15" thickBot="1">
      <c r="F46" t="s">
        <v>1108</v>
      </c>
      <c r="G46">
        <f>H35-J35-H37+J37</f>
        <v>17.041666666666686</v>
      </c>
      <c r="M46" s="31" t="s">
        <v>1084</v>
      </c>
      <c r="N46" s="31">
        <v>5.0337465564738348</v>
      </c>
      <c r="O46" s="31">
        <v>6.8780809356629291</v>
      </c>
      <c r="P46" s="31">
        <v>0.73185334740302355</v>
      </c>
      <c r="Q46" s="31">
        <v>0.47165002115399124</v>
      </c>
      <c r="R46" s="31">
        <v>-9.1946479161634578</v>
      </c>
      <c r="S46" s="31">
        <v>19.262141029111127</v>
      </c>
    </row>
    <row r="48" spans="6:23">
      <c r="F48" s="19" t="s">
        <v>990</v>
      </c>
      <c r="G48" s="19" t="s">
        <v>1084</v>
      </c>
      <c r="H48" s="19" t="s">
        <v>989</v>
      </c>
      <c r="I48" s="43" t="s">
        <v>1085</v>
      </c>
      <c r="J48" s="43" t="s">
        <v>1086</v>
      </c>
      <c r="K48" s="43" t="s">
        <v>400</v>
      </c>
      <c r="M48" s="65" t="s">
        <v>1120</v>
      </c>
    </row>
    <row r="49" spans="6:18">
      <c r="F49" s="417">
        <v>1</v>
      </c>
      <c r="G49" s="419">
        <v>0</v>
      </c>
      <c r="H49" s="393">
        <v>1</v>
      </c>
      <c r="I49" s="417">
        <f t="shared" ref="I49:I75" si="2">H49*F49</f>
        <v>1</v>
      </c>
      <c r="J49" s="392">
        <f t="shared" ref="J49:J75" si="3">H49*G49</f>
        <v>0</v>
      </c>
      <c r="K49" s="375">
        <v>128</v>
      </c>
    </row>
    <row r="50" spans="6:18">
      <c r="F50" s="7">
        <v>1</v>
      </c>
      <c r="G50" s="9">
        <v>0</v>
      </c>
      <c r="H50" s="377">
        <v>1</v>
      </c>
      <c r="I50" s="7">
        <f t="shared" si="2"/>
        <v>1</v>
      </c>
      <c r="J50">
        <f t="shared" si="3"/>
        <v>0</v>
      </c>
      <c r="K50" s="376">
        <v>150</v>
      </c>
      <c r="M50" t="s">
        <v>691</v>
      </c>
    </row>
    <row r="51" spans="6:18" ht="15" thickBot="1">
      <c r="F51" s="7">
        <v>1</v>
      </c>
      <c r="G51" s="9">
        <v>0</v>
      </c>
      <c r="H51" s="377">
        <v>1</v>
      </c>
      <c r="I51" s="7">
        <f t="shared" si="2"/>
        <v>1</v>
      </c>
      <c r="J51">
        <f t="shared" si="3"/>
        <v>0</v>
      </c>
      <c r="K51" s="376">
        <v>174</v>
      </c>
    </row>
    <row r="52" spans="6:18">
      <c r="F52" s="7">
        <v>1</v>
      </c>
      <c r="G52" s="9">
        <v>0</v>
      </c>
      <c r="H52" s="377">
        <v>1</v>
      </c>
      <c r="I52" s="7">
        <f t="shared" si="2"/>
        <v>1</v>
      </c>
      <c r="J52">
        <f t="shared" si="3"/>
        <v>0</v>
      </c>
      <c r="K52" s="376">
        <v>116</v>
      </c>
      <c r="M52" s="35" t="s">
        <v>692</v>
      </c>
      <c r="N52" s="35"/>
    </row>
    <row r="53" spans="6:18">
      <c r="F53" s="10">
        <v>1</v>
      </c>
      <c r="G53" s="12">
        <v>0</v>
      </c>
      <c r="H53" s="10">
        <v>1</v>
      </c>
      <c r="I53" s="7">
        <f t="shared" si="2"/>
        <v>1</v>
      </c>
      <c r="J53">
        <f t="shared" si="3"/>
        <v>0</v>
      </c>
      <c r="K53" s="41">
        <v>109</v>
      </c>
      <c r="M53" s="28" t="s">
        <v>693</v>
      </c>
      <c r="N53" s="28">
        <v>0.53288861079418526</v>
      </c>
    </row>
    <row r="54" spans="6:18">
      <c r="F54" s="417">
        <v>1</v>
      </c>
      <c r="G54" s="419">
        <v>0</v>
      </c>
      <c r="H54" s="393">
        <v>-1</v>
      </c>
      <c r="I54" s="417">
        <f t="shared" si="2"/>
        <v>-1</v>
      </c>
      <c r="J54" s="392">
        <f t="shared" si="3"/>
        <v>0</v>
      </c>
      <c r="K54" s="375">
        <v>175</v>
      </c>
      <c r="M54" s="28" t="s">
        <v>686</v>
      </c>
      <c r="N54" s="28">
        <v>0.28397027151415666</v>
      </c>
    </row>
    <row r="55" spans="6:18">
      <c r="F55" s="7">
        <v>1</v>
      </c>
      <c r="G55" s="9">
        <v>0</v>
      </c>
      <c r="H55" s="377">
        <v>-1</v>
      </c>
      <c r="I55" s="7">
        <f t="shared" si="2"/>
        <v>-1</v>
      </c>
      <c r="J55">
        <f t="shared" si="3"/>
        <v>0</v>
      </c>
      <c r="K55" s="376">
        <v>132</v>
      </c>
      <c r="M55" s="28" t="s">
        <v>694</v>
      </c>
      <c r="N55" s="28">
        <v>0.1905750895377423</v>
      </c>
    </row>
    <row r="56" spans="6:18">
      <c r="F56" s="7">
        <v>1</v>
      </c>
      <c r="G56" s="9">
        <v>0</v>
      </c>
      <c r="H56" s="377">
        <v>-1</v>
      </c>
      <c r="I56" s="7">
        <f t="shared" si="2"/>
        <v>-1</v>
      </c>
      <c r="J56">
        <f t="shared" si="3"/>
        <v>0</v>
      </c>
      <c r="K56" s="376">
        <v>120</v>
      </c>
      <c r="M56" s="28" t="s">
        <v>77</v>
      </c>
      <c r="N56" s="28">
        <v>21.393946835330716</v>
      </c>
    </row>
    <row r="57" spans="6:18" ht="15" thickBot="1">
      <c r="F57" s="7">
        <v>1</v>
      </c>
      <c r="G57" s="9">
        <v>0</v>
      </c>
      <c r="H57" s="377">
        <v>-1</v>
      </c>
      <c r="I57" s="7">
        <f t="shared" si="2"/>
        <v>-1</v>
      </c>
      <c r="J57">
        <f t="shared" si="3"/>
        <v>0</v>
      </c>
      <c r="K57" s="376">
        <v>187</v>
      </c>
      <c r="M57" s="31" t="s">
        <v>224</v>
      </c>
      <c r="N57" s="31">
        <v>27</v>
      </c>
    </row>
    <row r="58" spans="6:18">
      <c r="F58" s="10">
        <v>1</v>
      </c>
      <c r="G58" s="12">
        <v>0</v>
      </c>
      <c r="H58" s="10">
        <v>-1</v>
      </c>
      <c r="I58" s="7">
        <f t="shared" si="2"/>
        <v>-1</v>
      </c>
      <c r="J58">
        <f t="shared" si="3"/>
        <v>0</v>
      </c>
      <c r="K58" s="41">
        <v>184</v>
      </c>
    </row>
    <row r="59" spans="6:18" ht="15" thickBot="1">
      <c r="F59" s="421">
        <v>0</v>
      </c>
      <c r="G59" s="419">
        <v>1</v>
      </c>
      <c r="H59" s="393">
        <v>1</v>
      </c>
      <c r="I59" s="417">
        <f t="shared" si="2"/>
        <v>0</v>
      </c>
      <c r="J59" s="392">
        <f t="shared" si="3"/>
        <v>1</v>
      </c>
      <c r="K59" s="375">
        <v>166</v>
      </c>
      <c r="M59" t="s">
        <v>695</v>
      </c>
    </row>
    <row r="60" spans="6:18">
      <c r="F60" s="411">
        <v>0</v>
      </c>
      <c r="G60" s="9">
        <v>1</v>
      </c>
      <c r="H60" s="377">
        <v>1</v>
      </c>
      <c r="I60" s="7">
        <f t="shared" si="2"/>
        <v>0</v>
      </c>
      <c r="J60">
        <f t="shared" si="3"/>
        <v>1</v>
      </c>
      <c r="K60" s="376">
        <v>178</v>
      </c>
      <c r="M60" s="413"/>
      <c r="N60" s="413" t="s">
        <v>186</v>
      </c>
      <c r="O60" s="413" t="s">
        <v>578</v>
      </c>
      <c r="P60" s="413" t="s">
        <v>641</v>
      </c>
      <c r="Q60" s="413" t="s">
        <v>388</v>
      </c>
      <c r="R60" s="413" t="s">
        <v>698</v>
      </c>
    </row>
    <row r="61" spans="6:18">
      <c r="F61" s="411">
        <v>0</v>
      </c>
      <c r="G61" s="9">
        <v>1</v>
      </c>
      <c r="H61" s="377">
        <v>1</v>
      </c>
      <c r="I61" s="7">
        <f t="shared" si="2"/>
        <v>0</v>
      </c>
      <c r="J61">
        <f t="shared" si="3"/>
        <v>1</v>
      </c>
      <c r="K61" s="376">
        <v>187</v>
      </c>
      <c r="M61" s="28" t="s">
        <v>623</v>
      </c>
      <c r="N61" s="28">
        <v>3</v>
      </c>
      <c r="O61" s="28">
        <v>4174.9519666360575</v>
      </c>
      <c r="P61" s="28">
        <v>1391.6506555453525</v>
      </c>
      <c r="Q61" s="28">
        <v>3.0405237776170235</v>
      </c>
      <c r="R61" s="28">
        <v>4.9388235315860701E-2</v>
      </c>
    </row>
    <row r="62" spans="6:18">
      <c r="F62" s="411">
        <v>0</v>
      </c>
      <c r="G62" s="9">
        <v>1</v>
      </c>
      <c r="H62" s="377">
        <v>1</v>
      </c>
      <c r="I62" s="7">
        <f t="shared" si="2"/>
        <v>0</v>
      </c>
      <c r="J62">
        <f t="shared" si="3"/>
        <v>1</v>
      </c>
      <c r="K62" s="376">
        <v>153</v>
      </c>
      <c r="M62" s="28" t="s">
        <v>696</v>
      </c>
      <c r="N62" s="28">
        <v>23</v>
      </c>
      <c r="O62" s="28">
        <v>10527.122107438014</v>
      </c>
      <c r="P62" s="28">
        <v>457.7009611929571</v>
      </c>
      <c r="Q62" s="28"/>
      <c r="R62" s="28"/>
    </row>
    <row r="63" spans="6:18" ht="15" thickBot="1">
      <c r="F63" s="421">
        <v>0</v>
      </c>
      <c r="G63" s="419">
        <v>1</v>
      </c>
      <c r="H63" s="393">
        <v>-1</v>
      </c>
      <c r="I63" s="417">
        <f t="shared" si="2"/>
        <v>0</v>
      </c>
      <c r="J63" s="392">
        <f t="shared" si="3"/>
        <v>-1</v>
      </c>
      <c r="K63" s="375">
        <v>140</v>
      </c>
      <c r="M63" s="31" t="s">
        <v>12</v>
      </c>
      <c r="N63" s="31">
        <v>26</v>
      </c>
      <c r="O63" s="31">
        <v>14702.074074074071</v>
      </c>
      <c r="P63" s="31"/>
      <c r="Q63" s="31"/>
      <c r="R63" s="31"/>
    </row>
    <row r="64" spans="6:18" ht="15" thickBot="1">
      <c r="F64" s="411">
        <v>0</v>
      </c>
      <c r="G64" s="9">
        <v>1</v>
      </c>
      <c r="H64" s="377">
        <v>-1</v>
      </c>
      <c r="I64" s="7">
        <f t="shared" si="2"/>
        <v>0</v>
      </c>
      <c r="J64">
        <f t="shared" si="3"/>
        <v>-1</v>
      </c>
      <c r="K64" s="376">
        <v>145</v>
      </c>
    </row>
    <row r="65" spans="6:19">
      <c r="F65" s="411">
        <v>0</v>
      </c>
      <c r="G65" s="9">
        <v>1</v>
      </c>
      <c r="H65" s="377">
        <v>-1</v>
      </c>
      <c r="I65" s="7">
        <f t="shared" si="2"/>
        <v>0</v>
      </c>
      <c r="J65">
        <f t="shared" si="3"/>
        <v>-1</v>
      </c>
      <c r="K65" s="376">
        <v>159</v>
      </c>
      <c r="M65" s="413"/>
      <c r="N65" s="413" t="s">
        <v>699</v>
      </c>
      <c r="O65" s="413" t="s">
        <v>77</v>
      </c>
      <c r="P65" s="413" t="s">
        <v>229</v>
      </c>
      <c r="Q65" s="413" t="s">
        <v>367</v>
      </c>
      <c r="R65" s="413" t="s">
        <v>700</v>
      </c>
      <c r="S65" s="413" t="s">
        <v>701</v>
      </c>
    </row>
    <row r="66" spans="6:19">
      <c r="F66" s="411">
        <v>0</v>
      </c>
      <c r="G66" s="9">
        <v>1</v>
      </c>
      <c r="H66" s="377">
        <v>-1</v>
      </c>
      <c r="I66" s="7">
        <f t="shared" si="2"/>
        <v>0</v>
      </c>
      <c r="J66">
        <f t="shared" si="3"/>
        <v>-1</v>
      </c>
      <c r="K66" s="376">
        <v>131</v>
      </c>
      <c r="M66" s="28" t="s">
        <v>697</v>
      </c>
      <c r="N66" s="28">
        <v>152.24793388429751</v>
      </c>
      <c r="O66" s="28">
        <v>4.1257649682564077</v>
      </c>
      <c r="P66" s="28">
        <v>36.901746719866864</v>
      </c>
      <c r="Q66" s="28">
        <v>5.6733608544716497E-22</v>
      </c>
      <c r="R66" s="28">
        <v>143.71313878391359</v>
      </c>
      <c r="S66" s="28">
        <v>160.78272898468143</v>
      </c>
    </row>
    <row r="67" spans="6:19">
      <c r="F67" s="421">
        <v>-1</v>
      </c>
      <c r="G67" s="420">
        <v>-1</v>
      </c>
      <c r="H67" s="393">
        <v>1</v>
      </c>
      <c r="I67" s="417">
        <f t="shared" si="2"/>
        <v>-1</v>
      </c>
      <c r="J67" s="392">
        <f t="shared" si="3"/>
        <v>-1</v>
      </c>
      <c r="K67" s="375">
        <v>151</v>
      </c>
      <c r="M67" s="28" t="s">
        <v>989</v>
      </c>
      <c r="N67" s="28">
        <v>-3.3897382920110184</v>
      </c>
      <c r="O67" s="28">
        <v>4.1372095532602486</v>
      </c>
      <c r="P67" s="28">
        <v>-0.81932961054385078</v>
      </c>
      <c r="Q67" s="28">
        <v>0.42100775586952588</v>
      </c>
      <c r="R67" s="28">
        <v>-11.948208320261227</v>
      </c>
      <c r="S67" s="28">
        <v>5.1687317362391889</v>
      </c>
    </row>
    <row r="68" spans="6:19">
      <c r="F68" s="411">
        <v>-1</v>
      </c>
      <c r="G68" s="367">
        <v>-1</v>
      </c>
      <c r="H68" s="377">
        <v>1</v>
      </c>
      <c r="I68" s="7">
        <f t="shared" si="2"/>
        <v>-1</v>
      </c>
      <c r="J68">
        <f t="shared" si="3"/>
        <v>-1</v>
      </c>
      <c r="K68" s="376">
        <v>125</v>
      </c>
      <c r="M68" s="28" t="s">
        <v>1085</v>
      </c>
      <c r="N68" s="28">
        <v>-8.7102617079889733</v>
      </c>
      <c r="O68" s="28">
        <v>5.6897453013311372</v>
      </c>
      <c r="P68" s="28">
        <v>-1.5308702317397538</v>
      </c>
      <c r="Q68" s="28">
        <v>0.13944088670310667</v>
      </c>
      <c r="R68" s="28">
        <v>-20.480396626933654</v>
      </c>
      <c r="S68" s="28">
        <v>3.0598732109557094</v>
      </c>
    </row>
    <row r="69" spans="6:19" ht="15" thickBot="1">
      <c r="F69" s="411">
        <v>-1</v>
      </c>
      <c r="G69" s="367">
        <v>-1</v>
      </c>
      <c r="H69" s="377">
        <v>1</v>
      </c>
      <c r="I69" s="7">
        <f t="shared" si="2"/>
        <v>-1</v>
      </c>
      <c r="J69">
        <f t="shared" si="3"/>
        <v>-1</v>
      </c>
      <c r="K69" s="376">
        <v>117</v>
      </c>
      <c r="M69" s="31" t="s">
        <v>1086</v>
      </c>
      <c r="N69" s="31">
        <v>17.01473829201101</v>
      </c>
      <c r="O69" s="31">
        <v>6.0155944237147283</v>
      </c>
      <c r="P69" s="31">
        <v>2.8284384041808672</v>
      </c>
      <c r="Q69" s="31">
        <v>9.5257546521778126E-3</v>
      </c>
      <c r="R69" s="31">
        <v>4.5705331061991448</v>
      </c>
      <c r="S69" s="31">
        <v>29.458943477822878</v>
      </c>
    </row>
    <row r="70" spans="6:19">
      <c r="F70" s="411">
        <v>-1</v>
      </c>
      <c r="G70" s="367">
        <v>-1</v>
      </c>
      <c r="H70" s="377">
        <v>1</v>
      </c>
      <c r="I70" s="7">
        <f t="shared" si="2"/>
        <v>-1</v>
      </c>
      <c r="J70">
        <f t="shared" si="3"/>
        <v>-1</v>
      </c>
      <c r="K70" s="376">
        <v>155</v>
      </c>
    </row>
    <row r="71" spans="6:19">
      <c r="F71" s="395">
        <v>-1</v>
      </c>
      <c r="G71" s="405">
        <v>-1</v>
      </c>
      <c r="H71" s="10">
        <v>1</v>
      </c>
      <c r="I71" s="7">
        <f t="shared" si="2"/>
        <v>-1</v>
      </c>
      <c r="J71">
        <f t="shared" si="3"/>
        <v>-1</v>
      </c>
      <c r="K71" s="41">
        <v>158</v>
      </c>
      <c r="M71" s="65" t="s">
        <v>1121</v>
      </c>
    </row>
    <row r="72" spans="6:19">
      <c r="F72" s="421">
        <v>-1</v>
      </c>
      <c r="G72" s="420">
        <v>-1</v>
      </c>
      <c r="H72" s="393">
        <v>-1</v>
      </c>
      <c r="I72" s="417">
        <f t="shared" si="2"/>
        <v>1</v>
      </c>
      <c r="J72" s="392">
        <f t="shared" si="3"/>
        <v>1</v>
      </c>
      <c r="K72" s="375">
        <v>167</v>
      </c>
    </row>
    <row r="73" spans="6:19">
      <c r="F73" s="411">
        <v>-1</v>
      </c>
      <c r="G73" s="367">
        <v>-1</v>
      </c>
      <c r="H73" s="377">
        <v>-1</v>
      </c>
      <c r="I73" s="7">
        <f t="shared" si="2"/>
        <v>1</v>
      </c>
      <c r="J73" s="9">
        <f t="shared" si="3"/>
        <v>1</v>
      </c>
      <c r="K73" s="376">
        <v>183</v>
      </c>
      <c r="M73" t="s">
        <v>691</v>
      </c>
    </row>
    <row r="74" spans="6:19" ht="15" thickBot="1">
      <c r="F74" s="411">
        <v>-1</v>
      </c>
      <c r="G74" s="367">
        <v>-1</v>
      </c>
      <c r="H74" s="377">
        <v>-1</v>
      </c>
      <c r="I74" s="7">
        <f t="shared" si="2"/>
        <v>1</v>
      </c>
      <c r="J74" s="9">
        <f t="shared" si="3"/>
        <v>1</v>
      </c>
      <c r="K74" s="376">
        <v>142</v>
      </c>
    </row>
    <row r="75" spans="6:19">
      <c r="F75" s="395">
        <v>-1</v>
      </c>
      <c r="G75" s="405">
        <v>-1</v>
      </c>
      <c r="H75" s="10">
        <v>-1</v>
      </c>
      <c r="I75" s="10">
        <f t="shared" si="2"/>
        <v>1</v>
      </c>
      <c r="J75" s="12">
        <f t="shared" si="3"/>
        <v>1</v>
      </c>
      <c r="K75" s="41">
        <v>167</v>
      </c>
      <c r="M75" s="35" t="s">
        <v>692</v>
      </c>
      <c r="N75" s="35"/>
    </row>
    <row r="76" spans="6:19">
      <c r="M76" s="28" t="s">
        <v>693</v>
      </c>
      <c r="N76" s="28">
        <v>0.54106663277212563</v>
      </c>
    </row>
    <row r="77" spans="6:19">
      <c r="M77" s="28" t="s">
        <v>686</v>
      </c>
      <c r="N77" s="28">
        <v>0.29275310109936631</v>
      </c>
    </row>
    <row r="78" spans="6:19">
      <c r="M78" s="28" t="s">
        <v>694</v>
      </c>
      <c r="N78" s="28">
        <v>0.16416275584470563</v>
      </c>
    </row>
    <row r="79" spans="6:19">
      <c r="M79" s="28" t="s">
        <v>77</v>
      </c>
      <c r="N79" s="28">
        <v>21.740197682776373</v>
      </c>
    </row>
    <row r="80" spans="6:19" ht="15" thickBot="1">
      <c r="M80" s="31" t="s">
        <v>224</v>
      </c>
      <c r="N80" s="31">
        <v>27</v>
      </c>
    </row>
    <row r="82" spans="13:19" ht="15" thickBot="1">
      <c r="M82" t="s">
        <v>695</v>
      </c>
    </row>
    <row r="83" spans="13:19">
      <c r="M83" s="413"/>
      <c r="N83" s="413" t="s">
        <v>186</v>
      </c>
      <c r="O83" s="413" t="s">
        <v>578</v>
      </c>
      <c r="P83" s="413" t="s">
        <v>641</v>
      </c>
      <c r="Q83" s="413" t="s">
        <v>388</v>
      </c>
      <c r="R83" s="413" t="s">
        <v>698</v>
      </c>
    </row>
    <row r="84" spans="13:19">
      <c r="M84" s="28" t="s">
        <v>623</v>
      </c>
      <c r="N84" s="28">
        <v>4</v>
      </c>
      <c r="O84" s="28">
        <v>4304.0777777777785</v>
      </c>
      <c r="P84" s="28">
        <v>1076.0194444444446</v>
      </c>
      <c r="Q84" s="28">
        <v>2.2766336035539623</v>
      </c>
      <c r="R84" s="28">
        <v>9.3459458279901708E-2</v>
      </c>
    </row>
    <row r="85" spans="13:19">
      <c r="M85" s="28" t="s">
        <v>696</v>
      </c>
      <c r="N85" s="28">
        <v>22</v>
      </c>
      <c r="O85" s="28">
        <v>10397.996296296293</v>
      </c>
      <c r="P85" s="28">
        <v>472.63619528619512</v>
      </c>
      <c r="Q85" s="28"/>
      <c r="R85" s="28"/>
    </row>
    <row r="86" spans="13:19" ht="15" thickBot="1">
      <c r="M86" s="31" t="s">
        <v>12</v>
      </c>
      <c r="N86" s="31">
        <v>26</v>
      </c>
      <c r="O86" s="31">
        <v>14702.074074074071</v>
      </c>
      <c r="P86" s="31"/>
      <c r="Q86" s="31"/>
      <c r="R86" s="31"/>
    </row>
    <row r="87" spans="13:19" ht="15" thickBot="1"/>
    <row r="88" spans="13:19">
      <c r="M88" s="413"/>
      <c r="N88" s="413" t="s">
        <v>699</v>
      </c>
      <c r="O88" s="413" t="s">
        <v>77</v>
      </c>
      <c r="P88" s="413" t="s">
        <v>229</v>
      </c>
      <c r="Q88" s="413" t="s">
        <v>367</v>
      </c>
      <c r="R88" s="413" t="s">
        <v>700</v>
      </c>
      <c r="S88" s="413" t="s">
        <v>701</v>
      </c>
    </row>
    <row r="89" spans="13:19">
      <c r="M89" s="28" t="s">
        <v>697</v>
      </c>
      <c r="N89" s="28">
        <v>152.49012345679012</v>
      </c>
      <c r="O89" s="28">
        <v>4.207082690148412</v>
      </c>
      <c r="P89" s="28">
        <v>36.246048553757035</v>
      </c>
      <c r="Q89" s="28">
        <v>4.0990029137263698E-21</v>
      </c>
      <c r="R89" s="28">
        <v>143.76516797124611</v>
      </c>
      <c r="S89" s="28">
        <v>161.21507894233412</v>
      </c>
    </row>
    <row r="90" spans="13:19">
      <c r="M90" s="28" t="s">
        <v>990</v>
      </c>
      <c r="N90" s="28">
        <v>-4.9901234567901289</v>
      </c>
      <c r="O90" s="28">
        <v>5.7839506053059937</v>
      </c>
      <c r="P90" s="28">
        <v>-0.86275347030321536</v>
      </c>
      <c r="Q90" s="28">
        <v>0.39758081615311081</v>
      </c>
      <c r="R90" s="28">
        <v>-16.985302843221419</v>
      </c>
      <c r="S90" s="28">
        <v>7.0050559296411601</v>
      </c>
    </row>
    <row r="91" spans="13:19">
      <c r="M91" s="28" t="s">
        <v>1084</v>
      </c>
      <c r="N91" s="28">
        <v>4.8848765432098835</v>
      </c>
      <c r="O91" s="28">
        <v>6.1149586724145459</v>
      </c>
      <c r="P91" s="28">
        <v>0.79884048362358706</v>
      </c>
      <c r="Q91" s="28">
        <v>0.43292294119814867</v>
      </c>
      <c r="R91" s="28">
        <v>-7.7967715588567996</v>
      </c>
      <c r="S91" s="28">
        <v>17.566524645276566</v>
      </c>
    </row>
    <row r="92" spans="13:19">
      <c r="M92" s="28" t="s">
        <v>1085</v>
      </c>
      <c r="N92" s="28">
        <v>-9.0629629629629633</v>
      </c>
      <c r="O92" s="28">
        <v>5.7671122854277979</v>
      </c>
      <c r="P92" s="28">
        <v>-1.5714906376737354</v>
      </c>
      <c r="Q92" s="28">
        <v>0.13034096665888897</v>
      </c>
      <c r="R92" s="28">
        <v>-21.023221811290107</v>
      </c>
      <c r="S92" s="28">
        <v>2.8972958853641817</v>
      </c>
    </row>
    <row r="93" spans="13:19" ht="15" thickBot="1">
      <c r="M93" s="31" t="s">
        <v>1086</v>
      </c>
      <c r="N93" s="31">
        <v>17.421296296296298</v>
      </c>
      <c r="O93" s="31">
        <v>6.0990342738379937</v>
      </c>
      <c r="P93" s="31">
        <v>2.8564024260407122</v>
      </c>
      <c r="Q93" s="31">
        <v>9.1774119848700604E-3</v>
      </c>
      <c r="R93" s="31">
        <v>4.7726733755600961</v>
      </c>
      <c r="S93" s="31">
        <v>30.069919217032499</v>
      </c>
    </row>
    <row r="95" spans="13:19">
      <c r="M95" s="1" t="s">
        <v>1122</v>
      </c>
    </row>
    <row r="97" spans="13:18" ht="15" thickBot="1">
      <c r="M97" t="s">
        <v>695</v>
      </c>
    </row>
    <row r="98" spans="13:18">
      <c r="M98" s="413"/>
      <c r="N98" s="413" t="s">
        <v>1132</v>
      </c>
      <c r="O98" s="413" t="s">
        <v>1131</v>
      </c>
      <c r="P98" s="413" t="s">
        <v>686</v>
      </c>
      <c r="R98" s="413" t="s">
        <v>1123</v>
      </c>
    </row>
    <row r="99" spans="13:18">
      <c r="M99" t="s">
        <v>1124</v>
      </c>
      <c r="N99" s="28">
        <f>N13</f>
        <v>5</v>
      </c>
      <c r="O99" s="28">
        <f>O13</f>
        <v>4615.3740740740668</v>
      </c>
      <c r="P99" s="28">
        <f>N6</f>
        <v>0.31392673243382097</v>
      </c>
    </row>
    <row r="100" spans="13:18">
      <c r="M100" t="s">
        <v>1125</v>
      </c>
      <c r="N100" s="28">
        <f>N61</f>
        <v>3</v>
      </c>
      <c r="O100" s="28">
        <f>O61</f>
        <v>4174.9519666360575</v>
      </c>
      <c r="P100" s="8">
        <f>N54</f>
        <v>0.28397027151415666</v>
      </c>
    </row>
    <row r="101" spans="13:18">
      <c r="M101" t="s">
        <v>1126</v>
      </c>
      <c r="N101" s="8">
        <f>N84</f>
        <v>4</v>
      </c>
      <c r="O101" s="8">
        <f>O84</f>
        <v>4304.0777777777785</v>
      </c>
      <c r="P101" s="8">
        <f>N77</f>
        <v>0.29275310109936631</v>
      </c>
    </row>
    <row r="102" spans="13:18" ht="15" thickBot="1">
      <c r="M102" s="37" t="s">
        <v>1127</v>
      </c>
      <c r="N102" s="37">
        <f>N38</f>
        <v>3</v>
      </c>
      <c r="O102" s="37">
        <f>O38</f>
        <v>939.89742118150934</v>
      </c>
      <c r="P102" s="37">
        <f>N31</f>
        <v>6.3929580033809177E-2</v>
      </c>
      <c r="R102" s="37"/>
    </row>
    <row r="103" spans="13:18">
      <c r="M103" t="s">
        <v>526</v>
      </c>
      <c r="N103">
        <f>N99-N101</f>
        <v>1</v>
      </c>
      <c r="O103">
        <f>O99-O101</f>
        <v>311.29629629628835</v>
      </c>
      <c r="P103">
        <f>P99-P101</f>
        <v>2.1173631334454657E-2</v>
      </c>
      <c r="R103">
        <f>P103*O15</f>
        <v>311.29629629628818</v>
      </c>
    </row>
    <row r="104" spans="13:18">
      <c r="M104" t="s">
        <v>384</v>
      </c>
      <c r="N104">
        <f>N99-N100</f>
        <v>2</v>
      </c>
      <c r="O104">
        <f>O99-O100</f>
        <v>440.42210743800933</v>
      </c>
      <c r="P104">
        <f>P99-P100</f>
        <v>2.9956460919664307E-2</v>
      </c>
      <c r="R104">
        <f>P104*O15</f>
        <v>440.42210743800973</v>
      </c>
    </row>
    <row r="105" spans="13:18" ht="15" thickBot="1">
      <c r="M105" s="37" t="s">
        <v>1128</v>
      </c>
      <c r="N105" s="37">
        <f>N99-N102</f>
        <v>2</v>
      </c>
      <c r="O105" s="37">
        <f>O99-O102</f>
        <v>3675.4766528925575</v>
      </c>
      <c r="P105" s="37">
        <f>P99-P102</f>
        <v>0.2499971524000118</v>
      </c>
      <c r="R105" s="37">
        <f>P105*O15</f>
        <v>3675.4766528925579</v>
      </c>
    </row>
    <row r="108" spans="13:18">
      <c r="M108" s="1" t="s">
        <v>1129</v>
      </c>
    </row>
    <row r="110" spans="13:18" ht="15" thickBot="1">
      <c r="M110" t="s">
        <v>695</v>
      </c>
    </row>
    <row r="111" spans="13:18">
      <c r="M111" s="413" t="s">
        <v>887</v>
      </c>
      <c r="N111" s="413" t="s">
        <v>578</v>
      </c>
      <c r="O111" s="413" t="s">
        <v>186</v>
      </c>
      <c r="P111" s="413" t="s">
        <v>641</v>
      </c>
      <c r="Q111" s="413" t="s">
        <v>388</v>
      </c>
      <c r="R111" s="413" t="s">
        <v>367</v>
      </c>
    </row>
    <row r="112" spans="13:18">
      <c r="M112" s="28" t="s">
        <v>1130</v>
      </c>
      <c r="N112" s="28">
        <f>O103</f>
        <v>311.29629629628835</v>
      </c>
      <c r="O112" s="28">
        <f>N103</f>
        <v>1</v>
      </c>
      <c r="P112" s="28">
        <f>N112/O112</f>
        <v>311.29629629628835</v>
      </c>
      <c r="Q112" s="28">
        <f>P112/P115</f>
        <v>0.64810316775774557</v>
      </c>
      <c r="R112" s="28">
        <f>FDIST(Q112,O112,O115)</f>
        <v>0.42981280716327275</v>
      </c>
    </row>
    <row r="113" spans="13:18">
      <c r="M113" s="28" t="s">
        <v>1027</v>
      </c>
      <c r="N113" s="28">
        <f>O104</f>
        <v>440.42210743800933</v>
      </c>
      <c r="O113" s="28">
        <f>N104</f>
        <v>2</v>
      </c>
      <c r="P113" s="28">
        <f>N113/O113</f>
        <v>220.21105371900467</v>
      </c>
      <c r="Q113" s="28">
        <f>P113/P115</f>
        <v>0.45846829271209577</v>
      </c>
      <c r="R113" s="28">
        <f>FDIST(Q113,O113,O115)</f>
        <v>0.63843128233853208</v>
      </c>
    </row>
    <row r="114" spans="13:18">
      <c r="M114" s="28" t="s">
        <v>838</v>
      </c>
      <c r="N114" s="28">
        <f>O105</f>
        <v>3675.4766528925575</v>
      </c>
      <c r="O114" s="28">
        <f>N105</f>
        <v>2</v>
      </c>
      <c r="P114" s="28">
        <f>N114/O114</f>
        <v>1837.7383264462787</v>
      </c>
      <c r="Q114" s="28">
        <f>P114/P115</f>
        <v>3.8260783859311607</v>
      </c>
      <c r="R114" s="28">
        <f>FDIST(Q114,O114,O115)</f>
        <v>3.8295764848006966E-2</v>
      </c>
    </row>
    <row r="115" spans="13:18">
      <c r="M115" s="28" t="s">
        <v>1021</v>
      </c>
      <c r="N115">
        <f>O14</f>
        <v>10086.700000000004</v>
      </c>
      <c r="O115" s="28">
        <f>N14</f>
        <v>21</v>
      </c>
      <c r="P115" s="28">
        <f>N115/O115</f>
        <v>480.31904761904781</v>
      </c>
      <c r="Q115" s="28"/>
      <c r="R115" s="28"/>
    </row>
    <row r="116" spans="13:18">
      <c r="M116" s="28"/>
      <c r="N116" s="28"/>
      <c r="O116" s="28"/>
      <c r="P116" s="28"/>
      <c r="Q116" s="28"/>
      <c r="R116" s="28"/>
    </row>
    <row r="117" spans="13:18" ht="15" thickBot="1">
      <c r="M117" s="31" t="s">
        <v>12</v>
      </c>
      <c r="N117" s="31">
        <f>O15</f>
        <v>14702.074074074071</v>
      </c>
      <c r="O117" s="31">
        <f>N15</f>
        <v>26</v>
      </c>
      <c r="P117" s="31"/>
      <c r="Q117" s="31"/>
      <c r="R117" s="31"/>
    </row>
    <row r="119" spans="13:18">
      <c r="M119" t="s">
        <v>1133</v>
      </c>
      <c r="N119">
        <f>SUM(N112:N115)</f>
        <v>14513.89505662686</v>
      </c>
    </row>
  </sheetData>
  <mergeCells count="1">
    <mergeCell ref="B3:D3"/>
  </mergeCells>
  <pageMargins left="0.7" right="0.7" top="0.75" bottom="0.75" header="0.3" footer="0.3"/>
  <ignoredErrors>
    <ignoredError sqref="G35:I36" formulaRange="1"/>
  </ignoredErrors>
</worksheet>
</file>

<file path=xl/worksheets/sheet227.xml><?xml version="1.0" encoding="utf-8"?>
<worksheet xmlns="http://schemas.openxmlformats.org/spreadsheetml/2006/main" xmlns:r="http://schemas.openxmlformats.org/officeDocument/2006/relationships">
  <sheetPr codeName="Sheet241"/>
  <dimension ref="A1:Z29"/>
  <sheetViews>
    <sheetView zoomScaleNormal="100" workbookViewId="0"/>
  </sheetViews>
  <sheetFormatPr defaultRowHeight="14.4"/>
  <sheetData>
    <row r="1" spans="1:26">
      <c r="A1" s="1" t="s">
        <v>2819</v>
      </c>
      <c r="F1" t="s">
        <v>2820</v>
      </c>
      <c r="J1" t="s">
        <v>95</v>
      </c>
      <c r="P1" t="s">
        <v>2823</v>
      </c>
      <c r="X1" t="s">
        <v>2824</v>
      </c>
    </row>
    <row r="3" spans="1:26" ht="15" thickBot="1">
      <c r="A3" s="12"/>
      <c r="B3" s="1563" t="s">
        <v>1022</v>
      </c>
      <c r="C3" s="1564"/>
      <c r="D3" s="1565"/>
      <c r="F3" s="1088" t="e">
        <f t="array" aca="1" ref="F3:H29" ca="1">[1]!Anova2Std(A4:D14, 5)</f>
        <v>#NAME?</v>
      </c>
      <c r="G3" s="1089" t="e">
        <f ca="1"/>
        <v>#NAME?</v>
      </c>
      <c r="H3" s="1090" t="e">
        <f ca="1"/>
        <v>#NAME?</v>
      </c>
      <c r="J3" t="s">
        <v>2821</v>
      </c>
      <c r="K3" t="str">
        <f ca="1">IF(COUNTIF(K5:M6,K5)=COUNT(K5:M6),"balanced","unbalanced")</f>
        <v>balanced</v>
      </c>
      <c r="P3" t="s">
        <v>695</v>
      </c>
      <c r="T3" s="1087" t="s">
        <v>116</v>
      </c>
      <c r="U3" s="1087">
        <v>0.05</v>
      </c>
      <c r="Y3" s="1092" t="str">
        <f>A5</f>
        <v>Blend X</v>
      </c>
      <c r="Z3" s="1092" t="str">
        <f>A10</f>
        <v>Blend Y</v>
      </c>
    </row>
    <row r="4" spans="1:26" ht="15" thickTop="1">
      <c r="A4" s="388" t="s">
        <v>1023</v>
      </c>
      <c r="B4" s="374" t="s">
        <v>1012</v>
      </c>
      <c r="C4" s="374" t="s">
        <v>1013</v>
      </c>
      <c r="D4" s="374" t="s">
        <v>1017</v>
      </c>
      <c r="F4" s="625" t="e">
        <f ca="1"/>
        <v>#NAME?</v>
      </c>
      <c r="G4" s="8" t="e">
        <f ca="1"/>
        <v>#NAME?</v>
      </c>
      <c r="H4" s="132" t="e">
        <f ca="1"/>
        <v>#NAME?</v>
      </c>
      <c r="K4" t="e">
        <f t="array" aca="1" ref="K4:M4" ca="1">TRANSPOSE([1]!SortUnique(G3:G29))</f>
        <v>#NAME?</v>
      </c>
      <c r="L4" t="e">
        <f ca="1"/>
        <v>#NAME?</v>
      </c>
      <c r="M4" t="e">
        <f ca="1"/>
        <v>#NAME?</v>
      </c>
      <c r="P4" s="1070"/>
      <c r="Q4" s="1070" t="s">
        <v>578</v>
      </c>
      <c r="R4" s="1070" t="s">
        <v>186</v>
      </c>
      <c r="S4" s="1070" t="s">
        <v>641</v>
      </c>
      <c r="T4" s="1070" t="s">
        <v>388</v>
      </c>
      <c r="U4" s="1070" t="s">
        <v>200</v>
      </c>
      <c r="V4" s="1070" t="s">
        <v>948</v>
      </c>
      <c r="X4" s="1091" t="str">
        <f>B4</f>
        <v>Corn</v>
      </c>
      <c r="Y4" s="1091">
        <f>IF(B5="","",B5)</f>
        <v>128</v>
      </c>
      <c r="Z4" s="1091">
        <f>IF(B10="","",B10)</f>
        <v>175</v>
      </c>
    </row>
    <row r="5" spans="1:26">
      <c r="A5" s="400" t="s">
        <v>1014</v>
      </c>
      <c r="B5" s="375">
        <v>128</v>
      </c>
      <c r="C5" s="375">
        <v>166</v>
      </c>
      <c r="D5" s="375">
        <v>151</v>
      </c>
      <c r="F5" s="625" t="e">
        <f ca="1"/>
        <v>#NAME?</v>
      </c>
      <c r="G5" s="8" t="e">
        <f ca="1"/>
        <v>#NAME?</v>
      </c>
      <c r="H5" s="132" t="e">
        <f ca="1"/>
        <v>#NAME?</v>
      </c>
      <c r="J5" t="e">
        <f t="array" aca="1" ref="J5:J6" ca="1">[1]!SortUnique(F3:F29)</f>
        <v>#NAME?</v>
      </c>
      <c r="K5" s="1088">
        <f t="array" ref="K5" ca="1">COUNTIFS($F$3:$F$29,$J5,$G$3:$G$29,K$4)</f>
        <v>27</v>
      </c>
      <c r="L5" s="1089">
        <f t="array" ref="L5" ca="1">COUNTIFS($F$3:$F$29,$J5,$G$3:$G$29,L$4)</f>
        <v>27</v>
      </c>
      <c r="M5" s="1090">
        <f t="array" ref="M5" ca="1">COUNTIFS($F$3:$F$29,$J5,$G$3:$G$29,M$4)</f>
        <v>27</v>
      </c>
      <c r="N5">
        <f t="array" ref="N5" ca="1">SUM(K5:M5)</f>
        <v>81</v>
      </c>
      <c r="P5" t="s">
        <v>390</v>
      </c>
      <c r="Q5" t="e">
        <f t="array" aca="1" ref="Q5:Q8" ca="1">[1]!SSAnova2(F3:H29)</f>
        <v>#NAME?</v>
      </c>
      <c r="R5">
        <f ca="1">COUNT(N11:N12)-1</f>
        <v>-1</v>
      </c>
      <c r="S5" t="e">
        <f ca="1">Q5/R5</f>
        <v>#NAME?</v>
      </c>
      <c r="T5" t="e">
        <f ca="1">S5/S8</f>
        <v>#NAME?</v>
      </c>
      <c r="U5" t="e">
        <f ca="1">FDIST(T5,R5,R8)</f>
        <v>#NAME?</v>
      </c>
      <c r="V5" s="1087" t="e">
        <f ca="1">IF(U5&lt;U3,"yes","no")</f>
        <v>#NAME?</v>
      </c>
      <c r="X5" s="946"/>
      <c r="Y5" s="946">
        <f>IF(B6="","",B6)</f>
        <v>150</v>
      </c>
      <c r="Z5" s="946">
        <f>IF(B11="","",B11)</f>
        <v>132</v>
      </c>
    </row>
    <row r="6" spans="1:26">
      <c r="A6" s="376"/>
      <c r="B6" s="376">
        <v>150</v>
      </c>
      <c r="C6" s="376">
        <v>178</v>
      </c>
      <c r="D6" s="376">
        <v>125</v>
      </c>
      <c r="F6" s="625" t="e">
        <f ca="1"/>
        <v>#NAME?</v>
      </c>
      <c r="G6" s="8" t="e">
        <f ca="1"/>
        <v>#NAME?</v>
      </c>
      <c r="H6" s="132" t="e">
        <f ca="1"/>
        <v>#NAME?</v>
      </c>
      <c r="J6" t="e">
        <f ca="1"/>
        <v>#NAME?</v>
      </c>
      <c r="K6" s="1075">
        <f t="array" ref="K6" ca="1">COUNTIFS($F$3:$F$29,$J6,$G$3:$G$29,K$4)</f>
        <v>27</v>
      </c>
      <c r="L6" s="1076">
        <f t="array" ref="L6" ca="1">COUNTIFS($F$3:$F$29,$J6,$G$3:$G$29,L$4)</f>
        <v>27</v>
      </c>
      <c r="M6" s="1077">
        <f t="array" ref="M6" ca="1">COUNTIFS($F$3:$F$29,$J6,$G$3:$G$29,M$4)</f>
        <v>27</v>
      </c>
      <c r="N6">
        <f t="array" ref="N6" ca="1">SUM(K6:M6)</f>
        <v>81</v>
      </c>
      <c r="P6" t="s">
        <v>1010</v>
      </c>
      <c r="Q6" t="e">
        <f ca="1"/>
        <v>#NAME?</v>
      </c>
      <c r="R6">
        <f ca="1">COUNT(K13:M13)-1</f>
        <v>-1</v>
      </c>
      <c r="S6" t="e">
        <f ca="1">Q6/R6</f>
        <v>#NAME?</v>
      </c>
      <c r="T6" t="e">
        <f ca="1">S6/S8</f>
        <v>#NAME?</v>
      </c>
      <c r="U6" t="e">
        <f ca="1">FDIST(T6,R6,R8)</f>
        <v>#NAME?</v>
      </c>
      <c r="V6" s="1087" t="e">
        <f ca="1">IF(U6&lt;U3,"yes","no")</f>
        <v>#NAME?</v>
      </c>
      <c r="X6" s="946"/>
      <c r="Y6" s="946">
        <f>IF(B7="","",B7)</f>
        <v>174</v>
      </c>
      <c r="Z6" s="946">
        <f>IF(B12="","",B12)</f>
        <v>120</v>
      </c>
    </row>
    <row r="7" spans="1:26">
      <c r="A7" s="376"/>
      <c r="B7" s="376">
        <v>174</v>
      </c>
      <c r="C7" s="376">
        <v>187</v>
      </c>
      <c r="D7" s="376">
        <v>117</v>
      </c>
      <c r="F7" s="625" t="e">
        <f ca="1"/>
        <v>#NAME?</v>
      </c>
      <c r="G7" s="8" t="e">
        <f ca="1"/>
        <v>#NAME?</v>
      </c>
      <c r="H7" s="132" t="e">
        <f ca="1"/>
        <v>#NAME?</v>
      </c>
      <c r="K7">
        <f t="array" ref="K7" ca="1">SUM(K5:K6)</f>
        <v>54</v>
      </c>
      <c r="L7">
        <f t="array" ref="L7" ca="1">SUM(L5:L6)</f>
        <v>54</v>
      </c>
      <c r="M7">
        <f t="array" ref="M7" ca="1">SUM(M5:M6)</f>
        <v>54</v>
      </c>
      <c r="N7">
        <f t="array" ref="N7" ca="1">SUM(N5:N6)</f>
        <v>162</v>
      </c>
      <c r="P7" t="s">
        <v>2089</v>
      </c>
      <c r="Q7" t="e">
        <f ca="1"/>
        <v>#NAME?</v>
      </c>
      <c r="R7">
        <f ca="1">R6*R5</f>
        <v>1</v>
      </c>
      <c r="S7" t="e">
        <f ca="1">Q7/R7</f>
        <v>#NAME?</v>
      </c>
      <c r="T7" t="e">
        <f ca="1">S7/S8</f>
        <v>#NAME?</v>
      </c>
      <c r="U7" t="e">
        <f ca="1">FDIST(T7,R7,R8)</f>
        <v>#NAME?</v>
      </c>
      <c r="V7" s="1087" t="e">
        <f ca="1">IF(U7&lt;U3,"yes","no")</f>
        <v>#NAME?</v>
      </c>
      <c r="X7" s="946"/>
      <c r="Y7" s="946">
        <f>IF(B8="","",B8)</f>
        <v>116</v>
      </c>
      <c r="Z7" s="946">
        <f>IF(B13="","",B13)</f>
        <v>187</v>
      </c>
    </row>
    <row r="8" spans="1:26">
      <c r="A8" s="376"/>
      <c r="B8" s="376">
        <v>116</v>
      </c>
      <c r="C8" s="376">
        <v>153</v>
      </c>
      <c r="D8" s="376">
        <v>155</v>
      </c>
      <c r="F8" s="625" t="e">
        <f ca="1"/>
        <v>#NAME?</v>
      </c>
      <c r="G8" s="8" t="e">
        <f ca="1"/>
        <v>#NAME?</v>
      </c>
      <c r="H8" s="132" t="e">
        <f ca="1"/>
        <v>#NAME?</v>
      </c>
      <c r="P8" t="s">
        <v>1021</v>
      </c>
      <c r="Q8" t="e">
        <f ca="1"/>
        <v>#NAME?</v>
      </c>
      <c r="R8">
        <f ca="1">R9-R5-R6-R7</f>
        <v>162</v>
      </c>
      <c r="S8" t="e">
        <f ca="1">Q8/R8</f>
        <v>#NAME?</v>
      </c>
      <c r="X8" s="1073"/>
      <c r="Y8" s="1073">
        <f>IF(B9="","",B9)</f>
        <v>109</v>
      </c>
      <c r="Z8" s="1073">
        <f>IF(B14="","",B14)</f>
        <v>184</v>
      </c>
    </row>
    <row r="9" spans="1:26">
      <c r="A9" s="376"/>
      <c r="B9" s="41">
        <v>109</v>
      </c>
      <c r="C9" s="41"/>
      <c r="D9" s="41">
        <v>158</v>
      </c>
      <c r="F9" s="625" t="e">
        <f ca="1"/>
        <v>#NAME?</v>
      </c>
      <c r="G9" s="8" t="e">
        <f ca="1"/>
        <v>#NAME?</v>
      </c>
      <c r="H9" s="132" t="e">
        <f ca="1"/>
        <v>#NAME?</v>
      </c>
      <c r="J9" t="s">
        <v>1031</v>
      </c>
      <c r="P9" s="1078" t="s">
        <v>12</v>
      </c>
      <c r="Q9" s="1078" t="e">
        <f ca="1">S9*R9</f>
        <v>#NAME?</v>
      </c>
      <c r="R9" s="1078">
        <f ca="1">N7-1</f>
        <v>161</v>
      </c>
      <c r="S9" s="1078" t="e">
        <f ca="1">N19</f>
        <v>#NAME?</v>
      </c>
      <c r="T9" s="1078"/>
      <c r="U9" s="1078"/>
      <c r="V9" s="1078"/>
      <c r="X9" s="1091" t="str">
        <f>C4</f>
        <v>Soy</v>
      </c>
      <c r="Y9" s="1091">
        <f>IF(C5="","",C5)</f>
        <v>166</v>
      </c>
      <c r="Z9" s="1091">
        <f>IF(C10="","",C10)</f>
        <v>140</v>
      </c>
    </row>
    <row r="10" spans="1:26">
      <c r="A10" s="400" t="s">
        <v>1015</v>
      </c>
      <c r="B10" s="375">
        <v>175</v>
      </c>
      <c r="C10" s="375">
        <v>140</v>
      </c>
      <c r="D10" s="375">
        <v>167</v>
      </c>
      <c r="F10" s="625" t="e">
        <f ca="1"/>
        <v>#NAME?</v>
      </c>
      <c r="G10" s="8" t="e">
        <f ca="1"/>
        <v>#NAME?</v>
      </c>
      <c r="H10" s="132" t="e">
        <f ca="1"/>
        <v>#NAME?</v>
      </c>
      <c r="K10" t="e">
        <f t="array" aca="1" ref="K10:M10" ca="1">TRANSPOSE([1]!SortUnique(G3:G29))</f>
        <v>#NAME?</v>
      </c>
      <c r="L10" t="e">
        <f ca="1"/>
        <v>#NAME?</v>
      </c>
      <c r="M10" t="e">
        <f ca="1"/>
        <v>#NAME?</v>
      </c>
      <c r="X10" s="946"/>
      <c r="Y10" s="946">
        <f>IF(C6="","",C6)</f>
        <v>178</v>
      </c>
      <c r="Z10" s="946">
        <f>IF(C11="","",C11)</f>
        <v>145</v>
      </c>
    </row>
    <row r="11" spans="1:26">
      <c r="A11" s="376"/>
      <c r="B11" s="376">
        <v>132</v>
      </c>
      <c r="C11" s="376">
        <v>145</v>
      </c>
      <c r="D11" s="376">
        <v>183</v>
      </c>
      <c r="F11" s="625" t="e">
        <f ca="1"/>
        <v>#NAME?</v>
      </c>
      <c r="G11" s="8" t="e">
        <f ca="1"/>
        <v>#NAME?</v>
      </c>
      <c r="H11" s="132" t="e">
        <f ca="1"/>
        <v>#NAME?</v>
      </c>
      <c r="J11" t="e">
        <f t="array" aca="1" ref="J11:J12" ca="1">[1]!SortUnique(F3:F29)</f>
        <v>#NAME?</v>
      </c>
      <c r="K11" s="1088" t="e">
        <f t="array" ref="K11" ca="1">AVERAGEIFS($H$3:$H$29,$F$3:$F$29,$J11,$G$3:$G$29,K$10)</f>
        <v>#NAME?</v>
      </c>
      <c r="L11" s="1089" t="e">
        <f t="array" ref="L11" ca="1">AVERAGEIFS($H$3:$H$29,$F$3:$F$29,$J11,$G$3:$G$29,L$10)</f>
        <v>#NAME?</v>
      </c>
      <c r="M11" s="1090" t="e">
        <f t="array" ref="M11" ca="1">AVERAGEIFS($H$3:$H$29,$F$3:$F$29,$J11,$G$3:$G$29,M$10)</f>
        <v>#NAME?</v>
      </c>
      <c r="N11" t="e">
        <f t="array" ref="N11" ca="1">AVERAGE(K11:M11)</f>
        <v>#NAME?</v>
      </c>
      <c r="X11" s="946"/>
      <c r="Y11" s="946">
        <f>IF(C7="","",C7)</f>
        <v>187</v>
      </c>
      <c r="Z11" s="946">
        <f>IF(C12="","",C12)</f>
        <v>159</v>
      </c>
    </row>
    <row r="12" spans="1:26">
      <c r="A12" s="376"/>
      <c r="B12" s="376">
        <v>120</v>
      </c>
      <c r="C12" s="376">
        <v>159</v>
      </c>
      <c r="D12" s="376">
        <v>142</v>
      </c>
      <c r="F12" s="625" t="e">
        <f ca="1"/>
        <v>#NAME?</v>
      </c>
      <c r="G12" s="8" t="e">
        <f ca="1"/>
        <v>#NAME?</v>
      </c>
      <c r="H12" s="132" t="e">
        <f ca="1"/>
        <v>#NAME?</v>
      </c>
      <c r="J12" t="e">
        <f ca="1"/>
        <v>#NAME?</v>
      </c>
      <c r="K12" s="1075" t="e">
        <f t="array" ref="K12" ca="1">AVERAGEIFS($H$3:$H$29,$F$3:$F$29,$J12,$G$3:$G$29,K$10)</f>
        <v>#NAME?</v>
      </c>
      <c r="L12" s="1076" t="e">
        <f t="array" ref="L12" ca="1">AVERAGEIFS($H$3:$H$29,$F$3:$F$29,$J12,$G$3:$G$29,L$10)</f>
        <v>#NAME?</v>
      </c>
      <c r="M12" s="1077" t="e">
        <f t="array" ref="M12" ca="1">AVERAGEIFS($H$3:$H$29,$F$3:$F$29,$J12,$G$3:$G$29,M$10)</f>
        <v>#NAME?</v>
      </c>
      <c r="N12" t="e">
        <f t="array" ref="N12" ca="1">AVERAGE(K12:M12)</f>
        <v>#NAME?</v>
      </c>
      <c r="X12" s="946"/>
      <c r="Y12" s="946">
        <f>IF(C8="","",C8)</f>
        <v>153</v>
      </c>
      <c r="Z12" s="946">
        <f>IF(C13="","",C13)</f>
        <v>131</v>
      </c>
    </row>
    <row r="13" spans="1:26">
      <c r="A13" s="376"/>
      <c r="B13" s="376">
        <v>187</v>
      </c>
      <c r="C13" s="376">
        <v>131</v>
      </c>
      <c r="D13" s="376">
        <v>167</v>
      </c>
      <c r="F13" s="625" t="e">
        <f ca="1"/>
        <v>#NAME?</v>
      </c>
      <c r="G13" s="8" t="e">
        <f ca="1"/>
        <v>#NAME?</v>
      </c>
      <c r="H13" s="132" t="e">
        <f ca="1"/>
        <v>#NAME?</v>
      </c>
      <c r="K13" t="e">
        <f t="array" ref="K13" ca="1">AVERAGE(K11:K12)</f>
        <v>#NAME?</v>
      </c>
      <c r="L13" t="e">
        <f t="array" ref="L13" ca="1">AVERAGE(L11:L12)</f>
        <v>#NAME?</v>
      </c>
      <c r="M13" t="e">
        <f t="array" ref="M13" ca="1">AVERAGE(M11:M12)</f>
        <v>#NAME?</v>
      </c>
      <c r="N13" t="e">
        <f t="array" ref="N13" ca="1">AVERAGE(N11:N12)</f>
        <v>#NAME?</v>
      </c>
      <c r="X13" s="1073"/>
      <c r="Y13" s="1073" t="str">
        <f>IF(C9="","",C9)</f>
        <v/>
      </c>
      <c r="Z13" s="1073" t="str">
        <f>IF(C14="","",C14)</f>
        <v/>
      </c>
    </row>
    <row r="14" spans="1:26">
      <c r="A14" s="268"/>
      <c r="B14" s="41">
        <v>184</v>
      </c>
      <c r="C14" s="41"/>
      <c r="D14" s="41"/>
      <c r="F14" s="625" t="e">
        <f ca="1"/>
        <v>#NAME?</v>
      </c>
      <c r="G14" s="8" t="e">
        <f ca="1"/>
        <v>#NAME?</v>
      </c>
      <c r="H14" s="132" t="e">
        <f ca="1"/>
        <v>#NAME?</v>
      </c>
      <c r="X14" s="1091" t="str">
        <f>D4</f>
        <v>Rice</v>
      </c>
      <c r="Y14" s="1091">
        <f>IF(D5="","",D5)</f>
        <v>151</v>
      </c>
      <c r="Z14" s="1091">
        <f>IF(D10="","",D10)</f>
        <v>167</v>
      </c>
    </row>
    <row r="15" spans="1:26">
      <c r="F15" s="625" t="e">
        <f ca="1"/>
        <v>#NAME?</v>
      </c>
      <c r="G15" s="8" t="e">
        <f ca="1"/>
        <v>#NAME?</v>
      </c>
      <c r="H15" s="132" t="e">
        <f ca="1"/>
        <v>#NAME?</v>
      </c>
      <c r="J15" t="s">
        <v>2822</v>
      </c>
      <c r="X15" s="946"/>
      <c r="Y15" s="946">
        <f>IF(D6="","",D6)</f>
        <v>125</v>
      </c>
      <c r="Z15" s="946">
        <f>IF(D11="","",D11)</f>
        <v>183</v>
      </c>
    </row>
    <row r="16" spans="1:26">
      <c r="F16" s="625" t="e">
        <f ca="1"/>
        <v>#NAME?</v>
      </c>
      <c r="G16" s="8" t="e">
        <f ca="1"/>
        <v>#NAME?</v>
      </c>
      <c r="H16" s="132" t="e">
        <f ca="1"/>
        <v>#NAME?</v>
      </c>
      <c r="K16" t="e">
        <f t="array" aca="1" ref="K16:M16" ca="1">TRANSPOSE([1]!SortUnique(G3:G29))</f>
        <v>#NAME?</v>
      </c>
      <c r="L16" t="e">
        <f ca="1"/>
        <v>#NAME?</v>
      </c>
      <c r="M16" t="e">
        <f ca="1"/>
        <v>#NAME?</v>
      </c>
      <c r="X16" s="946"/>
      <c r="Y16" s="946">
        <f>IF(D7="","",D7)</f>
        <v>117</v>
      </c>
      <c r="Z16" s="946">
        <f>IF(D12="","",D12)</f>
        <v>142</v>
      </c>
    </row>
    <row r="17" spans="6:26">
      <c r="F17" s="625" t="e">
        <f ca="1"/>
        <v>#NAME?</v>
      </c>
      <c r="G17" s="8" t="e">
        <f ca="1"/>
        <v>#NAME?</v>
      </c>
      <c r="H17" s="132" t="e">
        <f ca="1"/>
        <v>#NAME?</v>
      </c>
      <c r="J17" t="e">
        <f t="array" aca="1" ref="J17:J18" ca="1">[1]!SortUnique(F3:F29)</f>
        <v>#NAME?</v>
      </c>
      <c r="K17" s="1088" t="e">
        <f t="array" aca="1" ref="K17" ca="1">VAR(IF(($F$3:$F$29=$J17)*($G$3:$G$29=K$16),$H$3:$H$29))</f>
        <v>#NAME?</v>
      </c>
      <c r="L17" s="1089" t="e">
        <f t="array" aca="1" ref="L17" ca="1">VAR(IF(($F$3:$F$29=$J17)*($G$3:$G$29=L$16),$H$3:$H$29))</f>
        <v>#NAME?</v>
      </c>
      <c r="M17" s="1090" t="e">
        <f t="array" aca="1" ref="M17" ca="1">VAR(IF(($F$3:$F$29=$J17)*($G$3:$G$29=M$16),$H$3:$H$29))</f>
        <v>#NAME?</v>
      </c>
      <c r="N17" t="e">
        <f t="array" aca="1" ref="N17" ca="1">VAR(IF($F$3:$F$29=$J17,$H$3:$H$29))</f>
        <v>#NAME?</v>
      </c>
      <c r="X17" s="946"/>
      <c r="Y17" s="946">
        <f>IF(D8="","",D8)</f>
        <v>155</v>
      </c>
      <c r="Z17" s="946">
        <f>IF(D13="","",D13)</f>
        <v>167</v>
      </c>
    </row>
    <row r="18" spans="6:26">
      <c r="F18" s="625" t="e">
        <f ca="1"/>
        <v>#NAME?</v>
      </c>
      <c r="G18" s="8" t="e">
        <f ca="1"/>
        <v>#NAME?</v>
      </c>
      <c r="H18" s="132" t="e">
        <f ca="1"/>
        <v>#NAME?</v>
      </c>
      <c r="J18" t="e">
        <f ca="1"/>
        <v>#NAME?</v>
      </c>
      <c r="K18" s="1075" t="e">
        <f t="array" aca="1" ref="K18" ca="1">VAR(IF(($F$3:$F$29=$J18)*($G$3:$G$29=K$16),$H$3:$H$29))</f>
        <v>#NAME?</v>
      </c>
      <c r="L18" s="1076" t="e">
        <f t="array" aca="1" ref="L18" ca="1">VAR(IF(($F$3:$F$29=$J18)*($G$3:$G$29=L$16),$H$3:$H$29))</f>
        <v>#NAME?</v>
      </c>
      <c r="M18" s="1077" t="e">
        <f t="array" aca="1" ref="M18" ca="1">VAR(IF(($F$3:$F$29=$J18)*($G$3:$G$29=M$16),$H$3:$H$29))</f>
        <v>#NAME?</v>
      </c>
      <c r="N18" t="e">
        <f t="array" aca="1" ref="N18" ca="1">VAR(IF($F$3:$F$29=$J18,$H$3:$H$29))</f>
        <v>#NAME?</v>
      </c>
      <c r="X18" s="1073"/>
      <c r="Y18" s="1073">
        <f>IF(D9="","",D9)</f>
        <v>158</v>
      </c>
      <c r="Z18" s="1073" t="str">
        <f>IF(D14="","",D14)</f>
        <v/>
      </c>
    </row>
    <row r="19" spans="6:26">
      <c r="F19" s="625" t="e">
        <f ca="1"/>
        <v>#NAME?</v>
      </c>
      <c r="G19" s="8" t="e">
        <f ca="1"/>
        <v>#NAME?</v>
      </c>
      <c r="H19" s="132" t="e">
        <f ca="1"/>
        <v>#NAME?</v>
      </c>
      <c r="K19" t="e">
        <f t="array" aca="1" ref="K19" ca="1">VAR(IF($G$3:$G$29=K$16,$H$3:$H$29))</f>
        <v>#NAME?</v>
      </c>
      <c r="L19" t="e">
        <f t="array" aca="1" ref="L19" ca="1">VAR(IF($G$3:$G$29=L$16,$H$3:$H$29))</f>
        <v>#NAME?</v>
      </c>
      <c r="M19" t="e">
        <f t="array" aca="1" ref="M19" ca="1">VAR(IF($G$3:$G$29=M$16,$H$3:$H$29))</f>
        <v>#NAME?</v>
      </c>
      <c r="N19" t="e">
        <f ca="1">VAR(H3:H29)</f>
        <v>#NAME?</v>
      </c>
    </row>
    <row r="20" spans="6:26">
      <c r="F20" s="625" t="e">
        <f ca="1"/>
        <v>#NAME?</v>
      </c>
      <c r="G20" s="8" t="e">
        <f ca="1"/>
        <v>#NAME?</v>
      </c>
      <c r="H20" s="132" t="e">
        <f ca="1"/>
        <v>#NAME?</v>
      </c>
    </row>
    <row r="21" spans="6:26">
      <c r="F21" s="625" t="e">
        <f ca="1"/>
        <v>#NAME?</v>
      </c>
      <c r="G21" s="8" t="e">
        <f ca="1"/>
        <v>#NAME?</v>
      </c>
      <c r="H21" s="132" t="e">
        <f ca="1"/>
        <v>#NAME?</v>
      </c>
    </row>
    <row r="22" spans="6:26">
      <c r="F22" s="625" t="e">
        <f ca="1"/>
        <v>#NAME?</v>
      </c>
      <c r="G22" s="8" t="e">
        <f ca="1"/>
        <v>#NAME?</v>
      </c>
      <c r="H22" s="132" t="e">
        <f ca="1"/>
        <v>#NAME?</v>
      </c>
    </row>
    <row r="23" spans="6:26">
      <c r="F23" s="625" t="e">
        <f ca="1"/>
        <v>#NAME?</v>
      </c>
      <c r="G23" s="8" t="e">
        <f ca="1"/>
        <v>#NAME?</v>
      </c>
      <c r="H23" s="132" t="e">
        <f ca="1"/>
        <v>#NAME?</v>
      </c>
    </row>
    <row r="24" spans="6:26">
      <c r="F24" s="625" t="e">
        <f ca="1"/>
        <v>#NAME?</v>
      </c>
      <c r="G24" s="8" t="e">
        <f ca="1"/>
        <v>#NAME?</v>
      </c>
      <c r="H24" s="132" t="e">
        <f ca="1"/>
        <v>#NAME?</v>
      </c>
    </row>
    <row r="25" spans="6:26">
      <c r="F25" s="625" t="e">
        <f ca="1"/>
        <v>#NAME?</v>
      </c>
      <c r="G25" s="8" t="e">
        <f ca="1"/>
        <v>#NAME?</v>
      </c>
      <c r="H25" s="132" t="e">
        <f ca="1"/>
        <v>#NAME?</v>
      </c>
    </row>
    <row r="26" spans="6:26">
      <c r="F26" s="625" t="e">
        <f ca="1"/>
        <v>#NAME?</v>
      </c>
      <c r="G26" s="8" t="e">
        <f ca="1"/>
        <v>#NAME?</v>
      </c>
      <c r="H26" s="132" t="e">
        <f ca="1"/>
        <v>#NAME?</v>
      </c>
    </row>
    <row r="27" spans="6:26">
      <c r="F27" s="625" t="e">
        <f ca="1"/>
        <v>#NAME?</v>
      </c>
      <c r="G27" s="8" t="e">
        <f ca="1"/>
        <v>#NAME?</v>
      </c>
      <c r="H27" s="132" t="e">
        <f ca="1"/>
        <v>#NAME?</v>
      </c>
    </row>
    <row r="28" spans="6:26">
      <c r="F28" s="625" t="e">
        <f ca="1"/>
        <v>#NAME?</v>
      </c>
      <c r="G28" s="8" t="e">
        <f ca="1"/>
        <v>#NAME?</v>
      </c>
      <c r="H28" s="132" t="e">
        <f ca="1"/>
        <v>#NAME?</v>
      </c>
    </row>
    <row r="29" spans="6:26">
      <c r="F29" s="1075" t="e">
        <f ca="1"/>
        <v>#NAME?</v>
      </c>
      <c r="G29" s="1076" t="e">
        <f ca="1"/>
        <v>#NAME?</v>
      </c>
      <c r="H29" s="1077" t="e">
        <f ca="1"/>
        <v>#NAME?</v>
      </c>
    </row>
  </sheetData>
  <mergeCells count="1">
    <mergeCell ref="B3:D3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sheetPr codeName="Sheet264"/>
  <dimension ref="A1:CB98"/>
  <sheetViews>
    <sheetView zoomScale="95" zoomScaleNormal="95" workbookViewId="0"/>
  </sheetViews>
  <sheetFormatPr defaultRowHeight="14.4"/>
  <cols>
    <col min="4" max="15" width="4.44140625" customWidth="1"/>
    <col min="46" max="48" width="8.109375" customWidth="1"/>
    <col min="49" max="60" width="4.109375" customWidth="1"/>
    <col min="61" max="61" width="8.44140625" customWidth="1"/>
    <col min="62" max="64" width="6.6640625" customWidth="1"/>
    <col min="65" max="65" width="3.6640625" customWidth="1"/>
    <col min="66" max="66" width="5.6640625" customWidth="1"/>
    <col min="67" max="69" width="6.6640625" customWidth="1"/>
    <col min="70" max="70" width="3.6640625" customWidth="1"/>
    <col min="71" max="71" width="5.6640625" customWidth="1"/>
    <col min="72" max="74" width="6.6640625" customWidth="1"/>
    <col min="75" max="75" width="3.6640625" customWidth="1"/>
    <col min="76" max="76" width="5.6640625" customWidth="1"/>
    <col min="77" max="79" width="6.6640625" customWidth="1"/>
    <col min="80" max="80" width="3.6640625" customWidth="1"/>
  </cols>
  <sheetData>
    <row r="1" spans="1:80">
      <c r="A1" s="1" t="s">
        <v>2871</v>
      </c>
      <c r="Q1" t="s">
        <v>2852</v>
      </c>
      <c r="V1" t="s">
        <v>95</v>
      </c>
      <c r="AB1" t="s">
        <v>2853</v>
      </c>
      <c r="AT1" t="s">
        <v>2872</v>
      </c>
      <c r="BJ1" t="s">
        <v>2852</v>
      </c>
    </row>
    <row r="3" spans="1:80" ht="15" thickBot="1">
      <c r="A3" s="387" t="s">
        <v>1041</v>
      </c>
      <c r="B3" s="388" t="s">
        <v>1074</v>
      </c>
      <c r="C3" s="389" t="s">
        <v>1078</v>
      </c>
      <c r="D3" s="1563" t="s">
        <v>1042</v>
      </c>
      <c r="E3" s="1564"/>
      <c r="F3" s="1564"/>
      <c r="G3" s="1564"/>
      <c r="H3" s="1564"/>
      <c r="I3" s="1564"/>
      <c r="J3" s="1564"/>
      <c r="K3" s="1564"/>
      <c r="L3" s="1564"/>
      <c r="M3" s="1564"/>
      <c r="N3" s="1564"/>
      <c r="O3" s="1565"/>
      <c r="Q3" s="1104" t="e">
        <f t="array" aca="1" ref="Q3:T98" ca="1">[1]!Anova3Cols(A4:O11)</f>
        <v>#NAME?</v>
      </c>
      <c r="R3" s="1105" t="e">
        <f ca="1"/>
        <v>#NAME?</v>
      </c>
      <c r="S3" s="1105" t="e">
        <f ca="1"/>
        <v>#NAME?</v>
      </c>
      <c r="T3" s="1106" t="e">
        <f ca="1"/>
        <v>#NAME?</v>
      </c>
      <c r="Y3" s="19" t="s">
        <v>88</v>
      </c>
      <c r="Z3" s="19" t="s">
        <v>76</v>
      </c>
      <c r="AB3" t="s">
        <v>695</v>
      </c>
      <c r="AF3" s="1094" t="s">
        <v>116</v>
      </c>
      <c r="AG3" s="1094">
        <v>0.05</v>
      </c>
      <c r="AT3" s="387" t="s">
        <v>1041</v>
      </c>
      <c r="AU3" s="388" t="s">
        <v>1074</v>
      </c>
      <c r="AV3" s="389" t="s">
        <v>1078</v>
      </c>
      <c r="AW3" s="1579" t="s">
        <v>1042</v>
      </c>
      <c r="AX3" s="1580"/>
      <c r="AY3" s="1580"/>
      <c r="AZ3" s="1580"/>
      <c r="BA3" s="1580"/>
      <c r="BB3" s="1580"/>
      <c r="BC3" s="1580"/>
      <c r="BD3" s="1580"/>
      <c r="BE3" s="1580"/>
      <c r="BF3" s="1580"/>
      <c r="BG3" s="1580"/>
      <c r="BH3" s="1581"/>
      <c r="BJ3" s="1104" t="s">
        <v>383</v>
      </c>
      <c r="BK3" s="1105" t="s">
        <v>1075</v>
      </c>
      <c r="BL3" s="1105" t="s">
        <v>1079</v>
      </c>
      <c r="BM3" s="1106">
        <v>23</v>
      </c>
      <c r="BO3" s="625" t="s">
        <v>383</v>
      </c>
      <c r="BP3" s="8" t="s">
        <v>1076</v>
      </c>
      <c r="BQ3" s="8" t="s">
        <v>1079</v>
      </c>
      <c r="BR3" s="132">
        <v>16</v>
      </c>
      <c r="BT3" s="625" t="s">
        <v>342</v>
      </c>
      <c r="BU3" s="8" t="s">
        <v>1075</v>
      </c>
      <c r="BV3" s="8" t="s">
        <v>1079</v>
      </c>
      <c r="BW3" s="132">
        <v>19</v>
      </c>
      <c r="BY3" s="625" t="s">
        <v>342</v>
      </c>
      <c r="BZ3" s="8" t="s">
        <v>1076</v>
      </c>
      <c r="CA3" s="8" t="s">
        <v>1079</v>
      </c>
      <c r="CB3" s="132">
        <v>28</v>
      </c>
    </row>
    <row r="4" spans="1:80" ht="15" thickTop="1">
      <c r="A4" s="377" t="s">
        <v>383</v>
      </c>
      <c r="B4" s="376" t="s">
        <v>1075</v>
      </c>
      <c r="C4" s="9" t="s">
        <v>1079</v>
      </c>
      <c r="D4" s="391">
        <v>23</v>
      </c>
      <c r="E4" s="391">
        <v>18</v>
      </c>
      <c r="F4" s="391">
        <v>26</v>
      </c>
      <c r="G4" s="391">
        <v>32</v>
      </c>
      <c r="H4" s="391">
        <v>13</v>
      </c>
      <c r="I4" s="391">
        <v>31</v>
      </c>
      <c r="J4" s="391">
        <v>26</v>
      </c>
      <c r="K4" s="391">
        <v>34</v>
      </c>
      <c r="L4" s="391">
        <v>17</v>
      </c>
      <c r="M4" s="391">
        <v>23</v>
      </c>
      <c r="N4" s="391">
        <v>28</v>
      </c>
      <c r="O4" s="392">
        <v>26</v>
      </c>
      <c r="Q4" s="625" t="e">
        <f ca="1"/>
        <v>#NAME?</v>
      </c>
      <c r="R4" s="8" t="e">
        <f ca="1"/>
        <v>#NAME?</v>
      </c>
      <c r="S4" s="8" t="e">
        <f ca="1"/>
        <v>#NAME?</v>
      </c>
      <c r="T4" s="132" t="e">
        <f ca="1"/>
        <v>#NAME?</v>
      </c>
      <c r="V4" s="1104" t="e">
        <f t="array" aca="1" ref="V4:V5" ca="1">[1]!SortUnique(Q3:Q98)</f>
        <v>#NAME?</v>
      </c>
      <c r="W4" s="1105"/>
      <c r="X4" s="1106"/>
      <c r="Y4" s="1104">
        <f ca="1">SUMIF($V$22:$V$29,V4,$Y$22:$Y$29)</f>
        <v>768</v>
      </c>
      <c r="Z4" s="1106" t="e">
        <f ca="1">IF(Y4=0,"",AVERAGEIF($V$22:$V$29,V4,$Z$22:$Z$29))</f>
        <v>#NAME?</v>
      </c>
      <c r="AB4" s="1070"/>
      <c r="AC4" s="1070" t="s">
        <v>578</v>
      </c>
      <c r="AD4" s="1070" t="s">
        <v>186</v>
      </c>
      <c r="AE4" s="1070" t="s">
        <v>641</v>
      </c>
      <c r="AF4" s="1070" t="s">
        <v>388</v>
      </c>
      <c r="AG4" s="1070" t="s">
        <v>200</v>
      </c>
      <c r="AH4" s="1070" t="s">
        <v>948</v>
      </c>
      <c r="AI4" s="310"/>
      <c r="AJ4" s="310"/>
      <c r="AK4" s="310"/>
      <c r="AL4" s="310"/>
      <c r="AM4" s="310"/>
      <c r="AN4" s="310"/>
      <c r="AO4" s="310"/>
      <c r="AP4" s="310"/>
      <c r="AQ4" s="310"/>
      <c r="AR4" s="310"/>
      <c r="AS4" s="310"/>
      <c r="AT4" s="377" t="s">
        <v>383</v>
      </c>
      <c r="AU4" s="376" t="s">
        <v>1075</v>
      </c>
      <c r="AV4" s="9" t="s">
        <v>1079</v>
      </c>
      <c r="AW4" s="391">
        <v>23</v>
      </c>
      <c r="AX4" s="391">
        <v>18</v>
      </c>
      <c r="AY4" s="391">
        <v>26</v>
      </c>
      <c r="AZ4" s="391">
        <v>32</v>
      </c>
      <c r="BA4" s="391">
        <v>13</v>
      </c>
      <c r="BB4" s="391">
        <v>31</v>
      </c>
      <c r="BC4" s="391">
        <v>26</v>
      </c>
      <c r="BD4" s="391">
        <v>34</v>
      </c>
      <c r="BE4" s="391">
        <v>17</v>
      </c>
      <c r="BF4" s="391">
        <v>23</v>
      </c>
      <c r="BG4" s="391">
        <v>28</v>
      </c>
      <c r="BH4" s="392">
        <v>26</v>
      </c>
      <c r="BJ4" s="625" t="s">
        <v>383</v>
      </c>
      <c r="BK4" s="8" t="s">
        <v>1075</v>
      </c>
      <c r="BL4" s="8" t="s">
        <v>1079</v>
      </c>
      <c r="BM4" s="132">
        <v>18</v>
      </c>
      <c r="BO4" s="625" t="s">
        <v>383</v>
      </c>
      <c r="BP4" s="8" t="s">
        <v>1076</v>
      </c>
      <c r="BQ4" s="8" t="s">
        <v>1079</v>
      </c>
      <c r="BR4" s="132">
        <v>31</v>
      </c>
      <c r="BT4" s="625" t="s">
        <v>342</v>
      </c>
      <c r="BU4" s="8" t="s">
        <v>1075</v>
      </c>
      <c r="BV4" s="8" t="s">
        <v>1079</v>
      </c>
      <c r="BW4" s="132">
        <v>28</v>
      </c>
      <c r="BY4" s="625" t="s">
        <v>342</v>
      </c>
      <c r="BZ4" s="8" t="s">
        <v>1076</v>
      </c>
      <c r="CA4" s="8" t="s">
        <v>1079</v>
      </c>
      <c r="CB4" s="132">
        <v>37</v>
      </c>
    </row>
    <row r="5" spans="1:80">
      <c r="A5" s="377" t="s">
        <v>383</v>
      </c>
      <c r="B5" s="376" t="s">
        <v>1075</v>
      </c>
      <c r="C5" s="9" t="s">
        <v>1080</v>
      </c>
      <c r="D5" s="8">
        <v>24</v>
      </c>
      <c r="E5" s="8">
        <v>25</v>
      </c>
      <c r="F5" s="8">
        <v>14</v>
      </c>
      <c r="G5" s="8">
        <v>17</v>
      </c>
      <c r="H5" s="8">
        <v>30</v>
      </c>
      <c r="I5" s="8">
        <v>18</v>
      </c>
      <c r="J5" s="8">
        <v>11</v>
      </c>
      <c r="K5" s="8">
        <v>16</v>
      </c>
      <c r="L5" s="8">
        <v>25</v>
      </c>
      <c r="M5" s="8">
        <v>18</v>
      </c>
      <c r="N5" s="8">
        <v>14</v>
      </c>
      <c r="O5" s="9">
        <v>25</v>
      </c>
      <c r="Q5" s="625" t="e">
        <f ca="1"/>
        <v>#NAME?</v>
      </c>
      <c r="R5" s="8" t="e">
        <f ca="1"/>
        <v>#NAME?</v>
      </c>
      <c r="S5" s="8" t="e">
        <f ca="1"/>
        <v>#NAME?</v>
      </c>
      <c r="T5" s="132" t="e">
        <f ca="1"/>
        <v>#NAME?</v>
      </c>
      <c r="V5" s="625" t="e">
        <f ca="1"/>
        <v>#NAME?</v>
      </c>
      <c r="W5" s="8"/>
      <c r="X5" s="132"/>
      <c r="Y5" s="625">
        <f ca="1">SUMIF($V$22:$V$29,V5,$Y$22:$Y$29)</f>
        <v>768</v>
      </c>
      <c r="Z5" s="132" t="e">
        <f ca="1">IF(Y5=0,"",AVERAGEIF($V$22:$V$29,V5,$Z$22:$Z$29))</f>
        <v>#NAME?</v>
      </c>
      <c r="AB5" t="s">
        <v>526</v>
      </c>
      <c r="AC5" t="e">
        <f t="array" aca="1" ref="AC5:AC12" ca="1">[1]!SSAnova3(Q3:T98)</f>
        <v>#NAME?</v>
      </c>
      <c r="AD5">
        <f ca="1">COUNT(Z4:Z5)-1</f>
        <v>-1</v>
      </c>
      <c r="AE5" t="e">
        <f t="shared" ref="AE5:AE13" ca="1" si="0">AC5/AD5</f>
        <v>#NAME?</v>
      </c>
      <c r="AF5" t="e">
        <f ca="1">AE5/AE12</f>
        <v>#NAME?</v>
      </c>
      <c r="AG5" t="e">
        <f ca="1">FDIST(AF5,AD5,AD12)</f>
        <v>#NAME?</v>
      </c>
      <c r="AH5" s="1094" t="e">
        <f ca="1">IF(AG5&lt;AG3,"yes","no")</f>
        <v>#NAME?</v>
      </c>
      <c r="AI5" s="1094"/>
      <c r="AJ5" s="1094"/>
      <c r="AK5" s="1094"/>
      <c r="AL5" s="1094"/>
      <c r="AM5" s="1094"/>
      <c r="AN5" s="1094"/>
      <c r="AO5" s="1094"/>
      <c r="AP5" s="1094"/>
      <c r="AQ5" s="1094"/>
      <c r="AR5" s="1094"/>
      <c r="AS5" s="1094"/>
      <c r="AT5" s="377" t="s">
        <v>383</v>
      </c>
      <c r="AU5" s="376" t="s">
        <v>1075</v>
      </c>
      <c r="AV5" s="9" t="s">
        <v>1080</v>
      </c>
      <c r="AW5" s="8">
        <v>24</v>
      </c>
      <c r="AX5" s="8">
        <v>25</v>
      </c>
      <c r="AY5" s="8">
        <v>14</v>
      </c>
      <c r="AZ5" s="8">
        <v>17</v>
      </c>
      <c r="BA5" s="8">
        <v>30</v>
      </c>
      <c r="BB5" s="8">
        <v>18</v>
      </c>
      <c r="BC5" s="8">
        <v>11</v>
      </c>
      <c r="BD5" s="8">
        <v>16</v>
      </c>
      <c r="BE5" s="8">
        <v>25</v>
      </c>
      <c r="BF5" s="8">
        <v>18</v>
      </c>
      <c r="BG5" s="8">
        <v>14</v>
      </c>
      <c r="BH5" s="9">
        <v>25</v>
      </c>
      <c r="BJ5" s="625" t="s">
        <v>383</v>
      </c>
      <c r="BK5" s="8" t="s">
        <v>1075</v>
      </c>
      <c r="BL5" s="8" t="s">
        <v>1079</v>
      </c>
      <c r="BM5" s="132">
        <v>26</v>
      </c>
      <c r="BO5" s="625" t="s">
        <v>383</v>
      </c>
      <c r="BP5" s="8" t="s">
        <v>1076</v>
      </c>
      <c r="BQ5" s="8" t="s">
        <v>1079</v>
      </c>
      <c r="BR5" s="132">
        <v>17</v>
      </c>
      <c r="BT5" s="625" t="s">
        <v>342</v>
      </c>
      <c r="BU5" s="8" t="s">
        <v>1075</v>
      </c>
      <c r="BV5" s="8" t="s">
        <v>1079</v>
      </c>
      <c r="BW5" s="132">
        <v>31</v>
      </c>
      <c r="BY5" s="625" t="s">
        <v>342</v>
      </c>
      <c r="BZ5" s="8" t="s">
        <v>1076</v>
      </c>
      <c r="CA5" s="8" t="s">
        <v>1079</v>
      </c>
      <c r="CB5" s="132">
        <v>22</v>
      </c>
    </row>
    <row r="6" spans="1:80">
      <c r="A6" s="377" t="s">
        <v>383</v>
      </c>
      <c r="B6" s="376" t="s">
        <v>1076</v>
      </c>
      <c r="C6" s="9" t="s">
        <v>1079</v>
      </c>
      <c r="D6" s="8">
        <v>16</v>
      </c>
      <c r="E6" s="8">
        <v>31</v>
      </c>
      <c r="F6" s="8">
        <v>17</v>
      </c>
      <c r="G6" s="8">
        <v>11</v>
      </c>
      <c r="H6" s="8">
        <v>34</v>
      </c>
      <c r="I6" s="8">
        <v>24</v>
      </c>
      <c r="J6" s="8">
        <v>24</v>
      </c>
      <c r="K6" s="8">
        <v>19</v>
      </c>
      <c r="L6" s="8">
        <v>31</v>
      </c>
      <c r="M6" s="8">
        <v>16</v>
      </c>
      <c r="N6" s="8">
        <v>11</v>
      </c>
      <c r="O6" s="9">
        <v>19</v>
      </c>
      <c r="Q6" s="625" t="e">
        <f ca="1"/>
        <v>#NAME?</v>
      </c>
      <c r="R6" s="8" t="e">
        <f ca="1"/>
        <v>#NAME?</v>
      </c>
      <c r="S6" s="8" t="e">
        <f ca="1"/>
        <v>#NAME?</v>
      </c>
      <c r="T6" s="132" t="e">
        <f ca="1"/>
        <v>#NAME?</v>
      </c>
      <c r="V6" s="625"/>
      <c r="W6" s="8" t="e">
        <f t="array" aca="1" ref="W6:W7" ca="1">[1]!SortUnique(R3:R98)</f>
        <v>#NAME?</v>
      </c>
      <c r="X6" s="132"/>
      <c r="Y6" s="625">
        <f ca="1">SUMIF($W$22:$W$29,W6,$Y$22:$Y$29)</f>
        <v>768</v>
      </c>
      <c r="Z6" s="132" t="e">
        <f ca="1">IF(Y6=0,"",AVERAGEIF($W$22:$W$29,W6,$Z$22:$Z$29))</f>
        <v>#NAME?</v>
      </c>
      <c r="AB6" t="s">
        <v>384</v>
      </c>
      <c r="AC6" t="e">
        <f ca="1"/>
        <v>#NAME?</v>
      </c>
      <c r="AD6">
        <f ca="1">COUNT(Z6:Z7)-1</f>
        <v>-1</v>
      </c>
      <c r="AE6" t="e">
        <f t="shared" ca="1" si="0"/>
        <v>#NAME?</v>
      </c>
      <c r="AF6" t="e">
        <f ca="1">AE6/AE12</f>
        <v>#NAME?</v>
      </c>
      <c r="AG6" t="e">
        <f ca="1">FDIST(AF6,AD6,AD12)</f>
        <v>#NAME?</v>
      </c>
      <c r="AH6" s="1094" t="e">
        <f ca="1">IF(AG6&lt;AG3,"yes","no")</f>
        <v>#NAME?</v>
      </c>
      <c r="AI6" s="1094"/>
      <c r="AJ6" s="1094"/>
      <c r="AK6" s="1094"/>
      <c r="AL6" s="1094"/>
      <c r="AM6" s="1094"/>
      <c r="AN6" s="1094"/>
      <c r="AO6" s="1094"/>
      <c r="AP6" s="1094"/>
      <c r="AQ6" s="1094"/>
      <c r="AR6" s="1094"/>
      <c r="AS6" s="1094"/>
      <c r="AT6" s="377" t="s">
        <v>383</v>
      </c>
      <c r="AU6" s="376" t="s">
        <v>1076</v>
      </c>
      <c r="AV6" s="9" t="s">
        <v>1079</v>
      </c>
      <c r="AW6" s="8">
        <v>16</v>
      </c>
      <c r="AX6" s="8">
        <v>31</v>
      </c>
      <c r="AY6" s="8">
        <v>17</v>
      </c>
      <c r="AZ6" s="8">
        <v>11</v>
      </c>
      <c r="BA6" s="8">
        <v>34</v>
      </c>
      <c r="BB6" s="8">
        <v>24</v>
      </c>
      <c r="BC6" s="8">
        <v>24</v>
      </c>
      <c r="BD6" s="8">
        <v>19</v>
      </c>
      <c r="BE6" s="8">
        <v>31</v>
      </c>
      <c r="BF6" s="8">
        <v>16</v>
      </c>
      <c r="BG6" s="8">
        <v>11</v>
      </c>
      <c r="BH6" s="9">
        <v>19</v>
      </c>
      <c r="BJ6" s="625" t="s">
        <v>383</v>
      </c>
      <c r="BK6" s="8" t="s">
        <v>1075</v>
      </c>
      <c r="BL6" s="8" t="s">
        <v>1079</v>
      </c>
      <c r="BM6" s="132">
        <v>32</v>
      </c>
      <c r="BO6" s="625" t="s">
        <v>383</v>
      </c>
      <c r="BP6" s="8" t="s">
        <v>1076</v>
      </c>
      <c r="BQ6" s="8" t="s">
        <v>1079</v>
      </c>
      <c r="BR6" s="132">
        <v>11</v>
      </c>
      <c r="BT6" s="625" t="s">
        <v>342</v>
      </c>
      <c r="BU6" s="8" t="s">
        <v>1075</v>
      </c>
      <c r="BV6" s="8" t="s">
        <v>1079</v>
      </c>
      <c r="BW6" s="132">
        <v>23</v>
      </c>
      <c r="BY6" s="625" t="s">
        <v>342</v>
      </c>
      <c r="BZ6" s="8" t="s">
        <v>1076</v>
      </c>
      <c r="CA6" s="8" t="s">
        <v>1079</v>
      </c>
      <c r="CB6" s="132">
        <v>44</v>
      </c>
    </row>
    <row r="7" spans="1:80">
      <c r="A7" s="377" t="s">
        <v>383</v>
      </c>
      <c r="B7" s="376" t="s">
        <v>1076</v>
      </c>
      <c r="C7" s="9" t="s">
        <v>1080</v>
      </c>
      <c r="D7" s="8">
        <v>31</v>
      </c>
      <c r="E7" s="8">
        <v>29</v>
      </c>
      <c r="F7" s="8">
        <v>40</v>
      </c>
      <c r="G7" s="8">
        <v>31</v>
      </c>
      <c r="H7" s="8">
        <v>35</v>
      </c>
      <c r="I7" s="8">
        <v>25</v>
      </c>
      <c r="J7" s="8">
        <v>18</v>
      </c>
      <c r="K7" s="8">
        <v>29</v>
      </c>
      <c r="L7" s="8">
        <v>36</v>
      </c>
      <c r="M7" s="8">
        <v>42</v>
      </c>
      <c r="N7" s="8">
        <v>40</v>
      </c>
      <c r="O7" s="9">
        <v>36</v>
      </c>
      <c r="Q7" s="625" t="e">
        <f ca="1"/>
        <v>#NAME?</v>
      </c>
      <c r="R7" s="8" t="e">
        <f ca="1"/>
        <v>#NAME?</v>
      </c>
      <c r="S7" s="8" t="e">
        <f ca="1"/>
        <v>#NAME?</v>
      </c>
      <c r="T7" s="132" t="e">
        <f ca="1"/>
        <v>#NAME?</v>
      </c>
      <c r="V7" s="625"/>
      <c r="W7" s="8" t="e">
        <f ca="1"/>
        <v>#NAME?</v>
      </c>
      <c r="X7" s="132"/>
      <c r="Y7" s="625">
        <f ca="1">SUMIF($W$22:$W$29,W7,$Y$22:$Y$29)</f>
        <v>768</v>
      </c>
      <c r="Z7" s="132" t="e">
        <f ca="1">IF(Y7=0,"",AVERAGEIF($W$22:$W$29,W7,$Z$22:$Z$29))</f>
        <v>#NAME?</v>
      </c>
      <c r="AB7" t="s">
        <v>385</v>
      </c>
      <c r="AC7" t="e">
        <f ca="1"/>
        <v>#NAME?</v>
      </c>
      <c r="AD7">
        <f ca="1">COUNT(Z8:Z9)-1</f>
        <v>-1</v>
      </c>
      <c r="AE7" t="e">
        <f t="shared" ca="1" si="0"/>
        <v>#NAME?</v>
      </c>
      <c r="AF7" t="e">
        <f ca="1">AE7/AE12</f>
        <v>#NAME?</v>
      </c>
      <c r="AG7" t="e">
        <f ca="1">FDIST(AF7,AD7,AD12)</f>
        <v>#NAME?</v>
      </c>
      <c r="AH7" s="1094" t="e">
        <f ca="1">IF(AG7&lt;AG3,"yes","no")</f>
        <v>#NAME?</v>
      </c>
      <c r="AI7" s="1094"/>
      <c r="AJ7" s="1094"/>
      <c r="AK7" s="1094"/>
      <c r="AL7" s="1094"/>
      <c r="AM7" s="1094"/>
      <c r="AN7" s="1094"/>
      <c r="AO7" s="1094"/>
      <c r="AP7" s="1094"/>
      <c r="AQ7" s="1094"/>
      <c r="AR7" s="1094"/>
      <c r="AS7" s="1094"/>
      <c r="AT7" s="377" t="s">
        <v>383</v>
      </c>
      <c r="AU7" s="376" t="s">
        <v>1076</v>
      </c>
      <c r="AV7" s="9" t="s">
        <v>1080</v>
      </c>
      <c r="AW7" s="8">
        <v>31</v>
      </c>
      <c r="AX7" s="8">
        <v>29</v>
      </c>
      <c r="AY7" s="8">
        <v>40</v>
      </c>
      <c r="AZ7" s="8">
        <v>31</v>
      </c>
      <c r="BA7" s="8">
        <v>35</v>
      </c>
      <c r="BB7" s="8">
        <v>25</v>
      </c>
      <c r="BC7" s="8">
        <v>18</v>
      </c>
      <c r="BD7" s="8">
        <v>29</v>
      </c>
      <c r="BE7" s="8">
        <v>36</v>
      </c>
      <c r="BF7" s="8">
        <v>42</v>
      </c>
      <c r="BG7" s="8">
        <v>40</v>
      </c>
      <c r="BH7" s="9">
        <v>36</v>
      </c>
      <c r="BJ7" s="625" t="s">
        <v>383</v>
      </c>
      <c r="BK7" s="8" t="s">
        <v>1075</v>
      </c>
      <c r="BL7" s="8" t="s">
        <v>1079</v>
      </c>
      <c r="BM7" s="132">
        <v>13</v>
      </c>
      <c r="BO7" s="625" t="s">
        <v>383</v>
      </c>
      <c r="BP7" s="8" t="s">
        <v>1076</v>
      </c>
      <c r="BQ7" s="8" t="s">
        <v>1079</v>
      </c>
      <c r="BR7" s="132">
        <v>34</v>
      </c>
      <c r="BT7" s="625" t="s">
        <v>342</v>
      </c>
      <c r="BU7" s="8" t="s">
        <v>1075</v>
      </c>
      <c r="BV7" s="8" t="s">
        <v>1079</v>
      </c>
      <c r="BW7" s="132">
        <v>19</v>
      </c>
      <c r="BY7" s="625" t="s">
        <v>342</v>
      </c>
      <c r="BZ7" s="8" t="s">
        <v>1076</v>
      </c>
      <c r="CA7" s="8" t="s">
        <v>1079</v>
      </c>
      <c r="CB7" s="132">
        <v>37</v>
      </c>
    </row>
    <row r="8" spans="1:80">
      <c r="A8" s="377" t="s">
        <v>342</v>
      </c>
      <c r="B8" s="376" t="s">
        <v>1075</v>
      </c>
      <c r="C8" s="9" t="s">
        <v>1079</v>
      </c>
      <c r="D8" s="8">
        <v>19</v>
      </c>
      <c r="E8" s="8">
        <v>28</v>
      </c>
      <c r="F8" s="8">
        <v>31</v>
      </c>
      <c r="G8" s="8">
        <v>23</v>
      </c>
      <c r="H8" s="8">
        <v>19</v>
      </c>
      <c r="I8" s="8">
        <v>14</v>
      </c>
      <c r="J8" s="8">
        <v>4</v>
      </c>
      <c r="K8" s="8">
        <v>29</v>
      </c>
      <c r="L8" s="8">
        <v>18</v>
      </c>
      <c r="M8" s="8">
        <v>22</v>
      </c>
      <c r="N8" s="8">
        <v>18</v>
      </c>
      <c r="O8" s="9">
        <v>24</v>
      </c>
      <c r="Q8" s="625" t="e">
        <f ca="1"/>
        <v>#NAME?</v>
      </c>
      <c r="R8" s="8" t="e">
        <f ca="1"/>
        <v>#NAME?</v>
      </c>
      <c r="S8" s="8" t="e">
        <f ca="1"/>
        <v>#NAME?</v>
      </c>
      <c r="T8" s="132" t="e">
        <f ca="1"/>
        <v>#NAME?</v>
      </c>
      <c r="V8" s="625"/>
      <c r="W8" s="8"/>
      <c r="X8" s="132" t="e">
        <f t="array" aca="1" ref="X8:X9" ca="1">[1]!SortUnique(S3:S98)</f>
        <v>#NAME?</v>
      </c>
      <c r="Y8" s="625">
        <f ca="1">SUMIF($X$22:$X$29,X8,$Y$22:$Y$29)</f>
        <v>768</v>
      </c>
      <c r="Z8" s="132" t="e">
        <f ca="1">IF(Y8=0,"",AVERAGEIF($X$22:$X$29,X8,$Z$22:$Z$29))</f>
        <v>#NAME?</v>
      </c>
      <c r="AB8" t="s">
        <v>1043</v>
      </c>
      <c r="AC8" t="e">
        <f ca="1"/>
        <v>#NAME?</v>
      </c>
      <c r="AD8">
        <f ca="1">AD6*AD5</f>
        <v>1</v>
      </c>
      <c r="AE8" t="e">
        <f t="shared" ca="1" si="0"/>
        <v>#NAME?</v>
      </c>
      <c r="AF8" t="e">
        <f ca="1">AE8/AE12</f>
        <v>#NAME?</v>
      </c>
      <c r="AG8" t="e">
        <f ca="1">FDIST(AF8,AD8,AD12)</f>
        <v>#NAME?</v>
      </c>
      <c r="AH8" s="1094" t="e">
        <f ca="1">IF(AG8&lt;AG3,"yes","no")</f>
        <v>#NAME?</v>
      </c>
      <c r="AI8" s="1094"/>
      <c r="AJ8" s="1094"/>
      <c r="AK8" s="1094"/>
      <c r="AL8" s="1094"/>
      <c r="AM8" s="1094"/>
      <c r="AN8" s="1094"/>
      <c r="AO8" s="1094"/>
      <c r="AP8" s="1094"/>
      <c r="AQ8" s="1094"/>
      <c r="AR8" s="1094"/>
      <c r="AS8" s="1094"/>
      <c r="AT8" s="377" t="s">
        <v>342</v>
      </c>
      <c r="AU8" s="376" t="s">
        <v>1075</v>
      </c>
      <c r="AV8" s="9" t="s">
        <v>1079</v>
      </c>
      <c r="AW8" s="8">
        <v>19</v>
      </c>
      <c r="AX8" s="8">
        <v>28</v>
      </c>
      <c r="AY8" s="8">
        <v>31</v>
      </c>
      <c r="AZ8" s="8">
        <v>23</v>
      </c>
      <c r="BA8" s="8">
        <v>19</v>
      </c>
      <c r="BB8" s="8">
        <v>14</v>
      </c>
      <c r="BC8" s="8">
        <v>4</v>
      </c>
      <c r="BD8" s="8">
        <v>29</v>
      </c>
      <c r="BE8" s="8">
        <v>18</v>
      </c>
      <c r="BF8" s="8">
        <v>22</v>
      </c>
      <c r="BG8" s="8">
        <v>18</v>
      </c>
      <c r="BH8" s="9">
        <v>24</v>
      </c>
      <c r="BJ8" s="625" t="s">
        <v>383</v>
      </c>
      <c r="BK8" s="8" t="s">
        <v>1075</v>
      </c>
      <c r="BL8" s="8" t="s">
        <v>1079</v>
      </c>
      <c r="BM8" s="132">
        <v>31</v>
      </c>
      <c r="BO8" s="625" t="s">
        <v>383</v>
      </c>
      <c r="BP8" s="8" t="s">
        <v>1076</v>
      </c>
      <c r="BQ8" s="8" t="s">
        <v>1079</v>
      </c>
      <c r="BR8" s="132">
        <v>24</v>
      </c>
      <c r="BT8" s="625" t="s">
        <v>342</v>
      </c>
      <c r="BU8" s="8" t="s">
        <v>1075</v>
      </c>
      <c r="BV8" s="8" t="s">
        <v>1079</v>
      </c>
      <c r="BW8" s="132">
        <v>14</v>
      </c>
      <c r="BY8" s="625" t="s">
        <v>342</v>
      </c>
      <c r="BZ8" s="8" t="s">
        <v>1076</v>
      </c>
      <c r="CA8" s="8" t="s">
        <v>1079</v>
      </c>
      <c r="CB8" s="132">
        <v>42</v>
      </c>
    </row>
    <row r="9" spans="1:80">
      <c r="A9" s="377" t="s">
        <v>342</v>
      </c>
      <c r="B9" s="376" t="s">
        <v>1075</v>
      </c>
      <c r="C9" s="9" t="s">
        <v>1080</v>
      </c>
      <c r="D9" s="8">
        <v>29</v>
      </c>
      <c r="E9" s="8">
        <v>25</v>
      </c>
      <c r="F9" s="8">
        <v>17</v>
      </c>
      <c r="G9" s="8">
        <v>12</v>
      </c>
      <c r="H9" s="8">
        <v>26</v>
      </c>
      <c r="I9" s="8">
        <v>35</v>
      </c>
      <c r="J9" s="8">
        <v>10</v>
      </c>
      <c r="K9" s="8">
        <v>23</v>
      </c>
      <c r="L9" s="8">
        <v>26</v>
      </c>
      <c r="M9" s="8">
        <v>18</v>
      </c>
      <c r="N9" s="8">
        <v>24</v>
      </c>
      <c r="O9" s="9">
        <v>16</v>
      </c>
      <c r="Q9" s="625" t="e">
        <f ca="1"/>
        <v>#NAME?</v>
      </c>
      <c r="R9" s="8" t="e">
        <f ca="1"/>
        <v>#NAME?</v>
      </c>
      <c r="S9" s="8" t="e">
        <f ca="1"/>
        <v>#NAME?</v>
      </c>
      <c r="T9" s="132" t="e">
        <f ca="1"/>
        <v>#NAME?</v>
      </c>
      <c r="V9" s="1075"/>
      <c r="W9" s="1076"/>
      <c r="X9" s="1077" t="e">
        <f ca="1"/>
        <v>#NAME?</v>
      </c>
      <c r="Y9" s="1075">
        <f ca="1">SUMIF($X$22:$X$29,X9,$Y$22:$Y$29)</f>
        <v>768</v>
      </c>
      <c r="Z9" s="1077" t="e">
        <f ca="1">IF(Y9=0,"",AVERAGEIF($X$22:$X$29,X9,$Z$22:$Z$29))</f>
        <v>#NAME?</v>
      </c>
      <c r="AB9" t="s">
        <v>1045</v>
      </c>
      <c r="AC9" t="e">
        <f ca="1"/>
        <v>#NAME?</v>
      </c>
      <c r="AD9">
        <f ca="1">AD7*AD5</f>
        <v>1</v>
      </c>
      <c r="AE9" t="e">
        <f t="shared" ca="1" si="0"/>
        <v>#NAME?</v>
      </c>
      <c r="AF9" t="e">
        <f ca="1">AE9/AE12</f>
        <v>#NAME?</v>
      </c>
      <c r="AG9" t="e">
        <f ca="1">FDIST(AF9,AD8,AD12)</f>
        <v>#NAME?</v>
      </c>
      <c r="AH9" s="1094" t="e">
        <f ca="1">IF(AG9&lt;AG3,"yes","no")</f>
        <v>#NAME?</v>
      </c>
      <c r="AI9" s="1094"/>
      <c r="AJ9" s="1094"/>
      <c r="AK9" s="1094"/>
      <c r="AL9" s="1094"/>
      <c r="AM9" s="1094"/>
      <c r="AN9" s="1094"/>
      <c r="AO9" s="1094"/>
      <c r="AP9" s="1094"/>
      <c r="AQ9" s="1094"/>
      <c r="AR9" s="1094"/>
      <c r="AS9" s="1094"/>
      <c r="AT9" s="377" t="s">
        <v>342</v>
      </c>
      <c r="AU9" s="376" t="s">
        <v>1075</v>
      </c>
      <c r="AV9" s="9" t="s">
        <v>1080</v>
      </c>
      <c r="AW9" s="8">
        <v>29</v>
      </c>
      <c r="AX9" s="8">
        <v>25</v>
      </c>
      <c r="AY9" s="8">
        <v>17</v>
      </c>
      <c r="AZ9" s="8">
        <v>12</v>
      </c>
      <c r="BA9" s="8">
        <v>26</v>
      </c>
      <c r="BB9" s="8">
        <v>35</v>
      </c>
      <c r="BC9" s="8">
        <v>10</v>
      </c>
      <c r="BD9" s="8">
        <v>23</v>
      </c>
      <c r="BE9" s="8">
        <v>26</v>
      </c>
      <c r="BF9" s="8">
        <v>18</v>
      </c>
      <c r="BG9" s="8">
        <v>24</v>
      </c>
      <c r="BH9" s="9">
        <v>16</v>
      </c>
      <c r="BJ9" s="625" t="s">
        <v>383</v>
      </c>
      <c r="BK9" s="8" t="s">
        <v>1075</v>
      </c>
      <c r="BL9" s="8" t="s">
        <v>1079</v>
      </c>
      <c r="BM9" s="132">
        <v>26</v>
      </c>
      <c r="BO9" s="625" t="s">
        <v>383</v>
      </c>
      <c r="BP9" s="8" t="s">
        <v>1076</v>
      </c>
      <c r="BQ9" s="8" t="s">
        <v>1079</v>
      </c>
      <c r="BR9" s="132">
        <v>24</v>
      </c>
      <c r="BT9" s="625" t="s">
        <v>342</v>
      </c>
      <c r="BU9" s="8" t="s">
        <v>1075</v>
      </c>
      <c r="BV9" s="8" t="s">
        <v>1079</v>
      </c>
      <c r="BW9" s="132">
        <v>4</v>
      </c>
      <c r="BY9" s="625" t="s">
        <v>342</v>
      </c>
      <c r="BZ9" s="8" t="s">
        <v>1076</v>
      </c>
      <c r="CA9" s="8" t="s">
        <v>1079</v>
      </c>
      <c r="CB9" s="132">
        <v>30</v>
      </c>
    </row>
    <row r="10" spans="1:80">
      <c r="A10" s="377" t="s">
        <v>342</v>
      </c>
      <c r="B10" s="376" t="s">
        <v>1076</v>
      </c>
      <c r="C10" s="9" t="s">
        <v>1079</v>
      </c>
      <c r="D10" s="8">
        <v>28</v>
      </c>
      <c r="E10" s="8">
        <v>37</v>
      </c>
      <c r="F10" s="8">
        <v>22</v>
      </c>
      <c r="G10" s="8">
        <v>44</v>
      </c>
      <c r="H10" s="8">
        <v>37</v>
      </c>
      <c r="I10" s="8">
        <v>42</v>
      </c>
      <c r="J10" s="8">
        <v>30</v>
      </c>
      <c r="K10" s="8">
        <v>37</v>
      </c>
      <c r="L10" s="8">
        <v>25</v>
      </c>
      <c r="M10" s="8">
        <v>38</v>
      </c>
      <c r="N10" s="8">
        <v>41</v>
      </c>
      <c r="O10" s="9">
        <v>28</v>
      </c>
      <c r="Q10" s="625" t="e">
        <f ca="1"/>
        <v>#NAME?</v>
      </c>
      <c r="R10" s="8" t="e">
        <f ca="1"/>
        <v>#NAME?</v>
      </c>
      <c r="S10" s="8" t="e">
        <f ca="1"/>
        <v>#NAME?</v>
      </c>
      <c r="T10" s="132" t="e">
        <f ca="1"/>
        <v>#NAME?</v>
      </c>
      <c r="V10" s="1104" t="e">
        <f ca="1">$V$4</f>
        <v>#NAME?</v>
      </c>
      <c r="W10" s="1105" t="e">
        <f ca="1">$W6</f>
        <v>#NAME?</v>
      </c>
      <c r="X10" s="1106"/>
      <c r="Y10" s="1104">
        <f ca="1">SUMIFS($Y$22:$Y$29,$V$22:$V$29,V10,$W$22:$W$29,W10)</f>
        <v>768</v>
      </c>
      <c r="Z10" s="1106" t="e">
        <f ca="1">IF(Y10=0,"",AVERAGEIFS($Z$22:$Z$29,$V$22:$V$29,V10,$W$22:$W$29,W10))</f>
        <v>#NAME?</v>
      </c>
      <c r="AB10" t="s">
        <v>1047</v>
      </c>
      <c r="AC10" t="e">
        <f ca="1"/>
        <v>#NAME?</v>
      </c>
      <c r="AD10">
        <f ca="1">AD7*AD6</f>
        <v>1</v>
      </c>
      <c r="AE10" t="e">
        <f t="shared" ca="1" si="0"/>
        <v>#NAME?</v>
      </c>
      <c r="AF10" t="e">
        <f ca="1">AE10/AE12</f>
        <v>#NAME?</v>
      </c>
      <c r="AG10" t="e">
        <f ca="1">FDIST(AF10,AD10,AD12)</f>
        <v>#NAME?</v>
      </c>
      <c r="AH10" s="1094" t="e">
        <f ca="1">IF(AG10&lt;AG3,"yes","no")</f>
        <v>#NAME?</v>
      </c>
      <c r="AI10" s="1094"/>
      <c r="AJ10" s="1094"/>
      <c r="AK10" s="1094"/>
      <c r="AL10" s="1094"/>
      <c r="AM10" s="1094"/>
      <c r="AN10" s="1094"/>
      <c r="AO10" s="1094"/>
      <c r="AP10" s="1094"/>
      <c r="AQ10" s="1094"/>
      <c r="AR10" s="1094"/>
      <c r="AS10" s="1094"/>
      <c r="AT10" s="377" t="s">
        <v>342</v>
      </c>
      <c r="AU10" s="376" t="s">
        <v>1076</v>
      </c>
      <c r="AV10" s="9" t="s">
        <v>1079</v>
      </c>
      <c r="AW10" s="8">
        <v>28</v>
      </c>
      <c r="AX10" s="8">
        <v>37</v>
      </c>
      <c r="AY10" s="8">
        <v>22</v>
      </c>
      <c r="AZ10" s="8">
        <v>44</v>
      </c>
      <c r="BA10" s="8">
        <v>37</v>
      </c>
      <c r="BB10" s="8">
        <v>42</v>
      </c>
      <c r="BC10" s="8">
        <v>30</v>
      </c>
      <c r="BD10" s="8">
        <v>37</v>
      </c>
      <c r="BE10" s="8">
        <v>25</v>
      </c>
      <c r="BF10" s="8">
        <v>38</v>
      </c>
      <c r="BG10" s="8">
        <v>41</v>
      </c>
      <c r="BH10" s="9">
        <v>28</v>
      </c>
      <c r="BJ10" s="625" t="s">
        <v>383</v>
      </c>
      <c r="BK10" s="8" t="s">
        <v>1075</v>
      </c>
      <c r="BL10" s="8" t="s">
        <v>1079</v>
      </c>
      <c r="BM10" s="132">
        <v>34</v>
      </c>
      <c r="BO10" s="625" t="s">
        <v>383</v>
      </c>
      <c r="BP10" s="8" t="s">
        <v>1076</v>
      </c>
      <c r="BQ10" s="8" t="s">
        <v>1079</v>
      </c>
      <c r="BR10" s="132">
        <v>19</v>
      </c>
      <c r="BT10" s="625" t="s">
        <v>342</v>
      </c>
      <c r="BU10" s="8" t="s">
        <v>1075</v>
      </c>
      <c r="BV10" s="8" t="s">
        <v>1079</v>
      </c>
      <c r="BW10" s="132">
        <v>29</v>
      </c>
      <c r="BY10" s="625" t="s">
        <v>342</v>
      </c>
      <c r="BZ10" s="8" t="s">
        <v>1076</v>
      </c>
      <c r="CA10" s="8" t="s">
        <v>1079</v>
      </c>
      <c r="CB10" s="132">
        <v>37</v>
      </c>
    </row>
    <row r="11" spans="1:80">
      <c r="A11" s="10" t="s">
        <v>342</v>
      </c>
      <c r="B11" s="268" t="s">
        <v>1076</v>
      </c>
      <c r="C11" s="12" t="s">
        <v>1080</v>
      </c>
      <c r="D11" s="11">
        <v>35</v>
      </c>
      <c r="E11" s="11">
        <v>23</v>
      </c>
      <c r="F11" s="11">
        <v>24</v>
      </c>
      <c r="G11" s="11">
        <v>11</v>
      </c>
      <c r="H11" s="11">
        <v>23</v>
      </c>
      <c r="I11" s="11">
        <v>30</v>
      </c>
      <c r="J11" s="11">
        <v>26</v>
      </c>
      <c r="K11" s="11">
        <v>16</v>
      </c>
      <c r="L11" s="11">
        <v>23</v>
      </c>
      <c r="M11" s="11">
        <v>14</v>
      </c>
      <c r="N11" s="11">
        <v>19</v>
      </c>
      <c r="O11" s="12">
        <v>25</v>
      </c>
      <c r="Q11" s="625" t="e">
        <f ca="1"/>
        <v>#NAME?</v>
      </c>
      <c r="R11" s="8" t="e">
        <f ca="1"/>
        <v>#NAME?</v>
      </c>
      <c r="S11" s="8" t="e">
        <f ca="1"/>
        <v>#NAME?</v>
      </c>
      <c r="T11" s="132" t="e">
        <f ca="1"/>
        <v>#NAME?</v>
      </c>
      <c r="V11" s="625" t="e">
        <f ca="1">$V$4</f>
        <v>#NAME?</v>
      </c>
      <c r="W11" s="8" t="e">
        <f ca="1">$W7</f>
        <v>#NAME?</v>
      </c>
      <c r="X11" s="132"/>
      <c r="Y11" s="625">
        <f ca="1">SUMIFS($Y$22:$Y$29,$V$22:$V$29,V11,$W$22:$W$29,W11)</f>
        <v>768</v>
      </c>
      <c r="Z11" s="132" t="e">
        <f ca="1">IF(Y11=0,"",AVERAGEIFS($Z$22:$Z$29,$V$22:$V$29,V11,$W$22:$W$29,W11))</f>
        <v>#NAME?</v>
      </c>
      <c r="AB11" t="s">
        <v>1049</v>
      </c>
      <c r="AC11" t="e">
        <f ca="1"/>
        <v>#NAME?</v>
      </c>
      <c r="AD11">
        <f ca="1">AD7*AD6*AD5</f>
        <v>-1</v>
      </c>
      <c r="AE11" t="e">
        <f t="shared" ca="1" si="0"/>
        <v>#NAME?</v>
      </c>
      <c r="AF11" t="e">
        <f ca="1">AE11/AE12</f>
        <v>#NAME?</v>
      </c>
      <c r="AG11" t="e">
        <f ca="1">FDIST(AF11,AD11,AD12)</f>
        <v>#NAME?</v>
      </c>
      <c r="AH11" s="1094" t="e">
        <f ca="1">IF(AG11&lt;AG3,"yes","no")</f>
        <v>#NAME?</v>
      </c>
      <c r="AI11" s="1094"/>
      <c r="AJ11" s="1094"/>
      <c r="AK11" s="1094"/>
      <c r="AL11" s="1094"/>
      <c r="AM11" s="1094"/>
      <c r="AN11" s="1094"/>
      <c r="AO11" s="1094"/>
      <c r="AP11" s="1094"/>
      <c r="AQ11" s="1094"/>
      <c r="AR11" s="1094"/>
      <c r="AS11" s="1094"/>
      <c r="AT11" s="10" t="s">
        <v>342</v>
      </c>
      <c r="AU11" s="268" t="s">
        <v>1076</v>
      </c>
      <c r="AV11" s="12" t="s">
        <v>1080</v>
      </c>
      <c r="AW11" s="11">
        <v>35</v>
      </c>
      <c r="AX11" s="11">
        <v>23</v>
      </c>
      <c r="AY11" s="11">
        <v>24</v>
      </c>
      <c r="AZ11" s="11">
        <v>11</v>
      </c>
      <c r="BA11" s="11">
        <v>23</v>
      </c>
      <c r="BB11" s="11">
        <v>30</v>
      </c>
      <c r="BC11" s="11">
        <v>26</v>
      </c>
      <c r="BD11" s="11">
        <v>16</v>
      </c>
      <c r="BE11" s="11">
        <v>23</v>
      </c>
      <c r="BF11" s="11">
        <v>14</v>
      </c>
      <c r="BG11" s="11">
        <v>19</v>
      </c>
      <c r="BH11" s="12">
        <v>25</v>
      </c>
      <c r="BJ11" s="625" t="s">
        <v>383</v>
      </c>
      <c r="BK11" s="8" t="s">
        <v>1075</v>
      </c>
      <c r="BL11" s="8" t="s">
        <v>1079</v>
      </c>
      <c r="BM11" s="132">
        <v>17</v>
      </c>
      <c r="BO11" s="625" t="s">
        <v>383</v>
      </c>
      <c r="BP11" s="8" t="s">
        <v>1076</v>
      </c>
      <c r="BQ11" s="8" t="s">
        <v>1079</v>
      </c>
      <c r="BR11" s="132">
        <v>31</v>
      </c>
      <c r="BT11" s="625" t="s">
        <v>342</v>
      </c>
      <c r="BU11" s="8" t="s">
        <v>1075</v>
      </c>
      <c r="BV11" s="8" t="s">
        <v>1079</v>
      </c>
      <c r="BW11" s="132">
        <v>18</v>
      </c>
      <c r="BY11" s="625" t="s">
        <v>342</v>
      </c>
      <c r="BZ11" s="8" t="s">
        <v>1076</v>
      </c>
      <c r="CA11" s="8" t="s">
        <v>1079</v>
      </c>
      <c r="CB11" s="132">
        <v>25</v>
      </c>
    </row>
    <row r="12" spans="1:80">
      <c r="Q12" s="625" t="e">
        <f ca="1"/>
        <v>#NAME?</v>
      </c>
      <c r="R12" s="8" t="e">
        <f ca="1"/>
        <v>#NAME?</v>
      </c>
      <c r="S12" s="8" t="e">
        <f ca="1"/>
        <v>#NAME?</v>
      </c>
      <c r="T12" s="132" t="e">
        <f ca="1"/>
        <v>#NAME?</v>
      </c>
      <c r="V12" s="625" t="e">
        <f ca="1">$V$5</f>
        <v>#NAME?</v>
      </c>
      <c r="W12" s="8" t="e">
        <f ca="1">$W6</f>
        <v>#NAME?</v>
      </c>
      <c r="X12" s="132"/>
      <c r="Y12" s="625">
        <f ca="1">SUMIFS($Y$22:$Y$29,$V$22:$V$29,V12,$W$22:$W$29,W12)</f>
        <v>768</v>
      </c>
      <c r="Z12" s="132" t="e">
        <f ca="1">IF(Y12=0,"",AVERAGEIFS($Z$22:$Z$29,$V$22:$V$29,V12,$W$22:$W$29,W12))</f>
        <v>#NAME?</v>
      </c>
      <c r="AB12" t="s">
        <v>1021</v>
      </c>
      <c r="AC12" t="e">
        <f ca="1"/>
        <v>#NAME?</v>
      </c>
      <c r="AD12">
        <f ca="1">Y30-(AD5+1)*(AD6+1)*(AD7+1)</f>
        <v>768</v>
      </c>
      <c r="AE12" t="e">
        <f t="shared" ca="1" si="0"/>
        <v>#NAME?</v>
      </c>
      <c r="BJ12" s="625" t="s">
        <v>383</v>
      </c>
      <c r="BK12" s="8" t="s">
        <v>1075</v>
      </c>
      <c r="BL12" s="8" t="s">
        <v>1079</v>
      </c>
      <c r="BM12" s="132">
        <v>23</v>
      </c>
      <c r="BO12" s="625" t="s">
        <v>383</v>
      </c>
      <c r="BP12" s="8" t="s">
        <v>1076</v>
      </c>
      <c r="BQ12" s="8" t="s">
        <v>1079</v>
      </c>
      <c r="BR12" s="132">
        <v>16</v>
      </c>
      <c r="BT12" s="625" t="s">
        <v>342</v>
      </c>
      <c r="BU12" s="8" t="s">
        <v>1075</v>
      </c>
      <c r="BV12" s="8" t="s">
        <v>1079</v>
      </c>
      <c r="BW12" s="132">
        <v>22</v>
      </c>
      <c r="BY12" s="625" t="s">
        <v>342</v>
      </c>
      <c r="BZ12" s="8" t="s">
        <v>1076</v>
      </c>
      <c r="CA12" s="8" t="s">
        <v>1079</v>
      </c>
      <c r="CB12" s="132">
        <v>38</v>
      </c>
    </row>
    <row r="13" spans="1:80">
      <c r="Q13" s="625" t="e">
        <f ca="1"/>
        <v>#NAME?</v>
      </c>
      <c r="R13" s="8" t="e">
        <f ca="1"/>
        <v>#NAME?</v>
      </c>
      <c r="S13" s="8" t="e">
        <f ca="1"/>
        <v>#NAME?</v>
      </c>
      <c r="T13" s="132" t="e">
        <f ca="1"/>
        <v>#NAME?</v>
      </c>
      <c r="V13" s="1075" t="e">
        <f ca="1">$V$5</f>
        <v>#NAME?</v>
      </c>
      <c r="W13" s="1076" t="e">
        <f ca="1">$W7</f>
        <v>#NAME?</v>
      </c>
      <c r="X13" s="1077"/>
      <c r="Y13" s="1075">
        <f ca="1">SUMIFS($Y$22:$Y$29,$V$22:$V$29,V13,$W$22:$W$29,W13)</f>
        <v>768</v>
      </c>
      <c r="Z13" s="1077" t="e">
        <f ca="1">IF(Y13=0,"",AVERAGEIFS($Z$22:$Z$29,$V$22:$V$29,V13,$W$22:$W$29,W13))</f>
        <v>#NAME?</v>
      </c>
      <c r="AB13" s="1078" t="s">
        <v>12</v>
      </c>
      <c r="AC13" s="1078" t="e">
        <f ca="1">Z31</f>
        <v>#NAME?</v>
      </c>
      <c r="AD13" s="1078">
        <f ca="1">Y30-1</f>
        <v>767</v>
      </c>
      <c r="AE13" s="1078" t="e">
        <f t="shared" ca="1" si="0"/>
        <v>#NAME?</v>
      </c>
      <c r="AF13" s="1078"/>
      <c r="AG13" s="1078"/>
      <c r="AH13" s="107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BJ13" s="625" t="s">
        <v>383</v>
      </c>
      <c r="BK13" s="8" t="s">
        <v>1075</v>
      </c>
      <c r="BL13" s="8" t="s">
        <v>1079</v>
      </c>
      <c r="BM13" s="132">
        <v>28</v>
      </c>
      <c r="BO13" s="625" t="s">
        <v>383</v>
      </c>
      <c r="BP13" s="8" t="s">
        <v>1076</v>
      </c>
      <c r="BQ13" s="8" t="s">
        <v>1079</v>
      </c>
      <c r="BR13" s="132">
        <v>11</v>
      </c>
      <c r="BT13" s="625" t="s">
        <v>342</v>
      </c>
      <c r="BU13" s="8" t="s">
        <v>1075</v>
      </c>
      <c r="BV13" s="8" t="s">
        <v>1079</v>
      </c>
      <c r="BW13" s="132">
        <v>18</v>
      </c>
      <c r="BY13" s="625" t="s">
        <v>342</v>
      </c>
      <c r="BZ13" s="8" t="s">
        <v>1076</v>
      </c>
      <c r="CA13" s="8" t="s">
        <v>1079</v>
      </c>
      <c r="CB13" s="132">
        <v>41</v>
      </c>
    </row>
    <row r="14" spans="1:80">
      <c r="Q14" s="625" t="e">
        <f ca="1"/>
        <v>#NAME?</v>
      </c>
      <c r="R14" s="8" t="e">
        <f ca="1"/>
        <v>#NAME?</v>
      </c>
      <c r="S14" s="8" t="e">
        <f ca="1"/>
        <v>#NAME?</v>
      </c>
      <c r="T14" s="132" t="e">
        <f ca="1"/>
        <v>#NAME?</v>
      </c>
      <c r="V14" s="1104" t="e">
        <f ca="1">$V$4</f>
        <v>#NAME?</v>
      </c>
      <c r="W14" s="1105"/>
      <c r="X14" s="1106" t="e">
        <f ca="1">$X8</f>
        <v>#NAME?</v>
      </c>
      <c r="Y14" s="1104">
        <f ca="1">SUMIFS($Y$22:$Y$29,$V$22:$V$29,V14,$X$22:$X$29,X14)</f>
        <v>768</v>
      </c>
      <c r="Z14" s="1106" t="e">
        <f ca="1">IF(Y14=0,"",AVERAGEIFS($Z$22:$Z$29,$V$22:$V$29,V14,$X$22:$X$29,X14))</f>
        <v>#NAME?</v>
      </c>
      <c r="BJ14" s="625" t="s">
        <v>383</v>
      </c>
      <c r="BK14" s="8" t="s">
        <v>1075</v>
      </c>
      <c r="BL14" s="8" t="s">
        <v>1079</v>
      </c>
      <c r="BM14" s="132">
        <v>26</v>
      </c>
      <c r="BO14" s="625" t="s">
        <v>383</v>
      </c>
      <c r="BP14" s="8" t="s">
        <v>1076</v>
      </c>
      <c r="BQ14" s="8" t="s">
        <v>1079</v>
      </c>
      <c r="BR14" s="132">
        <v>19</v>
      </c>
      <c r="BT14" s="625" t="s">
        <v>342</v>
      </c>
      <c r="BU14" s="8" t="s">
        <v>1075</v>
      </c>
      <c r="BV14" s="8" t="s">
        <v>1079</v>
      </c>
      <c r="BW14" s="132">
        <v>24</v>
      </c>
      <c r="BY14" s="625" t="s">
        <v>342</v>
      </c>
      <c r="BZ14" s="8" t="s">
        <v>1076</v>
      </c>
      <c r="CA14" s="8" t="s">
        <v>1079</v>
      </c>
      <c r="CB14" s="132">
        <v>28</v>
      </c>
    </row>
    <row r="15" spans="1:80">
      <c r="Q15" s="625" t="e">
        <f ca="1"/>
        <v>#NAME?</v>
      </c>
      <c r="R15" s="8" t="e">
        <f ca="1"/>
        <v>#NAME?</v>
      </c>
      <c r="S15" s="8" t="e">
        <f ca="1"/>
        <v>#NAME?</v>
      </c>
      <c r="T15" s="132" t="e">
        <f ca="1"/>
        <v>#NAME?</v>
      </c>
      <c r="V15" s="625" t="e">
        <f ca="1">$V$4</f>
        <v>#NAME?</v>
      </c>
      <c r="W15" s="8"/>
      <c r="X15" s="132" t="e">
        <f ca="1">$X9</f>
        <v>#NAME?</v>
      </c>
      <c r="Y15" s="625">
        <f ca="1">SUMIFS($Y$22:$Y$29,$V$22:$V$29,V15,$X$22:$X$29,X15)</f>
        <v>768</v>
      </c>
      <c r="Z15" s="132" t="e">
        <f ca="1">IF(Y15=0,"",AVERAGEIFS($Z$22:$Z$29,$V$22:$V$29,V15,$X$22:$X$29,X15))</f>
        <v>#NAME?</v>
      </c>
      <c r="BJ15" s="625" t="s">
        <v>383</v>
      </c>
      <c r="BK15" s="8" t="s">
        <v>1075</v>
      </c>
      <c r="BL15" s="8" t="s">
        <v>1080</v>
      </c>
      <c r="BM15" s="132">
        <v>24</v>
      </c>
      <c r="BO15" s="625" t="s">
        <v>383</v>
      </c>
      <c r="BP15" s="8" t="s">
        <v>1076</v>
      </c>
      <c r="BQ15" s="8" t="s">
        <v>1080</v>
      </c>
      <c r="BR15" s="132">
        <v>31</v>
      </c>
      <c r="BT15" s="625" t="s">
        <v>342</v>
      </c>
      <c r="BU15" s="8" t="s">
        <v>1075</v>
      </c>
      <c r="BV15" s="8" t="s">
        <v>1080</v>
      </c>
      <c r="BW15" s="132">
        <v>29</v>
      </c>
      <c r="BY15" s="625" t="s">
        <v>342</v>
      </c>
      <c r="BZ15" s="8" t="s">
        <v>1076</v>
      </c>
      <c r="CA15" s="8" t="s">
        <v>1080</v>
      </c>
      <c r="CB15" s="132">
        <v>35</v>
      </c>
    </row>
    <row r="16" spans="1:80">
      <c r="Q16" s="625" t="e">
        <f ca="1"/>
        <v>#NAME?</v>
      </c>
      <c r="R16" s="8" t="e">
        <f ca="1"/>
        <v>#NAME?</v>
      </c>
      <c r="S16" s="8" t="e">
        <f ca="1"/>
        <v>#NAME?</v>
      </c>
      <c r="T16" s="132" t="e">
        <f ca="1"/>
        <v>#NAME?</v>
      </c>
      <c r="V16" s="625" t="e">
        <f ca="1">$V$5</f>
        <v>#NAME?</v>
      </c>
      <c r="W16" s="8"/>
      <c r="X16" s="132" t="e">
        <f ca="1">$X8</f>
        <v>#NAME?</v>
      </c>
      <c r="Y16" s="625">
        <f ca="1">SUMIFS($Y$22:$Y$29,$V$22:$V$29,V16,$X$22:$X$29,X16)</f>
        <v>768</v>
      </c>
      <c r="Z16" s="132" t="e">
        <f ca="1">IF(Y16=0,"",AVERAGEIFS($Z$22:$Z$29,$V$22:$V$29,V16,$X$22:$X$29,X16))</f>
        <v>#NAME?</v>
      </c>
      <c r="BJ16" s="625" t="s">
        <v>383</v>
      </c>
      <c r="BK16" s="8" t="s">
        <v>1075</v>
      </c>
      <c r="BL16" s="8" t="s">
        <v>1080</v>
      </c>
      <c r="BM16" s="132">
        <v>25</v>
      </c>
      <c r="BO16" s="625" t="s">
        <v>383</v>
      </c>
      <c r="BP16" s="8" t="s">
        <v>1076</v>
      </c>
      <c r="BQ16" s="8" t="s">
        <v>1080</v>
      </c>
      <c r="BR16" s="132">
        <v>29</v>
      </c>
      <c r="BT16" s="625" t="s">
        <v>342</v>
      </c>
      <c r="BU16" s="8" t="s">
        <v>1075</v>
      </c>
      <c r="BV16" s="8" t="s">
        <v>1080</v>
      </c>
      <c r="BW16" s="132">
        <v>25</v>
      </c>
      <c r="BY16" s="625" t="s">
        <v>342</v>
      </c>
      <c r="BZ16" s="8" t="s">
        <v>1076</v>
      </c>
      <c r="CA16" s="8" t="s">
        <v>1080</v>
      </c>
      <c r="CB16" s="132">
        <v>23</v>
      </c>
    </row>
    <row r="17" spans="17:80">
      <c r="Q17" s="625" t="e">
        <f ca="1"/>
        <v>#NAME?</v>
      </c>
      <c r="R17" s="8" t="e">
        <f ca="1"/>
        <v>#NAME?</v>
      </c>
      <c r="S17" s="8" t="e">
        <f ca="1"/>
        <v>#NAME?</v>
      </c>
      <c r="T17" s="132" t="e">
        <f ca="1"/>
        <v>#NAME?</v>
      </c>
      <c r="V17" s="1075" t="e">
        <f ca="1">$V$5</f>
        <v>#NAME?</v>
      </c>
      <c r="W17" s="1076"/>
      <c r="X17" s="1077" t="e">
        <f ca="1">$X9</f>
        <v>#NAME?</v>
      </c>
      <c r="Y17" s="1075">
        <f ca="1">SUMIFS($Y$22:$Y$29,$V$22:$V$29,V17,$X$22:$X$29,X17)</f>
        <v>768</v>
      </c>
      <c r="Z17" s="1077" t="e">
        <f ca="1">IF(Y17=0,"",AVERAGEIFS($Z$22:$Z$29,$V$22:$V$29,V17,$X$22:$X$29,X17))</f>
        <v>#NAME?</v>
      </c>
      <c r="BJ17" s="625" t="s">
        <v>383</v>
      </c>
      <c r="BK17" s="8" t="s">
        <v>1075</v>
      </c>
      <c r="BL17" s="8" t="s">
        <v>1080</v>
      </c>
      <c r="BM17" s="132">
        <v>14</v>
      </c>
      <c r="BO17" s="625" t="s">
        <v>383</v>
      </c>
      <c r="BP17" s="8" t="s">
        <v>1076</v>
      </c>
      <c r="BQ17" s="8" t="s">
        <v>1080</v>
      </c>
      <c r="BR17" s="132">
        <v>40</v>
      </c>
      <c r="BT17" s="625" t="s">
        <v>342</v>
      </c>
      <c r="BU17" s="8" t="s">
        <v>1075</v>
      </c>
      <c r="BV17" s="8" t="s">
        <v>1080</v>
      </c>
      <c r="BW17" s="132">
        <v>17</v>
      </c>
      <c r="BY17" s="625" t="s">
        <v>342</v>
      </c>
      <c r="BZ17" s="8" t="s">
        <v>1076</v>
      </c>
      <c r="CA17" s="8" t="s">
        <v>1080</v>
      </c>
      <c r="CB17" s="132">
        <v>24</v>
      </c>
    </row>
    <row r="18" spans="17:80">
      <c r="Q18" s="625" t="e">
        <f ca="1"/>
        <v>#NAME?</v>
      </c>
      <c r="R18" s="8" t="e">
        <f ca="1"/>
        <v>#NAME?</v>
      </c>
      <c r="S18" s="8" t="e">
        <f ca="1"/>
        <v>#NAME?</v>
      </c>
      <c r="T18" s="132" t="e">
        <f ca="1"/>
        <v>#NAME?</v>
      </c>
      <c r="V18" s="1104"/>
      <c r="W18" s="1105" t="e">
        <f ca="1">$W$6</f>
        <v>#NAME?</v>
      </c>
      <c r="X18" s="1106" t="e">
        <f ca="1">$X8</f>
        <v>#NAME?</v>
      </c>
      <c r="Y18" s="1104">
        <f ca="1">SUMIFS($Y$22:$Y$29,$W$22:$W$29,W18,$X$22:$X$29,X18)</f>
        <v>768</v>
      </c>
      <c r="Z18" s="1106" t="e">
        <f ca="1">IF(Y18=0,"",AVERAGEIFS($Z$22:$Z$29,$W$22:$W$29,W18,$X$22:$X$29,X18))</f>
        <v>#NAME?</v>
      </c>
      <c r="BJ18" s="625" t="s">
        <v>383</v>
      </c>
      <c r="BK18" s="8" t="s">
        <v>1075</v>
      </c>
      <c r="BL18" s="8" t="s">
        <v>1080</v>
      </c>
      <c r="BM18" s="132">
        <v>17</v>
      </c>
      <c r="BO18" s="625" t="s">
        <v>383</v>
      </c>
      <c r="BP18" s="8" t="s">
        <v>1076</v>
      </c>
      <c r="BQ18" s="8" t="s">
        <v>1080</v>
      </c>
      <c r="BR18" s="132">
        <v>31</v>
      </c>
      <c r="BT18" s="625" t="s">
        <v>342</v>
      </c>
      <c r="BU18" s="8" t="s">
        <v>1075</v>
      </c>
      <c r="BV18" s="8" t="s">
        <v>1080</v>
      </c>
      <c r="BW18" s="132">
        <v>12</v>
      </c>
      <c r="BY18" s="625" t="s">
        <v>342</v>
      </c>
      <c r="BZ18" s="8" t="s">
        <v>1076</v>
      </c>
      <c r="CA18" s="8" t="s">
        <v>1080</v>
      </c>
      <c r="CB18" s="132">
        <v>11</v>
      </c>
    </row>
    <row r="19" spans="17:80">
      <c r="Q19" s="625" t="e">
        <f ca="1"/>
        <v>#NAME?</v>
      </c>
      <c r="R19" s="8" t="e">
        <f ca="1"/>
        <v>#NAME?</v>
      </c>
      <c r="S19" s="8" t="e">
        <f ca="1"/>
        <v>#NAME?</v>
      </c>
      <c r="T19" s="132" t="e">
        <f ca="1"/>
        <v>#NAME?</v>
      </c>
      <c r="V19" s="625"/>
      <c r="W19" s="8" t="e">
        <f ca="1">$W$6</f>
        <v>#NAME?</v>
      </c>
      <c r="X19" s="132" t="e">
        <f ca="1">$X9</f>
        <v>#NAME?</v>
      </c>
      <c r="Y19" s="625">
        <f ca="1">SUMIFS($Y$22:$Y$29,$W$22:$W$29,W19,$X$22:$X$29,X19)</f>
        <v>768</v>
      </c>
      <c r="Z19" s="132" t="e">
        <f ca="1">IF(Y19=0,"",AVERAGEIFS($Z$22:$Z$29,$W$22:$W$29,W19,$X$22:$X$29,X19))</f>
        <v>#NAME?</v>
      </c>
      <c r="BJ19" s="625" t="s">
        <v>383</v>
      </c>
      <c r="BK19" s="8" t="s">
        <v>1075</v>
      </c>
      <c r="BL19" s="8" t="s">
        <v>1080</v>
      </c>
      <c r="BM19" s="132">
        <v>30</v>
      </c>
      <c r="BO19" s="625" t="s">
        <v>383</v>
      </c>
      <c r="BP19" s="8" t="s">
        <v>1076</v>
      </c>
      <c r="BQ19" s="8" t="s">
        <v>1080</v>
      </c>
      <c r="BR19" s="132">
        <v>35</v>
      </c>
      <c r="BT19" s="625" t="s">
        <v>342</v>
      </c>
      <c r="BU19" s="8" t="s">
        <v>1075</v>
      </c>
      <c r="BV19" s="8" t="s">
        <v>1080</v>
      </c>
      <c r="BW19" s="132">
        <v>26</v>
      </c>
      <c r="BY19" s="625" t="s">
        <v>342</v>
      </c>
      <c r="BZ19" s="8" t="s">
        <v>1076</v>
      </c>
      <c r="CA19" s="8" t="s">
        <v>1080</v>
      </c>
      <c r="CB19" s="132">
        <v>23</v>
      </c>
    </row>
    <row r="20" spans="17:80">
      <c r="Q20" s="625" t="e">
        <f ca="1"/>
        <v>#NAME?</v>
      </c>
      <c r="R20" s="8" t="e">
        <f ca="1"/>
        <v>#NAME?</v>
      </c>
      <c r="S20" s="8" t="e">
        <f ca="1"/>
        <v>#NAME?</v>
      </c>
      <c r="T20" s="132" t="e">
        <f ca="1"/>
        <v>#NAME?</v>
      </c>
      <c r="V20" s="625"/>
      <c r="W20" s="8" t="e">
        <f ca="1">$W$7</f>
        <v>#NAME?</v>
      </c>
      <c r="X20" s="132" t="e">
        <f ca="1">$X8</f>
        <v>#NAME?</v>
      </c>
      <c r="Y20" s="625">
        <f ca="1">SUMIFS($Y$22:$Y$29,$W$22:$W$29,W20,$X$22:$X$29,X20)</f>
        <v>768</v>
      </c>
      <c r="Z20" s="132" t="e">
        <f ca="1">IF(Y20=0,"",AVERAGEIFS($Z$22:$Z$29,$W$22:$W$29,W20,$X$22:$X$29,X20))</f>
        <v>#NAME?</v>
      </c>
      <c r="BJ20" s="625" t="s">
        <v>383</v>
      </c>
      <c r="BK20" s="8" t="s">
        <v>1075</v>
      </c>
      <c r="BL20" s="8" t="s">
        <v>1080</v>
      </c>
      <c r="BM20" s="132">
        <v>18</v>
      </c>
      <c r="BO20" s="625" t="s">
        <v>383</v>
      </c>
      <c r="BP20" s="8" t="s">
        <v>1076</v>
      </c>
      <c r="BQ20" s="8" t="s">
        <v>1080</v>
      </c>
      <c r="BR20" s="132">
        <v>25</v>
      </c>
      <c r="BT20" s="625" t="s">
        <v>342</v>
      </c>
      <c r="BU20" s="8" t="s">
        <v>1075</v>
      </c>
      <c r="BV20" s="8" t="s">
        <v>1080</v>
      </c>
      <c r="BW20" s="132">
        <v>35</v>
      </c>
      <c r="BY20" s="625" t="s">
        <v>342</v>
      </c>
      <c r="BZ20" s="8" t="s">
        <v>1076</v>
      </c>
      <c r="CA20" s="8" t="s">
        <v>1080</v>
      </c>
      <c r="CB20" s="132">
        <v>30</v>
      </c>
    </row>
    <row r="21" spans="17:80">
      <c r="Q21" s="625" t="e">
        <f ca="1"/>
        <v>#NAME?</v>
      </c>
      <c r="R21" s="8" t="e">
        <f ca="1"/>
        <v>#NAME?</v>
      </c>
      <c r="S21" s="8" t="e">
        <f ca="1"/>
        <v>#NAME?</v>
      </c>
      <c r="T21" s="132" t="e">
        <f ca="1"/>
        <v>#NAME?</v>
      </c>
      <c r="V21" s="1075"/>
      <c r="W21" s="1076" t="e">
        <f ca="1">$W$7</f>
        <v>#NAME?</v>
      </c>
      <c r="X21" s="1077" t="e">
        <f ca="1">$X9</f>
        <v>#NAME?</v>
      </c>
      <c r="Y21" s="1075">
        <f ca="1">SUMIFS($Y$22:$Y$29,$W$22:$W$29,W21,$X$22:$X$29,X21)</f>
        <v>768</v>
      </c>
      <c r="Z21" s="1077" t="e">
        <f ca="1">IF(Y21=0,"",AVERAGEIFS($Z$22:$Z$29,$W$22:$W$29,W21,$X$22:$X$29,X21))</f>
        <v>#NAME?</v>
      </c>
      <c r="BJ21" s="625" t="s">
        <v>383</v>
      </c>
      <c r="BK21" s="8" t="s">
        <v>1075</v>
      </c>
      <c r="BL21" s="8" t="s">
        <v>1080</v>
      </c>
      <c r="BM21" s="132">
        <v>11</v>
      </c>
      <c r="BO21" s="625" t="s">
        <v>383</v>
      </c>
      <c r="BP21" s="8" t="s">
        <v>1076</v>
      </c>
      <c r="BQ21" s="8" t="s">
        <v>1080</v>
      </c>
      <c r="BR21" s="132">
        <v>18</v>
      </c>
      <c r="BT21" s="625" t="s">
        <v>342</v>
      </c>
      <c r="BU21" s="8" t="s">
        <v>1075</v>
      </c>
      <c r="BV21" s="8" t="s">
        <v>1080</v>
      </c>
      <c r="BW21" s="132">
        <v>10</v>
      </c>
      <c r="BY21" s="625" t="s">
        <v>342</v>
      </c>
      <c r="BZ21" s="8" t="s">
        <v>1076</v>
      </c>
      <c r="CA21" s="8" t="s">
        <v>1080</v>
      </c>
      <c r="CB21" s="132">
        <v>26</v>
      </c>
    </row>
    <row r="22" spans="17:80">
      <c r="Q22" s="625" t="e">
        <f ca="1"/>
        <v>#NAME?</v>
      </c>
      <c r="R22" s="8" t="e">
        <f ca="1"/>
        <v>#NAME?</v>
      </c>
      <c r="S22" s="8" t="e">
        <f ca="1"/>
        <v>#NAME?</v>
      </c>
      <c r="T22" s="132" t="e">
        <f ca="1"/>
        <v>#NAME?</v>
      </c>
      <c r="V22" s="1104" t="e">
        <f ca="1">$V$4</f>
        <v>#NAME?</v>
      </c>
      <c r="W22" s="1105" t="e">
        <f t="shared" ref="W22:X29" ca="1" si="1">W18</f>
        <v>#NAME?</v>
      </c>
      <c r="X22" s="1106" t="e">
        <f t="shared" ca="1" si="1"/>
        <v>#NAME?</v>
      </c>
      <c r="Y22" s="1104">
        <f ca="1">COUNTIFS($Q$3:$Q$98,$V22,$R$3:$R$98,$W22,$S$3:$S$98,$X22)</f>
        <v>96</v>
      </c>
      <c r="Z22" s="1106" t="e">
        <f ca="1">IF(Y22=0,"",AVERAGEIFS($T$3:$T$98,$Q$3:$Q$98,$V22,$R$3:$R$98,$W22,$S$3:$S$98,$X22))</f>
        <v>#NAME?</v>
      </c>
      <c r="BJ22" s="625" t="s">
        <v>383</v>
      </c>
      <c r="BK22" s="8" t="s">
        <v>1075</v>
      </c>
      <c r="BL22" s="8" t="s">
        <v>1080</v>
      </c>
      <c r="BM22" s="132">
        <v>16</v>
      </c>
      <c r="BO22" s="625" t="s">
        <v>383</v>
      </c>
      <c r="BP22" s="8" t="s">
        <v>1076</v>
      </c>
      <c r="BQ22" s="8" t="s">
        <v>1080</v>
      </c>
      <c r="BR22" s="132">
        <v>29</v>
      </c>
      <c r="BT22" s="625" t="s">
        <v>342</v>
      </c>
      <c r="BU22" s="8" t="s">
        <v>1075</v>
      </c>
      <c r="BV22" s="8" t="s">
        <v>1080</v>
      </c>
      <c r="BW22" s="132">
        <v>23</v>
      </c>
      <c r="BY22" s="625" t="s">
        <v>342</v>
      </c>
      <c r="BZ22" s="8" t="s">
        <v>1076</v>
      </c>
      <c r="CA22" s="8" t="s">
        <v>1080</v>
      </c>
      <c r="CB22" s="132">
        <v>16</v>
      </c>
    </row>
    <row r="23" spans="17:80">
      <c r="Q23" s="625" t="e">
        <f ca="1"/>
        <v>#NAME?</v>
      </c>
      <c r="R23" s="8" t="e">
        <f ca="1"/>
        <v>#NAME?</v>
      </c>
      <c r="S23" s="8" t="e">
        <f ca="1"/>
        <v>#NAME?</v>
      </c>
      <c r="T23" s="132" t="e">
        <f ca="1"/>
        <v>#NAME?</v>
      </c>
      <c r="V23" s="625" t="e">
        <f ca="1">$V$4</f>
        <v>#NAME?</v>
      </c>
      <c r="W23" s="8" t="e">
        <f t="shared" ca="1" si="1"/>
        <v>#NAME?</v>
      </c>
      <c r="X23" s="132" t="e">
        <f t="shared" ca="1" si="1"/>
        <v>#NAME?</v>
      </c>
      <c r="Y23" s="625">
        <f t="shared" ref="Y23:Y29" ca="1" si="2">COUNTIFS($Q$3:$Q$98,$V23,$R$3:$R$98,$W23,$S$3:$S$98,$X23)</f>
        <v>96</v>
      </c>
      <c r="Z23" s="132" t="e">
        <f t="shared" ref="Z23:Z29" ca="1" si="3">IF(Y23=0,"",AVERAGEIFS($T$3:$T$98,$Q$3:$Q$98,$V23,$R$3:$R$98,$W23,$S$3:$S$98,$X23))</f>
        <v>#NAME?</v>
      </c>
      <c r="BJ23" s="625" t="s">
        <v>383</v>
      </c>
      <c r="BK23" s="8" t="s">
        <v>1075</v>
      </c>
      <c r="BL23" s="8" t="s">
        <v>1080</v>
      </c>
      <c r="BM23" s="132">
        <v>25</v>
      </c>
      <c r="BO23" s="625" t="s">
        <v>383</v>
      </c>
      <c r="BP23" s="8" t="s">
        <v>1076</v>
      </c>
      <c r="BQ23" s="8" t="s">
        <v>1080</v>
      </c>
      <c r="BR23" s="132">
        <v>36</v>
      </c>
      <c r="BT23" s="625" t="s">
        <v>342</v>
      </c>
      <c r="BU23" s="8" t="s">
        <v>1075</v>
      </c>
      <c r="BV23" s="8" t="s">
        <v>1080</v>
      </c>
      <c r="BW23" s="132">
        <v>26</v>
      </c>
      <c r="BY23" s="625" t="s">
        <v>342</v>
      </c>
      <c r="BZ23" s="8" t="s">
        <v>1076</v>
      </c>
      <c r="CA23" s="8" t="s">
        <v>1080</v>
      </c>
      <c r="CB23" s="132">
        <v>23</v>
      </c>
    </row>
    <row r="24" spans="17:80">
      <c r="Q24" s="625" t="e">
        <f ca="1"/>
        <v>#NAME?</v>
      </c>
      <c r="R24" s="8" t="e">
        <f ca="1"/>
        <v>#NAME?</v>
      </c>
      <c r="S24" s="8" t="e">
        <f ca="1"/>
        <v>#NAME?</v>
      </c>
      <c r="T24" s="132" t="e">
        <f ca="1"/>
        <v>#NAME?</v>
      </c>
      <c r="V24" s="625" t="e">
        <f ca="1">$V$4</f>
        <v>#NAME?</v>
      </c>
      <c r="W24" s="8" t="e">
        <f t="shared" ca="1" si="1"/>
        <v>#NAME?</v>
      </c>
      <c r="X24" s="132" t="e">
        <f t="shared" ca="1" si="1"/>
        <v>#NAME?</v>
      </c>
      <c r="Y24" s="625">
        <f t="shared" ca="1" si="2"/>
        <v>96</v>
      </c>
      <c r="Z24" s="132" t="e">
        <f t="shared" ca="1" si="3"/>
        <v>#NAME?</v>
      </c>
      <c r="BJ24" s="625" t="s">
        <v>383</v>
      </c>
      <c r="BK24" s="8" t="s">
        <v>1075</v>
      </c>
      <c r="BL24" s="8" t="s">
        <v>1080</v>
      </c>
      <c r="BM24" s="132">
        <v>18</v>
      </c>
      <c r="BO24" s="625" t="s">
        <v>383</v>
      </c>
      <c r="BP24" s="8" t="s">
        <v>1076</v>
      </c>
      <c r="BQ24" s="8" t="s">
        <v>1080</v>
      </c>
      <c r="BR24" s="132">
        <v>42</v>
      </c>
      <c r="BT24" s="625" t="s">
        <v>342</v>
      </c>
      <c r="BU24" s="8" t="s">
        <v>1075</v>
      </c>
      <c r="BV24" s="8" t="s">
        <v>1080</v>
      </c>
      <c r="BW24" s="132">
        <v>18</v>
      </c>
      <c r="BY24" s="625" t="s">
        <v>342</v>
      </c>
      <c r="BZ24" s="8" t="s">
        <v>1076</v>
      </c>
      <c r="CA24" s="8" t="s">
        <v>1080</v>
      </c>
      <c r="CB24" s="132">
        <v>14</v>
      </c>
    </row>
    <row r="25" spans="17:80">
      <c r="Q25" s="625" t="e">
        <f ca="1"/>
        <v>#NAME?</v>
      </c>
      <c r="R25" s="8" t="e">
        <f ca="1"/>
        <v>#NAME?</v>
      </c>
      <c r="S25" s="8" t="e">
        <f ca="1"/>
        <v>#NAME?</v>
      </c>
      <c r="T25" s="132" t="e">
        <f ca="1"/>
        <v>#NAME?</v>
      </c>
      <c r="V25" s="625" t="e">
        <f ca="1">$V$4</f>
        <v>#NAME?</v>
      </c>
      <c r="W25" s="8" t="e">
        <f t="shared" ca="1" si="1"/>
        <v>#NAME?</v>
      </c>
      <c r="X25" s="132" t="e">
        <f t="shared" ca="1" si="1"/>
        <v>#NAME?</v>
      </c>
      <c r="Y25" s="625">
        <f t="shared" ca="1" si="2"/>
        <v>96</v>
      </c>
      <c r="Z25" s="132" t="e">
        <f t="shared" ca="1" si="3"/>
        <v>#NAME?</v>
      </c>
      <c r="BJ25" s="625" t="s">
        <v>383</v>
      </c>
      <c r="BK25" s="8" t="s">
        <v>1075</v>
      </c>
      <c r="BL25" s="8" t="s">
        <v>1080</v>
      </c>
      <c r="BM25" s="132">
        <v>14</v>
      </c>
      <c r="BO25" s="625" t="s">
        <v>383</v>
      </c>
      <c r="BP25" s="8" t="s">
        <v>1076</v>
      </c>
      <c r="BQ25" s="8" t="s">
        <v>1080</v>
      </c>
      <c r="BR25" s="132">
        <v>40</v>
      </c>
      <c r="BT25" s="625" t="s">
        <v>342</v>
      </c>
      <c r="BU25" s="8" t="s">
        <v>1075</v>
      </c>
      <c r="BV25" s="8" t="s">
        <v>1080</v>
      </c>
      <c r="BW25" s="132">
        <v>24</v>
      </c>
      <c r="BY25" s="625" t="s">
        <v>342</v>
      </c>
      <c r="BZ25" s="8" t="s">
        <v>1076</v>
      </c>
      <c r="CA25" s="8" t="s">
        <v>1080</v>
      </c>
      <c r="CB25" s="132">
        <v>19</v>
      </c>
    </row>
    <row r="26" spans="17:80">
      <c r="Q26" s="625" t="e">
        <f ca="1"/>
        <v>#NAME?</v>
      </c>
      <c r="R26" s="8" t="e">
        <f ca="1"/>
        <v>#NAME?</v>
      </c>
      <c r="S26" s="8" t="e">
        <f ca="1"/>
        <v>#NAME?</v>
      </c>
      <c r="T26" s="132" t="e">
        <f ca="1"/>
        <v>#NAME?</v>
      </c>
      <c r="V26" s="625" t="e">
        <f ca="1">$V$5</f>
        <v>#NAME?</v>
      </c>
      <c r="W26" s="8" t="e">
        <f t="shared" ca="1" si="1"/>
        <v>#NAME?</v>
      </c>
      <c r="X26" s="132" t="e">
        <f t="shared" ca="1" si="1"/>
        <v>#NAME?</v>
      </c>
      <c r="Y26" s="625">
        <f t="shared" ca="1" si="2"/>
        <v>96</v>
      </c>
      <c r="Z26" s="132" t="e">
        <f t="shared" ca="1" si="3"/>
        <v>#NAME?</v>
      </c>
      <c r="BJ26" s="625" t="s">
        <v>383</v>
      </c>
      <c r="BK26" s="8" t="s">
        <v>1075</v>
      </c>
      <c r="BL26" s="8" t="s">
        <v>1080</v>
      </c>
      <c r="BM26" s="132">
        <v>25</v>
      </c>
      <c r="BO26" s="625" t="s">
        <v>383</v>
      </c>
      <c r="BP26" s="8" t="s">
        <v>1076</v>
      </c>
      <c r="BQ26" s="8" t="s">
        <v>1080</v>
      </c>
      <c r="BR26" s="132">
        <v>36</v>
      </c>
      <c r="BT26" s="625" t="s">
        <v>342</v>
      </c>
      <c r="BU26" s="8" t="s">
        <v>1075</v>
      </c>
      <c r="BV26" s="8" t="s">
        <v>1080</v>
      </c>
      <c r="BW26" s="132">
        <v>16</v>
      </c>
      <c r="BY26" s="1075" t="s">
        <v>342</v>
      </c>
      <c r="BZ26" s="1076" t="s">
        <v>1076</v>
      </c>
      <c r="CA26" s="1076" t="s">
        <v>1080</v>
      </c>
      <c r="CB26" s="1077">
        <v>25</v>
      </c>
    </row>
    <row r="27" spans="17:80">
      <c r="Q27" s="625" t="e">
        <f ca="1"/>
        <v>#NAME?</v>
      </c>
      <c r="R27" s="8" t="e">
        <f ca="1"/>
        <v>#NAME?</v>
      </c>
      <c r="S27" s="8" t="e">
        <f ca="1"/>
        <v>#NAME?</v>
      </c>
      <c r="T27" s="132" t="e">
        <f ca="1"/>
        <v>#NAME?</v>
      </c>
      <c r="V27" s="625" t="e">
        <f ca="1">$V$5</f>
        <v>#NAME?</v>
      </c>
      <c r="W27" s="8" t="e">
        <f t="shared" ca="1" si="1"/>
        <v>#NAME?</v>
      </c>
      <c r="X27" s="132" t="e">
        <f t="shared" ca="1" si="1"/>
        <v>#NAME?</v>
      </c>
      <c r="Y27" s="625">
        <f t="shared" ca="1" si="2"/>
        <v>96</v>
      </c>
      <c r="Z27" s="132" t="e">
        <f t="shared" ca="1" si="3"/>
        <v>#NAME?</v>
      </c>
    </row>
    <row r="28" spans="17:80">
      <c r="Q28" s="625" t="e">
        <f ca="1"/>
        <v>#NAME?</v>
      </c>
      <c r="R28" s="8" t="e">
        <f ca="1"/>
        <v>#NAME?</v>
      </c>
      <c r="S28" s="8" t="e">
        <f ca="1"/>
        <v>#NAME?</v>
      </c>
      <c r="T28" s="132" t="e">
        <f ca="1"/>
        <v>#NAME?</v>
      </c>
      <c r="V28" s="625" t="e">
        <f ca="1">$V$5</f>
        <v>#NAME?</v>
      </c>
      <c r="W28" s="8" t="e">
        <f t="shared" ca="1" si="1"/>
        <v>#NAME?</v>
      </c>
      <c r="X28" s="132" t="e">
        <f t="shared" ca="1" si="1"/>
        <v>#NAME?</v>
      </c>
      <c r="Y28" s="625">
        <f t="shared" ca="1" si="2"/>
        <v>96</v>
      </c>
      <c r="Z28" s="132" t="e">
        <f t="shared" ca="1" si="3"/>
        <v>#NAME?</v>
      </c>
    </row>
    <row r="29" spans="17:80">
      <c r="Q29" s="625" t="e">
        <f ca="1"/>
        <v>#NAME?</v>
      </c>
      <c r="R29" s="8" t="e">
        <f ca="1"/>
        <v>#NAME?</v>
      </c>
      <c r="S29" s="8" t="e">
        <f ca="1"/>
        <v>#NAME?</v>
      </c>
      <c r="T29" s="132" t="e">
        <f ca="1"/>
        <v>#NAME?</v>
      </c>
      <c r="V29" s="1075" t="e">
        <f ca="1">$V$5</f>
        <v>#NAME?</v>
      </c>
      <c r="W29" s="1076" t="e">
        <f t="shared" ca="1" si="1"/>
        <v>#NAME?</v>
      </c>
      <c r="X29" s="1077" t="e">
        <f t="shared" ca="1" si="1"/>
        <v>#NAME?</v>
      </c>
      <c r="Y29" s="1075">
        <f t="shared" ca="1" si="2"/>
        <v>96</v>
      </c>
      <c r="Z29" s="1077" t="e">
        <f t="shared" ca="1" si="3"/>
        <v>#NAME?</v>
      </c>
    </row>
    <row r="30" spans="17:80">
      <c r="Q30" s="625" t="e">
        <f ca="1"/>
        <v>#NAME?</v>
      </c>
      <c r="R30" s="8" t="e">
        <f ca="1"/>
        <v>#NAME?</v>
      </c>
      <c r="S30" s="8" t="e">
        <f ca="1"/>
        <v>#NAME?</v>
      </c>
      <c r="T30" s="132" t="e">
        <f ca="1"/>
        <v>#NAME?</v>
      </c>
      <c r="Y30">
        <f ca="1">SUM(Y22:Y29)</f>
        <v>768</v>
      </c>
      <c r="Z30" t="e">
        <f ca="1">AVERAGE(Z22:Z29)</f>
        <v>#NAME?</v>
      </c>
    </row>
    <row r="31" spans="17:80">
      <c r="Q31" s="625" t="e">
        <f ca="1"/>
        <v>#NAME?</v>
      </c>
      <c r="R31" s="8" t="e">
        <f ca="1"/>
        <v>#NAME?</v>
      </c>
      <c r="S31" s="8" t="e">
        <f ca="1"/>
        <v>#NAME?</v>
      </c>
      <c r="T31" s="132" t="e">
        <f ca="1"/>
        <v>#NAME?</v>
      </c>
      <c r="Y31" s="19" t="s">
        <v>1040</v>
      </c>
      <c r="Z31" s="1107" t="e">
        <f ca="1">DEVSQ(T3:T98)</f>
        <v>#NAME?</v>
      </c>
    </row>
    <row r="32" spans="17:80">
      <c r="Q32" s="625" t="e">
        <f ca="1"/>
        <v>#NAME?</v>
      </c>
      <c r="R32" s="8" t="e">
        <f ca="1"/>
        <v>#NAME?</v>
      </c>
      <c r="S32" s="8" t="e">
        <f ca="1"/>
        <v>#NAME?</v>
      </c>
      <c r="T32" s="132" t="e">
        <f ca="1"/>
        <v>#NAME?</v>
      </c>
    </row>
    <row r="33" spans="17:20">
      <c r="Q33" s="625" t="e">
        <f ca="1"/>
        <v>#NAME?</v>
      </c>
      <c r="R33" s="8" t="e">
        <f ca="1"/>
        <v>#NAME?</v>
      </c>
      <c r="S33" s="8" t="e">
        <f ca="1"/>
        <v>#NAME?</v>
      </c>
      <c r="T33" s="132" t="e">
        <f ca="1"/>
        <v>#NAME?</v>
      </c>
    </row>
    <row r="34" spans="17:20">
      <c r="Q34" s="625" t="e">
        <f ca="1"/>
        <v>#NAME?</v>
      </c>
      <c r="R34" s="8" t="e">
        <f ca="1"/>
        <v>#NAME?</v>
      </c>
      <c r="S34" s="8" t="e">
        <f ca="1"/>
        <v>#NAME?</v>
      </c>
      <c r="T34" s="132" t="e">
        <f ca="1"/>
        <v>#NAME?</v>
      </c>
    </row>
    <row r="35" spans="17:20">
      <c r="Q35" s="625" t="e">
        <f ca="1"/>
        <v>#NAME?</v>
      </c>
      <c r="R35" s="8" t="e">
        <f ca="1"/>
        <v>#NAME?</v>
      </c>
      <c r="S35" s="8" t="e">
        <f ca="1"/>
        <v>#NAME?</v>
      </c>
      <c r="T35" s="132" t="e">
        <f ca="1"/>
        <v>#NAME?</v>
      </c>
    </row>
    <row r="36" spans="17:20">
      <c r="Q36" s="625" t="e">
        <f ca="1"/>
        <v>#NAME?</v>
      </c>
      <c r="R36" s="8" t="e">
        <f ca="1"/>
        <v>#NAME?</v>
      </c>
      <c r="S36" s="8" t="e">
        <f ca="1"/>
        <v>#NAME?</v>
      </c>
      <c r="T36" s="132" t="e">
        <f ca="1"/>
        <v>#NAME?</v>
      </c>
    </row>
    <row r="37" spans="17:20">
      <c r="Q37" s="625" t="e">
        <f ca="1"/>
        <v>#NAME?</v>
      </c>
      <c r="R37" s="8" t="e">
        <f ca="1"/>
        <v>#NAME?</v>
      </c>
      <c r="S37" s="8" t="e">
        <f ca="1"/>
        <v>#NAME?</v>
      </c>
      <c r="T37" s="132" t="e">
        <f ca="1"/>
        <v>#NAME?</v>
      </c>
    </row>
    <row r="38" spans="17:20">
      <c r="Q38" s="625" t="e">
        <f ca="1"/>
        <v>#NAME?</v>
      </c>
      <c r="R38" s="8" t="e">
        <f ca="1"/>
        <v>#NAME?</v>
      </c>
      <c r="S38" s="8" t="e">
        <f ca="1"/>
        <v>#NAME?</v>
      </c>
      <c r="T38" s="132" t="e">
        <f ca="1"/>
        <v>#NAME?</v>
      </c>
    </row>
    <row r="39" spans="17:20">
      <c r="Q39" s="625" t="e">
        <f ca="1"/>
        <v>#NAME?</v>
      </c>
      <c r="R39" s="8" t="e">
        <f ca="1"/>
        <v>#NAME?</v>
      </c>
      <c r="S39" s="8" t="e">
        <f ca="1"/>
        <v>#NAME?</v>
      </c>
      <c r="T39" s="132" t="e">
        <f ca="1"/>
        <v>#NAME?</v>
      </c>
    </row>
    <row r="40" spans="17:20">
      <c r="Q40" s="625" t="e">
        <f ca="1"/>
        <v>#NAME?</v>
      </c>
      <c r="R40" s="8" t="e">
        <f ca="1"/>
        <v>#NAME?</v>
      </c>
      <c r="S40" s="8" t="e">
        <f ca="1"/>
        <v>#NAME?</v>
      </c>
      <c r="T40" s="132" t="e">
        <f ca="1"/>
        <v>#NAME?</v>
      </c>
    </row>
    <row r="41" spans="17:20">
      <c r="Q41" s="625" t="e">
        <f ca="1"/>
        <v>#NAME?</v>
      </c>
      <c r="R41" s="8" t="e">
        <f ca="1"/>
        <v>#NAME?</v>
      </c>
      <c r="S41" s="8" t="e">
        <f ca="1"/>
        <v>#NAME?</v>
      </c>
      <c r="T41" s="132" t="e">
        <f ca="1"/>
        <v>#NAME?</v>
      </c>
    </row>
    <row r="42" spans="17:20">
      <c r="Q42" s="625" t="e">
        <f ca="1"/>
        <v>#NAME?</v>
      </c>
      <c r="R42" s="8" t="e">
        <f ca="1"/>
        <v>#NAME?</v>
      </c>
      <c r="S42" s="8" t="e">
        <f ca="1"/>
        <v>#NAME?</v>
      </c>
      <c r="T42" s="132" t="e">
        <f ca="1"/>
        <v>#NAME?</v>
      </c>
    </row>
    <row r="43" spans="17:20">
      <c r="Q43" s="625" t="e">
        <f ca="1"/>
        <v>#NAME?</v>
      </c>
      <c r="R43" s="8" t="e">
        <f ca="1"/>
        <v>#NAME?</v>
      </c>
      <c r="S43" s="8" t="e">
        <f ca="1"/>
        <v>#NAME?</v>
      </c>
      <c r="T43" s="132" t="e">
        <f ca="1"/>
        <v>#NAME?</v>
      </c>
    </row>
    <row r="44" spans="17:20">
      <c r="Q44" s="625" t="e">
        <f ca="1"/>
        <v>#NAME?</v>
      </c>
      <c r="R44" s="8" t="e">
        <f ca="1"/>
        <v>#NAME?</v>
      </c>
      <c r="S44" s="8" t="e">
        <f ca="1"/>
        <v>#NAME?</v>
      </c>
      <c r="T44" s="132" t="e">
        <f ca="1"/>
        <v>#NAME?</v>
      </c>
    </row>
    <row r="45" spans="17:20">
      <c r="Q45" s="625" t="e">
        <f ca="1"/>
        <v>#NAME?</v>
      </c>
      <c r="R45" s="8" t="e">
        <f ca="1"/>
        <v>#NAME?</v>
      </c>
      <c r="S45" s="8" t="e">
        <f ca="1"/>
        <v>#NAME?</v>
      </c>
      <c r="T45" s="132" t="e">
        <f ca="1"/>
        <v>#NAME?</v>
      </c>
    </row>
    <row r="46" spans="17:20">
      <c r="Q46" s="625" t="e">
        <f ca="1"/>
        <v>#NAME?</v>
      </c>
      <c r="R46" s="8" t="e">
        <f ca="1"/>
        <v>#NAME?</v>
      </c>
      <c r="S46" s="8" t="e">
        <f ca="1"/>
        <v>#NAME?</v>
      </c>
      <c r="T46" s="132" t="e">
        <f ca="1"/>
        <v>#NAME?</v>
      </c>
    </row>
    <row r="47" spans="17:20">
      <c r="Q47" s="625" t="e">
        <f ca="1"/>
        <v>#NAME?</v>
      </c>
      <c r="R47" s="8" t="e">
        <f ca="1"/>
        <v>#NAME?</v>
      </c>
      <c r="S47" s="8" t="e">
        <f ca="1"/>
        <v>#NAME?</v>
      </c>
      <c r="T47" s="132" t="e">
        <f ca="1"/>
        <v>#NAME?</v>
      </c>
    </row>
    <row r="48" spans="17:20">
      <c r="Q48" s="625" t="e">
        <f ca="1"/>
        <v>#NAME?</v>
      </c>
      <c r="R48" s="8" t="e">
        <f ca="1"/>
        <v>#NAME?</v>
      </c>
      <c r="S48" s="8" t="e">
        <f ca="1"/>
        <v>#NAME?</v>
      </c>
      <c r="T48" s="132" t="e">
        <f ca="1"/>
        <v>#NAME?</v>
      </c>
    </row>
    <row r="49" spans="17:20">
      <c r="Q49" s="625" t="e">
        <f ca="1"/>
        <v>#NAME?</v>
      </c>
      <c r="R49" s="8" t="e">
        <f ca="1"/>
        <v>#NAME?</v>
      </c>
      <c r="S49" s="8" t="e">
        <f ca="1"/>
        <v>#NAME?</v>
      </c>
      <c r="T49" s="132" t="e">
        <f ca="1"/>
        <v>#NAME?</v>
      </c>
    </row>
    <row r="50" spans="17:20">
      <c r="Q50" s="625" t="e">
        <f ca="1"/>
        <v>#NAME?</v>
      </c>
      <c r="R50" s="8" t="e">
        <f ca="1"/>
        <v>#NAME?</v>
      </c>
      <c r="S50" s="8" t="e">
        <f ca="1"/>
        <v>#NAME?</v>
      </c>
      <c r="T50" s="132" t="e">
        <f ca="1"/>
        <v>#NAME?</v>
      </c>
    </row>
    <row r="51" spans="17:20">
      <c r="Q51" s="625" t="e">
        <f ca="1"/>
        <v>#NAME?</v>
      </c>
      <c r="R51" s="8" t="e">
        <f ca="1"/>
        <v>#NAME?</v>
      </c>
      <c r="S51" s="8" t="e">
        <f ca="1"/>
        <v>#NAME?</v>
      </c>
      <c r="T51" s="132" t="e">
        <f ca="1"/>
        <v>#NAME?</v>
      </c>
    </row>
    <row r="52" spans="17:20">
      <c r="Q52" s="625" t="e">
        <f ca="1"/>
        <v>#NAME?</v>
      </c>
      <c r="R52" s="8" t="e">
        <f ca="1"/>
        <v>#NAME?</v>
      </c>
      <c r="S52" s="8" t="e">
        <f ca="1"/>
        <v>#NAME?</v>
      </c>
      <c r="T52" s="132" t="e">
        <f ca="1"/>
        <v>#NAME?</v>
      </c>
    </row>
    <row r="53" spans="17:20">
      <c r="Q53" s="625" t="e">
        <f ca="1"/>
        <v>#NAME?</v>
      </c>
      <c r="R53" s="8" t="e">
        <f ca="1"/>
        <v>#NAME?</v>
      </c>
      <c r="S53" s="8" t="e">
        <f ca="1"/>
        <v>#NAME?</v>
      </c>
      <c r="T53" s="132" t="e">
        <f ca="1"/>
        <v>#NAME?</v>
      </c>
    </row>
    <row r="54" spans="17:20">
      <c r="Q54" s="625" t="e">
        <f ca="1"/>
        <v>#NAME?</v>
      </c>
      <c r="R54" s="8" t="e">
        <f ca="1"/>
        <v>#NAME?</v>
      </c>
      <c r="S54" s="8" t="e">
        <f ca="1"/>
        <v>#NAME?</v>
      </c>
      <c r="T54" s="132" t="e">
        <f ca="1"/>
        <v>#NAME?</v>
      </c>
    </row>
    <row r="55" spans="17:20">
      <c r="Q55" s="625" t="e">
        <f ca="1"/>
        <v>#NAME?</v>
      </c>
      <c r="R55" s="8" t="e">
        <f ca="1"/>
        <v>#NAME?</v>
      </c>
      <c r="S55" s="8" t="e">
        <f ca="1"/>
        <v>#NAME?</v>
      </c>
      <c r="T55" s="132" t="e">
        <f ca="1"/>
        <v>#NAME?</v>
      </c>
    </row>
    <row r="56" spans="17:20">
      <c r="Q56" s="625" t="e">
        <f ca="1"/>
        <v>#NAME?</v>
      </c>
      <c r="R56" s="8" t="e">
        <f ca="1"/>
        <v>#NAME?</v>
      </c>
      <c r="S56" s="8" t="e">
        <f ca="1"/>
        <v>#NAME?</v>
      </c>
      <c r="T56" s="132" t="e">
        <f ca="1"/>
        <v>#NAME?</v>
      </c>
    </row>
    <row r="57" spans="17:20">
      <c r="Q57" s="625" t="e">
        <f ca="1"/>
        <v>#NAME?</v>
      </c>
      <c r="R57" s="8" t="e">
        <f ca="1"/>
        <v>#NAME?</v>
      </c>
      <c r="S57" s="8" t="e">
        <f ca="1"/>
        <v>#NAME?</v>
      </c>
      <c r="T57" s="132" t="e">
        <f ca="1"/>
        <v>#NAME?</v>
      </c>
    </row>
    <row r="58" spans="17:20">
      <c r="Q58" s="625" t="e">
        <f ca="1"/>
        <v>#NAME?</v>
      </c>
      <c r="R58" s="8" t="e">
        <f ca="1"/>
        <v>#NAME?</v>
      </c>
      <c r="S58" s="8" t="e">
        <f ca="1"/>
        <v>#NAME?</v>
      </c>
      <c r="T58" s="132" t="e">
        <f ca="1"/>
        <v>#NAME?</v>
      </c>
    </row>
    <row r="59" spans="17:20">
      <c r="Q59" s="625" t="e">
        <f ca="1"/>
        <v>#NAME?</v>
      </c>
      <c r="R59" s="8" t="e">
        <f ca="1"/>
        <v>#NAME?</v>
      </c>
      <c r="S59" s="8" t="e">
        <f ca="1"/>
        <v>#NAME?</v>
      </c>
      <c r="T59" s="132" t="e">
        <f ca="1"/>
        <v>#NAME?</v>
      </c>
    </row>
    <row r="60" spans="17:20">
      <c r="Q60" s="625" t="e">
        <f ca="1"/>
        <v>#NAME?</v>
      </c>
      <c r="R60" s="8" t="e">
        <f ca="1"/>
        <v>#NAME?</v>
      </c>
      <c r="S60" s="8" t="e">
        <f ca="1"/>
        <v>#NAME?</v>
      </c>
      <c r="T60" s="132" t="e">
        <f ca="1"/>
        <v>#NAME?</v>
      </c>
    </row>
    <row r="61" spans="17:20">
      <c r="Q61" s="625" t="e">
        <f ca="1"/>
        <v>#NAME?</v>
      </c>
      <c r="R61" s="8" t="e">
        <f ca="1"/>
        <v>#NAME?</v>
      </c>
      <c r="S61" s="8" t="e">
        <f ca="1"/>
        <v>#NAME?</v>
      </c>
      <c r="T61" s="132" t="e">
        <f ca="1"/>
        <v>#NAME?</v>
      </c>
    </row>
    <row r="62" spans="17:20">
      <c r="Q62" s="625" t="e">
        <f ca="1"/>
        <v>#NAME?</v>
      </c>
      <c r="R62" s="8" t="e">
        <f ca="1"/>
        <v>#NAME?</v>
      </c>
      <c r="S62" s="8" t="e">
        <f ca="1"/>
        <v>#NAME?</v>
      </c>
      <c r="T62" s="132" t="e">
        <f ca="1"/>
        <v>#NAME?</v>
      </c>
    </row>
    <row r="63" spans="17:20">
      <c r="Q63" s="625" t="e">
        <f ca="1"/>
        <v>#NAME?</v>
      </c>
      <c r="R63" s="8" t="e">
        <f ca="1"/>
        <v>#NAME?</v>
      </c>
      <c r="S63" s="8" t="e">
        <f ca="1"/>
        <v>#NAME?</v>
      </c>
      <c r="T63" s="132" t="e">
        <f ca="1"/>
        <v>#NAME?</v>
      </c>
    </row>
    <row r="64" spans="17:20">
      <c r="Q64" s="625" t="e">
        <f ca="1"/>
        <v>#NAME?</v>
      </c>
      <c r="R64" s="8" t="e">
        <f ca="1"/>
        <v>#NAME?</v>
      </c>
      <c r="S64" s="8" t="e">
        <f ca="1"/>
        <v>#NAME?</v>
      </c>
      <c r="T64" s="132" t="e">
        <f ca="1"/>
        <v>#NAME?</v>
      </c>
    </row>
    <row r="65" spans="17:20">
      <c r="Q65" s="625" t="e">
        <f ca="1"/>
        <v>#NAME?</v>
      </c>
      <c r="R65" s="8" t="e">
        <f ca="1"/>
        <v>#NAME?</v>
      </c>
      <c r="S65" s="8" t="e">
        <f ca="1"/>
        <v>#NAME?</v>
      </c>
      <c r="T65" s="132" t="e">
        <f ca="1"/>
        <v>#NAME?</v>
      </c>
    </row>
    <row r="66" spans="17:20">
      <c r="Q66" s="625" t="e">
        <f ca="1"/>
        <v>#NAME?</v>
      </c>
      <c r="R66" s="8" t="e">
        <f ca="1"/>
        <v>#NAME?</v>
      </c>
      <c r="S66" s="8" t="e">
        <f ca="1"/>
        <v>#NAME?</v>
      </c>
      <c r="T66" s="132" t="e">
        <f ca="1"/>
        <v>#NAME?</v>
      </c>
    </row>
    <row r="67" spans="17:20">
      <c r="Q67" s="625" t="e">
        <f ca="1"/>
        <v>#NAME?</v>
      </c>
      <c r="R67" s="8" t="e">
        <f ca="1"/>
        <v>#NAME?</v>
      </c>
      <c r="S67" s="8" t="e">
        <f ca="1"/>
        <v>#NAME?</v>
      </c>
      <c r="T67" s="132" t="e">
        <f ca="1"/>
        <v>#NAME?</v>
      </c>
    </row>
    <row r="68" spans="17:20">
      <c r="Q68" s="625" t="e">
        <f ca="1"/>
        <v>#NAME?</v>
      </c>
      <c r="R68" s="8" t="e">
        <f ca="1"/>
        <v>#NAME?</v>
      </c>
      <c r="S68" s="8" t="e">
        <f ca="1"/>
        <v>#NAME?</v>
      </c>
      <c r="T68" s="132" t="e">
        <f ca="1"/>
        <v>#NAME?</v>
      </c>
    </row>
    <row r="69" spans="17:20">
      <c r="Q69" s="625" t="e">
        <f ca="1"/>
        <v>#NAME?</v>
      </c>
      <c r="R69" s="8" t="e">
        <f ca="1"/>
        <v>#NAME?</v>
      </c>
      <c r="S69" s="8" t="e">
        <f ca="1"/>
        <v>#NAME?</v>
      </c>
      <c r="T69" s="132" t="e">
        <f ca="1"/>
        <v>#NAME?</v>
      </c>
    </row>
    <row r="70" spans="17:20">
      <c r="Q70" s="625" t="e">
        <f ca="1"/>
        <v>#NAME?</v>
      </c>
      <c r="R70" s="8" t="e">
        <f ca="1"/>
        <v>#NAME?</v>
      </c>
      <c r="S70" s="8" t="e">
        <f ca="1"/>
        <v>#NAME?</v>
      </c>
      <c r="T70" s="132" t="e">
        <f ca="1"/>
        <v>#NAME?</v>
      </c>
    </row>
    <row r="71" spans="17:20">
      <c r="Q71" s="625" t="e">
        <f ca="1"/>
        <v>#NAME?</v>
      </c>
      <c r="R71" s="8" t="e">
        <f ca="1"/>
        <v>#NAME?</v>
      </c>
      <c r="S71" s="8" t="e">
        <f ca="1"/>
        <v>#NAME?</v>
      </c>
      <c r="T71" s="132" t="e">
        <f ca="1"/>
        <v>#NAME?</v>
      </c>
    </row>
    <row r="72" spans="17:20">
      <c r="Q72" s="625" t="e">
        <f ca="1"/>
        <v>#NAME?</v>
      </c>
      <c r="R72" s="8" t="e">
        <f ca="1"/>
        <v>#NAME?</v>
      </c>
      <c r="S72" s="8" t="e">
        <f ca="1"/>
        <v>#NAME?</v>
      </c>
      <c r="T72" s="132" t="e">
        <f ca="1"/>
        <v>#NAME?</v>
      </c>
    </row>
    <row r="73" spans="17:20">
      <c r="Q73" s="625" t="e">
        <f ca="1"/>
        <v>#NAME?</v>
      </c>
      <c r="R73" s="8" t="e">
        <f ca="1"/>
        <v>#NAME?</v>
      </c>
      <c r="S73" s="8" t="e">
        <f ca="1"/>
        <v>#NAME?</v>
      </c>
      <c r="T73" s="132" t="e">
        <f ca="1"/>
        <v>#NAME?</v>
      </c>
    </row>
    <row r="74" spans="17:20">
      <c r="Q74" s="625" t="e">
        <f ca="1"/>
        <v>#NAME?</v>
      </c>
      <c r="R74" s="8" t="e">
        <f ca="1"/>
        <v>#NAME?</v>
      </c>
      <c r="S74" s="8" t="e">
        <f ca="1"/>
        <v>#NAME?</v>
      </c>
      <c r="T74" s="132" t="e">
        <f ca="1"/>
        <v>#NAME?</v>
      </c>
    </row>
    <row r="75" spans="17:20">
      <c r="Q75" s="625" t="e">
        <f ca="1"/>
        <v>#NAME?</v>
      </c>
      <c r="R75" s="8" t="e">
        <f ca="1"/>
        <v>#NAME?</v>
      </c>
      <c r="S75" s="8" t="e">
        <f ca="1"/>
        <v>#NAME?</v>
      </c>
      <c r="T75" s="132" t="e">
        <f ca="1"/>
        <v>#NAME?</v>
      </c>
    </row>
    <row r="76" spans="17:20">
      <c r="Q76" s="625" t="e">
        <f ca="1"/>
        <v>#NAME?</v>
      </c>
      <c r="R76" s="8" t="e">
        <f ca="1"/>
        <v>#NAME?</v>
      </c>
      <c r="S76" s="8" t="e">
        <f ca="1"/>
        <v>#NAME?</v>
      </c>
      <c r="T76" s="132" t="e">
        <f ca="1"/>
        <v>#NAME?</v>
      </c>
    </row>
    <row r="77" spans="17:20">
      <c r="Q77" s="625" t="e">
        <f ca="1"/>
        <v>#NAME?</v>
      </c>
      <c r="R77" s="8" t="e">
        <f ca="1"/>
        <v>#NAME?</v>
      </c>
      <c r="S77" s="8" t="e">
        <f ca="1"/>
        <v>#NAME?</v>
      </c>
      <c r="T77" s="132" t="e">
        <f ca="1"/>
        <v>#NAME?</v>
      </c>
    </row>
    <row r="78" spans="17:20">
      <c r="Q78" s="625" t="e">
        <f ca="1"/>
        <v>#NAME?</v>
      </c>
      <c r="R78" s="8" t="e">
        <f ca="1"/>
        <v>#NAME?</v>
      </c>
      <c r="S78" s="8" t="e">
        <f ca="1"/>
        <v>#NAME?</v>
      </c>
      <c r="T78" s="132" t="e">
        <f ca="1"/>
        <v>#NAME?</v>
      </c>
    </row>
    <row r="79" spans="17:20">
      <c r="Q79" s="625" t="e">
        <f ca="1"/>
        <v>#NAME?</v>
      </c>
      <c r="R79" s="8" t="e">
        <f ca="1"/>
        <v>#NAME?</v>
      </c>
      <c r="S79" s="8" t="e">
        <f ca="1"/>
        <v>#NAME?</v>
      </c>
      <c r="T79" s="132" t="e">
        <f ca="1"/>
        <v>#NAME?</v>
      </c>
    </row>
    <row r="80" spans="17:20">
      <c r="Q80" s="625" t="e">
        <f ca="1"/>
        <v>#NAME?</v>
      </c>
      <c r="R80" s="8" t="e">
        <f ca="1"/>
        <v>#NAME?</v>
      </c>
      <c r="S80" s="8" t="e">
        <f ca="1"/>
        <v>#NAME?</v>
      </c>
      <c r="T80" s="132" t="e">
        <f ca="1"/>
        <v>#NAME?</v>
      </c>
    </row>
    <row r="81" spans="17:20">
      <c r="Q81" s="625" t="e">
        <f ca="1"/>
        <v>#NAME?</v>
      </c>
      <c r="R81" s="8" t="e">
        <f ca="1"/>
        <v>#NAME?</v>
      </c>
      <c r="S81" s="8" t="e">
        <f ca="1"/>
        <v>#NAME?</v>
      </c>
      <c r="T81" s="132" t="e">
        <f ca="1"/>
        <v>#NAME?</v>
      </c>
    </row>
    <row r="82" spans="17:20">
      <c r="Q82" s="625" t="e">
        <f ca="1"/>
        <v>#NAME?</v>
      </c>
      <c r="R82" s="8" t="e">
        <f ca="1"/>
        <v>#NAME?</v>
      </c>
      <c r="S82" s="8" t="e">
        <f ca="1"/>
        <v>#NAME?</v>
      </c>
      <c r="T82" s="132" t="e">
        <f ca="1"/>
        <v>#NAME?</v>
      </c>
    </row>
    <row r="83" spans="17:20">
      <c r="Q83" s="625" t="e">
        <f ca="1"/>
        <v>#NAME?</v>
      </c>
      <c r="R83" s="8" t="e">
        <f ca="1"/>
        <v>#NAME?</v>
      </c>
      <c r="S83" s="8" t="e">
        <f ca="1"/>
        <v>#NAME?</v>
      </c>
      <c r="T83" s="132" t="e">
        <f ca="1"/>
        <v>#NAME?</v>
      </c>
    </row>
    <row r="84" spans="17:20">
      <c r="Q84" s="625" t="e">
        <f ca="1"/>
        <v>#NAME?</v>
      </c>
      <c r="R84" s="8" t="e">
        <f ca="1"/>
        <v>#NAME?</v>
      </c>
      <c r="S84" s="8" t="e">
        <f ca="1"/>
        <v>#NAME?</v>
      </c>
      <c r="T84" s="132" t="e">
        <f ca="1"/>
        <v>#NAME?</v>
      </c>
    </row>
    <row r="85" spans="17:20">
      <c r="Q85" s="625" t="e">
        <f ca="1"/>
        <v>#NAME?</v>
      </c>
      <c r="R85" s="8" t="e">
        <f ca="1"/>
        <v>#NAME?</v>
      </c>
      <c r="S85" s="8" t="e">
        <f ca="1"/>
        <v>#NAME?</v>
      </c>
      <c r="T85" s="132" t="e">
        <f ca="1"/>
        <v>#NAME?</v>
      </c>
    </row>
    <row r="86" spans="17:20">
      <c r="Q86" s="625" t="e">
        <f ca="1"/>
        <v>#NAME?</v>
      </c>
      <c r="R86" s="8" t="e">
        <f ca="1"/>
        <v>#NAME?</v>
      </c>
      <c r="S86" s="8" t="e">
        <f ca="1"/>
        <v>#NAME?</v>
      </c>
      <c r="T86" s="132" t="e">
        <f ca="1"/>
        <v>#NAME?</v>
      </c>
    </row>
    <row r="87" spans="17:20">
      <c r="Q87" s="625" t="e">
        <f ca="1"/>
        <v>#NAME?</v>
      </c>
      <c r="R87" s="8" t="e">
        <f ca="1"/>
        <v>#NAME?</v>
      </c>
      <c r="S87" s="8" t="e">
        <f ca="1"/>
        <v>#NAME?</v>
      </c>
      <c r="T87" s="132" t="e">
        <f ca="1"/>
        <v>#NAME?</v>
      </c>
    </row>
    <row r="88" spans="17:20">
      <c r="Q88" s="625" t="e">
        <f ca="1"/>
        <v>#NAME?</v>
      </c>
      <c r="R88" s="8" t="e">
        <f ca="1"/>
        <v>#NAME?</v>
      </c>
      <c r="S88" s="8" t="e">
        <f ca="1"/>
        <v>#NAME?</v>
      </c>
      <c r="T88" s="132" t="e">
        <f ca="1"/>
        <v>#NAME?</v>
      </c>
    </row>
    <row r="89" spans="17:20">
      <c r="Q89" s="625" t="e">
        <f ca="1"/>
        <v>#NAME?</v>
      </c>
      <c r="R89" s="8" t="e">
        <f ca="1"/>
        <v>#NAME?</v>
      </c>
      <c r="S89" s="8" t="e">
        <f ca="1"/>
        <v>#NAME?</v>
      </c>
      <c r="T89" s="132" t="e">
        <f ca="1"/>
        <v>#NAME?</v>
      </c>
    </row>
    <row r="90" spans="17:20">
      <c r="Q90" s="625" t="e">
        <f ca="1"/>
        <v>#NAME?</v>
      </c>
      <c r="R90" s="8" t="e">
        <f ca="1"/>
        <v>#NAME?</v>
      </c>
      <c r="S90" s="8" t="e">
        <f ca="1"/>
        <v>#NAME?</v>
      </c>
      <c r="T90" s="132" t="e">
        <f ca="1"/>
        <v>#NAME?</v>
      </c>
    </row>
    <row r="91" spans="17:20">
      <c r="Q91" s="625" t="e">
        <f ca="1"/>
        <v>#NAME?</v>
      </c>
      <c r="R91" s="8" t="e">
        <f ca="1"/>
        <v>#NAME?</v>
      </c>
      <c r="S91" s="8" t="e">
        <f ca="1"/>
        <v>#NAME?</v>
      </c>
      <c r="T91" s="132" t="e">
        <f ca="1"/>
        <v>#NAME?</v>
      </c>
    </row>
    <row r="92" spans="17:20">
      <c r="Q92" s="625" t="e">
        <f ca="1"/>
        <v>#NAME?</v>
      </c>
      <c r="R92" s="8" t="e">
        <f ca="1"/>
        <v>#NAME?</v>
      </c>
      <c r="S92" s="8" t="e">
        <f ca="1"/>
        <v>#NAME?</v>
      </c>
      <c r="T92" s="132" t="e">
        <f ca="1"/>
        <v>#NAME?</v>
      </c>
    </row>
    <row r="93" spans="17:20">
      <c r="Q93" s="625" t="e">
        <f ca="1"/>
        <v>#NAME?</v>
      </c>
      <c r="R93" s="8" t="e">
        <f ca="1"/>
        <v>#NAME?</v>
      </c>
      <c r="S93" s="8" t="e">
        <f ca="1"/>
        <v>#NAME?</v>
      </c>
      <c r="T93" s="132" t="e">
        <f ca="1"/>
        <v>#NAME?</v>
      </c>
    </row>
    <row r="94" spans="17:20">
      <c r="Q94" s="625" t="e">
        <f ca="1"/>
        <v>#NAME?</v>
      </c>
      <c r="R94" s="8" t="e">
        <f ca="1"/>
        <v>#NAME?</v>
      </c>
      <c r="S94" s="8" t="e">
        <f ca="1"/>
        <v>#NAME?</v>
      </c>
      <c r="T94" s="132" t="e">
        <f ca="1"/>
        <v>#NAME?</v>
      </c>
    </row>
    <row r="95" spans="17:20">
      <c r="Q95" s="625" t="e">
        <f ca="1"/>
        <v>#NAME?</v>
      </c>
      <c r="R95" s="8" t="e">
        <f ca="1"/>
        <v>#NAME?</v>
      </c>
      <c r="S95" s="8" t="e">
        <f ca="1"/>
        <v>#NAME?</v>
      </c>
      <c r="T95" s="132" t="e">
        <f ca="1"/>
        <v>#NAME?</v>
      </c>
    </row>
    <row r="96" spans="17:20">
      <c r="Q96" s="625" t="e">
        <f ca="1"/>
        <v>#NAME?</v>
      </c>
      <c r="R96" s="8" t="e">
        <f ca="1"/>
        <v>#NAME?</v>
      </c>
      <c r="S96" s="8" t="e">
        <f ca="1"/>
        <v>#NAME?</v>
      </c>
      <c r="T96" s="132" t="e">
        <f ca="1"/>
        <v>#NAME?</v>
      </c>
    </row>
    <row r="97" spans="17:20">
      <c r="Q97" s="625" t="e">
        <f ca="1"/>
        <v>#NAME?</v>
      </c>
      <c r="R97" s="8" t="e">
        <f ca="1"/>
        <v>#NAME?</v>
      </c>
      <c r="S97" s="8" t="e">
        <f ca="1"/>
        <v>#NAME?</v>
      </c>
      <c r="T97" s="132" t="e">
        <f ca="1"/>
        <v>#NAME?</v>
      </c>
    </row>
    <row r="98" spans="17:20">
      <c r="Q98" s="1075" t="e">
        <f ca="1"/>
        <v>#NAME?</v>
      </c>
      <c r="R98" s="1076" t="e">
        <f ca="1"/>
        <v>#NAME?</v>
      </c>
      <c r="S98" s="1076" t="e">
        <f ca="1"/>
        <v>#NAME?</v>
      </c>
      <c r="T98" s="1077" t="e">
        <f ca="1"/>
        <v>#NAME?</v>
      </c>
    </row>
  </sheetData>
  <mergeCells count="2">
    <mergeCell ref="D3:O3"/>
    <mergeCell ref="AW3:BH3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sheetPr codeName="Sheet259"/>
  <dimension ref="A1:AH91"/>
  <sheetViews>
    <sheetView zoomScaleNormal="100" workbookViewId="0"/>
  </sheetViews>
  <sheetFormatPr defaultRowHeight="14.4"/>
  <cols>
    <col min="3" max="3" width="9.109375" customWidth="1"/>
    <col min="4" max="15" width="4.44140625" customWidth="1"/>
    <col min="16" max="16" width="9.109375" customWidth="1"/>
    <col min="19" max="21" width="9.109375" customWidth="1"/>
    <col min="24" max="25" width="9.109375" customWidth="1"/>
    <col min="27" max="28" width="9.109375" customWidth="1"/>
    <col min="30" max="30" width="9.109375" customWidth="1"/>
    <col min="34" max="34" width="9.109375" customWidth="1"/>
  </cols>
  <sheetData>
    <row r="1" spans="1:34">
      <c r="A1" s="1" t="s">
        <v>2871</v>
      </c>
      <c r="Q1" t="s">
        <v>2852</v>
      </c>
      <c r="V1" t="s">
        <v>95</v>
      </c>
      <c r="AB1" t="s">
        <v>2853</v>
      </c>
    </row>
    <row r="3" spans="1:34" ht="15" thickBot="1">
      <c r="A3" s="387" t="s">
        <v>1041</v>
      </c>
      <c r="B3" s="388" t="s">
        <v>1074</v>
      </c>
      <c r="C3" s="389" t="s">
        <v>1078</v>
      </c>
      <c r="D3" s="1563" t="s">
        <v>1042</v>
      </c>
      <c r="E3" s="1564"/>
      <c r="F3" s="1564"/>
      <c r="G3" s="1564"/>
      <c r="H3" s="1564"/>
      <c r="I3" s="1564"/>
      <c r="J3" s="1564"/>
      <c r="K3" s="1564"/>
      <c r="L3" s="1564"/>
      <c r="M3" s="1564"/>
      <c r="N3" s="1564"/>
      <c r="O3" s="1565"/>
      <c r="Q3" s="1109" t="e">
        <f t="array" aca="1" ref="Q3:T91" ca="1">[1]!Anova3Cols(A4:O11)</f>
        <v>#NAME?</v>
      </c>
      <c r="R3" s="1110" t="e">
        <f ca="1"/>
        <v>#NAME?</v>
      </c>
      <c r="S3" s="1110" t="e">
        <f ca="1"/>
        <v>#NAME?</v>
      </c>
      <c r="T3" s="1111" t="e">
        <f ca="1"/>
        <v>#NAME?</v>
      </c>
      <c r="Y3" s="19" t="s">
        <v>88</v>
      </c>
      <c r="Z3" s="19" t="s">
        <v>76</v>
      </c>
      <c r="AB3" t="s">
        <v>695</v>
      </c>
      <c r="AF3" s="1100" t="s">
        <v>116</v>
      </c>
      <c r="AG3" s="1100">
        <v>0.05</v>
      </c>
    </row>
    <row r="4" spans="1:34" ht="15" thickTop="1">
      <c r="A4" s="377" t="s">
        <v>383</v>
      </c>
      <c r="B4" s="376" t="s">
        <v>1075</v>
      </c>
      <c r="C4" s="9" t="s">
        <v>1079</v>
      </c>
      <c r="D4" s="391">
        <v>23</v>
      </c>
      <c r="E4" s="391">
        <v>18</v>
      </c>
      <c r="F4" s="391">
        <v>26</v>
      </c>
      <c r="G4" s="391">
        <v>32</v>
      </c>
      <c r="H4" s="391">
        <v>13</v>
      </c>
      <c r="I4" s="391">
        <v>31</v>
      </c>
      <c r="J4" s="391">
        <v>26</v>
      </c>
      <c r="K4" s="391">
        <v>34</v>
      </c>
      <c r="L4" s="391">
        <v>17</v>
      </c>
      <c r="M4" s="391">
        <v>23</v>
      </c>
      <c r="N4" s="391">
        <v>28</v>
      </c>
      <c r="O4" s="392">
        <v>26</v>
      </c>
      <c r="Q4" s="625" t="e">
        <f ca="1"/>
        <v>#NAME?</v>
      </c>
      <c r="R4" s="8" t="e">
        <f ca="1"/>
        <v>#NAME?</v>
      </c>
      <c r="S4" s="8" t="e">
        <f ca="1"/>
        <v>#NAME?</v>
      </c>
      <c r="T4" s="132" t="e">
        <f ca="1"/>
        <v>#NAME?</v>
      </c>
      <c r="V4" s="1109" t="e">
        <f t="array" aca="1" ref="V4:V5" ca="1">[1]!SortUnique(Q3:Q91)</f>
        <v>#NAME?</v>
      </c>
      <c r="W4" s="1110"/>
      <c r="X4" s="1111"/>
      <c r="Y4" s="1109">
        <f ca="1">SUMIF($V$22:$V$29,V4,$Y$22:$Y$29)</f>
        <v>712</v>
      </c>
      <c r="Z4" s="1111" t="e">
        <f ca="1">IF(Y4=0,"",AVERAGEIF($V$22:$V$29,V4,$Z$22:$Z$29))</f>
        <v>#NAME?</v>
      </c>
      <c r="AB4" s="1070"/>
      <c r="AC4" s="1070" t="s">
        <v>578</v>
      </c>
      <c r="AD4" s="1070" t="s">
        <v>186</v>
      </c>
      <c r="AE4" s="1070" t="s">
        <v>641</v>
      </c>
      <c r="AF4" s="1070" t="s">
        <v>388</v>
      </c>
      <c r="AG4" s="1070" t="s">
        <v>200</v>
      </c>
      <c r="AH4" s="1070" t="s">
        <v>948</v>
      </c>
    </row>
    <row r="5" spans="1:34">
      <c r="A5" s="377" t="s">
        <v>383</v>
      </c>
      <c r="B5" s="376" t="s">
        <v>1075</v>
      </c>
      <c r="C5" s="9" t="s">
        <v>1080</v>
      </c>
      <c r="D5" s="8">
        <v>24</v>
      </c>
      <c r="E5" s="8">
        <v>25</v>
      </c>
      <c r="F5" s="8">
        <v>14</v>
      </c>
      <c r="G5" s="8">
        <v>17</v>
      </c>
      <c r="H5" s="8">
        <v>30</v>
      </c>
      <c r="I5" s="8">
        <v>18</v>
      </c>
      <c r="J5" s="8">
        <v>11</v>
      </c>
      <c r="K5" s="8">
        <v>16</v>
      </c>
      <c r="L5" s="8">
        <v>25</v>
      </c>
      <c r="M5" s="8"/>
      <c r="N5" s="8"/>
      <c r="O5" s="9"/>
      <c r="Q5" s="625" t="e">
        <f ca="1"/>
        <v>#NAME?</v>
      </c>
      <c r="R5" s="8" t="e">
        <f ca="1"/>
        <v>#NAME?</v>
      </c>
      <c r="S5" s="8" t="e">
        <f ca="1"/>
        <v>#NAME?</v>
      </c>
      <c r="T5" s="132" t="e">
        <f ca="1"/>
        <v>#NAME?</v>
      </c>
      <c r="V5" s="625" t="e">
        <f ca="1"/>
        <v>#NAME?</v>
      </c>
      <c r="W5" s="8"/>
      <c r="X5" s="132"/>
      <c r="Y5" s="625">
        <f ca="1">SUMIF($V$22:$V$29,V5,$Y$22:$Y$29)</f>
        <v>712</v>
      </c>
      <c r="Z5" s="132" t="e">
        <f ca="1">IF(Y5=0,"",AVERAGEIF($V$22:$V$29,V5,$Z$22:$Z$29))</f>
        <v>#NAME?</v>
      </c>
      <c r="AB5" t="s">
        <v>526</v>
      </c>
      <c r="AC5" t="e">
        <f t="array" aca="1" ref="AC5:AC12" ca="1">[1]!SSAnova3(Q3:T91)</f>
        <v>#NAME?</v>
      </c>
      <c r="AD5">
        <f ca="1">COUNT(Z4:Z5)-1</f>
        <v>-1</v>
      </c>
      <c r="AE5" t="e">
        <f t="shared" ref="AE5:AE13" ca="1" si="0">AC5/AD5</f>
        <v>#NAME?</v>
      </c>
      <c r="AF5" t="e">
        <f ca="1">AE5/AE12</f>
        <v>#NAME?</v>
      </c>
      <c r="AG5" t="e">
        <f ca="1">FDIST(AF5,AD5,AD12)</f>
        <v>#NAME?</v>
      </c>
      <c r="AH5" s="1100" t="e">
        <f ca="1">IF(AG5&lt;AG3,"yes","no")</f>
        <v>#NAME?</v>
      </c>
    </row>
    <row r="6" spans="1:34">
      <c r="A6" s="377" t="s">
        <v>383</v>
      </c>
      <c r="B6" s="376" t="s">
        <v>1076</v>
      </c>
      <c r="C6" s="9" t="s">
        <v>1079</v>
      </c>
      <c r="D6" s="8">
        <v>16</v>
      </c>
      <c r="E6" s="8">
        <v>31</v>
      </c>
      <c r="F6" s="8">
        <v>17</v>
      </c>
      <c r="G6" s="8">
        <v>11</v>
      </c>
      <c r="H6" s="8">
        <v>34</v>
      </c>
      <c r="I6" s="8">
        <v>24</v>
      </c>
      <c r="J6" s="8">
        <v>24</v>
      </c>
      <c r="K6" s="8">
        <v>19</v>
      </c>
      <c r="L6" s="8">
        <v>31</v>
      </c>
      <c r="M6" s="8">
        <v>16</v>
      </c>
      <c r="N6" s="8">
        <v>11</v>
      </c>
      <c r="O6" s="9"/>
      <c r="Q6" s="625" t="e">
        <f ca="1"/>
        <v>#NAME?</v>
      </c>
      <c r="R6" s="8" t="e">
        <f ca="1"/>
        <v>#NAME?</v>
      </c>
      <c r="S6" s="8" t="e">
        <f ca="1"/>
        <v>#NAME?</v>
      </c>
      <c r="T6" s="132" t="e">
        <f ca="1"/>
        <v>#NAME?</v>
      </c>
      <c r="V6" s="625"/>
      <c r="W6" s="8" t="e">
        <f t="array" aca="1" ref="W6:W7" ca="1">[1]!SortUnique(R3:R91)</f>
        <v>#NAME?</v>
      </c>
      <c r="X6" s="132"/>
      <c r="Y6" s="625">
        <f ca="1">SUMIF($W$22:$W$29,W6,$Y$22:$Y$29)</f>
        <v>712</v>
      </c>
      <c r="Z6" s="132" t="e">
        <f ca="1">IF(Y6=0,"",AVERAGEIF($W$22:$W$29,W6,$Z$22:$Z$29))</f>
        <v>#NAME?</v>
      </c>
      <c r="AB6" t="s">
        <v>384</v>
      </c>
      <c r="AC6" t="e">
        <f ca="1"/>
        <v>#NAME?</v>
      </c>
      <c r="AD6">
        <f ca="1">COUNT(Z6:Z7)-1</f>
        <v>-1</v>
      </c>
      <c r="AE6" t="e">
        <f t="shared" ca="1" si="0"/>
        <v>#NAME?</v>
      </c>
      <c r="AF6" t="e">
        <f ca="1">AE6/AE12</f>
        <v>#NAME?</v>
      </c>
      <c r="AG6" t="e">
        <f ca="1">FDIST(AF6,AD6,AD12)</f>
        <v>#NAME?</v>
      </c>
      <c r="AH6" s="1100" t="e">
        <f ca="1">IF(AG6&lt;AG3,"yes","no")</f>
        <v>#NAME?</v>
      </c>
    </row>
    <row r="7" spans="1:34">
      <c r="A7" s="377" t="s">
        <v>383</v>
      </c>
      <c r="B7" s="376" t="s">
        <v>1076</v>
      </c>
      <c r="C7" s="9" t="s">
        <v>1080</v>
      </c>
      <c r="D7" s="8">
        <v>31</v>
      </c>
      <c r="E7" s="8">
        <v>29</v>
      </c>
      <c r="F7" s="8">
        <v>40</v>
      </c>
      <c r="G7" s="8">
        <v>31</v>
      </c>
      <c r="H7" s="8">
        <v>35</v>
      </c>
      <c r="I7" s="8">
        <v>25</v>
      </c>
      <c r="J7" s="8">
        <v>18</v>
      </c>
      <c r="K7" s="8">
        <v>29</v>
      </c>
      <c r="L7" s="8">
        <v>36</v>
      </c>
      <c r="M7" s="8">
        <v>42</v>
      </c>
      <c r="N7" s="8">
        <v>40</v>
      </c>
      <c r="O7" s="9">
        <v>36</v>
      </c>
      <c r="Q7" s="625" t="e">
        <f ca="1"/>
        <v>#NAME?</v>
      </c>
      <c r="R7" s="8" t="e">
        <f ca="1"/>
        <v>#NAME?</v>
      </c>
      <c r="S7" s="8" t="e">
        <f ca="1"/>
        <v>#NAME?</v>
      </c>
      <c r="T7" s="132" t="e">
        <f ca="1"/>
        <v>#NAME?</v>
      </c>
      <c r="V7" s="625"/>
      <c r="W7" s="8" t="e">
        <f ca="1"/>
        <v>#NAME?</v>
      </c>
      <c r="X7" s="132"/>
      <c r="Y7" s="625">
        <f ca="1">SUMIF($W$22:$W$29,W7,$Y$22:$Y$29)</f>
        <v>712</v>
      </c>
      <c r="Z7" s="132" t="e">
        <f ca="1">IF(Y7=0,"",AVERAGEIF($W$22:$W$29,W7,$Z$22:$Z$29))</f>
        <v>#NAME?</v>
      </c>
      <c r="AB7" t="s">
        <v>385</v>
      </c>
      <c r="AC7" t="e">
        <f ca="1"/>
        <v>#NAME?</v>
      </c>
      <c r="AD7">
        <f ca="1">COUNT(Z8:Z9)-1</f>
        <v>-1</v>
      </c>
      <c r="AE7" t="e">
        <f t="shared" ca="1" si="0"/>
        <v>#NAME?</v>
      </c>
      <c r="AF7" t="e">
        <f ca="1">AE7/AE12</f>
        <v>#NAME?</v>
      </c>
      <c r="AG7" t="e">
        <f ca="1">FDIST(AF7,AD7,AD12)</f>
        <v>#NAME?</v>
      </c>
      <c r="AH7" s="1100" t="e">
        <f ca="1">IF(AG7&lt;AG3,"yes","no")</f>
        <v>#NAME?</v>
      </c>
    </row>
    <row r="8" spans="1:34">
      <c r="A8" s="377" t="s">
        <v>342</v>
      </c>
      <c r="B8" s="376" t="s">
        <v>1075</v>
      </c>
      <c r="C8" s="9" t="s">
        <v>1079</v>
      </c>
      <c r="D8" s="8">
        <v>19</v>
      </c>
      <c r="E8" s="8">
        <v>28</v>
      </c>
      <c r="F8" s="8">
        <v>31</v>
      </c>
      <c r="G8" s="8">
        <v>23</v>
      </c>
      <c r="H8" s="8">
        <v>19</v>
      </c>
      <c r="I8" s="8">
        <v>14</v>
      </c>
      <c r="J8" s="8">
        <v>4</v>
      </c>
      <c r="K8" s="8">
        <v>29</v>
      </c>
      <c r="L8" s="8">
        <v>18</v>
      </c>
      <c r="M8" s="8">
        <v>22</v>
      </c>
      <c r="N8" s="8">
        <v>18</v>
      </c>
      <c r="O8" s="9">
        <v>24</v>
      </c>
      <c r="Q8" s="625" t="e">
        <f ca="1"/>
        <v>#NAME?</v>
      </c>
      <c r="R8" s="8" t="e">
        <f ca="1"/>
        <v>#NAME?</v>
      </c>
      <c r="S8" s="8" t="e">
        <f ca="1"/>
        <v>#NAME?</v>
      </c>
      <c r="T8" s="132" t="e">
        <f ca="1"/>
        <v>#NAME?</v>
      </c>
      <c r="V8" s="625"/>
      <c r="W8" s="8"/>
      <c r="X8" s="132" t="e">
        <f t="array" aca="1" ref="X8:X9" ca="1">[1]!SortUnique(S3:S91)</f>
        <v>#NAME?</v>
      </c>
      <c r="Y8" s="625">
        <f ca="1">SUMIF($X$22:$X$29,X8,$Y$22:$Y$29)</f>
        <v>712</v>
      </c>
      <c r="Z8" s="132" t="e">
        <f ca="1">IF(Y8=0,"",AVERAGEIF($X$22:$X$29,X8,$Z$22:$Z$29))</f>
        <v>#NAME?</v>
      </c>
      <c r="AB8" t="s">
        <v>1043</v>
      </c>
      <c r="AC8" t="e">
        <f ca="1"/>
        <v>#NAME?</v>
      </c>
      <c r="AD8">
        <f ca="1">AD6*AD5</f>
        <v>1</v>
      </c>
      <c r="AE8" t="e">
        <f t="shared" ca="1" si="0"/>
        <v>#NAME?</v>
      </c>
      <c r="AF8" t="e">
        <f ca="1">AE8/AE12</f>
        <v>#NAME?</v>
      </c>
      <c r="AG8" t="e">
        <f ca="1">FDIST(AF8,AD8,AD12)</f>
        <v>#NAME?</v>
      </c>
      <c r="AH8" s="1100" t="e">
        <f ca="1">IF(AG8&lt;AG3,"yes","no")</f>
        <v>#NAME?</v>
      </c>
    </row>
    <row r="9" spans="1:34">
      <c r="A9" s="377" t="s">
        <v>342</v>
      </c>
      <c r="B9" s="376" t="s">
        <v>1075</v>
      </c>
      <c r="C9" s="9" t="s">
        <v>1080</v>
      </c>
      <c r="D9" s="8">
        <v>29</v>
      </c>
      <c r="E9" s="8">
        <v>25</v>
      </c>
      <c r="F9" s="8">
        <v>17</v>
      </c>
      <c r="G9" s="8">
        <v>12</v>
      </c>
      <c r="H9" s="8">
        <v>26</v>
      </c>
      <c r="I9" s="8">
        <v>35</v>
      </c>
      <c r="J9" s="8">
        <v>10</v>
      </c>
      <c r="K9" s="8">
        <v>23</v>
      </c>
      <c r="L9" s="8">
        <v>26</v>
      </c>
      <c r="M9" s="8">
        <v>18</v>
      </c>
      <c r="N9" s="8"/>
      <c r="O9" s="9"/>
      <c r="Q9" s="625" t="e">
        <f ca="1"/>
        <v>#NAME?</v>
      </c>
      <c r="R9" s="8" t="e">
        <f ca="1"/>
        <v>#NAME?</v>
      </c>
      <c r="S9" s="8" t="e">
        <f ca="1"/>
        <v>#NAME?</v>
      </c>
      <c r="T9" s="132" t="e">
        <f ca="1"/>
        <v>#NAME?</v>
      </c>
      <c r="V9" s="1075"/>
      <c r="W9" s="1076"/>
      <c r="X9" s="1077" t="e">
        <f ca="1"/>
        <v>#NAME?</v>
      </c>
      <c r="Y9" s="1075">
        <f ca="1">SUMIF($X$22:$X$29,X9,$Y$22:$Y$29)</f>
        <v>712</v>
      </c>
      <c r="Z9" s="1077" t="e">
        <f ca="1">IF(Y9=0,"",AVERAGEIF($X$22:$X$29,X9,$Z$22:$Z$29))</f>
        <v>#NAME?</v>
      </c>
      <c r="AB9" t="s">
        <v>1045</v>
      </c>
      <c r="AC9" t="e">
        <f ca="1"/>
        <v>#NAME?</v>
      </c>
      <c r="AD9">
        <f ca="1">AD7*AD5</f>
        <v>1</v>
      </c>
      <c r="AE9" t="e">
        <f t="shared" ca="1" si="0"/>
        <v>#NAME?</v>
      </c>
      <c r="AF9" t="e">
        <f ca="1">AE9/AE12</f>
        <v>#NAME?</v>
      </c>
      <c r="AG9" t="e">
        <f ca="1">FDIST(AF9,AD8,AD12)</f>
        <v>#NAME?</v>
      </c>
      <c r="AH9" s="1100" t="e">
        <f ca="1">IF(AG9&lt;AG3,"yes","no")</f>
        <v>#NAME?</v>
      </c>
    </row>
    <row r="10" spans="1:34">
      <c r="A10" s="377" t="s">
        <v>342</v>
      </c>
      <c r="B10" s="376" t="s">
        <v>1076</v>
      </c>
      <c r="C10" s="9" t="s">
        <v>1079</v>
      </c>
      <c r="D10" s="8">
        <v>28</v>
      </c>
      <c r="E10" s="8">
        <v>37</v>
      </c>
      <c r="F10" s="8">
        <v>22</v>
      </c>
      <c r="G10" s="8">
        <v>44</v>
      </c>
      <c r="H10" s="8">
        <v>37</v>
      </c>
      <c r="I10" s="8">
        <v>42</v>
      </c>
      <c r="J10" s="8">
        <v>30</v>
      </c>
      <c r="K10" s="8">
        <v>37</v>
      </c>
      <c r="L10" s="8">
        <v>25</v>
      </c>
      <c r="M10" s="8">
        <v>38</v>
      </c>
      <c r="N10" s="8">
        <v>41</v>
      </c>
      <c r="O10" s="9">
        <v>28</v>
      </c>
      <c r="Q10" s="625" t="e">
        <f ca="1"/>
        <v>#NAME?</v>
      </c>
      <c r="R10" s="8" t="e">
        <f ca="1"/>
        <v>#NAME?</v>
      </c>
      <c r="S10" s="8" t="e">
        <f ca="1"/>
        <v>#NAME?</v>
      </c>
      <c r="T10" s="132" t="e">
        <f ca="1"/>
        <v>#NAME?</v>
      </c>
      <c r="V10" s="1109" t="e">
        <f ca="1">$V$4</f>
        <v>#NAME?</v>
      </c>
      <c r="W10" s="1110" t="e">
        <f ca="1">$W6</f>
        <v>#NAME?</v>
      </c>
      <c r="X10" s="1111"/>
      <c r="Y10" s="1109">
        <f ca="1">SUMIFS($Y$22:$Y$29,$V$22:$V$29,V10,$W$22:$W$29,W10)</f>
        <v>712</v>
      </c>
      <c r="Z10" s="1111" t="e">
        <f ca="1">IF(Y10=0,"",AVERAGEIFS($Z$22:$Z$29,$V$22:$V$29,V10,$W$22:$W$29,W10))</f>
        <v>#NAME?</v>
      </c>
      <c r="AB10" t="s">
        <v>1047</v>
      </c>
      <c r="AC10" t="e">
        <f ca="1"/>
        <v>#NAME?</v>
      </c>
      <c r="AD10">
        <f ca="1">AD7*AD6</f>
        <v>1</v>
      </c>
      <c r="AE10" t="e">
        <f t="shared" ca="1" si="0"/>
        <v>#NAME?</v>
      </c>
      <c r="AF10" t="e">
        <f ca="1">AE10/AE12</f>
        <v>#NAME?</v>
      </c>
      <c r="AG10" t="e">
        <f ca="1">FDIST(AF10,AD10,AD12)</f>
        <v>#NAME?</v>
      </c>
      <c r="AH10" s="1100" t="e">
        <f ca="1">IF(AG10&lt;AG3,"yes","no")</f>
        <v>#NAME?</v>
      </c>
    </row>
    <row r="11" spans="1:34">
      <c r="A11" s="10" t="s">
        <v>342</v>
      </c>
      <c r="B11" s="268" t="s">
        <v>1076</v>
      </c>
      <c r="C11" s="12" t="s">
        <v>1080</v>
      </c>
      <c r="D11" s="11">
        <v>35</v>
      </c>
      <c r="E11" s="11">
        <v>23</v>
      </c>
      <c r="F11" s="11">
        <v>24</v>
      </c>
      <c r="G11" s="11">
        <v>11</v>
      </c>
      <c r="H11" s="11">
        <v>23</v>
      </c>
      <c r="I11" s="11">
        <v>30</v>
      </c>
      <c r="J11" s="11">
        <v>26</v>
      </c>
      <c r="K11" s="11">
        <v>16</v>
      </c>
      <c r="L11" s="11">
        <v>23</v>
      </c>
      <c r="M11" s="11">
        <v>14</v>
      </c>
      <c r="N11" s="11">
        <v>19</v>
      </c>
      <c r="O11" s="12"/>
      <c r="Q11" s="625" t="e">
        <f ca="1"/>
        <v>#NAME?</v>
      </c>
      <c r="R11" s="8" t="e">
        <f ca="1"/>
        <v>#NAME?</v>
      </c>
      <c r="S11" s="8" t="e">
        <f ca="1"/>
        <v>#NAME?</v>
      </c>
      <c r="T11" s="132" t="e">
        <f ca="1"/>
        <v>#NAME?</v>
      </c>
      <c r="V11" s="625" t="e">
        <f ca="1">$V$4</f>
        <v>#NAME?</v>
      </c>
      <c r="W11" s="8" t="e">
        <f ca="1">$W7</f>
        <v>#NAME?</v>
      </c>
      <c r="X11" s="132"/>
      <c r="Y11" s="625">
        <f ca="1">SUMIFS($Y$22:$Y$29,$V$22:$V$29,V11,$W$22:$W$29,W11)</f>
        <v>712</v>
      </c>
      <c r="Z11" s="132" t="e">
        <f ca="1">IF(Y11=0,"",AVERAGEIFS($Z$22:$Z$29,$V$22:$V$29,V11,$W$22:$W$29,W11))</f>
        <v>#NAME?</v>
      </c>
      <c r="AB11" t="s">
        <v>1049</v>
      </c>
      <c r="AC11" t="e">
        <f ca="1"/>
        <v>#NAME?</v>
      </c>
      <c r="AD11">
        <f ca="1">AD7*AD6*AD5</f>
        <v>-1</v>
      </c>
      <c r="AE11" t="e">
        <f t="shared" ca="1" si="0"/>
        <v>#NAME?</v>
      </c>
      <c r="AF11" t="e">
        <f ca="1">AE11/AE12</f>
        <v>#NAME?</v>
      </c>
      <c r="AG11" t="e">
        <f ca="1">FDIST(AF11,AD11,AD12)</f>
        <v>#NAME?</v>
      </c>
      <c r="AH11" s="1100" t="e">
        <f ca="1">IF(AG11&lt;AG3,"yes","no")</f>
        <v>#NAME?</v>
      </c>
    </row>
    <row r="12" spans="1:34">
      <c r="Q12" s="625" t="e">
        <f ca="1"/>
        <v>#NAME?</v>
      </c>
      <c r="R12" s="8" t="e">
        <f ca="1"/>
        <v>#NAME?</v>
      </c>
      <c r="S12" s="8" t="e">
        <f ca="1"/>
        <v>#NAME?</v>
      </c>
      <c r="T12" s="132" t="e">
        <f ca="1"/>
        <v>#NAME?</v>
      </c>
      <c r="V12" s="625" t="e">
        <f ca="1">$V$5</f>
        <v>#NAME?</v>
      </c>
      <c r="W12" s="8" t="e">
        <f ca="1">$W6</f>
        <v>#NAME?</v>
      </c>
      <c r="X12" s="132"/>
      <c r="Y12" s="625">
        <f ca="1">SUMIFS($Y$22:$Y$29,$V$22:$V$29,V12,$W$22:$W$29,W12)</f>
        <v>712</v>
      </c>
      <c r="Z12" s="132" t="e">
        <f ca="1">IF(Y12=0,"",AVERAGEIFS($Z$22:$Z$29,$V$22:$V$29,V12,$W$22:$W$29,W12))</f>
        <v>#NAME?</v>
      </c>
      <c r="AB12" t="s">
        <v>1021</v>
      </c>
      <c r="AC12" t="e">
        <f ca="1"/>
        <v>#NAME?</v>
      </c>
      <c r="AD12">
        <f ca="1">Y30-(AD5+1)*(AD6+1)*(AD7+1)</f>
        <v>712</v>
      </c>
      <c r="AE12" t="e">
        <f t="shared" ca="1" si="0"/>
        <v>#NAME?</v>
      </c>
    </row>
    <row r="13" spans="1:34">
      <c r="Q13" s="625" t="e">
        <f ca="1"/>
        <v>#NAME?</v>
      </c>
      <c r="R13" s="8" t="e">
        <f ca="1"/>
        <v>#NAME?</v>
      </c>
      <c r="S13" s="8" t="e">
        <f ca="1"/>
        <v>#NAME?</v>
      </c>
      <c r="T13" s="132" t="e">
        <f ca="1"/>
        <v>#NAME?</v>
      </c>
      <c r="V13" s="1075" t="e">
        <f ca="1">$V$5</f>
        <v>#NAME?</v>
      </c>
      <c r="W13" s="1076" t="e">
        <f ca="1">$W7</f>
        <v>#NAME?</v>
      </c>
      <c r="X13" s="1077"/>
      <c r="Y13" s="1075">
        <f ca="1">SUMIFS($Y$22:$Y$29,$V$22:$V$29,V13,$W$22:$W$29,W13)</f>
        <v>712</v>
      </c>
      <c r="Z13" s="1077" t="e">
        <f ca="1">IF(Y13=0,"",AVERAGEIFS($Z$22:$Z$29,$V$22:$V$29,V13,$W$22:$W$29,W13))</f>
        <v>#NAME?</v>
      </c>
      <c r="AB13" s="1078" t="s">
        <v>12</v>
      </c>
      <c r="AC13" s="1078" t="e">
        <f ca="1">Z31</f>
        <v>#NAME?</v>
      </c>
      <c r="AD13" s="1078">
        <f ca="1">Y30-1</f>
        <v>711</v>
      </c>
      <c r="AE13" s="1078" t="e">
        <f t="shared" ca="1" si="0"/>
        <v>#NAME?</v>
      </c>
      <c r="AF13" s="1078"/>
      <c r="AG13" s="1078"/>
      <c r="AH13" s="1078"/>
    </row>
    <row r="14" spans="1:34">
      <c r="Q14" s="625" t="e">
        <f ca="1"/>
        <v>#NAME?</v>
      </c>
      <c r="R14" s="8" t="e">
        <f ca="1"/>
        <v>#NAME?</v>
      </c>
      <c r="S14" s="8" t="e">
        <f ca="1"/>
        <v>#NAME?</v>
      </c>
      <c r="T14" s="132" t="e">
        <f ca="1"/>
        <v>#NAME?</v>
      </c>
      <c r="V14" s="1109" t="e">
        <f ca="1">$V$4</f>
        <v>#NAME?</v>
      </c>
      <c r="W14" s="1110"/>
      <c r="X14" s="1111" t="e">
        <f ca="1">$X8</f>
        <v>#NAME?</v>
      </c>
      <c r="Y14" s="1109">
        <f ca="1">SUMIFS($Y$22:$Y$29,$V$22:$V$29,V14,$X$22:$X$29,X14)</f>
        <v>712</v>
      </c>
      <c r="Z14" s="1111" t="e">
        <f ca="1">IF(Y14=0,"",AVERAGEIFS($Z$22:$Z$29,$V$22:$V$29,V14,$X$22:$X$29,X14))</f>
        <v>#NAME?</v>
      </c>
    </row>
    <row r="15" spans="1:34">
      <c r="Q15" s="625" t="e">
        <f ca="1"/>
        <v>#NAME?</v>
      </c>
      <c r="R15" s="8" t="e">
        <f ca="1"/>
        <v>#NAME?</v>
      </c>
      <c r="S15" s="8" t="e">
        <f ca="1"/>
        <v>#NAME?</v>
      </c>
      <c r="T15" s="132" t="e">
        <f ca="1"/>
        <v>#NAME?</v>
      </c>
      <c r="V15" s="625" t="e">
        <f ca="1">$V$4</f>
        <v>#NAME?</v>
      </c>
      <c r="W15" s="8"/>
      <c r="X15" s="132" t="e">
        <f ca="1">$X9</f>
        <v>#NAME?</v>
      </c>
      <c r="Y15" s="625">
        <f ca="1">SUMIFS($Y$22:$Y$29,$V$22:$V$29,V15,$X$22:$X$29,X15)</f>
        <v>712</v>
      </c>
      <c r="Z15" s="132" t="e">
        <f ca="1">IF(Y15=0,"",AVERAGEIFS($Z$22:$Z$29,$V$22:$V$29,V15,$X$22:$X$29,X15))</f>
        <v>#NAME?</v>
      </c>
    </row>
    <row r="16" spans="1:34">
      <c r="Q16" s="625" t="e">
        <f ca="1"/>
        <v>#NAME?</v>
      </c>
      <c r="R16" s="8" t="e">
        <f ca="1"/>
        <v>#NAME?</v>
      </c>
      <c r="S16" s="8" t="e">
        <f ca="1"/>
        <v>#NAME?</v>
      </c>
      <c r="T16" s="132" t="e">
        <f ca="1"/>
        <v>#NAME?</v>
      </c>
      <c r="V16" s="625" t="e">
        <f ca="1">$V$5</f>
        <v>#NAME?</v>
      </c>
      <c r="W16" s="8"/>
      <c r="X16" s="132" t="e">
        <f ca="1">$X8</f>
        <v>#NAME?</v>
      </c>
      <c r="Y16" s="625">
        <f ca="1">SUMIFS($Y$22:$Y$29,$V$22:$V$29,V16,$X$22:$X$29,X16)</f>
        <v>712</v>
      </c>
      <c r="Z16" s="132" t="e">
        <f ca="1">IF(Y16=0,"",AVERAGEIFS($Z$22:$Z$29,$V$22:$V$29,V16,$X$22:$X$29,X16))</f>
        <v>#NAME?</v>
      </c>
    </row>
    <row r="17" spans="17:26">
      <c r="Q17" s="625" t="e">
        <f ca="1"/>
        <v>#NAME?</v>
      </c>
      <c r="R17" s="8" t="e">
        <f ca="1"/>
        <v>#NAME?</v>
      </c>
      <c r="S17" s="8" t="e">
        <f ca="1"/>
        <v>#NAME?</v>
      </c>
      <c r="T17" s="132" t="e">
        <f ca="1"/>
        <v>#NAME?</v>
      </c>
      <c r="V17" s="1075" t="e">
        <f ca="1">$V$5</f>
        <v>#NAME?</v>
      </c>
      <c r="W17" s="1076"/>
      <c r="X17" s="1077" t="e">
        <f ca="1">$X9</f>
        <v>#NAME?</v>
      </c>
      <c r="Y17" s="1075">
        <f ca="1">SUMIFS($Y$22:$Y$29,$V$22:$V$29,V17,$X$22:$X$29,X17)</f>
        <v>712</v>
      </c>
      <c r="Z17" s="1077" t="e">
        <f ca="1">IF(Y17=0,"",AVERAGEIFS($Z$22:$Z$29,$V$22:$V$29,V17,$X$22:$X$29,X17))</f>
        <v>#NAME?</v>
      </c>
    </row>
    <row r="18" spans="17:26">
      <c r="Q18" s="625" t="e">
        <f ca="1"/>
        <v>#NAME?</v>
      </c>
      <c r="R18" s="8" t="e">
        <f ca="1"/>
        <v>#NAME?</v>
      </c>
      <c r="S18" s="8" t="e">
        <f ca="1"/>
        <v>#NAME?</v>
      </c>
      <c r="T18" s="132" t="e">
        <f ca="1"/>
        <v>#NAME?</v>
      </c>
      <c r="V18" s="1109"/>
      <c r="W18" s="1110" t="e">
        <f ca="1">$W$6</f>
        <v>#NAME?</v>
      </c>
      <c r="X18" s="1111" t="e">
        <f ca="1">$X8</f>
        <v>#NAME?</v>
      </c>
      <c r="Y18" s="1109">
        <f ca="1">SUMIFS($Y$22:$Y$29,$W$22:$W$29,W18,$X$22:$X$29,X18)</f>
        <v>712</v>
      </c>
      <c r="Z18" s="1111" t="e">
        <f ca="1">IF(Y18=0,"",AVERAGEIFS($Z$22:$Z$29,$W$22:$W$29,W18,$X$22:$X$29,X18))</f>
        <v>#NAME?</v>
      </c>
    </row>
    <row r="19" spans="17:26">
      <c r="Q19" s="625" t="e">
        <f ca="1"/>
        <v>#NAME?</v>
      </c>
      <c r="R19" s="8" t="e">
        <f ca="1"/>
        <v>#NAME?</v>
      </c>
      <c r="S19" s="8" t="e">
        <f ca="1"/>
        <v>#NAME?</v>
      </c>
      <c r="T19" s="132" t="e">
        <f ca="1"/>
        <v>#NAME?</v>
      </c>
      <c r="V19" s="625"/>
      <c r="W19" s="8" t="e">
        <f ca="1">$W$6</f>
        <v>#NAME?</v>
      </c>
      <c r="X19" s="132" t="e">
        <f ca="1">$X9</f>
        <v>#NAME?</v>
      </c>
      <c r="Y19" s="625">
        <f ca="1">SUMIFS($Y$22:$Y$29,$W$22:$W$29,W19,$X$22:$X$29,X19)</f>
        <v>712</v>
      </c>
      <c r="Z19" s="132" t="e">
        <f ca="1">IF(Y19=0,"",AVERAGEIFS($Z$22:$Z$29,$W$22:$W$29,W19,$X$22:$X$29,X19))</f>
        <v>#NAME?</v>
      </c>
    </row>
    <row r="20" spans="17:26">
      <c r="Q20" s="625" t="e">
        <f ca="1"/>
        <v>#NAME?</v>
      </c>
      <c r="R20" s="8" t="e">
        <f ca="1"/>
        <v>#NAME?</v>
      </c>
      <c r="S20" s="8" t="e">
        <f ca="1"/>
        <v>#NAME?</v>
      </c>
      <c r="T20" s="132" t="e">
        <f ca="1"/>
        <v>#NAME?</v>
      </c>
      <c r="V20" s="625"/>
      <c r="W20" s="8" t="e">
        <f ca="1">$W$7</f>
        <v>#NAME?</v>
      </c>
      <c r="X20" s="132" t="e">
        <f ca="1">$X8</f>
        <v>#NAME?</v>
      </c>
      <c r="Y20" s="625">
        <f ca="1">SUMIFS($Y$22:$Y$29,$W$22:$W$29,W20,$X$22:$X$29,X20)</f>
        <v>712</v>
      </c>
      <c r="Z20" s="132" t="e">
        <f ca="1">IF(Y20=0,"",AVERAGEIFS($Z$22:$Z$29,$W$22:$W$29,W20,$X$22:$X$29,X20))</f>
        <v>#NAME?</v>
      </c>
    </row>
    <row r="21" spans="17:26">
      <c r="Q21" s="625" t="e">
        <f ca="1"/>
        <v>#NAME?</v>
      </c>
      <c r="R21" s="8" t="e">
        <f ca="1"/>
        <v>#NAME?</v>
      </c>
      <c r="S21" s="8" t="e">
        <f ca="1"/>
        <v>#NAME?</v>
      </c>
      <c r="T21" s="132" t="e">
        <f ca="1"/>
        <v>#NAME?</v>
      </c>
      <c r="V21" s="1075"/>
      <c r="W21" s="1076" t="e">
        <f ca="1">$W$7</f>
        <v>#NAME?</v>
      </c>
      <c r="X21" s="1077" t="e">
        <f ca="1">$X9</f>
        <v>#NAME?</v>
      </c>
      <c r="Y21" s="1075">
        <f ca="1">SUMIFS($Y$22:$Y$29,$W$22:$W$29,W21,$X$22:$X$29,X21)</f>
        <v>712</v>
      </c>
      <c r="Z21" s="1077" t="e">
        <f ca="1">IF(Y21=0,"",AVERAGEIFS($Z$22:$Z$29,$W$22:$W$29,W21,$X$22:$X$29,X21))</f>
        <v>#NAME?</v>
      </c>
    </row>
    <row r="22" spans="17:26">
      <c r="Q22" s="625" t="e">
        <f ca="1"/>
        <v>#NAME?</v>
      </c>
      <c r="R22" s="8" t="e">
        <f ca="1"/>
        <v>#NAME?</v>
      </c>
      <c r="S22" s="8" t="e">
        <f ca="1"/>
        <v>#NAME?</v>
      </c>
      <c r="T22" s="132" t="e">
        <f ca="1"/>
        <v>#NAME?</v>
      </c>
      <c r="V22" s="1109" t="e">
        <f ca="1">$V$4</f>
        <v>#NAME?</v>
      </c>
      <c r="W22" s="1110" t="e">
        <f t="shared" ref="W22:X29" ca="1" si="1">W18</f>
        <v>#NAME?</v>
      </c>
      <c r="X22" s="1111" t="e">
        <f t="shared" ca="1" si="1"/>
        <v>#NAME?</v>
      </c>
      <c r="Y22" s="1109">
        <f ca="1">COUNTIFS($Q$3:$Q$91,$V22,$R$3:$R$91,$W22,$S$3:$S$91,$X22)</f>
        <v>89</v>
      </c>
      <c r="Z22" s="1111" t="e">
        <f ca="1">IF(Y22=0,"",AVERAGEIFS($T$3:$T$91,$Q$3:$Q$91,$V22,$R$3:$R$91,$W22,$S$3:$S$91,$X22))</f>
        <v>#NAME?</v>
      </c>
    </row>
    <row r="23" spans="17:26">
      <c r="Q23" s="625" t="e">
        <f ca="1"/>
        <v>#NAME?</v>
      </c>
      <c r="R23" s="8" t="e">
        <f ca="1"/>
        <v>#NAME?</v>
      </c>
      <c r="S23" s="8" t="e">
        <f ca="1"/>
        <v>#NAME?</v>
      </c>
      <c r="T23" s="132" t="e">
        <f ca="1"/>
        <v>#NAME?</v>
      </c>
      <c r="V23" s="625" t="e">
        <f ca="1">$V$4</f>
        <v>#NAME?</v>
      </c>
      <c r="W23" s="8" t="e">
        <f t="shared" ca="1" si="1"/>
        <v>#NAME?</v>
      </c>
      <c r="X23" s="132" t="e">
        <f t="shared" ca="1" si="1"/>
        <v>#NAME?</v>
      </c>
      <c r="Y23" s="625">
        <f t="shared" ref="Y23:Y29" ca="1" si="2">COUNTIFS($Q$3:$Q$91,$V23,$R$3:$R$91,$W23,$S$3:$S$91,$X23)</f>
        <v>89</v>
      </c>
      <c r="Z23" s="132" t="e">
        <f t="shared" ref="Z23:Z29" ca="1" si="3">IF(Y23=0,"",AVERAGEIFS($T$3:$T$91,$Q$3:$Q$91,$V23,$R$3:$R$91,$W23,$S$3:$S$91,$X23))</f>
        <v>#NAME?</v>
      </c>
    </row>
    <row r="24" spans="17:26">
      <c r="Q24" s="625" t="e">
        <f ca="1"/>
        <v>#NAME?</v>
      </c>
      <c r="R24" s="8" t="e">
        <f ca="1"/>
        <v>#NAME?</v>
      </c>
      <c r="S24" s="8" t="e">
        <f ca="1"/>
        <v>#NAME?</v>
      </c>
      <c r="T24" s="132" t="e">
        <f ca="1"/>
        <v>#NAME?</v>
      </c>
      <c r="V24" s="625" t="e">
        <f ca="1">$V$4</f>
        <v>#NAME?</v>
      </c>
      <c r="W24" s="8" t="e">
        <f t="shared" ca="1" si="1"/>
        <v>#NAME?</v>
      </c>
      <c r="X24" s="132" t="e">
        <f t="shared" ca="1" si="1"/>
        <v>#NAME?</v>
      </c>
      <c r="Y24" s="625">
        <f t="shared" ca="1" si="2"/>
        <v>89</v>
      </c>
      <c r="Z24" s="132" t="e">
        <f t="shared" ca="1" si="3"/>
        <v>#NAME?</v>
      </c>
    </row>
    <row r="25" spans="17:26">
      <c r="Q25" s="625" t="e">
        <f ca="1"/>
        <v>#NAME?</v>
      </c>
      <c r="R25" s="8" t="e">
        <f ca="1"/>
        <v>#NAME?</v>
      </c>
      <c r="S25" s="8" t="e">
        <f ca="1"/>
        <v>#NAME?</v>
      </c>
      <c r="T25" s="132" t="e">
        <f ca="1"/>
        <v>#NAME?</v>
      </c>
      <c r="V25" s="625" t="e">
        <f ca="1">$V$4</f>
        <v>#NAME?</v>
      </c>
      <c r="W25" s="8" t="e">
        <f t="shared" ca="1" si="1"/>
        <v>#NAME?</v>
      </c>
      <c r="X25" s="132" t="e">
        <f t="shared" ca="1" si="1"/>
        <v>#NAME?</v>
      </c>
      <c r="Y25" s="625">
        <f t="shared" ca="1" si="2"/>
        <v>89</v>
      </c>
      <c r="Z25" s="132" t="e">
        <f t="shared" ca="1" si="3"/>
        <v>#NAME?</v>
      </c>
    </row>
    <row r="26" spans="17:26">
      <c r="Q26" s="625" t="e">
        <f ca="1"/>
        <v>#NAME?</v>
      </c>
      <c r="R26" s="8" t="e">
        <f ca="1"/>
        <v>#NAME?</v>
      </c>
      <c r="S26" s="8" t="e">
        <f ca="1"/>
        <v>#NAME?</v>
      </c>
      <c r="T26" s="132" t="e">
        <f ca="1"/>
        <v>#NAME?</v>
      </c>
      <c r="V26" s="625" t="e">
        <f ca="1">$V$5</f>
        <v>#NAME?</v>
      </c>
      <c r="W26" s="8" t="e">
        <f t="shared" ca="1" si="1"/>
        <v>#NAME?</v>
      </c>
      <c r="X26" s="132" t="e">
        <f t="shared" ca="1" si="1"/>
        <v>#NAME?</v>
      </c>
      <c r="Y26" s="625">
        <f t="shared" ca="1" si="2"/>
        <v>89</v>
      </c>
      <c r="Z26" s="132" t="e">
        <f t="shared" ca="1" si="3"/>
        <v>#NAME?</v>
      </c>
    </row>
    <row r="27" spans="17:26">
      <c r="Q27" s="625" t="e">
        <f ca="1"/>
        <v>#NAME?</v>
      </c>
      <c r="R27" s="8" t="e">
        <f ca="1"/>
        <v>#NAME?</v>
      </c>
      <c r="S27" s="8" t="e">
        <f ca="1"/>
        <v>#NAME?</v>
      </c>
      <c r="T27" s="132" t="e">
        <f ca="1"/>
        <v>#NAME?</v>
      </c>
      <c r="V27" s="625" t="e">
        <f ca="1">$V$5</f>
        <v>#NAME?</v>
      </c>
      <c r="W27" s="8" t="e">
        <f t="shared" ca="1" si="1"/>
        <v>#NAME?</v>
      </c>
      <c r="X27" s="132" t="e">
        <f t="shared" ca="1" si="1"/>
        <v>#NAME?</v>
      </c>
      <c r="Y27" s="625">
        <f t="shared" ca="1" si="2"/>
        <v>89</v>
      </c>
      <c r="Z27" s="132" t="e">
        <f t="shared" ca="1" si="3"/>
        <v>#NAME?</v>
      </c>
    </row>
    <row r="28" spans="17:26">
      <c r="Q28" s="625" t="e">
        <f ca="1"/>
        <v>#NAME?</v>
      </c>
      <c r="R28" s="8" t="e">
        <f ca="1"/>
        <v>#NAME?</v>
      </c>
      <c r="S28" s="8" t="e">
        <f ca="1"/>
        <v>#NAME?</v>
      </c>
      <c r="T28" s="132" t="e">
        <f ca="1"/>
        <v>#NAME?</v>
      </c>
      <c r="V28" s="625" t="e">
        <f ca="1">$V$5</f>
        <v>#NAME?</v>
      </c>
      <c r="W28" s="8" t="e">
        <f t="shared" ca="1" si="1"/>
        <v>#NAME?</v>
      </c>
      <c r="X28" s="132" t="e">
        <f t="shared" ca="1" si="1"/>
        <v>#NAME?</v>
      </c>
      <c r="Y28" s="625">
        <f t="shared" ca="1" si="2"/>
        <v>89</v>
      </c>
      <c r="Z28" s="132" t="e">
        <f t="shared" ca="1" si="3"/>
        <v>#NAME?</v>
      </c>
    </row>
    <row r="29" spans="17:26">
      <c r="Q29" s="625" t="e">
        <f ca="1"/>
        <v>#NAME?</v>
      </c>
      <c r="R29" s="8" t="e">
        <f ca="1"/>
        <v>#NAME?</v>
      </c>
      <c r="S29" s="8" t="e">
        <f ca="1"/>
        <v>#NAME?</v>
      </c>
      <c r="T29" s="132" t="e">
        <f ca="1"/>
        <v>#NAME?</v>
      </c>
      <c r="V29" s="1075" t="e">
        <f ca="1">$V$5</f>
        <v>#NAME?</v>
      </c>
      <c r="W29" s="1076" t="e">
        <f t="shared" ca="1" si="1"/>
        <v>#NAME?</v>
      </c>
      <c r="X29" s="1077" t="e">
        <f t="shared" ca="1" si="1"/>
        <v>#NAME?</v>
      </c>
      <c r="Y29" s="1075">
        <f t="shared" ca="1" si="2"/>
        <v>89</v>
      </c>
      <c r="Z29" s="1077" t="e">
        <f t="shared" ca="1" si="3"/>
        <v>#NAME?</v>
      </c>
    </row>
    <row r="30" spans="17:26">
      <c r="Q30" s="625" t="e">
        <f ca="1"/>
        <v>#NAME?</v>
      </c>
      <c r="R30" s="8" t="e">
        <f ca="1"/>
        <v>#NAME?</v>
      </c>
      <c r="S30" s="8" t="e">
        <f ca="1"/>
        <v>#NAME?</v>
      </c>
      <c r="T30" s="132" t="e">
        <f ca="1"/>
        <v>#NAME?</v>
      </c>
      <c r="Y30">
        <f ca="1">SUM(Y22:Y29)</f>
        <v>712</v>
      </c>
      <c r="Z30" t="e">
        <f ca="1">AVERAGE(Z22:Z29)</f>
        <v>#NAME?</v>
      </c>
    </row>
    <row r="31" spans="17:26">
      <c r="Q31" s="625" t="e">
        <f ca="1"/>
        <v>#NAME?</v>
      </c>
      <c r="R31" s="8" t="e">
        <f ca="1"/>
        <v>#NAME?</v>
      </c>
      <c r="S31" s="8" t="e">
        <f ca="1"/>
        <v>#NAME?</v>
      </c>
      <c r="T31" s="132" t="e">
        <f ca="1"/>
        <v>#NAME?</v>
      </c>
      <c r="Y31" s="19" t="s">
        <v>1040</v>
      </c>
      <c r="Z31" s="1112" t="e">
        <f ca="1">DEVSQ(T3:T91)</f>
        <v>#NAME?</v>
      </c>
    </row>
    <row r="32" spans="17:26">
      <c r="Q32" s="625" t="e">
        <f ca="1"/>
        <v>#NAME?</v>
      </c>
      <c r="R32" s="8" t="e">
        <f ca="1"/>
        <v>#NAME?</v>
      </c>
      <c r="S32" s="8" t="e">
        <f ca="1"/>
        <v>#NAME?</v>
      </c>
      <c r="T32" s="132" t="e">
        <f ca="1"/>
        <v>#NAME?</v>
      </c>
    </row>
    <row r="33" spans="17:20">
      <c r="Q33" s="625" t="e">
        <f ca="1"/>
        <v>#NAME?</v>
      </c>
      <c r="R33" s="8" t="e">
        <f ca="1"/>
        <v>#NAME?</v>
      </c>
      <c r="S33" s="8" t="e">
        <f ca="1"/>
        <v>#NAME?</v>
      </c>
      <c r="T33" s="132" t="e">
        <f ca="1"/>
        <v>#NAME?</v>
      </c>
    </row>
    <row r="34" spans="17:20">
      <c r="Q34" s="625" t="e">
        <f ca="1"/>
        <v>#NAME?</v>
      </c>
      <c r="R34" s="8" t="e">
        <f ca="1"/>
        <v>#NAME?</v>
      </c>
      <c r="S34" s="8" t="e">
        <f ca="1"/>
        <v>#NAME?</v>
      </c>
      <c r="T34" s="132" t="e">
        <f ca="1"/>
        <v>#NAME?</v>
      </c>
    </row>
    <row r="35" spans="17:20">
      <c r="Q35" s="625" t="e">
        <f ca="1"/>
        <v>#NAME?</v>
      </c>
      <c r="R35" s="8" t="e">
        <f ca="1"/>
        <v>#NAME?</v>
      </c>
      <c r="S35" s="8" t="e">
        <f ca="1"/>
        <v>#NAME?</v>
      </c>
      <c r="T35" s="132" t="e">
        <f ca="1"/>
        <v>#NAME?</v>
      </c>
    </row>
    <row r="36" spans="17:20">
      <c r="Q36" s="625" t="e">
        <f ca="1"/>
        <v>#NAME?</v>
      </c>
      <c r="R36" s="8" t="e">
        <f ca="1"/>
        <v>#NAME?</v>
      </c>
      <c r="S36" s="8" t="e">
        <f ca="1"/>
        <v>#NAME?</v>
      </c>
      <c r="T36" s="132" t="e">
        <f ca="1"/>
        <v>#NAME?</v>
      </c>
    </row>
    <row r="37" spans="17:20">
      <c r="Q37" s="625" t="e">
        <f ca="1"/>
        <v>#NAME?</v>
      </c>
      <c r="R37" s="8" t="e">
        <f ca="1"/>
        <v>#NAME?</v>
      </c>
      <c r="S37" s="8" t="e">
        <f ca="1"/>
        <v>#NAME?</v>
      </c>
      <c r="T37" s="132" t="e">
        <f ca="1"/>
        <v>#NAME?</v>
      </c>
    </row>
    <row r="38" spans="17:20">
      <c r="Q38" s="625" t="e">
        <f ca="1"/>
        <v>#NAME?</v>
      </c>
      <c r="R38" s="8" t="e">
        <f ca="1"/>
        <v>#NAME?</v>
      </c>
      <c r="S38" s="8" t="e">
        <f ca="1"/>
        <v>#NAME?</v>
      </c>
      <c r="T38" s="132" t="e">
        <f ca="1"/>
        <v>#NAME?</v>
      </c>
    </row>
    <row r="39" spans="17:20">
      <c r="Q39" s="625" t="e">
        <f ca="1"/>
        <v>#NAME?</v>
      </c>
      <c r="R39" s="8" t="e">
        <f ca="1"/>
        <v>#NAME?</v>
      </c>
      <c r="S39" s="8" t="e">
        <f ca="1"/>
        <v>#NAME?</v>
      </c>
      <c r="T39" s="132" t="e">
        <f ca="1"/>
        <v>#NAME?</v>
      </c>
    </row>
    <row r="40" spans="17:20">
      <c r="Q40" s="625" t="e">
        <f ca="1"/>
        <v>#NAME?</v>
      </c>
      <c r="R40" s="8" t="e">
        <f ca="1"/>
        <v>#NAME?</v>
      </c>
      <c r="S40" s="8" t="e">
        <f ca="1"/>
        <v>#NAME?</v>
      </c>
      <c r="T40" s="132" t="e">
        <f ca="1"/>
        <v>#NAME?</v>
      </c>
    </row>
    <row r="41" spans="17:20">
      <c r="Q41" s="625" t="e">
        <f ca="1"/>
        <v>#NAME?</v>
      </c>
      <c r="R41" s="8" t="e">
        <f ca="1"/>
        <v>#NAME?</v>
      </c>
      <c r="S41" s="8" t="e">
        <f ca="1"/>
        <v>#NAME?</v>
      </c>
      <c r="T41" s="132" t="e">
        <f ca="1"/>
        <v>#NAME?</v>
      </c>
    </row>
    <row r="42" spans="17:20">
      <c r="Q42" s="625" t="e">
        <f ca="1"/>
        <v>#NAME?</v>
      </c>
      <c r="R42" s="8" t="e">
        <f ca="1"/>
        <v>#NAME?</v>
      </c>
      <c r="S42" s="8" t="e">
        <f ca="1"/>
        <v>#NAME?</v>
      </c>
      <c r="T42" s="132" t="e">
        <f ca="1"/>
        <v>#NAME?</v>
      </c>
    </row>
    <row r="43" spans="17:20">
      <c r="Q43" s="625" t="e">
        <f ca="1"/>
        <v>#NAME?</v>
      </c>
      <c r="R43" s="8" t="e">
        <f ca="1"/>
        <v>#NAME?</v>
      </c>
      <c r="S43" s="8" t="e">
        <f ca="1"/>
        <v>#NAME?</v>
      </c>
      <c r="T43" s="132" t="e">
        <f ca="1"/>
        <v>#NAME?</v>
      </c>
    </row>
    <row r="44" spans="17:20">
      <c r="Q44" s="625" t="e">
        <f ca="1"/>
        <v>#NAME?</v>
      </c>
      <c r="R44" s="8" t="e">
        <f ca="1"/>
        <v>#NAME?</v>
      </c>
      <c r="S44" s="8" t="e">
        <f ca="1"/>
        <v>#NAME?</v>
      </c>
      <c r="T44" s="132" t="e">
        <f ca="1"/>
        <v>#NAME?</v>
      </c>
    </row>
    <row r="45" spans="17:20">
      <c r="Q45" s="625" t="e">
        <f ca="1"/>
        <v>#NAME?</v>
      </c>
      <c r="R45" s="8" t="e">
        <f ca="1"/>
        <v>#NAME?</v>
      </c>
      <c r="S45" s="8" t="e">
        <f ca="1"/>
        <v>#NAME?</v>
      </c>
      <c r="T45" s="132" t="e">
        <f ca="1"/>
        <v>#NAME?</v>
      </c>
    </row>
    <row r="46" spans="17:20">
      <c r="Q46" s="625" t="e">
        <f ca="1"/>
        <v>#NAME?</v>
      </c>
      <c r="R46" s="8" t="e">
        <f ca="1"/>
        <v>#NAME?</v>
      </c>
      <c r="S46" s="8" t="e">
        <f ca="1"/>
        <v>#NAME?</v>
      </c>
      <c r="T46" s="132" t="e">
        <f ca="1"/>
        <v>#NAME?</v>
      </c>
    </row>
    <row r="47" spans="17:20">
      <c r="Q47" s="625" t="e">
        <f ca="1"/>
        <v>#NAME?</v>
      </c>
      <c r="R47" s="8" t="e">
        <f ca="1"/>
        <v>#NAME?</v>
      </c>
      <c r="S47" s="8" t="e">
        <f ca="1"/>
        <v>#NAME?</v>
      </c>
      <c r="T47" s="132" t="e">
        <f ca="1"/>
        <v>#NAME?</v>
      </c>
    </row>
    <row r="48" spans="17:20">
      <c r="Q48" s="625" t="e">
        <f ca="1"/>
        <v>#NAME?</v>
      </c>
      <c r="R48" s="8" t="e">
        <f ca="1"/>
        <v>#NAME?</v>
      </c>
      <c r="S48" s="8" t="e">
        <f ca="1"/>
        <v>#NAME?</v>
      </c>
      <c r="T48" s="132" t="e">
        <f ca="1"/>
        <v>#NAME?</v>
      </c>
    </row>
    <row r="49" spans="17:20">
      <c r="Q49" s="625" t="e">
        <f ca="1"/>
        <v>#NAME?</v>
      </c>
      <c r="R49" s="8" t="e">
        <f ca="1"/>
        <v>#NAME?</v>
      </c>
      <c r="S49" s="8" t="e">
        <f ca="1"/>
        <v>#NAME?</v>
      </c>
      <c r="T49" s="132" t="e">
        <f ca="1"/>
        <v>#NAME?</v>
      </c>
    </row>
    <row r="50" spans="17:20">
      <c r="Q50" s="625" t="e">
        <f ca="1"/>
        <v>#NAME?</v>
      </c>
      <c r="R50" s="8" t="e">
        <f ca="1"/>
        <v>#NAME?</v>
      </c>
      <c r="S50" s="8" t="e">
        <f ca="1"/>
        <v>#NAME?</v>
      </c>
      <c r="T50" s="132" t="e">
        <f ca="1"/>
        <v>#NAME?</v>
      </c>
    </row>
    <row r="51" spans="17:20">
      <c r="Q51" s="625" t="e">
        <f ca="1"/>
        <v>#NAME?</v>
      </c>
      <c r="R51" s="8" t="e">
        <f ca="1"/>
        <v>#NAME?</v>
      </c>
      <c r="S51" s="8" t="e">
        <f ca="1"/>
        <v>#NAME?</v>
      </c>
      <c r="T51" s="132" t="e">
        <f ca="1"/>
        <v>#NAME?</v>
      </c>
    </row>
    <row r="52" spans="17:20">
      <c r="Q52" s="625" t="e">
        <f ca="1"/>
        <v>#NAME?</v>
      </c>
      <c r="R52" s="8" t="e">
        <f ca="1"/>
        <v>#NAME?</v>
      </c>
      <c r="S52" s="8" t="e">
        <f ca="1"/>
        <v>#NAME?</v>
      </c>
      <c r="T52" s="132" t="e">
        <f ca="1"/>
        <v>#NAME?</v>
      </c>
    </row>
    <row r="53" spans="17:20">
      <c r="Q53" s="625" t="e">
        <f ca="1"/>
        <v>#NAME?</v>
      </c>
      <c r="R53" s="8" t="e">
        <f ca="1"/>
        <v>#NAME?</v>
      </c>
      <c r="S53" s="8" t="e">
        <f ca="1"/>
        <v>#NAME?</v>
      </c>
      <c r="T53" s="132" t="e">
        <f ca="1"/>
        <v>#NAME?</v>
      </c>
    </row>
    <row r="54" spans="17:20">
      <c r="Q54" s="625" t="e">
        <f ca="1"/>
        <v>#NAME?</v>
      </c>
      <c r="R54" s="8" t="e">
        <f ca="1"/>
        <v>#NAME?</v>
      </c>
      <c r="S54" s="8" t="e">
        <f ca="1"/>
        <v>#NAME?</v>
      </c>
      <c r="T54" s="132" t="e">
        <f ca="1"/>
        <v>#NAME?</v>
      </c>
    </row>
    <row r="55" spans="17:20">
      <c r="Q55" s="625" t="e">
        <f ca="1"/>
        <v>#NAME?</v>
      </c>
      <c r="R55" s="8" t="e">
        <f ca="1"/>
        <v>#NAME?</v>
      </c>
      <c r="S55" s="8" t="e">
        <f ca="1"/>
        <v>#NAME?</v>
      </c>
      <c r="T55" s="132" t="e">
        <f ca="1"/>
        <v>#NAME?</v>
      </c>
    </row>
    <row r="56" spans="17:20">
      <c r="Q56" s="625" t="e">
        <f ca="1"/>
        <v>#NAME?</v>
      </c>
      <c r="R56" s="8" t="e">
        <f ca="1"/>
        <v>#NAME?</v>
      </c>
      <c r="S56" s="8" t="e">
        <f ca="1"/>
        <v>#NAME?</v>
      </c>
      <c r="T56" s="132" t="e">
        <f ca="1"/>
        <v>#NAME?</v>
      </c>
    </row>
    <row r="57" spans="17:20">
      <c r="Q57" s="625" t="e">
        <f ca="1"/>
        <v>#NAME?</v>
      </c>
      <c r="R57" s="8" t="e">
        <f ca="1"/>
        <v>#NAME?</v>
      </c>
      <c r="S57" s="8" t="e">
        <f ca="1"/>
        <v>#NAME?</v>
      </c>
      <c r="T57" s="132" t="e">
        <f ca="1"/>
        <v>#NAME?</v>
      </c>
    </row>
    <row r="58" spans="17:20">
      <c r="Q58" s="625" t="e">
        <f ca="1"/>
        <v>#NAME?</v>
      </c>
      <c r="R58" s="8" t="e">
        <f ca="1"/>
        <v>#NAME?</v>
      </c>
      <c r="S58" s="8" t="e">
        <f ca="1"/>
        <v>#NAME?</v>
      </c>
      <c r="T58" s="132" t="e">
        <f ca="1"/>
        <v>#NAME?</v>
      </c>
    </row>
    <row r="59" spans="17:20">
      <c r="Q59" s="625" t="e">
        <f ca="1"/>
        <v>#NAME?</v>
      </c>
      <c r="R59" s="8" t="e">
        <f ca="1"/>
        <v>#NAME?</v>
      </c>
      <c r="S59" s="8" t="e">
        <f ca="1"/>
        <v>#NAME?</v>
      </c>
      <c r="T59" s="132" t="e">
        <f ca="1"/>
        <v>#NAME?</v>
      </c>
    </row>
    <row r="60" spans="17:20">
      <c r="Q60" s="625" t="e">
        <f ca="1"/>
        <v>#NAME?</v>
      </c>
      <c r="R60" s="8" t="e">
        <f ca="1"/>
        <v>#NAME?</v>
      </c>
      <c r="S60" s="8" t="e">
        <f ca="1"/>
        <v>#NAME?</v>
      </c>
      <c r="T60" s="132" t="e">
        <f ca="1"/>
        <v>#NAME?</v>
      </c>
    </row>
    <row r="61" spans="17:20">
      <c r="Q61" s="625" t="e">
        <f ca="1"/>
        <v>#NAME?</v>
      </c>
      <c r="R61" s="8" t="e">
        <f ca="1"/>
        <v>#NAME?</v>
      </c>
      <c r="S61" s="8" t="e">
        <f ca="1"/>
        <v>#NAME?</v>
      </c>
      <c r="T61" s="132" t="e">
        <f ca="1"/>
        <v>#NAME?</v>
      </c>
    </row>
    <row r="62" spans="17:20">
      <c r="Q62" s="625" t="e">
        <f ca="1"/>
        <v>#NAME?</v>
      </c>
      <c r="R62" s="8" t="e">
        <f ca="1"/>
        <v>#NAME?</v>
      </c>
      <c r="S62" s="8" t="e">
        <f ca="1"/>
        <v>#NAME?</v>
      </c>
      <c r="T62" s="132" t="e">
        <f ca="1"/>
        <v>#NAME?</v>
      </c>
    </row>
    <row r="63" spans="17:20">
      <c r="Q63" s="625" t="e">
        <f ca="1"/>
        <v>#NAME?</v>
      </c>
      <c r="R63" s="8" t="e">
        <f ca="1"/>
        <v>#NAME?</v>
      </c>
      <c r="S63" s="8" t="e">
        <f ca="1"/>
        <v>#NAME?</v>
      </c>
      <c r="T63" s="132" t="e">
        <f ca="1"/>
        <v>#NAME?</v>
      </c>
    </row>
    <row r="64" spans="17:20">
      <c r="Q64" s="625" t="e">
        <f ca="1"/>
        <v>#NAME?</v>
      </c>
      <c r="R64" s="8" t="e">
        <f ca="1"/>
        <v>#NAME?</v>
      </c>
      <c r="S64" s="8" t="e">
        <f ca="1"/>
        <v>#NAME?</v>
      </c>
      <c r="T64" s="132" t="e">
        <f ca="1"/>
        <v>#NAME?</v>
      </c>
    </row>
    <row r="65" spans="17:20">
      <c r="Q65" s="625" t="e">
        <f ca="1"/>
        <v>#NAME?</v>
      </c>
      <c r="R65" s="8" t="e">
        <f ca="1"/>
        <v>#NAME?</v>
      </c>
      <c r="S65" s="8" t="e">
        <f ca="1"/>
        <v>#NAME?</v>
      </c>
      <c r="T65" s="132" t="e">
        <f ca="1"/>
        <v>#NAME?</v>
      </c>
    </row>
    <row r="66" spans="17:20">
      <c r="Q66" s="625" t="e">
        <f ca="1"/>
        <v>#NAME?</v>
      </c>
      <c r="R66" s="8" t="e">
        <f ca="1"/>
        <v>#NAME?</v>
      </c>
      <c r="S66" s="8" t="e">
        <f ca="1"/>
        <v>#NAME?</v>
      </c>
      <c r="T66" s="132" t="e">
        <f ca="1"/>
        <v>#NAME?</v>
      </c>
    </row>
    <row r="67" spans="17:20">
      <c r="Q67" s="625" t="e">
        <f ca="1"/>
        <v>#NAME?</v>
      </c>
      <c r="R67" s="8" t="e">
        <f ca="1"/>
        <v>#NAME?</v>
      </c>
      <c r="S67" s="8" t="e">
        <f ca="1"/>
        <v>#NAME?</v>
      </c>
      <c r="T67" s="132" t="e">
        <f ca="1"/>
        <v>#NAME?</v>
      </c>
    </row>
    <row r="68" spans="17:20">
      <c r="Q68" s="625" t="e">
        <f ca="1"/>
        <v>#NAME?</v>
      </c>
      <c r="R68" s="8" t="e">
        <f ca="1"/>
        <v>#NAME?</v>
      </c>
      <c r="S68" s="8" t="e">
        <f ca="1"/>
        <v>#NAME?</v>
      </c>
      <c r="T68" s="132" t="e">
        <f ca="1"/>
        <v>#NAME?</v>
      </c>
    </row>
    <row r="69" spans="17:20">
      <c r="Q69" s="625" t="e">
        <f ca="1"/>
        <v>#NAME?</v>
      </c>
      <c r="R69" s="8" t="e">
        <f ca="1"/>
        <v>#NAME?</v>
      </c>
      <c r="S69" s="8" t="e">
        <f ca="1"/>
        <v>#NAME?</v>
      </c>
      <c r="T69" s="132" t="e">
        <f ca="1"/>
        <v>#NAME?</v>
      </c>
    </row>
    <row r="70" spans="17:20">
      <c r="Q70" s="625" t="e">
        <f ca="1"/>
        <v>#NAME?</v>
      </c>
      <c r="R70" s="8" t="e">
        <f ca="1"/>
        <v>#NAME?</v>
      </c>
      <c r="S70" s="8" t="e">
        <f ca="1"/>
        <v>#NAME?</v>
      </c>
      <c r="T70" s="132" t="e">
        <f ca="1"/>
        <v>#NAME?</v>
      </c>
    </row>
    <row r="71" spans="17:20">
      <c r="Q71" s="625" t="e">
        <f ca="1"/>
        <v>#NAME?</v>
      </c>
      <c r="R71" s="8" t="e">
        <f ca="1"/>
        <v>#NAME?</v>
      </c>
      <c r="S71" s="8" t="e">
        <f ca="1"/>
        <v>#NAME?</v>
      </c>
      <c r="T71" s="132" t="e">
        <f ca="1"/>
        <v>#NAME?</v>
      </c>
    </row>
    <row r="72" spans="17:20">
      <c r="Q72" s="625" t="e">
        <f ca="1"/>
        <v>#NAME?</v>
      </c>
      <c r="R72" s="8" t="e">
        <f ca="1"/>
        <v>#NAME?</v>
      </c>
      <c r="S72" s="8" t="e">
        <f ca="1"/>
        <v>#NAME?</v>
      </c>
      <c r="T72" s="132" t="e">
        <f ca="1"/>
        <v>#NAME?</v>
      </c>
    </row>
    <row r="73" spans="17:20">
      <c r="Q73" s="625" t="e">
        <f ca="1"/>
        <v>#NAME?</v>
      </c>
      <c r="R73" s="8" t="e">
        <f ca="1"/>
        <v>#NAME?</v>
      </c>
      <c r="S73" s="8" t="e">
        <f ca="1"/>
        <v>#NAME?</v>
      </c>
      <c r="T73" s="132" t="e">
        <f ca="1"/>
        <v>#NAME?</v>
      </c>
    </row>
    <row r="74" spans="17:20">
      <c r="Q74" s="625" t="e">
        <f ca="1"/>
        <v>#NAME?</v>
      </c>
      <c r="R74" s="8" t="e">
        <f ca="1"/>
        <v>#NAME?</v>
      </c>
      <c r="S74" s="8" t="e">
        <f ca="1"/>
        <v>#NAME?</v>
      </c>
      <c r="T74" s="132" t="e">
        <f ca="1"/>
        <v>#NAME?</v>
      </c>
    </row>
    <row r="75" spans="17:20">
      <c r="Q75" s="625" t="e">
        <f ca="1"/>
        <v>#NAME?</v>
      </c>
      <c r="R75" s="8" t="e">
        <f ca="1"/>
        <v>#NAME?</v>
      </c>
      <c r="S75" s="8" t="e">
        <f ca="1"/>
        <v>#NAME?</v>
      </c>
      <c r="T75" s="132" t="e">
        <f ca="1"/>
        <v>#NAME?</v>
      </c>
    </row>
    <row r="76" spans="17:20">
      <c r="Q76" s="625" t="e">
        <f ca="1"/>
        <v>#NAME?</v>
      </c>
      <c r="R76" s="8" t="e">
        <f ca="1"/>
        <v>#NAME?</v>
      </c>
      <c r="S76" s="8" t="e">
        <f ca="1"/>
        <v>#NAME?</v>
      </c>
      <c r="T76" s="132" t="e">
        <f ca="1"/>
        <v>#NAME?</v>
      </c>
    </row>
    <row r="77" spans="17:20">
      <c r="Q77" s="625" t="e">
        <f ca="1"/>
        <v>#NAME?</v>
      </c>
      <c r="R77" s="8" t="e">
        <f ca="1"/>
        <v>#NAME?</v>
      </c>
      <c r="S77" s="8" t="e">
        <f ca="1"/>
        <v>#NAME?</v>
      </c>
      <c r="T77" s="132" t="e">
        <f ca="1"/>
        <v>#NAME?</v>
      </c>
    </row>
    <row r="78" spans="17:20">
      <c r="Q78" s="625" t="e">
        <f ca="1"/>
        <v>#NAME?</v>
      </c>
      <c r="R78" s="8" t="e">
        <f ca="1"/>
        <v>#NAME?</v>
      </c>
      <c r="S78" s="8" t="e">
        <f ca="1"/>
        <v>#NAME?</v>
      </c>
      <c r="T78" s="132" t="e">
        <f ca="1"/>
        <v>#NAME?</v>
      </c>
    </row>
    <row r="79" spans="17:20">
      <c r="Q79" s="625" t="e">
        <f ca="1"/>
        <v>#NAME?</v>
      </c>
      <c r="R79" s="8" t="e">
        <f ca="1"/>
        <v>#NAME?</v>
      </c>
      <c r="S79" s="8" t="e">
        <f ca="1"/>
        <v>#NAME?</v>
      </c>
      <c r="T79" s="132" t="e">
        <f ca="1"/>
        <v>#NAME?</v>
      </c>
    </row>
    <row r="80" spans="17:20">
      <c r="Q80" s="625" t="e">
        <f ca="1"/>
        <v>#NAME?</v>
      </c>
      <c r="R80" s="8" t="e">
        <f ca="1"/>
        <v>#NAME?</v>
      </c>
      <c r="S80" s="8" t="e">
        <f ca="1"/>
        <v>#NAME?</v>
      </c>
      <c r="T80" s="132" t="e">
        <f ca="1"/>
        <v>#NAME?</v>
      </c>
    </row>
    <row r="81" spans="17:20">
      <c r="Q81" s="625" t="e">
        <f ca="1"/>
        <v>#NAME?</v>
      </c>
      <c r="R81" s="8" t="e">
        <f ca="1"/>
        <v>#NAME?</v>
      </c>
      <c r="S81" s="8" t="e">
        <f ca="1"/>
        <v>#NAME?</v>
      </c>
      <c r="T81" s="132" t="e">
        <f ca="1"/>
        <v>#NAME?</v>
      </c>
    </row>
    <row r="82" spans="17:20">
      <c r="Q82" s="625" t="e">
        <f ca="1"/>
        <v>#NAME?</v>
      </c>
      <c r="R82" s="8" t="e">
        <f ca="1"/>
        <v>#NAME?</v>
      </c>
      <c r="S82" s="8" t="e">
        <f ca="1"/>
        <v>#NAME?</v>
      </c>
      <c r="T82" s="132" t="e">
        <f ca="1"/>
        <v>#NAME?</v>
      </c>
    </row>
    <row r="83" spans="17:20">
      <c r="Q83" s="625" t="e">
        <f ca="1"/>
        <v>#NAME?</v>
      </c>
      <c r="R83" s="8" t="e">
        <f ca="1"/>
        <v>#NAME?</v>
      </c>
      <c r="S83" s="8" t="e">
        <f ca="1"/>
        <v>#NAME?</v>
      </c>
      <c r="T83" s="132" t="e">
        <f ca="1"/>
        <v>#NAME?</v>
      </c>
    </row>
    <row r="84" spans="17:20">
      <c r="Q84" s="625" t="e">
        <f ca="1"/>
        <v>#NAME?</v>
      </c>
      <c r="R84" s="8" t="e">
        <f ca="1"/>
        <v>#NAME?</v>
      </c>
      <c r="S84" s="8" t="e">
        <f ca="1"/>
        <v>#NAME?</v>
      </c>
      <c r="T84" s="132" t="e">
        <f ca="1"/>
        <v>#NAME?</v>
      </c>
    </row>
    <row r="85" spans="17:20">
      <c r="Q85" s="625" t="e">
        <f ca="1"/>
        <v>#NAME?</v>
      </c>
      <c r="R85" s="8" t="e">
        <f ca="1"/>
        <v>#NAME?</v>
      </c>
      <c r="S85" s="8" t="e">
        <f ca="1"/>
        <v>#NAME?</v>
      </c>
      <c r="T85" s="132" t="e">
        <f ca="1"/>
        <v>#NAME?</v>
      </c>
    </row>
    <row r="86" spans="17:20">
      <c r="Q86" s="625" t="e">
        <f ca="1"/>
        <v>#NAME?</v>
      </c>
      <c r="R86" s="8" t="e">
        <f ca="1"/>
        <v>#NAME?</v>
      </c>
      <c r="S86" s="8" t="e">
        <f ca="1"/>
        <v>#NAME?</v>
      </c>
      <c r="T86" s="132" t="e">
        <f ca="1"/>
        <v>#NAME?</v>
      </c>
    </row>
    <row r="87" spans="17:20">
      <c r="Q87" s="625" t="e">
        <f ca="1"/>
        <v>#NAME?</v>
      </c>
      <c r="R87" s="8" t="e">
        <f ca="1"/>
        <v>#NAME?</v>
      </c>
      <c r="S87" s="8" t="e">
        <f ca="1"/>
        <v>#NAME?</v>
      </c>
      <c r="T87" s="132" t="e">
        <f ca="1"/>
        <v>#NAME?</v>
      </c>
    </row>
    <row r="88" spans="17:20">
      <c r="Q88" s="625" t="e">
        <f ca="1"/>
        <v>#NAME?</v>
      </c>
      <c r="R88" s="8" t="e">
        <f ca="1"/>
        <v>#NAME?</v>
      </c>
      <c r="S88" s="8" t="e">
        <f ca="1"/>
        <v>#NAME?</v>
      </c>
      <c r="T88" s="132" t="e">
        <f ca="1"/>
        <v>#NAME?</v>
      </c>
    </row>
    <row r="89" spans="17:20">
      <c r="Q89" s="625" t="e">
        <f ca="1"/>
        <v>#NAME?</v>
      </c>
      <c r="R89" s="8" t="e">
        <f ca="1"/>
        <v>#NAME?</v>
      </c>
      <c r="S89" s="8" t="e">
        <f ca="1"/>
        <v>#NAME?</v>
      </c>
      <c r="T89" s="132" t="e">
        <f ca="1"/>
        <v>#NAME?</v>
      </c>
    </row>
    <row r="90" spans="17:20">
      <c r="Q90" s="625" t="e">
        <f ca="1"/>
        <v>#NAME?</v>
      </c>
      <c r="R90" s="8" t="e">
        <f ca="1"/>
        <v>#NAME?</v>
      </c>
      <c r="S90" s="8" t="e">
        <f ca="1"/>
        <v>#NAME?</v>
      </c>
      <c r="T90" s="132" t="e">
        <f ca="1"/>
        <v>#NAME?</v>
      </c>
    </row>
    <row r="91" spans="17:20">
      <c r="Q91" s="1075" t="e">
        <f ca="1"/>
        <v>#NAME?</v>
      </c>
      <c r="R91" s="1076" t="e">
        <f ca="1"/>
        <v>#NAME?</v>
      </c>
      <c r="S91" s="1076" t="e">
        <f ca="1"/>
        <v>#NAME?</v>
      </c>
      <c r="T91" s="1077" t="e">
        <f ca="1"/>
        <v>#NAME?</v>
      </c>
    </row>
  </sheetData>
  <mergeCells count="1">
    <mergeCell ref="D3:O3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sheetPr codeName="Sheet123"/>
  <dimension ref="A1:AC118"/>
  <sheetViews>
    <sheetView topLeftCell="A2" workbookViewId="0"/>
  </sheetViews>
  <sheetFormatPr defaultRowHeight="14.4"/>
  <cols>
    <col min="1" max="2" width="8.33203125" customWidth="1"/>
    <col min="3" max="3" width="5.5546875" customWidth="1"/>
    <col min="4" max="8" width="5.88671875" customWidth="1"/>
    <col min="9" max="9" width="6.5546875" customWidth="1"/>
    <col min="10" max="10" width="5.44140625" customWidth="1"/>
    <col min="11" max="11" width="9.5546875" bestFit="1" customWidth="1"/>
    <col min="12" max="12" width="5.6640625" customWidth="1"/>
  </cols>
  <sheetData>
    <row r="1" spans="1:29">
      <c r="A1" s="1" t="s">
        <v>704</v>
      </c>
    </row>
    <row r="3" spans="1:29">
      <c r="A3" s="25" t="s">
        <v>776</v>
      </c>
    </row>
    <row r="5" spans="1:29" ht="16.2">
      <c r="A5" s="199" t="s">
        <v>1136</v>
      </c>
      <c r="B5" s="199" t="s">
        <v>547</v>
      </c>
      <c r="D5" s="1582" t="s">
        <v>778</v>
      </c>
      <c r="E5" s="1582"/>
      <c r="F5" s="415"/>
      <c r="G5" s="414" t="s">
        <v>779</v>
      </c>
      <c r="I5" s="414" t="s">
        <v>384</v>
      </c>
      <c r="K5" s="162" t="s">
        <v>792</v>
      </c>
      <c r="L5" s="414"/>
      <c r="M5" s="162" t="s">
        <v>387</v>
      </c>
      <c r="O5" t="s">
        <v>1135</v>
      </c>
    </row>
    <row r="6" spans="1:29">
      <c r="A6" s="117">
        <v>5</v>
      </c>
      <c r="B6" s="200">
        <v>80</v>
      </c>
      <c r="D6" s="240">
        <v>1</v>
      </c>
      <c r="E6" s="204">
        <f t="shared" ref="E6:E20" si="0">A6</f>
        <v>5</v>
      </c>
      <c r="G6" s="226">
        <f t="shared" ref="G6:G16" si="1">B6</f>
        <v>80</v>
      </c>
      <c r="I6" s="432">
        <f t="array" ref="I6:I7">MMULT(D23:E24,MMULT(TRANSPOSE(D6:E20),G6:G20))</f>
        <v>85.720421194817959</v>
      </c>
      <c r="K6" s="275">
        <f t="array" ref="K6:K20">MMULT(D6:E20,I6:I7)</f>
        <v>82.579419168662128</v>
      </c>
      <c r="M6" s="267">
        <f>G6-K6</f>
        <v>-2.5794191686621275</v>
      </c>
      <c r="O6" s="425">
        <f t="array" ref="O6:AC20">MMULT(MMULT(D6:E20,D23:E24),TRANSPOSE(D6:E20))</f>
        <v>0.16215386504574203</v>
      </c>
      <c r="P6" s="426">
        <v>4.2794867071897807E-2</v>
      </c>
      <c r="Q6" s="426">
        <v>2.9532756185915138E-2</v>
      </c>
      <c r="R6" s="426">
        <v>-0.12298151900288581</v>
      </c>
      <c r="S6" s="426">
        <v>8.2581199729845886E-2</v>
      </c>
      <c r="T6" s="426">
        <v>0.142260698716768</v>
      </c>
      <c r="U6" s="426">
        <v>0.16878492048873339</v>
      </c>
      <c r="V6" s="426">
        <v>2.2901700742923775E-2</v>
      </c>
      <c r="W6" s="426">
        <v>0.12236753238779396</v>
      </c>
      <c r="X6" s="426">
        <v>6.9319088843863202E-2</v>
      </c>
      <c r="Y6" s="426">
        <v>0.10247436605881993</v>
      </c>
      <c r="Z6" s="426">
        <v>-3.6777798243998322E-2</v>
      </c>
      <c r="AA6" s="426">
        <v>3.0085344139497427E-3</v>
      </c>
      <c r="AB6" s="426">
        <v>0.16878492048873339</v>
      </c>
      <c r="AC6" s="427">
        <v>4.2794867071897807E-2</v>
      </c>
    </row>
    <row r="7" spans="1:29">
      <c r="A7" s="117">
        <v>23</v>
      </c>
      <c r="B7" s="117">
        <v>78</v>
      </c>
      <c r="D7" s="87">
        <v>1</v>
      </c>
      <c r="E7" s="88">
        <f t="shared" si="0"/>
        <v>23</v>
      </c>
      <c r="G7" s="224">
        <f t="shared" si="1"/>
        <v>78</v>
      </c>
      <c r="I7" s="268">
        <v>-0.6282004052311656</v>
      </c>
      <c r="K7" s="276">
        <v>71.271811874501154</v>
      </c>
      <c r="M7" s="40">
        <f t="shared" ref="M7:M20" si="2">G7-K7</f>
        <v>6.7281881254988463</v>
      </c>
      <c r="O7" s="377">
        <v>4.2794867071897863E-2</v>
      </c>
      <c r="P7" s="8">
        <v>7.2634616565358912E-2</v>
      </c>
      <c r="Q7" s="8">
        <v>7.5950144286854565E-2</v>
      </c>
      <c r="R7" s="8">
        <v>0.11407871308405479</v>
      </c>
      <c r="S7" s="8">
        <v>6.2688033400871895E-2</v>
      </c>
      <c r="T7" s="8">
        <v>4.7768158654141371E-2</v>
      </c>
      <c r="U7" s="8">
        <v>4.1137103211150029E-2</v>
      </c>
      <c r="V7" s="8">
        <v>7.7607908147602406E-2</v>
      </c>
      <c r="W7" s="8">
        <v>5.2741450236384879E-2</v>
      </c>
      <c r="X7" s="8">
        <v>6.6003561122367563E-2</v>
      </c>
      <c r="Y7" s="8">
        <v>5.7714741818628387E-2</v>
      </c>
      <c r="Z7" s="8">
        <v>9.252778289433293E-2</v>
      </c>
      <c r="AA7" s="8">
        <v>8.2581199729845914E-2</v>
      </c>
      <c r="AB7" s="8">
        <v>4.1137103211150029E-2</v>
      </c>
      <c r="AC7" s="9">
        <v>7.2634616565358912E-2</v>
      </c>
    </row>
    <row r="8" spans="1:29">
      <c r="A8" s="117">
        <v>25</v>
      </c>
      <c r="B8" s="117">
        <v>60</v>
      </c>
      <c r="D8" s="87">
        <v>1</v>
      </c>
      <c r="E8" s="88">
        <f t="shared" si="0"/>
        <v>25</v>
      </c>
      <c r="G8" s="224">
        <f t="shared" si="1"/>
        <v>60</v>
      </c>
      <c r="K8" s="276">
        <v>70.015411064038815</v>
      </c>
      <c r="M8" s="40">
        <f t="shared" si="2"/>
        <v>-10.015411064038815</v>
      </c>
      <c r="O8" s="377">
        <v>2.9532756185915155E-2</v>
      </c>
      <c r="P8" s="8">
        <v>7.5950144286854537E-2</v>
      </c>
      <c r="Q8" s="8">
        <v>8.1107631853625572E-2</v>
      </c>
      <c r="R8" s="8">
        <v>0.14041873887149256</v>
      </c>
      <c r="S8" s="8">
        <v>6.0477681586541404E-2</v>
      </c>
      <c r="T8" s="8">
        <v>3.7268987536071718E-2</v>
      </c>
      <c r="U8" s="8">
        <v>2.6954012402529634E-2</v>
      </c>
      <c r="V8" s="8">
        <v>8.368637563701109E-2</v>
      </c>
      <c r="W8" s="8">
        <v>4.5005218886228285E-2</v>
      </c>
      <c r="X8" s="8">
        <v>6.5635169153312453E-2</v>
      </c>
      <c r="Y8" s="8">
        <v>5.2741450236384844E-2</v>
      </c>
      <c r="Z8" s="8">
        <v>0.10689506968748079</v>
      </c>
      <c r="AA8" s="8">
        <v>9.1422606987167657E-2</v>
      </c>
      <c r="AB8" s="8">
        <v>2.6954012402529634E-2</v>
      </c>
      <c r="AC8" s="9">
        <v>7.5950144286854537E-2</v>
      </c>
    </row>
    <row r="9" spans="1:29">
      <c r="A9" s="117">
        <v>48</v>
      </c>
      <c r="B9" s="117">
        <v>53</v>
      </c>
      <c r="D9" s="87">
        <v>1</v>
      </c>
      <c r="E9" s="88">
        <f t="shared" si="0"/>
        <v>48</v>
      </c>
      <c r="G9" s="224">
        <f t="shared" si="1"/>
        <v>53</v>
      </c>
      <c r="K9" s="276">
        <v>55.56680174372201</v>
      </c>
      <c r="M9" s="40">
        <f t="shared" si="2"/>
        <v>-2.5668017437220101</v>
      </c>
      <c r="O9" s="377">
        <v>-0.1229815190028857</v>
      </c>
      <c r="P9" s="8">
        <v>0.11407871308405484</v>
      </c>
      <c r="Q9" s="8">
        <v>0.14041873887149273</v>
      </c>
      <c r="R9" s="8">
        <v>0.44332903542702784</v>
      </c>
      <c r="S9" s="8">
        <v>3.5058635721741338E-2</v>
      </c>
      <c r="T9" s="8">
        <v>-8.3471480321728936E-2</v>
      </c>
      <c r="U9" s="8">
        <v>-0.13615153189660462</v>
      </c>
      <c r="V9" s="8">
        <v>0.15358875176521161</v>
      </c>
      <c r="W9" s="8">
        <v>-4.3961441640572169E-2</v>
      </c>
      <c r="X9" s="8">
        <v>6.1398661509179192E-2</v>
      </c>
      <c r="Y9" s="8">
        <v>-4.4514029594154014E-3</v>
      </c>
      <c r="Z9" s="8">
        <v>0.27211886780868189</v>
      </c>
      <c r="AA9" s="8">
        <v>0.19309879044636838</v>
      </c>
      <c r="AB9" s="8">
        <v>-0.13615153189660462</v>
      </c>
      <c r="AC9" s="9">
        <v>0.11407871308405484</v>
      </c>
    </row>
    <row r="10" spans="1:29">
      <c r="A10" s="201">
        <v>17</v>
      </c>
      <c r="B10" s="117">
        <v>85</v>
      </c>
      <c r="D10" s="87">
        <v>1</v>
      </c>
      <c r="E10" s="88">
        <f t="shared" si="0"/>
        <v>17</v>
      </c>
      <c r="G10" s="224">
        <f t="shared" si="1"/>
        <v>85</v>
      </c>
      <c r="I10" s="414" t="s">
        <v>826</v>
      </c>
      <c r="K10" s="276">
        <v>75.04101430588814</v>
      </c>
      <c r="M10" s="40">
        <f t="shared" si="2"/>
        <v>9.9589856941118597</v>
      </c>
      <c r="O10" s="377">
        <v>8.2581199729845928E-2</v>
      </c>
      <c r="P10" s="8">
        <v>6.2688033400871868E-2</v>
      </c>
      <c r="Q10" s="8">
        <v>6.0477681586541425E-2</v>
      </c>
      <c r="R10" s="8">
        <v>3.5058635721741255E-2</v>
      </c>
      <c r="S10" s="8">
        <v>6.931908884386323E-2</v>
      </c>
      <c r="T10" s="8">
        <v>7.9265672008350246E-2</v>
      </c>
      <c r="U10" s="8">
        <v>8.3686375637011146E-2</v>
      </c>
      <c r="V10" s="8">
        <v>5.93725056793762E-2</v>
      </c>
      <c r="W10" s="8">
        <v>7.5950144286854565E-2</v>
      </c>
      <c r="X10" s="8">
        <v>6.7108737029532767E-2</v>
      </c>
      <c r="Y10" s="8">
        <v>7.2634616565358898E-2</v>
      </c>
      <c r="Z10" s="8">
        <v>4.9425922514889177E-2</v>
      </c>
      <c r="AA10" s="8">
        <v>5.6056977957880526E-2</v>
      </c>
      <c r="AB10" s="8">
        <v>8.3686375637011146E-2</v>
      </c>
      <c r="AC10" s="9">
        <v>6.2688033400871868E-2</v>
      </c>
    </row>
    <row r="11" spans="1:29">
      <c r="A11" s="201">
        <v>8</v>
      </c>
      <c r="B11" s="117">
        <v>84</v>
      </c>
      <c r="D11" s="87">
        <v>1</v>
      </c>
      <c r="E11" s="88">
        <f t="shared" si="0"/>
        <v>8</v>
      </c>
      <c r="G11" s="224">
        <f t="shared" si="1"/>
        <v>84</v>
      </c>
      <c r="I11" s="433">
        <f>SQRT(G23)</f>
        <v>3.9065908075799749</v>
      </c>
      <c r="K11" s="276">
        <v>80.694817952968634</v>
      </c>
      <c r="M11" s="40">
        <f t="shared" si="2"/>
        <v>3.3051820470313658</v>
      </c>
      <c r="O11" s="377">
        <v>0.14226069871676802</v>
      </c>
      <c r="P11" s="8">
        <v>4.7768158654141343E-2</v>
      </c>
      <c r="Q11" s="8">
        <v>3.7268987536071718E-2</v>
      </c>
      <c r="R11" s="8">
        <v>-8.3471480321729019E-2</v>
      </c>
      <c r="S11" s="8">
        <v>7.9265672008350233E-2</v>
      </c>
      <c r="T11" s="8">
        <v>0.12651194203966357</v>
      </c>
      <c r="U11" s="8">
        <v>0.14751028427580284</v>
      </c>
      <c r="V11" s="8">
        <v>3.2019401977036899E-2</v>
      </c>
      <c r="W11" s="8">
        <v>0.11076318536255914</v>
      </c>
      <c r="X11" s="8">
        <v>6.8766500890280607E-2</v>
      </c>
      <c r="Y11" s="8">
        <v>9.5014428685454677E-2</v>
      </c>
      <c r="Z11" s="8">
        <v>-1.5226868054276449E-2</v>
      </c>
      <c r="AA11" s="8">
        <v>1.6270645299932468E-2</v>
      </c>
      <c r="AB11" s="8">
        <v>0.14751028427580284</v>
      </c>
      <c r="AC11" s="9">
        <v>4.7768158654141343E-2</v>
      </c>
    </row>
    <row r="12" spans="1:29">
      <c r="A12" s="117">
        <v>4</v>
      </c>
      <c r="B12" s="117">
        <v>73</v>
      </c>
      <c r="D12" s="87">
        <v>1</v>
      </c>
      <c r="E12" s="88">
        <f t="shared" si="0"/>
        <v>4</v>
      </c>
      <c r="G12" s="224">
        <f t="shared" si="1"/>
        <v>73</v>
      </c>
      <c r="I12" s="434">
        <f>SQRT(H24)</f>
        <v>0.17112895461639735</v>
      </c>
      <c r="K12" s="276">
        <v>83.207619573893297</v>
      </c>
      <c r="M12" s="40">
        <f t="shared" si="2"/>
        <v>-10.207619573893297</v>
      </c>
      <c r="O12" s="377">
        <v>0.16878492048873336</v>
      </c>
      <c r="P12" s="8">
        <v>4.1137103211149967E-2</v>
      </c>
      <c r="Q12" s="8">
        <v>2.6954012402529592E-2</v>
      </c>
      <c r="R12" s="8">
        <v>-0.13615153189660478</v>
      </c>
      <c r="S12" s="8">
        <v>8.3686375637011104E-2</v>
      </c>
      <c r="T12" s="8">
        <v>0.14751028427580282</v>
      </c>
      <c r="U12" s="8">
        <v>0.17587646589304357</v>
      </c>
      <c r="V12" s="8">
        <v>1.9862466998219391E-2</v>
      </c>
      <c r="W12" s="8">
        <v>0.12623564806287224</v>
      </c>
      <c r="X12" s="8">
        <v>6.9503284828390716E-2</v>
      </c>
      <c r="Y12" s="8">
        <v>0.10496101184994167</v>
      </c>
      <c r="Z12" s="8">
        <v>-4.3961441640572307E-2</v>
      </c>
      <c r="AA12" s="8">
        <v>-1.4121692147111564E-3</v>
      </c>
      <c r="AB12" s="8">
        <v>0.17587646589304357</v>
      </c>
      <c r="AC12" s="9">
        <v>4.1137103211149967E-2</v>
      </c>
    </row>
    <row r="13" spans="1:29">
      <c r="A13" s="117">
        <v>26</v>
      </c>
      <c r="B13" s="117">
        <v>79</v>
      </c>
      <c r="D13" s="87">
        <v>1</v>
      </c>
      <c r="E13" s="88">
        <f t="shared" si="0"/>
        <v>26</v>
      </c>
      <c r="G13" s="224">
        <f t="shared" si="1"/>
        <v>79</v>
      </c>
      <c r="K13" s="276">
        <v>69.387210658807646</v>
      </c>
      <c r="M13" s="40">
        <f t="shared" si="2"/>
        <v>9.6127893411923537</v>
      </c>
      <c r="O13" s="377">
        <v>2.2901700742923817E-2</v>
      </c>
      <c r="P13" s="8">
        <v>7.7607908147602378E-2</v>
      </c>
      <c r="Q13" s="8">
        <v>8.3686375637011118E-2</v>
      </c>
      <c r="R13" s="8">
        <v>0.1535887517652115</v>
      </c>
      <c r="S13" s="8">
        <v>5.9372505679376193E-2</v>
      </c>
      <c r="T13" s="8">
        <v>3.2019401977036913E-2</v>
      </c>
      <c r="U13" s="8">
        <v>1.9862466998219454E-2</v>
      </c>
      <c r="V13" s="8">
        <v>8.6725609381715474E-2</v>
      </c>
      <c r="W13" s="8">
        <v>4.1137103211150008E-2</v>
      </c>
      <c r="X13" s="8">
        <v>6.5450973168784926E-2</v>
      </c>
      <c r="Y13" s="8">
        <v>5.0254804445263104E-2</v>
      </c>
      <c r="Z13" s="8">
        <v>0.11407871308405476</v>
      </c>
      <c r="AA13" s="8">
        <v>9.584331061582857E-2</v>
      </c>
      <c r="AB13" s="8">
        <v>1.9862466998219454E-2</v>
      </c>
      <c r="AC13" s="9">
        <v>7.7607908147602378E-2</v>
      </c>
    </row>
    <row r="14" spans="1:29">
      <c r="A14" s="117">
        <v>11</v>
      </c>
      <c r="B14" s="117">
        <v>81</v>
      </c>
      <c r="D14" s="87">
        <v>1</v>
      </c>
      <c r="E14" s="88">
        <f t="shared" si="0"/>
        <v>11</v>
      </c>
      <c r="G14" s="224">
        <f t="shared" si="1"/>
        <v>81</v>
      </c>
      <c r="K14" s="276">
        <v>78.810216737275141</v>
      </c>
      <c r="M14" s="40">
        <f t="shared" si="2"/>
        <v>2.189783262724859</v>
      </c>
      <c r="O14" s="377">
        <v>0.12236753238779398</v>
      </c>
      <c r="P14" s="8">
        <v>5.2741450236384851E-2</v>
      </c>
      <c r="Q14" s="8">
        <v>4.5005218886228271E-2</v>
      </c>
      <c r="R14" s="8">
        <v>-4.396144164057228E-2</v>
      </c>
      <c r="S14" s="8">
        <v>7.5950144286854551E-2</v>
      </c>
      <c r="T14" s="8">
        <v>0.11076318536255912</v>
      </c>
      <c r="U14" s="8">
        <v>0.12623564806287227</v>
      </c>
      <c r="V14" s="8">
        <v>4.1137103211149995E-2</v>
      </c>
      <c r="W14" s="8">
        <v>9.9158838337324265E-2</v>
      </c>
      <c r="X14" s="8">
        <v>6.8213912936697985E-2</v>
      </c>
      <c r="Y14" s="8">
        <v>8.7554491312089408E-2</v>
      </c>
      <c r="Z14" s="8">
        <v>6.3240621354454241E-3</v>
      </c>
      <c r="AA14" s="8">
        <v>2.9532756185915138E-2</v>
      </c>
      <c r="AB14" s="8">
        <v>0.12623564806287227</v>
      </c>
      <c r="AC14" s="9">
        <v>5.2741450236384851E-2</v>
      </c>
    </row>
    <row r="15" spans="1:29">
      <c r="A15" s="117">
        <v>19</v>
      </c>
      <c r="B15" s="117">
        <v>75</v>
      </c>
      <c r="D15" s="87">
        <v>1</v>
      </c>
      <c r="E15" s="88">
        <f t="shared" si="0"/>
        <v>19</v>
      </c>
      <c r="G15" s="224">
        <f t="shared" si="1"/>
        <v>75</v>
      </c>
      <c r="K15" s="276">
        <v>73.784613495425816</v>
      </c>
      <c r="M15" s="40">
        <f t="shared" si="2"/>
        <v>1.2153865045741838</v>
      </c>
      <c r="O15" s="377">
        <v>6.9319088843863216E-2</v>
      </c>
      <c r="P15" s="8">
        <v>6.6003561122367507E-2</v>
      </c>
      <c r="Q15" s="8">
        <v>6.5635169153312425E-2</v>
      </c>
      <c r="R15" s="8">
        <v>6.1398661509179026E-2</v>
      </c>
      <c r="S15" s="8">
        <v>6.7108737029532739E-2</v>
      </c>
      <c r="T15" s="8">
        <v>6.8766500890280594E-2</v>
      </c>
      <c r="U15" s="8">
        <v>6.9503284828390743E-2</v>
      </c>
      <c r="V15" s="8">
        <v>6.5450973168784884E-2</v>
      </c>
      <c r="W15" s="8">
        <v>6.8213912936697971E-2</v>
      </c>
      <c r="X15" s="8">
        <v>6.6740345060477657E-2</v>
      </c>
      <c r="Y15" s="8">
        <v>6.7661324983115362E-2</v>
      </c>
      <c r="Z15" s="8">
        <v>6.379320930803703E-2</v>
      </c>
      <c r="AA15" s="8">
        <v>6.4898385215202276E-2</v>
      </c>
      <c r="AB15" s="8">
        <v>6.9503284828390743E-2</v>
      </c>
      <c r="AC15" s="9">
        <v>6.6003561122367507E-2</v>
      </c>
    </row>
    <row r="16" spans="1:29">
      <c r="A16" s="117">
        <v>14</v>
      </c>
      <c r="B16" s="117">
        <v>68</v>
      </c>
      <c r="D16" s="360">
        <v>1</v>
      </c>
      <c r="E16" s="88">
        <f t="shared" si="0"/>
        <v>14</v>
      </c>
      <c r="G16" s="430">
        <f t="shared" si="1"/>
        <v>68</v>
      </c>
      <c r="K16" s="431">
        <v>76.925615521581648</v>
      </c>
      <c r="M16" s="376">
        <f t="shared" si="2"/>
        <v>-8.9256155215816477</v>
      </c>
      <c r="O16" s="377">
        <v>0.10247436605881993</v>
      </c>
      <c r="P16" s="8">
        <v>5.7714741818628346E-2</v>
      </c>
      <c r="Q16" s="8">
        <v>5.2741450236384838E-2</v>
      </c>
      <c r="R16" s="8">
        <v>-4.4514029594155263E-3</v>
      </c>
      <c r="S16" s="8">
        <v>7.2634616565358884E-2</v>
      </c>
      <c r="T16" s="8">
        <v>9.5014428685454677E-2</v>
      </c>
      <c r="U16" s="8">
        <v>0.10496101184994169</v>
      </c>
      <c r="V16" s="8">
        <v>5.0254804445263077E-2</v>
      </c>
      <c r="W16" s="8">
        <v>8.7554491312089408E-2</v>
      </c>
      <c r="X16" s="8">
        <v>6.7661324983115362E-2</v>
      </c>
      <c r="Y16" s="8">
        <v>8.0094553938724139E-2</v>
      </c>
      <c r="Z16" s="8">
        <v>2.7874992325167283E-2</v>
      </c>
      <c r="AA16" s="8">
        <v>4.2794867071897821E-2</v>
      </c>
      <c r="AB16" s="8">
        <v>0.10496101184994169</v>
      </c>
      <c r="AC16" s="9">
        <v>5.7714741818628346E-2</v>
      </c>
    </row>
    <row r="17" spans="1:29">
      <c r="A17" s="117">
        <v>35</v>
      </c>
      <c r="B17" s="117">
        <v>72</v>
      </c>
      <c r="D17" s="360">
        <v>1</v>
      </c>
      <c r="E17" s="88">
        <f t="shared" si="0"/>
        <v>35</v>
      </c>
      <c r="G17" s="430">
        <f>B17</f>
        <v>72</v>
      </c>
      <c r="K17" s="431">
        <v>63.733407011727166</v>
      </c>
      <c r="M17" s="376">
        <f t="shared" si="2"/>
        <v>8.2665929882728335</v>
      </c>
      <c r="O17" s="377">
        <v>-3.677779824399828E-2</v>
      </c>
      <c r="P17" s="8">
        <v>9.2527782894332888E-2</v>
      </c>
      <c r="Q17" s="8">
        <v>0.1068950696874808</v>
      </c>
      <c r="R17" s="8">
        <v>0.27211886780868177</v>
      </c>
      <c r="S17" s="8">
        <v>4.942592251488917E-2</v>
      </c>
      <c r="T17" s="8">
        <v>-1.5226868054276421E-2</v>
      </c>
      <c r="U17" s="8">
        <v>-4.3961441640572238E-2</v>
      </c>
      <c r="V17" s="8">
        <v>0.11407871308405476</v>
      </c>
      <c r="W17" s="8">
        <v>6.3240621354454379E-3</v>
      </c>
      <c r="X17" s="8">
        <v>6.3793209308037085E-2</v>
      </c>
      <c r="Y17" s="8">
        <v>2.7874992325167297E-2</v>
      </c>
      <c r="Z17" s="8">
        <v>0.17873150365322035</v>
      </c>
      <c r="AA17" s="8">
        <v>0.13562964327377661</v>
      </c>
      <c r="AB17" s="8">
        <v>-4.3961441640572238E-2</v>
      </c>
      <c r="AC17" s="9">
        <v>9.2527782894332888E-2</v>
      </c>
    </row>
    <row r="18" spans="1:29">
      <c r="A18" s="117">
        <v>29</v>
      </c>
      <c r="B18" s="117">
        <v>58</v>
      </c>
      <c r="C18" s="414"/>
      <c r="D18" s="360">
        <v>1</v>
      </c>
      <c r="E18" s="88">
        <f t="shared" si="0"/>
        <v>29</v>
      </c>
      <c r="G18" s="430">
        <f>B18</f>
        <v>58</v>
      </c>
      <c r="K18" s="431">
        <v>67.502609443114153</v>
      </c>
      <c r="M18" s="376">
        <f t="shared" si="2"/>
        <v>-9.502609443114153</v>
      </c>
      <c r="O18" s="377">
        <v>3.0085344139498087E-3</v>
      </c>
      <c r="P18" s="8">
        <v>8.2581199729845928E-2</v>
      </c>
      <c r="Q18" s="8">
        <v>9.1422606987167726E-2</v>
      </c>
      <c r="R18" s="8">
        <v>0.19309879044636832</v>
      </c>
      <c r="S18" s="8">
        <v>5.605697795788056E-2</v>
      </c>
      <c r="T18" s="8">
        <v>1.6270645299932496E-2</v>
      </c>
      <c r="U18" s="8">
        <v>-1.412169214711087E-3</v>
      </c>
      <c r="V18" s="8">
        <v>9.5843310615828625E-2</v>
      </c>
      <c r="W18" s="8">
        <v>2.9532756185915179E-2</v>
      </c>
      <c r="X18" s="8">
        <v>6.4898385215202345E-2</v>
      </c>
      <c r="Y18" s="8">
        <v>4.279486707189787E-2</v>
      </c>
      <c r="Z18" s="8">
        <v>0.13562964327377669</v>
      </c>
      <c r="AA18" s="8">
        <v>0.10910542150181129</v>
      </c>
      <c r="AB18" s="8">
        <v>-1.412169214711087E-3</v>
      </c>
      <c r="AC18" s="9">
        <v>8.2581199729845928E-2</v>
      </c>
    </row>
    <row r="19" spans="1:29">
      <c r="A19" s="117">
        <v>4</v>
      </c>
      <c r="B19" s="117">
        <v>92</v>
      </c>
      <c r="C19" s="414"/>
      <c r="D19" s="360">
        <v>1</v>
      </c>
      <c r="E19" s="88">
        <f t="shared" si="0"/>
        <v>4</v>
      </c>
      <c r="G19" s="430">
        <f>B19</f>
        <v>92</v>
      </c>
      <c r="K19" s="431">
        <v>83.207619573893297</v>
      </c>
      <c r="M19" s="376">
        <f t="shared" si="2"/>
        <v>8.7923804261067033</v>
      </c>
      <c r="O19" s="377">
        <v>0.16878492048873336</v>
      </c>
      <c r="P19" s="8">
        <v>4.1137103211149967E-2</v>
      </c>
      <c r="Q19" s="8">
        <v>2.6954012402529592E-2</v>
      </c>
      <c r="R19" s="8">
        <v>-0.13615153189660478</v>
      </c>
      <c r="S19" s="8">
        <v>8.3686375637011104E-2</v>
      </c>
      <c r="T19" s="8">
        <v>0.14751028427580282</v>
      </c>
      <c r="U19" s="8">
        <v>0.17587646589304357</v>
      </c>
      <c r="V19" s="8">
        <v>1.9862466998219391E-2</v>
      </c>
      <c r="W19" s="8">
        <v>0.12623564806287224</v>
      </c>
      <c r="X19" s="8">
        <v>6.9503284828390716E-2</v>
      </c>
      <c r="Y19" s="8">
        <v>0.10496101184994167</v>
      </c>
      <c r="Z19" s="8">
        <v>-4.3961441640572307E-2</v>
      </c>
      <c r="AA19" s="8">
        <v>-1.4121692147111564E-3</v>
      </c>
      <c r="AB19" s="8">
        <v>0.17587646589304357</v>
      </c>
      <c r="AC19" s="9">
        <v>4.1137103211149967E-2</v>
      </c>
    </row>
    <row r="20" spans="1:29">
      <c r="A20" s="119">
        <v>23</v>
      </c>
      <c r="B20" s="119">
        <v>65</v>
      </c>
      <c r="D20" s="206">
        <v>1</v>
      </c>
      <c r="E20" s="207">
        <f t="shared" si="0"/>
        <v>23</v>
      </c>
      <c r="G20" s="225">
        <f>B20</f>
        <v>65</v>
      </c>
      <c r="K20" s="277">
        <v>71.271811874501154</v>
      </c>
      <c r="M20" s="268">
        <f t="shared" si="2"/>
        <v>-6.2718118745011537</v>
      </c>
      <c r="O20" s="10">
        <v>4.2794867071897863E-2</v>
      </c>
      <c r="P20" s="11">
        <v>7.2634616565358912E-2</v>
      </c>
      <c r="Q20" s="11">
        <v>7.5950144286854565E-2</v>
      </c>
      <c r="R20" s="11">
        <v>0.11407871308405479</v>
      </c>
      <c r="S20" s="11">
        <v>6.2688033400871895E-2</v>
      </c>
      <c r="T20" s="11">
        <v>4.7768158654141371E-2</v>
      </c>
      <c r="U20" s="11">
        <v>4.1137103211150029E-2</v>
      </c>
      <c r="V20" s="11">
        <v>7.7607908147602406E-2</v>
      </c>
      <c r="W20" s="11">
        <v>5.2741450236384879E-2</v>
      </c>
      <c r="X20" s="11">
        <v>6.6003561122367563E-2</v>
      </c>
      <c r="Y20" s="11">
        <v>5.7714741818628387E-2</v>
      </c>
      <c r="Z20" s="11">
        <v>9.252778289433293E-2</v>
      </c>
      <c r="AA20" s="11">
        <v>8.2581199729845914E-2</v>
      </c>
      <c r="AB20" s="11">
        <v>4.1137103211150029E-2</v>
      </c>
      <c r="AC20" s="12">
        <v>7.2634616565358912E-2</v>
      </c>
    </row>
    <row r="22" spans="1:29" ht="16.8">
      <c r="D22" s="1582" t="s">
        <v>781</v>
      </c>
      <c r="E22" s="1582"/>
      <c r="G22" s="1582" t="s">
        <v>825</v>
      </c>
      <c r="H22" s="1582"/>
      <c r="L22" t="s">
        <v>690</v>
      </c>
      <c r="M22" s="267">
        <f>DEVSQ(M6:M20)</f>
        <v>826.74234051697704</v>
      </c>
    </row>
    <row r="23" spans="1:29" ht="15.6">
      <c r="D23" s="425">
        <f t="array" ref="D23:E24">MINVERSE(MMULT(TRANSPOSE(D6:E20),D6:E20))</f>
        <v>0.23997666850862656</v>
      </c>
      <c r="E23" s="427">
        <v>-8.9335052495855619E-3</v>
      </c>
      <c r="G23" s="425">
        <f t="array" ref="G23:H24">M24*D23:E24</f>
        <v>15.261451737868359</v>
      </c>
      <c r="H23" s="427">
        <v>-0.56813131069715916</v>
      </c>
      <c r="L23" t="s">
        <v>688</v>
      </c>
      <c r="M23" s="40">
        <f>COUNT(A6:A20)-COUNT(A6:A6)-1</f>
        <v>13</v>
      </c>
    </row>
    <row r="24" spans="1:29" ht="15.6">
      <c r="D24" s="10">
        <v>-8.9335052495855601E-3</v>
      </c>
      <c r="E24" s="12">
        <v>4.6048996131884334E-4</v>
      </c>
      <c r="G24" s="10">
        <v>-0.56813131069715905</v>
      </c>
      <c r="H24" s="12">
        <v>2.9285119108100981E-2</v>
      </c>
      <c r="L24" t="s">
        <v>824</v>
      </c>
      <c r="M24" s="268">
        <f>M22/M23</f>
        <v>63.595564655152081</v>
      </c>
    </row>
    <row r="26" spans="1:29">
      <c r="M26" s="8"/>
    </row>
    <row r="27" spans="1:29">
      <c r="N27" t="s">
        <v>1140</v>
      </c>
    </row>
    <row r="29" spans="1:29">
      <c r="N29" t="s">
        <v>704</v>
      </c>
      <c r="Q29" t="s">
        <v>1137</v>
      </c>
      <c r="T29" t="s">
        <v>1138</v>
      </c>
    </row>
    <row r="31" spans="1:29" ht="15.6">
      <c r="N31" s="414" t="s">
        <v>778</v>
      </c>
      <c r="O31" s="414" t="s">
        <v>387</v>
      </c>
      <c r="Q31" s="414" t="s">
        <v>778</v>
      </c>
      <c r="R31" s="414" t="s">
        <v>1144</v>
      </c>
      <c r="T31" s="414" t="s">
        <v>778</v>
      </c>
      <c r="U31" s="414" t="s">
        <v>1145</v>
      </c>
    </row>
    <row r="32" spans="1:29">
      <c r="N32" s="435">
        <f t="shared" ref="N32:N46" si="3">E6</f>
        <v>5</v>
      </c>
      <c r="O32" s="427">
        <f t="shared" ref="O32:O46" si="4">M6</f>
        <v>-2.5794191686621275</v>
      </c>
      <c r="Q32" s="435">
        <f>N32</f>
        <v>5</v>
      </c>
      <c r="R32" s="427">
        <f t="shared" ref="R32:R46" si="5">O32/SQRT($M$24)</f>
        <v>-0.32345100811793859</v>
      </c>
      <c r="S32">
        <v>1</v>
      </c>
      <c r="T32" s="435">
        <f>Q32</f>
        <v>5</v>
      </c>
      <c r="U32" s="427">
        <f t="array" ref="U32:U46">R32:R46/SQRT(1-INDEX(O6:AC20,S32:S46,S32:S46))</f>
        <v>-0.35336731270605498</v>
      </c>
    </row>
    <row r="33" spans="2:21">
      <c r="N33" s="360">
        <f t="shared" si="3"/>
        <v>23</v>
      </c>
      <c r="O33" s="9">
        <f t="shared" si="4"/>
        <v>6.7281881254988463</v>
      </c>
      <c r="Q33" s="360">
        <f t="shared" ref="Q33:Q46" si="6">N33</f>
        <v>23</v>
      </c>
      <c r="R33" s="9">
        <f t="shared" si="5"/>
        <v>0.84369351768774359</v>
      </c>
      <c r="S33">
        <f>S32+1</f>
        <v>2</v>
      </c>
      <c r="T33" s="360">
        <f t="shared" ref="T33:T46" si="7">Q33</f>
        <v>23</v>
      </c>
      <c r="U33" s="9">
        <v>0.87611128018264017</v>
      </c>
    </row>
    <row r="34" spans="2:21">
      <c r="N34" s="360">
        <f t="shared" si="3"/>
        <v>25</v>
      </c>
      <c r="O34" s="9">
        <f t="shared" si="4"/>
        <v>-10.015411064038815</v>
      </c>
      <c r="Q34" s="360">
        <f t="shared" si="6"/>
        <v>25</v>
      </c>
      <c r="R34" s="9">
        <f t="shared" si="5"/>
        <v>-1.2559008806076084</v>
      </c>
      <c r="S34">
        <f t="shared" ref="S34:S46" si="8">S33+1</f>
        <v>3</v>
      </c>
      <c r="T34" s="360">
        <f t="shared" si="7"/>
        <v>25</v>
      </c>
      <c r="U34" s="9">
        <v>-1.3101560983825884</v>
      </c>
    </row>
    <row r="35" spans="2:21">
      <c r="N35" s="360">
        <f t="shared" si="3"/>
        <v>48</v>
      </c>
      <c r="O35" s="9">
        <f t="shared" si="4"/>
        <v>-2.5668017437220101</v>
      </c>
      <c r="Q35" s="360">
        <f t="shared" si="6"/>
        <v>48</v>
      </c>
      <c r="R35" s="9">
        <f t="shared" si="5"/>
        <v>-0.32186882292434321</v>
      </c>
      <c r="S35">
        <f t="shared" si="8"/>
        <v>4</v>
      </c>
      <c r="T35" s="360">
        <f t="shared" si="7"/>
        <v>48</v>
      </c>
      <c r="U35" s="9">
        <v>-0.43139948969891356</v>
      </c>
    </row>
    <row r="36" spans="2:21">
      <c r="N36" s="360">
        <f t="shared" si="3"/>
        <v>17</v>
      </c>
      <c r="O36" s="9">
        <f t="shared" si="4"/>
        <v>9.9589856941118597</v>
      </c>
      <c r="Q36" s="360">
        <f t="shared" si="6"/>
        <v>17</v>
      </c>
      <c r="R36" s="9">
        <f t="shared" si="5"/>
        <v>1.2488253176250446</v>
      </c>
      <c r="S36">
        <f t="shared" si="8"/>
        <v>5</v>
      </c>
      <c r="T36" s="360">
        <f t="shared" si="7"/>
        <v>17</v>
      </c>
      <c r="U36" s="9">
        <v>1.2944977248762728</v>
      </c>
    </row>
    <row r="37" spans="2:21">
      <c r="N37" s="360">
        <f t="shared" si="3"/>
        <v>8</v>
      </c>
      <c r="O37" s="9">
        <f t="shared" si="4"/>
        <v>3.3051820470313658</v>
      </c>
      <c r="Q37" s="360">
        <f t="shared" si="6"/>
        <v>8</v>
      </c>
      <c r="R37" s="9">
        <f t="shared" si="5"/>
        <v>0.41445937834140428</v>
      </c>
      <c r="S37">
        <f t="shared" si="8"/>
        <v>6</v>
      </c>
      <c r="T37" s="360">
        <f t="shared" si="7"/>
        <v>8</v>
      </c>
      <c r="U37" s="9">
        <v>0.44345901226089324</v>
      </c>
    </row>
    <row r="38" spans="2:21">
      <c r="N38" s="360">
        <f t="shared" si="3"/>
        <v>4</v>
      </c>
      <c r="O38" s="9">
        <f t="shared" si="4"/>
        <v>-10.207619573893297</v>
      </c>
      <c r="Q38" s="360">
        <f t="shared" si="6"/>
        <v>4</v>
      </c>
      <c r="R38" s="9">
        <f t="shared" si="5"/>
        <v>-1.2800032200166485</v>
      </c>
      <c r="S38">
        <f t="shared" si="8"/>
        <v>7</v>
      </c>
      <c r="T38" s="360">
        <f t="shared" si="7"/>
        <v>4</v>
      </c>
      <c r="U38" s="9">
        <v>-1.4099863361999463</v>
      </c>
    </row>
    <row r="39" spans="2:21">
      <c r="N39" s="360">
        <f t="shared" si="3"/>
        <v>26</v>
      </c>
      <c r="O39" s="9">
        <f t="shared" si="4"/>
        <v>9.6127893411923537</v>
      </c>
      <c r="Q39" s="360">
        <f t="shared" si="6"/>
        <v>26</v>
      </c>
      <c r="R39" s="9">
        <f t="shared" si="5"/>
        <v>1.2054133895758909</v>
      </c>
      <c r="S39">
        <f t="shared" si="8"/>
        <v>8</v>
      </c>
      <c r="T39" s="360">
        <f t="shared" si="7"/>
        <v>26</v>
      </c>
      <c r="U39" s="9">
        <v>1.2613493026239915</v>
      </c>
    </row>
    <row r="40" spans="2:21">
      <c r="N40" s="360">
        <f t="shared" si="3"/>
        <v>11</v>
      </c>
      <c r="O40" s="9">
        <f t="shared" si="4"/>
        <v>2.189783262724859</v>
      </c>
      <c r="Q40" s="360">
        <f t="shared" si="6"/>
        <v>11</v>
      </c>
      <c r="R40" s="9">
        <f t="shared" si="5"/>
        <v>0.27459189746795337</v>
      </c>
      <c r="S40">
        <f t="shared" si="8"/>
        <v>9</v>
      </c>
      <c r="T40" s="360">
        <f t="shared" si="7"/>
        <v>11</v>
      </c>
      <c r="U40" s="9">
        <v>0.28931010782196626</v>
      </c>
    </row>
    <row r="41" spans="2:21">
      <c r="N41" s="360">
        <f t="shared" si="3"/>
        <v>19</v>
      </c>
      <c r="O41" s="9">
        <f t="shared" si="4"/>
        <v>1.2153865045741838</v>
      </c>
      <c r="Q41" s="360">
        <f t="shared" si="6"/>
        <v>19</v>
      </c>
      <c r="R41" s="9">
        <f t="shared" si="5"/>
        <v>0.1524056248528837</v>
      </c>
      <c r="S41">
        <f t="shared" si="8"/>
        <v>10</v>
      </c>
      <c r="T41" s="360">
        <f t="shared" si="7"/>
        <v>19</v>
      </c>
      <c r="U41" s="9">
        <v>0.15776103618215834</v>
      </c>
    </row>
    <row r="42" spans="2:21">
      <c r="N42" s="360">
        <f t="shared" si="3"/>
        <v>14</v>
      </c>
      <c r="O42" s="9">
        <f t="shared" si="4"/>
        <v>-8.9256155215816477</v>
      </c>
      <c r="Q42" s="360">
        <f t="shared" si="6"/>
        <v>14</v>
      </c>
      <c r="R42" s="9">
        <f t="shared" si="5"/>
        <v>-1.1192439653094886</v>
      </c>
      <c r="S42">
        <f t="shared" si="8"/>
        <v>11</v>
      </c>
      <c r="T42" s="360">
        <f t="shared" si="7"/>
        <v>14</v>
      </c>
      <c r="U42" s="9">
        <v>-1.1669524669732534</v>
      </c>
    </row>
    <row r="43" spans="2:21">
      <c r="N43" s="360">
        <f t="shared" si="3"/>
        <v>35</v>
      </c>
      <c r="O43" s="9">
        <f t="shared" si="4"/>
        <v>8.2665929882728335</v>
      </c>
      <c r="Q43" s="360">
        <f t="shared" si="6"/>
        <v>35</v>
      </c>
      <c r="R43" s="9">
        <f t="shared" si="5"/>
        <v>1.0366046233363364</v>
      </c>
      <c r="S43">
        <f t="shared" si="8"/>
        <v>12</v>
      </c>
      <c r="T43" s="360">
        <f t="shared" si="7"/>
        <v>35</v>
      </c>
      <c r="U43" s="9">
        <v>1.1438539062603683</v>
      </c>
    </row>
    <row r="44" spans="2:21">
      <c r="N44" s="360">
        <f t="shared" si="3"/>
        <v>29</v>
      </c>
      <c r="O44" s="9">
        <f t="shared" si="4"/>
        <v>-9.502609443114153</v>
      </c>
      <c r="Q44" s="360">
        <f t="shared" si="6"/>
        <v>29</v>
      </c>
      <c r="R44" s="9">
        <f t="shared" si="5"/>
        <v>-1.1915971787247441</v>
      </c>
      <c r="S44">
        <f t="shared" si="8"/>
        <v>13</v>
      </c>
      <c r="T44" s="360">
        <f t="shared" si="7"/>
        <v>29</v>
      </c>
      <c r="U44" s="9">
        <v>-1.2624561672637942</v>
      </c>
    </row>
    <row r="45" spans="2:21">
      <c r="N45" s="360">
        <f t="shared" si="3"/>
        <v>4</v>
      </c>
      <c r="O45" s="9">
        <f t="shared" si="4"/>
        <v>8.7923804261067033</v>
      </c>
      <c r="Q45" s="360">
        <f t="shared" si="6"/>
        <v>4</v>
      </c>
      <c r="R45" s="9">
        <f t="shared" si="5"/>
        <v>1.1025367056009348</v>
      </c>
      <c r="S45">
        <f t="shared" si="8"/>
        <v>14</v>
      </c>
      <c r="T45" s="360">
        <f t="shared" si="7"/>
        <v>4</v>
      </c>
      <c r="U45" s="9">
        <v>1.2144982651184277</v>
      </c>
    </row>
    <row r="46" spans="2:21">
      <c r="B46" t="s">
        <v>1139</v>
      </c>
      <c r="N46" s="89">
        <f t="shared" si="3"/>
        <v>23</v>
      </c>
      <c r="O46" s="12">
        <f t="shared" si="4"/>
        <v>-6.2718118745011537</v>
      </c>
      <c r="Q46" s="89">
        <f t="shared" si="6"/>
        <v>23</v>
      </c>
      <c r="R46" s="12">
        <f t="shared" si="5"/>
        <v>-0.78646537878744494</v>
      </c>
      <c r="S46">
        <f t="shared" si="8"/>
        <v>15</v>
      </c>
      <c r="T46" s="89">
        <f t="shared" si="7"/>
        <v>23</v>
      </c>
      <c r="U46" s="12">
        <v>-0.81668422879101499</v>
      </c>
    </row>
    <row r="49" spans="14:17">
      <c r="N49" t="s">
        <v>209</v>
      </c>
    </row>
    <row r="51" spans="14:17">
      <c r="N51" t="s">
        <v>88</v>
      </c>
      <c r="O51">
        <f>COUNT(O32:O46)</f>
        <v>15</v>
      </c>
      <c r="P51">
        <f>2*O51</f>
        <v>30</v>
      </c>
    </row>
    <row r="52" spans="14:17">
      <c r="N52" t="s">
        <v>76</v>
      </c>
      <c r="O52">
        <f>AVERAGE(O32:O46)</f>
        <v>-1.3263464400855204E-14</v>
      </c>
    </row>
    <row r="53" spans="14:17">
      <c r="N53" t="s">
        <v>182</v>
      </c>
      <c r="O53">
        <f>STDEV(O32:O46)</f>
        <v>7.6845965621261607</v>
      </c>
    </row>
    <row r="55" spans="14:17">
      <c r="N55" t="s">
        <v>210</v>
      </c>
      <c r="O55" t="s">
        <v>211</v>
      </c>
      <c r="P55" t="s">
        <v>555</v>
      </c>
      <c r="Q55" t="s">
        <v>212</v>
      </c>
    </row>
    <row r="56" spans="14:17">
      <c r="N56">
        <v>1</v>
      </c>
      <c r="O56">
        <v>-10.207619573893297</v>
      </c>
      <c r="P56">
        <f>NORMSINV(N56/P$51)</f>
        <v>-1.8339146358159142</v>
      </c>
      <c r="Q56">
        <f>STANDARDIZE(O56,O$52,O$53)</f>
        <v>-1.3283221170258881</v>
      </c>
    </row>
    <row r="57" spans="14:17">
      <c r="N57">
        <f>N56+2</f>
        <v>3</v>
      </c>
      <c r="O57">
        <v>-10.015411064038815</v>
      </c>
      <c r="P57">
        <f t="shared" ref="P57:P70" si="9">NORMSINV(N57/P$51)</f>
        <v>-1.2815515655446006</v>
      </c>
      <c r="Q57">
        <f t="shared" ref="Q57:Q70" si="10">STANDARDIZE(O57,O$52,O$53)</f>
        <v>-1.3033099373622494</v>
      </c>
    </row>
    <row r="58" spans="14:17">
      <c r="N58">
        <f t="shared" ref="N58:N70" si="11">N57+2</f>
        <v>5</v>
      </c>
      <c r="O58">
        <v>-9.502609443114153</v>
      </c>
      <c r="P58">
        <f t="shared" si="9"/>
        <v>-0.96742156610170071</v>
      </c>
      <c r="Q58">
        <f t="shared" si="10"/>
        <v>-1.2365788322510161</v>
      </c>
    </row>
    <row r="59" spans="14:17">
      <c r="N59">
        <f t="shared" si="11"/>
        <v>7</v>
      </c>
      <c r="O59">
        <v>-8.9256155215816477</v>
      </c>
      <c r="P59">
        <f t="shared" si="9"/>
        <v>-0.72791329088164469</v>
      </c>
      <c r="Q59">
        <f t="shared" si="10"/>
        <v>-1.161494354247806</v>
      </c>
    </row>
    <row r="60" spans="14:17">
      <c r="N60">
        <f t="shared" si="11"/>
        <v>9</v>
      </c>
      <c r="O60">
        <v>-6.2718118745011537</v>
      </c>
      <c r="P60">
        <f t="shared" si="9"/>
        <v>-0.52440051270804089</v>
      </c>
      <c r="Q60">
        <f t="shared" si="10"/>
        <v>-0.81615369444532904</v>
      </c>
    </row>
    <row r="61" spans="14:17">
      <c r="N61">
        <f t="shared" si="11"/>
        <v>11</v>
      </c>
      <c r="O61">
        <v>-2.5794191686621275</v>
      </c>
      <c r="P61">
        <f t="shared" si="9"/>
        <v>-0.34069482708779553</v>
      </c>
      <c r="Q61">
        <f t="shared" si="10"/>
        <v>-0.33566097423707109</v>
      </c>
    </row>
    <row r="62" spans="14:17">
      <c r="N62">
        <f t="shared" si="11"/>
        <v>13</v>
      </c>
      <c r="O62">
        <v>-2.5668017437220101</v>
      </c>
      <c r="P62">
        <f t="shared" si="9"/>
        <v>-0.16789400478810546</v>
      </c>
      <c r="Q62">
        <f t="shared" si="10"/>
        <v>-0.33401906306605361</v>
      </c>
    </row>
    <row r="63" spans="14:17">
      <c r="N63">
        <f t="shared" si="11"/>
        <v>15</v>
      </c>
      <c r="O63">
        <v>1.2153865045741838</v>
      </c>
      <c r="P63">
        <f t="shared" si="9"/>
        <v>0</v>
      </c>
      <c r="Q63">
        <f t="shared" si="10"/>
        <v>0.15815879138851319</v>
      </c>
    </row>
    <row r="64" spans="14:17">
      <c r="N64">
        <f t="shared" si="11"/>
        <v>17</v>
      </c>
      <c r="O64">
        <v>2.189783262724859</v>
      </c>
      <c r="P64">
        <f t="shared" si="9"/>
        <v>0.16789400478810546</v>
      </c>
      <c r="Q64">
        <f t="shared" si="10"/>
        <v>0.2849574789023156</v>
      </c>
    </row>
    <row r="65" spans="14:17">
      <c r="N65">
        <f t="shared" si="11"/>
        <v>19</v>
      </c>
      <c r="O65">
        <v>3.3051820470313658</v>
      </c>
      <c r="P65">
        <f t="shared" si="9"/>
        <v>0.34069482708779542</v>
      </c>
      <c r="Q65">
        <f t="shared" si="10"/>
        <v>0.43010482337109279</v>
      </c>
    </row>
    <row r="66" spans="14:17">
      <c r="N66">
        <f t="shared" si="11"/>
        <v>21</v>
      </c>
      <c r="O66">
        <v>6.7281881254988463</v>
      </c>
      <c r="P66">
        <f t="shared" si="9"/>
        <v>0.52440051270804078</v>
      </c>
      <c r="Q66">
        <f t="shared" si="10"/>
        <v>0.87554214084041859</v>
      </c>
    </row>
    <row r="67" spans="14:17">
      <c r="N67">
        <f t="shared" si="11"/>
        <v>23</v>
      </c>
      <c r="O67">
        <v>8.2665929882728335</v>
      </c>
      <c r="P67">
        <f t="shared" si="9"/>
        <v>0.72791329088164458</v>
      </c>
      <c r="Q67">
        <f t="shared" si="10"/>
        <v>1.0757354561741181</v>
      </c>
    </row>
    <row r="68" spans="14:17">
      <c r="N68">
        <f t="shared" si="11"/>
        <v>25</v>
      </c>
      <c r="O68">
        <v>8.7923804261067033</v>
      </c>
      <c r="P68">
        <f t="shared" si="9"/>
        <v>0.96742156610170071</v>
      </c>
      <c r="Q68">
        <f t="shared" si="10"/>
        <v>1.144156411468666</v>
      </c>
    </row>
    <row r="69" spans="14:17">
      <c r="N69">
        <f t="shared" si="11"/>
        <v>27</v>
      </c>
      <c r="O69">
        <v>9.6127893411923537</v>
      </c>
      <c r="P69">
        <f t="shared" si="9"/>
        <v>1.2815515655446006</v>
      </c>
      <c r="Q69">
        <f t="shared" si="10"/>
        <v>1.2509165918441809</v>
      </c>
    </row>
    <row r="70" spans="14:17">
      <c r="N70">
        <f t="shared" si="11"/>
        <v>29</v>
      </c>
      <c r="O70">
        <v>9.9589856941118597</v>
      </c>
      <c r="P70">
        <f t="shared" si="9"/>
        <v>1.8339146358159142</v>
      </c>
      <c r="Q70">
        <f t="shared" si="10"/>
        <v>1.2959672786461074</v>
      </c>
    </row>
    <row r="73" spans="14:17">
      <c r="N73" t="s">
        <v>209</v>
      </c>
    </row>
    <row r="75" spans="14:17">
      <c r="N75" t="s">
        <v>88</v>
      </c>
      <c r="O75">
        <f>COUNT(G6:G20)</f>
        <v>15</v>
      </c>
      <c r="P75">
        <f>2*O75</f>
        <v>30</v>
      </c>
    </row>
    <row r="76" spans="14:17">
      <c r="N76" t="s">
        <v>76</v>
      </c>
      <c r="O76">
        <f>AVERAGE(G6:G20)</f>
        <v>73.533333333333331</v>
      </c>
    </row>
    <row r="77" spans="14:17">
      <c r="N77" t="s">
        <v>182</v>
      </c>
      <c r="O77">
        <f>STDEV(G6:G20)</f>
        <v>10.966616007988378</v>
      </c>
    </row>
    <row r="79" spans="14:17">
      <c r="N79" t="s">
        <v>210</v>
      </c>
      <c r="O79" t="s">
        <v>211</v>
      </c>
      <c r="P79" t="s">
        <v>555</v>
      </c>
      <c r="Q79" t="s">
        <v>212</v>
      </c>
    </row>
    <row r="80" spans="14:17">
      <c r="N80">
        <v>1</v>
      </c>
      <c r="O80">
        <v>53</v>
      </c>
      <c r="P80">
        <f>NORMSINV(N80/P$75)</f>
        <v>-1.8339146358159142</v>
      </c>
      <c r="Q80">
        <f>STANDARDIZE(O80,O$76,O$77)</f>
        <v>-1.8723490745345965</v>
      </c>
    </row>
    <row r="81" spans="14:17">
      <c r="N81">
        <f>N80+2</f>
        <v>3</v>
      </c>
      <c r="O81">
        <v>58</v>
      </c>
      <c r="P81">
        <f t="shared" ref="P81:P94" si="12">NORMSINV(N81/P$75)</f>
        <v>-1.2815515655446006</v>
      </c>
      <c r="Q81">
        <f t="shared" ref="Q81:Q94" si="13">STANDARDIZE(O81,O$76,O$77)</f>
        <v>-1.4164199167745486</v>
      </c>
    </row>
    <row r="82" spans="14:17">
      <c r="N82">
        <f t="shared" ref="N82:N94" si="14">N81+2</f>
        <v>5</v>
      </c>
      <c r="O82">
        <v>60</v>
      </c>
      <c r="P82">
        <f t="shared" si="12"/>
        <v>-0.96742156610170071</v>
      </c>
      <c r="Q82">
        <f t="shared" si="13"/>
        <v>-1.2340482536705295</v>
      </c>
    </row>
    <row r="83" spans="14:17">
      <c r="N83">
        <f t="shared" si="14"/>
        <v>7</v>
      </c>
      <c r="O83">
        <v>65</v>
      </c>
      <c r="P83">
        <f t="shared" si="12"/>
        <v>-0.72791329088164469</v>
      </c>
      <c r="Q83">
        <f t="shared" si="13"/>
        <v>-0.77811909591048156</v>
      </c>
    </row>
    <row r="84" spans="14:17">
      <c r="N84">
        <f t="shared" si="14"/>
        <v>9</v>
      </c>
      <c r="O84">
        <v>68</v>
      </c>
      <c r="P84">
        <f t="shared" si="12"/>
        <v>-0.52440051270804089</v>
      </c>
      <c r="Q84">
        <f t="shared" si="13"/>
        <v>-0.50456160125445282</v>
      </c>
    </row>
    <row r="85" spans="14:17">
      <c r="N85">
        <f t="shared" si="14"/>
        <v>11</v>
      </c>
      <c r="O85">
        <v>72</v>
      </c>
      <c r="P85">
        <f t="shared" si="12"/>
        <v>-0.34069482708779553</v>
      </c>
      <c r="Q85">
        <f t="shared" si="13"/>
        <v>-0.13981827504641453</v>
      </c>
    </row>
    <row r="86" spans="14:17">
      <c r="N86">
        <f t="shared" si="14"/>
        <v>13</v>
      </c>
      <c r="O86">
        <v>73</v>
      </c>
      <c r="P86">
        <f t="shared" si="12"/>
        <v>-0.16789400478810546</v>
      </c>
      <c r="Q86">
        <f t="shared" si="13"/>
        <v>-4.8632443494404938E-2</v>
      </c>
    </row>
    <row r="87" spans="14:17">
      <c r="N87">
        <f t="shared" si="14"/>
        <v>15</v>
      </c>
      <c r="O87">
        <v>75</v>
      </c>
      <c r="P87">
        <f t="shared" si="12"/>
        <v>0</v>
      </c>
      <c r="Q87">
        <f t="shared" si="13"/>
        <v>0.13373921960961421</v>
      </c>
    </row>
    <row r="88" spans="14:17">
      <c r="N88">
        <f t="shared" si="14"/>
        <v>17</v>
      </c>
      <c r="O88">
        <v>78</v>
      </c>
      <c r="P88">
        <f t="shared" si="12"/>
        <v>0.16789400478810546</v>
      </c>
      <c r="Q88">
        <f t="shared" si="13"/>
        <v>0.40729671426564296</v>
      </c>
    </row>
    <row r="89" spans="14:17">
      <c r="N89">
        <f t="shared" si="14"/>
        <v>19</v>
      </c>
      <c r="O89">
        <v>79</v>
      </c>
      <c r="P89">
        <f t="shared" si="12"/>
        <v>0.34069482708779542</v>
      </c>
      <c r="Q89">
        <f t="shared" si="13"/>
        <v>0.49848254581765256</v>
      </c>
    </row>
    <row r="90" spans="14:17">
      <c r="N90">
        <f t="shared" si="14"/>
        <v>21</v>
      </c>
      <c r="O90">
        <v>80</v>
      </c>
      <c r="P90">
        <f t="shared" si="12"/>
        <v>0.52440051270804078</v>
      </c>
      <c r="Q90">
        <f t="shared" si="13"/>
        <v>0.58966837736966216</v>
      </c>
    </row>
    <row r="91" spans="14:17">
      <c r="N91">
        <f t="shared" si="14"/>
        <v>23</v>
      </c>
      <c r="O91">
        <v>81</v>
      </c>
      <c r="P91">
        <f t="shared" si="12"/>
        <v>0.72791329088164458</v>
      </c>
      <c r="Q91">
        <f t="shared" si="13"/>
        <v>0.6808542089216717</v>
      </c>
    </row>
    <row r="92" spans="14:17">
      <c r="N92">
        <f t="shared" si="14"/>
        <v>25</v>
      </c>
      <c r="O92">
        <v>84</v>
      </c>
      <c r="P92">
        <f t="shared" si="12"/>
        <v>0.96742156610170071</v>
      </c>
      <c r="Q92">
        <f t="shared" si="13"/>
        <v>0.95441170357770044</v>
      </c>
    </row>
    <row r="93" spans="14:17">
      <c r="N93">
        <f t="shared" si="14"/>
        <v>27</v>
      </c>
      <c r="O93">
        <v>85</v>
      </c>
      <c r="P93">
        <f t="shared" si="12"/>
        <v>1.2815515655446006</v>
      </c>
      <c r="Q93">
        <f t="shared" si="13"/>
        <v>1.04559753512971</v>
      </c>
    </row>
    <row r="94" spans="14:17">
      <c r="N94">
        <f t="shared" si="14"/>
        <v>29</v>
      </c>
      <c r="O94">
        <v>92</v>
      </c>
      <c r="P94">
        <f t="shared" si="12"/>
        <v>1.8339146358159142</v>
      </c>
      <c r="Q94">
        <f t="shared" si="13"/>
        <v>1.683898355993777</v>
      </c>
    </row>
    <row r="97" spans="14:17">
      <c r="N97" t="s">
        <v>209</v>
      </c>
    </row>
    <row r="99" spans="14:17">
      <c r="N99" t="s">
        <v>88</v>
      </c>
      <c r="O99">
        <f>COUNT(U32:U46)</f>
        <v>15</v>
      </c>
      <c r="P99">
        <f>2*O99</f>
        <v>30</v>
      </c>
    </row>
    <row r="100" spans="14:17">
      <c r="N100" t="s">
        <v>76</v>
      </c>
      <c r="O100">
        <f>AVERAGE(U32:U46)</f>
        <v>-4.6774309792564951E-3</v>
      </c>
    </row>
    <row r="101" spans="14:17">
      <c r="N101" t="s">
        <v>182</v>
      </c>
      <c r="O101">
        <f>STDEV(U32:U46)</f>
        <v>1.026808961506215</v>
      </c>
    </row>
    <row r="103" spans="14:17">
      <c r="N103" t="s">
        <v>210</v>
      </c>
      <c r="O103" t="s">
        <v>211</v>
      </c>
      <c r="P103" t="s">
        <v>555</v>
      </c>
      <c r="Q103" t="s">
        <v>212</v>
      </c>
    </row>
    <row r="104" spans="14:17">
      <c r="N104">
        <v>1</v>
      </c>
      <c r="O104">
        <v>-4.4098569762515689</v>
      </c>
      <c r="P104">
        <f>NORMSINV(N104/P$99)</f>
        <v>-1.8339146358159142</v>
      </c>
      <c r="Q104">
        <f>STANDARDIZE(O104,O$100,O$101)</f>
        <v>-4.2901646853669853</v>
      </c>
    </row>
    <row r="105" spans="14:17">
      <c r="N105">
        <f>N104+2</f>
        <v>3</v>
      </c>
      <c r="O105">
        <v>-3.9547885483193022</v>
      </c>
      <c r="P105">
        <f t="shared" ref="P105:P118" si="15">NORMSINV(N105/P$99)</f>
        <v>-1.2815515655446006</v>
      </c>
      <c r="Q105">
        <f t="shared" ref="Q105:Q118" si="16">STANDARDIZE(O105,O$100,O$101)</f>
        <v>-3.8469776418250872</v>
      </c>
    </row>
    <row r="106" spans="14:17">
      <c r="N106">
        <f t="shared" ref="N106:N118" si="17">N105+2</f>
        <v>5</v>
      </c>
      <c r="O106">
        <v>-3.6074996744649384</v>
      </c>
      <c r="P106">
        <f t="shared" si="15"/>
        <v>-0.96742156610170071</v>
      </c>
      <c r="Q106">
        <f t="shared" si="16"/>
        <v>-3.5087561353192136</v>
      </c>
    </row>
    <row r="107" spans="14:17">
      <c r="N107">
        <f t="shared" si="17"/>
        <v>7</v>
      </c>
      <c r="O107">
        <v>-3.0521593017915123</v>
      </c>
      <c r="P107">
        <f t="shared" si="15"/>
        <v>-0.72791329088164469</v>
      </c>
      <c r="Q107">
        <f t="shared" si="16"/>
        <v>-2.9679151478595762</v>
      </c>
    </row>
    <row r="108" spans="14:17">
      <c r="N108">
        <f t="shared" si="17"/>
        <v>9</v>
      </c>
      <c r="O108">
        <v>-2.9181511633249473</v>
      </c>
      <c r="P108">
        <f t="shared" si="15"/>
        <v>-0.52440051270804089</v>
      </c>
      <c r="Q108">
        <f t="shared" si="16"/>
        <v>-2.837405828706391</v>
      </c>
    </row>
    <row r="109" spans="14:17">
      <c r="N109">
        <f t="shared" si="17"/>
        <v>11</v>
      </c>
      <c r="O109">
        <v>-0.80323912920398621</v>
      </c>
      <c r="P109">
        <f t="shared" si="15"/>
        <v>-0.34069482708779553</v>
      </c>
      <c r="Q109">
        <f t="shared" si="16"/>
        <v>-0.77771204592266907</v>
      </c>
    </row>
    <row r="110" spans="14:17">
      <c r="N110">
        <f t="shared" si="17"/>
        <v>13</v>
      </c>
      <c r="O110">
        <v>-0.48341021558419511</v>
      </c>
      <c r="P110">
        <f t="shared" si="15"/>
        <v>-0.16789400478810546</v>
      </c>
      <c r="Q110">
        <f t="shared" si="16"/>
        <v>-0.4662335473803137</v>
      </c>
    </row>
    <row r="111" spans="14:17">
      <c r="N111">
        <f t="shared" si="17"/>
        <v>15</v>
      </c>
      <c r="O111">
        <v>0.58993854401092605</v>
      </c>
      <c r="P111">
        <f t="shared" si="15"/>
        <v>0</v>
      </c>
      <c r="Q111">
        <f t="shared" si="16"/>
        <v>0.5790911428333726</v>
      </c>
    </row>
    <row r="112" spans="14:17">
      <c r="N112">
        <f t="shared" si="17"/>
        <v>17</v>
      </c>
      <c r="O112">
        <v>0.87201107950729451</v>
      </c>
      <c r="P112">
        <f t="shared" si="15"/>
        <v>0.16789400478810546</v>
      </c>
      <c r="Q112">
        <f t="shared" si="16"/>
        <v>0.85379904476149693</v>
      </c>
    </row>
    <row r="113" spans="14:17">
      <c r="N113">
        <f t="shared" si="17"/>
        <v>19</v>
      </c>
      <c r="O113">
        <v>1.1652422147908958</v>
      </c>
      <c r="P113">
        <f t="shared" si="15"/>
        <v>0.34069482708779542</v>
      </c>
      <c r="Q113">
        <f t="shared" si="16"/>
        <v>1.1393742065262167</v>
      </c>
    </row>
    <row r="114" spans="14:17">
      <c r="N114">
        <f t="shared" si="17"/>
        <v>21</v>
      </c>
      <c r="O114">
        <v>2.4519555167106906</v>
      </c>
      <c r="P114">
        <f t="shared" si="15"/>
        <v>0.52440051270804078</v>
      </c>
      <c r="Q114">
        <f t="shared" si="16"/>
        <v>2.3924927029136347</v>
      </c>
    </row>
    <row r="115" spans="14:17">
      <c r="N115">
        <f t="shared" si="17"/>
        <v>23</v>
      </c>
      <c r="O115">
        <v>2.6289915595077131</v>
      </c>
      <c r="P115">
        <f t="shared" si="15"/>
        <v>0.72791329088164458</v>
      </c>
      <c r="Q115">
        <f t="shared" si="16"/>
        <v>2.5649065105778477</v>
      </c>
    </row>
    <row r="116" spans="14:17">
      <c r="N116">
        <f t="shared" si="17"/>
        <v>25</v>
      </c>
      <c r="O116">
        <v>3.1304940898048206</v>
      </c>
      <c r="P116">
        <f t="shared" si="15"/>
        <v>0.96742156610170071</v>
      </c>
      <c r="Q116">
        <f t="shared" si="16"/>
        <v>3.0533153082196787</v>
      </c>
    </row>
    <row r="117" spans="14:17">
      <c r="N117">
        <f t="shared" si="17"/>
        <v>27</v>
      </c>
      <c r="O117">
        <v>4.0931940220702412</v>
      </c>
      <c r="P117">
        <f t="shared" si="15"/>
        <v>1.2815515655446006</v>
      </c>
      <c r="Q117">
        <f t="shared" si="16"/>
        <v>3.9908801020185627</v>
      </c>
    </row>
    <row r="118" spans="14:17">
      <c r="N118">
        <f t="shared" si="17"/>
        <v>29</v>
      </c>
      <c r="O118">
        <v>4.7432418796866473</v>
      </c>
      <c r="P118">
        <f t="shared" si="15"/>
        <v>1.8339146358159142</v>
      </c>
      <c r="Q118">
        <f t="shared" si="16"/>
        <v>4.6239558561129348</v>
      </c>
    </row>
  </sheetData>
  <mergeCells count="3">
    <mergeCell ref="D5:E5"/>
    <mergeCell ref="D22:E22"/>
    <mergeCell ref="G22:H22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sheetPr codeName="Sheet124"/>
  <dimension ref="A1:AC70"/>
  <sheetViews>
    <sheetView workbookViewId="0"/>
  </sheetViews>
  <sheetFormatPr defaultRowHeight="14.4"/>
  <cols>
    <col min="1" max="1" width="9.5546875" customWidth="1"/>
    <col min="2" max="2" width="9" customWidth="1"/>
    <col min="3" max="3" width="9.44140625" customWidth="1"/>
    <col min="5" max="7" width="6.109375" customWidth="1"/>
    <col min="8" max="8" width="5.6640625" customWidth="1"/>
    <col min="10" max="10" width="5.5546875" customWidth="1"/>
    <col min="14" max="14" width="5.44140625" customWidth="1"/>
    <col min="16" max="16" width="6.109375" customWidth="1"/>
    <col min="18" max="18" width="5.5546875" customWidth="1"/>
  </cols>
  <sheetData>
    <row r="1" spans="1:29">
      <c r="A1" s="1" t="s">
        <v>704</v>
      </c>
    </row>
    <row r="2" spans="1:29">
      <c r="A2" s="1"/>
    </row>
    <row r="3" spans="1:29">
      <c r="A3" s="25" t="s">
        <v>1141</v>
      </c>
    </row>
    <row r="5" spans="1:29" ht="15" customHeight="1">
      <c r="A5" s="231" t="s">
        <v>783</v>
      </c>
      <c r="B5" s="231" t="s">
        <v>784</v>
      </c>
      <c r="C5" s="231" t="s">
        <v>777</v>
      </c>
      <c r="E5" s="1583" t="s">
        <v>778</v>
      </c>
      <c r="F5" s="1583"/>
      <c r="G5" s="1583"/>
      <c r="H5" s="25"/>
      <c r="I5" s="290" t="s">
        <v>779</v>
      </c>
      <c r="K5" s="414" t="s">
        <v>384</v>
      </c>
      <c r="M5" s="414" t="s">
        <v>826</v>
      </c>
      <c r="O5" s="162" t="s">
        <v>792</v>
      </c>
      <c r="Q5" s="414" t="s">
        <v>387</v>
      </c>
      <c r="S5" s="429" t="s">
        <v>1135</v>
      </c>
    </row>
    <row r="6" spans="1:29" ht="15" customHeight="1">
      <c r="A6" s="414">
        <v>7</v>
      </c>
      <c r="B6" s="414">
        <v>5</v>
      </c>
      <c r="C6" s="414">
        <v>65</v>
      </c>
      <c r="E6" s="437">
        <v>1</v>
      </c>
      <c r="F6" s="426">
        <f>A6</f>
        <v>7</v>
      </c>
      <c r="G6" s="427">
        <f>B6</f>
        <v>5</v>
      </c>
      <c r="I6" s="432">
        <f>C6</f>
        <v>65</v>
      </c>
      <c r="K6" s="432">
        <f t="array" ref="K6:K8">MMULT(K11:M13,MMULT(TRANSPOSE(E6:G16),I6:I16))</f>
        <v>1.7514036585681367</v>
      </c>
      <c r="L6">
        <v>1</v>
      </c>
      <c r="M6" s="432">
        <f t="array" ref="M6:M8">SQRT(INDEX($K$16:$M$18,L6:L8,L6:L8))</f>
        <v>16.613834897060123</v>
      </c>
      <c r="O6" s="432">
        <f t="array" ref="O6:O16">MMULT(E6:G16,K6:K8)</f>
        <v>54.810499624828537</v>
      </c>
      <c r="Q6" s="432">
        <f>I6-O6</f>
        <v>10.189500375171463</v>
      </c>
      <c r="S6" s="425">
        <f t="array" ref="S6:AC16">MMULT(E6:G16,MMULT(K11:M13,TRANSPOSE(E6:G16)))</f>
        <v>0.12773939817330326</v>
      </c>
      <c r="T6" s="426">
        <v>6.8695179694170494E-2</v>
      </c>
      <c r="U6" s="426">
        <v>0.13418199694688104</v>
      </c>
      <c r="V6" s="426">
        <v>7.95622137700846E-2</v>
      </c>
      <c r="W6" s="426">
        <v>0.13927915340629762</v>
      </c>
      <c r="X6" s="426">
        <v>6.225258092059309E-2</v>
      </c>
      <c r="Y6" s="426">
        <v>-3.3429066728764167E-2</v>
      </c>
      <c r="Z6" s="426">
        <v>2.6960594064529386E-2</v>
      </c>
      <c r="AA6" s="426">
        <v>0.18745633780951648</v>
      </c>
      <c r="AB6" s="426">
        <v>8.6004812543662087E-2</v>
      </c>
      <c r="AC6" s="427">
        <v>0.12129679939972567</v>
      </c>
    </row>
    <row r="7" spans="1:29" ht="15" customHeight="1">
      <c r="A7" s="414">
        <v>3</v>
      </c>
      <c r="B7" s="414">
        <v>7</v>
      </c>
      <c r="C7" s="414">
        <v>38</v>
      </c>
      <c r="E7" s="438">
        <v>1</v>
      </c>
      <c r="F7" s="8">
        <f t="shared" ref="F7:F16" si="0">A7</f>
        <v>3</v>
      </c>
      <c r="G7" s="9">
        <f t="shared" ref="G7:G16" si="1">B7</f>
        <v>7</v>
      </c>
      <c r="I7" s="376">
        <f t="shared" ref="I7:I16" si="2">C7</f>
        <v>38</v>
      </c>
      <c r="K7" s="376">
        <v>4.8952883645113623</v>
      </c>
      <c r="L7">
        <f>L6+1</f>
        <v>2</v>
      </c>
      <c r="M7" s="376">
        <v>1.9578685795717163</v>
      </c>
      <c r="O7" s="376">
        <v>42.746177132655433</v>
      </c>
      <c r="Q7" s="376">
        <f t="shared" ref="Q7:Q16" si="3">I7-O7</f>
        <v>-4.7461771326554327</v>
      </c>
      <c r="S7" s="377">
        <v>6.8695179694170522E-2</v>
      </c>
      <c r="T7" s="8">
        <v>0.29053791818675778</v>
      </c>
      <c r="U7" s="8">
        <v>0.23379647597609268</v>
      </c>
      <c r="V7" s="8">
        <v>-8.158037724132583E-2</v>
      </c>
      <c r="W7" s="8">
        <v>-6.9316153069937325E-2</v>
      </c>
      <c r="X7" s="8">
        <v>0.12543662190483595</v>
      </c>
      <c r="Y7" s="8">
        <v>5.8992470697818877E-2</v>
      </c>
      <c r="Z7" s="8">
        <v>0.3053636575331834</v>
      </c>
      <c r="AA7" s="8">
        <v>8.0959403865559221E-2</v>
      </c>
      <c r="AB7" s="8">
        <v>8.3520919040596081E-2</v>
      </c>
      <c r="AC7" s="9">
        <v>-9.64061165877515E-2</v>
      </c>
    </row>
    <row r="8" spans="1:29" ht="15" customHeight="1">
      <c r="A8" s="414">
        <v>5</v>
      </c>
      <c r="B8" s="414">
        <v>8</v>
      </c>
      <c r="C8" s="414">
        <v>51</v>
      </c>
      <c r="E8" s="438">
        <v>1</v>
      </c>
      <c r="F8" s="8">
        <f t="shared" si="0"/>
        <v>5</v>
      </c>
      <c r="G8" s="9">
        <f t="shared" si="1"/>
        <v>8</v>
      </c>
      <c r="I8" s="376">
        <f t="shared" si="2"/>
        <v>51</v>
      </c>
      <c r="K8" s="268">
        <v>3.7584154829361722</v>
      </c>
      <c r="L8">
        <f>L7+1</f>
        <v>3</v>
      </c>
      <c r="M8" s="268">
        <v>1.8057733712252741</v>
      </c>
      <c r="O8" s="376">
        <v>56.295169344614322</v>
      </c>
      <c r="Q8" s="376">
        <f t="shared" si="3"/>
        <v>-5.2951693446143224</v>
      </c>
      <c r="S8" s="377">
        <v>0.13418199694688085</v>
      </c>
      <c r="T8" s="8">
        <v>0.2337964759760924</v>
      </c>
      <c r="U8" s="8">
        <v>0.29509172294237906</v>
      </c>
      <c r="V8" s="8">
        <v>-8.515097415198325E-2</v>
      </c>
      <c r="W8" s="8">
        <v>2.8823514191828936E-2</v>
      </c>
      <c r="X8" s="8">
        <v>7.2886749980594634E-2</v>
      </c>
      <c r="Y8" s="8">
        <v>-0.15219022484411004</v>
      </c>
      <c r="Z8" s="8">
        <v>0.17537323087272622</v>
      </c>
      <c r="AA8" s="8">
        <v>0.24815648529069334</v>
      </c>
      <c r="AB8" s="8">
        <v>7.5758751843514618E-2</v>
      </c>
      <c r="AC8" s="9">
        <v>-2.6727729048617088E-2</v>
      </c>
    </row>
    <row r="9" spans="1:29" ht="15" customHeight="1">
      <c r="A9" s="414">
        <v>8</v>
      </c>
      <c r="B9" s="414">
        <v>1</v>
      </c>
      <c r="C9" s="414">
        <v>38</v>
      </c>
      <c r="E9" s="438">
        <v>1</v>
      </c>
      <c r="F9" s="8">
        <f t="shared" si="0"/>
        <v>8</v>
      </c>
      <c r="G9" s="9">
        <f t="shared" si="1"/>
        <v>1</v>
      </c>
      <c r="I9" s="376">
        <f t="shared" si="2"/>
        <v>38</v>
      </c>
      <c r="O9" s="376">
        <v>44.672126057595207</v>
      </c>
      <c r="Q9" s="376">
        <f t="shared" si="3"/>
        <v>-6.6721260575952073</v>
      </c>
      <c r="S9" s="377">
        <v>7.9562213770084475E-2</v>
      </c>
      <c r="T9" s="8">
        <v>-8.1580377241325719E-2</v>
      </c>
      <c r="U9" s="8">
        <v>-8.5150974151983139E-2</v>
      </c>
      <c r="V9" s="8">
        <v>0.26709617325157176</v>
      </c>
      <c r="W9" s="8">
        <v>0.20220445548397092</v>
      </c>
      <c r="X9" s="8">
        <v>8.3132810680742172E-2</v>
      </c>
      <c r="Y9" s="8">
        <v>0.23216642086470551</v>
      </c>
      <c r="Z9" s="8">
        <v>-5.8759605681906246E-2</v>
      </c>
      <c r="AA9" s="8">
        <v>1.4670496002483838E-2</v>
      </c>
      <c r="AB9" s="8">
        <v>0.10238298532950392</v>
      </c>
      <c r="AC9" s="9">
        <v>0.24427540169215228</v>
      </c>
    </row>
    <row r="10" spans="1:29" ht="15" customHeight="1">
      <c r="A10" s="414">
        <v>9</v>
      </c>
      <c r="B10" s="414">
        <v>3</v>
      </c>
      <c r="C10" s="414">
        <v>55</v>
      </c>
      <c r="E10" s="438">
        <v>1</v>
      </c>
      <c r="F10" s="8">
        <f t="shared" si="0"/>
        <v>9</v>
      </c>
      <c r="G10" s="9">
        <f t="shared" si="1"/>
        <v>3</v>
      </c>
      <c r="I10" s="376">
        <f t="shared" si="2"/>
        <v>55</v>
      </c>
      <c r="K10" s="1582" t="s">
        <v>781</v>
      </c>
      <c r="L10" s="1582"/>
      <c r="M10" s="1582"/>
      <c r="O10" s="376">
        <v>57.08424538797891</v>
      </c>
      <c r="Q10" s="376">
        <f t="shared" si="3"/>
        <v>-2.0842453879789105</v>
      </c>
      <c r="S10" s="377">
        <v>0.1392791534062976</v>
      </c>
      <c r="T10" s="8">
        <v>-6.9316153069937214E-2</v>
      </c>
      <c r="U10" s="8">
        <v>2.8823514191829158E-2</v>
      </c>
      <c r="V10" s="8">
        <v>0.20220445548397109</v>
      </c>
      <c r="W10" s="8">
        <v>0.24665579963259068</v>
      </c>
      <c r="X10" s="8">
        <v>4.113948614453157E-2</v>
      </c>
      <c r="Y10" s="8">
        <v>2.8461279722629684E-3</v>
      </c>
      <c r="Z10" s="8">
        <v>-0.11684649020673249</v>
      </c>
      <c r="AA10" s="8">
        <v>0.18373049755491749</v>
      </c>
      <c r="AB10" s="8">
        <v>9.1748816269502334E-2</v>
      </c>
      <c r="AC10" s="9">
        <v>0.24973479262076637</v>
      </c>
    </row>
    <row r="11" spans="1:29" ht="15" customHeight="1">
      <c r="A11" s="414">
        <v>5</v>
      </c>
      <c r="B11" s="414">
        <v>4</v>
      </c>
      <c r="C11" s="414">
        <v>43</v>
      </c>
      <c r="E11" s="438">
        <v>1</v>
      </c>
      <c r="F11" s="8">
        <f t="shared" si="0"/>
        <v>5</v>
      </c>
      <c r="G11" s="9">
        <f t="shared" si="1"/>
        <v>4</v>
      </c>
      <c r="I11" s="376">
        <f t="shared" si="2"/>
        <v>43</v>
      </c>
      <c r="K11" s="425">
        <f t="array" ref="K11:M13">MINVERSE(MMULT(TRANSPOSE(E6:G16),E6:G16))</f>
        <v>1.3973194649279432</v>
      </c>
      <c r="L11" s="426">
        <v>-0.14197003803461952</v>
      </c>
      <c r="M11" s="427">
        <v>-0.10639343838132949</v>
      </c>
      <c r="O11" s="376">
        <v>41.261507412869634</v>
      </c>
      <c r="Q11" s="376">
        <f t="shared" si="3"/>
        <v>1.7384925871303665</v>
      </c>
      <c r="S11" s="377">
        <v>6.2252580920592909E-2</v>
      </c>
      <c r="T11" s="8">
        <v>0.12543662190483593</v>
      </c>
      <c r="U11" s="8">
        <v>7.2886749980594717E-2</v>
      </c>
      <c r="V11" s="8">
        <v>8.313281068074202E-2</v>
      </c>
      <c r="W11" s="8">
        <v>4.1139486144531306E-2</v>
      </c>
      <c r="X11" s="8">
        <v>0.11480245284483442</v>
      </c>
      <c r="Y11" s="8">
        <v>0.17775362881316475</v>
      </c>
      <c r="Z11" s="8">
        <v>0.15695102072498662</v>
      </c>
      <c r="AA11" s="8">
        <v>2.0259256384382474E-2</v>
      </c>
      <c r="AB11" s="8">
        <v>9.3766979740743564E-2</v>
      </c>
      <c r="AC11" s="9">
        <v>5.1618411860591296E-2</v>
      </c>
    </row>
    <row r="12" spans="1:29" ht="15" customHeight="1">
      <c r="A12" s="414">
        <v>4</v>
      </c>
      <c r="B12" s="414">
        <v>0</v>
      </c>
      <c r="C12" s="414">
        <v>25</v>
      </c>
      <c r="E12" s="438">
        <v>1</v>
      </c>
      <c r="F12" s="8">
        <f t="shared" si="0"/>
        <v>4</v>
      </c>
      <c r="G12" s="9">
        <f t="shared" si="1"/>
        <v>0</v>
      </c>
      <c r="I12" s="376">
        <f t="shared" si="2"/>
        <v>25</v>
      </c>
      <c r="K12" s="377">
        <v>-0.14197003803461947</v>
      </c>
      <c r="L12" s="8">
        <v>1.9405417992703587E-2</v>
      </c>
      <c r="M12" s="9">
        <v>5.9768687417527068E-3</v>
      </c>
      <c r="O12" s="376">
        <v>21.332557116613586</v>
      </c>
      <c r="Q12" s="376">
        <f t="shared" si="3"/>
        <v>3.6674428833864141</v>
      </c>
      <c r="S12" s="377">
        <v>-3.3429066728764195E-2</v>
      </c>
      <c r="T12" s="8">
        <v>5.899247069781921E-2</v>
      </c>
      <c r="U12" s="8">
        <v>-0.15219022484410974</v>
      </c>
      <c r="V12" s="8">
        <v>0.23216642086470535</v>
      </c>
      <c r="W12" s="8">
        <v>2.8461279722627464E-3</v>
      </c>
      <c r="X12" s="8">
        <v>0.17775362881316492</v>
      </c>
      <c r="Y12" s="8">
        <v>0.57204584853424467</v>
      </c>
      <c r="Z12" s="8">
        <v>0.20582680017594307</v>
      </c>
      <c r="AA12" s="8">
        <v>-0.2627493596212066</v>
      </c>
      <c r="AB12" s="8">
        <v>0.11340526274935962</v>
      </c>
      <c r="AC12" s="9">
        <v>8.5332091386581432E-2</v>
      </c>
    </row>
    <row r="13" spans="1:29" ht="15" customHeight="1">
      <c r="A13" s="414">
        <v>2</v>
      </c>
      <c r="B13" s="414">
        <v>6</v>
      </c>
      <c r="C13" s="414">
        <v>33</v>
      </c>
      <c r="E13" s="438">
        <v>1</v>
      </c>
      <c r="F13" s="8">
        <f t="shared" si="0"/>
        <v>2</v>
      </c>
      <c r="G13" s="9">
        <f t="shared" si="1"/>
        <v>6</v>
      </c>
      <c r="I13" s="376">
        <f t="shared" si="2"/>
        <v>33</v>
      </c>
      <c r="K13" s="10">
        <v>-0.10639343838132957</v>
      </c>
      <c r="L13" s="11">
        <v>5.976868741752718E-3</v>
      </c>
      <c r="M13" s="12">
        <v>1.6507542239126507E-2</v>
      </c>
      <c r="O13" s="376">
        <v>34.092473285207895</v>
      </c>
      <c r="Q13" s="376">
        <f t="shared" si="3"/>
        <v>-1.0924732852078947</v>
      </c>
      <c r="S13" s="377">
        <v>2.6960594064529372E-2</v>
      </c>
      <c r="T13" s="8">
        <v>0.30536365753318345</v>
      </c>
      <c r="U13" s="8">
        <v>0.17537323087272649</v>
      </c>
      <c r="V13" s="8">
        <v>-5.8759605681906468E-2</v>
      </c>
      <c r="W13" s="8">
        <v>-0.1168464902067327</v>
      </c>
      <c r="X13" s="8">
        <v>0.15695102072498662</v>
      </c>
      <c r="Y13" s="8">
        <v>0.20582680017594268</v>
      </c>
      <c r="Z13" s="8">
        <v>0.36805609459494459</v>
      </c>
      <c r="AA13" s="8">
        <v>-3.1126290460296635E-2</v>
      </c>
      <c r="AB13" s="8">
        <v>8.9653031126290444E-2</v>
      </c>
      <c r="AC13" s="9">
        <v>-0.12145204274366762</v>
      </c>
    </row>
    <row r="14" spans="1:29" ht="15" customHeight="1">
      <c r="A14" s="414">
        <v>8</v>
      </c>
      <c r="B14" s="414">
        <v>7</v>
      </c>
      <c r="C14" s="414">
        <v>71</v>
      </c>
      <c r="E14" s="438">
        <v>1</v>
      </c>
      <c r="F14" s="8">
        <f t="shared" si="0"/>
        <v>8</v>
      </c>
      <c r="G14" s="9">
        <f t="shared" si="1"/>
        <v>7</v>
      </c>
      <c r="I14" s="376">
        <f t="shared" si="2"/>
        <v>71</v>
      </c>
      <c r="O14" s="376">
        <v>67.222618955212241</v>
      </c>
      <c r="Q14" s="376">
        <f t="shared" si="3"/>
        <v>3.7773810447877594</v>
      </c>
      <c r="S14" s="377">
        <v>0.18745633780951637</v>
      </c>
      <c r="T14" s="8">
        <v>8.0959403865558999E-2</v>
      </c>
      <c r="U14" s="8">
        <v>0.24815648529069334</v>
      </c>
      <c r="V14" s="8">
        <v>1.4670496002483824E-2</v>
      </c>
      <c r="W14" s="8">
        <v>0.18373049755491738</v>
      </c>
      <c r="X14" s="8">
        <v>2.0259256384382487E-2</v>
      </c>
      <c r="Y14" s="8">
        <v>-0.26274935962120671</v>
      </c>
      <c r="Z14" s="8">
        <v>-3.1126290460296857E-2</v>
      </c>
      <c r="AA14" s="8">
        <v>0.35651633936195015</v>
      </c>
      <c r="AB14" s="8">
        <v>7.5370643483660502E-2</v>
      </c>
      <c r="AC14" s="9">
        <v>0.12675619032833968</v>
      </c>
    </row>
    <row r="15" spans="1:29" ht="15" customHeight="1">
      <c r="A15" s="414">
        <v>6</v>
      </c>
      <c r="B15" s="414">
        <v>4</v>
      </c>
      <c r="C15" s="414">
        <v>51</v>
      </c>
      <c r="E15" s="438">
        <v>1</v>
      </c>
      <c r="F15" s="8">
        <f t="shared" si="0"/>
        <v>6</v>
      </c>
      <c r="G15" s="9">
        <f t="shared" si="1"/>
        <v>4</v>
      </c>
      <c r="I15" s="376">
        <f t="shared" si="2"/>
        <v>51</v>
      </c>
      <c r="K15" s="1582" t="s">
        <v>825</v>
      </c>
      <c r="L15" s="1582"/>
      <c r="M15" s="1582"/>
      <c r="O15" s="376">
        <v>46.156795777380999</v>
      </c>
      <c r="Q15" s="376">
        <f t="shared" si="3"/>
        <v>4.8432042226190006</v>
      </c>
      <c r="S15" s="377">
        <v>8.6004812543662101E-2</v>
      </c>
      <c r="T15" s="8">
        <v>8.3520919040596164E-2</v>
      </c>
      <c r="U15" s="8">
        <v>7.5758751843514827E-2</v>
      </c>
      <c r="V15" s="8">
        <v>0.10238298532950391</v>
      </c>
      <c r="W15" s="8">
        <v>9.1748816269502292E-2</v>
      </c>
      <c r="X15" s="8">
        <v>9.3766979740743717E-2</v>
      </c>
      <c r="Y15" s="8">
        <v>0.11340526274935964</v>
      </c>
      <c r="Z15" s="8">
        <v>8.9653031126290528E-2</v>
      </c>
      <c r="AA15" s="8">
        <v>7.5370643483660626E-2</v>
      </c>
      <c r="AB15" s="8">
        <v>9.2136924629356437E-2</v>
      </c>
      <c r="AC15" s="9">
        <v>9.6250873243809515E-2</v>
      </c>
    </row>
    <row r="16" spans="1:29" ht="15" customHeight="1">
      <c r="A16" s="416">
        <v>9</v>
      </c>
      <c r="B16" s="416">
        <v>2</v>
      </c>
      <c r="C16" s="416">
        <v>49</v>
      </c>
      <c r="E16" s="439">
        <v>1</v>
      </c>
      <c r="F16" s="11">
        <f t="shared" si="0"/>
        <v>9</v>
      </c>
      <c r="G16" s="12">
        <f t="shared" si="1"/>
        <v>2</v>
      </c>
      <c r="I16" s="268">
        <f t="shared" si="2"/>
        <v>49</v>
      </c>
      <c r="K16" s="425">
        <f t="array" ref="K16:M18">Q20*K11:M13</f>
        <v>276.01950998677279</v>
      </c>
      <c r="L16" s="426">
        <v>-28.044052426579444</v>
      </c>
      <c r="M16" s="427">
        <v>-21.016428572643441</v>
      </c>
      <c r="O16" s="268">
        <v>53.325829905042738</v>
      </c>
      <c r="Q16" s="268">
        <f t="shared" si="3"/>
        <v>-4.3258299050427382</v>
      </c>
      <c r="S16" s="10">
        <v>0.12129679939972562</v>
      </c>
      <c r="T16" s="11">
        <v>-9.6406116587751334E-2</v>
      </c>
      <c r="U16" s="11">
        <v>-2.6727729048616922E-2</v>
      </c>
      <c r="V16" s="11">
        <v>0.24427540169215242</v>
      </c>
      <c r="W16" s="11">
        <v>0.24973479262076625</v>
      </c>
      <c r="X16" s="11">
        <v>5.1618411860591518E-2</v>
      </c>
      <c r="Y16" s="11">
        <v>8.5332091386581682E-2</v>
      </c>
      <c r="Z16" s="11">
        <v>-0.12145204274366739</v>
      </c>
      <c r="AA16" s="11">
        <v>0.12675619032833976</v>
      </c>
      <c r="AB16" s="11">
        <v>9.625087324380957E-2</v>
      </c>
      <c r="AC16" s="12">
        <v>0.2693213278480685</v>
      </c>
    </row>
    <row r="17" spans="1:26" ht="15" customHeight="1">
      <c r="A17" s="436"/>
      <c r="B17" s="436"/>
      <c r="C17" s="436"/>
      <c r="K17" s="377">
        <v>-28.044052426579434</v>
      </c>
      <c r="L17" s="8">
        <v>3.8332493748741703</v>
      </c>
      <c r="M17" s="9">
        <v>1.1806408074612447</v>
      </c>
    </row>
    <row r="18" spans="1:26" ht="15" customHeight="1">
      <c r="A18" s="436"/>
      <c r="B18" s="436"/>
      <c r="C18" s="436"/>
      <c r="K18" s="10">
        <v>-21.016428572643459</v>
      </c>
      <c r="L18" s="11">
        <v>1.1806408074612471</v>
      </c>
      <c r="M18" s="12">
        <v>3.2608174682262918</v>
      </c>
      <c r="P18" t="s">
        <v>690</v>
      </c>
      <c r="Q18" s="267">
        <f>DEVSQ(O6:O16)</f>
        <v>1580.2800542881239</v>
      </c>
    </row>
    <row r="19" spans="1:26" ht="15" customHeight="1">
      <c r="A19" s="436"/>
      <c r="B19" s="436"/>
      <c r="C19" s="436"/>
      <c r="P19" t="s">
        <v>688</v>
      </c>
      <c r="Q19" s="40">
        <f>COUNT(A6:A16)-COUNT(A6:B6)-1</f>
        <v>8</v>
      </c>
    </row>
    <row r="20" spans="1:26" ht="15" customHeight="1">
      <c r="A20" s="436"/>
      <c r="B20" s="436"/>
      <c r="C20" s="436"/>
      <c r="P20" t="s">
        <v>824</v>
      </c>
      <c r="Q20" s="268">
        <f>Q18/Q19</f>
        <v>197.53500678601549</v>
      </c>
    </row>
    <row r="21" spans="1:26" ht="15" customHeight="1">
      <c r="A21" s="436"/>
      <c r="B21" s="436"/>
      <c r="C21" s="436"/>
    </row>
    <row r="22" spans="1:26" ht="15" customHeight="1">
      <c r="A22" s="436" t="s">
        <v>1142</v>
      </c>
      <c r="B22" s="436"/>
      <c r="C22" s="436"/>
      <c r="S22" t="s">
        <v>1143</v>
      </c>
    </row>
    <row r="23" spans="1:26" ht="15" customHeight="1">
      <c r="A23" s="436"/>
      <c r="B23" s="436"/>
      <c r="C23" s="436"/>
    </row>
    <row r="24" spans="1:26" ht="15" customHeight="1">
      <c r="A24" s="436" t="s">
        <v>209</v>
      </c>
      <c r="B24" s="436"/>
      <c r="C24" s="436"/>
      <c r="S24" t="s">
        <v>704</v>
      </c>
      <c r="V24" t="s">
        <v>1137</v>
      </c>
      <c r="Y24" t="s">
        <v>1138</v>
      </c>
    </row>
    <row r="25" spans="1:26" ht="15" customHeight="1">
      <c r="A25" s="436"/>
      <c r="B25" s="436"/>
      <c r="C25" s="436"/>
    </row>
    <row r="26" spans="1:26" ht="15" customHeight="1">
      <c r="A26" s="436" t="s">
        <v>88</v>
      </c>
      <c r="B26" s="436">
        <f>COUNT(C6:C16)</f>
        <v>11</v>
      </c>
      <c r="C26" s="436">
        <f>2*B26</f>
        <v>22</v>
      </c>
      <c r="S26" s="414" t="s">
        <v>783</v>
      </c>
      <c r="T26" s="414" t="s">
        <v>387</v>
      </c>
      <c r="U26" s="414"/>
      <c r="V26" s="414" t="s">
        <v>783</v>
      </c>
      <c r="W26" s="414" t="s">
        <v>1146</v>
      </c>
      <c r="X26" s="414"/>
      <c r="Y26" s="414" t="s">
        <v>777</v>
      </c>
      <c r="Z26" s="414" t="s">
        <v>1147</v>
      </c>
    </row>
    <row r="27" spans="1:26" ht="15" customHeight="1">
      <c r="A27" s="436" t="s">
        <v>76</v>
      </c>
      <c r="B27" s="436">
        <f>AVERAGE(C6:C16)</f>
        <v>47.18181818181818</v>
      </c>
      <c r="C27" s="436"/>
      <c r="S27" s="425">
        <f>F6</f>
        <v>7</v>
      </c>
      <c r="T27" s="427">
        <f>Q6</f>
        <v>10.189500375171463</v>
      </c>
      <c r="V27" s="425">
        <f>S27</f>
        <v>7</v>
      </c>
      <c r="W27" s="427">
        <f>T27/SQRT($Q$20)</f>
        <v>0.72498805947326206</v>
      </c>
      <c r="X27">
        <v>1</v>
      </c>
      <c r="Y27" s="444">
        <f t="array" ref="Y27:Y37">W27:W37/SQRT(1-INDEX(S6:AC16,X27:X37,X27:X37))</f>
        <v>0.77626092500939581</v>
      </c>
      <c r="Z27" s="444">
        <f t="shared" ref="Z27:Z37" si="4">I6</f>
        <v>65</v>
      </c>
    </row>
    <row r="28" spans="1:26" ht="15" customHeight="1">
      <c r="A28" s="436" t="s">
        <v>182</v>
      </c>
      <c r="B28" s="436">
        <f>STDEV(C6:C16)</f>
        <v>13.629513430920284</v>
      </c>
      <c r="C28" s="436"/>
      <c r="S28" s="377">
        <f t="shared" ref="S28:S37" si="5">F7</f>
        <v>3</v>
      </c>
      <c r="T28" s="9">
        <f t="shared" ref="T28:T37" si="6">Q7</f>
        <v>-4.7461771326554327</v>
      </c>
      <c r="V28" s="377">
        <f t="shared" ref="V28:V37" si="7">S28</f>
        <v>3</v>
      </c>
      <c r="W28" s="9">
        <f t="shared" ref="W28:W37" si="8">T28/SQRT($Q$20)</f>
        <v>-0.33769288214608184</v>
      </c>
      <c r="X28">
        <v>2</v>
      </c>
      <c r="Y28" s="376">
        <v>-0.40091962202771336</v>
      </c>
      <c r="Z28" s="376">
        <f t="shared" si="4"/>
        <v>38</v>
      </c>
    </row>
    <row r="29" spans="1:26">
      <c r="S29" s="377">
        <f t="shared" si="5"/>
        <v>5</v>
      </c>
      <c r="T29" s="9">
        <f t="shared" si="6"/>
        <v>-5.2951693446143224</v>
      </c>
      <c r="V29" s="377">
        <f t="shared" si="7"/>
        <v>5</v>
      </c>
      <c r="W29" s="9">
        <f t="shared" si="8"/>
        <v>-0.37675395322507593</v>
      </c>
      <c r="X29">
        <v>3</v>
      </c>
      <c r="Y29" s="376">
        <v>-0.44873662056771335</v>
      </c>
      <c r="Z29" s="376">
        <f t="shared" si="4"/>
        <v>51</v>
      </c>
    </row>
    <row r="30" spans="1:26">
      <c r="A30" t="s">
        <v>210</v>
      </c>
      <c r="B30" t="s">
        <v>211</v>
      </c>
      <c r="C30" t="s">
        <v>555</v>
      </c>
      <c r="D30" t="s">
        <v>212</v>
      </c>
      <c r="S30" s="377">
        <f t="shared" si="5"/>
        <v>8</v>
      </c>
      <c r="T30" s="9">
        <f t="shared" si="6"/>
        <v>-6.6721260575952073</v>
      </c>
      <c r="V30" s="377">
        <f t="shared" si="7"/>
        <v>8</v>
      </c>
      <c r="W30" s="9">
        <f t="shared" si="8"/>
        <v>-0.47472511359277891</v>
      </c>
      <c r="X30">
        <v>4</v>
      </c>
      <c r="Y30" s="376">
        <v>-0.55452191252345118</v>
      </c>
      <c r="Z30" s="376">
        <f t="shared" si="4"/>
        <v>38</v>
      </c>
    </row>
    <row r="31" spans="1:26">
      <c r="A31">
        <v>1</v>
      </c>
      <c r="B31">
        <v>25</v>
      </c>
      <c r="C31">
        <f>NORMSINV(A31/C$26)</f>
        <v>-1.6906216295848977</v>
      </c>
      <c r="D31">
        <f>STANDARDIZE(B31,B$27,B$28)</f>
        <v>-1.6274842307646806</v>
      </c>
      <c r="S31" s="377">
        <f t="shared" si="5"/>
        <v>9</v>
      </c>
      <c r="T31" s="9">
        <f t="shared" si="6"/>
        <v>-2.0842453879789105</v>
      </c>
      <c r="V31" s="377">
        <f t="shared" si="7"/>
        <v>9</v>
      </c>
      <c r="W31" s="9">
        <f t="shared" si="8"/>
        <v>-0.14829510414258162</v>
      </c>
      <c r="X31">
        <v>5</v>
      </c>
      <c r="Y31" s="376">
        <v>-0.17085594259939102</v>
      </c>
      <c r="Z31" s="376">
        <f t="shared" si="4"/>
        <v>55</v>
      </c>
    </row>
    <row r="32" spans="1:26">
      <c r="A32">
        <f>A31+2</f>
        <v>3</v>
      </c>
      <c r="B32">
        <v>33</v>
      </c>
      <c r="C32">
        <f t="shared" ref="C32:C41" si="9">NORMSINV(A32/C$26)</f>
        <v>-1.096803562093513</v>
      </c>
      <c r="D32">
        <f t="shared" ref="D32:D41" si="10">STANDARDIZE(B32,B$27,B$28)</f>
        <v>-1.0405227049151236</v>
      </c>
      <c r="S32" s="377">
        <f t="shared" si="5"/>
        <v>5</v>
      </c>
      <c r="T32" s="9">
        <f t="shared" si="6"/>
        <v>1.7384925871303665</v>
      </c>
      <c r="V32" s="377">
        <f t="shared" si="7"/>
        <v>5</v>
      </c>
      <c r="W32" s="9">
        <f t="shared" si="8"/>
        <v>0.12369461904368265</v>
      </c>
      <c r="X32">
        <v>6</v>
      </c>
      <c r="Y32" s="376">
        <v>0.13147122406662365</v>
      </c>
      <c r="Z32" s="376">
        <f t="shared" si="4"/>
        <v>43</v>
      </c>
    </row>
    <row r="33" spans="1:26">
      <c r="A33">
        <f t="shared" ref="A33:A41" si="11">A32+2</f>
        <v>5</v>
      </c>
      <c r="B33">
        <v>38</v>
      </c>
      <c r="C33">
        <f t="shared" si="9"/>
        <v>-0.74785859476330196</v>
      </c>
      <c r="D33">
        <f t="shared" si="10"/>
        <v>-0.67367175125915046</v>
      </c>
      <c r="S33" s="377">
        <f t="shared" si="5"/>
        <v>4</v>
      </c>
      <c r="T33" s="9">
        <f t="shared" si="6"/>
        <v>3.6674428833864141</v>
      </c>
      <c r="V33" s="377">
        <f t="shared" si="7"/>
        <v>4</v>
      </c>
      <c r="W33" s="9">
        <f t="shared" si="8"/>
        <v>0.26094039956405612</v>
      </c>
      <c r="X33">
        <v>7</v>
      </c>
      <c r="Y33" s="376">
        <v>0.39888040416573833</v>
      </c>
      <c r="Z33" s="376">
        <f t="shared" si="4"/>
        <v>25</v>
      </c>
    </row>
    <row r="34" spans="1:26">
      <c r="A34">
        <f t="shared" si="11"/>
        <v>7</v>
      </c>
      <c r="B34">
        <v>38</v>
      </c>
      <c r="C34">
        <f t="shared" si="9"/>
        <v>-0.47278912099226744</v>
      </c>
      <c r="D34">
        <f t="shared" si="10"/>
        <v>-0.67367175125915046</v>
      </c>
      <c r="S34" s="377">
        <f t="shared" si="5"/>
        <v>2</v>
      </c>
      <c r="T34" s="9">
        <f t="shared" si="6"/>
        <v>-1.0924732852078947</v>
      </c>
      <c r="V34" s="377">
        <f t="shared" si="7"/>
        <v>2</v>
      </c>
      <c r="W34" s="9">
        <f t="shared" si="8"/>
        <v>-7.7730021876163222E-2</v>
      </c>
      <c r="X34">
        <v>8</v>
      </c>
      <c r="Y34" s="376">
        <v>-9.7779885651430545E-2</v>
      </c>
      <c r="Z34" s="376">
        <f t="shared" si="4"/>
        <v>33</v>
      </c>
    </row>
    <row r="35" spans="1:26">
      <c r="A35">
        <f t="shared" si="11"/>
        <v>9</v>
      </c>
      <c r="B35">
        <v>43</v>
      </c>
      <c r="C35">
        <f t="shared" si="9"/>
        <v>-0.22988411757923208</v>
      </c>
      <c r="D35">
        <f t="shared" si="10"/>
        <v>-0.30682079760317738</v>
      </c>
      <c r="S35" s="377">
        <f t="shared" si="5"/>
        <v>8</v>
      </c>
      <c r="T35" s="9">
        <f t="shared" si="6"/>
        <v>3.7773810447877594</v>
      </c>
      <c r="V35" s="377">
        <f t="shared" si="7"/>
        <v>8</v>
      </c>
      <c r="W35" s="9">
        <f t="shared" si="8"/>
        <v>0.26876255485742384</v>
      </c>
      <c r="X35">
        <v>9</v>
      </c>
      <c r="Y35" s="376">
        <v>0.33504257588057895</v>
      </c>
      <c r="Z35" s="376">
        <f t="shared" si="4"/>
        <v>71</v>
      </c>
    </row>
    <row r="36" spans="1:26">
      <c r="A36">
        <f t="shared" si="11"/>
        <v>11</v>
      </c>
      <c r="B36">
        <v>49</v>
      </c>
      <c r="C36">
        <f t="shared" si="9"/>
        <v>0</v>
      </c>
      <c r="D36">
        <f t="shared" si="10"/>
        <v>0.13340034678399038</v>
      </c>
      <c r="S36" s="377">
        <f t="shared" si="5"/>
        <v>6</v>
      </c>
      <c r="T36" s="9">
        <f t="shared" si="6"/>
        <v>4.8432042226190006</v>
      </c>
      <c r="V36" s="377">
        <f t="shared" si="7"/>
        <v>6</v>
      </c>
      <c r="W36" s="9">
        <f t="shared" si="8"/>
        <v>0.34459640823460619</v>
      </c>
      <c r="X36">
        <v>10</v>
      </c>
      <c r="Y36" s="376">
        <v>0.36166007666644429</v>
      </c>
      <c r="Z36" s="376">
        <f t="shared" si="4"/>
        <v>51</v>
      </c>
    </row>
    <row r="37" spans="1:26">
      <c r="A37">
        <f t="shared" si="11"/>
        <v>13</v>
      </c>
      <c r="B37">
        <v>51</v>
      </c>
      <c r="C37">
        <f t="shared" si="9"/>
        <v>0.22988411757923222</v>
      </c>
      <c r="D37">
        <f t="shared" si="10"/>
        <v>0.28014072824637959</v>
      </c>
      <c r="S37" s="10">
        <f t="shared" si="5"/>
        <v>9</v>
      </c>
      <c r="T37" s="12">
        <f t="shared" si="6"/>
        <v>-4.3258299050427382</v>
      </c>
      <c r="V37" s="10">
        <f t="shared" si="7"/>
        <v>9</v>
      </c>
      <c r="W37" s="12">
        <f t="shared" si="8"/>
        <v>-0.30778496619031398</v>
      </c>
      <c r="X37">
        <v>11</v>
      </c>
      <c r="Y37" s="268">
        <v>-0.36006771891297884</v>
      </c>
      <c r="Z37" s="268">
        <f t="shared" si="4"/>
        <v>49</v>
      </c>
    </row>
    <row r="38" spans="1:26">
      <c r="A38">
        <f t="shared" si="11"/>
        <v>15</v>
      </c>
      <c r="B38">
        <v>51</v>
      </c>
      <c r="C38">
        <f t="shared" si="9"/>
        <v>0.47278912099226728</v>
      </c>
      <c r="D38">
        <f t="shared" si="10"/>
        <v>0.28014072824637959</v>
      </c>
    </row>
    <row r="39" spans="1:26">
      <c r="A39">
        <f t="shared" si="11"/>
        <v>17</v>
      </c>
      <c r="B39">
        <v>55</v>
      </c>
      <c r="C39">
        <f t="shared" si="9"/>
        <v>0.74785859476330196</v>
      </c>
      <c r="D39">
        <f t="shared" si="10"/>
        <v>0.57362149117115813</v>
      </c>
    </row>
    <row r="40" spans="1:26">
      <c r="A40">
        <f t="shared" si="11"/>
        <v>19</v>
      </c>
      <c r="B40">
        <v>65</v>
      </c>
      <c r="C40">
        <f t="shared" si="9"/>
        <v>1.096803562093513</v>
      </c>
      <c r="D40">
        <f t="shared" si="10"/>
        <v>1.3073233984831043</v>
      </c>
    </row>
    <row r="41" spans="1:26">
      <c r="A41">
        <f t="shared" si="11"/>
        <v>21</v>
      </c>
      <c r="B41">
        <v>71</v>
      </c>
      <c r="C41">
        <f t="shared" si="9"/>
        <v>1.6906216295848984</v>
      </c>
      <c r="D41">
        <f t="shared" si="10"/>
        <v>1.7475445428702721</v>
      </c>
    </row>
    <row r="55" spans="19:26">
      <c r="S55" t="s">
        <v>1143</v>
      </c>
    </row>
    <row r="57" spans="19:26">
      <c r="S57" t="s">
        <v>704</v>
      </c>
      <c r="V57" t="s">
        <v>1137</v>
      </c>
      <c r="Y57" t="s">
        <v>1138</v>
      </c>
    </row>
    <row r="59" spans="19:26">
      <c r="S59" s="422" t="s">
        <v>783</v>
      </c>
      <c r="T59" s="422" t="s">
        <v>387</v>
      </c>
      <c r="U59" s="422"/>
      <c r="V59" s="422" t="s">
        <v>783</v>
      </c>
      <c r="W59" s="422" t="s">
        <v>1146</v>
      </c>
      <c r="X59" s="422"/>
      <c r="Y59" s="422" t="s">
        <v>783</v>
      </c>
      <c r="Z59" s="422" t="s">
        <v>1147</v>
      </c>
    </row>
    <row r="60" spans="19:26">
      <c r="S60" s="441">
        <f>B6</f>
        <v>5</v>
      </c>
      <c r="T60" s="443">
        <f>Q6</f>
        <v>10.189500375171463</v>
      </c>
      <c r="V60" s="425">
        <f>S60</f>
        <v>5</v>
      </c>
      <c r="W60" s="427">
        <f>T60/SQRT($Q$20)</f>
        <v>0.72498805947326206</v>
      </c>
      <c r="X60">
        <v>1</v>
      </c>
      <c r="Y60" s="425">
        <f>V60</f>
        <v>5</v>
      </c>
      <c r="Z60" s="427">
        <f t="array" ref="Z60:Z70">W60:W70/SQRT(1-INDEX(S39:AC49,X60:X70,X60:X70))</f>
        <v>0.72498805947326206</v>
      </c>
    </row>
    <row r="61" spans="19:26">
      <c r="S61" s="7">
        <f t="shared" ref="S61:S70" si="12">B7</f>
        <v>7</v>
      </c>
      <c r="T61" s="9">
        <f t="shared" ref="T61:T70" si="13">Q7</f>
        <v>-4.7461771326554327</v>
      </c>
      <c r="V61" s="377">
        <f t="shared" ref="V61:V70" si="14">S61</f>
        <v>7</v>
      </c>
      <c r="W61" s="9">
        <f t="shared" ref="W61:W70" si="15">T61/SQRT($Q$20)</f>
        <v>-0.33769288214608184</v>
      </c>
      <c r="X61">
        <v>2</v>
      </c>
      <c r="Y61" s="377">
        <f t="shared" ref="Y61:Y70" si="16">V61</f>
        <v>7</v>
      </c>
      <c r="Z61" s="9">
        <v>-0.33769288214608184</v>
      </c>
    </row>
    <row r="62" spans="19:26">
      <c r="S62" s="7">
        <f t="shared" si="12"/>
        <v>8</v>
      </c>
      <c r="T62" s="9">
        <f t="shared" si="13"/>
        <v>-5.2951693446143224</v>
      </c>
      <c r="V62" s="377">
        <f t="shared" si="14"/>
        <v>8</v>
      </c>
      <c r="W62" s="9">
        <f t="shared" si="15"/>
        <v>-0.37675395322507593</v>
      </c>
      <c r="X62">
        <v>3</v>
      </c>
      <c r="Y62" s="377">
        <f t="shared" si="16"/>
        <v>8</v>
      </c>
      <c r="Z62" s="9">
        <v>-0.37675395322507593</v>
      </c>
    </row>
    <row r="63" spans="19:26">
      <c r="S63" s="7">
        <f t="shared" si="12"/>
        <v>1</v>
      </c>
      <c r="T63" s="9">
        <f t="shared" si="13"/>
        <v>-6.6721260575952073</v>
      </c>
      <c r="V63" s="377">
        <f t="shared" si="14"/>
        <v>1</v>
      </c>
      <c r="W63" s="9">
        <f t="shared" si="15"/>
        <v>-0.47472511359277891</v>
      </c>
      <c r="X63">
        <v>4</v>
      </c>
      <c r="Y63" s="377">
        <f t="shared" si="16"/>
        <v>1</v>
      </c>
      <c r="Z63" s="9">
        <v>-0.47472511359277891</v>
      </c>
    </row>
    <row r="64" spans="19:26">
      <c r="S64" s="7">
        <f t="shared" si="12"/>
        <v>3</v>
      </c>
      <c r="T64" s="9">
        <f t="shared" si="13"/>
        <v>-2.0842453879789105</v>
      </c>
      <c r="V64" s="377">
        <f t="shared" si="14"/>
        <v>3</v>
      </c>
      <c r="W64" s="9">
        <f t="shared" si="15"/>
        <v>-0.14829510414258162</v>
      </c>
      <c r="X64">
        <v>5</v>
      </c>
      <c r="Y64" s="377">
        <f t="shared" si="16"/>
        <v>3</v>
      </c>
      <c r="Z64" s="9">
        <v>-0.14829510414258162</v>
      </c>
    </row>
    <row r="65" spans="19:26">
      <c r="S65" s="7">
        <f t="shared" si="12"/>
        <v>4</v>
      </c>
      <c r="T65" s="9">
        <f t="shared" si="13"/>
        <v>1.7384925871303665</v>
      </c>
      <c r="V65" s="377">
        <f t="shared" si="14"/>
        <v>4</v>
      </c>
      <c r="W65" s="9">
        <f t="shared" si="15"/>
        <v>0.12369461904368265</v>
      </c>
      <c r="X65">
        <v>6</v>
      </c>
      <c r="Y65" s="377">
        <f t="shared" si="16"/>
        <v>4</v>
      </c>
      <c r="Z65" s="9">
        <v>0.12369461904368265</v>
      </c>
    </row>
    <row r="66" spans="19:26">
      <c r="S66" s="7">
        <f t="shared" si="12"/>
        <v>0</v>
      </c>
      <c r="T66" s="9">
        <f t="shared" si="13"/>
        <v>3.6674428833864141</v>
      </c>
      <c r="V66" s="377">
        <f t="shared" si="14"/>
        <v>0</v>
      </c>
      <c r="W66" s="9">
        <f t="shared" si="15"/>
        <v>0.26094039956405612</v>
      </c>
      <c r="X66">
        <v>7</v>
      </c>
      <c r="Y66" s="377">
        <f t="shared" si="16"/>
        <v>0</v>
      </c>
      <c r="Z66" s="9">
        <v>0.26094039956405612</v>
      </c>
    </row>
    <row r="67" spans="19:26">
      <c r="S67" s="7">
        <f t="shared" si="12"/>
        <v>6</v>
      </c>
      <c r="T67" s="9">
        <f t="shared" si="13"/>
        <v>-1.0924732852078947</v>
      </c>
      <c r="V67" s="377">
        <f t="shared" si="14"/>
        <v>6</v>
      </c>
      <c r="W67" s="9">
        <f t="shared" si="15"/>
        <v>-7.7730021876163222E-2</v>
      </c>
      <c r="X67">
        <v>8</v>
      </c>
      <c r="Y67" s="377">
        <f t="shared" si="16"/>
        <v>6</v>
      </c>
      <c r="Z67" s="9">
        <v>-7.7730021876163222E-2</v>
      </c>
    </row>
    <row r="68" spans="19:26">
      <c r="S68" s="7">
        <f t="shared" si="12"/>
        <v>7</v>
      </c>
      <c r="T68" s="9">
        <f t="shared" si="13"/>
        <v>3.7773810447877594</v>
      </c>
      <c r="V68" s="377">
        <f t="shared" si="14"/>
        <v>7</v>
      </c>
      <c r="W68" s="9">
        <f t="shared" si="15"/>
        <v>0.26876255485742384</v>
      </c>
      <c r="X68">
        <v>9</v>
      </c>
      <c r="Y68" s="377">
        <f t="shared" si="16"/>
        <v>7</v>
      </c>
      <c r="Z68" s="9">
        <v>0.26876255485742384</v>
      </c>
    </row>
    <row r="69" spans="19:26">
      <c r="S69" s="7">
        <f t="shared" si="12"/>
        <v>4</v>
      </c>
      <c r="T69" s="9">
        <f t="shared" si="13"/>
        <v>4.8432042226190006</v>
      </c>
      <c r="V69" s="377">
        <f t="shared" si="14"/>
        <v>4</v>
      </c>
      <c r="W69" s="9">
        <f t="shared" si="15"/>
        <v>0.34459640823460619</v>
      </c>
      <c r="X69">
        <v>10</v>
      </c>
      <c r="Y69" s="377">
        <f t="shared" si="16"/>
        <v>4</v>
      </c>
      <c r="Z69" s="9">
        <v>0.34459640823460619</v>
      </c>
    </row>
    <row r="70" spans="19:26">
      <c r="S70" s="10">
        <f t="shared" si="12"/>
        <v>2</v>
      </c>
      <c r="T70" s="12">
        <f t="shared" si="13"/>
        <v>-4.3258299050427382</v>
      </c>
      <c r="V70" s="10">
        <f t="shared" si="14"/>
        <v>2</v>
      </c>
      <c r="W70" s="12">
        <f t="shared" si="15"/>
        <v>-0.30778496619031398</v>
      </c>
      <c r="X70">
        <v>11</v>
      </c>
      <c r="Y70" s="10">
        <f t="shared" si="16"/>
        <v>2</v>
      </c>
      <c r="Z70" s="12">
        <v>-0.30778496619031398</v>
      </c>
    </row>
  </sheetData>
  <mergeCells count="3">
    <mergeCell ref="E5:G5"/>
    <mergeCell ref="K10:M10"/>
    <mergeCell ref="K15:M15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sheetPr codeName="Sheet125"/>
  <dimension ref="A1:BT53"/>
  <sheetViews>
    <sheetView workbookViewId="0"/>
  </sheetViews>
  <sheetFormatPr defaultColWidth="9.109375" defaultRowHeight="14.4"/>
  <cols>
    <col min="1" max="1" width="14" style="25" customWidth="1"/>
    <col min="2" max="4" width="10.88671875" style="25" customWidth="1"/>
    <col min="5" max="5" width="10.88671875" style="913" customWidth="1"/>
    <col min="6" max="13" width="9.109375" style="25"/>
    <col min="14" max="16" width="9.33203125" style="25" bestFit="1" customWidth="1"/>
    <col min="17" max="17" width="9.6640625" style="25" customWidth="1"/>
    <col min="18" max="16384" width="9.109375" style="25"/>
  </cols>
  <sheetData>
    <row r="1" spans="1:72">
      <c r="A1" s="1" t="s">
        <v>704</v>
      </c>
    </row>
    <row r="3" spans="1:72" ht="16.2">
      <c r="A3" s="982"/>
      <c r="B3" s="983" t="s">
        <v>416</v>
      </c>
      <c r="C3" s="983" t="s">
        <v>417</v>
      </c>
      <c r="D3" s="983" t="s">
        <v>418</v>
      </c>
      <c r="E3" s="1309" t="s">
        <v>419</v>
      </c>
      <c r="G3" s="1584" t="s">
        <v>778</v>
      </c>
      <c r="H3" s="1584"/>
      <c r="I3" s="1584"/>
      <c r="J3" s="1584"/>
      <c r="L3" s="1287" t="s">
        <v>779</v>
      </c>
      <c r="N3" s="1287" t="s">
        <v>384</v>
      </c>
      <c r="Q3" s="1287" t="s">
        <v>826</v>
      </c>
      <c r="S3" s="162" t="s">
        <v>792</v>
      </c>
      <c r="U3" s="1287" t="s">
        <v>387</v>
      </c>
      <c r="W3" s="1310" t="s">
        <v>3416</v>
      </c>
    </row>
    <row r="4" spans="1:72">
      <c r="A4" s="932" t="s">
        <v>424</v>
      </c>
      <c r="B4" s="984">
        <v>15.7</v>
      </c>
      <c r="C4" s="985">
        <v>9</v>
      </c>
      <c r="D4" s="986">
        <v>71.027177760140717</v>
      </c>
      <c r="E4" s="1311">
        <v>448</v>
      </c>
      <c r="G4" s="455">
        <v>1</v>
      </c>
      <c r="H4" s="456">
        <f t="shared" ref="H4:J19" si="0">C4</f>
        <v>9</v>
      </c>
      <c r="I4" s="456">
        <f t="shared" si="0"/>
        <v>71.027177760140717</v>
      </c>
      <c r="J4" s="457">
        <f t="shared" si="0"/>
        <v>448</v>
      </c>
      <c r="L4" s="1312">
        <f>B4</f>
        <v>15.7</v>
      </c>
      <c r="N4" s="1312">
        <f t="array" ref="N4:N7">MMULT(N10:Q13,MMULT(TRANSPOSE(G4:J53),L4:L53))</f>
        <v>0.43712521875259824</v>
      </c>
      <c r="P4" s="25">
        <v>1</v>
      </c>
      <c r="Q4" s="1312">
        <f t="array" ref="Q4:Q7">SQRT(INDEX(N16:Q19,P4:P7,P4:P7))</f>
        <v>2.8416365104683443</v>
      </c>
      <c r="S4" s="1312">
        <f t="array" ref="S4:S53">MMULT(G4:J53,N4:N7)</f>
        <v>15.168482465279878</v>
      </c>
      <c r="U4" s="1312">
        <f>L4-S4</f>
        <v>0.53151753472012153</v>
      </c>
      <c r="W4" s="25">
        <f t="array" ref="W4:BT53">MMULT(G4:J53,MMULT(N10:Q13,TRANSPOSE(G4:J53)))</f>
        <v>8.4568416323591813E-2</v>
      </c>
      <c r="X4" s="25">
        <v>1.1452870207838056E-2</v>
      </c>
      <c r="Y4" s="25">
        <v>-2.2684899382406989E-3</v>
      </c>
      <c r="Z4" s="25">
        <v>5.4739347001091648E-2</v>
      </c>
      <c r="AA4" s="25">
        <v>-3.2730749121665424E-2</v>
      </c>
      <c r="AB4" s="25">
        <v>-1.2391267536813102E-2</v>
      </c>
      <c r="AC4" s="25">
        <v>1.4046598835085966E-2</v>
      </c>
      <c r="AD4" s="25">
        <v>4.2306012734552326E-2</v>
      </c>
      <c r="AE4" s="25">
        <v>7.6002631855533326E-3</v>
      </c>
      <c r="AF4" s="25">
        <v>6.2616235674378656E-2</v>
      </c>
      <c r="AG4" s="25">
        <v>5.1146073958652116E-2</v>
      </c>
      <c r="AH4" s="25">
        <v>2.0995996047604104E-2</v>
      </c>
      <c r="AI4" s="25">
        <v>2.4454727531805547E-2</v>
      </c>
      <c r="AJ4" s="25">
        <v>5.1118636738206741E-2</v>
      </c>
      <c r="AK4" s="25">
        <v>-2.8070337906425546E-2</v>
      </c>
      <c r="AL4" s="25">
        <v>1.6542194515762713E-2</v>
      </c>
      <c r="AM4" s="25">
        <v>3.9353690784258946E-2</v>
      </c>
      <c r="AN4" s="25">
        <v>9.0378957745860633E-2</v>
      </c>
      <c r="AO4" s="25">
        <v>1.6418981624219689E-2</v>
      </c>
      <c r="AP4" s="25">
        <v>4.9259321250803553E-2</v>
      </c>
      <c r="AQ4" s="25">
        <v>-3.9730798885098007E-2</v>
      </c>
      <c r="AR4" s="25">
        <v>2.4809114638523852E-2</v>
      </c>
      <c r="AS4" s="25">
        <v>-1.982516804755606E-2</v>
      </c>
      <c r="AT4" s="25">
        <v>0.15046796304795451</v>
      </c>
      <c r="AU4" s="25">
        <v>2.3639816496574761E-2</v>
      </c>
      <c r="AV4" s="25">
        <v>-5.3363975670070937E-3</v>
      </c>
      <c r="AW4" s="25">
        <v>-1.2776535385649435E-2</v>
      </c>
      <c r="AX4" s="25">
        <v>-1.9568299484687079E-2</v>
      </c>
      <c r="AY4" s="25">
        <v>1.0401262829553365E-2</v>
      </c>
      <c r="AZ4" s="25">
        <v>-2.445073971052536E-3</v>
      </c>
      <c r="BA4" s="25">
        <v>-3.1078275298532146E-2</v>
      </c>
      <c r="BB4" s="25">
        <v>-4.4593352615350974E-3</v>
      </c>
      <c r="BC4" s="25">
        <v>5.6399176421514541E-2</v>
      </c>
      <c r="BD4" s="25">
        <v>6.1379872496093169E-3</v>
      </c>
      <c r="BE4" s="25">
        <v>4.8250894154049727E-2</v>
      </c>
      <c r="BF4" s="25">
        <v>4.6746754245875863E-2</v>
      </c>
      <c r="BG4" s="25">
        <v>-1.2919937065442229E-2</v>
      </c>
      <c r="BH4" s="25">
        <v>3.606499307513187E-2</v>
      </c>
      <c r="BI4" s="25">
        <v>9.680797119937995E-3</v>
      </c>
      <c r="BJ4" s="25">
        <v>4.1963807164930082E-2</v>
      </c>
      <c r="BK4" s="25">
        <v>3.6005073456287492E-2</v>
      </c>
      <c r="BL4" s="25">
        <v>4.1289174948892671E-2</v>
      </c>
      <c r="BM4" s="25">
        <v>-5.8366695403573726E-3</v>
      </c>
      <c r="BN4" s="25">
        <v>-2.1704570721193583E-2</v>
      </c>
      <c r="BO4" s="25">
        <v>-5.2064141413139253E-3</v>
      </c>
      <c r="BP4" s="25">
        <v>4.7768171392651521E-2</v>
      </c>
      <c r="BQ4" s="25">
        <v>-3.2055177694678888E-2</v>
      </c>
      <c r="BR4" s="25">
        <v>3.3814449776083666E-2</v>
      </c>
      <c r="BS4" s="25">
        <v>1.0964437398857871E-2</v>
      </c>
      <c r="BT4" s="25">
        <v>2.7001299991555983E-2</v>
      </c>
    </row>
    <row r="5" spans="1:72">
      <c r="A5" s="932" t="s">
        <v>425</v>
      </c>
      <c r="B5" s="984">
        <v>8.4</v>
      </c>
      <c r="C5" s="985">
        <v>6.9</v>
      </c>
      <c r="D5" s="986">
        <v>70.62318863808899</v>
      </c>
      <c r="E5" s="1311">
        <v>661.2</v>
      </c>
      <c r="G5" s="113">
        <v>1</v>
      </c>
      <c r="H5" s="174">
        <f t="shared" si="0"/>
        <v>6.9</v>
      </c>
      <c r="I5" s="174">
        <f t="shared" si="0"/>
        <v>70.62318863808899</v>
      </c>
      <c r="J5" s="169">
        <f t="shared" si="0"/>
        <v>661.2</v>
      </c>
      <c r="L5" s="1313">
        <f t="shared" ref="L5:L53" si="1">B5</f>
        <v>8.4</v>
      </c>
      <c r="N5" s="1313">
        <v>1.2793696530498302</v>
      </c>
      <c r="P5" s="25">
        <f>P4+1</f>
        <v>2</v>
      </c>
      <c r="Q5" s="1313">
        <v>0.21426856354723553</v>
      </c>
      <c r="S5" s="1313">
        <v>12.770194096327888</v>
      </c>
      <c r="U5" s="1313">
        <f t="shared" ref="U5:U53" si="2">L5-S5</f>
        <v>-4.3701940963278876</v>
      </c>
      <c r="W5" s="25">
        <v>1.145287020783823E-2</v>
      </c>
      <c r="X5" s="25">
        <v>7.2581277910758066E-2</v>
      </c>
      <c r="Y5" s="25">
        <v>3.2647400652031339E-2</v>
      </c>
      <c r="Z5" s="25">
        <v>2.0330128958296528E-2</v>
      </c>
      <c r="AA5" s="25">
        <v>6.7177334083919182E-2</v>
      </c>
      <c r="AB5" s="25">
        <v>1.595370556499949E-2</v>
      </c>
      <c r="AC5" s="25">
        <v>7.3867019221224295E-4</v>
      </c>
      <c r="AD5" s="25">
        <v>5.5800068126002522E-2</v>
      </c>
      <c r="AE5" s="25">
        <v>6.7648461985173852E-2</v>
      </c>
      <c r="AF5" s="25">
        <v>3.606460151851909E-2</v>
      </c>
      <c r="AG5" s="25">
        <v>6.995039817274229E-2</v>
      </c>
      <c r="AH5" s="25">
        <v>-2.0565903482488705E-2</v>
      </c>
      <c r="AI5" s="25">
        <v>3.7636046225710526E-2</v>
      </c>
      <c r="AJ5" s="25">
        <v>-1.3044008629150214E-2</v>
      </c>
      <c r="AK5" s="25">
        <v>9.9907700848847515E-3</v>
      </c>
      <c r="AL5" s="25">
        <v>1.6707214352552388E-2</v>
      </c>
      <c r="AM5" s="25">
        <v>-1.5158186400628146E-2</v>
      </c>
      <c r="AN5" s="25">
        <v>5.2658812680832091E-2</v>
      </c>
      <c r="AO5" s="25">
        <v>-3.5996530982570885E-2</v>
      </c>
      <c r="AP5" s="25">
        <v>6.3595856377683807E-2</v>
      </c>
      <c r="AQ5" s="25">
        <v>4.4535361971647217E-2</v>
      </c>
      <c r="AR5" s="25">
        <v>3.4632243165473801E-2</v>
      </c>
      <c r="AS5" s="25">
        <v>1.3314531410169857E-2</v>
      </c>
      <c r="AT5" s="25">
        <v>-2.258370889052605E-2</v>
      </c>
      <c r="AU5" s="25">
        <v>2.5427003098156715E-2</v>
      </c>
      <c r="AV5" s="25">
        <v>4.1301450038032095E-3</v>
      </c>
      <c r="AW5" s="25">
        <v>8.0549638642691164E-3</v>
      </c>
      <c r="AX5" s="25">
        <v>8.2204525891436356E-2</v>
      </c>
      <c r="AY5" s="25">
        <v>-2.9403730683065052E-2</v>
      </c>
      <c r="AZ5" s="25">
        <v>3.0245899523651237E-2</v>
      </c>
      <c r="BA5" s="25">
        <v>7.2274844031362598E-2</v>
      </c>
      <c r="BB5" s="25">
        <v>4.559025939766187E-2</v>
      </c>
      <c r="BC5" s="25">
        <v>2.2472414887263318E-2</v>
      </c>
      <c r="BD5" s="25">
        <v>-2.0424629815284784E-2</v>
      </c>
      <c r="BE5" s="25">
        <v>-5.5038368644957855E-3</v>
      </c>
      <c r="BF5" s="25">
        <v>2.4559596661923658E-2</v>
      </c>
      <c r="BG5" s="25">
        <v>8.226299638072929E-3</v>
      </c>
      <c r="BH5" s="25">
        <v>8.1652489757192658E-3</v>
      </c>
      <c r="BI5" s="25">
        <v>-7.2238027171212943E-3</v>
      </c>
      <c r="BJ5" s="25">
        <v>7.660951604333055E-2</v>
      </c>
      <c r="BK5" s="25">
        <v>-2.6273647816068696E-2</v>
      </c>
      <c r="BL5" s="25">
        <v>5.4637003999787714E-2</v>
      </c>
      <c r="BM5" s="25">
        <v>4.4095670163727799E-2</v>
      </c>
      <c r="BN5" s="25">
        <v>1.6238169183576574E-3</v>
      </c>
      <c r="BO5" s="25">
        <v>-2.5057958950213718E-2</v>
      </c>
      <c r="BP5" s="25">
        <v>3.9413774168460536E-3</v>
      </c>
      <c r="BQ5" s="25">
        <v>3.1871773573285037E-2</v>
      </c>
      <c r="BR5" s="25">
        <v>-2.2124769426122161E-2</v>
      </c>
      <c r="BS5" s="25">
        <v>-1.9119083286361499E-3</v>
      </c>
      <c r="BT5" s="25">
        <v>-2.2273489743722258E-2</v>
      </c>
    </row>
    <row r="6" spans="1:72">
      <c r="A6" s="932" t="s">
        <v>426</v>
      </c>
      <c r="B6" s="984">
        <v>14.7</v>
      </c>
      <c r="C6" s="985">
        <v>6.4</v>
      </c>
      <c r="D6" s="986">
        <v>86.505696765320337</v>
      </c>
      <c r="E6" s="1311">
        <v>482.7</v>
      </c>
      <c r="G6" s="113">
        <v>1</v>
      </c>
      <c r="H6" s="174">
        <f t="shared" si="0"/>
        <v>6.4</v>
      </c>
      <c r="I6" s="174">
        <f t="shared" si="0"/>
        <v>86.505696765320337</v>
      </c>
      <c r="J6" s="169">
        <f t="shared" si="0"/>
        <v>482.7</v>
      </c>
      <c r="L6" s="1313">
        <f t="shared" si="1"/>
        <v>14.7</v>
      </c>
      <c r="N6" s="1313">
        <v>3.6326923072062201E-2</v>
      </c>
      <c r="P6" s="25">
        <f>P5+1</f>
        <v>3</v>
      </c>
      <c r="Q6" s="1313">
        <v>2.3946175502409853E-2</v>
      </c>
      <c r="S6" s="1313">
        <v>12.453734351399612</v>
      </c>
      <c r="U6" s="1313">
        <f t="shared" si="2"/>
        <v>2.2462656486003869</v>
      </c>
      <c r="W6" s="25">
        <v>-2.2684899382405602E-3</v>
      </c>
      <c r="X6" s="25">
        <v>3.2647400652030922E-2</v>
      </c>
      <c r="Y6" s="25">
        <v>3.4584753799855233E-2</v>
      </c>
      <c r="Z6" s="25">
        <v>1.8416568136119957E-2</v>
      </c>
      <c r="AA6" s="25">
        <v>3.8950903257587891E-2</v>
      </c>
      <c r="AB6" s="25">
        <v>2.9932941005096546E-2</v>
      </c>
      <c r="AC6" s="25">
        <v>1.239533630276328E-2</v>
      </c>
      <c r="AD6" s="25">
        <v>2.8737465295376255E-2</v>
      </c>
      <c r="AE6" s="25">
        <v>4.4420238351613767E-2</v>
      </c>
      <c r="AF6" s="25">
        <v>3.0665873110401892E-3</v>
      </c>
      <c r="AG6" s="25">
        <v>-3.4175507046630832E-2</v>
      </c>
      <c r="AH6" s="25">
        <v>1.6427174801740392E-2</v>
      </c>
      <c r="AI6" s="25">
        <v>2.5816978624192504E-2</v>
      </c>
      <c r="AJ6" s="25">
        <v>1.0386508461014174E-2</v>
      </c>
      <c r="AK6" s="25">
        <v>3.3476212012683727E-2</v>
      </c>
      <c r="AL6" s="25">
        <v>2.8821220883853867E-2</v>
      </c>
      <c r="AM6" s="25">
        <v>1.2152182824068013E-2</v>
      </c>
      <c r="AN6" s="25">
        <v>1.1997121023273674E-2</v>
      </c>
      <c r="AO6" s="25">
        <v>1.0234225438296787E-2</v>
      </c>
      <c r="AP6" s="25">
        <v>1.5967705981465304E-2</v>
      </c>
      <c r="AQ6" s="25">
        <v>4.094373489423675E-2</v>
      </c>
      <c r="AR6" s="25">
        <v>2.73336399816193E-2</v>
      </c>
      <c r="AS6" s="25">
        <v>2.726407164231065E-2</v>
      </c>
      <c r="AT6" s="25">
        <v>-3.8644281256304563E-2</v>
      </c>
      <c r="AU6" s="25">
        <v>2.8081056896775078E-2</v>
      </c>
      <c r="AV6" s="25">
        <v>2.4203635719363514E-2</v>
      </c>
      <c r="AW6" s="25">
        <v>2.7923032771135597E-2</v>
      </c>
      <c r="AX6" s="25">
        <v>5.458199308111783E-2</v>
      </c>
      <c r="AY6" s="25">
        <v>1.2633906657327443E-2</v>
      </c>
      <c r="AZ6" s="25">
        <v>1.6450883172438747E-2</v>
      </c>
      <c r="BA6" s="25">
        <v>5.3689962248174253E-2</v>
      </c>
      <c r="BB6" s="25">
        <v>2.1261984557831199E-2</v>
      </c>
      <c r="BC6" s="25">
        <v>8.7418223816782287E-3</v>
      </c>
      <c r="BD6" s="25">
        <v>1.134028650896815E-2</v>
      </c>
      <c r="BE6" s="25">
        <v>9.6249069148591909E-3</v>
      </c>
      <c r="BF6" s="25">
        <v>1.6647036500919449E-2</v>
      </c>
      <c r="BG6" s="25">
        <v>2.6055262294289654E-2</v>
      </c>
      <c r="BH6" s="25">
        <v>1.864473445178623E-2</v>
      </c>
      <c r="BI6" s="25">
        <v>1.4434796295073472E-2</v>
      </c>
      <c r="BJ6" s="25">
        <v>3.21093157711069E-2</v>
      </c>
      <c r="BK6" s="25">
        <v>2.8943070557206629E-3</v>
      </c>
      <c r="BL6" s="25">
        <v>3.7804729979022789E-2</v>
      </c>
      <c r="BM6" s="25">
        <v>3.472431881779138E-2</v>
      </c>
      <c r="BN6" s="25">
        <v>2.6592798332099286E-2</v>
      </c>
      <c r="BO6" s="25">
        <v>1.6600601637084794E-2</v>
      </c>
      <c r="BP6" s="25">
        <v>-3.5831554417977696E-3</v>
      </c>
      <c r="BQ6" s="25">
        <v>3.0498023220558015E-2</v>
      </c>
      <c r="BR6" s="25">
        <v>1.5434205493654075E-2</v>
      </c>
      <c r="BS6" s="25">
        <v>1.944962842658671E-2</v>
      </c>
      <c r="BT6" s="25">
        <v>1.4275233817377109E-2</v>
      </c>
    </row>
    <row r="7" spans="1:72">
      <c r="A7" s="932" t="s">
        <v>427</v>
      </c>
      <c r="B7" s="984">
        <v>17.3</v>
      </c>
      <c r="C7" s="985">
        <v>8.5</v>
      </c>
      <c r="D7" s="986">
        <v>80.783955956979611</v>
      </c>
      <c r="E7" s="1311">
        <v>529.4</v>
      </c>
      <c r="G7" s="113">
        <v>1</v>
      </c>
      <c r="H7" s="174">
        <f t="shared" si="0"/>
        <v>8.5</v>
      </c>
      <c r="I7" s="174">
        <f t="shared" si="0"/>
        <v>80.783955956979611</v>
      </c>
      <c r="J7" s="169">
        <f t="shared" si="0"/>
        <v>529.4</v>
      </c>
      <c r="L7" s="1313">
        <f t="shared" si="1"/>
        <v>17.3</v>
      </c>
      <c r="N7" s="1314">
        <v>1.4214989878582329E-3</v>
      </c>
      <c r="P7" s="25">
        <f>P6+1</f>
        <v>4</v>
      </c>
      <c r="Q7" s="1314">
        <v>1.5977891191805069E-3</v>
      </c>
      <c r="S7" s="1313">
        <v>14.998941387354362</v>
      </c>
      <c r="U7" s="1313">
        <f t="shared" si="2"/>
        <v>2.3010586126456385</v>
      </c>
      <c r="W7" s="25">
        <v>5.4739347001092002E-2</v>
      </c>
      <c r="X7" s="25">
        <v>2.0330128958296112E-2</v>
      </c>
      <c r="Y7" s="25">
        <v>1.8416568136119686E-2</v>
      </c>
      <c r="Z7" s="25">
        <v>5.6823864951255007E-2</v>
      </c>
      <c r="AA7" s="25">
        <v>-1.722820482677008E-2</v>
      </c>
      <c r="AB7" s="25">
        <v>2.3954160293032552E-3</v>
      </c>
      <c r="AC7" s="25">
        <v>3.9120862153092725E-3</v>
      </c>
      <c r="AD7" s="25">
        <v>5.2733239860965897E-2</v>
      </c>
      <c r="AE7" s="25">
        <v>3.9131143145140684E-2</v>
      </c>
      <c r="AF7" s="25">
        <v>3.3204483304539109E-2</v>
      </c>
      <c r="AG7" s="25">
        <v>-5.8093816041565688E-2</v>
      </c>
      <c r="AH7" s="25">
        <v>2.4857653463554744E-2</v>
      </c>
      <c r="AI7" s="25">
        <v>3.1449564157525312E-2</v>
      </c>
      <c r="AJ7" s="25">
        <v>4.6230001663519801E-2</v>
      </c>
      <c r="AK7" s="25">
        <v>-7.4607789067454491E-3</v>
      </c>
      <c r="AL7" s="25">
        <v>3.3328831986925461E-2</v>
      </c>
      <c r="AM7" s="25">
        <v>3.6564646075996798E-2</v>
      </c>
      <c r="AN7" s="25">
        <v>7.7473151503296922E-2</v>
      </c>
      <c r="AO7" s="25">
        <v>1.2002207050326008E-2</v>
      </c>
      <c r="AP7" s="25">
        <v>3.4898094645277725E-2</v>
      </c>
      <c r="AQ7" s="25">
        <v>-1.5750144022397092E-2</v>
      </c>
      <c r="AR7" s="25">
        <v>3.5453748831121797E-2</v>
      </c>
      <c r="AS7" s="25">
        <v>-1.0437586713981584E-2</v>
      </c>
      <c r="AT7" s="25">
        <v>7.1213747367742553E-2</v>
      </c>
      <c r="AU7" s="25">
        <v>3.7861403322177599E-2</v>
      </c>
      <c r="AV7" s="25">
        <v>2.8289735563798296E-3</v>
      </c>
      <c r="AW7" s="25">
        <v>2.2525583634773732E-4</v>
      </c>
      <c r="AX7" s="25">
        <v>2.3186625624112556E-2</v>
      </c>
      <c r="AY7" s="25">
        <v>7.8863921409595972E-3</v>
      </c>
      <c r="AZ7" s="25">
        <v>-1.4996316014413827E-2</v>
      </c>
      <c r="BA7" s="25">
        <v>1.0856136525116827E-2</v>
      </c>
      <c r="BB7" s="25">
        <v>-1.2259526258054633E-2</v>
      </c>
      <c r="BC7" s="25">
        <v>4.0134238015328845E-2</v>
      </c>
      <c r="BD7" s="25">
        <v>-1.7158627425350043E-3</v>
      </c>
      <c r="BE7" s="25">
        <v>3.9589583128445287E-2</v>
      </c>
      <c r="BF7" s="25">
        <v>4.3269906436049624E-2</v>
      </c>
      <c r="BG7" s="25">
        <v>-3.4670394978338088E-3</v>
      </c>
      <c r="BH7" s="25">
        <v>3.8933939053771058E-2</v>
      </c>
      <c r="BI7" s="25">
        <v>4.7439410585431926E-3</v>
      </c>
      <c r="BJ7" s="25">
        <v>5.3305751876194525E-2</v>
      </c>
      <c r="BK7" s="25">
        <v>1.8297723436888208E-2</v>
      </c>
      <c r="BL7" s="25">
        <v>6.8777008950237487E-2</v>
      </c>
      <c r="BM7" s="25">
        <v>1.1653437548812234E-2</v>
      </c>
      <c r="BN7" s="25">
        <v>-1.0855069122513779E-2</v>
      </c>
      <c r="BO7" s="25">
        <v>-3.7356419209635533E-3</v>
      </c>
      <c r="BP7" s="25">
        <v>1.1982344000141559E-2</v>
      </c>
      <c r="BQ7" s="25">
        <v>-2.318678179654645E-2</v>
      </c>
      <c r="BR7" s="25">
        <v>3.8112949251870712E-2</v>
      </c>
      <c r="BS7" s="25">
        <v>1.4211826683128807E-2</v>
      </c>
      <c r="BT7" s="25">
        <v>2.8171407072507711E-2</v>
      </c>
    </row>
    <row r="8" spans="1:72">
      <c r="A8" s="932" t="s">
        <v>428</v>
      </c>
      <c r="B8" s="984">
        <v>13.3</v>
      </c>
      <c r="C8" s="985">
        <v>5</v>
      </c>
      <c r="D8" s="986">
        <v>76.640052174481781</v>
      </c>
      <c r="E8" s="1311">
        <v>522.6</v>
      </c>
      <c r="G8" s="113">
        <v>1</v>
      </c>
      <c r="H8" s="174">
        <f t="shared" si="0"/>
        <v>5</v>
      </c>
      <c r="I8" s="174">
        <f t="shared" si="0"/>
        <v>76.640052174481781</v>
      </c>
      <c r="J8" s="169">
        <f t="shared" si="0"/>
        <v>522.6</v>
      </c>
      <c r="L8" s="1313">
        <f t="shared" si="1"/>
        <v>13.3</v>
      </c>
      <c r="S8" s="1313">
        <v>10.360946134637693</v>
      </c>
      <c r="U8" s="1313">
        <f t="shared" si="2"/>
        <v>2.9390538653623075</v>
      </c>
      <c r="W8" s="25">
        <v>-3.2730749121665181E-2</v>
      </c>
      <c r="X8" s="25">
        <v>6.7177334083919557E-2</v>
      </c>
      <c r="Y8" s="25">
        <v>3.8950903257588862E-2</v>
      </c>
      <c r="Z8" s="25">
        <v>-1.7228204826769216E-2</v>
      </c>
      <c r="AA8" s="25">
        <v>0.10361371993915565</v>
      </c>
      <c r="AB8" s="25">
        <v>3.9494624828568081E-2</v>
      </c>
      <c r="AC8" s="25">
        <v>1.7087142462659709E-2</v>
      </c>
      <c r="AD8" s="25">
        <v>1.9813584776144574E-2</v>
      </c>
      <c r="AE8" s="25">
        <v>5.0675730935078475E-2</v>
      </c>
      <c r="AF8" s="25">
        <v>1.064880949936952E-2</v>
      </c>
      <c r="AG8" s="25">
        <v>0.10879105607449471</v>
      </c>
      <c r="AH8" s="25">
        <v>-1.8301143588030561E-2</v>
      </c>
      <c r="AI8" s="25">
        <v>2.5343688774789444E-2</v>
      </c>
      <c r="AJ8" s="25">
        <v>-3.6832851621302592E-2</v>
      </c>
      <c r="AK8" s="25">
        <v>4.6486875677024211E-2</v>
      </c>
      <c r="AL8" s="25">
        <v>8.7053011953053122E-3</v>
      </c>
      <c r="AM8" s="25">
        <v>-2.7946284180377118E-2</v>
      </c>
      <c r="AN8" s="25">
        <v>-1.5897064907781311E-2</v>
      </c>
      <c r="AO8" s="25">
        <v>-2.0719337271632915E-2</v>
      </c>
      <c r="AP8" s="25">
        <v>3.7071505185896948E-2</v>
      </c>
      <c r="AQ8" s="25">
        <v>8.5518254937571259E-2</v>
      </c>
      <c r="AR8" s="25">
        <v>1.9796143646435914E-2</v>
      </c>
      <c r="AS8" s="25">
        <v>4.8841388872835838E-2</v>
      </c>
      <c r="AT8" s="25">
        <v>-9.4412060909312839E-2</v>
      </c>
      <c r="AU8" s="25">
        <v>1.0607792370835527E-2</v>
      </c>
      <c r="AV8" s="25">
        <v>2.6893832510501751E-2</v>
      </c>
      <c r="AW8" s="25">
        <v>3.4462662506063411E-2</v>
      </c>
      <c r="AX8" s="25">
        <v>8.3136494714594208E-2</v>
      </c>
      <c r="AY8" s="25">
        <v>-1.0244925239638408E-2</v>
      </c>
      <c r="AZ8" s="25">
        <v>6.100820593774791E-2</v>
      </c>
      <c r="BA8" s="25">
        <v>8.7215106136552645E-2</v>
      </c>
      <c r="BB8" s="25">
        <v>7.2723432454270154E-2</v>
      </c>
      <c r="BC8" s="25">
        <v>-3.9234327718865782E-3</v>
      </c>
      <c r="BD8" s="25">
        <v>5.650181595135445E-3</v>
      </c>
      <c r="BE8" s="25">
        <v>-2.4734761938325599E-2</v>
      </c>
      <c r="BF8" s="25">
        <v>-1.3457051681177688E-3</v>
      </c>
      <c r="BG8" s="25">
        <v>3.7310679917636425E-2</v>
      </c>
      <c r="BH8" s="25">
        <v>-8.7786802762757511E-3</v>
      </c>
      <c r="BI8" s="25">
        <v>1.1102518720709123E-2</v>
      </c>
      <c r="BJ8" s="25">
        <v>3.7202719519720553E-2</v>
      </c>
      <c r="BK8" s="25">
        <v>-2.3191022820383253E-2</v>
      </c>
      <c r="BL8" s="25">
        <v>7.602303925713122E-3</v>
      </c>
      <c r="BM8" s="25">
        <v>5.4682057670271747E-2</v>
      </c>
      <c r="BN8" s="25">
        <v>3.9797818735170104E-2</v>
      </c>
      <c r="BO8" s="25">
        <v>6.7600339702343915E-3</v>
      </c>
      <c r="BP8" s="25">
        <v>3.3142973187929997E-3</v>
      </c>
      <c r="BQ8" s="25">
        <v>7.76697048523943E-2</v>
      </c>
      <c r="BR8" s="25">
        <v>-3.3227777365576749E-2</v>
      </c>
      <c r="BS8" s="25">
        <v>8.3990584732354726E-3</v>
      </c>
      <c r="BT8" s="25">
        <v>-2.4040963469328672E-2</v>
      </c>
    </row>
    <row r="9" spans="1:72" ht="16.2">
      <c r="A9" s="932" t="s">
        <v>429</v>
      </c>
      <c r="B9" s="984">
        <v>11.4</v>
      </c>
      <c r="C9" s="985">
        <v>5.7</v>
      </c>
      <c r="D9" s="986">
        <v>89.734092175332663</v>
      </c>
      <c r="E9" s="1311">
        <v>347.8</v>
      </c>
      <c r="G9" s="113">
        <v>1</v>
      </c>
      <c r="H9" s="174">
        <f t="shared" si="0"/>
        <v>5.7</v>
      </c>
      <c r="I9" s="174">
        <f t="shared" si="0"/>
        <v>89.734092175332663</v>
      </c>
      <c r="J9" s="169">
        <f t="shared" si="0"/>
        <v>347.8</v>
      </c>
      <c r="L9" s="1313">
        <f t="shared" si="1"/>
        <v>11.4</v>
      </c>
      <c r="N9" s="1585" t="s">
        <v>3417</v>
      </c>
      <c r="O9" s="1585"/>
      <c r="P9" s="1585"/>
      <c r="Q9" s="1585"/>
      <c r="S9" s="1313">
        <v>11.483693052508373</v>
      </c>
      <c r="U9" s="1313">
        <f t="shared" si="2"/>
        <v>-8.3693052508373E-2</v>
      </c>
      <c r="W9" s="25">
        <v>-1.2391267536813133E-2</v>
      </c>
      <c r="X9" s="25">
        <v>1.5953705564999129E-2</v>
      </c>
      <c r="Y9" s="25">
        <v>2.9932941005096594E-2</v>
      </c>
      <c r="Z9" s="25">
        <v>2.395416029303505E-3</v>
      </c>
      <c r="AA9" s="25">
        <v>3.9494624828567214E-2</v>
      </c>
      <c r="AB9" s="25">
        <v>3.762115632263021E-2</v>
      </c>
      <c r="AC9" s="25">
        <v>2.5848686816239828E-2</v>
      </c>
      <c r="AD9" s="25">
        <v>3.1311964702471842E-3</v>
      </c>
      <c r="AE9" s="25">
        <v>1.9520406845095831E-2</v>
      </c>
      <c r="AF9" s="25">
        <v>-5.3098377367656029E-3</v>
      </c>
      <c r="AG9" s="25">
        <v>-7.9012774319574264E-3</v>
      </c>
      <c r="AH9" s="25">
        <v>2.6338188179907868E-2</v>
      </c>
      <c r="AI9" s="25">
        <v>1.506992850779758E-2</v>
      </c>
      <c r="AJ9" s="25">
        <v>9.5054806297762036E-3</v>
      </c>
      <c r="AK9" s="25">
        <v>4.6765908435432317E-2</v>
      </c>
      <c r="AL9" s="25">
        <v>2.2888921985424585E-2</v>
      </c>
      <c r="AM9" s="25">
        <v>1.5897263676291445E-2</v>
      </c>
      <c r="AN9" s="25">
        <v>-2.1557344151109395E-2</v>
      </c>
      <c r="AO9" s="25">
        <v>3.092048718659627E-2</v>
      </c>
      <c r="AP9" s="25">
        <v>-2.5569637606738006E-3</v>
      </c>
      <c r="AQ9" s="25">
        <v>4.7087790192755788E-2</v>
      </c>
      <c r="AR9" s="25">
        <v>1.5515178901020558E-2</v>
      </c>
      <c r="AS9" s="25">
        <v>4.1638912974352169E-2</v>
      </c>
      <c r="AT9" s="25">
        <v>-4.1932181258598683E-2</v>
      </c>
      <c r="AU9" s="25">
        <v>1.7756255782917809E-2</v>
      </c>
      <c r="AV9" s="25">
        <v>3.5764427359823367E-2</v>
      </c>
      <c r="AW9" s="25">
        <v>3.9059911380691814E-2</v>
      </c>
      <c r="AX9" s="25">
        <v>3.1290858831542312E-2</v>
      </c>
      <c r="AY9" s="25">
        <v>3.2950027468969287E-2</v>
      </c>
      <c r="AZ9" s="25">
        <v>2.9250855393730055E-2</v>
      </c>
      <c r="BA9" s="25">
        <v>3.8742920256605251E-2</v>
      </c>
      <c r="BB9" s="25">
        <v>2.7902539462339254E-2</v>
      </c>
      <c r="BC9" s="25">
        <v>5.5388962932499328E-4</v>
      </c>
      <c r="BD9" s="25">
        <v>3.3440330272589823E-2</v>
      </c>
      <c r="BE9" s="25">
        <v>9.5808378603632893E-3</v>
      </c>
      <c r="BF9" s="25">
        <v>5.5551465512088342E-3</v>
      </c>
      <c r="BG9" s="25">
        <v>3.8979530947766822E-2</v>
      </c>
      <c r="BH9" s="25">
        <v>1.3908005271728514E-2</v>
      </c>
      <c r="BI9" s="25">
        <v>2.9562850588401766E-2</v>
      </c>
      <c r="BJ9" s="25">
        <v>-1.0392442805647051E-4</v>
      </c>
      <c r="BK9" s="25">
        <v>1.8909381262651112E-2</v>
      </c>
      <c r="BL9" s="25">
        <v>4.4392935816424534E-3</v>
      </c>
      <c r="BM9" s="25">
        <v>2.9737733690948159E-2</v>
      </c>
      <c r="BN9" s="25">
        <v>4.4576829670163964E-2</v>
      </c>
      <c r="BO9" s="25">
        <v>4.0289387495069599E-2</v>
      </c>
      <c r="BP9" s="25">
        <v>7.3100980175415387E-3</v>
      </c>
      <c r="BQ9" s="25">
        <v>4.4756468461847977E-2</v>
      </c>
      <c r="BR9" s="25">
        <v>2.0108499787495869E-2</v>
      </c>
      <c r="BS9" s="25">
        <v>2.8321125775131368E-2</v>
      </c>
      <c r="BT9" s="25">
        <v>2.3479396951951836E-2</v>
      </c>
    </row>
    <row r="10" spans="1:72">
      <c r="A10" s="932" t="s">
        <v>430</v>
      </c>
      <c r="B10" s="984">
        <v>9.3000000000000007</v>
      </c>
      <c r="C10" s="985">
        <v>6.2</v>
      </c>
      <c r="D10" s="986">
        <v>84.278652322083644</v>
      </c>
      <c r="E10" s="1311">
        <v>256</v>
      </c>
      <c r="G10" s="113">
        <v>1</v>
      </c>
      <c r="H10" s="174">
        <f t="shared" si="0"/>
        <v>6.2</v>
      </c>
      <c r="I10" s="174">
        <f t="shared" si="0"/>
        <v>84.278652322083644</v>
      </c>
      <c r="J10" s="169">
        <f t="shared" si="0"/>
        <v>256</v>
      </c>
      <c r="L10" s="1313">
        <f t="shared" si="1"/>
        <v>9.3000000000000007</v>
      </c>
      <c r="N10" s="455">
        <f t="array" ref="N10:Q13">MINVERSE(MMULT(TRANSPOSE(G4:J53),G4:J53))</f>
        <v>2.6057128988009484</v>
      </c>
      <c r="O10" s="456">
        <v>-0.119788887417389</v>
      </c>
      <c r="P10" s="456">
        <v>-1.9497850497721299E-2</v>
      </c>
      <c r="Q10" s="457">
        <v>-4.1572695969407583E-4</v>
      </c>
      <c r="S10" s="1313">
        <v>11.794704928074662</v>
      </c>
      <c r="U10" s="1313">
        <f t="shared" si="2"/>
        <v>-2.4947049280746612</v>
      </c>
      <c r="W10" s="25">
        <v>1.4046598835086063E-2</v>
      </c>
      <c r="X10" s="25">
        <v>7.3867019221232622E-4</v>
      </c>
      <c r="Y10" s="25">
        <v>1.2395336302763724E-2</v>
      </c>
      <c r="Z10" s="25">
        <v>3.9120862153095709E-3</v>
      </c>
      <c r="AA10" s="25">
        <v>1.7087142462659591E-2</v>
      </c>
      <c r="AB10" s="25">
        <v>2.5848686816240307E-2</v>
      </c>
      <c r="AC10" s="25">
        <v>3.516860794322111E-2</v>
      </c>
      <c r="AD10" s="25">
        <v>-7.7241806905893329E-3</v>
      </c>
      <c r="AE10" s="25">
        <v>-1.0067461573888783E-2</v>
      </c>
      <c r="AF10" s="25">
        <v>1.4939806562999508E-2</v>
      </c>
      <c r="AG10" s="25">
        <v>5.8156802299451499E-2</v>
      </c>
      <c r="AH10" s="25">
        <v>3.0577178596958798E-2</v>
      </c>
      <c r="AI10" s="25">
        <v>7.9507395287218667E-3</v>
      </c>
      <c r="AJ10" s="25">
        <v>2.0792320848137841E-2</v>
      </c>
      <c r="AK10" s="25">
        <v>3.0830617344406543E-2</v>
      </c>
      <c r="AL10" s="25">
        <v>1.2127693251372168E-2</v>
      </c>
      <c r="AM10" s="25">
        <v>2.5160221095028822E-2</v>
      </c>
      <c r="AN10" s="25">
        <v>-1.2522626643235731E-2</v>
      </c>
      <c r="AO10" s="25">
        <v>4.2746732735237054E-2</v>
      </c>
      <c r="AP10" s="25">
        <v>2.1511628614075268E-3</v>
      </c>
      <c r="AQ10" s="25">
        <v>2.2259636205252963E-2</v>
      </c>
      <c r="AR10" s="25">
        <v>6.5270131873068904E-3</v>
      </c>
      <c r="AS10" s="25">
        <v>3.3214415467355519E-2</v>
      </c>
      <c r="AT10" s="25">
        <v>2.8112991897426651E-2</v>
      </c>
      <c r="AU10" s="25">
        <v>7.8404132242082258E-3</v>
      </c>
      <c r="AV10" s="25">
        <v>3.0881409057275606E-2</v>
      </c>
      <c r="AW10" s="25">
        <v>2.9727922390227743E-2</v>
      </c>
      <c r="AX10" s="25">
        <v>-1.035758212836968E-2</v>
      </c>
      <c r="AY10" s="25">
        <v>4.1932732023571104E-2</v>
      </c>
      <c r="AZ10" s="25">
        <v>3.3896408010606449E-2</v>
      </c>
      <c r="BA10" s="25">
        <v>-1.7038204474610491E-3</v>
      </c>
      <c r="BB10" s="25">
        <v>2.6731397512832947E-2</v>
      </c>
      <c r="BC10" s="25">
        <v>1.3894550195691191E-2</v>
      </c>
      <c r="BD10" s="25">
        <v>4.4084315280008508E-2</v>
      </c>
      <c r="BE10" s="25">
        <v>2.1856775626549745E-2</v>
      </c>
      <c r="BF10" s="25">
        <v>9.346573904411612E-3</v>
      </c>
      <c r="BG10" s="25">
        <v>3.1935149158003502E-2</v>
      </c>
      <c r="BH10" s="25">
        <v>1.5336069159830421E-2</v>
      </c>
      <c r="BI10" s="25">
        <v>3.6416683738624167E-2</v>
      </c>
      <c r="BJ10" s="25">
        <v>-1.5019025816111378E-2</v>
      </c>
      <c r="BK10" s="25">
        <v>3.95076693574428E-2</v>
      </c>
      <c r="BL10" s="25">
        <v>-1.750167205207756E-2</v>
      </c>
      <c r="BM10" s="25">
        <v>1.210669794877842E-2</v>
      </c>
      <c r="BN10" s="25">
        <v>3.6961764927560835E-2</v>
      </c>
      <c r="BO10" s="25">
        <v>4.4620943869333622E-2</v>
      </c>
      <c r="BP10" s="25">
        <v>3.5781015508349813E-2</v>
      </c>
      <c r="BQ10" s="25">
        <v>3.2578609866434974E-2</v>
      </c>
      <c r="BR10" s="25">
        <v>2.5402206190868193E-2</v>
      </c>
      <c r="BS10" s="25">
        <v>2.9039135559920479E-2</v>
      </c>
      <c r="BT10" s="25">
        <v>3.0273466192654246E-2</v>
      </c>
    </row>
    <row r="11" spans="1:72">
      <c r="A11" s="932" t="s">
        <v>431</v>
      </c>
      <c r="B11" s="993">
        <v>10</v>
      </c>
      <c r="C11" s="985">
        <v>8.3000000000000007</v>
      </c>
      <c r="D11" s="986">
        <v>74.266056727126113</v>
      </c>
      <c r="E11" s="1311">
        <v>689.2</v>
      </c>
      <c r="G11" s="113">
        <v>1</v>
      </c>
      <c r="H11" s="174">
        <f t="shared" si="0"/>
        <v>8.3000000000000007</v>
      </c>
      <c r="I11" s="174">
        <f t="shared" si="0"/>
        <v>74.266056727126113</v>
      </c>
      <c r="J11" s="169">
        <f t="shared" si="0"/>
        <v>689.2</v>
      </c>
      <c r="L11" s="1313">
        <f t="shared" si="1"/>
        <v>10</v>
      </c>
      <c r="N11" s="113">
        <v>-0.11978888741738723</v>
      </c>
      <c r="O11" s="174">
        <v>1.4815162889490837E-2</v>
      </c>
      <c r="P11" s="174">
        <v>4.0139129913020012E-4</v>
      </c>
      <c r="Q11" s="169">
        <v>-3.5093390713043337E-5</v>
      </c>
      <c r="S11" s="1313">
        <v>14.733447771089802</v>
      </c>
      <c r="U11" s="1313">
        <f t="shared" si="2"/>
        <v>-4.7334477710898017</v>
      </c>
      <c r="W11" s="25">
        <v>4.2306012734552659E-2</v>
      </c>
      <c r="X11" s="25">
        <v>5.5800068126002175E-2</v>
      </c>
      <c r="Y11" s="25">
        <v>2.8737465295376172E-2</v>
      </c>
      <c r="Z11" s="25">
        <v>5.273323986096605E-2</v>
      </c>
      <c r="AA11" s="25">
        <v>1.9813584776143742E-2</v>
      </c>
      <c r="AB11" s="25">
        <v>3.1311964702471426E-3</v>
      </c>
      <c r="AC11" s="25">
        <v>-7.7241806905895688E-3</v>
      </c>
      <c r="AD11" s="25">
        <v>7.3296670538550088E-2</v>
      </c>
      <c r="AE11" s="25">
        <v>7.0987727457005309E-2</v>
      </c>
      <c r="AF11" s="25">
        <v>3.9696772937101082E-2</v>
      </c>
      <c r="AG11" s="25">
        <v>-2.4909654644344165E-2</v>
      </c>
      <c r="AH11" s="25">
        <v>-2.2138674453052454E-3</v>
      </c>
      <c r="AI11" s="25">
        <v>4.2308328152820131E-2</v>
      </c>
      <c r="AJ11" s="25">
        <v>2.0776929840092995E-2</v>
      </c>
      <c r="AK11" s="25">
        <v>-8.9668146736377203E-3</v>
      </c>
      <c r="AL11" s="25">
        <v>3.0964335149983944E-2</v>
      </c>
      <c r="AM11" s="25">
        <v>1.1071664296703115E-2</v>
      </c>
      <c r="AN11" s="25">
        <v>9.095008501050747E-2</v>
      </c>
      <c r="AO11" s="25">
        <v>-2.4409003881722166E-2</v>
      </c>
      <c r="AP11" s="25">
        <v>6.0666712916303316E-2</v>
      </c>
      <c r="AQ11" s="25">
        <v>6.8726951927647328E-3</v>
      </c>
      <c r="AR11" s="25">
        <v>4.4151572000757824E-2</v>
      </c>
      <c r="AS11" s="25">
        <v>-1.034410387680133E-2</v>
      </c>
      <c r="AT11" s="25">
        <v>3.0050638207791885E-2</v>
      </c>
      <c r="AU11" s="25">
        <v>4.0488082081335301E-2</v>
      </c>
      <c r="AV11" s="25">
        <v>-4.8685991655857755E-3</v>
      </c>
      <c r="AW11" s="25">
        <v>-4.1474546940725885E-3</v>
      </c>
      <c r="AX11" s="25">
        <v>6.7566227508020216E-2</v>
      </c>
      <c r="AY11" s="25">
        <v>-2.3503446262871139E-2</v>
      </c>
      <c r="AZ11" s="25">
        <v>-5.0339912583725714E-3</v>
      </c>
      <c r="BA11" s="25">
        <v>5.0105561892895473E-2</v>
      </c>
      <c r="BB11" s="25">
        <v>7.9167481753566089E-3</v>
      </c>
      <c r="BC11" s="25">
        <v>3.7923593978779757E-2</v>
      </c>
      <c r="BD11" s="25">
        <v>-2.6458042589421235E-2</v>
      </c>
      <c r="BE11" s="25">
        <v>1.9606250680169843E-2</v>
      </c>
      <c r="BF11" s="25">
        <v>4.3150424434160201E-2</v>
      </c>
      <c r="BG11" s="25">
        <v>-7.5801539936958158E-3</v>
      </c>
      <c r="BH11" s="25">
        <v>2.9050615675317384E-2</v>
      </c>
      <c r="BI11" s="25">
        <v>-1.1811483816291241E-2</v>
      </c>
      <c r="BJ11" s="25">
        <v>8.7630576372723701E-2</v>
      </c>
      <c r="BK11" s="25">
        <v>-1.3591606358391947E-2</v>
      </c>
      <c r="BL11" s="25">
        <v>8.8076081029151126E-2</v>
      </c>
      <c r="BM11" s="25">
        <v>3.0091295728605055E-2</v>
      </c>
      <c r="BN11" s="25">
        <v>-1.831203382852372E-2</v>
      </c>
      <c r="BO11" s="25">
        <v>-3.0496272172952997E-2</v>
      </c>
      <c r="BP11" s="25">
        <v>-7.1475474949871109E-4</v>
      </c>
      <c r="BQ11" s="25">
        <v>-9.3197394372116459E-3</v>
      </c>
      <c r="BR11" s="25">
        <v>8.433342326960365E-3</v>
      </c>
      <c r="BS11" s="25">
        <v>7.1337388633233023E-4</v>
      </c>
      <c r="BT11" s="25">
        <v>-6.6266919418479786E-4</v>
      </c>
    </row>
    <row r="12" spans="1:72">
      <c r="A12" s="932" t="s">
        <v>432</v>
      </c>
      <c r="B12" s="984">
        <v>13.2</v>
      </c>
      <c r="C12" s="985">
        <v>7.3</v>
      </c>
      <c r="D12" s="986">
        <v>79.811068541941054</v>
      </c>
      <c r="E12" s="1311">
        <v>722.6</v>
      </c>
      <c r="G12" s="113">
        <v>1</v>
      </c>
      <c r="H12" s="174">
        <f t="shared" si="0"/>
        <v>7.3</v>
      </c>
      <c r="I12" s="174">
        <f t="shared" si="0"/>
        <v>79.811068541941054</v>
      </c>
      <c r="J12" s="169">
        <f t="shared" si="0"/>
        <v>722.6</v>
      </c>
      <c r="L12" s="1313">
        <f t="shared" si="1"/>
        <v>13.2</v>
      </c>
      <c r="N12" s="113">
        <v>-1.9497850497721406E-2</v>
      </c>
      <c r="O12" s="174">
        <v>4.0139129913021812E-4</v>
      </c>
      <c r="P12" s="174">
        <v>1.8503838822348992E-4</v>
      </c>
      <c r="Q12" s="169">
        <v>3.9009315856594328E-6</v>
      </c>
      <c r="S12" s="1313">
        <v>13.702989401864892</v>
      </c>
      <c r="U12" s="1313">
        <f t="shared" si="2"/>
        <v>-0.50298940186489283</v>
      </c>
      <c r="W12" s="25">
        <v>7.6002631855539571E-3</v>
      </c>
      <c r="X12" s="25">
        <v>6.7648461985173616E-2</v>
      </c>
      <c r="Y12" s="25">
        <v>4.4420238351613989E-2</v>
      </c>
      <c r="Z12" s="25">
        <v>3.9131143145141351E-2</v>
      </c>
      <c r="AA12" s="25">
        <v>5.0675730935077587E-2</v>
      </c>
      <c r="AB12" s="25">
        <v>1.952040684509599E-2</v>
      </c>
      <c r="AC12" s="25">
        <v>-1.0067461573888901E-2</v>
      </c>
      <c r="AD12" s="25">
        <v>7.0987727457005712E-2</v>
      </c>
      <c r="AE12" s="25">
        <v>8.9440094900412825E-2</v>
      </c>
      <c r="AF12" s="25">
        <v>1.6926599835065882E-2</v>
      </c>
      <c r="AG12" s="25">
        <v>-5.8809036747628496E-2</v>
      </c>
      <c r="AH12" s="25">
        <v>-6.4199652587187683E-3</v>
      </c>
      <c r="AI12" s="25">
        <v>4.4293926833662699E-2</v>
      </c>
      <c r="AJ12" s="25">
        <v>3.0092111992693904E-3</v>
      </c>
      <c r="AK12" s="25">
        <v>1.4555413403082616E-2</v>
      </c>
      <c r="AL12" s="25">
        <v>3.614620379120894E-2</v>
      </c>
      <c r="AM12" s="25">
        <v>-1.6292633855342561E-3</v>
      </c>
      <c r="AN12" s="25">
        <v>6.2901040803624617E-2</v>
      </c>
      <c r="AO12" s="25">
        <v>-3.0610256212557488E-2</v>
      </c>
      <c r="AP12" s="25">
        <v>5.0296999407208845E-2</v>
      </c>
      <c r="AQ12" s="25">
        <v>4.0032896585127382E-2</v>
      </c>
      <c r="AR12" s="25">
        <v>4.6544737574026482E-2</v>
      </c>
      <c r="AS12" s="25">
        <v>7.4275337043207979E-3</v>
      </c>
      <c r="AT12" s="25">
        <v>-4.7747199168560461E-2</v>
      </c>
      <c r="AU12" s="25">
        <v>4.3164506400949397E-2</v>
      </c>
      <c r="AV12" s="25">
        <v>5.6186683880706176E-3</v>
      </c>
      <c r="AW12" s="25">
        <v>1.1030323482433133E-2</v>
      </c>
      <c r="AX12" s="25">
        <v>0.10157816070829116</v>
      </c>
      <c r="AY12" s="25">
        <v>-2.6008023192247764E-2</v>
      </c>
      <c r="AZ12" s="25">
        <v>2.2049349141957178E-3</v>
      </c>
      <c r="BA12" s="25">
        <v>8.744045455245128E-2</v>
      </c>
      <c r="BB12" s="25">
        <v>1.8952940748170888E-2</v>
      </c>
      <c r="BC12" s="25">
        <v>1.9350257368609652E-2</v>
      </c>
      <c r="BD12" s="25">
        <v>-2.749500972374086E-2</v>
      </c>
      <c r="BE12" s="25">
        <v>2.9567364412236771E-3</v>
      </c>
      <c r="BF12" s="25">
        <v>3.192368094677054E-2</v>
      </c>
      <c r="BG12" s="25">
        <v>6.7969273592338592E-3</v>
      </c>
      <c r="BH12" s="25">
        <v>2.1826671806017384E-2</v>
      </c>
      <c r="BI12" s="25">
        <v>-1.2021585944154665E-2</v>
      </c>
      <c r="BJ12" s="25">
        <v>8.8127907607180367E-2</v>
      </c>
      <c r="BK12" s="25">
        <v>-2.9927291017301877E-2</v>
      </c>
      <c r="BL12" s="25">
        <v>9.0271859542991967E-2</v>
      </c>
      <c r="BM12" s="25">
        <v>4.7779129192504058E-2</v>
      </c>
      <c r="BN12" s="25">
        <v>-7.8320012799862337E-4</v>
      </c>
      <c r="BO12" s="25">
        <v>-2.5143256003644116E-2</v>
      </c>
      <c r="BP12" s="25">
        <v>-2.2779986319071577E-2</v>
      </c>
      <c r="BQ12" s="25">
        <v>1.5483432696115452E-2</v>
      </c>
      <c r="BR12" s="25">
        <v>-1.0712013926007236E-3</v>
      </c>
      <c r="BS12" s="25">
        <v>2.6306703473371953E-3</v>
      </c>
      <c r="BT12" s="25">
        <v>-8.1831563765665943E-3</v>
      </c>
    </row>
    <row r="13" spans="1:72">
      <c r="A13" s="932" t="s">
        <v>433</v>
      </c>
      <c r="B13" s="984">
        <v>14.7</v>
      </c>
      <c r="C13" s="985">
        <v>8.1</v>
      </c>
      <c r="D13" s="986">
        <v>65.387718279566343</v>
      </c>
      <c r="E13" s="1311">
        <v>493.2</v>
      </c>
      <c r="G13" s="113">
        <v>1</v>
      </c>
      <c r="H13" s="174">
        <f t="shared" si="0"/>
        <v>8.1</v>
      </c>
      <c r="I13" s="174">
        <f t="shared" si="0"/>
        <v>65.387718279566343</v>
      </c>
      <c r="J13" s="169">
        <f t="shared" si="0"/>
        <v>493.2</v>
      </c>
      <c r="L13" s="1313">
        <f t="shared" si="1"/>
        <v>14.7</v>
      </c>
      <c r="N13" s="458">
        <v>-4.1572695969408705E-4</v>
      </c>
      <c r="O13" s="459">
        <v>-3.5093390713042477E-5</v>
      </c>
      <c r="P13" s="459">
        <v>3.9009315856594972E-6</v>
      </c>
      <c r="Q13" s="460">
        <v>8.2381260593320462E-7</v>
      </c>
      <c r="S13" s="1313">
        <v>13.876437321067383</v>
      </c>
      <c r="U13" s="1313">
        <f t="shared" si="2"/>
        <v>0.82356267893261581</v>
      </c>
      <c r="W13" s="25">
        <v>6.2616235674378462E-2</v>
      </c>
      <c r="X13" s="25">
        <v>3.6064601518519035E-2</v>
      </c>
      <c r="Y13" s="25">
        <v>3.0665873110402794E-3</v>
      </c>
      <c r="Z13" s="25">
        <v>3.3204483304538818E-2</v>
      </c>
      <c r="AA13" s="25">
        <v>1.0648809499369444E-2</v>
      </c>
      <c r="AB13" s="25">
        <v>-5.309837736765426E-3</v>
      </c>
      <c r="AC13" s="25">
        <v>1.4939806562999362E-2</v>
      </c>
      <c r="AD13" s="25">
        <v>3.9696772937100964E-2</v>
      </c>
      <c r="AE13" s="25">
        <v>1.6926599835065614E-2</v>
      </c>
      <c r="AF13" s="25">
        <v>6.5173297496244731E-2</v>
      </c>
      <c r="AG13" s="25">
        <v>0.13022306327180652</v>
      </c>
      <c r="AH13" s="25">
        <v>-1.8781627504395604E-3</v>
      </c>
      <c r="AI13" s="25">
        <v>2.5745958338259177E-2</v>
      </c>
      <c r="AJ13" s="25">
        <v>2.0143398772124219E-2</v>
      </c>
      <c r="AK13" s="25">
        <v>-1.8614863721200699E-2</v>
      </c>
      <c r="AL13" s="25">
        <v>5.7440364113539935E-3</v>
      </c>
      <c r="AM13" s="25">
        <v>1.2823538433943057E-2</v>
      </c>
      <c r="AN13" s="25">
        <v>7.3742984672225731E-2</v>
      </c>
      <c r="AO13" s="25">
        <v>-5.7454534147963338E-3</v>
      </c>
      <c r="AP13" s="25">
        <v>6.294128758724675E-2</v>
      </c>
      <c r="AQ13" s="25">
        <v>-8.9283480899286644E-3</v>
      </c>
      <c r="AR13" s="25">
        <v>2.1994411948962039E-2</v>
      </c>
      <c r="AS13" s="25">
        <v>-6.0732951314734444E-3</v>
      </c>
      <c r="AT13" s="25">
        <v>0.1064967656359688</v>
      </c>
      <c r="AU13" s="25">
        <v>1.4645007876713398E-2</v>
      </c>
      <c r="AV13" s="25">
        <v>-3.6978720242059858E-3</v>
      </c>
      <c r="AW13" s="25">
        <v>-8.115108513850328E-3</v>
      </c>
      <c r="AX13" s="25">
        <v>5.2072624211021157E-3</v>
      </c>
      <c r="AY13" s="25">
        <v>-6.3139461180651002E-3</v>
      </c>
      <c r="AZ13" s="25">
        <v>2.4039006301867338E-2</v>
      </c>
      <c r="BA13" s="25">
        <v>-3.8526564653915685E-3</v>
      </c>
      <c r="BB13" s="25">
        <v>2.7482575625702138E-2</v>
      </c>
      <c r="BC13" s="25">
        <v>4.7198670391093947E-2</v>
      </c>
      <c r="BD13" s="25">
        <v>-1.5452031798812715E-4</v>
      </c>
      <c r="BE13" s="25">
        <v>2.5136802017809559E-2</v>
      </c>
      <c r="BF13" s="25">
        <v>3.5654803656483408E-2</v>
      </c>
      <c r="BG13" s="25">
        <v>-5.7196304513634395E-3</v>
      </c>
      <c r="BH13" s="25">
        <v>1.9008421544456131E-2</v>
      </c>
      <c r="BI13" s="25">
        <v>5.7826868904834808E-3</v>
      </c>
      <c r="BJ13" s="25">
        <v>4.9054672662880563E-2</v>
      </c>
      <c r="BK13" s="25">
        <v>1.6001125800271104E-2</v>
      </c>
      <c r="BL13" s="25">
        <v>2.7306987512050504E-2</v>
      </c>
      <c r="BM13" s="25">
        <v>9.2817592826440823E-3</v>
      </c>
      <c r="BN13" s="25">
        <v>-1.3511984586186104E-2</v>
      </c>
      <c r="BO13" s="25">
        <v>-1.3352362347173831E-2</v>
      </c>
      <c r="BP13" s="25">
        <v>4.7653721034997445E-2</v>
      </c>
      <c r="BQ13" s="25">
        <v>-1.7918543254726287E-3</v>
      </c>
      <c r="BR13" s="25">
        <v>2.3995998230142493E-3</v>
      </c>
      <c r="BS13" s="25">
        <v>3.4274842799248487E-3</v>
      </c>
      <c r="BT13" s="25">
        <v>1.5866696616670395E-3</v>
      </c>
    </row>
    <row r="14" spans="1:72">
      <c r="A14" s="932" t="s">
        <v>434</v>
      </c>
      <c r="B14" s="984">
        <v>9.1</v>
      </c>
      <c r="C14" s="985">
        <v>5.6</v>
      </c>
      <c r="D14" s="986">
        <v>29.667333748383395</v>
      </c>
      <c r="E14" s="1311">
        <v>272.8</v>
      </c>
      <c r="G14" s="113">
        <v>1</v>
      </c>
      <c r="H14" s="174">
        <f t="shared" si="0"/>
        <v>5.6</v>
      </c>
      <c r="I14" s="174">
        <f t="shared" si="0"/>
        <v>29.667333748383395</v>
      </c>
      <c r="J14" s="169">
        <f t="shared" si="0"/>
        <v>272.8</v>
      </c>
      <c r="L14" s="1313">
        <f t="shared" si="1"/>
        <v>9.1</v>
      </c>
      <c r="S14" s="1313">
        <v>9.067103150550091</v>
      </c>
      <c r="U14" s="1313">
        <f t="shared" si="2"/>
        <v>3.2896849449908672E-2</v>
      </c>
      <c r="W14" s="25">
        <v>5.1146073958650985E-2</v>
      </c>
      <c r="X14" s="25">
        <v>6.9950398172743955E-2</v>
      </c>
      <c r="Y14" s="25">
        <v>-3.4175507046628847E-2</v>
      </c>
      <c r="Z14" s="25">
        <v>-5.8093816041565841E-2</v>
      </c>
      <c r="AA14" s="25">
        <v>0.10879105607449738</v>
      </c>
      <c r="AB14" s="25">
        <v>-7.9012774319552233E-3</v>
      </c>
      <c r="AC14" s="25">
        <v>5.8156802299452401E-2</v>
      </c>
      <c r="AD14" s="25">
        <v>-2.4909654644343464E-2</v>
      </c>
      <c r="AE14" s="25">
        <v>-5.880903674762672E-2</v>
      </c>
      <c r="AF14" s="25">
        <v>0.1302230632718063</v>
      </c>
      <c r="AG14" s="25">
        <v>0.65842285447892868</v>
      </c>
      <c r="AH14" s="25">
        <v>-6.8432321783420624E-2</v>
      </c>
      <c r="AI14" s="25">
        <v>-8.1573149690913893E-5</v>
      </c>
      <c r="AJ14" s="25">
        <v>-6.4818862685659409E-2</v>
      </c>
      <c r="AK14" s="25">
        <v>-2.0228747148853629E-2</v>
      </c>
      <c r="AL14" s="25">
        <v>-7.3675123571044346E-2</v>
      </c>
      <c r="AM14" s="25">
        <v>-5.7452623114076534E-2</v>
      </c>
      <c r="AN14" s="25">
        <v>9.7833889273417525E-3</v>
      </c>
      <c r="AO14" s="25">
        <v>-3.7330886715315696E-2</v>
      </c>
      <c r="AP14" s="25">
        <v>0.11454014160618672</v>
      </c>
      <c r="AQ14" s="25">
        <v>3.8153173470709498E-2</v>
      </c>
      <c r="AR14" s="25">
        <v>-2.6222086926460636E-2</v>
      </c>
      <c r="AS14" s="25">
        <v>3.2770532916327394E-2</v>
      </c>
      <c r="AT14" s="25">
        <v>0.15010336860345963</v>
      </c>
      <c r="AU14" s="25">
        <v>-5.8901973172933123E-2</v>
      </c>
      <c r="AV14" s="25">
        <v>-2.8088435043157021E-3</v>
      </c>
      <c r="AW14" s="25">
        <v>-9.6380183276167462E-3</v>
      </c>
      <c r="AX14" s="25">
        <v>-4.693235155183581E-2</v>
      </c>
      <c r="AY14" s="25">
        <v>-2.6023287708384076E-2</v>
      </c>
      <c r="AZ14" s="25">
        <v>0.15058485730038368</v>
      </c>
      <c r="BA14" s="25">
        <v>-3.5971817648295795E-2</v>
      </c>
      <c r="BB14" s="25">
        <v>0.15200159175183353</v>
      </c>
      <c r="BC14" s="25">
        <v>4.605758886564195E-2</v>
      </c>
      <c r="BD14" s="25">
        <v>2.6724545551753194E-2</v>
      </c>
      <c r="BE14" s="25">
        <v>-2.5919475030041265E-2</v>
      </c>
      <c r="BF14" s="25">
        <v>-4.4827728533978007E-3</v>
      </c>
      <c r="BG14" s="25">
        <v>1.101146396709124E-2</v>
      </c>
      <c r="BH14" s="25">
        <v>-4.6006407605902543E-2</v>
      </c>
      <c r="BI14" s="25">
        <v>2.4425577058676356E-2</v>
      </c>
      <c r="BJ14" s="25">
        <v>3.7289399333508763E-3</v>
      </c>
      <c r="BK14" s="25">
        <v>1.5770490507701455E-2</v>
      </c>
      <c r="BL14" s="25">
        <v>-0.12143731211287674</v>
      </c>
      <c r="BM14" s="25">
        <v>9.0266569097170977E-3</v>
      </c>
      <c r="BN14" s="25">
        <v>9.4749664453359101E-3</v>
      </c>
      <c r="BO14" s="25">
        <v>-1.1654477769309023E-2</v>
      </c>
      <c r="BP14" s="25">
        <v>0.14369160923558549</v>
      </c>
      <c r="BQ14" s="25">
        <v>8.8805119566840243E-2</v>
      </c>
      <c r="BR14" s="25">
        <v>-9.8044149736477279E-2</v>
      </c>
      <c r="BS14" s="25">
        <v>-1.5933240222914681E-2</v>
      </c>
      <c r="BT14" s="25">
        <v>-6.7458616623045364E-2</v>
      </c>
    </row>
    <row r="15" spans="1:72" ht="16.8">
      <c r="A15" s="932" t="s">
        <v>435</v>
      </c>
      <c r="B15" s="984">
        <v>12.6</v>
      </c>
      <c r="C15" s="985">
        <v>6.8</v>
      </c>
      <c r="D15" s="986">
        <v>94.600660447193093</v>
      </c>
      <c r="E15" s="1311">
        <v>239.4</v>
      </c>
      <c r="G15" s="113">
        <v>1</v>
      </c>
      <c r="H15" s="174">
        <f t="shared" si="0"/>
        <v>6.8</v>
      </c>
      <c r="I15" s="174">
        <f t="shared" si="0"/>
        <v>94.600660447193093</v>
      </c>
      <c r="J15" s="169">
        <f t="shared" si="0"/>
        <v>239.4</v>
      </c>
      <c r="L15" s="1313">
        <f t="shared" si="1"/>
        <v>12.6</v>
      </c>
      <c r="N15" s="1585" t="s">
        <v>3418</v>
      </c>
      <c r="O15" s="1585"/>
      <c r="P15" s="1585"/>
      <c r="Q15" s="1585"/>
      <c r="S15" s="1313">
        <v>12.913696631816164</v>
      </c>
      <c r="U15" s="1313">
        <f t="shared" si="2"/>
        <v>-0.31369663181616403</v>
      </c>
      <c r="W15" s="25">
        <v>2.0995996047604392E-2</v>
      </c>
      <c r="X15" s="25">
        <v>-2.0565903482489024E-2</v>
      </c>
      <c r="Y15" s="25">
        <v>1.642717480174026E-2</v>
      </c>
      <c r="Z15" s="25">
        <v>2.4857653463554931E-2</v>
      </c>
      <c r="AA15" s="25">
        <v>-1.83011435880314E-2</v>
      </c>
      <c r="AB15" s="25">
        <v>2.6338188179907761E-2</v>
      </c>
      <c r="AC15" s="25">
        <v>3.0577178596958472E-2</v>
      </c>
      <c r="AD15" s="25">
        <v>-2.2138674453053009E-3</v>
      </c>
      <c r="AE15" s="25">
        <v>-6.4199652587192471E-3</v>
      </c>
      <c r="AF15" s="25">
        <v>-1.8781627504393245E-3</v>
      </c>
      <c r="AG15" s="25">
        <v>-6.843232178342086E-2</v>
      </c>
      <c r="AH15" s="25">
        <v>5.5594964879153816E-2</v>
      </c>
      <c r="AI15" s="25">
        <v>9.1358187098164439E-3</v>
      </c>
      <c r="AJ15" s="25">
        <v>4.8899909296666079E-2</v>
      </c>
      <c r="AK15" s="25">
        <v>3.2111851492427124E-2</v>
      </c>
      <c r="AL15" s="25">
        <v>3.0109049285398197E-2</v>
      </c>
      <c r="AM15" s="25">
        <v>5.0219301384500523E-2</v>
      </c>
      <c r="AN15" s="25">
        <v>-4.6697383753906974E-3</v>
      </c>
      <c r="AO15" s="25">
        <v>6.4017609607721959E-2</v>
      </c>
      <c r="AP15" s="25">
        <v>-1.9355965966168145E-2</v>
      </c>
      <c r="AQ15" s="25">
        <v>3.5943849411335174E-3</v>
      </c>
      <c r="AR15" s="25">
        <v>1.3366090080138192E-2</v>
      </c>
      <c r="AS15" s="25">
        <v>2.5133126220983813E-2</v>
      </c>
      <c r="AT15" s="25">
        <v>3.4223509616441536E-2</v>
      </c>
      <c r="AU15" s="25">
        <v>2.2529229152793213E-2</v>
      </c>
      <c r="AV15" s="25">
        <v>3.3929085475746426E-2</v>
      </c>
      <c r="AW15" s="25">
        <v>3.2022441854925796E-2</v>
      </c>
      <c r="AX15" s="25">
        <v>-1.655519923719273E-2</v>
      </c>
      <c r="AY15" s="25">
        <v>5.8704451721185456E-2</v>
      </c>
      <c r="AZ15" s="25">
        <v>2.977601288228094E-3</v>
      </c>
      <c r="BA15" s="25">
        <v>-1.0070685014694172E-2</v>
      </c>
      <c r="BB15" s="25">
        <v>-7.8003580233037655E-3</v>
      </c>
      <c r="BC15" s="25">
        <v>1.4763188785386676E-2</v>
      </c>
      <c r="BD15" s="25">
        <v>4.8260211899908083E-2</v>
      </c>
      <c r="BE15" s="25">
        <v>4.0544574474354195E-2</v>
      </c>
      <c r="BF15" s="25">
        <v>1.7806985367374562E-2</v>
      </c>
      <c r="BG15" s="25">
        <v>3.0216207693418051E-2</v>
      </c>
      <c r="BH15" s="25">
        <v>3.3084028530399184E-2</v>
      </c>
      <c r="BI15" s="25">
        <v>3.9077248047899055E-2</v>
      </c>
      <c r="BJ15" s="25">
        <v>-1.9109441830295316E-2</v>
      </c>
      <c r="BK15" s="25">
        <v>5.2125063966866697E-2</v>
      </c>
      <c r="BL15" s="25">
        <v>6.546528604506982E-3</v>
      </c>
      <c r="BM15" s="25">
        <v>5.0108853595308527E-3</v>
      </c>
      <c r="BN15" s="25">
        <v>3.529350996761265E-2</v>
      </c>
      <c r="BO15" s="25">
        <v>5.5074376945484158E-2</v>
      </c>
      <c r="BP15" s="25">
        <v>2.0057471757855411E-2</v>
      </c>
      <c r="BQ15" s="25">
        <v>8.0171969891840045E-3</v>
      </c>
      <c r="BR15" s="25">
        <v>5.8628724486448971E-2</v>
      </c>
      <c r="BS15" s="25">
        <v>3.8618123914598387E-2</v>
      </c>
      <c r="BT15" s="25">
        <v>5.648380986759842E-2</v>
      </c>
    </row>
    <row r="16" spans="1:72">
      <c r="A16" s="932" t="s">
        <v>436</v>
      </c>
      <c r="B16" s="984">
        <v>12.2</v>
      </c>
      <c r="C16" s="985">
        <v>7.3</v>
      </c>
      <c r="D16" s="986">
        <v>79.13310968601246</v>
      </c>
      <c r="E16" s="1311">
        <v>533.20000000000005</v>
      </c>
      <c r="G16" s="113">
        <v>1</v>
      </c>
      <c r="H16" s="174">
        <f t="shared" si="0"/>
        <v>7.3</v>
      </c>
      <c r="I16" s="174">
        <f t="shared" si="0"/>
        <v>79.13310968601246</v>
      </c>
      <c r="J16" s="169">
        <f t="shared" si="0"/>
        <v>533.20000000000005</v>
      </c>
      <c r="L16" s="1313">
        <f t="shared" si="1"/>
        <v>12.2</v>
      </c>
      <c r="N16" s="455">
        <f t="array" ref="N16:Q19">O23*N10:Q13</f>
        <v>8.074898057626708</v>
      </c>
      <c r="O16" s="456">
        <v>-0.37121628203055157</v>
      </c>
      <c r="P16" s="456">
        <v>-6.0422295635254031E-2</v>
      </c>
      <c r="Q16" s="457">
        <v>-1.2883049475180071E-3</v>
      </c>
      <c r="S16" s="1313">
        <v>13.409129334359204</v>
      </c>
      <c r="U16" s="1313">
        <f t="shared" si="2"/>
        <v>-1.2091293343592042</v>
      </c>
      <c r="W16" s="25">
        <v>2.4454727531805928E-2</v>
      </c>
      <c r="X16" s="25">
        <v>3.7636046225710471E-2</v>
      </c>
      <c r="Y16" s="25">
        <v>2.5816978624192757E-2</v>
      </c>
      <c r="Z16" s="25">
        <v>3.1449564157525707E-2</v>
      </c>
      <c r="AA16" s="25">
        <v>2.5343688774788972E-2</v>
      </c>
      <c r="AB16" s="25">
        <v>1.506992850779783E-2</v>
      </c>
      <c r="AC16" s="25">
        <v>7.9507395287218147E-3</v>
      </c>
      <c r="AD16" s="25">
        <v>4.2308328152820374E-2</v>
      </c>
      <c r="AE16" s="25">
        <v>4.4293926833662664E-2</v>
      </c>
      <c r="AF16" s="25">
        <v>2.5745958338259416E-2</v>
      </c>
      <c r="AG16" s="25">
        <v>-8.1573149691788194E-5</v>
      </c>
      <c r="AH16" s="25">
        <v>9.1358187098167093E-3</v>
      </c>
      <c r="AI16" s="25">
        <v>2.9786711421021038E-2</v>
      </c>
      <c r="AJ16" s="25">
        <v>1.697215503840184E-2</v>
      </c>
      <c r="AK16" s="25">
        <v>1.0871539270145628E-2</v>
      </c>
      <c r="AL16" s="25">
        <v>2.4865665222898892E-2</v>
      </c>
      <c r="AM16" s="25">
        <v>1.3625365458637489E-2</v>
      </c>
      <c r="AN16" s="25">
        <v>4.61735386387764E-2</v>
      </c>
      <c r="AO16" s="25">
        <v>-5.2500663767852951E-4</v>
      </c>
      <c r="AP16" s="25">
        <v>3.6603627546589128E-2</v>
      </c>
      <c r="AQ16" s="25">
        <v>1.9615524812234858E-2</v>
      </c>
      <c r="AR16" s="25">
        <v>3.0458646242272368E-2</v>
      </c>
      <c r="AS16" s="25">
        <v>9.7625450090580781E-3</v>
      </c>
      <c r="AT16" s="25">
        <v>1.3184526831121507E-2</v>
      </c>
      <c r="AU16" s="25">
        <v>2.8689611372395812E-2</v>
      </c>
      <c r="AV16" s="25">
        <v>1.0739663920097474E-2</v>
      </c>
      <c r="AW16" s="25">
        <v>1.17301924726145E-2</v>
      </c>
      <c r="AX16" s="25">
        <v>4.5318428646434428E-2</v>
      </c>
      <c r="AY16" s="25">
        <v>5.2005124029416705E-4</v>
      </c>
      <c r="AZ16" s="25">
        <v>1.1257437048659568E-2</v>
      </c>
      <c r="BA16" s="25">
        <v>3.838162844688757E-2</v>
      </c>
      <c r="BB16" s="25">
        <v>1.744270533181335E-2</v>
      </c>
      <c r="BC16" s="25">
        <v>2.5032787568415007E-2</v>
      </c>
      <c r="BD16" s="25">
        <v>-1.5044182136991768E-4</v>
      </c>
      <c r="BE16" s="25">
        <v>1.69181114280679E-2</v>
      </c>
      <c r="BF16" s="25">
        <v>2.806739023984435E-2</v>
      </c>
      <c r="BG16" s="25">
        <v>1.0272552677175853E-2</v>
      </c>
      <c r="BH16" s="25">
        <v>2.231156322726267E-2</v>
      </c>
      <c r="BI16" s="25">
        <v>6.2786099878125098E-3</v>
      </c>
      <c r="BJ16" s="25">
        <v>4.9130349133226517E-2</v>
      </c>
      <c r="BK16" s="25">
        <v>2.9457367769477744E-3</v>
      </c>
      <c r="BL16" s="25">
        <v>4.8693981987963555E-2</v>
      </c>
      <c r="BM16" s="25">
        <v>2.7020108026972769E-2</v>
      </c>
      <c r="BN16" s="25">
        <v>6.1222249738918377E-3</v>
      </c>
      <c r="BO16" s="25">
        <v>-1.1736891933730176E-3</v>
      </c>
      <c r="BP16" s="25">
        <v>8.521876745723217E-3</v>
      </c>
      <c r="BQ16" s="25">
        <v>1.1695378812398214E-2</v>
      </c>
      <c r="BR16" s="25">
        <v>1.2694339200032372E-2</v>
      </c>
      <c r="BS16" s="25">
        <v>1.1723179692180025E-2</v>
      </c>
      <c r="BT16" s="25">
        <v>9.2972509687467841E-3</v>
      </c>
    </row>
    <row r="17" spans="1:72">
      <c r="A17" s="932" t="s">
        <v>437</v>
      </c>
      <c r="B17" s="984">
        <v>13.1</v>
      </c>
      <c r="C17" s="985">
        <v>8</v>
      </c>
      <c r="D17" s="986">
        <v>88.000000627274659</v>
      </c>
      <c r="E17" s="1311">
        <v>333.6</v>
      </c>
      <c r="G17" s="113">
        <v>1</v>
      </c>
      <c r="H17" s="174">
        <f t="shared" si="0"/>
        <v>8</v>
      </c>
      <c r="I17" s="174">
        <f t="shared" si="0"/>
        <v>88.000000627274659</v>
      </c>
      <c r="J17" s="169">
        <f t="shared" si="0"/>
        <v>333.6</v>
      </c>
      <c r="L17" s="1313">
        <f t="shared" si="1"/>
        <v>13.1</v>
      </c>
      <c r="N17" s="113">
        <v>-0.37121628203054607</v>
      </c>
      <c r="O17" s="174">
        <v>4.591101732459571E-2</v>
      </c>
      <c r="P17" s="174">
        <v>1.2438798699527451E-3</v>
      </c>
      <c r="Q17" s="169">
        <v>-1.087516405336473E-4</v>
      </c>
      <c r="S17" s="1313">
        <v>14.343063758629178</v>
      </c>
      <c r="U17" s="1313">
        <f t="shared" si="2"/>
        <v>-1.2430637586291784</v>
      </c>
      <c r="W17" s="25">
        <v>5.1118636738207102E-2</v>
      </c>
      <c r="X17" s="25">
        <v>-1.3044008629150491E-2</v>
      </c>
      <c r="Y17" s="25">
        <v>1.0386508461014E-2</v>
      </c>
      <c r="Z17" s="25">
        <v>4.6230001663519843E-2</v>
      </c>
      <c r="AA17" s="25">
        <v>-3.68328516213033E-2</v>
      </c>
      <c r="AB17" s="25">
        <v>9.5054806297760856E-3</v>
      </c>
      <c r="AC17" s="25">
        <v>2.0792320848137646E-2</v>
      </c>
      <c r="AD17" s="25">
        <v>2.0776929840092863E-2</v>
      </c>
      <c r="AE17" s="25">
        <v>3.0092111992688075E-3</v>
      </c>
      <c r="AF17" s="25">
        <v>2.0143398772124586E-2</v>
      </c>
      <c r="AG17" s="25">
        <v>-6.4818862685659007E-2</v>
      </c>
      <c r="AH17" s="25">
        <v>4.8899909296666016E-2</v>
      </c>
      <c r="AI17" s="25">
        <v>1.6972155038401548E-2</v>
      </c>
      <c r="AJ17" s="25">
        <v>5.9767141776793375E-2</v>
      </c>
      <c r="AK17" s="25">
        <v>6.0166673387317526E-3</v>
      </c>
      <c r="AL17" s="25">
        <v>3.1233990919890684E-2</v>
      </c>
      <c r="AM17" s="25">
        <v>5.4090140556918492E-2</v>
      </c>
      <c r="AN17" s="25">
        <v>4.113930456891992E-2</v>
      </c>
      <c r="AO17" s="25">
        <v>4.9562351038894038E-2</v>
      </c>
      <c r="AP17" s="25">
        <v>3.6726301405758527E-3</v>
      </c>
      <c r="AQ17" s="25">
        <v>-2.1749385016845882E-2</v>
      </c>
      <c r="AR17" s="25">
        <v>2.1648800453469619E-2</v>
      </c>
      <c r="AS17" s="25">
        <v>2.0694693229741734E-3</v>
      </c>
      <c r="AT17" s="25">
        <v>8.5618315157077227E-2</v>
      </c>
      <c r="AU17" s="25">
        <v>2.907751827565817E-2</v>
      </c>
      <c r="AV17" s="25">
        <v>1.7418121202591536E-2</v>
      </c>
      <c r="AW17" s="25">
        <v>1.295526682235857E-2</v>
      </c>
      <c r="AX17" s="25">
        <v>-1.789596869557343E-2</v>
      </c>
      <c r="AY17" s="25">
        <v>4.2408637132704617E-2</v>
      </c>
      <c r="AZ17" s="25">
        <v>-1.1299532355360006E-2</v>
      </c>
      <c r="BA17" s="25">
        <v>-2.0502873082507589E-2</v>
      </c>
      <c r="BB17" s="25">
        <v>-1.9097656545269459E-2</v>
      </c>
      <c r="BC17" s="25">
        <v>3.3341158240850891E-2</v>
      </c>
      <c r="BD17" s="25">
        <v>2.9991020945935844E-2</v>
      </c>
      <c r="BE17" s="25">
        <v>5.0345217995781177E-2</v>
      </c>
      <c r="BF17" s="25">
        <v>3.3961256220405245E-2</v>
      </c>
      <c r="BG17" s="25">
        <v>1.0281159655924152E-2</v>
      </c>
      <c r="BH17" s="25">
        <v>4.0988398009384072E-2</v>
      </c>
      <c r="BI17" s="25">
        <v>2.6265143232800658E-2</v>
      </c>
      <c r="BJ17" s="25">
        <v>8.083098542318673E-3</v>
      </c>
      <c r="BK17" s="25">
        <v>4.8314760521353202E-2</v>
      </c>
      <c r="BL17" s="25">
        <v>3.2618136896780212E-2</v>
      </c>
      <c r="BM17" s="25">
        <v>-1.5952592167781804E-3</v>
      </c>
      <c r="BN17" s="25">
        <v>9.0819186160297286E-3</v>
      </c>
      <c r="BO17" s="25">
        <v>3.1215078930287313E-2</v>
      </c>
      <c r="BP17" s="25">
        <v>2.5233211514769767E-2</v>
      </c>
      <c r="BQ17" s="25">
        <v>-1.875551094661821E-2</v>
      </c>
      <c r="BR17" s="25">
        <v>5.9404458883537042E-2</v>
      </c>
      <c r="BS17" s="25">
        <v>2.9529623626212198E-2</v>
      </c>
      <c r="BT17" s="25">
        <v>5.2425359767929218E-2</v>
      </c>
    </row>
    <row r="18" spans="1:72">
      <c r="A18" s="932" t="s">
        <v>438</v>
      </c>
      <c r="B18" s="984">
        <v>11.5</v>
      </c>
      <c r="C18" s="985">
        <v>5.0999999999999996</v>
      </c>
      <c r="D18" s="986">
        <v>94.170464820794294</v>
      </c>
      <c r="E18" s="1311">
        <v>294.7</v>
      </c>
      <c r="G18" s="113">
        <v>1</v>
      </c>
      <c r="H18" s="174">
        <f t="shared" si="0"/>
        <v>5.0999999999999996</v>
      </c>
      <c r="I18" s="174">
        <f t="shared" si="0"/>
        <v>94.170464820794294</v>
      </c>
      <c r="J18" s="169">
        <f t="shared" si="0"/>
        <v>294.7</v>
      </c>
      <c r="L18" s="1313">
        <f t="shared" si="1"/>
        <v>11.5</v>
      </c>
      <c r="N18" s="113">
        <v>-6.0422295635254364E-2</v>
      </c>
      <c r="O18" s="174">
        <v>1.243879869952801E-3</v>
      </c>
      <c r="P18" s="174">
        <v>5.7341932119221381E-4</v>
      </c>
      <c r="Q18" s="169">
        <v>1.2088678264773905E-5</v>
      </c>
      <c r="S18" s="1313">
        <v>10.801749432233887</v>
      </c>
      <c r="U18" s="1313">
        <f t="shared" si="2"/>
        <v>0.69825056776611305</v>
      </c>
      <c r="W18" s="25">
        <v>-2.8070337906425678E-2</v>
      </c>
      <c r="X18" s="25">
        <v>9.990770084884304E-3</v>
      </c>
      <c r="Y18" s="25">
        <v>3.3476212012683706E-2</v>
      </c>
      <c r="Z18" s="25">
        <v>-7.4607789067452236E-3</v>
      </c>
      <c r="AA18" s="25">
        <v>4.6486875677023178E-2</v>
      </c>
      <c r="AB18" s="25">
        <v>4.6765908435432248E-2</v>
      </c>
      <c r="AC18" s="25">
        <v>3.0830617344405911E-2</v>
      </c>
      <c r="AD18" s="25">
        <v>-8.9668146736376977E-3</v>
      </c>
      <c r="AE18" s="25">
        <v>1.4555413403082418E-2</v>
      </c>
      <c r="AF18" s="25">
        <v>-1.8614863721201021E-2</v>
      </c>
      <c r="AG18" s="25">
        <v>-2.0228747148856197E-2</v>
      </c>
      <c r="AH18" s="25">
        <v>3.2111851492427207E-2</v>
      </c>
      <c r="AI18" s="25">
        <v>1.0871539270145305E-2</v>
      </c>
      <c r="AJ18" s="25">
        <v>6.0166673387318133E-3</v>
      </c>
      <c r="AK18" s="25">
        <v>6.0997852156583418E-2</v>
      </c>
      <c r="AL18" s="25">
        <v>2.3741920253583241E-2</v>
      </c>
      <c r="AM18" s="25">
        <v>1.5948841825566044E-2</v>
      </c>
      <c r="AN18" s="25">
        <v>-4.5779517209673368E-2</v>
      </c>
      <c r="AO18" s="25">
        <v>4.0637270542088107E-2</v>
      </c>
      <c r="AP18" s="25">
        <v>-1.6879873085052441E-2</v>
      </c>
      <c r="AQ18" s="25">
        <v>5.9185875745619114E-2</v>
      </c>
      <c r="AR18" s="25">
        <v>1.1541835011973457E-2</v>
      </c>
      <c r="AS18" s="25">
        <v>5.346745312809701E-2</v>
      </c>
      <c r="AT18" s="25">
        <v>-6.9048927011411187E-2</v>
      </c>
      <c r="AU18" s="25">
        <v>1.5384380694920066E-2</v>
      </c>
      <c r="AV18" s="25">
        <v>4.4982839806217118E-2</v>
      </c>
      <c r="AW18" s="25">
        <v>4.9584512271710943E-2</v>
      </c>
      <c r="AX18" s="25">
        <v>3.1298401188884814E-2</v>
      </c>
      <c r="AY18" s="25">
        <v>4.3275286774941385E-2</v>
      </c>
      <c r="AZ18" s="25">
        <v>3.4434356974179917E-2</v>
      </c>
      <c r="BA18" s="25">
        <v>4.3520496381790466E-2</v>
      </c>
      <c r="BB18" s="25">
        <v>3.1131938690153581E-2</v>
      </c>
      <c r="BC18" s="25">
        <v>-9.4185179718436225E-3</v>
      </c>
      <c r="BD18" s="25">
        <v>4.378497980191793E-2</v>
      </c>
      <c r="BE18" s="25">
        <v>5.8826396573465924E-3</v>
      </c>
      <c r="BF18" s="25">
        <v>-2.5037287136133665E-3</v>
      </c>
      <c r="BG18" s="25">
        <v>4.9648828354169831E-2</v>
      </c>
      <c r="BH18" s="25">
        <v>1.1110510678135061E-2</v>
      </c>
      <c r="BI18" s="25">
        <v>3.6791983322300797E-2</v>
      </c>
      <c r="BJ18" s="25">
        <v>-1.531759653645421E-2</v>
      </c>
      <c r="BK18" s="25">
        <v>2.2145625510074214E-2</v>
      </c>
      <c r="BL18" s="25">
        <v>-7.8246499923598639E-3</v>
      </c>
      <c r="BM18" s="25">
        <v>3.264970005550101E-2</v>
      </c>
      <c r="BN18" s="25">
        <v>5.8663158925531207E-2</v>
      </c>
      <c r="BO18" s="25">
        <v>5.4175264191624731E-2</v>
      </c>
      <c r="BP18" s="25">
        <v>3.3036671317400457E-3</v>
      </c>
      <c r="BQ18" s="25">
        <v>5.7195357997291418E-2</v>
      </c>
      <c r="BR18" s="25">
        <v>2.2514226410265216E-2</v>
      </c>
      <c r="BS18" s="25">
        <v>3.4078172603303876E-2</v>
      </c>
      <c r="BT18" s="25">
        <v>2.7931121732954693E-2</v>
      </c>
    </row>
    <row r="19" spans="1:72">
      <c r="A19" s="932" t="s">
        <v>439</v>
      </c>
      <c r="B19" s="984">
        <v>11.3</v>
      </c>
      <c r="C19" s="985">
        <v>7.1</v>
      </c>
      <c r="D19" s="986">
        <v>88.703716524620162</v>
      </c>
      <c r="E19" s="1311">
        <v>452.7</v>
      </c>
      <c r="G19" s="113">
        <v>1</v>
      </c>
      <c r="H19" s="174">
        <f t="shared" si="0"/>
        <v>7.1</v>
      </c>
      <c r="I19" s="174">
        <f t="shared" si="0"/>
        <v>88.703716524620162</v>
      </c>
      <c r="J19" s="169">
        <f t="shared" si="0"/>
        <v>452.7</v>
      </c>
      <c r="L19" s="1313">
        <f t="shared" si="1"/>
        <v>11.3</v>
      </c>
      <c r="N19" s="458">
        <v>-1.288304947518042E-3</v>
      </c>
      <c r="O19" s="459">
        <v>-1.0875164053364464E-4</v>
      </c>
      <c r="P19" s="459">
        <v>1.2088678264774105E-5</v>
      </c>
      <c r="Q19" s="460">
        <v>2.5529300693716203E-6</v>
      </c>
      <c r="S19" s="1313">
        <v>13.386495433605702</v>
      </c>
      <c r="U19" s="1313">
        <f t="shared" si="2"/>
        <v>-2.0864954336057018</v>
      </c>
      <c r="W19" s="25">
        <v>1.6542194515763109E-2</v>
      </c>
      <c r="X19" s="25">
        <v>1.6707214352552055E-2</v>
      </c>
      <c r="Y19" s="25">
        <v>2.882122088385379E-2</v>
      </c>
      <c r="Z19" s="25">
        <v>3.332883198692578E-2</v>
      </c>
      <c r="AA19" s="25">
        <v>8.7053011953043685E-3</v>
      </c>
      <c r="AB19" s="25">
        <v>2.2888921985424512E-2</v>
      </c>
      <c r="AC19" s="25">
        <v>1.2127693251371828E-2</v>
      </c>
      <c r="AD19" s="25">
        <v>3.0964335149984035E-2</v>
      </c>
      <c r="AE19" s="25">
        <v>3.61462037912086E-2</v>
      </c>
      <c r="AF19" s="25">
        <v>5.7440364113542225E-3</v>
      </c>
      <c r="AG19" s="25">
        <v>-7.3675123571045303E-2</v>
      </c>
      <c r="AH19" s="25">
        <v>3.0109049285398329E-2</v>
      </c>
      <c r="AI19" s="25">
        <v>2.4865665222898674E-2</v>
      </c>
      <c r="AJ19" s="25">
        <v>3.1233990919890903E-2</v>
      </c>
      <c r="AK19" s="25">
        <v>2.3741920253583158E-2</v>
      </c>
      <c r="AL19" s="25">
        <v>3.4147158740265901E-2</v>
      </c>
      <c r="AM19" s="25">
        <v>2.9504784582456089E-2</v>
      </c>
      <c r="AN19" s="25">
        <v>2.6893281386456136E-2</v>
      </c>
      <c r="AO19" s="25">
        <v>2.3725925512537452E-2</v>
      </c>
      <c r="AP19" s="25">
        <v>1.0226241224483332E-2</v>
      </c>
      <c r="AQ19" s="25">
        <v>1.7402872979331817E-2</v>
      </c>
      <c r="AR19" s="25">
        <v>2.8668951579450701E-2</v>
      </c>
      <c r="AS19" s="25">
        <v>1.6079979980068264E-2</v>
      </c>
      <c r="AT19" s="25">
        <v>2.8258038750589298E-4</v>
      </c>
      <c r="AU19" s="25">
        <v>3.2876783715869488E-2</v>
      </c>
      <c r="AV19" s="25">
        <v>2.126338239384705E-2</v>
      </c>
      <c r="AW19" s="25">
        <v>2.2431439382565681E-2</v>
      </c>
      <c r="AX19" s="25">
        <v>3.4709500742945515E-2</v>
      </c>
      <c r="AY19" s="25">
        <v>2.2363736776915596E-2</v>
      </c>
      <c r="AZ19" s="25">
        <v>-1.2044550071042825E-4</v>
      </c>
      <c r="BA19" s="25">
        <v>3.1723088896612239E-2</v>
      </c>
      <c r="BB19" s="25">
        <v>9.8020583912690733E-4</v>
      </c>
      <c r="BC19" s="25">
        <v>1.7389140718351671E-2</v>
      </c>
      <c r="BD19" s="25">
        <v>1.4834700202737486E-2</v>
      </c>
      <c r="BE19" s="25">
        <v>2.577394725420179E-2</v>
      </c>
      <c r="BF19" s="25">
        <v>2.5111377559534097E-2</v>
      </c>
      <c r="BG19" s="25">
        <v>1.9232465310999404E-2</v>
      </c>
      <c r="BH19" s="25">
        <v>2.9725755078041514E-2</v>
      </c>
      <c r="BI19" s="25">
        <v>1.6504603232359215E-2</v>
      </c>
      <c r="BJ19" s="25">
        <v>2.8383967343822133E-2</v>
      </c>
      <c r="BK19" s="25">
        <v>1.7005817759449385E-2</v>
      </c>
      <c r="BL19" s="25">
        <v>4.5829080273397896E-2</v>
      </c>
      <c r="BM19" s="25">
        <v>2.3022522934606705E-2</v>
      </c>
      <c r="BN19" s="25">
        <v>1.8580576685539325E-2</v>
      </c>
      <c r="BO19" s="25">
        <v>2.0002129061726083E-2</v>
      </c>
      <c r="BP19" s="25">
        <v>2.4853184537132478E-4</v>
      </c>
      <c r="BQ19" s="25">
        <v>8.6404597165493438E-3</v>
      </c>
      <c r="BR19" s="25">
        <v>3.4998936114461775E-2</v>
      </c>
      <c r="BS19" s="25">
        <v>2.3301259316227167E-2</v>
      </c>
      <c r="BT19" s="25">
        <v>3.0003805338430514E-2</v>
      </c>
    </row>
    <row r="20" spans="1:72">
      <c r="A20" s="932" t="s">
        <v>440</v>
      </c>
      <c r="B20" s="984">
        <v>17.3</v>
      </c>
      <c r="C20" s="985">
        <v>7.5</v>
      </c>
      <c r="D20" s="986">
        <v>89.904327345935869</v>
      </c>
      <c r="E20" s="1311">
        <v>295</v>
      </c>
      <c r="G20" s="113">
        <v>1</v>
      </c>
      <c r="H20" s="174">
        <f t="shared" ref="H20:H53" si="3">C20</f>
        <v>7.5</v>
      </c>
      <c r="I20" s="174">
        <f t="shared" ref="I20:I53" si="4">D20</f>
        <v>89.904327345935869</v>
      </c>
      <c r="J20" s="169">
        <f t="shared" ref="J20:J53" si="5">E20</f>
        <v>295</v>
      </c>
      <c r="L20" s="1313">
        <f t="shared" si="1"/>
        <v>17.3</v>
      </c>
      <c r="S20" s="1313">
        <v>13.717687401385813</v>
      </c>
      <c r="U20" s="1313">
        <f t="shared" si="2"/>
        <v>3.5823125986141875</v>
      </c>
      <c r="W20" s="25">
        <v>3.9353690784259363E-2</v>
      </c>
      <c r="X20" s="25">
        <v>-1.5158186400628305E-2</v>
      </c>
      <c r="Y20" s="25">
        <v>1.215218282406802E-2</v>
      </c>
      <c r="Z20" s="25">
        <v>3.6564646075996993E-2</v>
      </c>
      <c r="AA20" s="25">
        <v>-2.7946284180377715E-2</v>
      </c>
      <c r="AB20" s="25">
        <v>1.5897263676291521E-2</v>
      </c>
      <c r="AC20" s="25">
        <v>2.5160221095028721E-2</v>
      </c>
      <c r="AD20" s="25">
        <v>1.1071664296703157E-2</v>
      </c>
      <c r="AE20" s="25">
        <v>-1.6292633855346517E-3</v>
      </c>
      <c r="AF20" s="25">
        <v>1.2823538433943436E-2</v>
      </c>
      <c r="AG20" s="25">
        <v>-5.7452623114076271E-2</v>
      </c>
      <c r="AH20" s="25">
        <v>5.0219301384500627E-2</v>
      </c>
      <c r="AI20" s="25">
        <v>1.3625365458637325E-2</v>
      </c>
      <c r="AJ20" s="25">
        <v>5.4090140556918645E-2</v>
      </c>
      <c r="AK20" s="25">
        <v>1.5948841825566166E-2</v>
      </c>
      <c r="AL20" s="25">
        <v>2.9504784582456058E-2</v>
      </c>
      <c r="AM20" s="25">
        <v>5.1322935547924581E-2</v>
      </c>
      <c r="AN20" s="25">
        <v>2.2686897306971654E-2</v>
      </c>
      <c r="AO20" s="25">
        <v>5.4356425009902072E-2</v>
      </c>
      <c r="AP20" s="25">
        <v>-4.1352655599180971E-3</v>
      </c>
      <c r="AQ20" s="25">
        <v>-1.1172909511893148E-2</v>
      </c>
      <c r="AR20" s="25">
        <v>1.7756303833141425E-2</v>
      </c>
      <c r="AS20" s="25">
        <v>1.1508079778281253E-2</v>
      </c>
      <c r="AT20" s="25">
        <v>6.6449415935997375E-2</v>
      </c>
      <c r="AU20" s="25">
        <v>2.5401480029320266E-2</v>
      </c>
      <c r="AV20" s="25">
        <v>2.3693329558927511E-2</v>
      </c>
      <c r="AW20" s="25">
        <v>2.0187516469919058E-2</v>
      </c>
      <c r="AX20" s="25">
        <v>-1.7964583307154572E-2</v>
      </c>
      <c r="AY20" s="25">
        <v>4.8127735915966835E-2</v>
      </c>
      <c r="AZ20" s="25">
        <v>-3.7388880314475469E-3</v>
      </c>
      <c r="BA20" s="25">
        <v>-1.6805329714980485E-2</v>
      </c>
      <c r="BB20" s="25">
        <v>-1.2647407653469847E-2</v>
      </c>
      <c r="BC20" s="25">
        <v>2.6213597515744196E-2</v>
      </c>
      <c r="BD20" s="25">
        <v>3.7257386170134119E-2</v>
      </c>
      <c r="BE20" s="25">
        <v>4.565686174244004E-2</v>
      </c>
      <c r="BF20" s="25">
        <v>2.7140636641291769E-2</v>
      </c>
      <c r="BG20" s="25">
        <v>1.8141903900781367E-2</v>
      </c>
      <c r="BH20" s="25">
        <v>3.6858302447236521E-2</v>
      </c>
      <c r="BI20" s="25">
        <v>3.136238073865745E-2</v>
      </c>
      <c r="BJ20" s="25">
        <v>-2.8333479036697709E-3</v>
      </c>
      <c r="BK20" s="25">
        <v>4.9577260962966031E-2</v>
      </c>
      <c r="BL20" s="25">
        <v>2.0366754083601502E-2</v>
      </c>
      <c r="BM20" s="25">
        <v>1.0332284903683125E-3</v>
      </c>
      <c r="BN20" s="25">
        <v>1.942145716449202E-2</v>
      </c>
      <c r="BO20" s="25">
        <v>4.0197060813844381E-2</v>
      </c>
      <c r="BP20" s="25">
        <v>2.4735495410835091E-2</v>
      </c>
      <c r="BQ20" s="25">
        <v>-6.9808193718321823E-3</v>
      </c>
      <c r="BR20" s="25">
        <v>5.730631666730647E-2</v>
      </c>
      <c r="BS20" s="25">
        <v>3.2607598176092628E-2</v>
      </c>
      <c r="BT20" s="25">
        <v>5.2686906828470159E-2</v>
      </c>
    </row>
    <row r="21" spans="1:72" ht="15.6">
      <c r="A21" s="932" t="s">
        <v>441</v>
      </c>
      <c r="B21" s="984">
        <v>17.3</v>
      </c>
      <c r="C21" s="985">
        <v>9.9</v>
      </c>
      <c r="D21" s="986">
        <v>64.839543701408999</v>
      </c>
      <c r="E21" s="1311">
        <v>729.5</v>
      </c>
      <c r="G21" s="113">
        <v>1</v>
      </c>
      <c r="H21" s="174">
        <f t="shared" si="3"/>
        <v>9.9</v>
      </c>
      <c r="I21" s="174">
        <f t="shared" si="4"/>
        <v>64.839543701408999</v>
      </c>
      <c r="J21" s="169">
        <f t="shared" si="5"/>
        <v>729.5</v>
      </c>
      <c r="L21" s="1313">
        <f t="shared" si="1"/>
        <v>17.3</v>
      </c>
      <c r="N21" s="25" t="s">
        <v>690</v>
      </c>
      <c r="O21" s="1315">
        <f>DEVSQ(S4:S53)</f>
        <v>142.55035956637965</v>
      </c>
      <c r="S21" s="1313">
        <v>16.495289411657197</v>
      </c>
      <c r="U21" s="1313">
        <f t="shared" si="2"/>
        <v>0.80471058834280385</v>
      </c>
      <c r="W21" s="25">
        <v>9.0378957745861049E-2</v>
      </c>
      <c r="X21" s="25">
        <v>5.2658812680831876E-2</v>
      </c>
      <c r="Y21" s="25">
        <v>1.1997121023273535E-2</v>
      </c>
      <c r="Z21" s="25">
        <v>7.7473151503296811E-2</v>
      </c>
      <c r="AA21" s="25">
        <v>-1.5897064907781755E-2</v>
      </c>
      <c r="AB21" s="25">
        <v>-2.1557344151109402E-2</v>
      </c>
      <c r="AC21" s="25">
        <v>-1.2522626643235751E-2</v>
      </c>
      <c r="AD21" s="25">
        <v>9.0950085010507289E-2</v>
      </c>
      <c r="AE21" s="25">
        <v>6.290104080362402E-2</v>
      </c>
      <c r="AF21" s="25">
        <v>7.3742984672226078E-2</v>
      </c>
      <c r="AG21" s="25">
        <v>9.7833889273427621E-3</v>
      </c>
      <c r="AH21" s="25">
        <v>-4.66973837539085E-3</v>
      </c>
      <c r="AI21" s="25">
        <v>4.6173538638776108E-2</v>
      </c>
      <c r="AJ21" s="25">
        <v>4.113930456891985E-2</v>
      </c>
      <c r="AK21" s="25">
        <v>-4.5779517209673333E-2</v>
      </c>
      <c r="AL21" s="25">
        <v>2.6893281386455838E-2</v>
      </c>
      <c r="AM21" s="25">
        <v>2.268689730697148E-2</v>
      </c>
      <c r="AN21" s="25">
        <v>0.14471322922791754</v>
      </c>
      <c r="AO21" s="25">
        <v>-3.0558255474006465E-2</v>
      </c>
      <c r="AP21" s="25">
        <v>8.5861573714765785E-2</v>
      </c>
      <c r="AQ21" s="25">
        <v>-3.6134562091047276E-2</v>
      </c>
      <c r="AR21" s="25">
        <v>4.7762997861237992E-2</v>
      </c>
      <c r="AS21" s="25">
        <v>-4.0105663719453261E-2</v>
      </c>
      <c r="AT21" s="25">
        <v>0.12694572061476514</v>
      </c>
      <c r="AU21" s="25">
        <v>4.2323524772435492E-2</v>
      </c>
      <c r="AV21" s="25">
        <v>-2.4798442606894226E-2</v>
      </c>
      <c r="AW21" s="25">
        <v>-2.9523246640560618E-2</v>
      </c>
      <c r="AX21" s="25">
        <v>4.0131107112009345E-2</v>
      </c>
      <c r="AY21" s="25">
        <v>-3.3653718444732653E-2</v>
      </c>
      <c r="AZ21" s="25">
        <v>-1.9372850846718515E-2</v>
      </c>
      <c r="BA21" s="25">
        <v>1.3792668624302507E-2</v>
      </c>
      <c r="BB21" s="25">
        <v>-7.1702804858878484E-3</v>
      </c>
      <c r="BC21" s="25">
        <v>6.5492384016925628E-2</v>
      </c>
      <c r="BD21" s="25">
        <v>-3.8596937759214758E-2</v>
      </c>
      <c r="BE21" s="25">
        <v>3.8751295808043387E-2</v>
      </c>
      <c r="BF21" s="25">
        <v>6.2913839107325703E-2</v>
      </c>
      <c r="BG21" s="25">
        <v>-3.2758624858900916E-2</v>
      </c>
      <c r="BH21" s="25">
        <v>3.9492887672123819E-2</v>
      </c>
      <c r="BI21" s="25">
        <v>-2.0719776364858757E-2</v>
      </c>
      <c r="BJ21" s="25">
        <v>0.10642968670066927</v>
      </c>
      <c r="BK21" s="25">
        <v>-3.9471651342396219E-3</v>
      </c>
      <c r="BL21" s="25">
        <v>0.10353475802572409</v>
      </c>
      <c r="BM21" s="25">
        <v>1.1860121821973199E-2</v>
      </c>
      <c r="BN21" s="25">
        <v>-5.0361622648926616E-2</v>
      </c>
      <c r="BO21" s="25">
        <v>-5.1844702765024779E-2</v>
      </c>
      <c r="BP21" s="25">
        <v>2.0950565699750984E-2</v>
      </c>
      <c r="BQ21" s="25">
        <v>-4.6493737609455486E-2</v>
      </c>
      <c r="BR21" s="25">
        <v>1.5014879629424285E-2</v>
      </c>
      <c r="BS21" s="25">
        <v>-7.5655289500152073E-3</v>
      </c>
      <c r="BT21" s="25">
        <v>1.2816030096482883E-3</v>
      </c>
    </row>
    <row r="22" spans="1:72" ht="15.6">
      <c r="A22" s="932" t="s">
        <v>442</v>
      </c>
      <c r="B22" s="984">
        <v>12.3</v>
      </c>
      <c r="C22" s="985">
        <v>6.3</v>
      </c>
      <c r="D22" s="986">
        <v>96.389852756187835</v>
      </c>
      <c r="E22" s="1311">
        <v>118</v>
      </c>
      <c r="G22" s="113">
        <v>1</v>
      </c>
      <c r="H22" s="174">
        <f t="shared" si="3"/>
        <v>6.3</v>
      </c>
      <c r="I22" s="174">
        <f t="shared" si="4"/>
        <v>96.389852756187835</v>
      </c>
      <c r="J22" s="169">
        <f t="shared" si="5"/>
        <v>118</v>
      </c>
      <c r="L22" s="1313">
        <f t="shared" si="1"/>
        <v>12.3</v>
      </c>
      <c r="N22" s="25" t="s">
        <v>688</v>
      </c>
      <c r="O22" s="1316">
        <f>COUNT(G4:G53)-COUNT(H4:J4)-1</f>
        <v>46</v>
      </c>
      <c r="S22" s="1313">
        <v>12.166437679535237</v>
      </c>
      <c r="U22" s="1313">
        <f t="shared" si="2"/>
        <v>0.13356232046476357</v>
      </c>
      <c r="W22" s="25">
        <v>1.641898162421998E-2</v>
      </c>
      <c r="X22" s="25">
        <v>-3.5996530982570961E-2</v>
      </c>
      <c r="Y22" s="25">
        <v>1.0234225438296954E-2</v>
      </c>
      <c r="Z22" s="25">
        <v>1.2002207050326286E-2</v>
      </c>
      <c r="AA22" s="25">
        <v>-2.0719337271633404E-2</v>
      </c>
      <c r="AB22" s="25">
        <v>3.0920487186596488E-2</v>
      </c>
      <c r="AC22" s="25">
        <v>4.274673273523695E-2</v>
      </c>
      <c r="AD22" s="25">
        <v>-2.4409003881722052E-2</v>
      </c>
      <c r="AE22" s="25">
        <v>-3.0610256212557675E-2</v>
      </c>
      <c r="AF22" s="25">
        <v>-5.7454534147960467E-3</v>
      </c>
      <c r="AG22" s="25">
        <v>-3.7330886715316008E-2</v>
      </c>
      <c r="AH22" s="25">
        <v>6.4017609607722195E-2</v>
      </c>
      <c r="AI22" s="25">
        <v>-5.2500663767861278E-4</v>
      </c>
      <c r="AJ22" s="25">
        <v>4.956235103889426E-2</v>
      </c>
      <c r="AK22" s="25">
        <v>4.0637270542088419E-2</v>
      </c>
      <c r="AL22" s="25">
        <v>2.3725925512537563E-2</v>
      </c>
      <c r="AM22" s="25">
        <v>5.4356425009902128E-2</v>
      </c>
      <c r="AN22" s="25">
        <v>-3.0558255474006368E-2</v>
      </c>
      <c r="AO22" s="25">
        <v>8.2204578333354483E-2</v>
      </c>
      <c r="AP22" s="25">
        <v>-3.3522051440902506E-2</v>
      </c>
      <c r="AQ22" s="25">
        <v>5.2564287781221471E-3</v>
      </c>
      <c r="AR22" s="25">
        <v>2.5473383095872722E-3</v>
      </c>
      <c r="AS22" s="25">
        <v>3.5627411216347965E-2</v>
      </c>
      <c r="AT22" s="25">
        <v>4.1167640795087376E-2</v>
      </c>
      <c r="AU22" s="25">
        <v>1.2738283206665318E-2</v>
      </c>
      <c r="AV22" s="25">
        <v>4.2568416538152062E-2</v>
      </c>
      <c r="AW22" s="25">
        <v>3.9712358255147774E-2</v>
      </c>
      <c r="AX22" s="25">
        <v>-4.1043600184528926E-2</v>
      </c>
      <c r="AY22" s="25">
        <v>7.6230176877766093E-2</v>
      </c>
      <c r="AZ22" s="25">
        <v>1.414469229763109E-2</v>
      </c>
      <c r="BA22" s="25">
        <v>-2.7645501762664965E-2</v>
      </c>
      <c r="BB22" s="25">
        <v>-2.381662781058125E-3</v>
      </c>
      <c r="BC22" s="25">
        <v>9.9846591652453139E-3</v>
      </c>
      <c r="BD22" s="25">
        <v>6.7534636598080899E-2</v>
      </c>
      <c r="BE22" s="25">
        <v>4.2078691533392887E-2</v>
      </c>
      <c r="BF22" s="25">
        <v>9.3224991939372392E-3</v>
      </c>
      <c r="BG22" s="25">
        <v>3.9689036903684922E-2</v>
      </c>
      <c r="BH22" s="25">
        <v>2.9344313487359091E-2</v>
      </c>
      <c r="BI22" s="25">
        <v>5.2212886867209651E-2</v>
      </c>
      <c r="BJ22" s="25">
        <v>-4.7134266158180158E-2</v>
      </c>
      <c r="BK22" s="25">
        <v>6.7804029953400347E-2</v>
      </c>
      <c r="BL22" s="25">
        <v>-2.3554350902396281E-2</v>
      </c>
      <c r="BM22" s="25">
        <v>-1.3941158998602224E-3</v>
      </c>
      <c r="BN22" s="25">
        <v>4.8771175189027412E-2</v>
      </c>
      <c r="BO22" s="25">
        <v>7.4722549170745681E-2</v>
      </c>
      <c r="BP22" s="25">
        <v>3.2866597473370202E-2</v>
      </c>
      <c r="BQ22" s="25">
        <v>1.8006297732511313E-2</v>
      </c>
      <c r="BR22" s="25">
        <v>6.2917612573159573E-2</v>
      </c>
      <c r="BS22" s="25">
        <v>4.581587257410976E-2</v>
      </c>
      <c r="BT22" s="25">
        <v>6.4679880950958876E-2</v>
      </c>
    </row>
    <row r="23" spans="1:72" ht="15.6">
      <c r="A23" s="932" t="s">
        <v>443</v>
      </c>
      <c r="B23" s="984">
        <v>8.1</v>
      </c>
      <c r="C23" s="985">
        <v>8</v>
      </c>
      <c r="D23" s="986">
        <v>63.398020838196281</v>
      </c>
      <c r="E23" s="1311">
        <v>641.9</v>
      </c>
      <c r="G23" s="113">
        <v>1</v>
      </c>
      <c r="H23" s="174">
        <f t="shared" si="3"/>
        <v>8</v>
      </c>
      <c r="I23" s="174">
        <f t="shared" si="4"/>
        <v>63.398020838196281</v>
      </c>
      <c r="J23" s="169">
        <f t="shared" si="5"/>
        <v>641.9</v>
      </c>
      <c r="L23" s="1313">
        <f t="shared" si="1"/>
        <v>8.1</v>
      </c>
      <c r="N23" s="25" t="s">
        <v>824</v>
      </c>
      <c r="O23" s="1314">
        <f>O21/O22</f>
        <v>3.0989208601386879</v>
      </c>
      <c r="S23" s="1313">
        <v>13.887597669367592</v>
      </c>
      <c r="U23" s="1313">
        <f t="shared" si="2"/>
        <v>-5.7875976693675923</v>
      </c>
      <c r="W23" s="25">
        <v>4.9259321250803616E-2</v>
      </c>
      <c r="X23" s="25">
        <v>6.3595856377683849E-2</v>
      </c>
      <c r="Y23" s="25">
        <v>1.5967705981465616E-2</v>
      </c>
      <c r="Z23" s="25">
        <v>3.489809464527778E-2</v>
      </c>
      <c r="AA23" s="25">
        <v>3.7071505185896886E-2</v>
      </c>
      <c r="AB23" s="25">
        <v>-2.5569637606734589E-3</v>
      </c>
      <c r="AC23" s="25">
        <v>2.1511628614075129E-3</v>
      </c>
      <c r="AD23" s="25">
        <v>6.0666712916303447E-2</v>
      </c>
      <c r="AE23" s="25">
        <v>5.0296999407208873E-2</v>
      </c>
      <c r="AF23" s="25">
        <v>6.2941287587246847E-2</v>
      </c>
      <c r="AG23" s="25">
        <v>0.11454014160618625</v>
      </c>
      <c r="AH23" s="25">
        <v>-1.93559659661681E-2</v>
      </c>
      <c r="AI23" s="25">
        <v>3.6603627546589072E-2</v>
      </c>
      <c r="AJ23" s="25">
        <v>3.6726301405758249E-3</v>
      </c>
      <c r="AK23" s="25">
        <v>-1.6879873085051969E-2</v>
      </c>
      <c r="AL23" s="25">
        <v>1.0226241224483401E-2</v>
      </c>
      <c r="AM23" s="25">
        <v>-4.1352655599181803E-3</v>
      </c>
      <c r="AN23" s="25">
        <v>8.5861573714765743E-2</v>
      </c>
      <c r="AO23" s="25">
        <v>-3.3522051440902562E-2</v>
      </c>
      <c r="AP23" s="25">
        <v>7.8700951146470216E-2</v>
      </c>
      <c r="AQ23" s="25">
        <v>9.8642475381177236E-3</v>
      </c>
      <c r="AR23" s="25">
        <v>3.2785479508649559E-2</v>
      </c>
      <c r="AS23" s="25">
        <v>-6.6779002358960324E-3</v>
      </c>
      <c r="AT23" s="25">
        <v>6.0821340168184967E-2</v>
      </c>
      <c r="AU23" s="25">
        <v>2.2419039573058429E-2</v>
      </c>
      <c r="AV23" s="25">
        <v>-8.699234934720107E-3</v>
      </c>
      <c r="AW23" s="25">
        <v>-9.6994585246990873E-3</v>
      </c>
      <c r="AX23" s="25">
        <v>4.8822845437368007E-2</v>
      </c>
      <c r="AY23" s="25">
        <v>-3.046367698187482E-2</v>
      </c>
      <c r="AZ23" s="25">
        <v>2.3750553975875971E-2</v>
      </c>
      <c r="BA23" s="25">
        <v>3.4578740008279485E-2</v>
      </c>
      <c r="BB23" s="25">
        <v>3.6023529277907508E-2</v>
      </c>
      <c r="BC23" s="25">
        <v>4.3266073141573644E-2</v>
      </c>
      <c r="BD23" s="25">
        <v>-2.2154743972467986E-2</v>
      </c>
      <c r="BE23" s="25">
        <v>1.07451586405546E-2</v>
      </c>
      <c r="BF23" s="25">
        <v>3.7119971621611764E-2</v>
      </c>
      <c r="BG23" s="25">
        <v>-8.5158170701159167E-3</v>
      </c>
      <c r="BH23" s="25">
        <v>1.4897527666125438E-2</v>
      </c>
      <c r="BI23" s="25">
        <v>-8.9275507871582754E-3</v>
      </c>
      <c r="BJ23" s="25">
        <v>8.0045441353423299E-2</v>
      </c>
      <c r="BK23" s="25">
        <v>-1.162870883076933E-2</v>
      </c>
      <c r="BL23" s="25">
        <v>5.3905988174821173E-2</v>
      </c>
      <c r="BM23" s="25">
        <v>2.6276993645179762E-2</v>
      </c>
      <c r="BN23" s="25">
        <v>-1.9075643116582261E-2</v>
      </c>
      <c r="BO23" s="25">
        <v>-3.4381897917227275E-2</v>
      </c>
      <c r="BP23" s="25">
        <v>2.7804656001727074E-2</v>
      </c>
      <c r="BQ23" s="25">
        <v>5.7863991598636443E-3</v>
      </c>
      <c r="BR23" s="25">
        <v>-1.5357066012716324E-2</v>
      </c>
      <c r="BS23" s="25">
        <v>-5.8073462356341699E-3</v>
      </c>
      <c r="BT23" s="25">
        <v>-1.7528632052103518E-2</v>
      </c>
    </row>
    <row r="24" spans="1:72">
      <c r="A24" s="932" t="s">
        <v>444</v>
      </c>
      <c r="B24" s="993">
        <v>10</v>
      </c>
      <c r="C24" s="985">
        <v>4.8</v>
      </c>
      <c r="D24" s="986">
        <v>86.203669547721617</v>
      </c>
      <c r="E24" s="1311">
        <v>431.5</v>
      </c>
      <c r="G24" s="113">
        <v>1</v>
      </c>
      <c r="H24" s="174">
        <f t="shared" si="3"/>
        <v>4.8</v>
      </c>
      <c r="I24" s="174">
        <f t="shared" si="4"/>
        <v>86.203669547721617</v>
      </c>
      <c r="J24" s="169">
        <f t="shared" si="5"/>
        <v>431.5</v>
      </c>
      <c r="L24" s="1313">
        <f t="shared" si="1"/>
        <v>10</v>
      </c>
      <c r="S24" s="1313">
        <v>10.322990438842165</v>
      </c>
      <c r="U24" s="1313">
        <f t="shared" si="2"/>
        <v>-0.32299043884216516</v>
      </c>
      <c r="W24" s="25">
        <v>-3.9730798885097722E-2</v>
      </c>
      <c r="X24" s="25">
        <v>4.4535361971647314E-2</v>
      </c>
      <c r="Y24" s="25">
        <v>4.0943734894237395E-2</v>
      </c>
      <c r="Z24" s="25">
        <v>-1.5750144022396304E-2</v>
      </c>
      <c r="AA24" s="25">
        <v>8.5518254937570842E-2</v>
      </c>
      <c r="AB24" s="25">
        <v>4.7087790192756322E-2</v>
      </c>
      <c r="AC24" s="25">
        <v>2.2259636205252835E-2</v>
      </c>
      <c r="AD24" s="25">
        <v>6.8726951927653365E-3</v>
      </c>
      <c r="AE24" s="25">
        <v>4.0032896585127931E-2</v>
      </c>
      <c r="AF24" s="25">
        <v>-8.928348089928647E-3</v>
      </c>
      <c r="AG24" s="25">
        <v>3.8153173470706611E-2</v>
      </c>
      <c r="AH24" s="25">
        <v>3.5943849411341697E-3</v>
      </c>
      <c r="AI24" s="25">
        <v>1.9615524812235108E-2</v>
      </c>
      <c r="AJ24" s="25">
        <v>-2.1749385016845278E-2</v>
      </c>
      <c r="AK24" s="25">
        <v>5.9185875745619759E-2</v>
      </c>
      <c r="AL24" s="25">
        <v>1.7402872979332556E-2</v>
      </c>
      <c r="AM24" s="25">
        <v>-1.117290951189269E-2</v>
      </c>
      <c r="AN24" s="25">
        <v>-3.6134562091046846E-2</v>
      </c>
      <c r="AO24" s="25">
        <v>5.2564287781223934E-3</v>
      </c>
      <c r="AP24" s="25">
        <v>9.8642475381176542E-3</v>
      </c>
      <c r="AQ24" s="25">
        <v>8.2164872364709929E-2</v>
      </c>
      <c r="AR24" s="25">
        <v>1.7124291247502525E-2</v>
      </c>
      <c r="AS24" s="25">
        <v>5.5295461905891338E-2</v>
      </c>
      <c r="AT24" s="25">
        <v>-0.10399346149031918</v>
      </c>
      <c r="AU24" s="25">
        <v>1.4021249486375485E-2</v>
      </c>
      <c r="AV24" s="25">
        <v>3.7725565331680137E-2</v>
      </c>
      <c r="AW24" s="25">
        <v>4.5228986311711558E-2</v>
      </c>
      <c r="AX24" s="25">
        <v>6.9408857079620315E-2</v>
      </c>
      <c r="AY24" s="25">
        <v>1.3119188057104395E-2</v>
      </c>
      <c r="AZ24" s="25">
        <v>5.0077008425053859E-2</v>
      </c>
      <c r="BA24" s="25">
        <v>7.7840762835887992E-2</v>
      </c>
      <c r="BB24" s="25">
        <v>5.6112996833297041E-2</v>
      </c>
      <c r="BC24" s="25">
        <v>-1.1272139252396384E-2</v>
      </c>
      <c r="BD24" s="25">
        <v>2.2174889161527822E-2</v>
      </c>
      <c r="BE24" s="25">
        <v>-1.5077241907151047E-2</v>
      </c>
      <c r="BF24" s="25">
        <v>-4.5137847441424732E-3</v>
      </c>
      <c r="BG24" s="25">
        <v>4.6480931991642729E-2</v>
      </c>
      <c r="BH24" s="25">
        <v>-1.3068840028232433E-3</v>
      </c>
      <c r="BI24" s="25">
        <v>2.2359211961715322E-2</v>
      </c>
      <c r="BJ24" s="25">
        <v>1.4263577161024069E-2</v>
      </c>
      <c r="BK24" s="25">
        <v>-7.2834159794914477E-3</v>
      </c>
      <c r="BL24" s="25">
        <v>2.4663082747450743E-3</v>
      </c>
      <c r="BM24" s="25">
        <v>4.9529795858481176E-2</v>
      </c>
      <c r="BN24" s="25">
        <v>5.2663011638971871E-2</v>
      </c>
      <c r="BO24" s="25">
        <v>2.9309344299973186E-2</v>
      </c>
      <c r="BP24" s="25">
        <v>-3.2716515633429977E-3</v>
      </c>
      <c r="BQ24" s="25">
        <v>7.4380655499268478E-2</v>
      </c>
      <c r="BR24" s="25">
        <v>-1.0089732834161126E-2</v>
      </c>
      <c r="BS24" s="25">
        <v>2.0510740323318163E-2</v>
      </c>
      <c r="BT24" s="25">
        <v>-2.3061249030828582E-3</v>
      </c>
    </row>
    <row r="25" spans="1:72">
      <c r="A25" s="932" t="s">
        <v>445</v>
      </c>
      <c r="B25" s="984">
        <v>14.4</v>
      </c>
      <c r="C25" s="985">
        <v>7.4</v>
      </c>
      <c r="D25" s="986">
        <v>81.183409037427396</v>
      </c>
      <c r="E25" s="1311">
        <v>536</v>
      </c>
      <c r="G25" s="113">
        <v>1</v>
      </c>
      <c r="H25" s="174">
        <f t="shared" si="3"/>
        <v>7.4</v>
      </c>
      <c r="I25" s="174">
        <f t="shared" si="4"/>
        <v>81.183409037427396</v>
      </c>
      <c r="J25" s="169">
        <f t="shared" si="5"/>
        <v>536</v>
      </c>
      <c r="L25" s="1313">
        <f t="shared" si="1"/>
        <v>14.4</v>
      </c>
      <c r="S25" s="1313">
        <v>13.61552756364374</v>
      </c>
      <c r="U25" s="1313">
        <f t="shared" si="2"/>
        <v>0.78447243635626052</v>
      </c>
      <c r="W25" s="25">
        <v>2.4809114638524227E-2</v>
      </c>
      <c r="X25" s="25">
        <v>3.46322431654736E-2</v>
      </c>
      <c r="Y25" s="25">
        <v>2.7333639981619397E-2</v>
      </c>
      <c r="Z25" s="25">
        <v>3.5453748831122144E-2</v>
      </c>
      <c r="AA25" s="25">
        <v>1.9796143646435241E-2</v>
      </c>
      <c r="AB25" s="25">
        <v>1.5515178901020674E-2</v>
      </c>
      <c r="AC25" s="25">
        <v>6.5270131873067377E-3</v>
      </c>
      <c r="AD25" s="25">
        <v>4.4151572000757963E-2</v>
      </c>
      <c r="AE25" s="25">
        <v>4.6544737574026288E-2</v>
      </c>
      <c r="AF25" s="25">
        <v>2.1994411948962293E-2</v>
      </c>
      <c r="AG25" s="25">
        <v>-2.6222086926461385E-2</v>
      </c>
      <c r="AH25" s="25">
        <v>1.3366090080138414E-2</v>
      </c>
      <c r="AI25" s="25">
        <v>3.0458646242272257E-2</v>
      </c>
      <c r="AJ25" s="25">
        <v>2.1648800453469889E-2</v>
      </c>
      <c r="AK25" s="25">
        <v>1.1541835011973612E-2</v>
      </c>
      <c r="AL25" s="25">
        <v>2.8668951579450805E-2</v>
      </c>
      <c r="AM25" s="25">
        <v>1.7756303833141529E-2</v>
      </c>
      <c r="AN25" s="25">
        <v>4.7762997861238235E-2</v>
      </c>
      <c r="AO25" s="25">
        <v>2.5473383095872826E-3</v>
      </c>
      <c r="AP25" s="25">
        <v>3.2785479508649504E-2</v>
      </c>
      <c r="AQ25" s="25">
        <v>1.7124291247502074E-2</v>
      </c>
      <c r="AR25" s="25">
        <v>3.2252773730758119E-2</v>
      </c>
      <c r="AS25" s="25">
        <v>8.406695599913739E-3</v>
      </c>
      <c r="AT25" s="25">
        <v>1.1514917070775121E-2</v>
      </c>
      <c r="AU25" s="25">
        <v>3.1927671901730612E-2</v>
      </c>
      <c r="AV25" s="25">
        <v>1.1311564599984968E-2</v>
      </c>
      <c r="AW25" s="25">
        <v>1.2351544424436292E-2</v>
      </c>
      <c r="AX25" s="25">
        <v>4.6238856426553857E-2</v>
      </c>
      <c r="AY25" s="25">
        <v>2.8937535297965666E-3</v>
      </c>
      <c r="AZ25" s="25">
        <v>5.237768994225192E-3</v>
      </c>
      <c r="BA25" s="25">
        <v>3.8727856799862612E-2</v>
      </c>
      <c r="BB25" s="25">
        <v>1.109662473665976E-2</v>
      </c>
      <c r="BC25" s="25">
        <v>2.4779274960760211E-2</v>
      </c>
      <c r="BD25" s="25">
        <v>-1.6605734641696179E-4</v>
      </c>
      <c r="BE25" s="25">
        <v>1.9825926542908018E-2</v>
      </c>
      <c r="BF25" s="25">
        <v>2.9628411375702823E-2</v>
      </c>
      <c r="BG25" s="25">
        <v>1.0042387188744074E-2</v>
      </c>
      <c r="BH25" s="25">
        <v>2.5560471436659623E-2</v>
      </c>
      <c r="BI25" s="25">
        <v>6.2493555488939839E-3</v>
      </c>
      <c r="BJ25" s="25">
        <v>4.9492475282610533E-2</v>
      </c>
      <c r="BK25" s="25">
        <v>4.1600604031870048E-3</v>
      </c>
      <c r="BL25" s="25">
        <v>5.4483568144010841E-2</v>
      </c>
      <c r="BM25" s="25">
        <v>2.6518988611277612E-2</v>
      </c>
      <c r="BN25" s="25">
        <v>5.845264678548491E-3</v>
      </c>
      <c r="BO25" s="25">
        <v>1.846442724915548E-4</v>
      </c>
      <c r="BP25" s="25">
        <v>4.3357326719826172E-3</v>
      </c>
      <c r="BQ25" s="25">
        <v>7.4915111268803059E-3</v>
      </c>
      <c r="BR25" s="25">
        <v>1.8458962953205857E-2</v>
      </c>
      <c r="BS25" s="25">
        <v>1.3300132601572666E-2</v>
      </c>
      <c r="BT25" s="25">
        <v>1.3652410656076967E-2</v>
      </c>
    </row>
    <row r="26" spans="1:72">
      <c r="A26" s="932" t="s">
        <v>446</v>
      </c>
      <c r="B26" s="984">
        <v>9.6</v>
      </c>
      <c r="C26" s="985">
        <v>5.2</v>
      </c>
      <c r="D26" s="986">
        <v>89.045556531854984</v>
      </c>
      <c r="E26" s="1311">
        <v>288.7</v>
      </c>
      <c r="G26" s="113">
        <v>1</v>
      </c>
      <c r="H26" s="174">
        <f t="shared" si="3"/>
        <v>5.2</v>
      </c>
      <c r="I26" s="174">
        <f t="shared" si="4"/>
        <v>89.045556531854984</v>
      </c>
      <c r="J26" s="169">
        <f t="shared" si="5"/>
        <v>288.7</v>
      </c>
      <c r="L26" s="1313">
        <f t="shared" si="1"/>
        <v>9.6</v>
      </c>
      <c r="S26" s="1313">
        <v>10.734985254448048</v>
      </c>
      <c r="U26" s="1313">
        <f t="shared" si="2"/>
        <v>-1.1349852544480488</v>
      </c>
      <c r="W26" s="25">
        <v>-1.9825168047556095E-2</v>
      </c>
      <c r="X26" s="25">
        <v>1.331453141016975E-2</v>
      </c>
      <c r="Y26" s="25">
        <v>2.7264071642310941E-2</v>
      </c>
      <c r="Z26" s="25">
        <v>-1.0437586713981239E-2</v>
      </c>
      <c r="AA26" s="25">
        <v>4.884138887283529E-2</v>
      </c>
      <c r="AB26" s="25">
        <v>4.1638912974352404E-2</v>
      </c>
      <c r="AC26" s="25">
        <v>3.3214415467355166E-2</v>
      </c>
      <c r="AD26" s="25">
        <v>-1.0344103876801118E-2</v>
      </c>
      <c r="AE26" s="25">
        <v>7.427533704320935E-3</v>
      </c>
      <c r="AF26" s="25">
        <v>-6.0732951314735797E-3</v>
      </c>
      <c r="AG26" s="25">
        <v>3.277053291632509E-2</v>
      </c>
      <c r="AH26" s="25">
        <v>2.5133126220984046E-2</v>
      </c>
      <c r="AI26" s="25">
        <v>9.7625450090580018E-3</v>
      </c>
      <c r="AJ26" s="25">
        <v>2.0694693229743322E-3</v>
      </c>
      <c r="AK26" s="25">
        <v>5.3467453128097357E-2</v>
      </c>
      <c r="AL26" s="25">
        <v>1.6079979980068559E-2</v>
      </c>
      <c r="AM26" s="25">
        <v>1.1508079778281274E-2</v>
      </c>
      <c r="AN26" s="25">
        <v>-4.0105663719453219E-2</v>
      </c>
      <c r="AO26" s="25">
        <v>3.5627411216347847E-2</v>
      </c>
      <c r="AP26" s="25">
        <v>-6.6779002358962544E-3</v>
      </c>
      <c r="AQ26" s="25">
        <v>5.529546190589113E-2</v>
      </c>
      <c r="AR26" s="25">
        <v>8.4066955999138049E-3</v>
      </c>
      <c r="AS26" s="25">
        <v>5.0845434305439897E-2</v>
      </c>
      <c r="AT26" s="25">
        <v>-4.7215233854528721E-2</v>
      </c>
      <c r="AU26" s="25">
        <v>9.5515161156942072E-3</v>
      </c>
      <c r="AV26" s="25">
        <v>4.0851088562479161E-2</v>
      </c>
      <c r="AW26" s="25">
        <v>4.4259109591220862E-2</v>
      </c>
      <c r="AX26" s="25">
        <v>2.2696356191292649E-2</v>
      </c>
      <c r="AY26" s="25">
        <v>3.8630356583032287E-2</v>
      </c>
      <c r="AZ26" s="25">
        <v>4.2670946872070285E-2</v>
      </c>
      <c r="BA26" s="25">
        <v>3.4702232505305922E-2</v>
      </c>
      <c r="BB26" s="25">
        <v>3.9350981817923972E-2</v>
      </c>
      <c r="BC26" s="25">
        <v>-4.0792323647909894E-3</v>
      </c>
      <c r="BD26" s="25">
        <v>4.2918041589499592E-2</v>
      </c>
      <c r="BE26" s="25">
        <v>4.7497254622036883E-3</v>
      </c>
      <c r="BF26" s="25">
        <v>-1.9885134774560408E-3</v>
      </c>
      <c r="BG26" s="25">
        <v>4.5928625156354479E-2</v>
      </c>
      <c r="BH26" s="25">
        <v>7.3505040836032813E-3</v>
      </c>
      <c r="BI26" s="25">
        <v>3.6111159970804718E-2</v>
      </c>
      <c r="BJ26" s="25">
        <v>-1.4409864728104314E-2</v>
      </c>
      <c r="BK26" s="25">
        <v>2.3099358999932124E-2</v>
      </c>
      <c r="BL26" s="25">
        <v>-1.6859309147169023E-2</v>
      </c>
      <c r="BM26" s="25">
        <v>2.9539226248800253E-2</v>
      </c>
      <c r="BN26" s="25">
        <v>5.400568794775723E-2</v>
      </c>
      <c r="BO26" s="25">
        <v>4.9260562468156577E-2</v>
      </c>
      <c r="BP26" s="25">
        <v>1.544641998381259E-2</v>
      </c>
      <c r="BQ26" s="25">
        <v>5.792222735850297E-2</v>
      </c>
      <c r="BR26" s="25">
        <v>1.4368873205679953E-2</v>
      </c>
      <c r="BS26" s="25">
        <v>3.0370399987164613E-2</v>
      </c>
      <c r="BT26" s="25">
        <v>2.1565427141202052E-2</v>
      </c>
    </row>
    <row r="27" spans="1:72">
      <c r="A27" s="932" t="s">
        <v>447</v>
      </c>
      <c r="B27" s="984">
        <v>21.2</v>
      </c>
      <c r="C27" s="985">
        <v>10.6</v>
      </c>
      <c r="D27" s="986">
        <v>60.598179144073846</v>
      </c>
      <c r="E27" s="1311">
        <v>291.3</v>
      </c>
      <c r="G27" s="113">
        <v>1</v>
      </c>
      <c r="H27" s="174">
        <f t="shared" si="3"/>
        <v>10.6</v>
      </c>
      <c r="I27" s="174">
        <f t="shared" si="4"/>
        <v>60.598179144073846</v>
      </c>
      <c r="J27" s="169">
        <f t="shared" si="5"/>
        <v>291.3</v>
      </c>
      <c r="L27" s="1313">
        <f t="shared" si="1"/>
        <v>21.2</v>
      </c>
      <c r="S27" s="1313">
        <v>16.613871588317714</v>
      </c>
      <c r="U27" s="1313">
        <f t="shared" si="2"/>
        <v>4.5861284116822851</v>
      </c>
      <c r="W27" s="25">
        <v>0.15046796304795451</v>
      </c>
      <c r="X27" s="25">
        <v>-2.2583708890525744E-2</v>
      </c>
      <c r="Y27" s="25">
        <v>-3.8644281256304536E-2</v>
      </c>
      <c r="Z27" s="25">
        <v>7.1213747367741886E-2</v>
      </c>
      <c r="AA27" s="25">
        <v>-9.4412060909312132E-2</v>
      </c>
      <c r="AB27" s="25">
        <v>-4.1932181258598385E-2</v>
      </c>
      <c r="AC27" s="25">
        <v>2.8112991897427008E-2</v>
      </c>
      <c r="AD27" s="25">
        <v>3.0050638207791452E-2</v>
      </c>
      <c r="AE27" s="25">
        <v>-4.7747199168561072E-2</v>
      </c>
      <c r="AF27" s="25">
        <v>0.10649676563596945</v>
      </c>
      <c r="AG27" s="25">
        <v>0.15010336860346341</v>
      </c>
      <c r="AH27" s="25">
        <v>3.422350961644114E-2</v>
      </c>
      <c r="AI27" s="25">
        <v>1.3184526831121302E-2</v>
      </c>
      <c r="AJ27" s="25">
        <v>8.5618315157076533E-2</v>
      </c>
      <c r="AK27" s="25">
        <v>-6.904892701141073E-2</v>
      </c>
      <c r="AL27" s="25">
        <v>2.8258038750538297E-4</v>
      </c>
      <c r="AM27" s="25">
        <v>6.6449415935996764E-2</v>
      </c>
      <c r="AN27" s="25">
        <v>0.12694572061476447</v>
      </c>
      <c r="AO27" s="25">
        <v>4.1167640795087161E-2</v>
      </c>
      <c r="AP27" s="25">
        <v>6.082134016818537E-2</v>
      </c>
      <c r="AQ27" s="25">
        <v>-0.10399346149031879</v>
      </c>
      <c r="AR27" s="25">
        <v>1.1514917070774754E-2</v>
      </c>
      <c r="AS27" s="25">
        <v>-4.7215233854528194E-2</v>
      </c>
      <c r="AT27" s="25">
        <v>0.31160014494774424</v>
      </c>
      <c r="AU27" s="25">
        <v>1.0069991786990699E-2</v>
      </c>
      <c r="AV27" s="25">
        <v>-2.0145426494110722E-2</v>
      </c>
      <c r="AW27" s="25">
        <v>-3.7673233337999795E-2</v>
      </c>
      <c r="AX27" s="25">
        <v>-0.10580820347840227</v>
      </c>
      <c r="AY27" s="25">
        <v>2.7500133359428192E-2</v>
      </c>
      <c r="AZ27" s="25">
        <v>-6.7923416348830423E-3</v>
      </c>
      <c r="BA27" s="25">
        <v>-0.11870512324031725</v>
      </c>
      <c r="BB27" s="25">
        <v>-2.0508076471437587E-2</v>
      </c>
      <c r="BC27" s="25">
        <v>9.0100302495354626E-2</v>
      </c>
      <c r="BD27" s="25">
        <v>2.2352597141317723E-2</v>
      </c>
      <c r="BE27" s="25">
        <v>8.1722364274077863E-2</v>
      </c>
      <c r="BF27" s="25">
        <v>6.2463068503945667E-2</v>
      </c>
      <c r="BG27" s="25">
        <v>-3.463529429977228E-2</v>
      </c>
      <c r="BH27" s="25">
        <v>4.6718963565784172E-2</v>
      </c>
      <c r="BI27" s="25">
        <v>1.9744520319833706E-2</v>
      </c>
      <c r="BJ27" s="25">
        <v>2.029863592015517E-2</v>
      </c>
      <c r="BK27" s="25">
        <v>7.9767214156434951E-2</v>
      </c>
      <c r="BL27" s="25">
        <v>1.2965005232483319E-2</v>
      </c>
      <c r="BM27" s="25">
        <v>-4.5728314429685592E-2</v>
      </c>
      <c r="BN27" s="25">
        <v>-4.6767313651330966E-2</v>
      </c>
      <c r="BO27" s="25">
        <v>-1.9308946655298975E-3</v>
      </c>
      <c r="BP27" s="25">
        <v>0.10261047677040766</v>
      </c>
      <c r="BQ27" s="25">
        <v>-7.2956688450279042E-2</v>
      </c>
      <c r="BR27" s="25">
        <v>5.4108338238602366E-2</v>
      </c>
      <c r="BS27" s="25">
        <v>1.1905362275098969E-2</v>
      </c>
      <c r="BT27" s="25">
        <v>4.6647403668350115E-2</v>
      </c>
    </row>
    <row r="28" spans="1:72">
      <c r="A28" s="932" t="s">
        <v>448</v>
      </c>
      <c r="B28" s="984">
        <v>13.4</v>
      </c>
      <c r="C28" s="985">
        <v>7.4</v>
      </c>
      <c r="D28" s="986">
        <v>85.028888093842554</v>
      </c>
      <c r="E28" s="1311">
        <v>504.9</v>
      </c>
      <c r="G28" s="113">
        <v>1</v>
      </c>
      <c r="H28" s="174">
        <f t="shared" si="3"/>
        <v>7.4</v>
      </c>
      <c r="I28" s="174">
        <f t="shared" si="4"/>
        <v>85.028888093842554</v>
      </c>
      <c r="J28" s="169">
        <f t="shared" si="5"/>
        <v>504.9</v>
      </c>
      <c r="L28" s="1313">
        <f t="shared" si="1"/>
        <v>13.4</v>
      </c>
      <c r="S28" s="1313">
        <v>13.711013366978968</v>
      </c>
      <c r="U28" s="1313">
        <f t="shared" si="2"/>
        <v>-0.3110133669789672</v>
      </c>
      <c r="W28" s="25">
        <v>2.3639816496575261E-2</v>
      </c>
      <c r="X28" s="25">
        <v>2.5427003098156487E-2</v>
      </c>
      <c r="Y28" s="25">
        <v>2.8081056896775161E-2</v>
      </c>
      <c r="Z28" s="25">
        <v>3.7861403322178029E-2</v>
      </c>
      <c r="AA28" s="25">
        <v>1.060779237083477E-2</v>
      </c>
      <c r="AB28" s="25">
        <v>1.7756255782917924E-2</v>
      </c>
      <c r="AC28" s="25">
        <v>7.8404132242081009E-3</v>
      </c>
      <c r="AD28" s="25">
        <v>4.0488082081335461E-2</v>
      </c>
      <c r="AE28" s="25">
        <v>4.3164506400949168E-2</v>
      </c>
      <c r="AF28" s="25">
        <v>1.46450078767137E-2</v>
      </c>
      <c r="AG28" s="25">
        <v>-5.8901973172933858E-2</v>
      </c>
      <c r="AH28" s="25">
        <v>2.2529229152793498E-2</v>
      </c>
      <c r="AI28" s="25">
        <v>2.8689611372395729E-2</v>
      </c>
      <c r="AJ28" s="25">
        <v>2.9077518275658527E-2</v>
      </c>
      <c r="AK28" s="25">
        <v>1.5384380694920194E-2</v>
      </c>
      <c r="AL28" s="25">
        <v>3.287678371586962E-2</v>
      </c>
      <c r="AM28" s="25">
        <v>2.5401480029320439E-2</v>
      </c>
      <c r="AN28" s="25">
        <v>4.2323524772435839E-2</v>
      </c>
      <c r="AO28" s="25">
        <v>1.2738283206665382E-2</v>
      </c>
      <c r="AP28" s="25">
        <v>2.2419039573058429E-2</v>
      </c>
      <c r="AQ28" s="25">
        <v>1.4021249486374975E-2</v>
      </c>
      <c r="AR28" s="25">
        <v>3.1927671901730632E-2</v>
      </c>
      <c r="AS28" s="25">
        <v>9.5515161156941239E-3</v>
      </c>
      <c r="AT28" s="25">
        <v>1.0069991786991278E-2</v>
      </c>
      <c r="AU28" s="25">
        <v>3.4202604599879366E-2</v>
      </c>
      <c r="AV28" s="25">
        <v>1.4889522900890158E-2</v>
      </c>
      <c r="AW28" s="25">
        <v>1.5778301669438794E-2</v>
      </c>
      <c r="AX28" s="25">
        <v>4.0827379603224467E-2</v>
      </c>
      <c r="AY28" s="25">
        <v>1.1819958971672456E-2</v>
      </c>
      <c r="AZ28" s="25">
        <v>-9.3916517293917909E-4</v>
      </c>
      <c r="BA28" s="25">
        <v>3.448582293540349E-2</v>
      </c>
      <c r="BB28" s="25">
        <v>2.7423520507589552E-3</v>
      </c>
      <c r="BC28" s="25">
        <v>2.2760827497839684E-2</v>
      </c>
      <c r="BD28" s="25">
        <v>5.4992427629472068E-3</v>
      </c>
      <c r="BE28" s="25">
        <v>2.4715822394568779E-2</v>
      </c>
      <c r="BF28" s="25">
        <v>2.94752139419239E-2</v>
      </c>
      <c r="BG28" s="25">
        <v>1.2635623415379979E-2</v>
      </c>
      <c r="BH28" s="25">
        <v>2.9534712273854326E-2</v>
      </c>
      <c r="BI28" s="25">
        <v>1.0086147632380041E-2</v>
      </c>
      <c r="BJ28" s="25">
        <v>4.1783165484524667E-2</v>
      </c>
      <c r="BK28" s="25">
        <v>1.054822478450719E-2</v>
      </c>
      <c r="BL28" s="25">
        <v>5.4797307918143467E-2</v>
      </c>
      <c r="BM28" s="25">
        <v>2.4021353579897129E-2</v>
      </c>
      <c r="BN28" s="25">
        <v>9.5831699196029622E-3</v>
      </c>
      <c r="BO28" s="25">
        <v>8.2119165742114697E-3</v>
      </c>
      <c r="BP28" s="25">
        <v>1.2367845346570039E-3</v>
      </c>
      <c r="BQ28" s="25">
        <v>4.0409493565725148E-3</v>
      </c>
      <c r="BR28" s="25">
        <v>2.8778103241102616E-2</v>
      </c>
      <c r="BS28" s="25">
        <v>1.7954279766472368E-2</v>
      </c>
      <c r="BT28" s="25">
        <v>2.291073290146995E-2</v>
      </c>
    </row>
    <row r="29" spans="1:72">
      <c r="A29" s="932" t="s">
        <v>449</v>
      </c>
      <c r="B29" s="984">
        <v>14.8</v>
      </c>
      <c r="C29" s="985">
        <v>5.8</v>
      </c>
      <c r="D29" s="986">
        <v>90.467729264863962</v>
      </c>
      <c r="E29" s="1311">
        <v>287.5</v>
      </c>
      <c r="G29" s="113">
        <v>1</v>
      </c>
      <c r="H29" s="174">
        <f t="shared" si="3"/>
        <v>5.8</v>
      </c>
      <c r="I29" s="174">
        <f t="shared" si="4"/>
        <v>90.467729264863962</v>
      </c>
      <c r="J29" s="169">
        <f t="shared" si="5"/>
        <v>287.5</v>
      </c>
      <c r="L29" s="1313">
        <f t="shared" si="1"/>
        <v>14.8</v>
      </c>
      <c r="S29" s="1313">
        <v>11.552564406959718</v>
      </c>
      <c r="U29" s="1313">
        <f t="shared" si="2"/>
        <v>3.247435593040283</v>
      </c>
      <c r="W29" s="25">
        <v>-5.3363975670070347E-3</v>
      </c>
      <c r="X29" s="25">
        <v>4.1301450038029666E-3</v>
      </c>
      <c r="Y29" s="25">
        <v>2.4203635719363646E-2</v>
      </c>
      <c r="Z29" s="25">
        <v>2.8289735563801124E-3</v>
      </c>
      <c r="AA29" s="25">
        <v>2.6893832510501044E-2</v>
      </c>
      <c r="AB29" s="25">
        <v>3.5764427359823471E-2</v>
      </c>
      <c r="AC29" s="25">
        <v>3.0881409057275253E-2</v>
      </c>
      <c r="AD29" s="25">
        <v>-4.8685991655856922E-3</v>
      </c>
      <c r="AE29" s="25">
        <v>5.6186683880704996E-3</v>
      </c>
      <c r="AF29" s="25">
        <v>-3.6978720242060413E-3</v>
      </c>
      <c r="AG29" s="25">
        <v>-2.8088435043173293E-3</v>
      </c>
      <c r="AH29" s="25">
        <v>3.3929085475746606E-2</v>
      </c>
      <c r="AI29" s="25">
        <v>1.07396639200973E-2</v>
      </c>
      <c r="AJ29" s="25">
        <v>1.7418121202591671E-2</v>
      </c>
      <c r="AK29" s="25">
        <v>4.4982839806217312E-2</v>
      </c>
      <c r="AL29" s="25">
        <v>2.1263382393847209E-2</v>
      </c>
      <c r="AM29" s="25">
        <v>2.3693329558927504E-2</v>
      </c>
      <c r="AN29" s="25">
        <v>-2.4798442606894205E-2</v>
      </c>
      <c r="AO29" s="25">
        <v>4.2568416538151924E-2</v>
      </c>
      <c r="AP29" s="25">
        <v>-8.6992349347203221E-3</v>
      </c>
      <c r="AQ29" s="25">
        <v>3.7725565331679742E-2</v>
      </c>
      <c r="AR29" s="25">
        <v>1.1311564599984923E-2</v>
      </c>
      <c r="AS29" s="25">
        <v>4.0851088562479064E-2</v>
      </c>
      <c r="AT29" s="25">
        <v>-2.014542649411101E-2</v>
      </c>
      <c r="AU29" s="25">
        <v>1.4889522900890118E-2</v>
      </c>
      <c r="AV29" s="25">
        <v>3.7287878899436785E-2</v>
      </c>
      <c r="AW29" s="25">
        <v>3.9001435882286932E-2</v>
      </c>
      <c r="AX29" s="25">
        <v>1.2413062693241897E-2</v>
      </c>
      <c r="AY29" s="25">
        <v>4.2901851694579225E-2</v>
      </c>
      <c r="AZ29" s="25">
        <v>2.8359704792122409E-2</v>
      </c>
      <c r="BA29" s="25">
        <v>2.1693533654023447E-2</v>
      </c>
      <c r="BB29" s="25">
        <v>2.3288021895952388E-2</v>
      </c>
      <c r="BC29" s="25">
        <v>3.0072209010453162E-3</v>
      </c>
      <c r="BD29" s="25">
        <v>4.2210770833957821E-2</v>
      </c>
      <c r="BE29" s="25">
        <v>1.6423946734048091E-2</v>
      </c>
      <c r="BF29" s="25">
        <v>5.6990872205192698E-3</v>
      </c>
      <c r="BG29" s="25">
        <v>3.934973282932791E-2</v>
      </c>
      <c r="BH29" s="25">
        <v>1.6244805250539496E-2</v>
      </c>
      <c r="BI29" s="25">
        <v>3.540111973731723E-2</v>
      </c>
      <c r="BJ29" s="25">
        <v>-1.2374142361301944E-2</v>
      </c>
      <c r="BK29" s="25">
        <v>3.080258707631605E-2</v>
      </c>
      <c r="BL29" s="25">
        <v>-5.5916814954555666E-3</v>
      </c>
      <c r="BM29" s="25">
        <v>2.2069438509211801E-2</v>
      </c>
      <c r="BN29" s="25">
        <v>4.5882597847376694E-2</v>
      </c>
      <c r="BO29" s="25">
        <v>4.8505456259115537E-2</v>
      </c>
      <c r="BP29" s="25">
        <v>1.5823638796676656E-2</v>
      </c>
      <c r="BQ29" s="25">
        <v>4.0070346987888181E-2</v>
      </c>
      <c r="BR29" s="25">
        <v>2.823759644172065E-2</v>
      </c>
      <c r="BS29" s="25">
        <v>3.2055866622342125E-2</v>
      </c>
      <c r="BT29" s="25">
        <v>3.1897266708729471E-2</v>
      </c>
    </row>
    <row r="30" spans="1:72">
      <c r="A30" s="932" t="s">
        <v>450</v>
      </c>
      <c r="B30" s="984">
        <v>10.8</v>
      </c>
      <c r="C30" s="985">
        <v>5.6</v>
      </c>
      <c r="D30" s="986">
        <v>91.372477335833381</v>
      </c>
      <c r="E30" s="1311">
        <v>302.39999999999998</v>
      </c>
      <c r="G30" s="113">
        <v>1</v>
      </c>
      <c r="H30" s="174">
        <f t="shared" si="3"/>
        <v>5.6</v>
      </c>
      <c r="I30" s="174">
        <f t="shared" si="4"/>
        <v>91.372477335833381</v>
      </c>
      <c r="J30" s="169">
        <f t="shared" si="5"/>
        <v>302.39999999999998</v>
      </c>
      <c r="L30" s="1313">
        <f t="shared" si="1"/>
        <v>10.8</v>
      </c>
      <c r="S30" s="1313">
        <v>11.350737524842543</v>
      </c>
      <c r="U30" s="1313">
        <f t="shared" si="2"/>
        <v>-0.55073752484254257</v>
      </c>
      <c r="W30" s="25">
        <v>-1.2776535385649306E-2</v>
      </c>
      <c r="X30" s="25">
        <v>8.0549638642689117E-3</v>
      </c>
      <c r="Y30" s="25">
        <v>2.7923032771135805E-2</v>
      </c>
      <c r="Z30" s="25">
        <v>2.2525583634810942E-4</v>
      </c>
      <c r="AA30" s="25">
        <v>3.4462662506062697E-2</v>
      </c>
      <c r="AB30" s="25">
        <v>3.9059911380692001E-2</v>
      </c>
      <c r="AC30" s="25">
        <v>2.972792239022741E-2</v>
      </c>
      <c r="AD30" s="25">
        <v>-4.1474546940724263E-3</v>
      </c>
      <c r="AE30" s="25">
        <v>1.1030323482433116E-2</v>
      </c>
      <c r="AF30" s="25">
        <v>-8.1151085138503661E-3</v>
      </c>
      <c r="AG30" s="25">
        <v>-9.6380183276186665E-3</v>
      </c>
      <c r="AH30" s="25">
        <v>3.2022441854926052E-2</v>
      </c>
      <c r="AI30" s="25">
        <v>1.1730192472614394E-2</v>
      </c>
      <c r="AJ30" s="25">
        <v>1.2955266822358834E-2</v>
      </c>
      <c r="AK30" s="25">
        <v>4.9584512271711213E-2</v>
      </c>
      <c r="AL30" s="25">
        <v>2.2431439382565924E-2</v>
      </c>
      <c r="AM30" s="25">
        <v>2.0187516469919151E-2</v>
      </c>
      <c r="AN30" s="25">
        <v>-2.952324664056051E-2</v>
      </c>
      <c r="AO30" s="25">
        <v>3.9712358255147719E-2</v>
      </c>
      <c r="AP30" s="25">
        <v>-9.6994585246992886E-3</v>
      </c>
      <c r="AQ30" s="25">
        <v>4.5228986311711177E-2</v>
      </c>
      <c r="AR30" s="25">
        <v>1.2351544424436322E-2</v>
      </c>
      <c r="AS30" s="25">
        <v>4.4259109591220813E-2</v>
      </c>
      <c r="AT30" s="25">
        <v>-3.767323333799999E-2</v>
      </c>
      <c r="AU30" s="25">
        <v>1.5778301669438843E-2</v>
      </c>
      <c r="AV30" s="25">
        <v>3.9001435882286994E-2</v>
      </c>
      <c r="AW30" s="25">
        <v>4.181102906403901E-2</v>
      </c>
      <c r="AX30" s="25">
        <v>2.1431149486872067E-2</v>
      </c>
      <c r="AY30" s="25">
        <v>4.0979707464537621E-2</v>
      </c>
      <c r="AZ30" s="25">
        <v>2.9867187699238761E-2</v>
      </c>
      <c r="BA30" s="25">
        <v>3.1064457211155153E-2</v>
      </c>
      <c r="BB30" s="25">
        <v>2.6039540054928968E-2</v>
      </c>
      <c r="BC30" s="25">
        <v>-7.7975990562767147E-4</v>
      </c>
      <c r="BD30" s="25">
        <v>4.074721052459624E-2</v>
      </c>
      <c r="BE30" s="25">
        <v>1.2334721964777699E-2</v>
      </c>
      <c r="BF30" s="25">
        <v>3.5927539217790539E-3</v>
      </c>
      <c r="BG30" s="25">
        <v>4.195486121634226E-2</v>
      </c>
      <c r="BH30" s="25">
        <v>1.4548966501464323E-2</v>
      </c>
      <c r="BI30" s="25">
        <v>3.4515740185686573E-2</v>
      </c>
      <c r="BJ30" s="25">
        <v>-1.0505056663126608E-2</v>
      </c>
      <c r="BK30" s="25">
        <v>2.6050268040152078E-2</v>
      </c>
      <c r="BL30" s="25">
        <v>-3.7697615222724717E-3</v>
      </c>
      <c r="BM30" s="25">
        <v>2.6454146801593911E-2</v>
      </c>
      <c r="BN30" s="25">
        <v>4.8934881674165306E-2</v>
      </c>
      <c r="BO30" s="25">
        <v>4.8294148165299068E-2</v>
      </c>
      <c r="BP30" s="25">
        <v>1.0538645924718391E-2</v>
      </c>
      <c r="BQ30" s="25">
        <v>4.5362430323542896E-2</v>
      </c>
      <c r="BR30" s="25">
        <v>2.5263329681517566E-2</v>
      </c>
      <c r="BS30" s="25">
        <v>3.1858021301123696E-2</v>
      </c>
      <c r="BT30" s="25">
        <v>2.9257258668447857E-2</v>
      </c>
    </row>
    <row r="31" spans="1:72">
      <c r="A31" s="932" t="s">
        <v>451</v>
      </c>
      <c r="B31" s="984">
        <v>11.3</v>
      </c>
      <c r="C31" s="985">
        <v>6.4</v>
      </c>
      <c r="D31" s="986">
        <v>80.891227371165002</v>
      </c>
      <c r="E31" s="1311">
        <v>750.6</v>
      </c>
      <c r="G31" s="113">
        <v>1</v>
      </c>
      <c r="H31" s="174">
        <f t="shared" si="3"/>
        <v>6.4</v>
      </c>
      <c r="I31" s="174">
        <f t="shared" si="4"/>
        <v>80.891227371165002</v>
      </c>
      <c r="J31" s="169">
        <f t="shared" si="5"/>
        <v>750.6</v>
      </c>
      <c r="L31" s="1313">
        <f t="shared" si="1"/>
        <v>11.3</v>
      </c>
      <c r="S31" s="1313">
        <v>12.630597532474905</v>
      </c>
      <c r="U31" s="1313">
        <f t="shared" si="2"/>
        <v>-1.3305975324749042</v>
      </c>
      <c r="W31" s="25">
        <v>-1.9568299484686774E-2</v>
      </c>
      <c r="X31" s="25">
        <v>8.2204525891435912E-2</v>
      </c>
      <c r="Y31" s="25">
        <v>5.4581993081117913E-2</v>
      </c>
      <c r="Z31" s="25">
        <v>2.3186625624113107E-2</v>
      </c>
      <c r="AA31" s="25">
        <v>8.3136494714593057E-2</v>
      </c>
      <c r="AB31" s="25">
        <v>3.1290858831542312E-2</v>
      </c>
      <c r="AC31" s="25">
        <v>-1.0357582128370096E-2</v>
      </c>
      <c r="AD31" s="25">
        <v>6.7566227508020507E-2</v>
      </c>
      <c r="AE31" s="25">
        <v>0.10157816070829116</v>
      </c>
      <c r="AF31" s="25">
        <v>5.2072624211019665E-3</v>
      </c>
      <c r="AG31" s="25">
        <v>-4.6932351551838891E-2</v>
      </c>
      <c r="AH31" s="25">
        <v>-1.655519923719237E-2</v>
      </c>
      <c r="AI31" s="25">
        <v>4.5318428646434303E-2</v>
      </c>
      <c r="AJ31" s="25">
        <v>-1.7895968695572959E-2</v>
      </c>
      <c r="AK31" s="25">
        <v>3.1298401188884856E-2</v>
      </c>
      <c r="AL31" s="25">
        <v>3.4709500742945827E-2</v>
      </c>
      <c r="AM31" s="25">
        <v>-1.7964583307154308E-2</v>
      </c>
      <c r="AN31" s="25">
        <v>4.0131107112009796E-2</v>
      </c>
      <c r="AO31" s="25">
        <v>-4.1043600184528906E-2</v>
      </c>
      <c r="AP31" s="25">
        <v>4.8822845437367673E-2</v>
      </c>
      <c r="AQ31" s="25">
        <v>6.9408857079619565E-2</v>
      </c>
      <c r="AR31" s="25">
        <v>4.6238856426553919E-2</v>
      </c>
      <c r="AS31" s="25">
        <v>2.2696356191292254E-2</v>
      </c>
      <c r="AT31" s="25">
        <v>-0.10580820347840214</v>
      </c>
      <c r="AU31" s="25">
        <v>4.0827379603224627E-2</v>
      </c>
      <c r="AV31" s="25">
        <v>1.2413062693241821E-2</v>
      </c>
      <c r="AW31" s="25">
        <v>2.1431149486871939E-2</v>
      </c>
      <c r="AX31" s="25">
        <v>0.12780252029224232</v>
      </c>
      <c r="AY31" s="25">
        <v>-3.2481665875298271E-2</v>
      </c>
      <c r="AZ31" s="25">
        <v>1.6377563708522405E-2</v>
      </c>
      <c r="BA31" s="25">
        <v>0.11674658715816577</v>
      </c>
      <c r="BB31" s="25">
        <v>3.68651074007997E-2</v>
      </c>
      <c r="BC31" s="25">
        <v>5.6074454548959984E-3</v>
      </c>
      <c r="BD31" s="25">
        <v>-2.9290128552881961E-2</v>
      </c>
      <c r="BE31" s="25">
        <v>-1.4438043881833992E-2</v>
      </c>
      <c r="BF31" s="25">
        <v>2.1304182542192462E-2</v>
      </c>
      <c r="BG31" s="25">
        <v>1.777908618182681E-2</v>
      </c>
      <c r="BH31" s="25">
        <v>1.1488753787997463E-2</v>
      </c>
      <c r="BI31" s="25">
        <v>-1.2832170806823084E-2</v>
      </c>
      <c r="BJ31" s="25">
        <v>8.9439391636573579E-2</v>
      </c>
      <c r="BK31" s="25">
        <v>-4.524871706146591E-2</v>
      </c>
      <c r="BL31" s="25">
        <v>8.4752036086461563E-2</v>
      </c>
      <c r="BM31" s="25">
        <v>6.2573734487780752E-2</v>
      </c>
      <c r="BN31" s="25">
        <v>1.2499263254617435E-2</v>
      </c>
      <c r="BO31" s="25">
        <v>-2.4100586519833808E-2</v>
      </c>
      <c r="BP31" s="25">
        <v>-3.4171512615040187E-2</v>
      </c>
      <c r="BQ31" s="25">
        <v>4.0555163597206609E-2</v>
      </c>
      <c r="BR31" s="25">
        <v>-1.7424748644551583E-2</v>
      </c>
      <c r="BS31" s="25">
        <v>1.3369996142173629E-3</v>
      </c>
      <c r="BT31" s="25">
        <v>-2.1062566566681318E-2</v>
      </c>
    </row>
    <row r="32" spans="1:72">
      <c r="A32" s="932" t="s">
        <v>452</v>
      </c>
      <c r="B32" s="984">
        <v>7.6</v>
      </c>
      <c r="C32" s="985">
        <v>6.1</v>
      </c>
      <c r="D32" s="986">
        <v>95.487186970145373</v>
      </c>
      <c r="E32" s="1311">
        <v>137.30000000000001</v>
      </c>
      <c r="G32" s="113">
        <v>1</v>
      </c>
      <c r="H32" s="174">
        <f t="shared" si="3"/>
        <v>6.1</v>
      </c>
      <c r="I32" s="174">
        <f t="shared" si="4"/>
        <v>95.487186970145373</v>
      </c>
      <c r="J32" s="169">
        <f t="shared" si="5"/>
        <v>137.30000000000001</v>
      </c>
      <c r="L32" s="1313">
        <f t="shared" si="1"/>
        <v>7.6</v>
      </c>
      <c r="S32" s="1313">
        <v>11.905207608821588</v>
      </c>
      <c r="U32" s="1313">
        <f t="shared" si="2"/>
        <v>-4.305207608821588</v>
      </c>
      <c r="W32" s="25">
        <v>1.0401262829553523E-2</v>
      </c>
      <c r="X32" s="25">
        <v>-2.940373068306518E-2</v>
      </c>
      <c r="Y32" s="25">
        <v>1.2633906657327571E-2</v>
      </c>
      <c r="Z32" s="25">
        <v>7.8863921409598383E-3</v>
      </c>
      <c r="AA32" s="25">
        <v>-1.0244925239638936E-2</v>
      </c>
      <c r="AB32" s="25">
        <v>3.2950027468969419E-2</v>
      </c>
      <c r="AC32" s="25">
        <v>4.1932732023570896E-2</v>
      </c>
      <c r="AD32" s="25">
        <v>-2.3503446262871073E-2</v>
      </c>
      <c r="AE32" s="25">
        <v>-2.6008023192247945E-2</v>
      </c>
      <c r="AF32" s="25">
        <v>-6.3139461180649137E-3</v>
      </c>
      <c r="AG32" s="25">
        <v>-2.6023287708384586E-2</v>
      </c>
      <c r="AH32" s="25">
        <v>5.8704451721185602E-2</v>
      </c>
      <c r="AI32" s="25">
        <v>5.2005124029404215E-4</v>
      </c>
      <c r="AJ32" s="25">
        <v>4.2408637132704749E-2</v>
      </c>
      <c r="AK32" s="25">
        <v>4.3275286774941621E-2</v>
      </c>
      <c r="AL32" s="25">
        <v>2.2363736776915707E-2</v>
      </c>
      <c r="AM32" s="25">
        <v>4.8127735915966779E-2</v>
      </c>
      <c r="AN32" s="25">
        <v>-3.3653718444732618E-2</v>
      </c>
      <c r="AO32" s="25">
        <v>7.6230176877765968E-2</v>
      </c>
      <c r="AP32" s="25">
        <v>-3.0463676981874868E-2</v>
      </c>
      <c r="AQ32" s="25">
        <v>1.3119188057104082E-2</v>
      </c>
      <c r="AR32" s="25">
        <v>2.8937535297965111E-3</v>
      </c>
      <c r="AS32" s="25">
        <v>3.8630356583032308E-2</v>
      </c>
      <c r="AT32" s="25">
        <v>2.750013335942824E-2</v>
      </c>
      <c r="AU32" s="25">
        <v>1.1819958971672331E-2</v>
      </c>
      <c r="AV32" s="25">
        <v>4.2901851694579281E-2</v>
      </c>
      <c r="AW32" s="25">
        <v>4.09797074645376E-2</v>
      </c>
      <c r="AX32" s="25">
        <v>-3.2481665875298271E-2</v>
      </c>
      <c r="AY32" s="25">
        <v>7.1585944282461164E-2</v>
      </c>
      <c r="AZ32" s="25">
        <v>1.8972906788463795E-2</v>
      </c>
      <c r="BA32" s="25">
        <v>-1.8892042677420361E-2</v>
      </c>
      <c r="BB32" s="25">
        <v>4.1400500261538449E-3</v>
      </c>
      <c r="BC32" s="25">
        <v>7.4256357607432573E-3</v>
      </c>
      <c r="BD32" s="25">
        <v>6.489431258298127E-2</v>
      </c>
      <c r="BE32" s="25">
        <v>3.6468330379443768E-2</v>
      </c>
      <c r="BF32" s="25">
        <v>7.0845767995012295E-3</v>
      </c>
      <c r="BG32" s="25">
        <v>4.1281507516057095E-2</v>
      </c>
      <c r="BH32" s="25">
        <v>2.5842697558079757E-2</v>
      </c>
      <c r="BI32" s="25">
        <v>5.0519081888752849E-2</v>
      </c>
      <c r="BJ32" s="25">
        <v>-4.3757546946696119E-2</v>
      </c>
      <c r="BK32" s="25">
        <v>6.1831721028149919E-2</v>
      </c>
      <c r="BL32" s="25">
        <v>-2.4056834771087096E-2</v>
      </c>
      <c r="BM32" s="25">
        <v>3.0530672689765507E-3</v>
      </c>
      <c r="BN32" s="25">
        <v>5.0463192902134975E-2</v>
      </c>
      <c r="BO32" s="25">
        <v>7.2069214130470016E-2</v>
      </c>
      <c r="BP32" s="25">
        <v>3.06505901772685E-2</v>
      </c>
      <c r="BQ32" s="25">
        <v>2.4689686175618279E-2</v>
      </c>
      <c r="BR32" s="25">
        <v>5.5910325539616404E-2</v>
      </c>
      <c r="BS32" s="25">
        <v>4.39502514374598E-2</v>
      </c>
      <c r="BT32" s="25">
        <v>5.8690405438747976E-2</v>
      </c>
    </row>
    <row r="33" spans="1:72">
      <c r="A33" s="932" t="s">
        <v>453</v>
      </c>
      <c r="B33" s="984">
        <v>8.6999999999999993</v>
      </c>
      <c r="C33" s="985">
        <v>5.5</v>
      </c>
      <c r="D33" s="986">
        <v>76.032117342828414</v>
      </c>
      <c r="E33" s="1311">
        <v>329.3</v>
      </c>
      <c r="G33" s="113">
        <v>1</v>
      </c>
      <c r="H33" s="174">
        <f t="shared" si="3"/>
        <v>5.5</v>
      </c>
      <c r="I33" s="174">
        <f t="shared" si="4"/>
        <v>76.032117342828414</v>
      </c>
      <c r="J33" s="169">
        <f t="shared" si="5"/>
        <v>329.3</v>
      </c>
      <c r="L33" s="1313">
        <f t="shared" si="1"/>
        <v>8.6999999999999993</v>
      </c>
      <c r="S33" s="1313">
        <v>10.703770804947315</v>
      </c>
      <c r="U33" s="1313">
        <f t="shared" si="2"/>
        <v>-2.0037708049473153</v>
      </c>
      <c r="W33" s="25">
        <v>-2.4450739710530252E-3</v>
      </c>
      <c r="X33" s="25">
        <v>3.0245899523651185E-2</v>
      </c>
      <c r="Y33" s="25">
        <v>1.6450883172439059E-2</v>
      </c>
      <c r="Z33" s="25">
        <v>-1.499631601441386E-2</v>
      </c>
      <c r="AA33" s="25">
        <v>6.1008205937747702E-2</v>
      </c>
      <c r="AB33" s="25">
        <v>2.925085539373035E-2</v>
      </c>
      <c r="AC33" s="25">
        <v>3.3896408010606088E-2</v>
      </c>
      <c r="AD33" s="25">
        <v>-5.0339912583725541E-3</v>
      </c>
      <c r="AE33" s="25">
        <v>2.2049349141958635E-3</v>
      </c>
      <c r="AF33" s="25">
        <v>2.4039006301866978E-2</v>
      </c>
      <c r="AG33" s="25">
        <v>0.15058485730038176</v>
      </c>
      <c r="AH33" s="25">
        <v>2.977601288228101E-3</v>
      </c>
      <c r="AI33" s="25">
        <v>1.1257437048659388E-2</v>
      </c>
      <c r="AJ33" s="25">
        <v>-1.1299532355360214E-2</v>
      </c>
      <c r="AK33" s="25">
        <v>3.4434356974180409E-2</v>
      </c>
      <c r="AL33" s="25">
        <v>-1.2044550071028254E-4</v>
      </c>
      <c r="AM33" s="25">
        <v>-3.7388880314478366E-3</v>
      </c>
      <c r="AN33" s="25">
        <v>-1.9372850846718935E-2</v>
      </c>
      <c r="AO33" s="25">
        <v>1.4144692297630837E-2</v>
      </c>
      <c r="AP33" s="25">
        <v>2.3750553975875621E-2</v>
      </c>
      <c r="AQ33" s="25">
        <v>5.0077008425053929E-2</v>
      </c>
      <c r="AR33" s="25">
        <v>5.23776899422514E-3</v>
      </c>
      <c r="AS33" s="25">
        <v>4.2670946872070438E-2</v>
      </c>
      <c r="AT33" s="25">
        <v>-6.7923416348844717E-3</v>
      </c>
      <c r="AU33" s="25">
        <v>-9.3916517293924848E-4</v>
      </c>
      <c r="AV33" s="25">
        <v>2.8359704792122527E-2</v>
      </c>
      <c r="AW33" s="25">
        <v>2.9867187699238885E-2</v>
      </c>
      <c r="AX33" s="25">
        <v>1.6377563708522974E-2</v>
      </c>
      <c r="AY33" s="25">
        <v>1.8972906788463674E-2</v>
      </c>
      <c r="AZ33" s="25">
        <v>6.0412896712628575E-2</v>
      </c>
      <c r="BA33" s="25">
        <v>2.5499786690788423E-2</v>
      </c>
      <c r="BB33" s="25">
        <v>6.0067549298095803E-2</v>
      </c>
      <c r="BC33" s="25">
        <v>8.5755519259013025E-3</v>
      </c>
      <c r="BD33" s="25">
        <v>3.2495914781403304E-2</v>
      </c>
      <c r="BE33" s="25">
        <v>-1.5562936944270023E-3</v>
      </c>
      <c r="BF33" s="25">
        <v>1.0112718786951551E-3</v>
      </c>
      <c r="BG33" s="25">
        <v>3.4792421785851076E-2</v>
      </c>
      <c r="BH33" s="25">
        <v>-1.9618250829922771E-3</v>
      </c>
      <c r="BI33" s="25">
        <v>2.8858965602538283E-2</v>
      </c>
      <c r="BJ33" s="25">
        <v>-3.3093468622791278E-4</v>
      </c>
      <c r="BK33" s="25">
        <v>1.6328199153801508E-2</v>
      </c>
      <c r="BL33" s="25">
        <v>-2.7216255384506602E-2</v>
      </c>
      <c r="BM33" s="25">
        <v>2.7125995295774471E-2</v>
      </c>
      <c r="BN33" s="25">
        <v>3.9312693256752865E-2</v>
      </c>
      <c r="BO33" s="25">
        <v>2.9325035673348598E-2</v>
      </c>
      <c r="BP33" s="25">
        <v>3.7710061754939135E-2</v>
      </c>
      <c r="BQ33" s="25">
        <v>5.9736815354349701E-2</v>
      </c>
      <c r="BR33" s="25">
        <v>-9.9442139593713536E-3</v>
      </c>
      <c r="BS33" s="25">
        <v>1.8152755059444962E-2</v>
      </c>
      <c r="BT33" s="25">
        <v>5.3343395023358608E-4</v>
      </c>
    </row>
    <row r="34" spans="1:72">
      <c r="A34" s="932" t="s">
        <v>454</v>
      </c>
      <c r="B34" s="984">
        <v>17.100000000000001</v>
      </c>
      <c r="C34" s="985">
        <v>5.8</v>
      </c>
      <c r="D34" s="986">
        <v>83.996520785584835</v>
      </c>
      <c r="E34" s="1311">
        <v>664.2</v>
      </c>
      <c r="G34" s="113">
        <v>1</v>
      </c>
      <c r="H34" s="174">
        <f t="shared" si="3"/>
        <v>5.8</v>
      </c>
      <c r="I34" s="174">
        <f t="shared" si="4"/>
        <v>83.996520785584835</v>
      </c>
      <c r="J34" s="169">
        <f t="shared" si="5"/>
        <v>664.2</v>
      </c>
      <c r="L34" s="1313">
        <f t="shared" si="1"/>
        <v>17.100000000000001</v>
      </c>
      <c r="S34" s="1313">
        <v>11.852963983075865</v>
      </c>
      <c r="U34" s="1313">
        <f t="shared" si="2"/>
        <v>5.2470360169241363</v>
      </c>
      <c r="W34" s="25">
        <v>-3.107827529853182E-2</v>
      </c>
      <c r="X34" s="25">
        <v>7.2274844031362251E-2</v>
      </c>
      <c r="Y34" s="25">
        <v>5.3689962248174447E-2</v>
      </c>
      <c r="Z34" s="25">
        <v>1.0856136525117511E-2</v>
      </c>
      <c r="AA34" s="25">
        <v>8.7215106136551521E-2</v>
      </c>
      <c r="AB34" s="25">
        <v>3.87429202566053E-2</v>
      </c>
      <c r="AC34" s="25">
        <v>-1.7038204474614793E-3</v>
      </c>
      <c r="AD34" s="25">
        <v>5.0105561892895847E-2</v>
      </c>
      <c r="AE34" s="25">
        <v>8.7440454552451419E-2</v>
      </c>
      <c r="AF34" s="25">
        <v>-3.8526564653916726E-3</v>
      </c>
      <c r="AG34" s="25">
        <v>-3.5971817648298987E-2</v>
      </c>
      <c r="AH34" s="25">
        <v>-1.0070685014693742E-2</v>
      </c>
      <c r="AI34" s="25">
        <v>3.8381628446887514E-2</v>
      </c>
      <c r="AJ34" s="25">
        <v>-2.0502873082507089E-2</v>
      </c>
      <c r="AK34" s="25">
        <v>4.352049638179057E-2</v>
      </c>
      <c r="AL34" s="25">
        <v>3.1723088896612642E-2</v>
      </c>
      <c r="AM34" s="25">
        <v>-1.6805329714980187E-2</v>
      </c>
      <c r="AN34" s="25">
        <v>1.3792668624302985E-2</v>
      </c>
      <c r="AO34" s="25">
        <v>-2.7645501762664962E-2</v>
      </c>
      <c r="AP34" s="25">
        <v>3.4578740008279207E-2</v>
      </c>
      <c r="AQ34" s="25">
        <v>7.7840762835887339E-2</v>
      </c>
      <c r="AR34" s="25">
        <v>3.8727856799862778E-2</v>
      </c>
      <c r="AS34" s="25">
        <v>3.4702232505305616E-2</v>
      </c>
      <c r="AT34" s="25">
        <v>-0.11870512324031726</v>
      </c>
      <c r="AU34" s="25">
        <v>3.448582293540374E-2</v>
      </c>
      <c r="AV34" s="25">
        <v>2.1693533654023416E-2</v>
      </c>
      <c r="AW34" s="25">
        <v>3.1064457211155062E-2</v>
      </c>
      <c r="AX34" s="25">
        <v>0.11674658715816592</v>
      </c>
      <c r="AY34" s="25">
        <v>-1.889204267742034E-2</v>
      </c>
      <c r="AZ34" s="25">
        <v>2.5499786690787903E-2</v>
      </c>
      <c r="BA34" s="25">
        <v>0.11173071043669271</v>
      </c>
      <c r="BB34" s="25">
        <v>4.2311757702631764E-2</v>
      </c>
      <c r="BC34" s="25">
        <v>-2.4618786297531704E-3</v>
      </c>
      <c r="BD34" s="25">
        <v>-1.449775394083086E-2</v>
      </c>
      <c r="BE34" s="25">
        <v>-1.6477102420536946E-2</v>
      </c>
      <c r="BF34" s="25">
        <v>1.2420282115336998E-2</v>
      </c>
      <c r="BG34" s="25">
        <v>2.8440006098567852E-2</v>
      </c>
      <c r="BH34" s="25">
        <v>7.5836752156484173E-3</v>
      </c>
      <c r="BI34" s="25">
        <v>-2.6403046946828629E-3</v>
      </c>
      <c r="BJ34" s="25">
        <v>6.7769171229904404E-2</v>
      </c>
      <c r="BK34" s="25">
        <v>-3.653610473125235E-2</v>
      </c>
      <c r="BL34" s="25">
        <v>6.2990823936845686E-2</v>
      </c>
      <c r="BM34" s="25">
        <v>6.1556847881525253E-2</v>
      </c>
      <c r="BN34" s="25">
        <v>2.7002140285983092E-2</v>
      </c>
      <c r="BO34" s="25">
        <v>-7.2535267713694229E-3</v>
      </c>
      <c r="BP34" s="25">
        <v>-3.0151137077787854E-2</v>
      </c>
      <c r="BQ34" s="25">
        <v>5.3194367389222376E-2</v>
      </c>
      <c r="BR34" s="25">
        <v>-1.5067020994936488E-2</v>
      </c>
      <c r="BS34" s="25">
        <v>7.7244911898057753E-3</v>
      </c>
      <c r="BT34" s="25">
        <v>-1.5493966660362304E-2</v>
      </c>
    </row>
    <row r="35" spans="1:72">
      <c r="A35" s="932" t="s">
        <v>455</v>
      </c>
      <c r="B35" s="984">
        <v>13.6</v>
      </c>
      <c r="C35" s="985">
        <v>5.6</v>
      </c>
      <c r="D35" s="986">
        <v>73.422529169257928</v>
      </c>
      <c r="E35" s="1311">
        <v>414.1</v>
      </c>
      <c r="G35" s="113">
        <v>1</v>
      </c>
      <c r="H35" s="174">
        <f t="shared" si="3"/>
        <v>5.6</v>
      </c>
      <c r="I35" s="174">
        <f t="shared" si="4"/>
        <v>73.422529169257928</v>
      </c>
      <c r="J35" s="169">
        <f t="shared" si="5"/>
        <v>414.1</v>
      </c>
      <c r="L35" s="1313">
        <f t="shared" si="1"/>
        <v>13.6</v>
      </c>
      <c r="S35" s="1313">
        <v>10.857452575591617</v>
      </c>
      <c r="U35" s="1313">
        <f t="shared" si="2"/>
        <v>2.7425474244083823</v>
      </c>
      <c r="W35" s="25">
        <v>-4.4593352615353993E-3</v>
      </c>
      <c r="X35" s="25">
        <v>4.5590259397661898E-2</v>
      </c>
      <c r="Y35" s="25">
        <v>2.1261984557831723E-2</v>
      </c>
      <c r="Z35" s="25">
        <v>-1.225952625805444E-2</v>
      </c>
      <c r="AA35" s="25">
        <v>7.2723432454270057E-2</v>
      </c>
      <c r="AB35" s="25">
        <v>2.7902539462339757E-2</v>
      </c>
      <c r="AC35" s="25">
        <v>2.6731397512832746E-2</v>
      </c>
      <c r="AD35" s="25">
        <v>7.9167481753568067E-3</v>
      </c>
      <c r="AE35" s="25">
        <v>1.8952940748171207E-2</v>
      </c>
      <c r="AF35" s="25">
        <v>2.7482575625701854E-2</v>
      </c>
      <c r="AG35" s="25">
        <v>0.15200159175183153</v>
      </c>
      <c r="AH35" s="25">
        <v>-7.8003580233035122E-3</v>
      </c>
      <c r="AI35" s="25">
        <v>1.7442705331813323E-2</v>
      </c>
      <c r="AJ35" s="25">
        <v>-1.9097656545269424E-2</v>
      </c>
      <c r="AK35" s="25">
        <v>3.11319386901543E-2</v>
      </c>
      <c r="AL35" s="25">
        <v>9.8020583912725862E-4</v>
      </c>
      <c r="AM35" s="25">
        <v>-1.2647407653469875E-2</v>
      </c>
      <c r="AN35" s="25">
        <v>-7.1702804858881017E-3</v>
      </c>
      <c r="AO35" s="25">
        <v>-2.3816627810581553E-3</v>
      </c>
      <c r="AP35" s="25">
        <v>3.6023529277907265E-2</v>
      </c>
      <c r="AQ35" s="25">
        <v>5.6112996833297235E-2</v>
      </c>
      <c r="AR35" s="25">
        <v>1.1096624736659864E-2</v>
      </c>
      <c r="AS35" s="25">
        <v>3.9350981817924249E-2</v>
      </c>
      <c r="AT35" s="25">
        <v>-2.0508076471438819E-2</v>
      </c>
      <c r="AU35" s="25">
        <v>2.7423520507591018E-3</v>
      </c>
      <c r="AV35" s="25">
        <v>2.3288021895952721E-2</v>
      </c>
      <c r="AW35" s="25">
        <v>2.6039540054929335E-2</v>
      </c>
      <c r="AX35" s="25">
        <v>3.6865107400800429E-2</v>
      </c>
      <c r="AY35" s="25">
        <v>4.1400500261539394E-3</v>
      </c>
      <c r="AZ35" s="25">
        <v>6.0067549298095921E-2</v>
      </c>
      <c r="BA35" s="25">
        <v>4.2311757702632458E-2</v>
      </c>
      <c r="BB35" s="25">
        <v>6.4523349754349535E-2</v>
      </c>
      <c r="BC35" s="25">
        <v>9.5567516030743479E-3</v>
      </c>
      <c r="BD35" s="25">
        <v>1.917031581763836E-2</v>
      </c>
      <c r="BE35" s="25">
        <v>-7.944612683501287E-3</v>
      </c>
      <c r="BF35" s="25">
        <v>3.6409407722574217E-3</v>
      </c>
      <c r="BG35" s="25">
        <v>3.05255513710719E-2</v>
      </c>
      <c r="BH35" s="25">
        <v>-3.7984127898923001E-3</v>
      </c>
      <c r="BI35" s="25">
        <v>1.986534301045121E-2</v>
      </c>
      <c r="BJ35" s="25">
        <v>1.8549732391828472E-2</v>
      </c>
      <c r="BK35" s="25">
        <v>2.0705150431866992E-3</v>
      </c>
      <c r="BL35" s="25">
        <v>-1.2365228156456742E-2</v>
      </c>
      <c r="BM35" s="25">
        <v>3.4471892535308274E-2</v>
      </c>
      <c r="BN35" s="25">
        <v>3.2786163117649751E-2</v>
      </c>
      <c r="BO35" s="25">
        <v>1.5183926147388414E-2</v>
      </c>
      <c r="BP35" s="25">
        <v>3.0285815288262671E-2</v>
      </c>
      <c r="BQ35" s="25">
        <v>6.0713955674309185E-2</v>
      </c>
      <c r="BR35" s="25">
        <v>-2.0227910584228508E-2</v>
      </c>
      <c r="BS35" s="25">
        <v>1.1835809952015545E-2</v>
      </c>
      <c r="BT35" s="25">
        <v>-1.0676425426887695E-2</v>
      </c>
    </row>
    <row r="36" spans="1:72">
      <c r="A36" s="932" t="s">
        <v>456</v>
      </c>
      <c r="B36" s="984">
        <v>14.6</v>
      </c>
      <c r="C36" s="985">
        <v>8.1</v>
      </c>
      <c r="D36" s="986">
        <v>73.937344387272134</v>
      </c>
      <c r="E36" s="1311">
        <v>466.4</v>
      </c>
      <c r="G36" s="113">
        <v>1</v>
      </c>
      <c r="H36" s="174">
        <f t="shared" si="3"/>
        <v>8.1</v>
      </c>
      <c r="I36" s="174">
        <f t="shared" si="4"/>
        <v>73.937344387272134</v>
      </c>
      <c r="J36" s="169">
        <f t="shared" si="5"/>
        <v>466.4</v>
      </c>
      <c r="L36" s="1313">
        <f t="shared" si="1"/>
        <v>14.6</v>
      </c>
      <c r="S36" s="1313">
        <v>14.148922758102305</v>
      </c>
      <c r="U36" s="1313">
        <f t="shared" si="2"/>
        <v>0.45107724189769449</v>
      </c>
      <c r="W36" s="25">
        <v>5.6399176421514458E-2</v>
      </c>
      <c r="X36" s="25">
        <v>2.2472414887263037E-2</v>
      </c>
      <c r="Y36" s="25">
        <v>8.741822381678109E-3</v>
      </c>
      <c r="Z36" s="25">
        <v>4.013423801532863E-2</v>
      </c>
      <c r="AA36" s="25">
        <v>-3.9234327718870726E-3</v>
      </c>
      <c r="AB36" s="25">
        <v>5.538896293249395E-4</v>
      </c>
      <c r="AC36" s="25">
        <v>1.38945501956909E-2</v>
      </c>
      <c r="AD36" s="25">
        <v>3.7923593978779535E-2</v>
      </c>
      <c r="AE36" s="25">
        <v>1.9350257368609153E-2</v>
      </c>
      <c r="AF36" s="25">
        <v>4.7198670391093961E-2</v>
      </c>
      <c r="AG36" s="25">
        <v>4.605758886564193E-2</v>
      </c>
      <c r="AH36" s="25">
        <v>1.4763188785386419E-2</v>
      </c>
      <c r="AI36" s="25">
        <v>2.5032787568414632E-2</v>
      </c>
      <c r="AJ36" s="25">
        <v>3.3341158240850606E-2</v>
      </c>
      <c r="AK36" s="25">
        <v>-9.4185179718435895E-3</v>
      </c>
      <c r="AL36" s="25">
        <v>1.7389140718351355E-2</v>
      </c>
      <c r="AM36" s="25">
        <v>2.6213597515743807E-2</v>
      </c>
      <c r="AN36" s="25">
        <v>6.5492384016925378E-2</v>
      </c>
      <c r="AO36" s="25">
        <v>9.9846591652449773E-3</v>
      </c>
      <c r="AP36" s="25">
        <v>4.3266073141573456E-2</v>
      </c>
      <c r="AQ36" s="25">
        <v>-1.1272139252396805E-2</v>
      </c>
      <c r="AR36" s="25">
        <v>2.4779274960759864E-2</v>
      </c>
      <c r="AS36" s="25">
        <v>-4.0792323647911039E-3</v>
      </c>
      <c r="AT36" s="25">
        <v>9.0100302495354417E-2</v>
      </c>
      <c r="AU36" s="25">
        <v>2.2760827497839267E-2</v>
      </c>
      <c r="AV36" s="25">
        <v>3.0072209010451687E-3</v>
      </c>
      <c r="AW36" s="25">
        <v>-7.797599056278701E-4</v>
      </c>
      <c r="AX36" s="25">
        <v>5.6074454548957764E-3</v>
      </c>
      <c r="AY36" s="25">
        <v>7.4256357607429962E-3</v>
      </c>
      <c r="AZ36" s="25">
        <v>8.5755519259014396E-3</v>
      </c>
      <c r="BA36" s="25">
        <v>-2.4618786297534306E-3</v>
      </c>
      <c r="BB36" s="25">
        <v>9.5567516030743375E-3</v>
      </c>
      <c r="BC36" s="25">
        <v>4.1553683449332475E-2</v>
      </c>
      <c r="BD36" s="25">
        <v>6.2826199519788739E-3</v>
      </c>
      <c r="BE36" s="25">
        <v>3.2787611602914088E-2</v>
      </c>
      <c r="BF36" s="25">
        <v>3.6157969046530819E-2</v>
      </c>
      <c r="BG36" s="25">
        <v>-8.0863349698306886E-4</v>
      </c>
      <c r="BH36" s="25">
        <v>2.7586724796754163E-2</v>
      </c>
      <c r="BI36" s="25">
        <v>1.018973493096037E-2</v>
      </c>
      <c r="BJ36" s="25">
        <v>4.0683375925873913E-2</v>
      </c>
      <c r="BK36" s="25">
        <v>2.2816483807493987E-2</v>
      </c>
      <c r="BL36" s="25">
        <v>3.7026597676892703E-2</v>
      </c>
      <c r="BM36" s="25">
        <v>8.3350074277196359E-3</v>
      </c>
      <c r="BN36" s="25">
        <v>-6.8451329002612582E-3</v>
      </c>
      <c r="BO36" s="25">
        <v>-1.0210211735803623E-3</v>
      </c>
      <c r="BP36" s="25">
        <v>3.408125450645863E-2</v>
      </c>
      <c r="BQ36" s="25">
        <v>-8.508210824178096E-3</v>
      </c>
      <c r="BR36" s="25">
        <v>2.1955784282873134E-2</v>
      </c>
      <c r="BS36" s="25">
        <v>1.1621099458468002E-2</v>
      </c>
      <c r="BT36" s="25">
        <v>1.8017810540027587E-2</v>
      </c>
    </row>
    <row r="37" spans="1:72">
      <c r="A37" s="932" t="s">
        <v>457</v>
      </c>
      <c r="B37" s="1317">
        <v>12</v>
      </c>
      <c r="C37" s="985">
        <v>5.8</v>
      </c>
      <c r="D37" s="986">
        <v>91.393509706444945</v>
      </c>
      <c r="E37" s="1311">
        <v>142.4</v>
      </c>
      <c r="G37" s="113">
        <v>1</v>
      </c>
      <c r="H37" s="174">
        <f t="shared" si="3"/>
        <v>5.8</v>
      </c>
      <c r="I37" s="174">
        <f t="shared" si="4"/>
        <v>91.393509706444945</v>
      </c>
      <c r="J37" s="169">
        <f t="shared" si="5"/>
        <v>142.4</v>
      </c>
      <c r="L37" s="1313">
        <f t="shared" si="1"/>
        <v>12</v>
      </c>
      <c r="S37" s="1313">
        <v>11.379935658704422</v>
      </c>
      <c r="U37" s="1313">
        <f t="shared" si="2"/>
        <v>0.62006434129557775</v>
      </c>
      <c r="W37" s="25">
        <v>6.1379872496092024E-3</v>
      </c>
      <c r="X37" s="25">
        <v>-2.0424629815284985E-2</v>
      </c>
      <c r="Y37" s="25">
        <v>1.1340286508968228E-2</v>
      </c>
      <c r="Z37" s="25">
        <v>-1.7158627425349522E-3</v>
      </c>
      <c r="AA37" s="25">
        <v>5.6501815951349281E-3</v>
      </c>
      <c r="AB37" s="25">
        <v>3.3440330272589927E-2</v>
      </c>
      <c r="AC37" s="25">
        <v>4.4084315280008154E-2</v>
      </c>
      <c r="AD37" s="25">
        <v>-2.6458042589421294E-2</v>
      </c>
      <c r="AE37" s="25">
        <v>-2.7495009723741068E-2</v>
      </c>
      <c r="AF37" s="25">
        <v>-1.5452031798820001E-4</v>
      </c>
      <c r="AG37" s="25">
        <v>2.6724545551752188E-2</v>
      </c>
      <c r="AH37" s="25">
        <v>4.826021189990809E-2</v>
      </c>
      <c r="AI37" s="25">
        <v>-1.5044182137017269E-4</v>
      </c>
      <c r="AJ37" s="25">
        <v>2.999102094593575E-2</v>
      </c>
      <c r="AK37" s="25">
        <v>4.3784979801918165E-2</v>
      </c>
      <c r="AL37" s="25">
        <v>1.483470020273751E-2</v>
      </c>
      <c r="AM37" s="25">
        <v>3.725738617013391E-2</v>
      </c>
      <c r="AN37" s="25">
        <v>-3.8596937759214987E-2</v>
      </c>
      <c r="AO37" s="25">
        <v>6.753463659808065E-2</v>
      </c>
      <c r="AP37" s="25">
        <v>-2.2154743972468176E-2</v>
      </c>
      <c r="AQ37" s="25">
        <v>2.2174889161527555E-2</v>
      </c>
      <c r="AR37" s="25">
        <v>-1.6605734641712486E-4</v>
      </c>
      <c r="AS37" s="25">
        <v>4.2918041589499578E-2</v>
      </c>
      <c r="AT37" s="25">
        <v>2.2352597141317244E-2</v>
      </c>
      <c r="AU37" s="25">
        <v>5.4992427629469934E-3</v>
      </c>
      <c r="AV37" s="25">
        <v>4.22107708339578E-2</v>
      </c>
      <c r="AW37" s="25">
        <v>4.0747210524596171E-2</v>
      </c>
      <c r="AX37" s="25">
        <v>-2.9290128552881906E-2</v>
      </c>
      <c r="AY37" s="25">
        <v>6.4894312582981159E-2</v>
      </c>
      <c r="AZ37" s="25">
        <v>3.2495914781403339E-2</v>
      </c>
      <c r="BA37" s="25">
        <v>-1.4497753940830804E-2</v>
      </c>
      <c r="BB37" s="25">
        <v>1.91703158176382E-2</v>
      </c>
      <c r="BC37" s="25">
        <v>6.2826199519789225E-3</v>
      </c>
      <c r="BD37" s="25">
        <v>6.3588782287749418E-2</v>
      </c>
      <c r="BE37" s="25">
        <v>2.8068469073779849E-2</v>
      </c>
      <c r="BF37" s="25">
        <v>2.9200887048794317E-3</v>
      </c>
      <c r="BG37" s="25">
        <v>4.2751122226018082E-2</v>
      </c>
      <c r="BH37" s="25">
        <v>1.8038738435850694E-2</v>
      </c>
      <c r="BI37" s="25">
        <v>4.9724785190193403E-2</v>
      </c>
      <c r="BJ37" s="25">
        <v>-4.2727234506210174E-2</v>
      </c>
      <c r="BK37" s="25">
        <v>5.6348429978906003E-2</v>
      </c>
      <c r="BL37" s="25">
        <v>-3.4836508348894311E-2</v>
      </c>
      <c r="BM37" s="25">
        <v>6.4986296423346218E-3</v>
      </c>
      <c r="BN37" s="25">
        <v>5.2123948697268323E-2</v>
      </c>
      <c r="BO37" s="25">
        <v>6.8362953469375182E-2</v>
      </c>
      <c r="BP37" s="25">
        <v>3.6794997491146189E-2</v>
      </c>
      <c r="BQ37" s="25">
        <v>3.6135215898069235E-2</v>
      </c>
      <c r="BR37" s="25">
        <v>4.1726790495318924E-2</v>
      </c>
      <c r="BS37" s="25">
        <v>4.0176229491618566E-2</v>
      </c>
      <c r="BT37" s="25">
        <v>4.7622193130133411E-2</v>
      </c>
    </row>
    <row r="38" spans="1:72">
      <c r="A38" s="932" t="s">
        <v>458</v>
      </c>
      <c r="B38" s="984">
        <v>13.4</v>
      </c>
      <c r="C38" s="985">
        <v>7.8</v>
      </c>
      <c r="D38" s="986">
        <v>84.764237226305966</v>
      </c>
      <c r="E38" s="1311">
        <v>343.2</v>
      </c>
      <c r="G38" s="113">
        <v>1</v>
      </c>
      <c r="H38" s="174">
        <f t="shared" si="3"/>
        <v>7.8</v>
      </c>
      <c r="I38" s="174">
        <f t="shared" si="4"/>
        <v>84.764237226305966</v>
      </c>
      <c r="J38" s="169">
        <f t="shared" si="5"/>
        <v>343.2</v>
      </c>
      <c r="L38" s="1313">
        <f t="shared" si="1"/>
        <v>13.4</v>
      </c>
      <c r="S38" s="1313">
        <v>13.983290890156265</v>
      </c>
      <c r="U38" s="1313">
        <f t="shared" si="2"/>
        <v>-0.58329089015626501</v>
      </c>
      <c r="W38" s="25">
        <v>4.8250894154049817E-2</v>
      </c>
      <c r="X38" s="25">
        <v>-5.5038368644961602E-3</v>
      </c>
      <c r="Y38" s="25">
        <v>9.6249069148589481E-3</v>
      </c>
      <c r="Z38" s="25">
        <v>3.9589583128445155E-2</v>
      </c>
      <c r="AA38" s="25">
        <v>-2.4734761938326334E-2</v>
      </c>
      <c r="AB38" s="25">
        <v>9.5808378603631089E-3</v>
      </c>
      <c r="AC38" s="25">
        <v>2.1856775626549405E-2</v>
      </c>
      <c r="AD38" s="25">
        <v>1.9606250680169544E-2</v>
      </c>
      <c r="AE38" s="25">
        <v>2.9567364412230318E-3</v>
      </c>
      <c r="AF38" s="25">
        <v>2.513680201780966E-2</v>
      </c>
      <c r="AG38" s="25">
        <v>-2.5919475030041064E-2</v>
      </c>
      <c r="AH38" s="25">
        <v>4.0544574474353973E-2</v>
      </c>
      <c r="AI38" s="25">
        <v>1.6918111428067477E-2</v>
      </c>
      <c r="AJ38" s="25">
        <v>5.0345217995780955E-2</v>
      </c>
      <c r="AK38" s="25">
        <v>5.8826396573464657E-3</v>
      </c>
      <c r="AL38" s="25">
        <v>2.5773947254201426E-2</v>
      </c>
      <c r="AM38" s="25">
        <v>4.5656861742439665E-2</v>
      </c>
      <c r="AN38" s="25">
        <v>3.8751295808043221E-2</v>
      </c>
      <c r="AO38" s="25">
        <v>4.2078691533392533E-2</v>
      </c>
      <c r="AP38" s="25">
        <v>1.0745158640554437E-2</v>
      </c>
      <c r="AQ38" s="25">
        <v>-1.5077241907151651E-2</v>
      </c>
      <c r="AR38" s="25">
        <v>1.9825926542907605E-2</v>
      </c>
      <c r="AS38" s="25">
        <v>4.7497254622034307E-3</v>
      </c>
      <c r="AT38" s="25">
        <v>8.1722364274078058E-2</v>
      </c>
      <c r="AU38" s="25">
        <v>2.4715822394568276E-2</v>
      </c>
      <c r="AV38" s="25">
        <v>1.6423946734047859E-2</v>
      </c>
      <c r="AW38" s="25">
        <v>1.2334721964777366E-2</v>
      </c>
      <c r="AX38" s="25">
        <v>-1.4438043881834478E-2</v>
      </c>
      <c r="AY38" s="25">
        <v>3.6468330379443505E-2</v>
      </c>
      <c r="AZ38" s="25">
        <v>-1.5562936944268808E-3</v>
      </c>
      <c r="BA38" s="25">
        <v>-1.6477102420537459E-2</v>
      </c>
      <c r="BB38" s="25">
        <v>-7.9446126835014085E-3</v>
      </c>
      <c r="BC38" s="25">
        <v>3.2787611602914157E-2</v>
      </c>
      <c r="BD38" s="25">
        <v>2.80684690737798E-2</v>
      </c>
      <c r="BE38" s="25">
        <v>4.3941135407388685E-2</v>
      </c>
      <c r="BF38" s="25">
        <v>3.1247010757157374E-2</v>
      </c>
      <c r="BG38" s="25">
        <v>1.0876811424568041E-2</v>
      </c>
      <c r="BH38" s="25">
        <v>3.5249358251214391E-2</v>
      </c>
      <c r="BI38" s="25">
        <v>2.5025376905021157E-2</v>
      </c>
      <c r="BJ38" s="25">
        <v>1.0221081216096578E-2</v>
      </c>
      <c r="BK38" s="25">
        <v>4.3450776579803264E-2</v>
      </c>
      <c r="BL38" s="25">
        <v>2.5838329897970469E-2</v>
      </c>
      <c r="BM38" s="25">
        <v>1.2595629959516325E-3</v>
      </c>
      <c r="BN38" s="25">
        <v>9.6150060669265344E-3</v>
      </c>
      <c r="BO38" s="25">
        <v>2.7412767748909959E-2</v>
      </c>
      <c r="BP38" s="25">
        <v>2.9405957872612007E-2</v>
      </c>
      <c r="BQ38" s="25">
        <v>-1.0623111629250703E-2</v>
      </c>
      <c r="BR38" s="25">
        <v>4.8421072151702854E-2</v>
      </c>
      <c r="BS38" s="25">
        <v>2.6293471536363459E-2</v>
      </c>
      <c r="BT38" s="25">
        <v>4.3620557451512831E-2</v>
      </c>
    </row>
    <row r="39" spans="1:72">
      <c r="A39" s="932" t="s">
        <v>459</v>
      </c>
      <c r="B39" s="984">
        <v>15.9</v>
      </c>
      <c r="C39" s="985">
        <v>8</v>
      </c>
      <c r="D39" s="986">
        <v>78.141238608693655</v>
      </c>
      <c r="E39" s="1311">
        <v>499.6</v>
      </c>
      <c r="G39" s="113">
        <v>1</v>
      </c>
      <c r="H39" s="174">
        <f t="shared" si="3"/>
        <v>8</v>
      </c>
      <c r="I39" s="174">
        <f t="shared" si="4"/>
        <v>78.141238608693655</v>
      </c>
      <c r="J39" s="169">
        <f t="shared" si="5"/>
        <v>499.6</v>
      </c>
      <c r="L39" s="1313">
        <f t="shared" si="1"/>
        <v>15.9</v>
      </c>
      <c r="S39" s="1313">
        <v>14.220894101178885</v>
      </c>
      <c r="U39" s="1313">
        <f t="shared" si="2"/>
        <v>1.6791058988211152</v>
      </c>
      <c r="W39" s="25">
        <v>4.674675424587621E-2</v>
      </c>
      <c r="X39" s="25">
        <v>2.4559596661923561E-2</v>
      </c>
      <c r="Y39" s="25">
        <v>1.6647036500919532E-2</v>
      </c>
      <c r="Z39" s="25">
        <v>4.3269906436049804E-2</v>
      </c>
      <c r="AA39" s="25">
        <v>-1.3457051681182441E-3</v>
      </c>
      <c r="AB39" s="25">
        <v>5.5551465512089677E-3</v>
      </c>
      <c r="AC39" s="25">
        <v>9.3465739044115356E-3</v>
      </c>
      <c r="AD39" s="25">
        <v>4.3150424434160284E-2</v>
      </c>
      <c r="AE39" s="25">
        <v>3.1923680946770297E-2</v>
      </c>
      <c r="AF39" s="25">
        <v>3.5654803656483741E-2</v>
      </c>
      <c r="AG39" s="25">
        <v>-4.4827728533978761E-3</v>
      </c>
      <c r="AH39" s="25">
        <v>1.7806985367374635E-2</v>
      </c>
      <c r="AI39" s="25">
        <v>2.8067390239844243E-2</v>
      </c>
      <c r="AJ39" s="25">
        <v>3.396125622040537E-2</v>
      </c>
      <c r="AK39" s="25">
        <v>-2.5037287136131774E-3</v>
      </c>
      <c r="AL39" s="25">
        <v>2.5111377559534083E-2</v>
      </c>
      <c r="AM39" s="25">
        <v>2.7140636641291765E-2</v>
      </c>
      <c r="AN39" s="25">
        <v>6.291383910732587E-2</v>
      </c>
      <c r="AO39" s="25">
        <v>9.3224991939371837E-3</v>
      </c>
      <c r="AP39" s="25">
        <v>3.711997162161184E-2</v>
      </c>
      <c r="AQ39" s="25">
        <v>-4.5137847441428028E-3</v>
      </c>
      <c r="AR39" s="25">
        <v>2.9628411375702775E-2</v>
      </c>
      <c r="AS39" s="25">
        <v>-1.9885134774560191E-3</v>
      </c>
      <c r="AT39" s="25">
        <v>6.2463068503946062E-2</v>
      </c>
      <c r="AU39" s="25">
        <v>2.9475213941923782E-2</v>
      </c>
      <c r="AV39" s="25">
        <v>5.6990872205193305E-3</v>
      </c>
      <c r="AW39" s="25">
        <v>3.5927539217790387E-3</v>
      </c>
      <c r="AX39" s="25">
        <v>2.1304182542192351E-2</v>
      </c>
      <c r="AY39" s="25">
        <v>7.0845767995012521E-3</v>
      </c>
      <c r="AZ39" s="25">
        <v>1.0112718786954335E-3</v>
      </c>
      <c r="BA39" s="25">
        <v>1.2420282115336856E-2</v>
      </c>
      <c r="BB39" s="25">
        <v>3.640940772257505E-3</v>
      </c>
      <c r="BC39" s="25">
        <v>3.6157969046531159E-2</v>
      </c>
      <c r="BD39" s="25">
        <v>2.9200887048796142E-3</v>
      </c>
      <c r="BE39" s="25">
        <v>3.1247010757157682E-2</v>
      </c>
      <c r="BF39" s="25">
        <v>3.6073017620394457E-2</v>
      </c>
      <c r="BG39" s="25">
        <v>1.8918845032670703E-3</v>
      </c>
      <c r="BH39" s="25">
        <v>3.0274722626051132E-2</v>
      </c>
      <c r="BI39" s="25">
        <v>8.0283452202439612E-3</v>
      </c>
      <c r="BJ39" s="25">
        <v>4.571221776466132E-2</v>
      </c>
      <c r="BK39" s="25">
        <v>1.6886925547248618E-2</v>
      </c>
      <c r="BL39" s="25">
        <v>5.0194423739418778E-2</v>
      </c>
      <c r="BM39" s="25">
        <v>1.4192232280197822E-2</v>
      </c>
      <c r="BN39" s="25">
        <v>-3.8495648063568318E-3</v>
      </c>
      <c r="BO39" s="25">
        <v>-6.016422727169457E-4</v>
      </c>
      <c r="BP39" s="25">
        <v>1.9563647536917264E-2</v>
      </c>
      <c r="BQ39" s="25">
        <v>-7.9630773291153745E-3</v>
      </c>
      <c r="BR39" s="25">
        <v>2.6050125546930272E-2</v>
      </c>
      <c r="BS39" s="25">
        <v>1.3209491770684284E-2</v>
      </c>
      <c r="BT39" s="25">
        <v>2.0229018339353581E-2</v>
      </c>
    </row>
    <row r="40" spans="1:72">
      <c r="A40" s="932" t="s">
        <v>460</v>
      </c>
      <c r="B40" s="984">
        <v>13.6</v>
      </c>
      <c r="C40" s="985">
        <v>5.5</v>
      </c>
      <c r="D40" s="986">
        <v>90.140446325387984</v>
      </c>
      <c r="E40" s="1311">
        <v>287.60000000000002</v>
      </c>
      <c r="G40" s="113">
        <v>1</v>
      </c>
      <c r="H40" s="174">
        <f t="shared" si="3"/>
        <v>5.5</v>
      </c>
      <c r="I40" s="174">
        <f t="shared" si="4"/>
        <v>90.140446325387984</v>
      </c>
      <c r="J40" s="169">
        <f t="shared" si="5"/>
        <v>287.60000000000002</v>
      </c>
      <c r="L40" s="1313">
        <f t="shared" si="1"/>
        <v>13.6</v>
      </c>
      <c r="S40" s="1313">
        <v>11.157006478778413</v>
      </c>
      <c r="U40" s="1313">
        <f t="shared" si="2"/>
        <v>2.4429935212215863</v>
      </c>
      <c r="W40" s="25">
        <v>-1.291993706544239E-2</v>
      </c>
      <c r="X40" s="25">
        <v>8.2262996380725872E-3</v>
      </c>
      <c r="Y40" s="25">
        <v>2.6055262294289692E-2</v>
      </c>
      <c r="Z40" s="25">
        <v>-3.4670394978336752E-3</v>
      </c>
      <c r="AA40" s="25">
        <v>3.7310679917635613E-2</v>
      </c>
      <c r="AB40" s="25">
        <v>3.8979530947766822E-2</v>
      </c>
      <c r="AC40" s="25">
        <v>3.1935149158002982E-2</v>
      </c>
      <c r="AD40" s="25">
        <v>-7.5801539936958262E-3</v>
      </c>
      <c r="AE40" s="25">
        <v>6.7969273592336926E-3</v>
      </c>
      <c r="AF40" s="25">
        <v>-5.7196304513636598E-3</v>
      </c>
      <c r="AG40" s="25">
        <v>1.1011463967089075E-2</v>
      </c>
      <c r="AH40" s="25">
        <v>3.0216207693418075E-2</v>
      </c>
      <c r="AI40" s="25">
        <v>1.0272552677175563E-2</v>
      </c>
      <c r="AJ40" s="25">
        <v>1.0281159655924143E-2</v>
      </c>
      <c r="AK40" s="25">
        <v>4.9648828354169935E-2</v>
      </c>
      <c r="AL40" s="25">
        <v>1.9232465310999446E-2</v>
      </c>
      <c r="AM40" s="25">
        <v>1.8141903900781214E-2</v>
      </c>
      <c r="AN40" s="25">
        <v>-3.2758624858901061E-2</v>
      </c>
      <c r="AO40" s="25">
        <v>3.9689036903684631E-2</v>
      </c>
      <c r="AP40" s="25">
        <v>-8.5158170701163001E-3</v>
      </c>
      <c r="AQ40" s="25">
        <v>4.6480931991642237E-2</v>
      </c>
      <c r="AR40" s="25">
        <v>1.0042387188743909E-2</v>
      </c>
      <c r="AS40" s="25">
        <v>4.5928625156354264E-2</v>
      </c>
      <c r="AT40" s="25">
        <v>-3.4635294299772912E-2</v>
      </c>
      <c r="AU40" s="25">
        <v>1.2635623415379826E-2</v>
      </c>
      <c r="AV40" s="25">
        <v>3.9349732829327771E-2</v>
      </c>
      <c r="AW40" s="25">
        <v>4.1954861216342093E-2</v>
      </c>
      <c r="AX40" s="25">
        <v>1.7779086181826859E-2</v>
      </c>
      <c r="AY40" s="25">
        <v>4.1281507516056901E-2</v>
      </c>
      <c r="AZ40" s="25">
        <v>3.4792421785850777E-2</v>
      </c>
      <c r="BA40" s="25">
        <v>2.8440006098567838E-2</v>
      </c>
      <c r="BB40" s="25">
        <v>3.0525551371071418E-2</v>
      </c>
      <c r="BC40" s="25">
        <v>-8.0863349698308447E-4</v>
      </c>
      <c r="BD40" s="25">
        <v>4.2751122226017943E-2</v>
      </c>
      <c r="BE40" s="25">
        <v>1.087681142456811E-2</v>
      </c>
      <c r="BF40" s="25">
        <v>1.8918845032668699E-3</v>
      </c>
      <c r="BG40" s="25">
        <v>4.2845451258304537E-2</v>
      </c>
      <c r="BH40" s="25">
        <v>1.2178468295722613E-2</v>
      </c>
      <c r="BI40" s="25">
        <v>3.5885515174567013E-2</v>
      </c>
      <c r="BJ40" s="25">
        <v>-1.3622205308610129E-2</v>
      </c>
      <c r="BK40" s="25">
        <v>2.7134262740506405E-2</v>
      </c>
      <c r="BL40" s="25">
        <v>-1.0639367521716639E-2</v>
      </c>
      <c r="BM40" s="25">
        <v>2.5838313110935162E-2</v>
      </c>
      <c r="BN40" s="25">
        <v>5.021613582029625E-2</v>
      </c>
      <c r="BO40" s="25">
        <v>4.9344997224536995E-2</v>
      </c>
      <c r="BP40" s="25">
        <v>1.4914786672134889E-2</v>
      </c>
      <c r="BQ40" s="25">
        <v>4.8710642511708938E-2</v>
      </c>
      <c r="BR40" s="25">
        <v>2.212491062248171E-2</v>
      </c>
      <c r="BS40" s="25">
        <v>3.1545191367423391E-2</v>
      </c>
      <c r="BT40" s="25">
        <v>2.7400008082564872E-2</v>
      </c>
    </row>
    <row r="41" spans="1:72">
      <c r="A41" s="932" t="s">
        <v>461</v>
      </c>
      <c r="B41" s="984">
        <v>12.1</v>
      </c>
      <c r="C41" s="985">
        <v>7.6</v>
      </c>
      <c r="D41" s="986">
        <v>85.424563507935517</v>
      </c>
      <c r="E41" s="1311">
        <v>416.5</v>
      </c>
      <c r="G41" s="113">
        <v>1</v>
      </c>
      <c r="H41" s="174">
        <f t="shared" si="3"/>
        <v>7.6</v>
      </c>
      <c r="I41" s="174">
        <f t="shared" si="4"/>
        <v>85.424563507935517</v>
      </c>
      <c r="J41" s="169">
        <f t="shared" si="5"/>
        <v>416.5</v>
      </c>
      <c r="L41" s="1313">
        <f t="shared" si="1"/>
        <v>12.1</v>
      </c>
      <c r="S41" s="1313">
        <v>13.855600457391526</v>
      </c>
      <c r="U41" s="1313">
        <f t="shared" si="2"/>
        <v>-1.7556004573915267</v>
      </c>
      <c r="W41" s="25">
        <v>3.6064993075132439E-2</v>
      </c>
      <c r="X41" s="25">
        <v>8.1652489757192553E-3</v>
      </c>
      <c r="Y41" s="25">
        <v>1.8644734451786438E-2</v>
      </c>
      <c r="Z41" s="25">
        <v>3.8933939053771502E-2</v>
      </c>
      <c r="AA41" s="25">
        <v>-8.7786802762762489E-3</v>
      </c>
      <c r="AB41" s="25">
        <v>1.3908005271728755E-2</v>
      </c>
      <c r="AC41" s="25">
        <v>1.5336069159830455E-2</v>
      </c>
      <c r="AD41" s="25">
        <v>2.9050615675317651E-2</v>
      </c>
      <c r="AE41" s="25">
        <v>2.1826671806017245E-2</v>
      </c>
      <c r="AF41" s="25">
        <v>1.900842154445662E-2</v>
      </c>
      <c r="AG41" s="25">
        <v>-4.6006407605902702E-2</v>
      </c>
      <c r="AH41" s="25">
        <v>3.3084028530399497E-2</v>
      </c>
      <c r="AI41" s="25">
        <v>2.2311563227262715E-2</v>
      </c>
      <c r="AJ41" s="25">
        <v>4.0988398009384447E-2</v>
      </c>
      <c r="AK41" s="25">
        <v>1.1110510678135333E-2</v>
      </c>
      <c r="AL41" s="25">
        <v>2.9725755078041705E-2</v>
      </c>
      <c r="AM41" s="25">
        <v>3.6858302447236743E-2</v>
      </c>
      <c r="AN41" s="25">
        <v>3.9492887672124229E-2</v>
      </c>
      <c r="AO41" s="25">
        <v>2.9344313487359205E-2</v>
      </c>
      <c r="AP41" s="25">
        <v>1.4897527666125635E-2</v>
      </c>
      <c r="AQ41" s="25">
        <v>-1.3068840028235482E-3</v>
      </c>
      <c r="AR41" s="25">
        <v>2.556047143665973E-2</v>
      </c>
      <c r="AS41" s="25">
        <v>7.3505040836033793E-3</v>
      </c>
      <c r="AT41" s="25">
        <v>4.6718963565784838E-2</v>
      </c>
      <c r="AU41" s="25">
        <v>2.9534712273854374E-2</v>
      </c>
      <c r="AV41" s="25">
        <v>1.6244805250539684E-2</v>
      </c>
      <c r="AW41" s="25">
        <v>1.4548966501464406E-2</v>
      </c>
      <c r="AX41" s="25">
        <v>1.1488753787997422E-2</v>
      </c>
      <c r="AY41" s="25">
        <v>2.5842697558079948E-2</v>
      </c>
      <c r="AZ41" s="25">
        <v>-1.961825082991947E-3</v>
      </c>
      <c r="BA41" s="25">
        <v>7.5836752156483306E-3</v>
      </c>
      <c r="BB41" s="25">
        <v>-3.7984127898921553E-3</v>
      </c>
      <c r="BC41" s="25">
        <v>2.7586724796754704E-2</v>
      </c>
      <c r="BD41" s="25">
        <v>1.8038738435851027E-2</v>
      </c>
      <c r="BE41" s="25">
        <v>3.5249358251214925E-2</v>
      </c>
      <c r="BF41" s="25">
        <v>3.0274722626051347E-2</v>
      </c>
      <c r="BG41" s="25">
        <v>1.2178468295722918E-2</v>
      </c>
      <c r="BH41" s="25">
        <v>3.2957668214444014E-2</v>
      </c>
      <c r="BI41" s="25">
        <v>1.8401942655566765E-2</v>
      </c>
      <c r="BJ41" s="25">
        <v>2.4264407517758019E-2</v>
      </c>
      <c r="BK41" s="25">
        <v>2.8448823120774916E-2</v>
      </c>
      <c r="BL41" s="25">
        <v>3.9662081306771388E-2</v>
      </c>
      <c r="BM41" s="25">
        <v>1.1940741864540867E-2</v>
      </c>
      <c r="BN41" s="25">
        <v>1.0239625956015692E-2</v>
      </c>
      <c r="BO41" s="25">
        <v>1.93417413238961E-2</v>
      </c>
      <c r="BP41" s="25">
        <v>1.5413480709296087E-2</v>
      </c>
      <c r="BQ41" s="25">
        <v>-3.8388483714332181E-3</v>
      </c>
      <c r="BR41" s="25">
        <v>4.0278738932649646E-2</v>
      </c>
      <c r="BS41" s="25">
        <v>2.2929744289866914E-2</v>
      </c>
      <c r="BT41" s="25">
        <v>3.4858514348684526E-2</v>
      </c>
    </row>
    <row r="42" spans="1:72">
      <c r="A42" s="932" t="s">
        <v>462</v>
      </c>
      <c r="B42" s="984">
        <v>11.7</v>
      </c>
      <c r="C42" s="985">
        <v>6.1</v>
      </c>
      <c r="D42" s="986">
        <v>88.483880668602993</v>
      </c>
      <c r="E42" s="1311">
        <v>227.3</v>
      </c>
      <c r="G42" s="113">
        <v>1</v>
      </c>
      <c r="H42" s="174">
        <f t="shared" si="3"/>
        <v>6.1</v>
      </c>
      <c r="I42" s="174">
        <f t="shared" si="4"/>
        <v>88.483880668602993</v>
      </c>
      <c r="J42" s="169">
        <f t="shared" si="5"/>
        <v>227.3</v>
      </c>
      <c r="L42" s="1313">
        <f t="shared" si="1"/>
        <v>11.7</v>
      </c>
      <c r="S42" s="1313">
        <v>11.778733948462611</v>
      </c>
      <c r="U42" s="1313">
        <f t="shared" si="2"/>
        <v>-7.8733948462611281E-2</v>
      </c>
      <c r="W42" s="25">
        <v>9.6807971199379256E-3</v>
      </c>
      <c r="X42" s="25">
        <v>-7.2238027171214955E-3</v>
      </c>
      <c r="Y42" s="25">
        <v>1.4434796295073587E-2</v>
      </c>
      <c r="Z42" s="25">
        <v>4.7439410585432776E-3</v>
      </c>
      <c r="AA42" s="25">
        <v>1.1102518720708617E-2</v>
      </c>
      <c r="AB42" s="25">
        <v>2.9562850588401912E-2</v>
      </c>
      <c r="AC42" s="25">
        <v>3.6416683738623855E-2</v>
      </c>
      <c r="AD42" s="25">
        <v>-1.1811483816291261E-2</v>
      </c>
      <c r="AE42" s="25">
        <v>-1.2021585944154846E-2</v>
      </c>
      <c r="AF42" s="25">
        <v>5.7826868904834339E-3</v>
      </c>
      <c r="AG42" s="25">
        <v>2.4425577058675388E-2</v>
      </c>
      <c r="AH42" s="25">
        <v>3.907724804789911E-2</v>
      </c>
      <c r="AI42" s="25">
        <v>6.2786099878122982E-3</v>
      </c>
      <c r="AJ42" s="25">
        <v>2.6265143232800634E-2</v>
      </c>
      <c r="AK42" s="25">
        <v>3.679198332230104E-2</v>
      </c>
      <c r="AL42" s="25">
        <v>1.650460323235927E-2</v>
      </c>
      <c r="AM42" s="25">
        <v>3.1362380738657283E-2</v>
      </c>
      <c r="AN42" s="25">
        <v>-2.0719776364858923E-2</v>
      </c>
      <c r="AO42" s="25">
        <v>5.221288686720945E-2</v>
      </c>
      <c r="AP42" s="25">
        <v>-8.9275507871584905E-3</v>
      </c>
      <c r="AQ42" s="25">
        <v>2.2359211961715052E-2</v>
      </c>
      <c r="AR42" s="25">
        <v>6.2493555488938556E-3</v>
      </c>
      <c r="AS42" s="25">
        <v>3.6111159970804718E-2</v>
      </c>
      <c r="AT42" s="25">
        <v>1.9744520319833286E-2</v>
      </c>
      <c r="AU42" s="25">
        <v>1.0086147632379881E-2</v>
      </c>
      <c r="AV42" s="25">
        <v>3.5401119737317251E-2</v>
      </c>
      <c r="AW42" s="25">
        <v>3.4515740185686532E-2</v>
      </c>
      <c r="AX42" s="25">
        <v>-1.2832170806823001E-2</v>
      </c>
      <c r="AY42" s="25">
        <v>5.0519081888752752E-2</v>
      </c>
      <c r="AZ42" s="25">
        <v>2.8858965602538311E-2</v>
      </c>
      <c r="BA42" s="25">
        <v>-2.6403046946828004E-3</v>
      </c>
      <c r="BB42" s="25">
        <v>1.9865343010451071E-2</v>
      </c>
      <c r="BC42" s="25">
        <v>1.0189734930960447E-2</v>
      </c>
      <c r="BD42" s="25">
        <v>4.9724785190193445E-2</v>
      </c>
      <c r="BE42" s="25">
        <v>2.5025376905021261E-2</v>
      </c>
      <c r="BF42" s="25">
        <v>8.0283452202437981E-3</v>
      </c>
      <c r="BG42" s="25">
        <v>3.5885515174567187E-2</v>
      </c>
      <c r="BH42" s="25">
        <v>1.840194265556646E-2</v>
      </c>
      <c r="BI42" s="25">
        <v>4.0283054370710704E-2</v>
      </c>
      <c r="BJ42" s="25">
        <v>-2.2808988362723943E-2</v>
      </c>
      <c r="BK42" s="25">
        <v>4.4377514379677296E-2</v>
      </c>
      <c r="BL42" s="25">
        <v>-1.7520108440258406E-2</v>
      </c>
      <c r="BM42" s="25">
        <v>1.1230751512479327E-2</v>
      </c>
      <c r="BN42" s="25">
        <v>4.2360871422117669E-2</v>
      </c>
      <c r="BO42" s="25">
        <v>5.3104582003408209E-2</v>
      </c>
      <c r="BP42" s="25">
        <v>3.1029400434913659E-2</v>
      </c>
      <c r="BQ42" s="25">
        <v>3.1726379753854776E-2</v>
      </c>
      <c r="BR42" s="25">
        <v>3.4449413678381224E-2</v>
      </c>
      <c r="BS42" s="25">
        <v>3.37772375807497E-2</v>
      </c>
      <c r="BT42" s="25">
        <v>3.855751396337477E-2</v>
      </c>
    </row>
    <row r="43" spans="1:72">
      <c r="A43" s="932" t="s">
        <v>463</v>
      </c>
      <c r="B43" s="984">
        <v>15.7</v>
      </c>
      <c r="C43" s="985">
        <v>8.4</v>
      </c>
      <c r="D43" s="986">
        <v>68.748136077503446</v>
      </c>
      <c r="E43" s="1311">
        <v>788.3</v>
      </c>
      <c r="G43" s="113">
        <v>1</v>
      </c>
      <c r="H43" s="174">
        <f t="shared" si="3"/>
        <v>8.4</v>
      </c>
      <c r="I43" s="174">
        <f t="shared" si="4"/>
        <v>68.748136077503446</v>
      </c>
      <c r="J43" s="169">
        <f t="shared" si="5"/>
        <v>788.3</v>
      </c>
      <c r="L43" s="1313">
        <f t="shared" si="1"/>
        <v>15.7</v>
      </c>
      <c r="S43" s="1313">
        <v>14.80180620713495</v>
      </c>
      <c r="U43" s="1313">
        <f t="shared" si="2"/>
        <v>0.89819379286504919</v>
      </c>
      <c r="W43" s="25">
        <v>4.1963807164930506E-2</v>
      </c>
      <c r="X43" s="25">
        <v>7.6609516043330342E-2</v>
      </c>
      <c r="Y43" s="25">
        <v>3.2109315771106955E-2</v>
      </c>
      <c r="Z43" s="25">
        <v>5.3305751876194796E-2</v>
      </c>
      <c r="AA43" s="25">
        <v>3.7202719519719901E-2</v>
      </c>
      <c r="AB43" s="25">
        <v>-1.0392442805640112E-4</v>
      </c>
      <c r="AC43" s="25">
        <v>-1.5019025816111517E-2</v>
      </c>
      <c r="AD43" s="25">
        <v>8.7630576372723853E-2</v>
      </c>
      <c r="AE43" s="25">
        <v>8.8127907607180186E-2</v>
      </c>
      <c r="AF43" s="25">
        <v>4.9054672662880758E-2</v>
      </c>
      <c r="AG43" s="25">
        <v>3.7289399333502449E-3</v>
      </c>
      <c r="AH43" s="25">
        <v>-1.9109441830295212E-2</v>
      </c>
      <c r="AI43" s="25">
        <v>4.9130349133226399E-2</v>
      </c>
      <c r="AJ43" s="25">
        <v>8.0830985423188881E-3</v>
      </c>
      <c r="AK43" s="25">
        <v>-1.5317596536454127E-2</v>
      </c>
      <c r="AL43" s="25">
        <v>2.8383967343822147E-2</v>
      </c>
      <c r="AM43" s="25">
        <v>-2.8333479036697223E-3</v>
      </c>
      <c r="AN43" s="25">
        <v>0.10642968670066957</v>
      </c>
      <c r="AO43" s="25">
        <v>-4.7134266158180199E-2</v>
      </c>
      <c r="AP43" s="25">
        <v>8.0045441353423286E-2</v>
      </c>
      <c r="AQ43" s="25">
        <v>1.4263577161023583E-2</v>
      </c>
      <c r="AR43" s="25">
        <v>4.9492475282610526E-2</v>
      </c>
      <c r="AS43" s="25">
        <v>-1.4409864728104462E-2</v>
      </c>
      <c r="AT43" s="25">
        <v>2.0298635920155544E-2</v>
      </c>
      <c r="AU43" s="25">
        <v>4.1783165484524647E-2</v>
      </c>
      <c r="AV43" s="25">
        <v>-1.2374142361301934E-2</v>
      </c>
      <c r="AW43" s="25">
        <v>-1.0505056663126688E-2</v>
      </c>
      <c r="AX43" s="25">
        <v>8.9439391636573468E-2</v>
      </c>
      <c r="AY43" s="25">
        <v>-4.3757546946696146E-2</v>
      </c>
      <c r="AZ43" s="25">
        <v>-3.3093468622785727E-4</v>
      </c>
      <c r="BA43" s="25">
        <v>6.7769171229904196E-2</v>
      </c>
      <c r="BB43" s="25">
        <v>1.8549732391828357E-2</v>
      </c>
      <c r="BC43" s="25">
        <v>4.0683375925874218E-2</v>
      </c>
      <c r="BD43" s="25">
        <v>-4.2727234506210063E-2</v>
      </c>
      <c r="BE43" s="25">
        <v>1.0221081216096946E-2</v>
      </c>
      <c r="BF43" s="25">
        <v>4.5712217764661334E-2</v>
      </c>
      <c r="BG43" s="25">
        <v>-1.3622205308610028E-2</v>
      </c>
      <c r="BH43" s="25">
        <v>2.4264407517757876E-2</v>
      </c>
      <c r="BI43" s="25">
        <v>-2.2808988362723853E-2</v>
      </c>
      <c r="BJ43" s="25">
        <v>0.11043230646670174</v>
      </c>
      <c r="BK43" s="25">
        <v>-3.107197559757692E-2</v>
      </c>
      <c r="BL43" s="25">
        <v>0.10072518337584561</v>
      </c>
      <c r="BM43" s="25">
        <v>3.8323102870401214E-2</v>
      </c>
      <c r="BN43" s="25">
        <v>-2.7307627336750413E-2</v>
      </c>
      <c r="BO43" s="25">
        <v>-4.9507317870767141E-2</v>
      </c>
      <c r="BP43" s="25">
        <v>-4.3400694426259517E-3</v>
      </c>
      <c r="BQ43" s="25">
        <v>-5.9409577552999165E-3</v>
      </c>
      <c r="BR43" s="25">
        <v>-8.9173146382655333E-3</v>
      </c>
      <c r="BS43" s="25">
        <v>-8.654462503296198E-3</v>
      </c>
      <c r="BT43" s="25">
        <v>-1.7970272888482589E-2</v>
      </c>
    </row>
    <row r="44" spans="1:72">
      <c r="A44" s="932" t="s">
        <v>464</v>
      </c>
      <c r="B44" s="984">
        <v>12.5</v>
      </c>
      <c r="C44" s="985">
        <v>6.9</v>
      </c>
      <c r="D44" s="986">
        <v>88.189790025789804</v>
      </c>
      <c r="E44" s="1311">
        <v>169.2</v>
      </c>
      <c r="G44" s="113">
        <v>1</v>
      </c>
      <c r="H44" s="174">
        <f t="shared" si="3"/>
        <v>6.9</v>
      </c>
      <c r="I44" s="174">
        <f t="shared" si="4"/>
        <v>88.189790025789804</v>
      </c>
      <c r="J44" s="169">
        <f t="shared" si="5"/>
        <v>169.2</v>
      </c>
      <c r="L44" s="1313">
        <f t="shared" si="1"/>
        <v>12.5</v>
      </c>
      <c r="S44" s="1313">
        <v>12.708957171550225</v>
      </c>
      <c r="U44" s="1313">
        <f t="shared" si="2"/>
        <v>-0.20895717155022453</v>
      </c>
      <c r="W44" s="25">
        <v>3.6005073456287368E-2</v>
      </c>
      <c r="X44" s="25">
        <v>-2.6273647816068967E-2</v>
      </c>
      <c r="Y44" s="25">
        <v>2.8943070557205415E-3</v>
      </c>
      <c r="Z44" s="25">
        <v>1.8297723436888028E-2</v>
      </c>
      <c r="AA44" s="25">
        <v>-2.3191022820383784E-2</v>
      </c>
      <c r="AB44" s="25">
        <v>1.890938126265107E-2</v>
      </c>
      <c r="AC44" s="25">
        <v>3.9507669357442467E-2</v>
      </c>
      <c r="AD44" s="25">
        <v>-1.3591606358392214E-2</v>
      </c>
      <c r="AE44" s="25">
        <v>-2.992729101730237E-2</v>
      </c>
      <c r="AF44" s="25">
        <v>1.6001125800271111E-2</v>
      </c>
      <c r="AG44" s="25">
        <v>1.5770490507701407E-2</v>
      </c>
      <c r="AH44" s="25">
        <v>5.2125063966866461E-2</v>
      </c>
      <c r="AI44" s="25">
        <v>2.9457367769473858E-3</v>
      </c>
      <c r="AJ44" s="25">
        <v>4.8314760521352897E-2</v>
      </c>
      <c r="AK44" s="25">
        <v>2.2145625510074263E-2</v>
      </c>
      <c r="AL44" s="25">
        <v>1.7005817759449104E-2</v>
      </c>
      <c r="AM44" s="25">
        <v>4.9577260962965622E-2</v>
      </c>
      <c r="AN44" s="25">
        <v>-3.9471651342399636E-3</v>
      </c>
      <c r="AO44" s="25">
        <v>6.7804029953399958E-2</v>
      </c>
      <c r="AP44" s="25">
        <v>-1.1628708830769517E-2</v>
      </c>
      <c r="AQ44" s="25">
        <v>-7.2834159794918293E-3</v>
      </c>
      <c r="AR44" s="25">
        <v>4.1600604031866474E-3</v>
      </c>
      <c r="AS44" s="25">
        <v>2.309935899993202E-2</v>
      </c>
      <c r="AT44" s="25">
        <v>7.9767214156434646E-2</v>
      </c>
      <c r="AU44" s="25">
        <v>1.0548224784506736E-2</v>
      </c>
      <c r="AV44" s="25">
        <v>3.0802587076315894E-2</v>
      </c>
      <c r="AW44" s="25">
        <v>2.6050268040151862E-2</v>
      </c>
      <c r="AX44" s="25">
        <v>-4.5248717061466145E-2</v>
      </c>
      <c r="AY44" s="25">
        <v>6.1831721028149676E-2</v>
      </c>
      <c r="AZ44" s="25">
        <v>1.632819915380166E-2</v>
      </c>
      <c r="BA44" s="25">
        <v>-3.6536104731252607E-2</v>
      </c>
      <c r="BB44" s="25">
        <v>2.0705150431866793E-3</v>
      </c>
      <c r="BC44" s="25">
        <v>2.2816483807493994E-2</v>
      </c>
      <c r="BD44" s="25">
        <v>5.6348429978905941E-2</v>
      </c>
      <c r="BE44" s="25">
        <v>4.3450776579803153E-2</v>
      </c>
      <c r="BF44" s="25">
        <v>1.6886925547248278E-2</v>
      </c>
      <c r="BG44" s="25">
        <v>2.7134262740506437E-2</v>
      </c>
      <c r="BH44" s="25">
        <v>2.8448823120774378E-2</v>
      </c>
      <c r="BI44" s="25">
        <v>4.4377514379677213E-2</v>
      </c>
      <c r="BJ44" s="25">
        <v>-3.1071975597577232E-2</v>
      </c>
      <c r="BK44" s="25">
        <v>6.3957269303740058E-2</v>
      </c>
      <c r="BL44" s="25">
        <v>-1.848765702653745E-2</v>
      </c>
      <c r="BM44" s="25">
        <v>-5.3793534485506826E-3</v>
      </c>
      <c r="BN44" s="25">
        <v>3.2281668272257806E-2</v>
      </c>
      <c r="BO44" s="25">
        <v>5.7192437193985854E-2</v>
      </c>
      <c r="BP44" s="25">
        <v>4.5009582940123499E-2</v>
      </c>
      <c r="BQ44" s="25">
        <v>8.2150512784176094E-3</v>
      </c>
      <c r="BR44" s="25">
        <v>5.2998338108271516E-2</v>
      </c>
      <c r="BS44" s="25">
        <v>3.7148619188640437E-2</v>
      </c>
      <c r="BT44" s="25">
        <v>5.4338268368507213E-2</v>
      </c>
    </row>
    <row r="45" spans="1:72">
      <c r="A45" s="932" t="s">
        <v>465</v>
      </c>
      <c r="B45" s="984">
        <v>15.5</v>
      </c>
      <c r="C45" s="985">
        <v>8.6999999999999993</v>
      </c>
      <c r="D45" s="986">
        <v>80.371971305033981</v>
      </c>
      <c r="E45" s="1311">
        <v>753.3</v>
      </c>
      <c r="G45" s="113">
        <v>1</v>
      </c>
      <c r="H45" s="174">
        <f t="shared" si="3"/>
        <v>8.6999999999999993</v>
      </c>
      <c r="I45" s="174">
        <f t="shared" si="4"/>
        <v>80.371971305033981</v>
      </c>
      <c r="J45" s="169">
        <f t="shared" si="5"/>
        <v>753.3</v>
      </c>
      <c r="L45" s="1313">
        <f t="shared" si="1"/>
        <v>15.5</v>
      </c>
      <c r="S45" s="1313">
        <v>15.558122806587686</v>
      </c>
      <c r="U45" s="1313">
        <f t="shared" si="2"/>
        <v>-5.8122806587686426E-2</v>
      </c>
      <c r="W45" s="25">
        <v>4.1289174948893378E-2</v>
      </c>
      <c r="X45" s="25">
        <v>5.4637003999787215E-2</v>
      </c>
      <c r="Y45" s="25">
        <v>3.7804729979022539E-2</v>
      </c>
      <c r="Z45" s="25">
        <v>6.8777008950237833E-2</v>
      </c>
      <c r="AA45" s="25">
        <v>7.6023039257119007E-3</v>
      </c>
      <c r="AB45" s="25">
        <v>4.4392935816421966E-3</v>
      </c>
      <c r="AC45" s="25">
        <v>-1.750167205207788E-2</v>
      </c>
      <c r="AD45" s="25">
        <v>8.8076081029151196E-2</v>
      </c>
      <c r="AE45" s="25">
        <v>9.0271859542991412E-2</v>
      </c>
      <c r="AF45" s="25">
        <v>2.7306987512050827E-2</v>
      </c>
      <c r="AG45" s="25">
        <v>-0.12143731211287739</v>
      </c>
      <c r="AH45" s="25">
        <v>6.5465286045070514E-3</v>
      </c>
      <c r="AI45" s="25">
        <v>4.869398198796325E-2</v>
      </c>
      <c r="AJ45" s="25">
        <v>3.2618136896780538E-2</v>
      </c>
      <c r="AK45" s="25">
        <v>-7.8246499923602143E-3</v>
      </c>
      <c r="AL45" s="25">
        <v>4.5829080273397778E-2</v>
      </c>
      <c r="AM45" s="25">
        <v>2.0366754083601613E-2</v>
      </c>
      <c r="AN45" s="25">
        <v>0.10353475802572459</v>
      </c>
      <c r="AO45" s="25">
        <v>-2.3554350902396368E-2</v>
      </c>
      <c r="AP45" s="25">
        <v>5.3905988174821062E-2</v>
      </c>
      <c r="AQ45" s="25">
        <v>2.4663082747440473E-3</v>
      </c>
      <c r="AR45" s="25">
        <v>5.4483568144010702E-2</v>
      </c>
      <c r="AS45" s="25">
        <v>-1.6859309147169467E-2</v>
      </c>
      <c r="AT45" s="25">
        <v>1.2965005232484561E-2</v>
      </c>
      <c r="AU45" s="25">
        <v>5.4797307918143287E-2</v>
      </c>
      <c r="AV45" s="25">
        <v>-5.5916814954558303E-3</v>
      </c>
      <c r="AW45" s="25">
        <v>-3.7697615222728464E-3</v>
      </c>
      <c r="AX45" s="25">
        <v>8.4752036086460869E-2</v>
      </c>
      <c r="AY45" s="25">
        <v>-2.4056834771087179E-2</v>
      </c>
      <c r="AZ45" s="25">
        <v>-2.7216255384506807E-2</v>
      </c>
      <c r="BA45" s="25">
        <v>6.2990823936844881E-2</v>
      </c>
      <c r="BB45" s="25">
        <v>-1.2365228156457171E-2</v>
      </c>
      <c r="BC45" s="25">
        <v>3.7026597676893092E-2</v>
      </c>
      <c r="BD45" s="25">
        <v>-3.4836508348894332E-2</v>
      </c>
      <c r="BE45" s="25">
        <v>2.5838329897970948E-2</v>
      </c>
      <c r="BF45" s="25">
        <v>5.019442373941882E-2</v>
      </c>
      <c r="BG45" s="25">
        <v>-1.0639367521716837E-2</v>
      </c>
      <c r="BH45" s="25">
        <v>3.9662081306771221E-2</v>
      </c>
      <c r="BI45" s="25">
        <v>-1.7520108440258433E-2</v>
      </c>
      <c r="BJ45" s="25">
        <v>0.10072518337584546</v>
      </c>
      <c r="BK45" s="25">
        <v>-1.8487657026537027E-2</v>
      </c>
      <c r="BL45" s="25">
        <v>0.11872410803438913</v>
      </c>
      <c r="BM45" s="25">
        <v>3.3358838373423419E-2</v>
      </c>
      <c r="BN45" s="25">
        <v>-2.2852127734226142E-2</v>
      </c>
      <c r="BO45" s="25">
        <v>-3.4120069018248489E-2</v>
      </c>
      <c r="BP45" s="25">
        <v>-2.1444992711213084E-2</v>
      </c>
      <c r="BQ45" s="25">
        <v>-2.3444001914719449E-2</v>
      </c>
      <c r="BR45" s="25">
        <v>2.2993965886667252E-2</v>
      </c>
      <c r="BS45" s="25">
        <v>2.6563969065423326E-3</v>
      </c>
      <c r="BT45" s="25">
        <v>8.1872419455797235E-3</v>
      </c>
    </row>
    <row r="46" spans="1:72">
      <c r="A46" s="932" t="s">
        <v>466</v>
      </c>
      <c r="B46" s="984">
        <v>15.8</v>
      </c>
      <c r="C46" s="985">
        <v>6.2</v>
      </c>
      <c r="D46" s="986">
        <v>82.402677784750395</v>
      </c>
      <c r="E46" s="1311">
        <v>510.6</v>
      </c>
      <c r="G46" s="113">
        <v>1</v>
      </c>
      <c r="H46" s="174">
        <f t="shared" si="3"/>
        <v>6.2</v>
      </c>
      <c r="I46" s="174">
        <f t="shared" si="4"/>
        <v>82.402677784750395</v>
      </c>
      <c r="J46" s="169">
        <f t="shared" si="5"/>
        <v>510.6</v>
      </c>
      <c r="L46" s="1313">
        <f t="shared" si="1"/>
        <v>15.8</v>
      </c>
      <c r="S46" s="1313">
        <v>12.088470187680514</v>
      </c>
      <c r="U46" s="1313">
        <f t="shared" si="2"/>
        <v>3.7115298123194869</v>
      </c>
      <c r="W46" s="25">
        <v>-5.8366695403571922E-3</v>
      </c>
      <c r="X46" s="25">
        <v>4.4095670163727549E-2</v>
      </c>
      <c r="Y46" s="25">
        <v>3.4724318817791609E-2</v>
      </c>
      <c r="Z46" s="25">
        <v>1.1653437548812644E-2</v>
      </c>
      <c r="AA46" s="25">
        <v>5.4682057670271011E-2</v>
      </c>
      <c r="AB46" s="25">
        <v>2.9737733690948332E-2</v>
      </c>
      <c r="AC46" s="25">
        <v>1.2106697948778139E-2</v>
      </c>
      <c r="AD46" s="25">
        <v>3.0091295728605291E-2</v>
      </c>
      <c r="AE46" s="25">
        <v>4.7779129192504072E-2</v>
      </c>
      <c r="AF46" s="25">
        <v>9.2817592826439956E-3</v>
      </c>
      <c r="AG46" s="25">
        <v>9.0266569097149918E-3</v>
      </c>
      <c r="AH46" s="25">
        <v>5.0108853595311684E-3</v>
      </c>
      <c r="AI46" s="25">
        <v>2.7020108026972689E-2</v>
      </c>
      <c r="AJ46" s="25">
        <v>-1.595259216777889E-3</v>
      </c>
      <c r="AK46" s="25">
        <v>3.2649700055501288E-2</v>
      </c>
      <c r="AL46" s="25">
        <v>2.3022522934606993E-2</v>
      </c>
      <c r="AM46" s="25">
        <v>1.0332284903684583E-3</v>
      </c>
      <c r="AN46" s="25">
        <v>1.18601218219734E-2</v>
      </c>
      <c r="AO46" s="25">
        <v>-1.3941158998602016E-3</v>
      </c>
      <c r="AP46" s="25">
        <v>2.6276993645179547E-2</v>
      </c>
      <c r="AQ46" s="25">
        <v>4.9529795858480816E-2</v>
      </c>
      <c r="AR46" s="25">
        <v>2.6518988611277695E-2</v>
      </c>
      <c r="AS46" s="25">
        <v>2.9539226248800173E-2</v>
      </c>
      <c r="AT46" s="25">
        <v>-4.5728314429685751E-2</v>
      </c>
      <c r="AU46" s="25">
        <v>2.4021353579897237E-2</v>
      </c>
      <c r="AV46" s="25">
        <v>2.2069438509211895E-2</v>
      </c>
      <c r="AW46" s="25">
        <v>2.6454146801593949E-2</v>
      </c>
      <c r="AX46" s="25">
        <v>6.2573734487780905E-2</v>
      </c>
      <c r="AY46" s="25">
        <v>3.0530672689766114E-3</v>
      </c>
      <c r="AZ46" s="25">
        <v>2.7125995295774266E-2</v>
      </c>
      <c r="BA46" s="25">
        <v>6.1556847881525323E-2</v>
      </c>
      <c r="BB46" s="25">
        <v>3.4471892535307913E-2</v>
      </c>
      <c r="BC46" s="25">
        <v>8.3350074277198458E-3</v>
      </c>
      <c r="BD46" s="25">
        <v>6.4986296423347051E-3</v>
      </c>
      <c r="BE46" s="25">
        <v>1.2595629959520072E-3</v>
      </c>
      <c r="BF46" s="25">
        <v>1.4192232280197854E-2</v>
      </c>
      <c r="BG46" s="25">
        <v>2.5838313110935346E-2</v>
      </c>
      <c r="BH46" s="25">
        <v>1.1940741864540833E-2</v>
      </c>
      <c r="BI46" s="25">
        <v>1.1230751512479396E-2</v>
      </c>
      <c r="BJ46" s="25">
        <v>3.8323102870401277E-2</v>
      </c>
      <c r="BK46" s="25">
        <v>-5.3793534485504363E-3</v>
      </c>
      <c r="BL46" s="25">
        <v>3.3358838373423877E-2</v>
      </c>
      <c r="BM46" s="25">
        <v>3.937012847055478E-2</v>
      </c>
      <c r="BN46" s="25">
        <v>2.5844817171795681E-2</v>
      </c>
      <c r="BO46" s="25">
        <v>9.5178380601595863E-3</v>
      </c>
      <c r="BP46" s="25">
        <v>-4.9264184822216117E-4</v>
      </c>
      <c r="BQ46" s="25">
        <v>3.9663219467204081E-2</v>
      </c>
      <c r="BR46" s="25">
        <v>1.2210303620550852E-3</v>
      </c>
      <c r="BS46" s="25">
        <v>1.4589757206280356E-2</v>
      </c>
      <c r="BT46" s="25">
        <v>2.275579200868065E-3</v>
      </c>
    </row>
    <row r="47" spans="1:72">
      <c r="A47" s="932" t="s">
        <v>467</v>
      </c>
      <c r="B47" s="984">
        <v>9.6</v>
      </c>
      <c r="C47" s="985">
        <v>5.0999999999999996</v>
      </c>
      <c r="D47" s="986">
        <v>92.915461931338129</v>
      </c>
      <c r="E47" s="1311">
        <v>234.8</v>
      </c>
      <c r="G47" s="113">
        <v>1</v>
      </c>
      <c r="H47" s="174">
        <f t="shared" si="3"/>
        <v>5.0999999999999996</v>
      </c>
      <c r="I47" s="174">
        <f t="shared" si="4"/>
        <v>92.915461931338129</v>
      </c>
      <c r="J47" s="169">
        <f t="shared" si="5"/>
        <v>234.8</v>
      </c>
      <c r="L47" s="1313">
        <f t="shared" si="1"/>
        <v>9.6</v>
      </c>
      <c r="S47" s="1313">
        <v>10.671011249440689</v>
      </c>
      <c r="U47" s="1313">
        <f t="shared" si="2"/>
        <v>-1.0710112494406889</v>
      </c>
      <c r="W47" s="25">
        <v>-2.1704570721193757E-2</v>
      </c>
      <c r="X47" s="25">
        <v>1.6238169183573001E-3</v>
      </c>
      <c r="Y47" s="25">
        <v>2.6592798332099328E-2</v>
      </c>
      <c r="Z47" s="25">
        <v>-1.0855069122513624E-2</v>
      </c>
      <c r="AA47" s="25">
        <v>3.9797818735169271E-2</v>
      </c>
      <c r="AB47" s="25">
        <v>4.4576829670163957E-2</v>
      </c>
      <c r="AC47" s="25">
        <v>3.6961764927560259E-2</v>
      </c>
      <c r="AD47" s="25">
        <v>-1.8312033828523713E-2</v>
      </c>
      <c r="AE47" s="25">
        <v>-7.8320012799876909E-4</v>
      </c>
      <c r="AF47" s="25">
        <v>-1.3511984586186396E-2</v>
      </c>
      <c r="AG47" s="25">
        <v>9.4749664453336185E-3</v>
      </c>
      <c r="AH47" s="25">
        <v>3.5293509967612678E-2</v>
      </c>
      <c r="AI47" s="25">
        <v>6.1222249738915463E-3</v>
      </c>
      <c r="AJ47" s="25">
        <v>9.0819186160297147E-3</v>
      </c>
      <c r="AK47" s="25">
        <v>5.8663158925531318E-2</v>
      </c>
      <c r="AL47" s="25">
        <v>1.8580576685539391E-2</v>
      </c>
      <c r="AM47" s="25">
        <v>1.9421457164491857E-2</v>
      </c>
      <c r="AN47" s="25">
        <v>-5.036162264892674E-2</v>
      </c>
      <c r="AO47" s="25">
        <v>4.8771175189027099E-2</v>
      </c>
      <c r="AP47" s="25">
        <v>-1.9075643116582663E-2</v>
      </c>
      <c r="AQ47" s="25">
        <v>5.2663011638971399E-2</v>
      </c>
      <c r="AR47" s="25">
        <v>5.8452646785483349E-3</v>
      </c>
      <c r="AS47" s="25">
        <v>5.4005687947756995E-2</v>
      </c>
      <c r="AT47" s="25">
        <v>-4.6767313651331577E-2</v>
      </c>
      <c r="AU47" s="25">
        <v>9.58316991960282E-3</v>
      </c>
      <c r="AV47" s="25">
        <v>4.5882597847376555E-2</v>
      </c>
      <c r="AW47" s="25">
        <v>4.8934881674165105E-2</v>
      </c>
      <c r="AX47" s="25">
        <v>1.2499263254617504E-2</v>
      </c>
      <c r="AY47" s="25">
        <v>5.046319290213476E-2</v>
      </c>
      <c r="AZ47" s="25">
        <v>3.9312693256752504E-2</v>
      </c>
      <c r="BA47" s="25">
        <v>2.7002140285983113E-2</v>
      </c>
      <c r="BB47" s="25">
        <v>3.2786163117649196E-2</v>
      </c>
      <c r="BC47" s="25">
        <v>-6.845132900261305E-3</v>
      </c>
      <c r="BD47" s="25">
        <v>5.2123948697268142E-2</v>
      </c>
      <c r="BE47" s="25">
        <v>9.6150060669265916E-3</v>
      </c>
      <c r="BF47" s="25">
        <v>-3.8495648063570408E-3</v>
      </c>
      <c r="BG47" s="25">
        <v>5.0216135820296229E-2</v>
      </c>
      <c r="BH47" s="25">
        <v>1.0239625956015398E-2</v>
      </c>
      <c r="BI47" s="25">
        <v>4.2360871422117488E-2</v>
      </c>
      <c r="BJ47" s="25">
        <v>-2.7307627336750483E-2</v>
      </c>
      <c r="BK47" s="25">
        <v>3.2281668272257723E-2</v>
      </c>
      <c r="BL47" s="25">
        <v>-2.2852127734225847E-2</v>
      </c>
      <c r="BM47" s="25">
        <v>2.5844817171795497E-2</v>
      </c>
      <c r="BN47" s="25">
        <v>6.0162257505410641E-2</v>
      </c>
      <c r="BO47" s="25">
        <v>6.0679935458350001E-2</v>
      </c>
      <c r="BP47" s="25">
        <v>1.5369956558785904E-2</v>
      </c>
      <c r="BQ47" s="25">
        <v>5.6741215692457818E-2</v>
      </c>
      <c r="BR47" s="25">
        <v>2.4748376372648401E-2</v>
      </c>
      <c r="BS47" s="25">
        <v>3.6122447699241791E-2</v>
      </c>
      <c r="BT47" s="25">
        <v>3.1779544812922778E-2</v>
      </c>
    </row>
    <row r="48" spans="1:72">
      <c r="A48" s="932" t="s">
        <v>468</v>
      </c>
      <c r="B48" s="984">
        <v>10.6</v>
      </c>
      <c r="C48" s="985">
        <v>5.5</v>
      </c>
      <c r="D48" s="986">
        <v>96.408807764739961</v>
      </c>
      <c r="E48" s="1311">
        <v>124.3</v>
      </c>
      <c r="G48" s="113">
        <v>1</v>
      </c>
      <c r="H48" s="174">
        <f t="shared" si="3"/>
        <v>5.5</v>
      </c>
      <c r="I48" s="174">
        <f t="shared" si="4"/>
        <v>96.408807764739961</v>
      </c>
      <c r="J48" s="169">
        <f t="shared" si="5"/>
        <v>124.3</v>
      </c>
      <c r="L48" s="1313">
        <f t="shared" si="1"/>
        <v>10.6</v>
      </c>
      <c r="S48" s="1313">
        <v>11.152585977856385</v>
      </c>
      <c r="U48" s="1313">
        <f t="shared" si="2"/>
        <v>-0.55258597785638486</v>
      </c>
      <c r="W48" s="25">
        <v>-5.2064141413142168E-3</v>
      </c>
      <c r="X48" s="25">
        <v>-2.505795895021419E-2</v>
      </c>
      <c r="Y48" s="25">
        <v>1.6600601637084642E-2</v>
      </c>
      <c r="Z48" s="25">
        <v>-3.7356419209636288E-3</v>
      </c>
      <c r="AA48" s="25">
        <v>6.7600339702335206E-3</v>
      </c>
      <c r="AB48" s="25">
        <v>4.0289387495069447E-2</v>
      </c>
      <c r="AC48" s="25">
        <v>4.4620943869332998E-2</v>
      </c>
      <c r="AD48" s="25">
        <v>-3.0496272172953247E-2</v>
      </c>
      <c r="AE48" s="25">
        <v>-2.514325600364457E-2</v>
      </c>
      <c r="AF48" s="25">
        <v>-1.3352362347174082E-2</v>
      </c>
      <c r="AG48" s="25">
        <v>-1.1654477769310626E-2</v>
      </c>
      <c r="AH48" s="25">
        <v>5.5074376945483998E-2</v>
      </c>
      <c r="AI48" s="25">
        <v>-1.1736891933734842E-3</v>
      </c>
      <c r="AJ48" s="25">
        <v>3.1215078930287112E-2</v>
      </c>
      <c r="AK48" s="25">
        <v>5.4175264191624668E-2</v>
      </c>
      <c r="AL48" s="25">
        <v>2.0002129061725899E-2</v>
      </c>
      <c r="AM48" s="25">
        <v>4.0197060813844013E-2</v>
      </c>
      <c r="AN48" s="25">
        <v>-5.184470276502514E-2</v>
      </c>
      <c r="AO48" s="25">
        <v>7.4722549170745223E-2</v>
      </c>
      <c r="AP48" s="25">
        <v>-3.4381897917227733E-2</v>
      </c>
      <c r="AQ48" s="25">
        <v>2.9309344299972569E-2</v>
      </c>
      <c r="AR48" s="25">
        <v>1.8464427249117836E-4</v>
      </c>
      <c r="AS48" s="25">
        <v>4.9260562468156271E-2</v>
      </c>
      <c r="AT48" s="25">
        <v>-1.9308946655304873E-3</v>
      </c>
      <c r="AU48" s="25">
        <v>8.2119165742110846E-3</v>
      </c>
      <c r="AV48" s="25">
        <v>4.8505456259115259E-2</v>
      </c>
      <c r="AW48" s="25">
        <v>4.8294148165298714E-2</v>
      </c>
      <c r="AX48" s="25">
        <v>-2.4100586519834009E-2</v>
      </c>
      <c r="AY48" s="25">
        <v>7.2069214130469683E-2</v>
      </c>
      <c r="AZ48" s="25">
        <v>2.9325035673348307E-2</v>
      </c>
      <c r="BA48" s="25">
        <v>-7.2535267713696797E-3</v>
      </c>
      <c r="BB48" s="25">
        <v>1.5183926147387913E-2</v>
      </c>
      <c r="BC48" s="25">
        <v>-1.0210211735804846E-3</v>
      </c>
      <c r="BD48" s="25">
        <v>6.8362953469374946E-2</v>
      </c>
      <c r="BE48" s="25">
        <v>2.7412767748909855E-2</v>
      </c>
      <c r="BF48" s="25">
        <v>-6.016422727173126E-4</v>
      </c>
      <c r="BG48" s="25">
        <v>4.9344997224536863E-2</v>
      </c>
      <c r="BH48" s="25">
        <v>1.9341741323895573E-2</v>
      </c>
      <c r="BI48" s="25">
        <v>5.3104582003407924E-2</v>
      </c>
      <c r="BJ48" s="25">
        <v>-4.9507317870767439E-2</v>
      </c>
      <c r="BK48" s="25">
        <v>5.7192437193985722E-2</v>
      </c>
      <c r="BL48" s="25">
        <v>-3.4120069018248607E-2</v>
      </c>
      <c r="BM48" s="25">
        <v>9.5178380601592186E-3</v>
      </c>
      <c r="BN48" s="25">
        <v>6.0679935458349904E-2</v>
      </c>
      <c r="BO48" s="25">
        <v>7.7097487511806034E-2</v>
      </c>
      <c r="BP48" s="25">
        <v>2.7634133544983036E-2</v>
      </c>
      <c r="BQ48" s="25">
        <v>4.0545746498573003E-2</v>
      </c>
      <c r="BR48" s="25">
        <v>4.7950771643233345E-2</v>
      </c>
      <c r="BS48" s="25">
        <v>4.4859573087239507E-2</v>
      </c>
      <c r="BT48" s="25">
        <v>5.3535092628917494E-2</v>
      </c>
    </row>
    <row r="49" spans="1:72">
      <c r="A49" s="932" t="s">
        <v>469</v>
      </c>
      <c r="B49" s="984">
        <v>10.199999999999999</v>
      </c>
      <c r="C49" s="985">
        <v>7.1</v>
      </c>
      <c r="D49" s="986">
        <v>73.031896017666924</v>
      </c>
      <c r="E49" s="1311">
        <v>269.7</v>
      </c>
      <c r="G49" s="113">
        <v>1</v>
      </c>
      <c r="H49" s="174">
        <f t="shared" si="3"/>
        <v>7.1</v>
      </c>
      <c r="I49" s="174">
        <f t="shared" si="4"/>
        <v>73.031896017666924</v>
      </c>
      <c r="J49" s="169">
        <f t="shared" si="5"/>
        <v>269.7</v>
      </c>
      <c r="L49" s="1313">
        <f t="shared" si="1"/>
        <v>10.199999999999999</v>
      </c>
      <c r="S49" s="1313">
        <v>12.55705210087239</v>
      </c>
      <c r="U49" s="1313">
        <f t="shared" si="2"/>
        <v>-2.3570521008723908</v>
      </c>
      <c r="W49" s="25">
        <v>4.7768171392651548E-2</v>
      </c>
      <c r="X49" s="25">
        <v>3.9413774168464352E-3</v>
      </c>
      <c r="Y49" s="25">
        <v>-3.5831554417971902E-3</v>
      </c>
      <c r="Z49" s="25">
        <v>1.1982344000141677E-2</v>
      </c>
      <c r="AA49" s="25">
        <v>3.3142973187934299E-3</v>
      </c>
      <c r="AB49" s="25">
        <v>7.3100980175422074E-3</v>
      </c>
      <c r="AC49" s="25">
        <v>3.5781015508350056E-2</v>
      </c>
      <c r="AD49" s="25">
        <v>-7.1475474949848905E-4</v>
      </c>
      <c r="AE49" s="25">
        <v>-2.2779986319071355E-2</v>
      </c>
      <c r="AF49" s="25">
        <v>4.7653721034997751E-2</v>
      </c>
      <c r="AG49" s="25">
        <v>0.14369160923558594</v>
      </c>
      <c r="AH49" s="25">
        <v>2.0057471757855577E-2</v>
      </c>
      <c r="AI49" s="25">
        <v>8.5218767457233644E-3</v>
      </c>
      <c r="AJ49" s="25">
        <v>2.5233211514769763E-2</v>
      </c>
      <c r="AK49" s="25">
        <v>3.3036671317408992E-3</v>
      </c>
      <c r="AL49" s="25">
        <v>2.4853184537154162E-4</v>
      </c>
      <c r="AM49" s="25">
        <v>2.4735495410835057E-2</v>
      </c>
      <c r="AN49" s="25">
        <v>2.0950565699750821E-2</v>
      </c>
      <c r="AO49" s="25">
        <v>3.2866597473370278E-2</v>
      </c>
      <c r="AP49" s="25">
        <v>2.7804656001727348E-2</v>
      </c>
      <c r="AQ49" s="25">
        <v>-3.2716515633424842E-3</v>
      </c>
      <c r="AR49" s="25">
        <v>4.3357326719827595E-3</v>
      </c>
      <c r="AS49" s="25">
        <v>1.5446419983813218E-2</v>
      </c>
      <c r="AT49" s="25">
        <v>0.10261047677040706</v>
      </c>
      <c r="AU49" s="25">
        <v>1.2367845346570525E-3</v>
      </c>
      <c r="AV49" s="25">
        <v>1.5823638796677149E-2</v>
      </c>
      <c r="AW49" s="25">
        <v>1.0538645924718881E-2</v>
      </c>
      <c r="AX49" s="25">
        <v>-3.4171512615039479E-2</v>
      </c>
      <c r="AY49" s="25">
        <v>3.0650590177268726E-2</v>
      </c>
      <c r="AZ49" s="25">
        <v>3.7710061754939961E-2</v>
      </c>
      <c r="BA49" s="25">
        <v>-3.0151137077787188E-2</v>
      </c>
      <c r="BB49" s="25">
        <v>3.0285815288263372E-2</v>
      </c>
      <c r="BC49" s="25">
        <v>3.4081254506458943E-2</v>
      </c>
      <c r="BD49" s="25">
        <v>3.6794997491146661E-2</v>
      </c>
      <c r="BE49" s="25">
        <v>2.9405957872612205E-2</v>
      </c>
      <c r="BF49" s="25">
        <v>1.9563647536917333E-2</v>
      </c>
      <c r="BG49" s="25">
        <v>1.4914786672135619E-2</v>
      </c>
      <c r="BH49" s="25">
        <v>1.5413480709295964E-2</v>
      </c>
      <c r="BI49" s="25">
        <v>3.1029400434914096E-2</v>
      </c>
      <c r="BJ49" s="25">
        <v>-4.3400694426257921E-3</v>
      </c>
      <c r="BK49" s="25">
        <v>4.5009582940123798E-2</v>
      </c>
      <c r="BL49" s="25">
        <v>-2.1444992711212987E-2</v>
      </c>
      <c r="BM49" s="25">
        <v>-4.9264184822164422E-4</v>
      </c>
      <c r="BN49" s="25">
        <v>1.5369956558786693E-2</v>
      </c>
      <c r="BO49" s="25">
        <v>2.7634133544983772E-2</v>
      </c>
      <c r="BP49" s="25">
        <v>6.176039597843154E-2</v>
      </c>
      <c r="BQ49" s="25">
        <v>1.5715271983370027E-2</v>
      </c>
      <c r="BR49" s="25">
        <v>1.7714736069024847E-2</v>
      </c>
      <c r="BS49" s="25">
        <v>2.008946236090934E-2</v>
      </c>
      <c r="BT49" s="25">
        <v>2.2649963700712414E-2</v>
      </c>
    </row>
    <row r="50" spans="1:72">
      <c r="A50" s="932" t="s">
        <v>470</v>
      </c>
      <c r="B50" s="984">
        <v>11.3</v>
      </c>
      <c r="C50" s="985">
        <v>4.7</v>
      </c>
      <c r="D50" s="986">
        <v>84.290902250404002</v>
      </c>
      <c r="E50" s="1311">
        <v>333.1</v>
      </c>
      <c r="G50" s="113">
        <v>1</v>
      </c>
      <c r="H50" s="174">
        <f t="shared" si="3"/>
        <v>4.7</v>
      </c>
      <c r="I50" s="174">
        <f t="shared" si="4"/>
        <v>84.290902250404002</v>
      </c>
      <c r="J50" s="169">
        <f t="shared" si="5"/>
        <v>333.1</v>
      </c>
      <c r="L50" s="1313">
        <f t="shared" si="1"/>
        <v>11.3</v>
      </c>
      <c r="S50" s="1313">
        <v>9.9856930226675171</v>
      </c>
      <c r="U50" s="1313">
        <f t="shared" si="2"/>
        <v>1.3143069773324836</v>
      </c>
      <c r="W50" s="25">
        <v>-3.2055177694678749E-2</v>
      </c>
      <c r="X50" s="25">
        <v>3.1871773573285321E-2</v>
      </c>
      <c r="Y50" s="25">
        <v>3.0498023220558799E-2</v>
      </c>
      <c r="Z50" s="25">
        <v>-2.3186781796545729E-2</v>
      </c>
      <c r="AA50" s="25">
        <v>7.7669704852394217E-2</v>
      </c>
      <c r="AB50" s="25">
        <v>4.4756468461848685E-2</v>
      </c>
      <c r="AC50" s="25">
        <v>3.2578609866434974E-2</v>
      </c>
      <c r="AD50" s="25">
        <v>-9.3197394372110109E-3</v>
      </c>
      <c r="AE50" s="25">
        <v>1.5483432696116115E-2</v>
      </c>
      <c r="AF50" s="25">
        <v>-1.7918543254725715E-3</v>
      </c>
      <c r="AG50" s="25">
        <v>8.8805119566837842E-2</v>
      </c>
      <c r="AH50" s="25">
        <v>8.0171969891846412E-3</v>
      </c>
      <c r="AI50" s="25">
        <v>1.1695378812398535E-2</v>
      </c>
      <c r="AJ50" s="25">
        <v>-1.8755510946617711E-2</v>
      </c>
      <c r="AK50" s="25">
        <v>5.7195357997292279E-2</v>
      </c>
      <c r="AL50" s="25">
        <v>8.640459716550114E-3</v>
      </c>
      <c r="AM50" s="25">
        <v>-6.9808193718318076E-3</v>
      </c>
      <c r="AN50" s="25">
        <v>-4.6493737609455243E-2</v>
      </c>
      <c r="AO50" s="25">
        <v>1.8006297732511563E-2</v>
      </c>
      <c r="AP50" s="25">
        <v>5.7863991598636894E-3</v>
      </c>
      <c r="AQ50" s="25">
        <v>7.4380655499268783E-2</v>
      </c>
      <c r="AR50" s="25">
        <v>7.4915111268807968E-3</v>
      </c>
      <c r="AS50" s="25">
        <v>5.79222273585034E-2</v>
      </c>
      <c r="AT50" s="25">
        <v>-7.2956688450279791E-2</v>
      </c>
      <c r="AU50" s="25">
        <v>4.0409493565730682E-3</v>
      </c>
      <c r="AV50" s="25">
        <v>4.0070346987888715E-2</v>
      </c>
      <c r="AW50" s="25">
        <v>4.5362430323543403E-2</v>
      </c>
      <c r="AX50" s="25">
        <v>4.0555163597207594E-2</v>
      </c>
      <c r="AY50" s="25">
        <v>2.4689686175618619E-2</v>
      </c>
      <c r="AZ50" s="25">
        <v>5.973681535434984E-2</v>
      </c>
      <c r="BA50" s="25">
        <v>5.3194367389223285E-2</v>
      </c>
      <c r="BB50" s="25">
        <v>6.0713955674309213E-2</v>
      </c>
      <c r="BC50" s="25">
        <v>-8.5082108241777005E-3</v>
      </c>
      <c r="BD50" s="25">
        <v>3.6135215898069596E-2</v>
      </c>
      <c r="BE50" s="25">
        <v>-1.0623111629250146E-2</v>
      </c>
      <c r="BF50" s="25">
        <v>-7.9630773291150588E-3</v>
      </c>
      <c r="BG50" s="25">
        <v>4.8710642511709604E-2</v>
      </c>
      <c r="BH50" s="25">
        <v>-3.8388483714329189E-3</v>
      </c>
      <c r="BI50" s="25">
        <v>3.172637975385513E-2</v>
      </c>
      <c r="BJ50" s="25">
        <v>-5.9409577552993892E-3</v>
      </c>
      <c r="BK50" s="25">
        <v>8.2150512784179772E-3</v>
      </c>
      <c r="BL50" s="25">
        <v>-2.3444001914718446E-2</v>
      </c>
      <c r="BM50" s="25">
        <v>3.966321946720465E-2</v>
      </c>
      <c r="BN50" s="25">
        <v>5.6741215692458477E-2</v>
      </c>
      <c r="BO50" s="25">
        <v>4.0545746498573711E-2</v>
      </c>
      <c r="BP50" s="25">
        <v>1.5715271983369548E-2</v>
      </c>
      <c r="BQ50" s="25">
        <v>7.6329554800437086E-2</v>
      </c>
      <c r="BR50" s="25">
        <v>-7.9291043658062665E-3</v>
      </c>
      <c r="BS50" s="25">
        <v>2.390651227582127E-2</v>
      </c>
      <c r="BT50" s="25">
        <v>2.9364801733438722E-3</v>
      </c>
    </row>
    <row r="51" spans="1:72">
      <c r="A51" s="932" t="s">
        <v>471</v>
      </c>
      <c r="B51" s="1317">
        <v>17</v>
      </c>
      <c r="C51" s="985">
        <v>7.4</v>
      </c>
      <c r="D51" s="986">
        <v>94.524786328554711</v>
      </c>
      <c r="E51" s="1311">
        <v>275.2</v>
      </c>
      <c r="G51" s="113">
        <v>1</v>
      </c>
      <c r="H51" s="174">
        <f t="shared" si="3"/>
        <v>7.4</v>
      </c>
      <c r="I51" s="174">
        <f t="shared" si="4"/>
        <v>94.524786328554711</v>
      </c>
      <c r="J51" s="169">
        <f t="shared" si="5"/>
        <v>275.2</v>
      </c>
      <c r="L51" s="1313">
        <f t="shared" si="1"/>
        <v>17</v>
      </c>
      <c r="S51" s="1313">
        <v>13.72945181414045</v>
      </c>
      <c r="U51" s="1313">
        <f t="shared" si="2"/>
        <v>3.2705481858595498</v>
      </c>
      <c r="W51" s="25">
        <v>3.3814449776084318E-2</v>
      </c>
      <c r="X51" s="25">
        <v>-2.2124769426122279E-2</v>
      </c>
      <c r="Y51" s="25">
        <v>1.5434205493654166E-2</v>
      </c>
      <c r="Z51" s="25">
        <v>3.8112949251871156E-2</v>
      </c>
      <c r="AA51" s="25">
        <v>-3.3227777365577381E-2</v>
      </c>
      <c r="AB51" s="25">
        <v>2.0108499787496022E-2</v>
      </c>
      <c r="AC51" s="25">
        <v>2.5402206190868193E-2</v>
      </c>
      <c r="AD51" s="25">
        <v>8.4333423269604968E-3</v>
      </c>
      <c r="AE51" s="25">
        <v>-1.0712013926010427E-3</v>
      </c>
      <c r="AF51" s="25">
        <v>2.3995998230148131E-3</v>
      </c>
      <c r="AG51" s="25">
        <v>-9.8044149736477099E-2</v>
      </c>
      <c r="AH51" s="25">
        <v>5.8628724486449291E-2</v>
      </c>
      <c r="AI51" s="25">
        <v>1.2694339200032321E-2</v>
      </c>
      <c r="AJ51" s="25">
        <v>5.9404458883537445E-2</v>
      </c>
      <c r="AK51" s="25">
        <v>2.2514226410265403E-2</v>
      </c>
      <c r="AL51" s="25">
        <v>3.4998936114461879E-2</v>
      </c>
      <c r="AM51" s="25">
        <v>5.7306316667306664E-2</v>
      </c>
      <c r="AN51" s="25">
        <v>1.5014879629424639E-2</v>
      </c>
      <c r="AO51" s="25">
        <v>6.2917612573159698E-2</v>
      </c>
      <c r="AP51" s="25">
        <v>-1.5357066012716136E-2</v>
      </c>
      <c r="AQ51" s="25">
        <v>-1.008973283416156E-2</v>
      </c>
      <c r="AR51" s="25">
        <v>1.8458962953205871E-2</v>
      </c>
      <c r="AS51" s="25">
        <v>1.4368873205679998E-2</v>
      </c>
      <c r="AT51" s="25">
        <v>5.4108338238603296E-2</v>
      </c>
      <c r="AU51" s="25">
        <v>2.8778103241102554E-2</v>
      </c>
      <c r="AV51" s="25">
        <v>2.823759644172074E-2</v>
      </c>
      <c r="AW51" s="25">
        <v>2.5263329681517569E-2</v>
      </c>
      <c r="AX51" s="25">
        <v>-1.7424748644551846E-2</v>
      </c>
      <c r="AY51" s="25">
        <v>5.5910325539616577E-2</v>
      </c>
      <c r="AZ51" s="25">
        <v>-9.9442139593710448E-3</v>
      </c>
      <c r="BA51" s="25">
        <v>-1.50670209949368E-2</v>
      </c>
      <c r="BB51" s="25">
        <v>-2.0227910584228462E-2</v>
      </c>
      <c r="BC51" s="25">
        <v>2.1955784282873689E-2</v>
      </c>
      <c r="BD51" s="25">
        <v>4.1726790495319258E-2</v>
      </c>
      <c r="BE51" s="25">
        <v>4.8421072151703416E-2</v>
      </c>
      <c r="BF51" s="25">
        <v>2.6050125546930453E-2</v>
      </c>
      <c r="BG51" s="25">
        <v>2.2124910622481939E-2</v>
      </c>
      <c r="BH51" s="25">
        <v>4.0278738932649577E-2</v>
      </c>
      <c r="BI51" s="25">
        <v>3.4449413678381488E-2</v>
      </c>
      <c r="BJ51" s="25">
        <v>-8.9173146382654847E-3</v>
      </c>
      <c r="BK51" s="25">
        <v>5.2998338108272133E-2</v>
      </c>
      <c r="BL51" s="25">
        <v>2.2993965886667293E-2</v>
      </c>
      <c r="BM51" s="25">
        <v>1.2210303620549638E-3</v>
      </c>
      <c r="BN51" s="25">
        <v>2.4748376372648651E-2</v>
      </c>
      <c r="BO51" s="25">
        <v>4.7950771643233817E-2</v>
      </c>
      <c r="BP51" s="25">
        <v>1.7714736069025058E-2</v>
      </c>
      <c r="BQ51" s="25">
        <v>-7.9291043658066621E-3</v>
      </c>
      <c r="BR51" s="25">
        <v>6.648748869827184E-2</v>
      </c>
      <c r="BS51" s="25">
        <v>3.7224719559671104E-2</v>
      </c>
      <c r="BT51" s="25">
        <v>6.0768471628598206E-2</v>
      </c>
    </row>
    <row r="52" spans="1:72">
      <c r="A52" s="932" t="s">
        <v>472</v>
      </c>
      <c r="B52" s="984">
        <v>10.4</v>
      </c>
      <c r="C52" s="985">
        <v>6.4</v>
      </c>
      <c r="D52" s="986">
        <v>89.673695670212709</v>
      </c>
      <c r="E52" s="1311">
        <v>290.89999999999998</v>
      </c>
      <c r="G52" s="113">
        <v>1</v>
      </c>
      <c r="H52" s="174">
        <f t="shared" si="3"/>
        <v>6.4</v>
      </c>
      <c r="I52" s="174">
        <f t="shared" si="4"/>
        <v>89.673695670212709</v>
      </c>
      <c r="J52" s="169">
        <f t="shared" si="5"/>
        <v>290.89999999999998</v>
      </c>
      <c r="L52" s="1313">
        <f t="shared" si="1"/>
        <v>10.4</v>
      </c>
      <c r="S52" s="1313">
        <v>12.296174498038807</v>
      </c>
      <c r="U52" s="1313">
        <f t="shared" si="2"/>
        <v>-1.8961744980388069</v>
      </c>
      <c r="W52" s="25">
        <v>1.0964437398857906E-2</v>
      </c>
      <c r="X52" s="25">
        <v>-1.9119083286364552E-3</v>
      </c>
      <c r="Y52" s="25">
        <v>1.9449628426586697E-2</v>
      </c>
      <c r="Z52" s="25">
        <v>1.421182668312891E-2</v>
      </c>
      <c r="AA52" s="25">
        <v>8.399058473234744E-3</v>
      </c>
      <c r="AB52" s="25">
        <v>2.8321125775131354E-2</v>
      </c>
      <c r="AC52" s="25">
        <v>2.9039135559920101E-2</v>
      </c>
      <c r="AD52" s="25">
        <v>7.1337388633229554E-4</v>
      </c>
      <c r="AE52" s="25">
        <v>2.6306703473368831E-3</v>
      </c>
      <c r="AF52" s="25">
        <v>3.42748427992484E-3</v>
      </c>
      <c r="AG52" s="25">
        <v>-1.593324022291584E-2</v>
      </c>
      <c r="AH52" s="25">
        <v>3.8618123914598394E-2</v>
      </c>
      <c r="AI52" s="25">
        <v>1.1723179692179743E-2</v>
      </c>
      <c r="AJ52" s="25">
        <v>2.9529623626212195E-2</v>
      </c>
      <c r="AK52" s="25">
        <v>3.4078172603303945E-2</v>
      </c>
      <c r="AL52" s="25">
        <v>2.3301259316227139E-2</v>
      </c>
      <c r="AM52" s="25">
        <v>3.2607598176092462E-2</v>
      </c>
      <c r="AN52" s="25">
        <v>-7.5655289500152698E-3</v>
      </c>
      <c r="AO52" s="25">
        <v>4.5815872574109504E-2</v>
      </c>
      <c r="AP52" s="25">
        <v>-5.8073462356343815E-3</v>
      </c>
      <c r="AQ52" s="25">
        <v>2.0510740323317681E-2</v>
      </c>
      <c r="AR52" s="25">
        <v>1.3300132601572479E-2</v>
      </c>
      <c r="AS52" s="25">
        <v>3.0370399987164447E-2</v>
      </c>
      <c r="AT52" s="25">
        <v>1.1905362275098808E-2</v>
      </c>
      <c r="AU52" s="25">
        <v>1.7954279766472153E-2</v>
      </c>
      <c r="AV52" s="25">
        <v>3.2055866622342014E-2</v>
      </c>
      <c r="AW52" s="25">
        <v>3.1858021301123529E-2</v>
      </c>
      <c r="AX52" s="25">
        <v>1.3369996142172519E-3</v>
      </c>
      <c r="AY52" s="25">
        <v>4.3950251437459641E-2</v>
      </c>
      <c r="AZ52" s="25">
        <v>1.8152755059444872E-2</v>
      </c>
      <c r="BA52" s="25">
        <v>7.7244911898056157E-3</v>
      </c>
      <c r="BB52" s="25">
        <v>1.1835809952015259E-2</v>
      </c>
      <c r="BC52" s="25">
        <v>1.16210994584681E-2</v>
      </c>
      <c r="BD52" s="25">
        <v>4.0176229491618518E-2</v>
      </c>
      <c r="BE52" s="25">
        <v>2.6293471536363581E-2</v>
      </c>
      <c r="BF52" s="25">
        <v>1.3209491770684118E-2</v>
      </c>
      <c r="BG52" s="25">
        <v>3.1545191367423418E-2</v>
      </c>
      <c r="BH52" s="25">
        <v>2.2929744289866591E-2</v>
      </c>
      <c r="BI52" s="25">
        <v>3.3777237580749617E-2</v>
      </c>
      <c r="BJ52" s="25">
        <v>-8.6544625032963229E-3</v>
      </c>
      <c r="BK52" s="25">
        <v>3.7148619188640535E-2</v>
      </c>
      <c r="BL52" s="25">
        <v>2.6563969065423326E-3</v>
      </c>
      <c r="BM52" s="25">
        <v>1.4589757206280144E-2</v>
      </c>
      <c r="BN52" s="25">
        <v>3.6122447699241833E-2</v>
      </c>
      <c r="BO52" s="25">
        <v>4.4859573087239681E-2</v>
      </c>
      <c r="BP52" s="25">
        <v>2.0089462360908868E-2</v>
      </c>
      <c r="BQ52" s="25">
        <v>2.3906512275820701E-2</v>
      </c>
      <c r="BR52" s="25">
        <v>3.7224719559670792E-2</v>
      </c>
      <c r="BS52" s="25">
        <v>3.1736795345798548E-2</v>
      </c>
      <c r="BT52" s="25">
        <v>3.8200056251974826E-2</v>
      </c>
    </row>
    <row r="53" spans="1:72">
      <c r="A53" s="1318" t="s">
        <v>473</v>
      </c>
      <c r="B53" s="1319">
        <v>9.4</v>
      </c>
      <c r="C53" s="1320">
        <v>7</v>
      </c>
      <c r="D53" s="1321">
        <v>93.867286940458214</v>
      </c>
      <c r="E53" s="1322">
        <v>239.3</v>
      </c>
      <c r="G53" s="458">
        <v>1</v>
      </c>
      <c r="H53" s="459">
        <f t="shared" si="3"/>
        <v>7</v>
      </c>
      <c r="I53" s="459">
        <f t="shared" si="4"/>
        <v>93.867286940458214</v>
      </c>
      <c r="J53" s="460">
        <f t="shared" si="5"/>
        <v>239.3</v>
      </c>
      <c r="L53" s="1314">
        <f t="shared" si="1"/>
        <v>9.4</v>
      </c>
      <c r="S53" s="1314">
        <v>13.1427872095651</v>
      </c>
      <c r="U53" s="1314">
        <f t="shared" si="2"/>
        <v>-3.7427872095650994</v>
      </c>
      <c r="W53" s="25">
        <v>2.7001299991556246E-2</v>
      </c>
      <c r="X53" s="25">
        <v>-2.2273489743722598E-2</v>
      </c>
      <c r="Y53" s="25">
        <v>1.427523381737696E-2</v>
      </c>
      <c r="Z53" s="25">
        <v>2.8171407072507808E-2</v>
      </c>
      <c r="AA53" s="25">
        <v>-2.4040963469329484E-2</v>
      </c>
      <c r="AB53" s="25">
        <v>2.3479396951951708E-2</v>
      </c>
      <c r="AC53" s="25">
        <v>3.0273466192653923E-2</v>
      </c>
      <c r="AD53" s="25">
        <v>-6.6266919418490888E-4</v>
      </c>
      <c r="AE53" s="25">
        <v>-8.1831563765671148E-3</v>
      </c>
      <c r="AF53" s="25">
        <v>1.5866696616672372E-3</v>
      </c>
      <c r="AG53" s="25">
        <v>-6.7458616623045461E-2</v>
      </c>
      <c r="AH53" s="25">
        <v>5.6483809867598385E-2</v>
      </c>
      <c r="AI53" s="25">
        <v>9.2972509687464649E-3</v>
      </c>
      <c r="AJ53" s="25">
        <v>5.2425359767929253E-2</v>
      </c>
      <c r="AK53" s="25">
        <v>2.7931121732954634E-2</v>
      </c>
      <c r="AL53" s="25">
        <v>3.0003805338430341E-2</v>
      </c>
      <c r="AM53" s="25">
        <v>5.268690682847002E-2</v>
      </c>
      <c r="AN53" s="25">
        <v>1.281603009648323E-3</v>
      </c>
      <c r="AO53" s="25">
        <v>6.467988095095864E-2</v>
      </c>
      <c r="AP53" s="25">
        <v>-1.7528632052103612E-2</v>
      </c>
      <c r="AQ53" s="25">
        <v>-2.3061249030834965E-3</v>
      </c>
      <c r="AR53" s="25">
        <v>1.3652410656076724E-2</v>
      </c>
      <c r="AS53" s="25">
        <v>2.1565427141201861E-2</v>
      </c>
      <c r="AT53" s="25">
        <v>4.6647403668350546E-2</v>
      </c>
      <c r="AU53" s="25">
        <v>2.2910732901469638E-2</v>
      </c>
      <c r="AV53" s="25">
        <v>3.1897266708729312E-2</v>
      </c>
      <c r="AW53" s="25">
        <v>2.9257258668447604E-2</v>
      </c>
      <c r="AX53" s="25">
        <v>-2.1062566566681734E-2</v>
      </c>
      <c r="AY53" s="25">
        <v>5.8690405438747838E-2</v>
      </c>
      <c r="AZ53" s="25">
        <v>5.3343395023364854E-4</v>
      </c>
      <c r="BA53" s="25">
        <v>-1.5493966660362742E-2</v>
      </c>
      <c r="BB53" s="25">
        <v>-1.0676425426887896E-2</v>
      </c>
      <c r="BC53" s="25">
        <v>1.8017810540027782E-2</v>
      </c>
      <c r="BD53" s="25">
        <v>4.7622193130133432E-2</v>
      </c>
      <c r="BE53" s="25">
        <v>4.3620557451513019E-2</v>
      </c>
      <c r="BF53" s="25">
        <v>2.0229018339353456E-2</v>
      </c>
      <c r="BG53" s="25">
        <v>2.740000808256484E-2</v>
      </c>
      <c r="BH53" s="25">
        <v>3.4858514348684165E-2</v>
      </c>
      <c r="BI53" s="25">
        <v>3.8557513963374736E-2</v>
      </c>
      <c r="BJ53" s="25">
        <v>-1.7970272888482783E-2</v>
      </c>
      <c r="BK53" s="25">
        <v>5.4338268368507449E-2</v>
      </c>
      <c r="BL53" s="25">
        <v>8.1872419455795362E-3</v>
      </c>
      <c r="BM53" s="25">
        <v>2.2755792008677458E-3</v>
      </c>
      <c r="BN53" s="25">
        <v>3.1779544812922757E-2</v>
      </c>
      <c r="BO53" s="25">
        <v>5.353509262891766E-2</v>
      </c>
      <c r="BP53" s="25">
        <v>2.264996370071224E-2</v>
      </c>
      <c r="BQ53" s="25">
        <v>2.9364801733432712E-3</v>
      </c>
      <c r="BR53" s="25">
        <v>6.0768471628597831E-2</v>
      </c>
      <c r="BS53" s="25">
        <v>3.8200056251974819E-2</v>
      </c>
      <c r="BT53" s="25">
        <v>5.7949018051671977E-2</v>
      </c>
    </row>
  </sheetData>
  <mergeCells count="3">
    <mergeCell ref="G3:J3"/>
    <mergeCell ref="N9:Q9"/>
    <mergeCell ref="N15:Q15"/>
  </mergeCells>
  <pageMargins left="0.7" right="0.7" top="0.75" bottom="0.75" header="0.3" footer="0.3"/>
  <pageSetup paperSize="9" orientation="portrait" horizontalDpi="300" verticalDpi="300" r:id="rId1"/>
</worksheet>
</file>

<file path=xl/worksheets/sheet233.xml><?xml version="1.0" encoding="utf-8"?>
<worksheet xmlns="http://schemas.openxmlformats.org/spreadsheetml/2006/main" xmlns:r="http://schemas.openxmlformats.org/officeDocument/2006/relationships">
  <sheetPr codeName="Sheet150"/>
  <dimension ref="A1:W81"/>
  <sheetViews>
    <sheetView workbookViewId="0"/>
  </sheetViews>
  <sheetFormatPr defaultRowHeight="14.4"/>
  <cols>
    <col min="1" max="2" width="8.33203125" customWidth="1"/>
    <col min="3" max="3" width="4.88671875" customWidth="1"/>
    <col min="4" max="7" width="5.6640625" customWidth="1"/>
    <col min="8" max="14" width="9.5546875" customWidth="1"/>
  </cols>
  <sheetData>
    <row r="1" spans="1:15">
      <c r="A1" s="1" t="s">
        <v>1203</v>
      </c>
    </row>
    <row r="3" spans="1:15">
      <c r="A3" s="25" t="s">
        <v>1210</v>
      </c>
    </row>
    <row r="5" spans="1:15">
      <c r="A5" s="199" t="s">
        <v>1136</v>
      </c>
      <c r="B5" s="199" t="s">
        <v>547</v>
      </c>
      <c r="E5" s="480" t="s">
        <v>354</v>
      </c>
      <c r="F5" s="480" t="s">
        <v>778</v>
      </c>
      <c r="G5" s="481" t="s">
        <v>779</v>
      </c>
      <c r="H5" s="477" t="s">
        <v>1204</v>
      </c>
      <c r="I5" s="477" t="s">
        <v>696</v>
      </c>
      <c r="J5" s="477" t="s">
        <v>1205</v>
      </c>
      <c r="K5" s="477" t="s">
        <v>1206</v>
      </c>
      <c r="L5" s="477" t="s">
        <v>1207</v>
      </c>
      <c r="M5" s="480" t="s">
        <v>1208</v>
      </c>
      <c r="N5" s="481" t="s">
        <v>1209</v>
      </c>
      <c r="O5" s="1045" t="s">
        <v>2724</v>
      </c>
    </row>
    <row r="6" spans="1:15">
      <c r="A6" s="117">
        <v>5</v>
      </c>
      <c r="B6" s="200">
        <v>80</v>
      </c>
      <c r="E6" s="474">
        <v>1</v>
      </c>
      <c r="F6" s="482">
        <f t="shared" ref="F6:F20" si="0">A6</f>
        <v>5</v>
      </c>
      <c r="G6" s="483">
        <f t="shared" ref="G6:G20" si="1">B6</f>
        <v>80</v>
      </c>
      <c r="H6" s="478">
        <f t="shared" ref="H6:H20" si="2">FORECAST(F6,G$6:G$20,F$6:F$20)</f>
        <v>82.579419168662113</v>
      </c>
      <c r="I6" s="478">
        <f>G6-H6</f>
        <v>-2.5794191686621133</v>
      </c>
      <c r="J6" s="478">
        <f t="shared" ref="J6:J20" si="3">1/E$20+(F6-F$22)^2/F$23</f>
        <v>0.16215386504574197</v>
      </c>
      <c r="K6" s="478">
        <f>(I$25-I6^2/((1-J6)*$I$24))*$I$24/($I$24-1)</f>
        <v>68.233438370218394</v>
      </c>
      <c r="L6" s="478">
        <f>I6/SQRT(K6*(1-J6))</f>
        <v>-0.34114668806182424</v>
      </c>
      <c r="M6" s="474">
        <f>TDIST(ABS(L6),$I$24,2)</f>
        <v>0.73844391303179213</v>
      </c>
      <c r="N6" s="475">
        <f t="shared" ref="N6:N20" si="4">(I6^2/I$25)*(J6/(1-J6)^2)/(E$21+1)</f>
        <v>1.2083306344603048E-2</v>
      </c>
      <c r="O6" s="627">
        <f>L6*SQRT(J6/(1-J6))</f>
        <v>-0.15007995006224775</v>
      </c>
    </row>
    <row r="7" spans="1:15">
      <c r="A7" s="117">
        <v>23</v>
      </c>
      <c r="B7" s="117">
        <v>78</v>
      </c>
      <c r="E7" s="377">
        <f>E6+1</f>
        <v>2</v>
      </c>
      <c r="F7" s="360">
        <f t="shared" si="0"/>
        <v>23</v>
      </c>
      <c r="G7" s="88">
        <f t="shared" si="1"/>
        <v>78</v>
      </c>
      <c r="H7" s="8">
        <f t="shared" si="2"/>
        <v>71.271811874501125</v>
      </c>
      <c r="I7" s="8">
        <f t="shared" ref="I7:I17" si="5">G7-H7</f>
        <v>6.7281881254988747</v>
      </c>
      <c r="J7" s="8">
        <f t="shared" si="3"/>
        <v>7.2634616565358884E-2</v>
      </c>
      <c r="K7" s="8">
        <f t="shared" ref="K7:K20" si="6">(I$25-I7^2/((1-J7)*$I$24))*$I$24/($I$24-1)</f>
        <v>64.827352577683612</v>
      </c>
      <c r="L7" s="8">
        <f t="shared" ref="L7:L20" si="7">I7/SQRT(K7*(1-J7))</f>
        <v>0.8677478429535036</v>
      </c>
      <c r="M7" s="7">
        <f t="shared" ref="M7:M20" si="8">TDIST(ABS(L7),$I$24,2)</f>
        <v>0.40126717937513812</v>
      </c>
      <c r="N7" s="9">
        <f t="shared" si="4"/>
        <v>3.0059469800597524E-2</v>
      </c>
      <c r="O7" s="627">
        <f t="shared" ref="O7:O20" si="9">L7*SQRT(J7/(1-J7))</f>
        <v>0.24285101704604017</v>
      </c>
    </row>
    <row r="8" spans="1:15">
      <c r="A8" s="117">
        <v>25</v>
      </c>
      <c r="B8" s="117">
        <v>60</v>
      </c>
      <c r="E8" s="377">
        <f t="shared" ref="E8:E20" si="10">E7+1</f>
        <v>3</v>
      </c>
      <c r="F8" s="360">
        <f t="shared" si="0"/>
        <v>25</v>
      </c>
      <c r="G8" s="88">
        <f t="shared" si="1"/>
        <v>60</v>
      </c>
      <c r="H8" s="8">
        <f t="shared" si="2"/>
        <v>70.015411064038801</v>
      </c>
      <c r="I8" s="8">
        <f t="shared" si="5"/>
        <v>-10.015411064038801</v>
      </c>
      <c r="J8" s="8">
        <f t="shared" si="3"/>
        <v>8.11076318536256E-2</v>
      </c>
      <c r="K8" s="8">
        <f t="shared" si="6"/>
        <v>59.798331774243849</v>
      </c>
      <c r="L8" s="8">
        <f t="shared" si="7"/>
        <v>-1.3511137768141768</v>
      </c>
      <c r="M8" s="7">
        <f t="shared" si="8"/>
        <v>0.19970578171404116</v>
      </c>
      <c r="N8" s="9">
        <f t="shared" si="4"/>
        <v>7.5755325130713522E-2</v>
      </c>
      <c r="O8" s="627">
        <f t="shared" si="9"/>
        <v>-0.40141210108054132</v>
      </c>
    </row>
    <row r="9" spans="1:15">
      <c r="A9" s="117">
        <v>48</v>
      </c>
      <c r="B9" s="468">
        <v>53</v>
      </c>
      <c r="E9" s="377">
        <f t="shared" si="10"/>
        <v>4</v>
      </c>
      <c r="F9" s="360">
        <f t="shared" si="0"/>
        <v>48</v>
      </c>
      <c r="G9" s="88">
        <f t="shared" si="1"/>
        <v>53</v>
      </c>
      <c r="H9" s="8">
        <f t="shared" si="2"/>
        <v>55.566801743721982</v>
      </c>
      <c r="I9" s="8">
        <f t="shared" si="5"/>
        <v>-2.5668017437219817</v>
      </c>
      <c r="J9" s="8">
        <f t="shared" si="3"/>
        <v>0.44332903542702762</v>
      </c>
      <c r="K9" s="8">
        <f t="shared" si="6"/>
        <v>67.908904575451757</v>
      </c>
      <c r="L9" s="8">
        <f t="shared" si="7"/>
        <v>-0.41747423579741882</v>
      </c>
      <c r="M9" s="7">
        <f t="shared" si="8"/>
        <v>0.68314401724421714</v>
      </c>
      <c r="N9" s="9">
        <f t="shared" si="4"/>
        <v>7.4106595989850158E-2</v>
      </c>
      <c r="O9" s="627">
        <f t="shared" si="9"/>
        <v>-0.37255764665172403</v>
      </c>
    </row>
    <row r="10" spans="1:15">
      <c r="A10" s="201">
        <v>17</v>
      </c>
      <c r="B10" s="117">
        <v>85</v>
      </c>
      <c r="E10" s="377">
        <f t="shared" si="10"/>
        <v>5</v>
      </c>
      <c r="F10" s="360">
        <f t="shared" si="0"/>
        <v>17</v>
      </c>
      <c r="G10" s="88">
        <f t="shared" si="1"/>
        <v>85</v>
      </c>
      <c r="H10" s="8">
        <f t="shared" si="2"/>
        <v>75.041014305888126</v>
      </c>
      <c r="I10" s="8">
        <f t="shared" si="5"/>
        <v>9.958985694111874</v>
      </c>
      <c r="J10" s="8">
        <f t="shared" si="3"/>
        <v>6.9319088843863202E-2</v>
      </c>
      <c r="K10" s="8">
        <f t="shared" si="6"/>
        <v>60.014475304569636</v>
      </c>
      <c r="L10" s="8">
        <f t="shared" si="7"/>
        <v>1.3325597725103162</v>
      </c>
      <c r="M10" s="7">
        <f t="shared" si="8"/>
        <v>0.2055631574336946</v>
      </c>
      <c r="N10" s="9">
        <f t="shared" si="4"/>
        <v>6.2405752807508305E-2</v>
      </c>
      <c r="O10" s="627">
        <f t="shared" si="9"/>
        <v>0.36367438927449458</v>
      </c>
    </row>
    <row r="11" spans="1:15">
      <c r="A11" s="201">
        <v>8</v>
      </c>
      <c r="B11" s="117">
        <v>84</v>
      </c>
      <c r="E11" s="377">
        <f t="shared" si="10"/>
        <v>6</v>
      </c>
      <c r="F11" s="360">
        <f t="shared" si="0"/>
        <v>8</v>
      </c>
      <c r="G11" s="88">
        <f t="shared" si="1"/>
        <v>84</v>
      </c>
      <c r="H11" s="8">
        <f t="shared" si="2"/>
        <v>80.69481795296862</v>
      </c>
      <c r="I11" s="8">
        <f t="shared" si="5"/>
        <v>3.30518204703138</v>
      </c>
      <c r="J11" s="8">
        <f t="shared" si="3"/>
        <v>0.12651194203966351</v>
      </c>
      <c r="K11" s="8">
        <f t="shared" si="6"/>
        <v>67.852991483030493</v>
      </c>
      <c r="L11" s="8">
        <f t="shared" si="7"/>
        <v>0.42932126412379101</v>
      </c>
      <c r="M11" s="7">
        <f t="shared" si="8"/>
        <v>0.67471904030617647</v>
      </c>
      <c r="N11" s="9">
        <f t="shared" si="4"/>
        <v>1.424136199317892E-2</v>
      </c>
      <c r="O11" s="627">
        <f t="shared" si="9"/>
        <v>0.16338781869922164</v>
      </c>
    </row>
    <row r="12" spans="1:15">
      <c r="A12" s="117">
        <v>4</v>
      </c>
      <c r="B12" s="117">
        <v>73</v>
      </c>
      <c r="E12" s="377">
        <f t="shared" si="10"/>
        <v>7</v>
      </c>
      <c r="F12" s="360">
        <f t="shared" si="0"/>
        <v>4</v>
      </c>
      <c r="G12" s="88">
        <f t="shared" si="1"/>
        <v>73</v>
      </c>
      <c r="H12" s="8">
        <f t="shared" si="2"/>
        <v>83.207619573893282</v>
      </c>
      <c r="I12" s="8">
        <f t="shared" si="5"/>
        <v>-10.207619573893282</v>
      </c>
      <c r="J12" s="8">
        <f t="shared" si="3"/>
        <v>0.17587646589304351</v>
      </c>
      <c r="K12" s="8">
        <f t="shared" si="6"/>
        <v>58.359204072763418</v>
      </c>
      <c r="L12" s="8">
        <f t="shared" si="7"/>
        <v>-1.4718841811600343</v>
      </c>
      <c r="M12" s="7">
        <f t="shared" si="8"/>
        <v>0.1648436566787799</v>
      </c>
      <c r="N12" s="9">
        <f t="shared" si="4"/>
        <v>0.21213641556569074</v>
      </c>
      <c r="O12" s="627">
        <f t="shared" si="9"/>
        <v>-0.67995683668488183</v>
      </c>
    </row>
    <row r="13" spans="1:15">
      <c r="A13" s="117">
        <v>26</v>
      </c>
      <c r="B13" s="117">
        <v>79</v>
      </c>
      <c r="E13" s="377">
        <f t="shared" si="10"/>
        <v>8</v>
      </c>
      <c r="F13" s="360">
        <f t="shared" si="0"/>
        <v>26</v>
      </c>
      <c r="G13" s="88">
        <f t="shared" si="1"/>
        <v>79</v>
      </c>
      <c r="H13" s="8">
        <f t="shared" si="2"/>
        <v>69.387210658807632</v>
      </c>
      <c r="I13" s="8">
        <f t="shared" si="5"/>
        <v>9.6127893411923679</v>
      </c>
      <c r="J13" s="8">
        <f t="shared" si="3"/>
        <v>8.6725609381715474E-2</v>
      </c>
      <c r="K13" s="8">
        <f t="shared" si="6"/>
        <v>60.463472161529232</v>
      </c>
      <c r="L13" s="8">
        <f t="shared" si="7"/>
        <v>1.2936066624599454</v>
      </c>
      <c r="M13" s="7">
        <f t="shared" si="8"/>
        <v>0.21831419276800018</v>
      </c>
      <c r="N13" s="9">
        <f t="shared" si="4"/>
        <v>7.5541712807570799E-2</v>
      </c>
      <c r="O13" s="627">
        <f t="shared" si="9"/>
        <v>0.39863486870293308</v>
      </c>
    </row>
    <row r="14" spans="1:15">
      <c r="A14" s="117">
        <v>11</v>
      </c>
      <c r="B14" s="117">
        <v>81</v>
      </c>
      <c r="E14" s="377">
        <f t="shared" si="10"/>
        <v>9</v>
      </c>
      <c r="F14" s="360">
        <f t="shared" si="0"/>
        <v>11</v>
      </c>
      <c r="G14" s="88">
        <f t="shared" si="1"/>
        <v>81</v>
      </c>
      <c r="H14" s="8">
        <f t="shared" si="2"/>
        <v>78.810216737275127</v>
      </c>
      <c r="I14" s="8">
        <f t="shared" si="5"/>
        <v>2.1897832627248732</v>
      </c>
      <c r="J14" s="8">
        <f t="shared" si="3"/>
        <v>9.9158838337324223E-2</v>
      </c>
      <c r="K14" s="8">
        <f t="shared" si="6"/>
        <v>68.451614185750643</v>
      </c>
      <c r="L14" s="8">
        <f t="shared" si="7"/>
        <v>0.27885932646467648</v>
      </c>
      <c r="M14" s="7">
        <f t="shared" si="8"/>
        <v>0.78473946633758551</v>
      </c>
      <c r="N14" s="9">
        <f t="shared" si="4"/>
        <v>4.6065991909096746E-3</v>
      </c>
      <c r="O14" s="627">
        <f t="shared" si="9"/>
        <v>9.2518115540734414E-2</v>
      </c>
    </row>
    <row r="15" spans="1:15">
      <c r="A15" s="117">
        <v>19</v>
      </c>
      <c r="B15" s="117">
        <v>75</v>
      </c>
      <c r="E15" s="377">
        <f t="shared" si="10"/>
        <v>10</v>
      </c>
      <c r="F15" s="360">
        <f t="shared" si="0"/>
        <v>19</v>
      </c>
      <c r="G15" s="88">
        <f t="shared" si="1"/>
        <v>75</v>
      </c>
      <c r="H15" s="8">
        <f t="shared" si="2"/>
        <v>73.784613495425788</v>
      </c>
      <c r="I15" s="8">
        <f t="shared" si="5"/>
        <v>1.2153865045742123</v>
      </c>
      <c r="J15" s="8">
        <f t="shared" si="3"/>
        <v>6.6740345060477685E-2</v>
      </c>
      <c r="K15" s="8">
        <f t="shared" si="6"/>
        <v>68.763294956140356</v>
      </c>
      <c r="L15" s="8">
        <f t="shared" si="7"/>
        <v>0.1517172019269904</v>
      </c>
      <c r="M15" s="7">
        <f t="shared" si="8"/>
        <v>0.88173917879630681</v>
      </c>
      <c r="N15" s="9">
        <f t="shared" si="4"/>
        <v>8.8992920763197002E-4</v>
      </c>
      <c r="O15" s="627">
        <f t="shared" si="9"/>
        <v>4.0572129462719875E-2</v>
      </c>
    </row>
    <row r="16" spans="1:15">
      <c r="A16" s="117">
        <v>14</v>
      </c>
      <c r="B16" s="117">
        <v>68</v>
      </c>
      <c r="E16" s="377">
        <f t="shared" si="10"/>
        <v>11</v>
      </c>
      <c r="F16" s="360">
        <f t="shared" si="0"/>
        <v>14</v>
      </c>
      <c r="G16" s="88">
        <f t="shared" si="1"/>
        <v>68</v>
      </c>
      <c r="H16" s="8">
        <f t="shared" si="2"/>
        <v>76.925615521581619</v>
      </c>
      <c r="I16" s="8">
        <f t="shared" si="5"/>
        <v>-8.9256155215816193</v>
      </c>
      <c r="J16" s="8">
        <f t="shared" si="3"/>
        <v>8.0094553938724125E-2</v>
      </c>
      <c r="K16" s="8">
        <f t="shared" si="6"/>
        <v>61.678274653762742</v>
      </c>
      <c r="L16" s="8">
        <f t="shared" si="7"/>
        <v>-1.1849512188942048</v>
      </c>
      <c r="M16" s="7">
        <f t="shared" si="8"/>
        <v>0.25724721767103392</v>
      </c>
      <c r="N16" s="9">
        <f t="shared" si="4"/>
        <v>5.9283813766001253E-2</v>
      </c>
      <c r="O16" s="627">
        <f t="shared" si="9"/>
        <v>-0.34964745427899241</v>
      </c>
    </row>
    <row r="17" spans="1:15">
      <c r="A17" s="117">
        <v>35</v>
      </c>
      <c r="B17" s="117">
        <v>72</v>
      </c>
      <c r="E17" s="377">
        <f t="shared" si="10"/>
        <v>12</v>
      </c>
      <c r="F17" s="360">
        <f t="shared" si="0"/>
        <v>35</v>
      </c>
      <c r="G17" s="88">
        <f t="shared" si="1"/>
        <v>72</v>
      </c>
      <c r="H17" s="8">
        <f t="shared" si="2"/>
        <v>63.733407011727138</v>
      </c>
      <c r="I17" s="8">
        <f t="shared" si="5"/>
        <v>8.2665929882728619</v>
      </c>
      <c r="J17" s="8">
        <f t="shared" si="3"/>
        <v>0.17873150365322035</v>
      </c>
      <c r="K17" s="8">
        <f t="shared" si="6"/>
        <v>61.961149322169057</v>
      </c>
      <c r="L17" s="8">
        <f t="shared" si="7"/>
        <v>1.1588420374683235</v>
      </c>
      <c r="M17" s="7">
        <f t="shared" si="8"/>
        <v>0.26736523095199272</v>
      </c>
      <c r="N17" s="9">
        <f t="shared" si="4"/>
        <v>0.14237281399753904</v>
      </c>
      <c r="O17" s="627">
        <f t="shared" si="9"/>
        <v>0.54060768324014774</v>
      </c>
    </row>
    <row r="18" spans="1:15">
      <c r="A18" s="117">
        <v>29</v>
      </c>
      <c r="B18" s="117">
        <v>58</v>
      </c>
      <c r="C18" s="468"/>
      <c r="E18" s="377">
        <f t="shared" si="10"/>
        <v>13</v>
      </c>
      <c r="F18" s="360">
        <f t="shared" si="0"/>
        <v>29</v>
      </c>
      <c r="G18" s="88">
        <f t="shared" si="1"/>
        <v>58</v>
      </c>
      <c r="H18" s="8">
        <f t="shared" si="2"/>
        <v>67.502609443114139</v>
      </c>
      <c r="I18" s="8">
        <f>G18-H18</f>
        <v>-9.5026094431141388</v>
      </c>
      <c r="J18" s="8">
        <f t="shared" si="3"/>
        <v>0.10910542150181127</v>
      </c>
      <c r="K18" s="8">
        <f t="shared" si="6"/>
        <v>60.448667585573169</v>
      </c>
      <c r="L18" s="8">
        <f t="shared" si="7"/>
        <v>-1.2949003726146766</v>
      </c>
      <c r="M18" s="7">
        <f t="shared" si="8"/>
        <v>0.21788071079848756</v>
      </c>
      <c r="N18" s="9">
        <f t="shared" si="4"/>
        <v>9.7593891642462349E-2</v>
      </c>
      <c r="O18" s="627">
        <f t="shared" si="9"/>
        <v>-0.45315456934644049</v>
      </c>
    </row>
    <row r="19" spans="1:15">
      <c r="A19" s="117">
        <v>4</v>
      </c>
      <c r="B19" s="117">
        <v>92</v>
      </c>
      <c r="C19" s="468"/>
      <c r="E19" s="377">
        <f t="shared" si="10"/>
        <v>14</v>
      </c>
      <c r="F19" s="360">
        <f t="shared" si="0"/>
        <v>4</v>
      </c>
      <c r="G19" s="88">
        <f t="shared" si="1"/>
        <v>92</v>
      </c>
      <c r="H19" s="8">
        <f t="shared" si="2"/>
        <v>83.207619573893282</v>
      </c>
      <c r="I19" s="8">
        <f>G19-H19</f>
        <v>8.7923804261067176</v>
      </c>
      <c r="J19" s="8">
        <f t="shared" si="3"/>
        <v>0.17587646589304351</v>
      </c>
      <c r="K19" s="8">
        <f t="shared" si="6"/>
        <v>61.078208232445519</v>
      </c>
      <c r="L19" s="8">
        <f t="shared" si="7"/>
        <v>1.2392735154674501</v>
      </c>
      <c r="M19" s="7">
        <f t="shared" si="8"/>
        <v>0.23715188528573208</v>
      </c>
      <c r="N19" s="9">
        <f t="shared" si="4"/>
        <v>0.15739075395985552</v>
      </c>
      <c r="O19" s="627">
        <f t="shared" si="9"/>
        <v>0.57249918855740511</v>
      </c>
    </row>
    <row r="20" spans="1:15">
      <c r="A20" s="470">
        <v>23</v>
      </c>
      <c r="B20" s="470">
        <v>65</v>
      </c>
      <c r="D20" s="126" t="s">
        <v>106</v>
      </c>
      <c r="E20" s="10">
        <f t="shared" si="10"/>
        <v>15</v>
      </c>
      <c r="F20" s="89">
        <f t="shared" si="0"/>
        <v>23</v>
      </c>
      <c r="G20" s="90">
        <f t="shared" si="1"/>
        <v>65</v>
      </c>
      <c r="H20" s="11">
        <f t="shared" si="2"/>
        <v>71.271811874501125</v>
      </c>
      <c r="I20" s="11">
        <f>G20-H20</f>
        <v>-6.2718118745011253</v>
      </c>
      <c r="J20" s="11">
        <f t="shared" si="3"/>
        <v>7.2634616565358884E-2</v>
      </c>
      <c r="K20" s="11">
        <f t="shared" si="6"/>
        <v>65.360483977754257</v>
      </c>
      <c r="L20" s="11">
        <f t="shared" si="7"/>
        <v>-0.80558236972443698</v>
      </c>
      <c r="M20" s="10">
        <f t="shared" si="8"/>
        <v>0.43497186113925168</v>
      </c>
      <c r="N20" s="12">
        <f t="shared" si="4"/>
        <v>2.6119875935669737E-2</v>
      </c>
      <c r="O20" s="544">
        <f t="shared" si="9"/>
        <v>-0.22545316521451894</v>
      </c>
    </row>
    <row r="21" spans="1:15">
      <c r="D21" s="126" t="s">
        <v>169</v>
      </c>
      <c r="E21">
        <v>1</v>
      </c>
    </row>
    <row r="22" spans="1:15">
      <c r="D22" s="126" t="s">
        <v>76</v>
      </c>
      <c r="F22">
        <f>AVERAGE(F6:F20)</f>
        <v>19.399999999999999</v>
      </c>
    </row>
    <row r="23" spans="1:15">
      <c r="D23" s="126" t="s">
        <v>578</v>
      </c>
      <c r="F23">
        <f>DEVSQ(F6:F20)</f>
        <v>2171.6000000000004</v>
      </c>
      <c r="I23">
        <f>SUMSQ(I6:I20)</f>
        <v>826.74234051697681</v>
      </c>
    </row>
    <row r="24" spans="1:15">
      <c r="D24" s="232" t="s">
        <v>186</v>
      </c>
      <c r="I24">
        <f>E20-E21-1</f>
        <v>13</v>
      </c>
    </row>
    <row r="25" spans="1:15">
      <c r="D25" s="126" t="s">
        <v>641</v>
      </c>
      <c r="I25">
        <f>I23/I24</f>
        <v>63.59556465515206</v>
      </c>
    </row>
    <row r="26" spans="1:15">
      <c r="A26" s="25" t="s">
        <v>1211</v>
      </c>
    </row>
    <row r="28" spans="1:15">
      <c r="A28" s="199" t="s">
        <v>1136</v>
      </c>
      <c r="B28" s="199" t="s">
        <v>547</v>
      </c>
      <c r="E28" s="480" t="s">
        <v>354</v>
      </c>
      <c r="F28" s="480" t="s">
        <v>778</v>
      </c>
      <c r="G28" s="481" t="s">
        <v>779</v>
      </c>
      <c r="H28" s="477" t="s">
        <v>1204</v>
      </c>
      <c r="I28" s="477" t="s">
        <v>696</v>
      </c>
      <c r="J28" s="477" t="s">
        <v>1205</v>
      </c>
      <c r="K28" s="477" t="s">
        <v>1206</v>
      </c>
      <c r="L28" s="477" t="s">
        <v>1207</v>
      </c>
      <c r="M28" s="480" t="s">
        <v>1208</v>
      </c>
      <c r="N28" s="481" t="s">
        <v>1209</v>
      </c>
      <c r="O28" s="1045" t="s">
        <v>2724</v>
      </c>
    </row>
    <row r="29" spans="1:15">
      <c r="A29" s="117">
        <v>5</v>
      </c>
      <c r="B29" s="200">
        <v>80</v>
      </c>
      <c r="E29" s="474">
        <v>1</v>
      </c>
      <c r="F29" s="482">
        <f t="shared" ref="F29:F43" si="11">A29</f>
        <v>5</v>
      </c>
      <c r="G29" s="483">
        <f t="shared" ref="G29:G43" si="12">B29</f>
        <v>80</v>
      </c>
      <c r="H29" s="478">
        <f>FORECAST(F29,G$29:G$43,F$29:F$43)</f>
        <v>78.889973598575551</v>
      </c>
      <c r="I29" s="478">
        <f>G29-H29</f>
        <v>1.1100264014244487</v>
      </c>
      <c r="J29" s="478">
        <f>1/E$43+(F29-F$45)^2/F$46</f>
        <v>0.16215386504574197</v>
      </c>
      <c r="K29" s="474">
        <f>(I$25-I29^2/((1-J29)*$I$47))*$I$47/($I$47-1)</f>
        <v>68.772642846397687</v>
      </c>
      <c r="L29" s="478">
        <f>I29/SQRT(K29*(1-J29))</f>
        <v>0.14623230177453703</v>
      </c>
      <c r="M29" s="474">
        <f>TDIST(ABS(L29),$I$47,2)</f>
        <v>0.88598126062274074</v>
      </c>
      <c r="N29" s="475">
        <f t="shared" ref="N29:N43" si="13">(I29^2/I$48)*(J29/(1-J29)^2)/(E$44+1)</f>
        <v>1.5761862458888059E-3</v>
      </c>
      <c r="O29" s="627">
        <f>L29*SQRT(J29/(1-J29))</f>
        <v>6.4331671142686869E-2</v>
      </c>
    </row>
    <row r="30" spans="1:15">
      <c r="A30" s="117">
        <v>23</v>
      </c>
      <c r="B30" s="117">
        <v>78</v>
      </c>
      <c r="E30" s="377">
        <f>E29+1</f>
        <v>2</v>
      </c>
      <c r="F30" s="360">
        <f t="shared" si="11"/>
        <v>23</v>
      </c>
      <c r="G30" s="88">
        <f t="shared" si="12"/>
        <v>78</v>
      </c>
      <c r="H30" s="8">
        <f t="shared" ref="H30:H43" si="14">FORECAST(F30,G$29:G$43,F$29:F$43)</f>
        <v>74.694173267022776</v>
      </c>
      <c r="I30" s="8">
        <f t="shared" ref="I30:I43" si="15">G30-H30</f>
        <v>3.3058267329772235</v>
      </c>
      <c r="J30" s="8">
        <f t="shared" ref="J30:J43" si="16">1/E$43+(F30-F$45)^2/F$46</f>
        <v>7.2634616565358884E-2</v>
      </c>
      <c r="K30" s="7">
        <f t="shared" ref="K30:K43" si="17">(I$25-I30^2/((1-J30)*$I$47))*$I$47/($I$47-1)</f>
        <v>67.91315759738842</v>
      </c>
      <c r="L30" s="8">
        <f t="shared" ref="L30:L43" si="18">I30/SQRT(K30*(1-J30))</f>
        <v>0.41656011578665819</v>
      </c>
      <c r="M30" s="7">
        <f t="shared" ref="M30:M43" si="19">TDIST(ABS(L30),$I$47,2)</f>
        <v>0.68379594847797853</v>
      </c>
      <c r="N30" s="9">
        <f t="shared" si="13"/>
        <v>5.1114511512823438E-3</v>
      </c>
      <c r="O30" s="627">
        <f t="shared" ref="O30:O43" si="20">L30*SQRT(J30/(1-J30))</f>
        <v>0.11658000489553133</v>
      </c>
    </row>
    <row r="31" spans="1:15">
      <c r="A31" s="117">
        <v>25</v>
      </c>
      <c r="B31" s="117">
        <v>60</v>
      </c>
      <c r="E31" s="377">
        <f t="shared" ref="E31:E43" si="21">E30+1</f>
        <v>3</v>
      </c>
      <c r="F31" s="360">
        <f t="shared" si="11"/>
        <v>25</v>
      </c>
      <c r="G31" s="88">
        <f t="shared" si="12"/>
        <v>60</v>
      </c>
      <c r="H31" s="8">
        <f t="shared" si="14"/>
        <v>74.227973230183579</v>
      </c>
      <c r="I31" s="8">
        <f t="shared" si="15"/>
        <v>-14.227973230183579</v>
      </c>
      <c r="J31" s="8">
        <f t="shared" si="16"/>
        <v>8.11076318536256E-2</v>
      </c>
      <c r="K31" s="7">
        <f t="shared" si="17"/>
        <v>50.536568463926024</v>
      </c>
      <c r="L31" s="8">
        <f t="shared" si="18"/>
        <v>-2.0878910978328102</v>
      </c>
      <c r="M31" s="7">
        <f t="shared" si="19"/>
        <v>5.7051848302790274E-2</v>
      </c>
      <c r="N31" s="9">
        <f t="shared" si="13"/>
        <v>0.10768635175167078</v>
      </c>
      <c r="O31" s="627">
        <f t="shared" si="20"/>
        <v>-0.62030656987645671</v>
      </c>
    </row>
    <row r="32" spans="1:15">
      <c r="A32" s="117">
        <v>48</v>
      </c>
      <c r="B32" s="484">
        <v>83</v>
      </c>
      <c r="E32" s="377">
        <f t="shared" si="21"/>
        <v>4</v>
      </c>
      <c r="F32" s="360">
        <f t="shared" si="11"/>
        <v>48</v>
      </c>
      <c r="G32" s="88">
        <f t="shared" si="12"/>
        <v>83</v>
      </c>
      <c r="H32" s="8">
        <f t="shared" si="14"/>
        <v>68.866672806532819</v>
      </c>
      <c r="I32" s="8">
        <f t="shared" si="15"/>
        <v>14.133327193467181</v>
      </c>
      <c r="J32" s="8">
        <f t="shared" si="16"/>
        <v>0.44332903542702762</v>
      </c>
      <c r="K32" s="7">
        <f t="shared" si="17"/>
        <v>38.992590951088779</v>
      </c>
      <c r="L32" s="8">
        <f t="shared" si="18"/>
        <v>3.0335704242792341</v>
      </c>
      <c r="M32" s="488">
        <f t="shared" si="19"/>
        <v>9.5986524115798492E-3</v>
      </c>
      <c r="N32" s="485">
        <f t="shared" si="13"/>
        <v>1.5825593870633301</v>
      </c>
      <c r="O32" s="485">
        <f t="shared" si="20"/>
        <v>2.7071846866501437</v>
      </c>
    </row>
    <row r="33" spans="1:15">
      <c r="A33" s="201">
        <v>17</v>
      </c>
      <c r="B33" s="117">
        <v>85</v>
      </c>
      <c r="E33" s="377">
        <f t="shared" si="21"/>
        <v>5</v>
      </c>
      <c r="F33" s="360">
        <f t="shared" si="11"/>
        <v>17</v>
      </c>
      <c r="G33" s="88">
        <f t="shared" si="12"/>
        <v>85</v>
      </c>
      <c r="H33" s="8">
        <f t="shared" si="14"/>
        <v>76.092773377540368</v>
      </c>
      <c r="I33" s="8">
        <f t="shared" si="15"/>
        <v>8.9072266224596319</v>
      </c>
      <c r="J33" s="8">
        <f t="shared" si="16"/>
        <v>6.9319088843863202E-2</v>
      </c>
      <c r="K33" s="7">
        <f t="shared" si="17"/>
        <v>61.791195061919289</v>
      </c>
      <c r="L33" s="8">
        <f t="shared" si="18"/>
        <v>1.1745697221543929</v>
      </c>
      <c r="M33" s="7">
        <f t="shared" si="19"/>
        <v>0.26123423157628856</v>
      </c>
      <c r="N33" s="9">
        <f t="shared" si="13"/>
        <v>3.5162390266088722E-2</v>
      </c>
      <c r="O33" s="627">
        <f t="shared" si="20"/>
        <v>0.32055667233606566</v>
      </c>
    </row>
    <row r="34" spans="1:15">
      <c r="A34" s="201">
        <v>8</v>
      </c>
      <c r="B34" s="117">
        <v>84</v>
      </c>
      <c r="E34" s="377">
        <f t="shared" si="21"/>
        <v>6</v>
      </c>
      <c r="F34" s="360">
        <f t="shared" si="11"/>
        <v>8</v>
      </c>
      <c r="G34" s="88">
        <f t="shared" si="12"/>
        <v>84</v>
      </c>
      <c r="H34" s="8">
        <f t="shared" si="14"/>
        <v>78.190673543316748</v>
      </c>
      <c r="I34" s="8">
        <f t="shared" si="15"/>
        <v>5.8093264566832516</v>
      </c>
      <c r="J34" s="8">
        <f t="shared" si="16"/>
        <v>0.12651194203966351</v>
      </c>
      <c r="K34" s="7">
        <f t="shared" si="17"/>
        <v>65.675510319216485</v>
      </c>
      <c r="L34" s="8">
        <f t="shared" si="18"/>
        <v>0.76700036126600379</v>
      </c>
      <c r="M34" s="7">
        <f t="shared" si="19"/>
        <v>0.4567854492341652</v>
      </c>
      <c r="N34" s="9">
        <f t="shared" si="13"/>
        <v>3.0989266492074521E-2</v>
      </c>
      <c r="O34" s="627">
        <f t="shared" si="20"/>
        <v>0.29189915907038055</v>
      </c>
    </row>
    <row r="35" spans="1:15">
      <c r="A35" s="117">
        <v>4</v>
      </c>
      <c r="B35" s="117">
        <v>73</v>
      </c>
      <c r="E35" s="377">
        <f t="shared" si="21"/>
        <v>7</v>
      </c>
      <c r="F35" s="360">
        <f t="shared" si="11"/>
        <v>4</v>
      </c>
      <c r="G35" s="88">
        <f t="shared" si="12"/>
        <v>73</v>
      </c>
      <c r="H35" s="8">
        <f t="shared" si="14"/>
        <v>79.123073616995143</v>
      </c>
      <c r="I35" s="8">
        <f t="shared" si="15"/>
        <v>-6.1230736169951427</v>
      </c>
      <c r="J35" s="8">
        <f t="shared" si="16"/>
        <v>0.17587646589304351</v>
      </c>
      <c r="K35" s="7">
        <f t="shared" si="17"/>
        <v>65.104093651976498</v>
      </c>
      <c r="L35" s="8">
        <f t="shared" si="18"/>
        <v>-0.8359285807354262</v>
      </c>
      <c r="M35" s="7">
        <f t="shared" si="19"/>
        <v>0.41829509422943034</v>
      </c>
      <c r="N35" s="9">
        <f t="shared" si="13"/>
        <v>5.3765564822009719E-2</v>
      </c>
      <c r="O35" s="627">
        <f t="shared" si="20"/>
        <v>-0.38616853195838718</v>
      </c>
    </row>
    <row r="36" spans="1:15">
      <c r="A36" s="117">
        <v>26</v>
      </c>
      <c r="B36" s="117">
        <v>79</v>
      </c>
      <c r="E36" s="377">
        <f t="shared" si="21"/>
        <v>8</v>
      </c>
      <c r="F36" s="360">
        <f t="shared" si="11"/>
        <v>26</v>
      </c>
      <c r="G36" s="88">
        <f t="shared" si="12"/>
        <v>79</v>
      </c>
      <c r="H36" s="8">
        <f t="shared" si="14"/>
        <v>73.994873211763974</v>
      </c>
      <c r="I36" s="8">
        <f t="shared" si="15"/>
        <v>5.0051267882360264</v>
      </c>
      <c r="J36" s="8">
        <f t="shared" si="16"/>
        <v>8.6725609381715474E-2</v>
      </c>
      <c r="K36" s="7">
        <f t="shared" si="17"/>
        <v>66.60934550143395</v>
      </c>
      <c r="L36" s="8">
        <f t="shared" si="18"/>
        <v>0.64172189954042136</v>
      </c>
      <c r="M36" s="7">
        <f t="shared" si="19"/>
        <v>0.53220628982870055</v>
      </c>
      <c r="N36" s="9">
        <f t="shared" si="13"/>
        <v>1.4425043135969257E-2</v>
      </c>
      <c r="O36" s="627">
        <f t="shared" si="20"/>
        <v>0.19775155199079963</v>
      </c>
    </row>
    <row r="37" spans="1:15">
      <c r="A37" s="117">
        <v>11</v>
      </c>
      <c r="B37" s="117">
        <v>81</v>
      </c>
      <c r="E37" s="377">
        <f t="shared" si="21"/>
        <v>9</v>
      </c>
      <c r="F37" s="360">
        <f t="shared" si="11"/>
        <v>11</v>
      </c>
      <c r="G37" s="88">
        <f t="shared" si="12"/>
        <v>81</v>
      </c>
      <c r="H37" s="8">
        <f t="shared" si="14"/>
        <v>77.49137348805796</v>
      </c>
      <c r="I37" s="8">
        <f t="shared" si="15"/>
        <v>3.5086265119420403</v>
      </c>
      <c r="J37" s="8">
        <f t="shared" si="16"/>
        <v>9.9158838337324223E-2</v>
      </c>
      <c r="K37" s="7">
        <f t="shared" si="17"/>
        <v>67.756401979053962</v>
      </c>
      <c r="L37" s="8">
        <f t="shared" si="18"/>
        <v>0.44909462967616182</v>
      </c>
      <c r="M37" s="7">
        <f t="shared" si="19"/>
        <v>0.66075882857287715</v>
      </c>
      <c r="N37" s="9">
        <f t="shared" si="13"/>
        <v>8.3301231267839705E-3</v>
      </c>
      <c r="O37" s="627">
        <f t="shared" si="20"/>
        <v>0.14899766618480159</v>
      </c>
    </row>
    <row r="38" spans="1:15">
      <c r="A38" s="117">
        <v>19</v>
      </c>
      <c r="B38" s="117">
        <v>75</v>
      </c>
      <c r="E38" s="377">
        <f t="shared" si="21"/>
        <v>10</v>
      </c>
      <c r="F38" s="360">
        <f t="shared" si="11"/>
        <v>19</v>
      </c>
      <c r="G38" s="88">
        <f t="shared" si="12"/>
        <v>75</v>
      </c>
      <c r="H38" s="8">
        <f t="shared" si="14"/>
        <v>75.626573340701171</v>
      </c>
      <c r="I38" s="8">
        <f t="shared" si="15"/>
        <v>-0.62657334070117088</v>
      </c>
      <c r="J38" s="8">
        <f t="shared" si="16"/>
        <v>6.6740345060477685E-2</v>
      </c>
      <c r="K38" s="7">
        <f t="shared" si="17"/>
        <v>68.860139226514207</v>
      </c>
      <c r="L38" s="8">
        <f t="shared" si="18"/>
        <v>-7.8160390167444527E-2</v>
      </c>
      <c r="M38" s="7">
        <f t="shared" si="19"/>
        <v>0.93889071306326943</v>
      </c>
      <c r="N38" s="9">
        <f t="shared" si="13"/>
        <v>1.6659786937590882E-4</v>
      </c>
      <c r="O38" s="627">
        <f t="shared" si="20"/>
        <v>-2.0901607915602579E-2</v>
      </c>
    </row>
    <row r="39" spans="1:15">
      <c r="A39" s="117">
        <v>14</v>
      </c>
      <c r="B39" s="117">
        <v>68</v>
      </c>
      <c r="E39" s="377">
        <f t="shared" si="21"/>
        <v>11</v>
      </c>
      <c r="F39" s="360">
        <f t="shared" si="11"/>
        <v>14</v>
      </c>
      <c r="G39" s="88">
        <f t="shared" si="12"/>
        <v>68</v>
      </c>
      <c r="H39" s="8">
        <f t="shared" si="14"/>
        <v>76.792073432799157</v>
      </c>
      <c r="I39" s="8">
        <f t="shared" si="15"/>
        <v>-8.7920734327991568</v>
      </c>
      <c r="J39" s="8">
        <f t="shared" si="16"/>
        <v>8.0094553938724125E-2</v>
      </c>
      <c r="K39" s="7">
        <f t="shared" si="17"/>
        <v>61.892613457232223</v>
      </c>
      <c r="L39" s="8">
        <f t="shared" si="18"/>
        <v>-1.1651995306055807</v>
      </c>
      <c r="M39" s="7">
        <f t="shared" si="19"/>
        <v>0.26487373079415383</v>
      </c>
      <c r="N39" s="9">
        <f t="shared" si="13"/>
        <v>4.0517381768841398E-2</v>
      </c>
      <c r="O39" s="627">
        <f t="shared" si="20"/>
        <v>-0.34381925863877488</v>
      </c>
    </row>
    <row r="40" spans="1:15">
      <c r="A40" s="117">
        <v>35</v>
      </c>
      <c r="B40" s="117">
        <v>72</v>
      </c>
      <c r="E40" s="377">
        <f t="shared" si="21"/>
        <v>12</v>
      </c>
      <c r="F40" s="360">
        <f t="shared" si="11"/>
        <v>35</v>
      </c>
      <c r="G40" s="88">
        <f t="shared" si="12"/>
        <v>72</v>
      </c>
      <c r="H40" s="8">
        <f t="shared" si="14"/>
        <v>71.896973045987593</v>
      </c>
      <c r="I40" s="8">
        <f t="shared" si="15"/>
        <v>0.10302695401240669</v>
      </c>
      <c r="J40" s="8">
        <f t="shared" si="16"/>
        <v>0.17873150365322035</v>
      </c>
      <c r="K40" s="7">
        <f t="shared" si="17"/>
        <v>68.894117994456792</v>
      </c>
      <c r="L40" s="8">
        <f t="shared" si="18"/>
        <v>1.3696739817148742E-2</v>
      </c>
      <c r="M40" s="7">
        <f t="shared" si="19"/>
        <v>0.98927989581116516</v>
      </c>
      <c r="N40" s="9">
        <f t="shared" si="13"/>
        <v>1.5576671276696031E-5</v>
      </c>
      <c r="O40" s="627">
        <f t="shared" si="20"/>
        <v>6.3896221754850416E-3</v>
      </c>
    </row>
    <row r="41" spans="1:15">
      <c r="A41" s="117">
        <v>29</v>
      </c>
      <c r="B41" s="117">
        <v>58</v>
      </c>
      <c r="C41" s="468"/>
      <c r="E41" s="377">
        <f t="shared" si="21"/>
        <v>13</v>
      </c>
      <c r="F41" s="360">
        <f t="shared" si="11"/>
        <v>29</v>
      </c>
      <c r="G41" s="88">
        <f t="shared" si="12"/>
        <v>58</v>
      </c>
      <c r="H41" s="8">
        <f t="shared" si="14"/>
        <v>73.295573156505185</v>
      </c>
      <c r="I41" s="8">
        <f t="shared" si="15"/>
        <v>-15.295573156505185</v>
      </c>
      <c r="J41" s="8">
        <f t="shared" si="16"/>
        <v>0.10910542150181127</v>
      </c>
      <c r="K41" s="7">
        <f t="shared" si="17"/>
        <v>47.011333974993796</v>
      </c>
      <c r="L41" s="8">
        <f t="shared" si="18"/>
        <v>-2.3634766178487125</v>
      </c>
      <c r="M41" s="7">
        <f t="shared" si="19"/>
        <v>3.4351715873535388E-2</v>
      </c>
      <c r="N41" s="9">
        <f t="shared" si="13"/>
        <v>0.17810141230850238</v>
      </c>
      <c r="O41" s="627">
        <f t="shared" si="20"/>
        <v>-0.82710627904060263</v>
      </c>
    </row>
    <row r="42" spans="1:15">
      <c r="A42" s="117">
        <v>4</v>
      </c>
      <c r="B42" s="117">
        <v>92</v>
      </c>
      <c r="C42" s="468"/>
      <c r="E42" s="377">
        <f t="shared" si="21"/>
        <v>14</v>
      </c>
      <c r="F42" s="360">
        <f t="shared" si="11"/>
        <v>4</v>
      </c>
      <c r="G42" s="88">
        <f t="shared" si="12"/>
        <v>92</v>
      </c>
      <c r="H42" s="8">
        <f t="shared" si="14"/>
        <v>79.123073616995143</v>
      </c>
      <c r="I42" s="8">
        <f t="shared" si="15"/>
        <v>12.876926383004857</v>
      </c>
      <c r="J42" s="8">
        <f t="shared" si="16"/>
        <v>0.17587646589304351</v>
      </c>
      <c r="K42" s="7">
        <f t="shared" si="17"/>
        <v>52.128368811844858</v>
      </c>
      <c r="L42" s="8">
        <f t="shared" si="18"/>
        <v>1.9646219279288331</v>
      </c>
      <c r="M42" s="7">
        <f t="shared" si="19"/>
        <v>7.1200149564722329E-2</v>
      </c>
      <c r="N42" s="9">
        <f t="shared" si="13"/>
        <v>0.23778785888187254</v>
      </c>
      <c r="O42" s="627">
        <f t="shared" si="20"/>
        <v>0.90758371378338676</v>
      </c>
    </row>
    <row r="43" spans="1:15">
      <c r="A43" s="470">
        <v>23</v>
      </c>
      <c r="B43" s="470">
        <v>65</v>
      </c>
      <c r="D43" s="126" t="s">
        <v>106</v>
      </c>
      <c r="E43" s="10">
        <f t="shared" si="21"/>
        <v>15</v>
      </c>
      <c r="F43" s="89">
        <f t="shared" si="11"/>
        <v>23</v>
      </c>
      <c r="G43" s="90">
        <f t="shared" si="12"/>
        <v>65</v>
      </c>
      <c r="H43" s="11">
        <f t="shared" si="14"/>
        <v>74.694173267022776</v>
      </c>
      <c r="I43" s="11">
        <f t="shared" si="15"/>
        <v>-9.6941732670227765</v>
      </c>
      <c r="J43" s="11">
        <f t="shared" si="16"/>
        <v>7.2634616565358884E-2</v>
      </c>
      <c r="K43" s="10">
        <f t="shared" si="17"/>
        <v>60.450393870340413</v>
      </c>
      <c r="L43" s="11">
        <f t="shared" si="18"/>
        <v>-1.294749553741537</v>
      </c>
      <c r="M43" s="10">
        <f t="shared" si="19"/>
        <v>0.21793120985225448</v>
      </c>
      <c r="N43" s="12">
        <f t="shared" si="13"/>
        <v>4.3954727863048056E-2</v>
      </c>
      <c r="O43" s="544">
        <f t="shared" si="20"/>
        <v>-0.36235324408969694</v>
      </c>
    </row>
    <row r="44" spans="1:15">
      <c r="D44" s="126" t="s">
        <v>169</v>
      </c>
      <c r="E44">
        <v>1</v>
      </c>
    </row>
    <row r="45" spans="1:15">
      <c r="D45" s="126" t="s">
        <v>76</v>
      </c>
      <c r="F45">
        <f>AVERAGE(F29:F43)</f>
        <v>19.399999999999999</v>
      </c>
    </row>
    <row r="46" spans="1:15">
      <c r="D46" s="126" t="s">
        <v>578</v>
      </c>
      <c r="F46">
        <f>DEVSQ(F29:F43)</f>
        <v>2171.6000000000004</v>
      </c>
      <c r="I46">
        <f>SUMSQ(I29:I43)</f>
        <v>1173.7381040093326</v>
      </c>
    </row>
    <row r="47" spans="1:15">
      <c r="D47" s="126" t="s">
        <v>186</v>
      </c>
      <c r="I47">
        <f>E43-E44-1</f>
        <v>13</v>
      </c>
    </row>
    <row r="48" spans="1:15">
      <c r="D48" s="126" t="s">
        <v>641</v>
      </c>
      <c r="I48">
        <f>I46/(E43-E44-1)</f>
        <v>90.287546462256358</v>
      </c>
    </row>
    <row r="64" spans="19:23">
      <c r="S64" s="1552" t="s">
        <v>1210</v>
      </c>
      <c r="T64" s="1552"/>
      <c r="V64" s="1552" t="s">
        <v>1211</v>
      </c>
      <c r="W64" s="1552"/>
    </row>
    <row r="66" spans="19:23">
      <c r="S66" s="470" t="s">
        <v>778</v>
      </c>
      <c r="T66" s="11" t="s">
        <v>1207</v>
      </c>
      <c r="V66" s="470" t="s">
        <v>778</v>
      </c>
      <c r="W66" s="11" t="s">
        <v>1207</v>
      </c>
    </row>
    <row r="67" spans="19:23">
      <c r="S67" s="360">
        <f t="shared" ref="S67:S81" si="22">F6</f>
        <v>5</v>
      </c>
      <c r="T67" s="9">
        <f t="shared" ref="T67:T81" si="23">L6</f>
        <v>-0.34114668806182424</v>
      </c>
      <c r="V67" s="360">
        <f>F29</f>
        <v>5</v>
      </c>
      <c r="W67" s="9">
        <f>L29</f>
        <v>0.14623230177453703</v>
      </c>
    </row>
    <row r="68" spans="19:23">
      <c r="S68" s="360">
        <f t="shared" si="22"/>
        <v>23</v>
      </c>
      <c r="T68" s="9">
        <f t="shared" si="23"/>
        <v>0.8677478429535036</v>
      </c>
      <c r="V68" s="360">
        <f t="shared" ref="V68:V81" si="24">F30</f>
        <v>23</v>
      </c>
      <c r="W68" s="9">
        <f t="shared" ref="W68:W81" si="25">L30</f>
        <v>0.41656011578665819</v>
      </c>
    </row>
    <row r="69" spans="19:23">
      <c r="S69" s="360">
        <f t="shared" si="22"/>
        <v>25</v>
      </c>
      <c r="T69" s="9">
        <f t="shared" si="23"/>
        <v>-1.3511137768141768</v>
      </c>
      <c r="V69" s="360">
        <f t="shared" si="24"/>
        <v>25</v>
      </c>
      <c r="W69" s="9">
        <f t="shared" si="25"/>
        <v>-2.0878910978328102</v>
      </c>
    </row>
    <row r="70" spans="19:23">
      <c r="S70" s="360">
        <f t="shared" si="22"/>
        <v>48</v>
      </c>
      <c r="T70" s="9">
        <f t="shared" si="23"/>
        <v>-0.41747423579741882</v>
      </c>
      <c r="V70" s="360">
        <f t="shared" si="24"/>
        <v>48</v>
      </c>
      <c r="W70" s="9">
        <f t="shared" si="25"/>
        <v>3.0335704242792341</v>
      </c>
    </row>
    <row r="71" spans="19:23">
      <c r="S71" s="360">
        <f t="shared" si="22"/>
        <v>17</v>
      </c>
      <c r="T71" s="9">
        <f t="shared" si="23"/>
        <v>1.3325597725103162</v>
      </c>
      <c r="V71" s="360">
        <f t="shared" si="24"/>
        <v>17</v>
      </c>
      <c r="W71" s="9">
        <f t="shared" si="25"/>
        <v>1.1745697221543929</v>
      </c>
    </row>
    <row r="72" spans="19:23">
      <c r="S72" s="360">
        <f t="shared" si="22"/>
        <v>8</v>
      </c>
      <c r="T72" s="9">
        <f t="shared" si="23"/>
        <v>0.42932126412379101</v>
      </c>
      <c r="V72" s="360">
        <f t="shared" si="24"/>
        <v>8</v>
      </c>
      <c r="W72" s="9">
        <f t="shared" si="25"/>
        <v>0.76700036126600379</v>
      </c>
    </row>
    <row r="73" spans="19:23">
      <c r="S73" s="360">
        <f t="shared" si="22"/>
        <v>4</v>
      </c>
      <c r="T73" s="9">
        <f t="shared" si="23"/>
        <v>-1.4718841811600343</v>
      </c>
      <c r="V73" s="360">
        <f t="shared" si="24"/>
        <v>4</v>
      </c>
      <c r="W73" s="9">
        <f t="shared" si="25"/>
        <v>-0.8359285807354262</v>
      </c>
    </row>
    <row r="74" spans="19:23">
      <c r="S74" s="360">
        <f t="shared" si="22"/>
        <v>26</v>
      </c>
      <c r="T74" s="9">
        <f t="shared" si="23"/>
        <v>1.2936066624599454</v>
      </c>
      <c r="V74" s="360">
        <f t="shared" si="24"/>
        <v>26</v>
      </c>
      <c r="W74" s="9">
        <f t="shared" si="25"/>
        <v>0.64172189954042136</v>
      </c>
    </row>
    <row r="75" spans="19:23">
      <c r="S75" s="360">
        <f t="shared" si="22"/>
        <v>11</v>
      </c>
      <c r="T75" s="9">
        <f t="shared" si="23"/>
        <v>0.27885932646467648</v>
      </c>
      <c r="V75" s="360">
        <f t="shared" si="24"/>
        <v>11</v>
      </c>
      <c r="W75" s="9">
        <f t="shared" si="25"/>
        <v>0.44909462967616182</v>
      </c>
    </row>
    <row r="76" spans="19:23">
      <c r="S76" s="360">
        <f t="shared" si="22"/>
        <v>19</v>
      </c>
      <c r="T76" s="9">
        <f t="shared" si="23"/>
        <v>0.1517172019269904</v>
      </c>
      <c r="V76" s="360">
        <f t="shared" si="24"/>
        <v>19</v>
      </c>
      <c r="W76" s="9">
        <f t="shared" si="25"/>
        <v>-7.8160390167444527E-2</v>
      </c>
    </row>
    <row r="77" spans="19:23">
      <c r="S77" s="360">
        <f t="shared" si="22"/>
        <v>14</v>
      </c>
      <c r="T77" s="9">
        <f t="shared" si="23"/>
        <v>-1.1849512188942048</v>
      </c>
      <c r="V77" s="360">
        <f t="shared" si="24"/>
        <v>14</v>
      </c>
      <c r="W77" s="9">
        <f t="shared" si="25"/>
        <v>-1.1651995306055807</v>
      </c>
    </row>
    <row r="78" spans="19:23">
      <c r="S78" s="360">
        <f t="shared" si="22"/>
        <v>35</v>
      </c>
      <c r="T78" s="9">
        <f t="shared" si="23"/>
        <v>1.1588420374683235</v>
      </c>
      <c r="V78" s="360">
        <f t="shared" si="24"/>
        <v>35</v>
      </c>
      <c r="W78" s="9">
        <f t="shared" si="25"/>
        <v>1.3696739817148742E-2</v>
      </c>
    </row>
    <row r="79" spans="19:23">
      <c r="S79" s="360">
        <f t="shared" si="22"/>
        <v>29</v>
      </c>
      <c r="T79" s="9">
        <f t="shared" si="23"/>
        <v>-1.2949003726146766</v>
      </c>
      <c r="V79" s="360">
        <f t="shared" si="24"/>
        <v>29</v>
      </c>
      <c r="W79" s="9">
        <f t="shared" si="25"/>
        <v>-2.3634766178487125</v>
      </c>
    </row>
    <row r="80" spans="19:23">
      <c r="S80" s="360">
        <f t="shared" si="22"/>
        <v>4</v>
      </c>
      <c r="T80" s="9">
        <f t="shared" si="23"/>
        <v>1.2392735154674501</v>
      </c>
      <c r="V80" s="360">
        <f t="shared" si="24"/>
        <v>4</v>
      </c>
      <c r="W80" s="9">
        <f t="shared" si="25"/>
        <v>1.9646219279288331</v>
      </c>
    </row>
    <row r="81" spans="19:23">
      <c r="S81" s="89">
        <f t="shared" si="22"/>
        <v>23</v>
      </c>
      <c r="T81" s="12">
        <f t="shared" si="23"/>
        <v>-0.80558236972443698</v>
      </c>
      <c r="V81" s="89">
        <f t="shared" si="24"/>
        <v>23</v>
      </c>
      <c r="W81" s="12">
        <f t="shared" si="25"/>
        <v>-1.294749553741537</v>
      </c>
    </row>
  </sheetData>
  <mergeCells count="2">
    <mergeCell ref="S64:T64"/>
    <mergeCell ref="V64:W64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sheetPr codeName="Sheet149"/>
  <dimension ref="A1:AT32"/>
  <sheetViews>
    <sheetView workbookViewId="0"/>
  </sheetViews>
  <sheetFormatPr defaultRowHeight="14.4"/>
  <cols>
    <col min="1" max="3" width="8.33203125" customWidth="1"/>
    <col min="4" max="4" width="5.5546875" customWidth="1"/>
    <col min="5" max="10" width="5.88671875" customWidth="1"/>
    <col min="11" max="11" width="6.5546875" customWidth="1"/>
    <col min="12" max="12" width="5.44140625" customWidth="1"/>
    <col min="14" max="14" width="5.6640625" customWidth="1"/>
    <col min="16" max="16" width="5.88671875" customWidth="1"/>
    <col min="31" max="34" width="7.33203125" customWidth="1"/>
    <col min="44" max="44" width="5" customWidth="1"/>
    <col min="45" max="45" width="6.33203125" customWidth="1"/>
  </cols>
  <sheetData>
    <row r="1" spans="1:46">
      <c r="A1" s="1" t="s">
        <v>1203</v>
      </c>
      <c r="AE1" t="s">
        <v>2116</v>
      </c>
    </row>
    <row r="3" spans="1:46" ht="16.2">
      <c r="A3" s="231" t="s">
        <v>783</v>
      </c>
      <c r="B3" s="231" t="s">
        <v>784</v>
      </c>
      <c r="C3" s="231" t="s">
        <v>777</v>
      </c>
      <c r="E3" s="1552" t="s">
        <v>778</v>
      </c>
      <c r="F3" s="1552"/>
      <c r="G3" s="1552"/>
      <c r="I3" s="468" t="s">
        <v>779</v>
      </c>
      <c r="K3" s="468" t="s">
        <v>384</v>
      </c>
      <c r="M3" s="162" t="s">
        <v>792</v>
      </c>
      <c r="N3" s="468"/>
      <c r="O3" s="162" t="s">
        <v>387</v>
      </c>
      <c r="Q3" t="s">
        <v>1135</v>
      </c>
      <c r="AC3" s="468" t="s">
        <v>1148</v>
      </c>
      <c r="AE3" t="s">
        <v>1209</v>
      </c>
    </row>
    <row r="4" spans="1:46" ht="15" thickBot="1">
      <c r="A4" s="468">
        <v>7</v>
      </c>
      <c r="B4" s="468">
        <v>5</v>
      </c>
      <c r="C4" s="468">
        <v>65</v>
      </c>
      <c r="E4" s="240">
        <v>1</v>
      </c>
      <c r="F4" s="229">
        <f t="shared" ref="F4:G14" si="0">A4</f>
        <v>7</v>
      </c>
      <c r="G4" s="204">
        <f t="shared" si="0"/>
        <v>5</v>
      </c>
      <c r="I4" s="226">
        <f t="shared" ref="I4:I14" si="1">C4</f>
        <v>65</v>
      </c>
      <c r="K4" s="214">
        <f t="array" ref="K4:K6">MMULT(E17:G19,MMULT(TRANSPOSE(E4:G14),I4:I14))</f>
        <v>1.7514036585681367</v>
      </c>
      <c r="M4" s="275">
        <f t="array" ref="M4:M14">MMULT(E4:G14,K4:K6)</f>
        <v>54.810499624828537</v>
      </c>
      <c r="O4" s="267">
        <f>I4-M4</f>
        <v>10.189500375171463</v>
      </c>
      <c r="Q4" s="425">
        <f t="array" ref="Q4:AA14">MMULT(MMULT(E4:G14,E17:G19),TRANSPOSE(E4:G14))</f>
        <v>0.12773939817330332</v>
      </c>
      <c r="R4" s="426">
        <v>6.8695179694170633E-2</v>
      </c>
      <c r="S4" s="426">
        <v>0.13418199694688096</v>
      </c>
      <c r="T4" s="426">
        <v>7.9562213770084489E-2</v>
      </c>
      <c r="U4" s="426">
        <v>0.13927915340629765</v>
      </c>
      <c r="V4" s="426">
        <v>6.2252580920592965E-2</v>
      </c>
      <c r="W4" s="426">
        <v>-3.3429066728764195E-2</v>
      </c>
      <c r="X4" s="426">
        <v>2.6960594064529456E-2</v>
      </c>
      <c r="Y4" s="426">
        <v>0.18745633780951648</v>
      </c>
      <c r="Z4" s="426">
        <v>8.6004812543662157E-2</v>
      </c>
      <c r="AA4" s="427">
        <v>0.12129679939972565</v>
      </c>
      <c r="AB4">
        <v>1</v>
      </c>
      <c r="AC4" s="444">
        <f t="array" ref="AC4:AC14">O4:O14/SQRT(O19*(1-INDEX(Q4:AA14,AB4:AB14,AB4:AB14)))</f>
        <v>1.8529159932154711</v>
      </c>
    </row>
    <row r="5" spans="1:46" ht="15" thickTop="1">
      <c r="A5" s="468">
        <v>3</v>
      </c>
      <c r="B5" s="468">
        <v>7</v>
      </c>
      <c r="C5" s="468">
        <v>38</v>
      </c>
      <c r="E5" s="87">
        <v>1</v>
      </c>
      <c r="F5" s="117">
        <f t="shared" si="0"/>
        <v>3</v>
      </c>
      <c r="G5" s="88">
        <f t="shared" si="0"/>
        <v>7</v>
      </c>
      <c r="I5" s="224">
        <f t="shared" si="1"/>
        <v>38</v>
      </c>
      <c r="K5" s="40">
        <v>4.8952883645113623</v>
      </c>
      <c r="M5" s="276">
        <v>42.746177132655433</v>
      </c>
      <c r="O5" s="40">
        <f t="shared" ref="O5:O14" si="2">I5-M5</f>
        <v>-4.7461771326554327</v>
      </c>
      <c r="Q5" s="377">
        <v>6.8695179694170494E-2</v>
      </c>
      <c r="R5" s="8">
        <v>0.29053791818675778</v>
      </c>
      <c r="S5" s="8">
        <v>0.23379647597609252</v>
      </c>
      <c r="T5" s="8">
        <v>-8.1580377241325941E-2</v>
      </c>
      <c r="U5" s="8">
        <v>-6.9316153069937325E-2</v>
      </c>
      <c r="V5" s="8">
        <v>0.12543662190483582</v>
      </c>
      <c r="W5" s="8">
        <v>5.899247069781885E-2</v>
      </c>
      <c r="X5" s="8">
        <v>0.3053636575331834</v>
      </c>
      <c r="Y5" s="8">
        <v>8.095940386555911E-2</v>
      </c>
      <c r="Z5" s="8">
        <v>8.3520919040596053E-2</v>
      </c>
      <c r="AA5" s="9">
        <v>-9.64061165877515E-2</v>
      </c>
      <c r="AB5">
        <f>AB4+1</f>
        <v>2</v>
      </c>
      <c r="AC5" s="376">
        <v>-0.95698541007981308</v>
      </c>
      <c r="AE5" s="973" t="s">
        <v>354</v>
      </c>
      <c r="AF5" s="973" t="str">
        <f t="shared" ref="AF5:AF16" si="3">A3</f>
        <v>Color</v>
      </c>
      <c r="AG5" s="973" t="str">
        <f t="shared" ref="AG5:AG16" si="4">B3</f>
        <v>Quality</v>
      </c>
      <c r="AH5" s="973" t="str">
        <f t="shared" ref="AH5:AH16" si="5">C3</f>
        <v>Price</v>
      </c>
      <c r="AI5" s="973" t="s">
        <v>1204</v>
      </c>
      <c r="AJ5" s="973" t="s">
        <v>696</v>
      </c>
      <c r="AK5" s="973" t="s">
        <v>1205</v>
      </c>
      <c r="AL5" s="973" t="s">
        <v>2791</v>
      </c>
      <c r="AM5" s="973" t="s">
        <v>1206</v>
      </c>
      <c r="AN5" s="973" t="s">
        <v>1207</v>
      </c>
      <c r="AO5" s="973" t="s">
        <v>2725</v>
      </c>
      <c r="AP5" s="973" t="s">
        <v>1209</v>
      </c>
      <c r="AQ5" s="973" t="s">
        <v>2724</v>
      </c>
    </row>
    <row r="6" spans="1:46">
      <c r="A6" s="468">
        <v>5</v>
      </c>
      <c r="B6" s="468">
        <v>8</v>
      </c>
      <c r="C6" s="468">
        <v>51</v>
      </c>
      <c r="E6" s="87">
        <v>1</v>
      </c>
      <c r="F6" s="117">
        <f t="shared" si="0"/>
        <v>5</v>
      </c>
      <c r="G6" s="88">
        <f t="shared" si="0"/>
        <v>8</v>
      </c>
      <c r="I6" s="224">
        <f t="shared" si="1"/>
        <v>51</v>
      </c>
      <c r="K6" s="176">
        <v>3.7584154829361722</v>
      </c>
      <c r="M6" s="276">
        <v>56.295169344614322</v>
      </c>
      <c r="O6" s="40">
        <f t="shared" si="2"/>
        <v>-5.2951693446143224</v>
      </c>
      <c r="Q6" s="7">
        <v>0.13418199694688102</v>
      </c>
      <c r="R6" s="8">
        <v>0.23379647597609252</v>
      </c>
      <c r="S6" s="8">
        <v>0.29509172294237895</v>
      </c>
      <c r="T6" s="8">
        <v>-8.5150974151983277E-2</v>
      </c>
      <c r="U6" s="8">
        <v>2.8823514191829103E-2</v>
      </c>
      <c r="V6" s="8">
        <v>7.2886749980594551E-2</v>
      </c>
      <c r="W6" s="8">
        <v>-0.15219022484411004</v>
      </c>
      <c r="X6" s="8">
        <v>0.17537323087272627</v>
      </c>
      <c r="Y6" s="8">
        <v>0.24815648529069334</v>
      </c>
      <c r="Z6" s="8">
        <v>7.5758751843514716E-2</v>
      </c>
      <c r="AA6" s="9">
        <v>-2.6727729048617005E-2</v>
      </c>
      <c r="AB6">
        <f t="shared" ref="AB6:AB14" si="6">AB5+1</f>
        <v>3</v>
      </c>
      <c r="AC6" s="376">
        <v>-1.0711234253885886</v>
      </c>
      <c r="AE6">
        <v>1</v>
      </c>
      <c r="AF6">
        <f t="shared" si="3"/>
        <v>7</v>
      </c>
      <c r="AG6">
        <f t="shared" si="4"/>
        <v>5</v>
      </c>
      <c r="AH6">
        <f t="shared" si="5"/>
        <v>65</v>
      </c>
      <c r="AI6">
        <f t="array" ref="AI6:AI16">TREND(C4:C14,A4:B14)</f>
        <v>54.810499624828587</v>
      </c>
      <c r="AJ6">
        <f>AH6-AI6</f>
        <v>10.189500375171413</v>
      </c>
      <c r="AK6" t="e">
        <f t="array" aca="1" ref="AK6:AK16" ca="1">[1]!LEVERAGE(A4:B14)</f>
        <v>#NAME?</v>
      </c>
      <c r="AL6">
        <f>AJ6/SQRT($AT$8)</f>
        <v>1.7305289072382328</v>
      </c>
      <c r="AM6" t="e">
        <f ca="1">($AT$8-AJ6^2/((1-AK6)*$AT$7))*$AT$7/($AT$7-1)</f>
        <v>#NAME?</v>
      </c>
      <c r="AN6" t="e">
        <f ca="1">AJ6/SQRT(AM6*(1-AK6))</f>
        <v>#NAME?</v>
      </c>
      <c r="AO6" t="e">
        <f ca="1">TDIST(ABS(AN6),$AT$7,2)</f>
        <v>#NAME?</v>
      </c>
      <c r="AP6" t="e">
        <f ca="1">(AJ6^2/$AT$8)*(AK6/(1-AK6)^2)/($AT$9+1)</f>
        <v>#NAME?</v>
      </c>
      <c r="AQ6" t="e">
        <f ca="1">AN6*SQRT(AK6/(1-AK6))</f>
        <v>#NAME?</v>
      </c>
      <c r="AS6" t="s">
        <v>1215</v>
      </c>
      <c r="AT6" s="1060">
        <f>DEVSQ(AJ6:AJ16)</f>
        <v>277.35630934823672</v>
      </c>
    </row>
    <row r="7" spans="1:46">
      <c r="A7" s="468">
        <v>8</v>
      </c>
      <c r="B7" s="468">
        <v>1</v>
      </c>
      <c r="C7" s="468">
        <v>38</v>
      </c>
      <c r="E7" s="87">
        <v>1</v>
      </c>
      <c r="F7" s="117">
        <f t="shared" si="0"/>
        <v>8</v>
      </c>
      <c r="G7" s="88">
        <f t="shared" si="0"/>
        <v>1</v>
      </c>
      <c r="I7" s="224">
        <f t="shared" si="1"/>
        <v>38</v>
      </c>
      <c r="M7" s="276">
        <v>44.672126057595207</v>
      </c>
      <c r="O7" s="40">
        <f t="shared" si="2"/>
        <v>-6.6721260575952073</v>
      </c>
      <c r="Q7" s="7">
        <v>7.9562213770084517E-2</v>
      </c>
      <c r="R7" s="8">
        <v>-8.1580377241325747E-2</v>
      </c>
      <c r="S7" s="8">
        <v>-8.515097415198325E-2</v>
      </c>
      <c r="T7" s="8">
        <v>0.26709617325157176</v>
      </c>
      <c r="U7" s="8">
        <v>0.20220445548397095</v>
      </c>
      <c r="V7" s="8">
        <v>8.3132810680742075E-2</v>
      </c>
      <c r="W7" s="8">
        <v>0.23216642086470549</v>
      </c>
      <c r="X7" s="8">
        <v>-5.8759605681906302E-2</v>
      </c>
      <c r="Y7" s="8">
        <v>1.4670496002483713E-2</v>
      </c>
      <c r="Z7" s="8">
        <v>0.10238298532950396</v>
      </c>
      <c r="AA7" s="9">
        <v>0.24427540169215228</v>
      </c>
      <c r="AB7">
        <f t="shared" si="6"/>
        <v>4</v>
      </c>
      <c r="AC7" s="376">
        <v>-1.3236303505689102</v>
      </c>
      <c r="AE7">
        <f>AE6+1</f>
        <v>2</v>
      </c>
      <c r="AF7">
        <f t="shared" si="3"/>
        <v>3</v>
      </c>
      <c r="AG7">
        <f t="shared" si="4"/>
        <v>7</v>
      </c>
      <c r="AH7">
        <f t="shared" si="5"/>
        <v>38</v>
      </c>
      <c r="AI7">
        <v>42.746177132655426</v>
      </c>
      <c r="AJ7">
        <f t="shared" ref="AJ7:AJ16" si="7">AH7-AI7</f>
        <v>-4.7461771326554256</v>
      </c>
      <c r="AK7" t="e">
        <f ca="1"/>
        <v>#NAME?</v>
      </c>
      <c r="AL7">
        <f t="shared" ref="AL7:AL16" si="8">AJ7/SQRT($AT$8)</f>
        <v>-0.80606471608232444</v>
      </c>
      <c r="AM7" t="e">
        <f t="shared" ref="AM7:AM16" ca="1" si="9">($AT$8-AJ7^2/((1-AK7)*$AT$7))*$AT$7/($AT$7-1)</f>
        <v>#NAME?</v>
      </c>
      <c r="AN7" t="e">
        <f t="shared" ref="AN7:AN16" ca="1" si="10">AJ7/SQRT(AM7*(1-AK7))</f>
        <v>#NAME?</v>
      </c>
      <c r="AO7" t="e">
        <f t="shared" ref="AO7:AO16" ca="1" si="11">TDIST(ABS(AN7),$AT$7,2)</f>
        <v>#NAME?</v>
      </c>
      <c r="AP7" t="e">
        <f t="shared" ref="AP7:AP16" ca="1" si="12">(AJ7^2/$AT$8)*(AK7/(1-AK7)^2)/($AT$9+1)</f>
        <v>#NAME?</v>
      </c>
      <c r="AQ7" t="e">
        <f t="shared" ref="AQ7:AQ16" ca="1" si="13">AN7*SQRT(AK7/(1-AK7))</f>
        <v>#NAME?</v>
      </c>
      <c r="AS7" t="s">
        <v>1214</v>
      </c>
      <c r="AT7" s="946">
        <f>COUNT(C4:C14)-AT9-1</f>
        <v>8</v>
      </c>
    </row>
    <row r="8" spans="1:46">
      <c r="A8" s="468">
        <v>9</v>
      </c>
      <c r="B8" s="468">
        <v>3</v>
      </c>
      <c r="C8" s="468">
        <v>55</v>
      </c>
      <c r="E8" s="87">
        <v>1</v>
      </c>
      <c r="F8" s="117">
        <f t="shared" si="0"/>
        <v>9</v>
      </c>
      <c r="G8" s="88">
        <f t="shared" si="0"/>
        <v>3</v>
      </c>
      <c r="I8" s="224">
        <f t="shared" si="1"/>
        <v>55</v>
      </c>
      <c r="K8" s="468" t="s">
        <v>826</v>
      </c>
      <c r="M8" s="276">
        <v>57.08424538797891</v>
      </c>
      <c r="O8" s="40">
        <f t="shared" si="2"/>
        <v>-2.0842453879789105</v>
      </c>
      <c r="Q8" s="7">
        <v>0.13927915340629782</v>
      </c>
      <c r="R8" s="8">
        <v>-6.9316153069937117E-2</v>
      </c>
      <c r="S8" s="8">
        <v>2.8823514191829103E-2</v>
      </c>
      <c r="T8" s="8">
        <v>0.2022044554839712</v>
      </c>
      <c r="U8" s="8">
        <v>0.24665579963259088</v>
      </c>
      <c r="V8" s="8">
        <v>4.1139486144531556E-2</v>
      </c>
      <c r="W8" s="8">
        <v>2.8461279722631072E-3</v>
      </c>
      <c r="X8" s="8">
        <v>-0.11684649020673242</v>
      </c>
      <c r="Y8" s="8">
        <v>0.18373049755491749</v>
      </c>
      <c r="Z8" s="8">
        <v>9.1748816269502487E-2</v>
      </c>
      <c r="AA8" s="9">
        <v>0.2497347926207665</v>
      </c>
      <c r="AB8">
        <f t="shared" si="6"/>
        <v>5</v>
      </c>
      <c r="AC8" s="376">
        <v>-0.40782898942708506</v>
      </c>
      <c r="AE8">
        <f t="shared" ref="AE8:AE16" si="14">AE7+1</f>
        <v>3</v>
      </c>
      <c r="AF8">
        <f t="shared" si="3"/>
        <v>5</v>
      </c>
      <c r="AG8">
        <f t="shared" si="4"/>
        <v>8</v>
      </c>
      <c r="AH8">
        <f t="shared" si="5"/>
        <v>51</v>
      </c>
      <c r="AI8">
        <v>56.295169344614344</v>
      </c>
      <c r="AJ8">
        <f t="shared" si="7"/>
        <v>-5.2951693446143437</v>
      </c>
      <c r="AK8" t="e">
        <f ca="1"/>
        <v>#NAME?</v>
      </c>
      <c r="AL8">
        <f t="shared" si="8"/>
        <v>-0.89930254499084783</v>
      </c>
      <c r="AM8" t="e">
        <f t="shared" ca="1" si="9"/>
        <v>#NAME?</v>
      </c>
      <c r="AN8" t="e">
        <f t="shared" ca="1" si="10"/>
        <v>#NAME?</v>
      </c>
      <c r="AO8" t="e">
        <f t="shared" ca="1" si="11"/>
        <v>#NAME?</v>
      </c>
      <c r="AP8" t="e">
        <f t="shared" ca="1" si="12"/>
        <v>#NAME?</v>
      </c>
      <c r="AQ8" t="e">
        <f t="shared" ca="1" si="13"/>
        <v>#NAME?</v>
      </c>
      <c r="AS8" t="s">
        <v>1216</v>
      </c>
      <c r="AT8" s="946">
        <f>AT6/AT7</f>
        <v>34.66953866852959</v>
      </c>
    </row>
    <row r="9" spans="1:46">
      <c r="A9" s="468">
        <v>5</v>
      </c>
      <c r="B9" s="468">
        <v>4</v>
      </c>
      <c r="C9" s="468">
        <v>43</v>
      </c>
      <c r="E9" s="87">
        <v>1</v>
      </c>
      <c r="F9" s="117">
        <f t="shared" si="0"/>
        <v>5</v>
      </c>
      <c r="G9" s="88">
        <f t="shared" si="0"/>
        <v>4</v>
      </c>
      <c r="I9" s="224">
        <f t="shared" si="1"/>
        <v>43</v>
      </c>
      <c r="K9" s="272">
        <f>SQRT(I17)</f>
        <v>6.9602026710152911</v>
      </c>
      <c r="M9" s="276">
        <v>41.261507412869634</v>
      </c>
      <c r="O9" s="40">
        <f t="shared" si="2"/>
        <v>1.7384925871303665</v>
      </c>
      <c r="Q9" s="7">
        <v>6.2252580920593034E-2</v>
      </c>
      <c r="R9" s="8">
        <v>0.12543662190483601</v>
      </c>
      <c r="S9" s="8">
        <v>7.2886749980594689E-2</v>
      </c>
      <c r="T9" s="8">
        <v>8.3132810680742006E-2</v>
      </c>
      <c r="U9" s="8">
        <v>4.1139486144531459E-2</v>
      </c>
      <c r="V9" s="8">
        <v>0.11480245284483437</v>
      </c>
      <c r="W9" s="8">
        <v>0.17775362881316475</v>
      </c>
      <c r="X9" s="8">
        <v>0.15695102072498665</v>
      </c>
      <c r="Y9" s="8">
        <v>2.0259256384382487E-2</v>
      </c>
      <c r="Z9" s="8">
        <v>9.3766979740743661E-2</v>
      </c>
      <c r="AA9" s="9">
        <v>5.1618411860591379E-2</v>
      </c>
      <c r="AB9">
        <f t="shared" si="6"/>
        <v>6</v>
      </c>
      <c r="AC9" s="376">
        <v>0.31381862189921916</v>
      </c>
      <c r="AE9">
        <f t="shared" si="14"/>
        <v>4</v>
      </c>
      <c r="AF9">
        <f t="shared" si="3"/>
        <v>8</v>
      </c>
      <c r="AG9">
        <f t="shared" si="4"/>
        <v>1</v>
      </c>
      <c r="AH9">
        <f t="shared" si="5"/>
        <v>38</v>
      </c>
      <c r="AI9">
        <v>44.672126057595285</v>
      </c>
      <c r="AJ9">
        <f t="shared" si="7"/>
        <v>-6.6721260575952854</v>
      </c>
      <c r="AK9" t="e">
        <f ca="1"/>
        <v>#NAME?</v>
      </c>
      <c r="AL9">
        <f t="shared" si="8"/>
        <v>-1.1331573276684697</v>
      </c>
      <c r="AM9" t="e">
        <f t="shared" ca="1" si="9"/>
        <v>#NAME?</v>
      </c>
      <c r="AN9" t="e">
        <f t="shared" ca="1" si="10"/>
        <v>#NAME?</v>
      </c>
      <c r="AO9" t="e">
        <f t="shared" ca="1" si="11"/>
        <v>#NAME?</v>
      </c>
      <c r="AP9" t="e">
        <f t="shared" ca="1" si="12"/>
        <v>#NAME?</v>
      </c>
      <c r="AQ9" t="e">
        <f t="shared" ca="1" si="13"/>
        <v>#NAME?</v>
      </c>
      <c r="AS9" t="s">
        <v>169</v>
      </c>
      <c r="AT9" s="947">
        <f>COUNT(A4:B4)</f>
        <v>2</v>
      </c>
    </row>
    <row r="10" spans="1:46">
      <c r="A10" s="468">
        <v>4</v>
      </c>
      <c r="B10" s="468">
        <v>0</v>
      </c>
      <c r="C10" s="468">
        <v>25</v>
      </c>
      <c r="E10" s="87">
        <v>1</v>
      </c>
      <c r="F10" s="117">
        <f t="shared" si="0"/>
        <v>4</v>
      </c>
      <c r="G10" s="88">
        <f t="shared" si="0"/>
        <v>0</v>
      </c>
      <c r="I10" s="224">
        <f t="shared" si="1"/>
        <v>25</v>
      </c>
      <c r="K10" s="273">
        <f>SQRT(J18)</f>
        <v>0.82022977846272849</v>
      </c>
      <c r="M10" s="276">
        <v>21.332557116613586</v>
      </c>
      <c r="O10" s="40">
        <f t="shared" si="2"/>
        <v>3.6674428833864141</v>
      </c>
      <c r="Q10" s="7">
        <v>-3.3429066728764167E-2</v>
      </c>
      <c r="R10" s="8">
        <v>5.8992470697819321E-2</v>
      </c>
      <c r="S10" s="8">
        <v>-0.15219022484410982</v>
      </c>
      <c r="T10" s="8">
        <v>0.23216642086470532</v>
      </c>
      <c r="U10" s="8">
        <v>2.8461279722628852E-3</v>
      </c>
      <c r="V10" s="8">
        <v>0.17775362881316481</v>
      </c>
      <c r="W10" s="8">
        <v>0.57204584853424467</v>
      </c>
      <c r="X10" s="8">
        <v>0.20582680017594307</v>
      </c>
      <c r="Y10" s="8">
        <v>-0.2627493596212066</v>
      </c>
      <c r="Z10" s="8">
        <v>0.11340526274935969</v>
      </c>
      <c r="AA10" s="9">
        <v>8.5332091386581543E-2</v>
      </c>
      <c r="AB10">
        <f t="shared" si="6"/>
        <v>7</v>
      </c>
      <c r="AC10" s="376">
        <v>0.95211784652177578</v>
      </c>
      <c r="AE10">
        <f t="shared" si="14"/>
        <v>5</v>
      </c>
      <c r="AF10">
        <f t="shared" si="3"/>
        <v>9</v>
      </c>
      <c r="AG10">
        <f t="shared" si="4"/>
        <v>3</v>
      </c>
      <c r="AH10">
        <f t="shared" si="5"/>
        <v>55</v>
      </c>
      <c r="AI10">
        <v>57.084245387978996</v>
      </c>
      <c r="AJ10">
        <f t="shared" si="7"/>
        <v>-2.0842453879789957</v>
      </c>
      <c r="AK10" t="e">
        <f ca="1"/>
        <v>#NAME?</v>
      </c>
      <c r="AL10">
        <f t="shared" si="8"/>
        <v>-0.3539768154348728</v>
      </c>
      <c r="AM10" t="e">
        <f t="shared" ca="1" si="9"/>
        <v>#NAME?</v>
      </c>
      <c r="AN10" t="e">
        <f t="shared" ca="1" si="10"/>
        <v>#NAME?</v>
      </c>
      <c r="AO10" t="e">
        <f t="shared" ca="1" si="11"/>
        <v>#NAME?</v>
      </c>
      <c r="AP10" t="e">
        <f t="shared" ca="1" si="12"/>
        <v>#NAME?</v>
      </c>
      <c r="AQ10" t="e">
        <f t="shared" ca="1" si="13"/>
        <v>#NAME?</v>
      </c>
    </row>
    <row r="11" spans="1:46">
      <c r="A11" s="468">
        <v>2</v>
      </c>
      <c r="B11" s="468">
        <v>6</v>
      </c>
      <c r="C11" s="468">
        <v>33</v>
      </c>
      <c r="E11" s="87">
        <v>1</v>
      </c>
      <c r="F11" s="117">
        <f t="shared" si="0"/>
        <v>2</v>
      </c>
      <c r="G11" s="88">
        <f t="shared" si="0"/>
        <v>6</v>
      </c>
      <c r="I11" s="224">
        <f t="shared" si="1"/>
        <v>33</v>
      </c>
      <c r="K11" s="274">
        <f>SQRT(K19)</f>
        <v>0.75651098735033706</v>
      </c>
      <c r="M11" s="276">
        <v>34.092473285207895</v>
      </c>
      <c r="O11" s="40">
        <f t="shared" si="2"/>
        <v>-1.0924732852078947</v>
      </c>
      <c r="Q11" s="7">
        <v>2.6960594064529331E-2</v>
      </c>
      <c r="R11" s="8">
        <v>0.3053636575331834</v>
      </c>
      <c r="S11" s="8">
        <v>0.17537323087272627</v>
      </c>
      <c r="T11" s="8">
        <v>-5.8759605681906524E-2</v>
      </c>
      <c r="U11" s="8">
        <v>-0.11684649020673266</v>
      </c>
      <c r="V11" s="8">
        <v>0.15695102072498646</v>
      </c>
      <c r="W11" s="8">
        <v>0.20582680017594268</v>
      </c>
      <c r="X11" s="8">
        <v>0.36805609459494448</v>
      </c>
      <c r="Y11" s="8">
        <v>-3.1126290460296802E-2</v>
      </c>
      <c r="Z11" s="8">
        <v>8.9653031126290417E-2</v>
      </c>
      <c r="AA11" s="9">
        <v>-0.12145204274366761</v>
      </c>
      <c r="AB11">
        <f t="shared" si="6"/>
        <v>8</v>
      </c>
      <c r="AC11" s="376">
        <v>-0.23339821457085794</v>
      </c>
      <c r="AE11">
        <f t="shared" si="14"/>
        <v>6</v>
      </c>
      <c r="AF11">
        <f t="shared" si="3"/>
        <v>5</v>
      </c>
      <c r="AG11">
        <f t="shared" si="4"/>
        <v>4</v>
      </c>
      <c r="AH11">
        <f t="shared" si="5"/>
        <v>43</v>
      </c>
      <c r="AI11">
        <v>41.261507412869676</v>
      </c>
      <c r="AJ11">
        <f t="shared" si="7"/>
        <v>1.7384925871303238</v>
      </c>
      <c r="AK11" t="e">
        <f ca="1"/>
        <v>#NAME?</v>
      </c>
      <c r="AL11">
        <f t="shared" si="8"/>
        <v>0.2952560543968572</v>
      </c>
      <c r="AM11" t="e">
        <f t="shared" ca="1" si="9"/>
        <v>#NAME?</v>
      </c>
      <c r="AN11" t="e">
        <f t="shared" ca="1" si="10"/>
        <v>#NAME?</v>
      </c>
      <c r="AO11" t="e">
        <f t="shared" ca="1" si="11"/>
        <v>#NAME?</v>
      </c>
      <c r="AP11" t="e">
        <f t="shared" ca="1" si="12"/>
        <v>#NAME?</v>
      </c>
      <c r="AQ11" t="e">
        <f t="shared" ca="1" si="13"/>
        <v>#NAME?</v>
      </c>
    </row>
    <row r="12" spans="1:46">
      <c r="A12" s="468">
        <v>8</v>
      </c>
      <c r="B12" s="468">
        <v>7</v>
      </c>
      <c r="C12" s="468">
        <v>71</v>
      </c>
      <c r="E12" s="87">
        <v>1</v>
      </c>
      <c r="F12" s="117">
        <f t="shared" si="0"/>
        <v>8</v>
      </c>
      <c r="G12" s="88">
        <f t="shared" si="0"/>
        <v>7</v>
      </c>
      <c r="I12" s="224">
        <f t="shared" si="1"/>
        <v>71</v>
      </c>
      <c r="M12" s="276">
        <v>67.222618955212241</v>
      </c>
      <c r="O12" s="40">
        <f t="shared" si="2"/>
        <v>3.7773810447877594</v>
      </c>
      <c r="Q12" s="7">
        <v>0.18745633780951643</v>
      </c>
      <c r="R12" s="8">
        <v>8.0959403865559054E-2</v>
      </c>
      <c r="S12" s="8">
        <v>0.24815648529069312</v>
      </c>
      <c r="T12" s="8">
        <v>1.4670496002483775E-2</v>
      </c>
      <c r="U12" s="8">
        <v>0.18373049755491741</v>
      </c>
      <c r="V12" s="8">
        <v>2.0259256384382279E-2</v>
      </c>
      <c r="W12" s="8">
        <v>-0.26274935962120671</v>
      </c>
      <c r="X12" s="8">
        <v>-3.1126290460296857E-2</v>
      </c>
      <c r="Y12" s="8">
        <v>0.35651633936195004</v>
      </c>
      <c r="Z12" s="8">
        <v>7.5370643483660488E-2</v>
      </c>
      <c r="AA12" s="9">
        <v>0.12675619032833968</v>
      </c>
      <c r="AB12">
        <f t="shared" si="6"/>
        <v>9</v>
      </c>
      <c r="AC12" s="376">
        <v>0.79973849933219099</v>
      </c>
      <c r="AE12">
        <f t="shared" si="14"/>
        <v>7</v>
      </c>
      <c r="AF12">
        <f t="shared" si="3"/>
        <v>4</v>
      </c>
      <c r="AG12">
        <f t="shared" si="4"/>
        <v>0</v>
      </c>
      <c r="AH12">
        <f t="shared" si="5"/>
        <v>25</v>
      </c>
      <c r="AI12">
        <v>21.332557116613632</v>
      </c>
      <c r="AJ12">
        <f t="shared" si="7"/>
        <v>3.6674428833863679</v>
      </c>
      <c r="AK12" t="e">
        <f ca="1"/>
        <v>#NAME?</v>
      </c>
      <c r="AL12">
        <f t="shared" si="8"/>
        <v>0.62285840244041202</v>
      </c>
      <c r="AM12" t="e">
        <f t="shared" ca="1" si="9"/>
        <v>#NAME?</v>
      </c>
      <c r="AN12" t="e">
        <f t="shared" ca="1" si="10"/>
        <v>#NAME?</v>
      </c>
      <c r="AO12" t="e">
        <f t="shared" ca="1" si="11"/>
        <v>#NAME?</v>
      </c>
      <c r="AP12" t="e">
        <f t="shared" ca="1" si="12"/>
        <v>#NAME?</v>
      </c>
      <c r="AQ12" t="e">
        <f t="shared" ca="1" si="13"/>
        <v>#NAME?</v>
      </c>
    </row>
    <row r="13" spans="1:46">
      <c r="A13" s="468">
        <v>6</v>
      </c>
      <c r="B13" s="468">
        <v>4</v>
      </c>
      <c r="C13" s="468">
        <v>51</v>
      </c>
      <c r="E13" s="87">
        <v>1</v>
      </c>
      <c r="F13" s="117">
        <f t="shared" si="0"/>
        <v>6</v>
      </c>
      <c r="G13" s="88">
        <f t="shared" si="0"/>
        <v>4</v>
      </c>
      <c r="I13" s="224">
        <f t="shared" si="1"/>
        <v>51</v>
      </c>
      <c r="M13" s="276">
        <v>46.156795777380999</v>
      </c>
      <c r="O13" s="40">
        <f t="shared" si="2"/>
        <v>4.8432042226190006</v>
      </c>
      <c r="Q13" s="7">
        <v>8.6004812543662199E-2</v>
      </c>
      <c r="R13" s="8">
        <v>8.3520919040596261E-2</v>
      </c>
      <c r="S13" s="8">
        <v>7.5758751843514785E-2</v>
      </c>
      <c r="T13" s="8">
        <v>0.10238298532950396</v>
      </c>
      <c r="U13" s="8">
        <v>9.174881626950239E-2</v>
      </c>
      <c r="V13" s="8">
        <v>9.3766979740743675E-2</v>
      </c>
      <c r="W13" s="8">
        <v>0.11340526274935969</v>
      </c>
      <c r="X13" s="8">
        <v>8.9653031126290611E-2</v>
      </c>
      <c r="Y13" s="8">
        <v>7.5370643483660626E-2</v>
      </c>
      <c r="Z13" s="8">
        <v>9.2136924629356548E-2</v>
      </c>
      <c r="AA13" s="9">
        <v>9.6250873243809612E-2</v>
      </c>
      <c r="AB13">
        <f t="shared" si="6"/>
        <v>10</v>
      </c>
      <c r="AC13" s="376">
        <v>0.86327382787517848</v>
      </c>
      <c r="AE13">
        <f t="shared" si="14"/>
        <v>8</v>
      </c>
      <c r="AF13">
        <f t="shared" si="3"/>
        <v>2</v>
      </c>
      <c r="AG13">
        <f t="shared" si="4"/>
        <v>6</v>
      </c>
      <c r="AH13">
        <f t="shared" si="5"/>
        <v>33</v>
      </c>
      <c r="AI13">
        <v>34.092473285207895</v>
      </c>
      <c r="AJ13">
        <f t="shared" si="7"/>
        <v>-1.0924732852078947</v>
      </c>
      <c r="AK13" t="e">
        <f ca="1"/>
        <v>#NAME?</v>
      </c>
      <c r="AL13">
        <f t="shared" si="8"/>
        <v>-0.18553967621851886</v>
      </c>
      <c r="AM13" t="e">
        <f t="shared" ca="1" si="9"/>
        <v>#NAME?</v>
      </c>
      <c r="AN13" t="e">
        <f t="shared" ca="1" si="10"/>
        <v>#NAME?</v>
      </c>
      <c r="AO13" t="e">
        <f t="shared" ca="1" si="11"/>
        <v>#NAME?</v>
      </c>
      <c r="AP13" t="e">
        <f t="shared" ca="1" si="12"/>
        <v>#NAME?</v>
      </c>
      <c r="AQ13" t="e">
        <f t="shared" ca="1" si="13"/>
        <v>#NAME?</v>
      </c>
    </row>
    <row r="14" spans="1:46">
      <c r="A14" s="469">
        <v>9</v>
      </c>
      <c r="B14" s="469">
        <v>2</v>
      </c>
      <c r="C14" s="469">
        <v>49</v>
      </c>
      <c r="E14" s="206">
        <v>1</v>
      </c>
      <c r="F14" s="469">
        <f t="shared" si="0"/>
        <v>9</v>
      </c>
      <c r="G14" s="207">
        <f t="shared" si="0"/>
        <v>2</v>
      </c>
      <c r="I14" s="225">
        <f t="shared" si="1"/>
        <v>49</v>
      </c>
      <c r="M14" s="277">
        <v>53.325829905042738</v>
      </c>
      <c r="O14" s="268">
        <f t="shared" si="2"/>
        <v>-4.3258299050427382</v>
      </c>
      <c r="Q14" s="10">
        <v>0.12129679939972585</v>
      </c>
      <c r="R14" s="11">
        <v>-9.6406116587751223E-2</v>
      </c>
      <c r="S14" s="11">
        <v>-2.6727729048616949E-2</v>
      </c>
      <c r="T14" s="11">
        <v>0.24427540169215248</v>
      </c>
      <c r="U14" s="11">
        <v>0.24973479262076642</v>
      </c>
      <c r="V14" s="11">
        <v>5.1618411860591518E-2</v>
      </c>
      <c r="W14" s="11">
        <v>8.5332091386581793E-2</v>
      </c>
      <c r="X14" s="11">
        <v>-0.12145204274366732</v>
      </c>
      <c r="Y14" s="11">
        <v>0.12675619032833976</v>
      </c>
      <c r="Z14" s="11">
        <v>9.6250873243809765E-2</v>
      </c>
      <c r="AA14" s="12">
        <v>0.26932132784806856</v>
      </c>
      <c r="AB14">
        <f t="shared" si="6"/>
        <v>11</v>
      </c>
      <c r="AC14" s="268">
        <v>-0.85947290855377767</v>
      </c>
      <c r="AE14">
        <f t="shared" si="14"/>
        <v>9</v>
      </c>
      <c r="AF14">
        <f t="shared" si="3"/>
        <v>8</v>
      </c>
      <c r="AG14">
        <f t="shared" si="4"/>
        <v>7</v>
      </c>
      <c r="AH14">
        <f t="shared" si="5"/>
        <v>71</v>
      </c>
      <c r="AI14">
        <v>67.222618955212283</v>
      </c>
      <c r="AJ14">
        <f t="shared" si="7"/>
        <v>3.7773810447877167</v>
      </c>
      <c r="AK14" t="e">
        <f ca="1"/>
        <v>#NAME?</v>
      </c>
      <c r="AL14">
        <f t="shared" si="8"/>
        <v>0.64152969733306831</v>
      </c>
      <c r="AM14" t="e">
        <f t="shared" ca="1" si="9"/>
        <v>#NAME?</v>
      </c>
      <c r="AN14" t="e">
        <f t="shared" ca="1" si="10"/>
        <v>#NAME?</v>
      </c>
      <c r="AO14" t="e">
        <f t="shared" ca="1" si="11"/>
        <v>#NAME?</v>
      </c>
      <c r="AP14" t="e">
        <f t="shared" ca="1" si="12"/>
        <v>#NAME?</v>
      </c>
      <c r="AQ14" t="e">
        <f t="shared" ca="1" si="13"/>
        <v>#NAME?</v>
      </c>
    </row>
    <row r="15" spans="1:46">
      <c r="A15" s="117"/>
      <c r="B15" s="117"/>
      <c r="C15" s="117"/>
      <c r="AE15">
        <f t="shared" si="14"/>
        <v>10</v>
      </c>
      <c r="AF15">
        <f t="shared" si="3"/>
        <v>6</v>
      </c>
      <c r="AG15">
        <f t="shared" si="4"/>
        <v>4</v>
      </c>
      <c r="AH15">
        <f t="shared" si="5"/>
        <v>51</v>
      </c>
      <c r="AI15">
        <v>46.156795777381042</v>
      </c>
      <c r="AJ15">
        <f t="shared" si="7"/>
        <v>4.843204222618958</v>
      </c>
      <c r="AK15" t="e">
        <f ca="1"/>
        <v>#NAME?</v>
      </c>
      <c r="AL15">
        <f t="shared" si="8"/>
        <v>0.82254326535214306</v>
      </c>
      <c r="AM15" t="e">
        <f t="shared" ca="1" si="9"/>
        <v>#NAME?</v>
      </c>
      <c r="AN15" t="e">
        <f t="shared" ca="1" si="10"/>
        <v>#NAME?</v>
      </c>
      <c r="AO15" t="e">
        <f t="shared" ca="1" si="11"/>
        <v>#NAME?</v>
      </c>
      <c r="AP15" t="e">
        <f t="shared" ca="1" si="12"/>
        <v>#NAME?</v>
      </c>
      <c r="AQ15" t="e">
        <f t="shared" ca="1" si="13"/>
        <v>#NAME?</v>
      </c>
    </row>
    <row r="16" spans="1:46" ht="16.8">
      <c r="A16" s="468"/>
      <c r="B16" s="468"/>
      <c r="C16" s="468"/>
      <c r="D16" s="468"/>
      <c r="E16" s="1576" t="s">
        <v>781</v>
      </c>
      <c r="F16" s="1576"/>
      <c r="G16" s="1576"/>
      <c r="I16" s="1552" t="s">
        <v>825</v>
      </c>
      <c r="J16" s="1552"/>
      <c r="K16" s="1552"/>
      <c r="AE16" s="534">
        <f t="shared" si="14"/>
        <v>11</v>
      </c>
      <c r="AF16" s="534">
        <f t="shared" si="3"/>
        <v>9</v>
      </c>
      <c r="AG16" s="534">
        <f t="shared" si="4"/>
        <v>2</v>
      </c>
      <c r="AH16" s="534">
        <f t="shared" si="5"/>
        <v>49</v>
      </c>
      <c r="AI16" s="534">
        <v>53.325829905042831</v>
      </c>
      <c r="AJ16" s="534">
        <f t="shared" si="7"/>
        <v>-4.3258299050428306</v>
      </c>
      <c r="AK16" s="534" t="e">
        <f ca="1"/>
        <v>#NAME?</v>
      </c>
      <c r="AL16" s="534">
        <f t="shared" si="8"/>
        <v>-0.73467524636567916</v>
      </c>
      <c r="AM16" s="534" t="e">
        <f t="shared" ca="1" si="9"/>
        <v>#NAME?</v>
      </c>
      <c r="AN16" s="534" t="e">
        <f t="shared" ca="1" si="10"/>
        <v>#NAME?</v>
      </c>
      <c r="AO16" s="534" t="e">
        <f t="shared" ca="1" si="11"/>
        <v>#NAME?</v>
      </c>
      <c r="AP16" s="534" t="e">
        <f t="shared" ca="1" si="12"/>
        <v>#NAME?</v>
      </c>
      <c r="AQ16" s="534" t="e">
        <f t="shared" ca="1" si="13"/>
        <v>#NAME?</v>
      </c>
    </row>
    <row r="17" spans="1:29" ht="15.6">
      <c r="A17" s="1086"/>
      <c r="B17" s="1086"/>
      <c r="C17" s="1086"/>
      <c r="D17" s="468"/>
      <c r="E17" s="194">
        <f t="array" ref="E17:G19">MINVERSE(MMULT(TRANSPOSE(E4:G14),E4:G14))</f>
        <v>1.3973194649279432</v>
      </c>
      <c r="F17" s="196">
        <v>-0.14197003803461952</v>
      </c>
      <c r="G17" s="195">
        <v>-0.10639343838132949</v>
      </c>
      <c r="I17" s="269">
        <f t="array" ref="I17:K19">O19*E17:G19</f>
        <v>48.444421221608387</v>
      </c>
      <c r="J17" s="270">
        <v>-4.9220357234138561</v>
      </c>
      <c r="K17" s="271">
        <v>-3.6886114260393215</v>
      </c>
      <c r="N17" t="s">
        <v>690</v>
      </c>
      <c r="O17" s="267">
        <f>DEVSQ(O4:O14)</f>
        <v>277.35630934823661</v>
      </c>
    </row>
    <row r="18" spans="1:29" ht="15.6">
      <c r="A18" s="1086"/>
      <c r="B18" s="1086"/>
      <c r="C18" s="1086"/>
      <c r="E18" s="7">
        <v>-0.14197003803461947</v>
      </c>
      <c r="F18" s="8">
        <v>1.9405417992703587E-2</v>
      </c>
      <c r="G18" s="9">
        <v>5.9768687417527068E-3</v>
      </c>
      <c r="I18" s="7">
        <v>-4.9220357234138543</v>
      </c>
      <c r="J18" s="8">
        <v>0.67277688947701664</v>
      </c>
      <c r="K18" s="9">
        <v>0.20721528195892117</v>
      </c>
      <c r="N18" t="s">
        <v>688</v>
      </c>
      <c r="O18" s="40">
        <f>COUNT(A4:A14)-COUNT(A4:B4)-1</f>
        <v>8</v>
      </c>
    </row>
    <row r="19" spans="1:29" ht="15.6">
      <c r="A19" s="1086"/>
      <c r="B19" s="1086"/>
      <c r="C19" s="1086"/>
      <c r="E19" s="163">
        <v>-0.10639343838132957</v>
      </c>
      <c r="F19" s="164">
        <v>5.976868741752718E-3</v>
      </c>
      <c r="G19" s="165">
        <v>1.6507542239126507E-2</v>
      </c>
      <c r="I19" s="234">
        <v>-3.6886114260393241</v>
      </c>
      <c r="J19" s="235">
        <v>0.20721528195892158</v>
      </c>
      <c r="K19" s="236">
        <v>0.57230887398178176</v>
      </c>
      <c r="N19" t="s">
        <v>824</v>
      </c>
      <c r="O19" s="268">
        <f>O17/O18</f>
        <v>34.669538668529576</v>
      </c>
    </row>
    <row r="20" spans="1:29">
      <c r="A20" s="1086"/>
      <c r="B20" s="1086"/>
      <c r="C20" s="1086"/>
      <c r="N20" t="s">
        <v>169</v>
      </c>
      <c r="O20">
        <f>COUNT(A4:B4)</f>
        <v>2</v>
      </c>
    </row>
    <row r="21" spans="1:29">
      <c r="A21" s="1086"/>
      <c r="B21" s="1086"/>
      <c r="C21" s="1086"/>
      <c r="Q21" s="480" t="s">
        <v>354</v>
      </c>
      <c r="R21" s="480" t="s">
        <v>783</v>
      </c>
      <c r="S21" s="477" t="s">
        <v>784</v>
      </c>
      <c r="T21" s="481" t="s">
        <v>1212</v>
      </c>
      <c r="U21" s="477" t="s">
        <v>1204</v>
      </c>
      <c r="V21" s="477" t="s">
        <v>696</v>
      </c>
      <c r="W21" s="477" t="s">
        <v>2791</v>
      </c>
      <c r="X21" s="477" t="s">
        <v>1205</v>
      </c>
      <c r="Y21" s="477" t="s">
        <v>1206</v>
      </c>
      <c r="Z21" s="477" t="s">
        <v>1207</v>
      </c>
      <c r="AA21" s="480" t="s">
        <v>1208</v>
      </c>
      <c r="AB21" s="481" t="s">
        <v>1209</v>
      </c>
      <c r="AC21" s="1045" t="s">
        <v>2724</v>
      </c>
    </row>
    <row r="22" spans="1:29">
      <c r="A22" s="1086"/>
      <c r="B22" s="1086"/>
      <c r="C22" s="1086"/>
      <c r="Q22" s="482">
        <v>1</v>
      </c>
      <c r="R22" s="87">
        <f>A4</f>
        <v>7</v>
      </c>
      <c r="S22" s="117">
        <f>B4</f>
        <v>5</v>
      </c>
      <c r="T22" s="88">
        <f>C4</f>
        <v>65</v>
      </c>
      <c r="U22" s="489">
        <f>M4</f>
        <v>54.810499624828537</v>
      </c>
      <c r="V22" s="478">
        <f>T22-U22</f>
        <v>10.189500375171463</v>
      </c>
      <c r="W22" s="8">
        <f>V22/SQRT($O$19)</f>
        <v>1.7305289072382419</v>
      </c>
      <c r="X22" s="478">
        <f t="shared" ref="X22:X32" si="15">INDEX($Q$4:$AA$14,Q22,Q22)</f>
        <v>0.12773939817330332</v>
      </c>
      <c r="Y22" s="478">
        <f t="shared" ref="Y22:Y32" si="16">($O$19-V22^2/((1-X22)*$O$18))*$O$18/($O$18-1)</f>
        <v>22.617923249033659</v>
      </c>
      <c r="Z22" s="478">
        <f t="shared" ref="Z22:Z32" si="17">V22/SQRT(Y22*(1-X22))</f>
        <v>2.2940527410302898</v>
      </c>
      <c r="AA22" s="7">
        <f>TDIST(ABS(Z22),$O$18,2)</f>
        <v>5.0941566162259533E-2</v>
      </c>
      <c r="AB22" s="9">
        <f t="shared" ref="AB22:AB32" si="18">(V22^2/$O$19)*(X22/(1-X22)^2)/($O$20+1)</f>
        <v>0.16759799315634213</v>
      </c>
      <c r="AC22" s="929">
        <f>Z22*SQRT(X22/(1-X22))</f>
        <v>0.87789525712224503</v>
      </c>
    </row>
    <row r="23" spans="1:29">
      <c r="A23" s="1086"/>
      <c r="B23" s="1086"/>
      <c r="C23" s="1086"/>
      <c r="Q23" s="87">
        <f>Q22+1</f>
        <v>2</v>
      </c>
      <c r="R23" s="87">
        <f t="shared" ref="R23:R32" si="19">A5</f>
        <v>3</v>
      </c>
      <c r="S23" s="117">
        <f t="shared" ref="S23:S32" si="20">B5</f>
        <v>7</v>
      </c>
      <c r="T23" s="88">
        <f t="shared" ref="T23:T32" si="21">C5</f>
        <v>38</v>
      </c>
      <c r="U23" s="490">
        <f t="shared" ref="U23:U32" si="22">M5</f>
        <v>42.746177132655433</v>
      </c>
      <c r="V23" s="8">
        <f t="shared" ref="V23:V32" si="23">T23-U23</f>
        <v>-4.7461771326554327</v>
      </c>
      <c r="W23" s="8">
        <f t="shared" ref="W23:W32" si="24">V23/SQRT($O$19)</f>
        <v>-0.80606471608232588</v>
      </c>
      <c r="X23" s="8">
        <f t="shared" si="15"/>
        <v>0.29053791818675778</v>
      </c>
      <c r="Y23" s="8">
        <f t="shared" si="16"/>
        <v>35.0864593102011</v>
      </c>
      <c r="Z23" s="8">
        <f t="shared" si="17"/>
        <v>-0.95128264994126976</v>
      </c>
      <c r="AA23" s="7">
        <f t="shared" ref="AA23:AA32" si="25">TDIST(ABS(Z23),$O$18,2)</f>
        <v>0.36931232488633514</v>
      </c>
      <c r="AB23" s="9">
        <f t="shared" si="18"/>
        <v>0.12501525470898492</v>
      </c>
      <c r="AC23" s="627">
        <f t="shared" ref="AC23:AC32" si="26">Z23*SQRT(X23/(1-X23))</f>
        <v>-0.60876039700023366</v>
      </c>
    </row>
    <row r="24" spans="1:29">
      <c r="Q24" s="87">
        <f t="shared" ref="Q24:Q32" si="27">Q23+1</f>
        <v>3</v>
      </c>
      <c r="R24" s="87">
        <f t="shared" si="19"/>
        <v>5</v>
      </c>
      <c r="S24" s="117">
        <f t="shared" si="20"/>
        <v>8</v>
      </c>
      <c r="T24" s="88">
        <f t="shared" si="21"/>
        <v>51</v>
      </c>
      <c r="U24" s="490">
        <f t="shared" si="22"/>
        <v>56.295169344614322</v>
      </c>
      <c r="V24" s="8">
        <f t="shared" si="23"/>
        <v>-5.2951693446143224</v>
      </c>
      <c r="W24" s="8">
        <f t="shared" si="24"/>
        <v>-0.8993025449908445</v>
      </c>
      <c r="X24" s="8">
        <f t="shared" si="15"/>
        <v>0.29509172294237895</v>
      </c>
      <c r="Y24" s="8">
        <f t="shared" si="16"/>
        <v>33.939965811607316</v>
      </c>
      <c r="Z24" s="8">
        <f t="shared" si="17"/>
        <v>-1.0825746381756076</v>
      </c>
      <c r="AA24" s="7">
        <f t="shared" si="25"/>
        <v>0.31054512744459173</v>
      </c>
      <c r="AB24" s="9">
        <f t="shared" si="18"/>
        <v>0.16009663290396148</v>
      </c>
      <c r="AC24" s="627">
        <f t="shared" si="26"/>
        <v>-0.70043857775134133</v>
      </c>
    </row>
    <row r="25" spans="1:29">
      <c r="Q25" s="87">
        <f t="shared" si="27"/>
        <v>4</v>
      </c>
      <c r="R25" s="87">
        <f t="shared" si="19"/>
        <v>8</v>
      </c>
      <c r="S25" s="117">
        <f t="shared" si="20"/>
        <v>1</v>
      </c>
      <c r="T25" s="88">
        <f t="shared" si="21"/>
        <v>38</v>
      </c>
      <c r="U25" s="490">
        <f t="shared" si="22"/>
        <v>44.672126057595207</v>
      </c>
      <c r="V25" s="8">
        <f t="shared" si="23"/>
        <v>-6.6721260575952073</v>
      </c>
      <c r="W25" s="8">
        <f t="shared" si="24"/>
        <v>-1.1331573276684568</v>
      </c>
      <c r="X25" s="8">
        <f t="shared" si="15"/>
        <v>0.26709617325157176</v>
      </c>
      <c r="Y25" s="8">
        <f t="shared" si="16"/>
        <v>30.945053005315838</v>
      </c>
      <c r="Z25" s="8">
        <f t="shared" si="17"/>
        <v>-1.4010225735860666</v>
      </c>
      <c r="AA25" s="7">
        <f t="shared" si="25"/>
        <v>0.19878455622173527</v>
      </c>
      <c r="AB25" s="9">
        <f t="shared" si="18"/>
        <v>0.21283000516568629</v>
      </c>
      <c r="AC25" s="627">
        <f t="shared" si="26"/>
        <v>-0.84577622150930953</v>
      </c>
    </row>
    <row r="26" spans="1:29">
      <c r="Q26" s="87">
        <f t="shared" si="27"/>
        <v>5</v>
      </c>
      <c r="R26" s="87">
        <f t="shared" si="19"/>
        <v>9</v>
      </c>
      <c r="S26" s="117">
        <f t="shared" si="20"/>
        <v>3</v>
      </c>
      <c r="T26" s="88">
        <f t="shared" si="21"/>
        <v>55</v>
      </c>
      <c r="U26" s="490">
        <f t="shared" si="22"/>
        <v>57.08424538797891</v>
      </c>
      <c r="V26" s="8">
        <f t="shared" si="23"/>
        <v>-2.0842453879789105</v>
      </c>
      <c r="W26" s="8">
        <f t="shared" si="24"/>
        <v>-0.35397681543485843</v>
      </c>
      <c r="X26" s="8">
        <f t="shared" si="15"/>
        <v>0.24665579963259088</v>
      </c>
      <c r="Y26" s="8">
        <f t="shared" si="16"/>
        <v>38.798559456754319</v>
      </c>
      <c r="Z26" s="8">
        <f t="shared" si="17"/>
        <v>-0.38551770153741088</v>
      </c>
      <c r="AA26" s="7">
        <f t="shared" si="25"/>
        <v>0.7099025802987351</v>
      </c>
      <c r="AB26" s="9">
        <f t="shared" si="18"/>
        <v>1.8152348214669847E-2</v>
      </c>
      <c r="AC26" s="627">
        <f t="shared" si="26"/>
        <v>-0.22059378129478155</v>
      </c>
    </row>
    <row r="27" spans="1:29">
      <c r="Q27" s="87">
        <f t="shared" si="27"/>
        <v>6</v>
      </c>
      <c r="R27" s="87">
        <f t="shared" si="19"/>
        <v>5</v>
      </c>
      <c r="S27" s="117">
        <f t="shared" si="20"/>
        <v>4</v>
      </c>
      <c r="T27" s="88">
        <f t="shared" si="21"/>
        <v>43</v>
      </c>
      <c r="U27" s="490">
        <f t="shared" si="22"/>
        <v>41.261507412869634</v>
      </c>
      <c r="V27" s="8">
        <f t="shared" si="23"/>
        <v>1.7384925871303665</v>
      </c>
      <c r="W27" s="8">
        <f t="shared" si="24"/>
        <v>0.29525605439686453</v>
      </c>
      <c r="X27" s="8">
        <f t="shared" si="15"/>
        <v>0.11480245284483437</v>
      </c>
      <c r="Y27" s="8">
        <f t="shared" si="16"/>
        <v>39.134568488917807</v>
      </c>
      <c r="Z27" s="8">
        <f t="shared" si="17"/>
        <v>0.29537413820837233</v>
      </c>
      <c r="AA27" s="7">
        <f t="shared" si="25"/>
        <v>0.77522908029391524</v>
      </c>
      <c r="AB27" s="9">
        <f t="shared" si="18"/>
        <v>4.2574262393201947E-3</v>
      </c>
      <c r="AC27" s="627">
        <f t="shared" si="26"/>
        <v>0.10637215315903967</v>
      </c>
    </row>
    <row r="28" spans="1:29">
      <c r="Q28" s="87">
        <f t="shared" si="27"/>
        <v>7</v>
      </c>
      <c r="R28" s="87">
        <f t="shared" si="19"/>
        <v>4</v>
      </c>
      <c r="S28" s="117">
        <f t="shared" si="20"/>
        <v>0</v>
      </c>
      <c r="T28" s="88">
        <f t="shared" si="21"/>
        <v>25</v>
      </c>
      <c r="U28" s="490">
        <f t="shared" si="22"/>
        <v>21.332557116613586</v>
      </c>
      <c r="V28" s="8">
        <f t="shared" si="23"/>
        <v>3.6674428833864141</v>
      </c>
      <c r="W28" s="8">
        <f t="shared" si="24"/>
        <v>0.62285840244042012</v>
      </c>
      <c r="X28" s="8">
        <f t="shared" si="15"/>
        <v>0.57204584853424467</v>
      </c>
      <c r="Y28" s="8">
        <f t="shared" si="16"/>
        <v>35.13248402141982</v>
      </c>
      <c r="Z28" s="8">
        <f t="shared" si="17"/>
        <v>0.94582395298766242</v>
      </c>
      <c r="AA28" s="7">
        <f t="shared" si="25"/>
        <v>0.37192566649930447</v>
      </c>
      <c r="AB28" s="9">
        <f t="shared" si="18"/>
        <v>0.40391850575464266</v>
      </c>
      <c r="AC28" s="627">
        <f t="shared" si="26"/>
        <v>1.0935209443704665</v>
      </c>
    </row>
    <row r="29" spans="1:29">
      <c r="Q29" s="87">
        <f t="shared" si="27"/>
        <v>8</v>
      </c>
      <c r="R29" s="87">
        <f t="shared" si="19"/>
        <v>2</v>
      </c>
      <c r="S29" s="117">
        <f t="shared" si="20"/>
        <v>6</v>
      </c>
      <c r="T29" s="88">
        <f t="shared" si="21"/>
        <v>33</v>
      </c>
      <c r="U29" s="490">
        <f t="shared" si="22"/>
        <v>34.092473285207895</v>
      </c>
      <c r="V29" s="8">
        <f t="shared" si="23"/>
        <v>-1.0924732852078947</v>
      </c>
      <c r="W29" s="8">
        <f t="shared" si="24"/>
        <v>-0.18553967621851891</v>
      </c>
      <c r="X29" s="8">
        <f t="shared" si="15"/>
        <v>0.36805609459494448</v>
      </c>
      <c r="Y29" s="8">
        <f t="shared" si="16"/>
        <v>39.352527958448356</v>
      </c>
      <c r="Z29" s="8">
        <f t="shared" si="17"/>
        <v>-0.21907117761234435</v>
      </c>
      <c r="AA29" s="7">
        <f t="shared" si="25"/>
        <v>0.83208044244166479</v>
      </c>
      <c r="AB29" s="9">
        <f t="shared" si="18"/>
        <v>1.057570402589249E-2</v>
      </c>
      <c r="AC29" s="627">
        <f t="shared" si="26"/>
        <v>-0.16718718470802202</v>
      </c>
    </row>
    <row r="30" spans="1:29">
      <c r="Q30" s="87">
        <f t="shared" si="27"/>
        <v>9</v>
      </c>
      <c r="R30" s="87">
        <f t="shared" si="19"/>
        <v>8</v>
      </c>
      <c r="S30" s="117">
        <f t="shared" si="20"/>
        <v>7</v>
      </c>
      <c r="T30" s="88">
        <f t="shared" si="21"/>
        <v>71</v>
      </c>
      <c r="U30" s="490">
        <f t="shared" si="22"/>
        <v>67.222618955212241</v>
      </c>
      <c r="V30" s="8">
        <f t="shared" si="23"/>
        <v>3.7773810447877594</v>
      </c>
      <c r="W30" s="8">
        <f t="shared" si="24"/>
        <v>0.64152969733307574</v>
      </c>
      <c r="X30" s="8">
        <f t="shared" si="15"/>
        <v>0.35651633936195004</v>
      </c>
      <c r="Y30" s="8">
        <f t="shared" si="16"/>
        <v>36.454615428801091</v>
      </c>
      <c r="Z30" s="8">
        <f t="shared" si="17"/>
        <v>0.77991230823401902</v>
      </c>
      <c r="AA30" s="7">
        <f t="shared" si="25"/>
        <v>0.4578933443702381</v>
      </c>
      <c r="AB30" s="9">
        <f t="shared" si="18"/>
        <v>0.11811815834232753</v>
      </c>
      <c r="AC30" s="627">
        <f t="shared" si="26"/>
        <v>0.58051939191635715</v>
      </c>
    </row>
    <row r="31" spans="1:29">
      <c r="Q31" s="87">
        <f t="shared" si="27"/>
        <v>10</v>
      </c>
      <c r="R31" s="87">
        <f t="shared" si="19"/>
        <v>6</v>
      </c>
      <c r="S31" s="117">
        <f t="shared" si="20"/>
        <v>4</v>
      </c>
      <c r="T31" s="88">
        <f t="shared" si="21"/>
        <v>51</v>
      </c>
      <c r="U31" s="490">
        <f t="shared" si="22"/>
        <v>46.156795777380999</v>
      </c>
      <c r="V31" s="8">
        <f t="shared" si="23"/>
        <v>4.8432042226190006</v>
      </c>
      <c r="W31" s="8">
        <f t="shared" si="24"/>
        <v>0.8225432653521505</v>
      </c>
      <c r="X31" s="8">
        <f t="shared" si="15"/>
        <v>9.2136924629356548E-2</v>
      </c>
      <c r="Y31" s="8">
        <f t="shared" si="16"/>
        <v>35.931303335287524</v>
      </c>
      <c r="Z31" s="8">
        <f t="shared" si="17"/>
        <v>0.84798099811206584</v>
      </c>
      <c r="AA31" s="7">
        <f t="shared" si="25"/>
        <v>0.42109359303964244</v>
      </c>
      <c r="AB31" s="9">
        <f t="shared" si="18"/>
        <v>2.5210952466612258E-2</v>
      </c>
      <c r="AC31" s="627">
        <f t="shared" si="26"/>
        <v>0.27014242879415717</v>
      </c>
    </row>
    <row r="32" spans="1:29">
      <c r="Q32" s="89">
        <f t="shared" si="27"/>
        <v>11</v>
      </c>
      <c r="R32" s="89">
        <f t="shared" si="19"/>
        <v>9</v>
      </c>
      <c r="S32" s="472">
        <f t="shared" si="20"/>
        <v>2</v>
      </c>
      <c r="T32" s="90">
        <f t="shared" si="21"/>
        <v>49</v>
      </c>
      <c r="U32" s="491">
        <f t="shared" si="22"/>
        <v>53.325829905042738</v>
      </c>
      <c r="V32" s="11">
        <f t="shared" si="23"/>
        <v>-4.3258299050427382</v>
      </c>
      <c r="W32" s="11">
        <f t="shared" si="24"/>
        <v>-0.73467524636566373</v>
      </c>
      <c r="X32" s="11">
        <f t="shared" si="15"/>
        <v>0.26932132784806856</v>
      </c>
      <c r="Y32" s="11">
        <f t="shared" si="16"/>
        <v>35.963734318089969</v>
      </c>
      <c r="Z32" s="11">
        <f t="shared" si="17"/>
        <v>-0.84386666783384523</v>
      </c>
      <c r="AA32" s="10">
        <f t="shared" si="25"/>
        <v>0.42325766755387828</v>
      </c>
      <c r="AB32" s="12">
        <f t="shared" si="18"/>
        <v>9.0758528337097522E-2</v>
      </c>
      <c r="AC32" s="544">
        <f t="shared" si="26"/>
        <v>-0.51232552169276679</v>
      </c>
    </row>
  </sheetData>
  <mergeCells count="3">
    <mergeCell ref="E3:G3"/>
    <mergeCell ref="E16:G16"/>
    <mergeCell ref="I16:K16"/>
  </mergeCells>
  <pageMargins left="0.7" right="0.7" top="0.75" bottom="0.75" header="0.3" footer="0.3"/>
  <ignoredErrors>
    <ignoredError sqref="O18 O20" formulaRange="1"/>
  </ignoredErrors>
</worksheet>
</file>

<file path=xl/worksheets/sheet235.xml><?xml version="1.0" encoding="utf-8"?>
<worksheet xmlns="http://schemas.openxmlformats.org/spreadsheetml/2006/main" xmlns:r="http://schemas.openxmlformats.org/officeDocument/2006/relationships">
  <sheetPr codeName="Sheet277"/>
  <dimension ref="A1:Q18"/>
  <sheetViews>
    <sheetView workbookViewId="0"/>
  </sheetViews>
  <sheetFormatPr defaultRowHeight="14.4"/>
  <cols>
    <col min="5" max="5" width="4.44140625" customWidth="1"/>
    <col min="8" max="8" width="3.88671875" customWidth="1"/>
    <col min="9" max="9" width="9.44140625" customWidth="1"/>
    <col min="11" max="11" width="2.6640625" customWidth="1"/>
    <col min="12" max="12" width="42.5546875" customWidth="1"/>
    <col min="13" max="13" width="9.6640625" customWidth="1"/>
    <col min="16" max="16" width="3.88671875" customWidth="1"/>
    <col min="17" max="17" width="36.5546875" customWidth="1"/>
  </cols>
  <sheetData>
    <row r="1" spans="1:17">
      <c r="A1" s="1" t="s">
        <v>3041</v>
      </c>
      <c r="N1" t="s">
        <v>1939</v>
      </c>
    </row>
    <row r="3" spans="1:17">
      <c r="A3" s="231" t="s">
        <v>3314</v>
      </c>
      <c r="B3" s="231" t="s">
        <v>4237</v>
      </c>
      <c r="C3" s="231" t="s">
        <v>2091</v>
      </c>
      <c r="D3" s="231" t="s">
        <v>1028</v>
      </c>
      <c r="F3" s="1164" t="s">
        <v>2968</v>
      </c>
      <c r="G3" s="1164" t="s">
        <v>704</v>
      </c>
      <c r="I3" s="232" t="s">
        <v>144</v>
      </c>
      <c r="J3" s="1235">
        <f>SUMXMY2(G4:G13,G5:G14)/SUMSQ(G4:G14)</f>
        <v>0.72595086575653978</v>
      </c>
      <c r="K3" s="8"/>
      <c r="L3" s="8" t="e">
        <f ca="1">[1]!FTEXT(J3)</f>
        <v>#NAME?</v>
      </c>
      <c r="M3" s="8"/>
      <c r="N3" t="s">
        <v>144</v>
      </c>
      <c r="O3" s="48" t="e">
        <f ca="1">[1]!DURBIN(G4:G14)</f>
        <v>#NAME?</v>
      </c>
      <c r="Q3" s="23" t="s">
        <v>3042</v>
      </c>
    </row>
    <row r="4" spans="1:17">
      <c r="A4" s="1546">
        <v>2000</v>
      </c>
      <c r="B4" s="1162">
        <v>30</v>
      </c>
      <c r="C4" s="1162">
        <v>20</v>
      </c>
      <c r="D4" s="1162">
        <v>65</v>
      </c>
      <c r="F4">
        <f t="array" ref="F4:F14">TREND(D4:D14,B4:C14)</f>
        <v>62.678719648905208</v>
      </c>
      <c r="G4">
        <f>D4-F4</f>
        <v>2.3212803510947921</v>
      </c>
      <c r="I4" t="s">
        <v>4235</v>
      </c>
      <c r="J4" s="627" t="e">
        <f ca="1">[1]!DLowerCRIT(COUNT(A4:A14),COUNTA(B3:C3))</f>
        <v>#NAME?</v>
      </c>
      <c r="L4" s="8" t="e">
        <f ca="1">[1]!FTEXT(J4)</f>
        <v>#NAME?</v>
      </c>
      <c r="N4" t="s">
        <v>144</v>
      </c>
      <c r="O4" s="544" t="e">
        <f ca="1">[1]!DURBIN(B4:C14,D4:D14)</f>
        <v>#NAME?</v>
      </c>
      <c r="Q4" s="23" t="s">
        <v>3043</v>
      </c>
    </row>
    <row r="5" spans="1:17">
      <c r="A5" s="1546">
        <f>A4+1</f>
        <v>2001</v>
      </c>
      <c r="B5" s="1162">
        <v>23</v>
      </c>
      <c r="C5" s="1162">
        <v>27</v>
      </c>
      <c r="D5" s="1162">
        <v>62</v>
      </c>
      <c r="F5">
        <v>60.68520726995181</v>
      </c>
      <c r="G5">
        <f t="shared" ref="G5:G14" si="0">D5-F5</f>
        <v>1.3147927300481896</v>
      </c>
      <c r="I5" t="s">
        <v>4236</v>
      </c>
      <c r="J5" s="627" t="e">
        <f ca="1">[1]!DUpperCRIT(COUNT(A4:A14),COUNTA(B3:C3))</f>
        <v>#NAME?</v>
      </c>
      <c r="L5" s="8" t="e">
        <f ca="1">[1]!FTEXT(J5)</f>
        <v>#NAME?</v>
      </c>
    </row>
    <row r="6" spans="1:17">
      <c r="A6" s="1546">
        <f t="shared" ref="A6:A13" si="1">A5+1</f>
        <v>2002</v>
      </c>
      <c r="B6" s="1162">
        <v>34</v>
      </c>
      <c r="C6" s="1162">
        <v>28</v>
      </c>
      <c r="D6" s="1162">
        <v>70</v>
      </c>
      <c r="F6">
        <v>69.596336402232495</v>
      </c>
      <c r="G6">
        <f t="shared" si="0"/>
        <v>0.40366359776750471</v>
      </c>
      <c r="I6" t="s">
        <v>948</v>
      </c>
      <c r="J6" s="538" t="e">
        <f ca="1">IF(J3&lt;J4,"yes",IF(J3&gt;J5,"no","unclear"))</f>
        <v>#NAME?</v>
      </c>
      <c r="L6" s="8" t="e">
        <f ca="1">[1]!FTEXT(J6)</f>
        <v>#NAME?</v>
      </c>
      <c r="N6" t="s">
        <v>4235</v>
      </c>
      <c r="O6" s="1235" t="e">
        <f ca="1">[1]!DLowerCRIT(11,2)</f>
        <v>#NAME?</v>
      </c>
      <c r="Q6" t="e">
        <f ca="1">[1]!FTEXT(O6)</f>
        <v>#NAME?</v>
      </c>
    </row>
    <row r="7" spans="1:17">
      <c r="A7" s="1546">
        <f t="shared" si="1"/>
        <v>2003</v>
      </c>
      <c r="B7" s="1162">
        <v>31</v>
      </c>
      <c r="C7" s="1162">
        <v>21</v>
      </c>
      <c r="D7" s="1162">
        <v>64</v>
      </c>
      <c r="F7">
        <v>63.926584935362293</v>
      </c>
      <c r="G7">
        <f t="shared" si="0"/>
        <v>7.3415064637707417E-2</v>
      </c>
      <c r="N7" t="s">
        <v>4236</v>
      </c>
      <c r="O7" s="627" t="e">
        <f ca="1">[1]!DUpperCRIT(11,2)</f>
        <v>#NAME?</v>
      </c>
      <c r="Q7" t="e">
        <f ca="1">[1]!FTEXT(O7)</f>
        <v>#NAME?</v>
      </c>
    </row>
    <row r="8" spans="1:17">
      <c r="A8" s="1546">
        <f t="shared" si="1"/>
        <v>2004</v>
      </c>
      <c r="B8" s="1162">
        <v>17</v>
      </c>
      <c r="C8" s="1162">
        <v>23</v>
      </c>
      <c r="D8" s="1162">
        <v>52</v>
      </c>
      <c r="F8">
        <v>54.16109335495873</v>
      </c>
      <c r="G8">
        <f t="shared" si="0"/>
        <v>-2.1610933549587301</v>
      </c>
      <c r="N8" t="s">
        <v>948</v>
      </c>
      <c r="O8" s="538" t="e">
        <f ca="1">IF(J3&lt;O6,"yes",IF(J3&gt;O7,"no","unclear"))</f>
        <v>#NAME?</v>
      </c>
      <c r="Q8" t="e">
        <f ca="1">[1]!FTEXT(O8)</f>
        <v>#NAME?</v>
      </c>
    </row>
    <row r="9" spans="1:17">
      <c r="A9" s="1546">
        <f t="shared" si="1"/>
        <v>2005</v>
      </c>
      <c r="B9" s="1162">
        <v>36</v>
      </c>
      <c r="C9" s="1162">
        <v>24</v>
      </c>
      <c r="D9" s="1162">
        <v>68</v>
      </c>
      <c r="F9">
        <v>69.202833563898281</v>
      </c>
      <c r="G9">
        <f t="shared" si="0"/>
        <v>-1.202833563898281</v>
      </c>
    </row>
    <row r="10" spans="1:17">
      <c r="A10" s="1546">
        <f t="shared" si="1"/>
        <v>2006</v>
      </c>
      <c r="B10" s="1162">
        <v>38</v>
      </c>
      <c r="C10" s="1162">
        <v>20</v>
      </c>
      <c r="D10" s="1162">
        <v>68</v>
      </c>
      <c r="F10">
        <v>68.809330725564081</v>
      </c>
      <c r="G10">
        <f t="shared" si="0"/>
        <v>-0.80933072556408092</v>
      </c>
      <c r="N10" t="e">
        <f t="array" aca="1" ref="N10:O13" ca="1">[1]!DURBIN(B4:C14,D4:D14,TRUE)</f>
        <v>#NAME?</v>
      </c>
      <c r="O10" s="1235" t="e">
        <f ca="1"/>
        <v>#NAME?</v>
      </c>
      <c r="Q10" t="e">
        <f ca="1">[1]!FTEXT(O10)</f>
        <v>#NAME?</v>
      </c>
    </row>
    <row r="11" spans="1:17">
      <c r="A11" s="1546">
        <f t="shared" si="1"/>
        <v>2007</v>
      </c>
      <c r="B11" s="1162">
        <v>40</v>
      </c>
      <c r="C11" s="1162">
        <v>26</v>
      </c>
      <c r="D11" s="1162">
        <v>72</v>
      </c>
      <c r="F11">
        <v>73.231216905977192</v>
      </c>
      <c r="G11">
        <f t="shared" si="0"/>
        <v>-1.2312169059771918</v>
      </c>
      <c r="N11" t="e">
        <f ca="1"/>
        <v>#NAME?</v>
      </c>
      <c r="O11" s="627" t="e">
        <f ca="1"/>
        <v>#NAME?</v>
      </c>
    </row>
    <row r="12" spans="1:17">
      <c r="A12" s="1546">
        <f t="shared" si="1"/>
        <v>2008</v>
      </c>
      <c r="B12" s="1162">
        <v>37</v>
      </c>
      <c r="C12" s="1162">
        <v>27</v>
      </c>
      <c r="D12" s="1162">
        <v>71</v>
      </c>
      <c r="F12">
        <v>71.413776654104851</v>
      </c>
      <c r="G12">
        <f t="shared" si="0"/>
        <v>-0.41377665410485065</v>
      </c>
      <c r="N12" t="e">
        <f ca="1"/>
        <v>#NAME?</v>
      </c>
      <c r="O12" s="627" t="e">
        <f ca="1"/>
        <v>#NAME?</v>
      </c>
    </row>
    <row r="13" spans="1:17">
      <c r="A13" s="1546">
        <f t="shared" si="1"/>
        <v>2009</v>
      </c>
      <c r="B13" s="1162">
        <v>34</v>
      </c>
      <c r="C13" s="1162">
        <v>24</v>
      </c>
      <c r="D13" s="1162">
        <v>69</v>
      </c>
      <c r="F13">
        <v>67.670180794733568</v>
      </c>
      <c r="G13">
        <f t="shared" si="0"/>
        <v>1.3298192052664319</v>
      </c>
      <c r="N13" t="e">
        <f ca="1"/>
        <v>#NAME?</v>
      </c>
      <c r="O13" s="538" t="e">
        <f ca="1"/>
        <v>#NAME?</v>
      </c>
    </row>
    <row r="14" spans="1:17">
      <c r="A14" s="1547">
        <f>A13+1</f>
        <v>2010</v>
      </c>
      <c r="B14" s="1163">
        <v>38</v>
      </c>
      <c r="C14" s="1163">
        <v>30</v>
      </c>
      <c r="D14" s="1163">
        <v>74</v>
      </c>
      <c r="F14" s="1078">
        <v>73.624719744311392</v>
      </c>
      <c r="G14" s="1078">
        <f t="shared" si="0"/>
        <v>0.37528025568860812</v>
      </c>
    </row>
    <row r="15" spans="1:17">
      <c r="N15" t="e">
        <f t="array" aca="1" ref="N15:O18" ca="1">[1]!DURBIN(G4:G14,2,TRUE)</f>
        <v>#NAME?</v>
      </c>
      <c r="O15" s="1235" t="e">
        <f ca="1"/>
        <v>#NAME?</v>
      </c>
      <c r="Q15" t="e">
        <f ca="1">[1]!FTEXT(O15)</f>
        <v>#NAME?</v>
      </c>
    </row>
    <row r="16" spans="1:17">
      <c r="N16" t="e">
        <f ca="1"/>
        <v>#NAME?</v>
      </c>
      <c r="O16" s="627" t="e">
        <f ca="1"/>
        <v>#NAME?</v>
      </c>
    </row>
    <row r="17" spans="14:15">
      <c r="N17" t="e">
        <f ca="1"/>
        <v>#NAME?</v>
      </c>
      <c r="O17" s="627" t="e">
        <f ca="1"/>
        <v>#NAME?</v>
      </c>
    </row>
    <row r="18" spans="14:15">
      <c r="N18" t="e">
        <f ca="1"/>
        <v>#NAME?</v>
      </c>
      <c r="O18" s="538" t="e">
        <f ca="1"/>
        <v>#NAME?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sheetPr codeName="Sheet166"/>
  <dimension ref="A1:AA44"/>
  <sheetViews>
    <sheetView workbookViewId="0"/>
  </sheetViews>
  <sheetFormatPr defaultRowHeight="14.4"/>
  <cols>
    <col min="1" max="7" width="6.5546875" customWidth="1"/>
    <col min="8" max="8" width="3.5546875" customWidth="1"/>
    <col min="9" max="9" width="6.5546875" customWidth="1"/>
    <col min="15" max="15" width="17.88671875" customWidth="1"/>
    <col min="16" max="16" width="17.6640625" customWidth="1"/>
    <col min="17" max="17" width="13.6640625" customWidth="1"/>
    <col min="18" max="18" width="17.33203125" customWidth="1"/>
    <col min="20" max="20" width="13.109375" customWidth="1"/>
    <col min="21" max="21" width="11.109375" customWidth="1"/>
    <col min="23" max="23" width="12.6640625" customWidth="1"/>
    <col min="24" max="26" width="11.6640625" customWidth="1"/>
    <col min="27" max="27" width="18.88671875" customWidth="1"/>
  </cols>
  <sheetData>
    <row r="1" spans="1:26">
      <c r="A1" s="1" t="s">
        <v>847</v>
      </c>
      <c r="O1" s="1" t="s">
        <v>852</v>
      </c>
    </row>
    <row r="3" spans="1:26" ht="15" customHeight="1">
      <c r="A3" s="111" t="s">
        <v>848</v>
      </c>
      <c r="B3" s="111" t="s">
        <v>849</v>
      </c>
      <c r="C3" s="111" t="s">
        <v>779</v>
      </c>
      <c r="D3" s="193"/>
      <c r="E3" s="1586" t="s">
        <v>778</v>
      </c>
      <c r="F3" s="1586"/>
      <c r="G3" s="1586"/>
      <c r="H3" s="290"/>
      <c r="I3" s="290" t="s">
        <v>779</v>
      </c>
      <c r="J3" s="193"/>
      <c r="K3" s="193" t="s">
        <v>384</v>
      </c>
      <c r="L3" s="193"/>
      <c r="M3" s="193"/>
      <c r="O3" t="s">
        <v>691</v>
      </c>
      <c r="W3" t="s">
        <v>702</v>
      </c>
    </row>
    <row r="4" spans="1:26" ht="15" customHeight="1" thickBot="1">
      <c r="A4" s="292">
        <v>34</v>
      </c>
      <c r="B4" s="293">
        <f>A4/2</f>
        <v>17</v>
      </c>
      <c r="C4" s="294">
        <v>4</v>
      </c>
      <c r="D4" s="193"/>
      <c r="E4" s="292">
        <v>1</v>
      </c>
      <c r="F4" s="279">
        <f>A4</f>
        <v>34</v>
      </c>
      <c r="G4" s="280">
        <f>B4</f>
        <v>17</v>
      </c>
      <c r="H4" s="193"/>
      <c r="I4" s="295">
        <f>C4</f>
        <v>4</v>
      </c>
      <c r="J4" s="193"/>
      <c r="K4" s="295" t="e">
        <f t="array" ref="K4:K6">MMULT(K9:M11,MMULT(TRANSPOSE(E4:G11),I4:I11))</f>
        <v>#NUM!</v>
      </c>
      <c r="L4" s="193"/>
      <c r="M4" s="193"/>
    </row>
    <row r="5" spans="1:26" ht="15" customHeight="1">
      <c r="A5" s="296">
        <v>45</v>
      </c>
      <c r="B5" s="297">
        <f>A5/2</f>
        <v>22.5</v>
      </c>
      <c r="C5" s="298">
        <v>7</v>
      </c>
      <c r="D5" s="193"/>
      <c r="E5" s="296">
        <v>1</v>
      </c>
      <c r="F5" s="117">
        <f t="shared" ref="F5:G11" si="0">A5</f>
        <v>45</v>
      </c>
      <c r="G5" s="88">
        <f t="shared" si="0"/>
        <v>22.5</v>
      </c>
      <c r="H5" s="193"/>
      <c r="I5" s="224">
        <f t="shared" ref="I5:I11" si="1">C5</f>
        <v>7</v>
      </c>
      <c r="J5" s="193"/>
      <c r="K5" s="224" t="e">
        <v>#NUM!</v>
      </c>
      <c r="L5" s="193"/>
      <c r="M5" s="193"/>
      <c r="O5" s="35" t="s">
        <v>692</v>
      </c>
      <c r="P5" s="35"/>
      <c r="W5" s="27" t="s">
        <v>703</v>
      </c>
      <c r="X5" s="27" t="s">
        <v>850</v>
      </c>
      <c r="Y5" s="27" t="s">
        <v>704</v>
      </c>
      <c r="Z5" s="27" t="s">
        <v>821</v>
      </c>
    </row>
    <row r="6" spans="1:26" ht="15" customHeight="1">
      <c r="A6" s="296">
        <v>89</v>
      </c>
      <c r="B6" s="297">
        <f t="shared" ref="B6:B11" si="2">A6/2</f>
        <v>44.5</v>
      </c>
      <c r="C6" s="298">
        <v>17</v>
      </c>
      <c r="D6" s="193"/>
      <c r="E6" s="296">
        <v>1</v>
      </c>
      <c r="F6" s="117">
        <f t="shared" si="0"/>
        <v>89</v>
      </c>
      <c r="G6" s="88">
        <f t="shared" si="0"/>
        <v>44.5</v>
      </c>
      <c r="H6" s="193"/>
      <c r="I6" s="224">
        <f t="shared" si="1"/>
        <v>17</v>
      </c>
      <c r="J6" s="193"/>
      <c r="K6" s="299" t="e">
        <v>#NUM!</v>
      </c>
      <c r="L6" s="193"/>
      <c r="M6" s="193"/>
      <c r="O6" s="28" t="s">
        <v>693</v>
      </c>
      <c r="P6" s="28">
        <v>0.99225902794722864</v>
      </c>
      <c r="W6" s="28">
        <v>1</v>
      </c>
      <c r="X6" s="28">
        <v>4.9030715344200448</v>
      </c>
      <c r="Y6" s="28">
        <v>-0.90307153442004484</v>
      </c>
      <c r="Z6" s="28">
        <v>-1.4197639369118109</v>
      </c>
    </row>
    <row r="7" spans="1:26" ht="15" customHeight="1">
      <c r="A7" s="296">
        <v>54</v>
      </c>
      <c r="B7" s="297">
        <f t="shared" si="2"/>
        <v>27</v>
      </c>
      <c r="C7" s="298">
        <v>10</v>
      </c>
      <c r="D7" s="193"/>
      <c r="E7" s="296">
        <v>1</v>
      </c>
      <c r="F7" s="117">
        <f t="shared" si="0"/>
        <v>54</v>
      </c>
      <c r="G7" s="88">
        <f t="shared" si="0"/>
        <v>27</v>
      </c>
      <c r="H7" s="193"/>
      <c r="I7" s="224">
        <f t="shared" si="1"/>
        <v>10</v>
      </c>
      <c r="J7" s="193"/>
      <c r="K7" s="193"/>
      <c r="L7" s="193"/>
      <c r="M7" s="193"/>
      <c r="O7" s="28" t="s">
        <v>686</v>
      </c>
      <c r="P7" s="28">
        <v>0.98457797854277918</v>
      </c>
      <c r="W7" s="28">
        <v>2</v>
      </c>
      <c r="X7" s="28">
        <v>7.4985854775697156</v>
      </c>
      <c r="Y7" s="28">
        <v>-0.49858547756971561</v>
      </c>
      <c r="Z7" s="28">
        <v>-0.78385117185210951</v>
      </c>
    </row>
    <row r="8" spans="1:26" ht="15" customHeight="1">
      <c r="A8" s="296">
        <v>65</v>
      </c>
      <c r="B8" s="297">
        <f t="shared" si="2"/>
        <v>32.5</v>
      </c>
      <c r="C8" s="298">
        <v>13</v>
      </c>
      <c r="D8" s="193"/>
      <c r="E8" s="296">
        <v>1</v>
      </c>
      <c r="F8" s="117">
        <f t="shared" si="0"/>
        <v>65</v>
      </c>
      <c r="G8" s="88">
        <f t="shared" si="0"/>
        <v>32.5</v>
      </c>
      <c r="H8" s="193"/>
      <c r="I8" s="224">
        <f t="shared" si="1"/>
        <v>13</v>
      </c>
      <c r="J8" s="193"/>
      <c r="K8" s="193"/>
      <c r="L8" s="262" t="s">
        <v>781</v>
      </c>
      <c r="M8" s="262"/>
      <c r="O8" s="28" t="s">
        <v>694</v>
      </c>
      <c r="P8" s="28">
        <v>0.81534097496657576</v>
      </c>
      <c r="W8" s="28">
        <v>3</v>
      </c>
      <c r="X8" s="28">
        <v>17.880641250168395</v>
      </c>
      <c r="Y8" s="28">
        <v>-0.88064125016839512</v>
      </c>
      <c r="Z8" s="28">
        <v>-1.3845001649276516</v>
      </c>
    </row>
    <row r="9" spans="1:26" ht="15" customHeight="1">
      <c r="A9" s="296">
        <v>24</v>
      </c>
      <c r="B9" s="297">
        <f t="shared" si="2"/>
        <v>12</v>
      </c>
      <c r="C9" s="298">
        <v>3</v>
      </c>
      <c r="D9" s="193"/>
      <c r="E9" s="296">
        <v>1</v>
      </c>
      <c r="F9" s="117">
        <f t="shared" si="0"/>
        <v>24</v>
      </c>
      <c r="G9" s="88">
        <f t="shared" si="0"/>
        <v>12</v>
      </c>
      <c r="H9" s="193"/>
      <c r="I9" s="224">
        <f t="shared" si="1"/>
        <v>3</v>
      </c>
      <c r="J9" s="193"/>
      <c r="K9" s="278" t="e">
        <f t="array" ref="K9:M11">MINVERSE(MMULT(TRANSPOSE(E4:G11),E4:G11))</f>
        <v>#NUM!</v>
      </c>
      <c r="L9" s="279" t="e">
        <v>#NUM!</v>
      </c>
      <c r="M9" s="280" t="e">
        <v>#NUM!</v>
      </c>
      <c r="O9" s="28" t="s">
        <v>77</v>
      </c>
      <c r="P9" s="28">
        <v>0.73447223153025987</v>
      </c>
      <c r="W9" s="28">
        <v>4</v>
      </c>
      <c r="X9" s="28">
        <v>9.6221877946921737</v>
      </c>
      <c r="Y9" s="28">
        <v>0.37781220530782633</v>
      </c>
      <c r="Z9" s="28">
        <v>0.5939774686461059</v>
      </c>
    </row>
    <row r="10" spans="1:26" ht="15" customHeight="1" thickBot="1">
      <c r="A10" s="296">
        <v>74</v>
      </c>
      <c r="B10" s="297">
        <f t="shared" si="2"/>
        <v>37</v>
      </c>
      <c r="C10" s="298">
        <v>15</v>
      </c>
      <c r="D10" s="193"/>
      <c r="E10" s="296">
        <v>1</v>
      </c>
      <c r="F10" s="117">
        <f t="shared" si="0"/>
        <v>74</v>
      </c>
      <c r="G10" s="88">
        <f t="shared" si="0"/>
        <v>37</v>
      </c>
      <c r="H10" s="193"/>
      <c r="I10" s="224">
        <f t="shared" si="1"/>
        <v>15</v>
      </c>
      <c r="J10" s="193"/>
      <c r="K10" s="87" t="e">
        <v>#NUM!</v>
      </c>
      <c r="L10" s="117" t="e">
        <v>#NUM!</v>
      </c>
      <c r="M10" s="88" t="e">
        <v>#NUM!</v>
      </c>
      <c r="O10" s="31" t="s">
        <v>224</v>
      </c>
      <c r="P10" s="31">
        <v>8</v>
      </c>
      <c r="W10" s="28">
        <v>5</v>
      </c>
      <c r="X10" s="28">
        <v>12.217701737841844</v>
      </c>
      <c r="Y10" s="28">
        <v>0.78229826215815557</v>
      </c>
      <c r="Z10" s="28">
        <v>1.2298902337058073</v>
      </c>
    </row>
    <row r="11" spans="1:26" ht="15" customHeight="1">
      <c r="A11" s="300">
        <v>81</v>
      </c>
      <c r="B11" s="301">
        <f t="shared" si="2"/>
        <v>40.5</v>
      </c>
      <c r="C11" s="302">
        <v>16</v>
      </c>
      <c r="D11" s="297"/>
      <c r="E11" s="300">
        <v>1</v>
      </c>
      <c r="F11" s="301">
        <f t="shared" si="0"/>
        <v>81</v>
      </c>
      <c r="G11" s="302">
        <f t="shared" si="0"/>
        <v>40.5</v>
      </c>
      <c r="H11" s="193"/>
      <c r="I11" s="299">
        <f t="shared" si="1"/>
        <v>16</v>
      </c>
      <c r="J11" s="193"/>
      <c r="K11" s="281" t="e">
        <v>#NUM!</v>
      </c>
      <c r="L11" s="262" t="e">
        <v>#NUM!</v>
      </c>
      <c r="M11" s="282" t="e">
        <v>#NUM!</v>
      </c>
      <c r="W11" s="28">
        <v>6</v>
      </c>
      <c r="X11" s="28">
        <v>2.5435134042839813</v>
      </c>
      <c r="Y11" s="28">
        <v>0.45648659571601868</v>
      </c>
      <c r="Z11" s="28">
        <v>0.7176654136235826</v>
      </c>
    </row>
    <row r="12" spans="1:26" ht="15" customHeight="1" thickBot="1">
      <c r="A12" s="291"/>
      <c r="B12" s="291"/>
      <c r="C12" s="291"/>
      <c r="D12" s="291"/>
      <c r="E12" s="291"/>
      <c r="F12" s="291"/>
      <c r="G12" s="291"/>
      <c r="O12" t="s">
        <v>695</v>
      </c>
      <c r="W12" s="28">
        <v>7</v>
      </c>
      <c r="X12" s="28">
        <v>14.341304054964302</v>
      </c>
      <c r="Y12" s="28">
        <v>0.65869594503569751</v>
      </c>
      <c r="Z12" s="28">
        <v>1.0355688475468459</v>
      </c>
    </row>
    <row r="13" spans="1:26" ht="15" thickBot="1">
      <c r="A13" s="291"/>
      <c r="B13" s="291"/>
      <c r="C13" s="291"/>
      <c r="D13" s="291"/>
      <c r="E13" s="291"/>
      <c r="F13" s="291"/>
      <c r="G13" s="291"/>
      <c r="O13" s="27"/>
      <c r="P13" s="27" t="s">
        <v>186</v>
      </c>
      <c r="Q13" s="27" t="s">
        <v>578</v>
      </c>
      <c r="R13" s="27" t="s">
        <v>641</v>
      </c>
      <c r="S13" s="27" t="s">
        <v>388</v>
      </c>
      <c r="T13" s="27" t="s">
        <v>698</v>
      </c>
      <c r="W13" s="31">
        <v>8</v>
      </c>
      <c r="X13" s="31">
        <v>15.992994746059546</v>
      </c>
      <c r="Y13" s="31">
        <v>7.005253940453926E-3</v>
      </c>
      <c r="Z13" s="31">
        <v>1.1013310169224931E-2</v>
      </c>
    </row>
    <row r="14" spans="1:26">
      <c r="O14" s="28" t="s">
        <v>623</v>
      </c>
      <c r="P14" s="28">
        <v>2</v>
      </c>
      <c r="Q14" s="28">
        <v>206.63830324666577</v>
      </c>
      <c r="R14" s="28">
        <v>103.31915162333289</v>
      </c>
      <c r="S14" s="28">
        <v>383.0540560226413</v>
      </c>
      <c r="T14" s="28">
        <v>3.385609237998677E-6</v>
      </c>
    </row>
    <row r="15" spans="1:26">
      <c r="O15" s="28" t="s">
        <v>696</v>
      </c>
      <c r="P15" s="28">
        <v>6</v>
      </c>
      <c r="Q15" s="28">
        <v>3.2366967533342383</v>
      </c>
      <c r="R15" s="28">
        <v>0.53944945888903972</v>
      </c>
      <c r="S15" s="28"/>
      <c r="T15" s="28"/>
    </row>
    <row r="16" spans="1:26" ht="15" thickBot="1">
      <c r="O16" s="31" t="s">
        <v>12</v>
      </c>
      <c r="P16" s="31">
        <v>8</v>
      </c>
      <c r="Q16" s="31">
        <v>209.875</v>
      </c>
      <c r="R16" s="31"/>
      <c r="S16" s="31"/>
      <c r="T16" s="31"/>
      <c r="W16" t="s">
        <v>2816</v>
      </c>
    </row>
    <row r="17" spans="15:27" ht="15" thickBot="1">
      <c r="W17" s="257"/>
      <c r="X17" s="258" t="s">
        <v>789</v>
      </c>
      <c r="Y17" s="258" t="s">
        <v>788</v>
      </c>
      <c r="Z17" s="258" t="s">
        <v>801</v>
      </c>
      <c r="AA17" s="257"/>
    </row>
    <row r="18" spans="15:27">
      <c r="O18" s="27"/>
      <c r="P18" s="27" t="s">
        <v>699</v>
      </c>
      <c r="Q18" s="27" t="s">
        <v>77</v>
      </c>
      <c r="R18" s="27" t="s">
        <v>229</v>
      </c>
      <c r="S18" s="27" t="s">
        <v>367</v>
      </c>
      <c r="T18" s="27" t="s">
        <v>700</v>
      </c>
      <c r="U18" s="27" t="s">
        <v>701</v>
      </c>
      <c r="W18" s="257" t="s">
        <v>682</v>
      </c>
      <c r="X18" s="259">
        <f t="array" ref="X18:Z22">LINEST(C4:C11,A4:B11,TRUE,TRUE)</f>
        <v>0</v>
      </c>
      <c r="Y18" s="259">
        <v>0.23595581301360641</v>
      </c>
      <c r="Z18" s="259">
        <v>-3.1194261080425729</v>
      </c>
      <c r="AA18" s="257" t="s">
        <v>683</v>
      </c>
    </row>
    <row r="19" spans="15:27" ht="15">
      <c r="O19" s="28" t="s">
        <v>697</v>
      </c>
      <c r="P19" s="28">
        <v>-3.1194261080425729</v>
      </c>
      <c r="Q19" s="28">
        <v>0.74873040198404328</v>
      </c>
      <c r="R19" s="28">
        <v>-4.1662874911670187</v>
      </c>
      <c r="S19" s="28">
        <v>5.9028935064076244E-3</v>
      </c>
      <c r="T19" s="28">
        <v>-4.951503401969866</v>
      </c>
      <c r="U19" s="28">
        <v>-1.2873488141152802</v>
      </c>
      <c r="W19" s="257" t="s">
        <v>804</v>
      </c>
      <c r="X19" s="259">
        <v>0</v>
      </c>
      <c r="Y19" s="259">
        <v>1.2055928078301989E-2</v>
      </c>
      <c r="Z19" s="259">
        <v>0.74873040198404328</v>
      </c>
      <c r="AA19" s="257" t="s">
        <v>805</v>
      </c>
    </row>
    <row r="20" spans="15:27" ht="15">
      <c r="O20" s="28" t="s">
        <v>848</v>
      </c>
      <c r="P20" s="28">
        <v>0.23595581301360641</v>
      </c>
      <c r="Q20" s="28">
        <v>1.2055928078301989E-2</v>
      </c>
      <c r="R20" s="28">
        <v>19.571766808917417</v>
      </c>
      <c r="S20" s="28">
        <v>1.1529266812611095E-6</v>
      </c>
      <c r="T20" s="28">
        <v>0.20645601972225788</v>
      </c>
      <c r="U20" s="28">
        <v>0.26545560630495496</v>
      </c>
      <c r="W20" s="257" t="s">
        <v>686</v>
      </c>
      <c r="X20" s="259">
        <v>0.98457797854277918</v>
      </c>
      <c r="Y20" s="259">
        <v>0.73447223153025987</v>
      </c>
      <c r="Z20" s="259" t="e">
        <v>#N/A</v>
      </c>
      <c r="AA20" s="257" t="s">
        <v>806</v>
      </c>
    </row>
    <row r="21" spans="15:27" ht="15.6" thickBot="1">
      <c r="O21" s="31" t="s">
        <v>849</v>
      </c>
      <c r="P21" s="31">
        <v>0</v>
      </c>
      <c r="Q21" s="31">
        <v>0</v>
      </c>
      <c r="R21" s="31">
        <v>65535</v>
      </c>
      <c r="S21" s="31" t="e">
        <v>#NUM!</v>
      </c>
      <c r="T21" s="31">
        <v>0</v>
      </c>
      <c r="U21" s="31">
        <v>0</v>
      </c>
      <c r="W21" s="257" t="s">
        <v>388</v>
      </c>
      <c r="X21" s="259">
        <v>383.0540560226413</v>
      </c>
      <c r="Y21" s="259">
        <v>6</v>
      </c>
      <c r="Z21" s="259" t="e">
        <v>#N/A</v>
      </c>
      <c r="AA21" s="257" t="s">
        <v>807</v>
      </c>
    </row>
    <row r="22" spans="15:27" ht="15">
      <c r="W22" s="257" t="s">
        <v>808</v>
      </c>
      <c r="X22" s="259">
        <v>206.63830324666577</v>
      </c>
      <c r="Y22" s="259">
        <v>3.2366967533342383</v>
      </c>
      <c r="Z22" s="259" t="e">
        <v>#N/A</v>
      </c>
      <c r="AA22" s="257" t="s">
        <v>809</v>
      </c>
    </row>
    <row r="23" spans="15:27">
      <c r="O23" s="1" t="s">
        <v>851</v>
      </c>
    </row>
    <row r="25" spans="15:27">
      <c r="O25" t="s">
        <v>691</v>
      </c>
      <c r="W25" t="s">
        <v>702</v>
      </c>
    </row>
    <row r="26" spans="15:27" ht="15" thickBot="1"/>
    <row r="27" spans="15:27">
      <c r="O27" s="35" t="s">
        <v>692</v>
      </c>
      <c r="P27" s="35"/>
      <c r="W27" s="27" t="s">
        <v>703</v>
      </c>
      <c r="X27" s="27" t="s">
        <v>850</v>
      </c>
      <c r="Y27" s="27" t="s">
        <v>704</v>
      </c>
      <c r="Z27" s="27" t="s">
        <v>821</v>
      </c>
    </row>
    <row r="28" spans="15:27">
      <c r="O28" s="28" t="s">
        <v>693</v>
      </c>
      <c r="P28" s="28">
        <v>0.99225902794722864</v>
      </c>
      <c r="W28" s="28">
        <v>1</v>
      </c>
      <c r="X28" s="28">
        <v>4.9030715344200448</v>
      </c>
      <c r="Y28" s="28">
        <v>-0.90307153442004484</v>
      </c>
      <c r="Z28" s="28">
        <v>-1.3280675555053323</v>
      </c>
    </row>
    <row r="29" spans="15:27">
      <c r="O29" s="28" t="s">
        <v>686</v>
      </c>
      <c r="P29" s="28">
        <v>0.98457797854277918</v>
      </c>
      <c r="W29" s="28">
        <v>2</v>
      </c>
      <c r="X29" s="28">
        <v>7.4985854775697156</v>
      </c>
      <c r="Y29" s="28">
        <v>-0.49858547756971561</v>
      </c>
      <c r="Z29" s="28">
        <v>-0.73322563182296396</v>
      </c>
    </row>
    <row r="30" spans="15:27">
      <c r="O30" s="28" t="s">
        <v>694</v>
      </c>
      <c r="P30" s="28">
        <v>0.98200764163324239</v>
      </c>
      <c r="W30" s="28">
        <v>3</v>
      </c>
      <c r="X30" s="28">
        <v>17.880641250168395</v>
      </c>
      <c r="Y30" s="28">
        <v>-0.88064125016839512</v>
      </c>
      <c r="Z30" s="28">
        <v>-1.2950813172728219</v>
      </c>
    </row>
    <row r="31" spans="15:27">
      <c r="O31" s="28" t="s">
        <v>77</v>
      </c>
      <c r="P31" s="28">
        <v>0.73447223153025987</v>
      </c>
      <c r="W31" s="28">
        <v>4</v>
      </c>
      <c r="X31" s="28">
        <v>9.6221877946921737</v>
      </c>
      <c r="Y31" s="28">
        <v>0.37781220530782633</v>
      </c>
      <c r="Z31" s="28">
        <v>0.55561504578424725</v>
      </c>
    </row>
    <row r="32" spans="15:27" ht="15" thickBot="1">
      <c r="O32" s="31" t="s">
        <v>224</v>
      </c>
      <c r="P32" s="31">
        <v>8</v>
      </c>
      <c r="W32" s="28">
        <v>5</v>
      </c>
      <c r="X32" s="28">
        <v>12.217701737841844</v>
      </c>
      <c r="Y32" s="28">
        <v>0.78229826215815557</v>
      </c>
      <c r="Z32" s="28">
        <v>1.1504569694666156</v>
      </c>
    </row>
    <row r="33" spans="15:26">
      <c r="W33" s="28">
        <v>6</v>
      </c>
      <c r="X33" s="28">
        <v>2.5435134042839813</v>
      </c>
      <c r="Y33" s="28">
        <v>0.45648659571601868</v>
      </c>
      <c r="Z33" s="28">
        <v>0.67131452402921343</v>
      </c>
    </row>
    <row r="34" spans="15:26" ht="15" thickBot="1">
      <c r="O34" t="s">
        <v>695</v>
      </c>
      <c r="W34" s="28">
        <v>7</v>
      </c>
      <c r="X34" s="28">
        <v>14.341304054964302</v>
      </c>
      <c r="Y34" s="28">
        <v>0.65869594503569751</v>
      </c>
      <c r="Z34" s="28">
        <v>0.96868595698415838</v>
      </c>
    </row>
    <row r="35" spans="15:26" ht="15" thickBot="1">
      <c r="O35" s="27"/>
      <c r="P35" s="27" t="s">
        <v>186</v>
      </c>
      <c r="Q35" s="27" t="s">
        <v>578</v>
      </c>
      <c r="R35" s="27" t="s">
        <v>641</v>
      </c>
      <c r="S35" s="27" t="s">
        <v>388</v>
      </c>
      <c r="T35" s="27" t="s">
        <v>698</v>
      </c>
      <c r="W35" s="31">
        <v>8</v>
      </c>
      <c r="X35" s="31">
        <v>15.992994746059546</v>
      </c>
      <c r="Y35" s="31">
        <v>7.005253940453926E-3</v>
      </c>
      <c r="Z35" s="31">
        <v>1.0302008336878258E-2</v>
      </c>
    </row>
    <row r="36" spans="15:26">
      <c r="O36" s="28" t="s">
        <v>623</v>
      </c>
      <c r="P36" s="28">
        <v>1</v>
      </c>
      <c r="Q36" s="28">
        <v>206.63830324666577</v>
      </c>
      <c r="R36" s="28">
        <v>206.63830324666577</v>
      </c>
      <c r="S36" s="28">
        <v>383.0540560226413</v>
      </c>
      <c r="T36" s="28">
        <v>1.1529266812611095E-6</v>
      </c>
    </row>
    <row r="37" spans="15:26">
      <c r="O37" s="28" t="s">
        <v>696</v>
      </c>
      <c r="P37" s="28">
        <v>6</v>
      </c>
      <c r="Q37" s="28">
        <v>3.2366967533342383</v>
      </c>
      <c r="R37" s="28">
        <v>0.53944945888903972</v>
      </c>
      <c r="S37" s="28"/>
      <c r="T37" s="28"/>
    </row>
    <row r="38" spans="15:26" ht="15" thickBot="1">
      <c r="O38" s="31" t="s">
        <v>12</v>
      </c>
      <c r="P38" s="31">
        <v>7</v>
      </c>
      <c r="Q38" s="31">
        <v>209.875</v>
      </c>
      <c r="R38" s="31"/>
      <c r="S38" s="31"/>
      <c r="T38" s="31"/>
      <c r="W38" t="s">
        <v>2816</v>
      </c>
    </row>
    <row r="39" spans="15:26" ht="15" thickBot="1">
      <c r="W39" s="257"/>
      <c r="X39" s="258" t="s">
        <v>142</v>
      </c>
      <c r="Y39" s="258" t="s">
        <v>801</v>
      </c>
      <c r="Z39" s="257"/>
    </row>
    <row r="40" spans="15:26">
      <c r="O40" s="27"/>
      <c r="P40" s="27" t="s">
        <v>699</v>
      </c>
      <c r="Q40" s="27" t="s">
        <v>77</v>
      </c>
      <c r="R40" s="27" t="s">
        <v>229</v>
      </c>
      <c r="S40" s="27" t="s">
        <v>367</v>
      </c>
      <c r="T40" s="27" t="s">
        <v>700</v>
      </c>
      <c r="U40" s="27" t="s">
        <v>701</v>
      </c>
      <c r="W40" s="257" t="s">
        <v>682</v>
      </c>
      <c r="X40" s="259">
        <f t="array" ref="X40:Y44">LINEST(C4:C11,A4:A11,TRUE,TRUE)</f>
        <v>0.23595581301360641</v>
      </c>
      <c r="Y40" s="259">
        <v>-3.1194261080425729</v>
      </c>
      <c r="Z40" s="257" t="s">
        <v>683</v>
      </c>
    </row>
    <row r="41" spans="15:26" ht="15">
      <c r="O41" s="28" t="s">
        <v>697</v>
      </c>
      <c r="P41" s="28">
        <v>-3.1194261080425729</v>
      </c>
      <c r="Q41" s="28">
        <v>0.74873040198404328</v>
      </c>
      <c r="R41" s="28">
        <v>-4.1662874911670187</v>
      </c>
      <c r="S41" s="28">
        <v>5.9028935064076244E-3</v>
      </c>
      <c r="T41" s="28">
        <v>-4.951503401969866</v>
      </c>
      <c r="U41" s="28">
        <v>-1.2873488141152802</v>
      </c>
      <c r="W41" s="257" t="s">
        <v>804</v>
      </c>
      <c r="X41" s="259">
        <v>1.2055928078301989E-2</v>
      </c>
      <c r="Y41" s="259">
        <v>0.74873040198404328</v>
      </c>
      <c r="Z41" s="257" t="s">
        <v>805</v>
      </c>
    </row>
    <row r="42" spans="15:26" ht="15.6" thickBot="1">
      <c r="O42" s="31" t="s">
        <v>848</v>
      </c>
      <c r="P42" s="31">
        <v>0.23595581301360641</v>
      </c>
      <c r="Q42" s="31">
        <v>1.2055928078301989E-2</v>
      </c>
      <c r="R42" s="31">
        <v>19.571766808917417</v>
      </c>
      <c r="S42" s="31">
        <v>1.1529266812611095E-6</v>
      </c>
      <c r="T42" s="31">
        <v>0.20645601972225788</v>
      </c>
      <c r="U42" s="31">
        <v>0.26545560630495496</v>
      </c>
      <c r="W42" s="257" t="s">
        <v>686</v>
      </c>
      <c r="X42" s="259">
        <v>0.98457797854277918</v>
      </c>
      <c r="Y42" s="259">
        <v>0.73447223153025987</v>
      </c>
      <c r="Z42" s="257" t="s">
        <v>806</v>
      </c>
    </row>
    <row r="43" spans="15:26" ht="15">
      <c r="W43" s="257" t="s">
        <v>388</v>
      </c>
      <c r="X43" s="259">
        <v>383.0540560226413</v>
      </c>
      <c r="Y43" s="259">
        <v>6</v>
      </c>
      <c r="Z43" s="257" t="s">
        <v>807</v>
      </c>
    </row>
    <row r="44" spans="15:26" ht="15">
      <c r="W44" s="257" t="s">
        <v>808</v>
      </c>
      <c r="X44" s="259">
        <v>206.63830324666577</v>
      </c>
      <c r="Y44" s="259">
        <v>3.2366967533342383</v>
      </c>
      <c r="Z44" s="257" t="s">
        <v>809</v>
      </c>
    </row>
  </sheetData>
  <mergeCells count="1">
    <mergeCell ref="E3:G3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sheetPr codeName="Sheet41"/>
  <dimension ref="A1:AB28"/>
  <sheetViews>
    <sheetView workbookViewId="0"/>
  </sheetViews>
  <sheetFormatPr defaultRowHeight="14.4"/>
  <cols>
    <col min="1" max="1" width="13.109375" style="25" customWidth="1"/>
    <col min="2" max="8" width="11.33203125" style="25" customWidth="1"/>
    <col min="9" max="9" width="12.109375" style="25" customWidth="1"/>
    <col min="10" max="10" width="11.33203125" style="25" customWidth="1"/>
    <col min="11" max="12" width="9.109375" style="25"/>
    <col min="13" max="20" width="10.33203125" style="25" customWidth="1"/>
    <col min="21" max="21" width="9.109375" style="25"/>
    <col min="22" max="22" width="19.44140625" style="25" customWidth="1"/>
    <col min="23" max="28" width="13.109375" style="25" customWidth="1"/>
    <col min="29" max="241" width="9.109375" style="25"/>
    <col min="242" max="242" width="15" style="25" customWidth="1"/>
    <col min="243" max="251" width="11.33203125" style="25" customWidth="1"/>
    <col min="252" max="497" width="9.109375" style="25"/>
    <col min="498" max="498" width="15" style="25" customWidth="1"/>
    <col min="499" max="507" width="11.33203125" style="25" customWidth="1"/>
    <col min="508" max="753" width="9.109375" style="25"/>
    <col min="754" max="754" width="15" style="25" customWidth="1"/>
    <col min="755" max="763" width="11.33203125" style="25" customWidth="1"/>
    <col min="764" max="1009" width="9.109375" style="25"/>
    <col min="1010" max="1010" width="15" style="25" customWidth="1"/>
    <col min="1011" max="1019" width="11.33203125" style="25" customWidth="1"/>
    <col min="1020" max="1265" width="9.109375" style="25"/>
    <col min="1266" max="1266" width="15" style="25" customWidth="1"/>
    <col min="1267" max="1275" width="11.33203125" style="25" customWidth="1"/>
    <col min="1276" max="1521" width="9.109375" style="25"/>
    <col min="1522" max="1522" width="15" style="25" customWidth="1"/>
    <col min="1523" max="1531" width="11.33203125" style="25" customWidth="1"/>
    <col min="1532" max="1777" width="9.109375" style="25"/>
    <col min="1778" max="1778" width="15" style="25" customWidth="1"/>
    <col min="1779" max="1787" width="11.33203125" style="25" customWidth="1"/>
    <col min="1788" max="2033" width="9.109375" style="25"/>
    <col min="2034" max="2034" width="15" style="25" customWidth="1"/>
    <col min="2035" max="2043" width="11.33203125" style="25" customWidth="1"/>
    <col min="2044" max="2289" width="9.109375" style="25"/>
    <col min="2290" max="2290" width="15" style="25" customWidth="1"/>
    <col min="2291" max="2299" width="11.33203125" style="25" customWidth="1"/>
    <col min="2300" max="2545" width="9.109375" style="25"/>
    <col min="2546" max="2546" width="15" style="25" customWidth="1"/>
    <col min="2547" max="2555" width="11.33203125" style="25" customWidth="1"/>
    <col min="2556" max="2801" width="9.109375" style="25"/>
    <col min="2802" max="2802" width="15" style="25" customWidth="1"/>
    <col min="2803" max="2811" width="11.33203125" style="25" customWidth="1"/>
    <col min="2812" max="3057" width="9.109375" style="25"/>
    <col min="3058" max="3058" width="15" style="25" customWidth="1"/>
    <col min="3059" max="3067" width="11.33203125" style="25" customWidth="1"/>
    <col min="3068" max="3313" width="9.109375" style="25"/>
    <col min="3314" max="3314" width="15" style="25" customWidth="1"/>
    <col min="3315" max="3323" width="11.33203125" style="25" customWidth="1"/>
    <col min="3324" max="3569" width="9.109375" style="25"/>
    <col min="3570" max="3570" width="15" style="25" customWidth="1"/>
    <col min="3571" max="3579" width="11.33203125" style="25" customWidth="1"/>
    <col min="3580" max="3825" width="9.109375" style="25"/>
    <col min="3826" max="3826" width="15" style="25" customWidth="1"/>
    <col min="3827" max="3835" width="11.33203125" style="25" customWidth="1"/>
    <col min="3836" max="4081" width="9.109375" style="25"/>
    <col min="4082" max="4082" width="15" style="25" customWidth="1"/>
    <col min="4083" max="4091" width="11.33203125" style="25" customWidth="1"/>
    <col min="4092" max="4337" width="9.109375" style="25"/>
    <col min="4338" max="4338" width="15" style="25" customWidth="1"/>
    <col min="4339" max="4347" width="11.33203125" style="25" customWidth="1"/>
    <col min="4348" max="4593" width="9.109375" style="25"/>
    <col min="4594" max="4594" width="15" style="25" customWidth="1"/>
    <col min="4595" max="4603" width="11.33203125" style="25" customWidth="1"/>
    <col min="4604" max="4849" width="9.109375" style="25"/>
    <col min="4850" max="4850" width="15" style="25" customWidth="1"/>
    <col min="4851" max="4859" width="11.33203125" style="25" customWidth="1"/>
    <col min="4860" max="5105" width="9.109375" style="25"/>
    <col min="5106" max="5106" width="15" style="25" customWidth="1"/>
    <col min="5107" max="5115" width="11.33203125" style="25" customWidth="1"/>
    <col min="5116" max="5361" width="9.109375" style="25"/>
    <col min="5362" max="5362" width="15" style="25" customWidth="1"/>
    <col min="5363" max="5371" width="11.33203125" style="25" customWidth="1"/>
    <col min="5372" max="5617" width="9.109375" style="25"/>
    <col min="5618" max="5618" width="15" style="25" customWidth="1"/>
    <col min="5619" max="5627" width="11.33203125" style="25" customWidth="1"/>
    <col min="5628" max="5873" width="9.109375" style="25"/>
    <col min="5874" max="5874" width="15" style="25" customWidth="1"/>
    <col min="5875" max="5883" width="11.33203125" style="25" customWidth="1"/>
    <col min="5884" max="6129" width="9.109375" style="25"/>
    <col min="6130" max="6130" width="15" style="25" customWidth="1"/>
    <col min="6131" max="6139" width="11.33203125" style="25" customWidth="1"/>
    <col min="6140" max="6385" width="9.109375" style="25"/>
    <col min="6386" max="6386" width="15" style="25" customWidth="1"/>
    <col min="6387" max="6395" width="11.33203125" style="25" customWidth="1"/>
    <col min="6396" max="6641" width="9.109375" style="25"/>
    <col min="6642" max="6642" width="15" style="25" customWidth="1"/>
    <col min="6643" max="6651" width="11.33203125" style="25" customWidth="1"/>
    <col min="6652" max="6897" width="9.109375" style="25"/>
    <col min="6898" max="6898" width="15" style="25" customWidth="1"/>
    <col min="6899" max="6907" width="11.33203125" style="25" customWidth="1"/>
    <col min="6908" max="7153" width="9.109375" style="25"/>
    <col min="7154" max="7154" width="15" style="25" customWidth="1"/>
    <col min="7155" max="7163" width="11.33203125" style="25" customWidth="1"/>
    <col min="7164" max="7409" width="9.109375" style="25"/>
    <col min="7410" max="7410" width="15" style="25" customWidth="1"/>
    <col min="7411" max="7419" width="11.33203125" style="25" customWidth="1"/>
    <col min="7420" max="7665" width="9.109375" style="25"/>
    <col min="7666" max="7666" width="15" style="25" customWidth="1"/>
    <col min="7667" max="7675" width="11.33203125" style="25" customWidth="1"/>
    <col min="7676" max="7921" width="9.109375" style="25"/>
    <col min="7922" max="7922" width="15" style="25" customWidth="1"/>
    <col min="7923" max="7931" width="11.33203125" style="25" customWidth="1"/>
    <col min="7932" max="8177" width="9.109375" style="25"/>
    <col min="8178" max="8178" width="15" style="25" customWidth="1"/>
    <col min="8179" max="8187" width="11.33203125" style="25" customWidth="1"/>
    <col min="8188" max="8433" width="9.109375" style="25"/>
    <col min="8434" max="8434" width="15" style="25" customWidth="1"/>
    <col min="8435" max="8443" width="11.33203125" style="25" customWidth="1"/>
    <col min="8444" max="8689" width="9.109375" style="25"/>
    <col min="8690" max="8690" width="15" style="25" customWidth="1"/>
    <col min="8691" max="8699" width="11.33203125" style="25" customWidth="1"/>
    <col min="8700" max="8945" width="9.109375" style="25"/>
    <col min="8946" max="8946" width="15" style="25" customWidth="1"/>
    <col min="8947" max="8955" width="11.33203125" style="25" customWidth="1"/>
    <col min="8956" max="9201" width="9.109375" style="25"/>
    <col min="9202" max="9202" width="15" style="25" customWidth="1"/>
    <col min="9203" max="9211" width="11.33203125" style="25" customWidth="1"/>
    <col min="9212" max="9457" width="9.109375" style="25"/>
    <col min="9458" max="9458" width="15" style="25" customWidth="1"/>
    <col min="9459" max="9467" width="11.33203125" style="25" customWidth="1"/>
    <col min="9468" max="9713" width="9.109375" style="25"/>
    <col min="9714" max="9714" width="15" style="25" customWidth="1"/>
    <col min="9715" max="9723" width="11.33203125" style="25" customWidth="1"/>
    <col min="9724" max="9969" width="9.109375" style="25"/>
    <col min="9970" max="9970" width="15" style="25" customWidth="1"/>
    <col min="9971" max="9979" width="11.33203125" style="25" customWidth="1"/>
    <col min="9980" max="10225" width="9.109375" style="25"/>
    <col min="10226" max="10226" width="15" style="25" customWidth="1"/>
    <col min="10227" max="10235" width="11.33203125" style="25" customWidth="1"/>
    <col min="10236" max="10481" width="9.109375" style="25"/>
    <col min="10482" max="10482" width="15" style="25" customWidth="1"/>
    <col min="10483" max="10491" width="11.33203125" style="25" customWidth="1"/>
    <col min="10492" max="10737" width="9.109375" style="25"/>
    <col min="10738" max="10738" width="15" style="25" customWidth="1"/>
    <col min="10739" max="10747" width="11.33203125" style="25" customWidth="1"/>
    <col min="10748" max="10993" width="9.109375" style="25"/>
    <col min="10994" max="10994" width="15" style="25" customWidth="1"/>
    <col min="10995" max="11003" width="11.33203125" style="25" customWidth="1"/>
    <col min="11004" max="11249" width="9.109375" style="25"/>
    <col min="11250" max="11250" width="15" style="25" customWidth="1"/>
    <col min="11251" max="11259" width="11.33203125" style="25" customWidth="1"/>
    <col min="11260" max="11505" width="9.109375" style="25"/>
    <col min="11506" max="11506" width="15" style="25" customWidth="1"/>
    <col min="11507" max="11515" width="11.33203125" style="25" customWidth="1"/>
    <col min="11516" max="11761" width="9.109375" style="25"/>
    <col min="11762" max="11762" width="15" style="25" customWidth="1"/>
    <col min="11763" max="11771" width="11.33203125" style="25" customWidth="1"/>
    <col min="11772" max="12017" width="9.109375" style="25"/>
    <col min="12018" max="12018" width="15" style="25" customWidth="1"/>
    <col min="12019" max="12027" width="11.33203125" style="25" customWidth="1"/>
    <col min="12028" max="12273" width="9.109375" style="25"/>
    <col min="12274" max="12274" width="15" style="25" customWidth="1"/>
    <col min="12275" max="12283" width="11.33203125" style="25" customWidth="1"/>
    <col min="12284" max="12529" width="9.109375" style="25"/>
    <col min="12530" max="12530" width="15" style="25" customWidth="1"/>
    <col min="12531" max="12539" width="11.33203125" style="25" customWidth="1"/>
    <col min="12540" max="12785" width="9.109375" style="25"/>
    <col min="12786" max="12786" width="15" style="25" customWidth="1"/>
    <col min="12787" max="12795" width="11.33203125" style="25" customWidth="1"/>
    <col min="12796" max="13041" width="9.109375" style="25"/>
    <col min="13042" max="13042" width="15" style="25" customWidth="1"/>
    <col min="13043" max="13051" width="11.33203125" style="25" customWidth="1"/>
    <col min="13052" max="13297" width="9.109375" style="25"/>
    <col min="13298" max="13298" width="15" style="25" customWidth="1"/>
    <col min="13299" max="13307" width="11.33203125" style="25" customWidth="1"/>
    <col min="13308" max="13553" width="9.109375" style="25"/>
    <col min="13554" max="13554" width="15" style="25" customWidth="1"/>
    <col min="13555" max="13563" width="11.33203125" style="25" customWidth="1"/>
    <col min="13564" max="13809" width="9.109375" style="25"/>
    <col min="13810" max="13810" width="15" style="25" customWidth="1"/>
    <col min="13811" max="13819" width="11.33203125" style="25" customWidth="1"/>
    <col min="13820" max="14065" width="9.109375" style="25"/>
    <col min="14066" max="14066" width="15" style="25" customWidth="1"/>
    <col min="14067" max="14075" width="11.33203125" style="25" customWidth="1"/>
    <col min="14076" max="14321" width="9.109375" style="25"/>
    <col min="14322" max="14322" width="15" style="25" customWidth="1"/>
    <col min="14323" max="14331" width="11.33203125" style="25" customWidth="1"/>
    <col min="14332" max="14577" width="9.109375" style="25"/>
    <col min="14578" max="14578" width="15" style="25" customWidth="1"/>
    <col min="14579" max="14587" width="11.33203125" style="25" customWidth="1"/>
    <col min="14588" max="14833" width="9.109375" style="25"/>
    <col min="14834" max="14834" width="15" style="25" customWidth="1"/>
    <col min="14835" max="14843" width="11.33203125" style="25" customWidth="1"/>
    <col min="14844" max="15089" width="9.109375" style="25"/>
    <col min="15090" max="15090" width="15" style="25" customWidth="1"/>
    <col min="15091" max="15099" width="11.33203125" style="25" customWidth="1"/>
    <col min="15100" max="15345" width="9.109375" style="25"/>
    <col min="15346" max="15346" width="15" style="25" customWidth="1"/>
    <col min="15347" max="15355" width="11.33203125" style="25" customWidth="1"/>
    <col min="15356" max="15601" width="9.109375" style="25"/>
    <col min="15602" max="15602" width="15" style="25" customWidth="1"/>
    <col min="15603" max="15611" width="11.33203125" style="25" customWidth="1"/>
    <col min="15612" max="15857" width="9.109375" style="25"/>
    <col min="15858" max="15858" width="15" style="25" customWidth="1"/>
    <col min="15859" max="15867" width="11.33203125" style="25" customWidth="1"/>
    <col min="15868" max="16113" width="9.109375" style="25"/>
    <col min="16114" max="16114" width="15" style="25" customWidth="1"/>
    <col min="16115" max="16123" width="11.33203125" style="25" customWidth="1"/>
    <col min="16124" max="16384" width="9.109375" style="25"/>
  </cols>
  <sheetData>
    <row r="1" spans="1:27">
      <c r="A1" s="1289" t="s">
        <v>2073</v>
      </c>
      <c r="B1" s="932"/>
      <c r="C1" s="932"/>
      <c r="D1" s="932"/>
      <c r="E1" s="932"/>
      <c r="F1" s="932"/>
      <c r="G1" s="932"/>
      <c r="H1" s="932"/>
      <c r="I1" s="932"/>
      <c r="J1" s="932"/>
      <c r="M1" s="25" t="s">
        <v>2078</v>
      </c>
    </row>
    <row r="2" spans="1:27">
      <c r="A2" s="932"/>
      <c r="B2" s="932"/>
      <c r="C2" s="932"/>
      <c r="D2" s="932"/>
      <c r="E2" s="932"/>
      <c r="F2" s="932"/>
      <c r="G2" s="932"/>
      <c r="H2" s="932"/>
      <c r="I2" s="932"/>
      <c r="J2" s="932"/>
    </row>
    <row r="3" spans="1:27">
      <c r="A3" s="982"/>
      <c r="B3" s="983" t="s">
        <v>416</v>
      </c>
      <c r="C3" s="983" t="s">
        <v>417</v>
      </c>
      <c r="D3" s="983" t="s">
        <v>418</v>
      </c>
      <c r="E3" s="983" t="s">
        <v>419</v>
      </c>
      <c r="F3" s="983" t="s">
        <v>420</v>
      </c>
      <c r="G3" s="983" t="s">
        <v>421</v>
      </c>
      <c r="H3" s="983" t="s">
        <v>422</v>
      </c>
      <c r="I3" s="983" t="s">
        <v>423</v>
      </c>
      <c r="J3" s="983" t="s">
        <v>23</v>
      </c>
      <c r="M3" s="983" t="s">
        <v>417</v>
      </c>
      <c r="N3" s="983" t="s">
        <v>418</v>
      </c>
      <c r="O3" s="983" t="s">
        <v>420</v>
      </c>
      <c r="P3" s="983" t="s">
        <v>421</v>
      </c>
      <c r="Q3" s="983" t="s">
        <v>422</v>
      </c>
      <c r="R3" s="983" t="s">
        <v>423</v>
      </c>
      <c r="S3" s="983" t="s">
        <v>23</v>
      </c>
      <c r="T3" s="983" t="s">
        <v>419</v>
      </c>
      <c r="V3" s="25" t="s">
        <v>691</v>
      </c>
    </row>
    <row r="4" spans="1:27" ht="15" thickBot="1">
      <c r="A4" s="932" t="s">
        <v>424</v>
      </c>
      <c r="B4" s="984">
        <v>15.7</v>
      </c>
      <c r="C4" s="985">
        <v>9</v>
      </c>
      <c r="D4" s="986">
        <v>71.027177760140717</v>
      </c>
      <c r="E4" s="987">
        <v>448</v>
      </c>
      <c r="F4" s="988">
        <v>218.17340830567619</v>
      </c>
      <c r="G4" s="989">
        <v>1.81</v>
      </c>
      <c r="H4" s="990">
        <v>22</v>
      </c>
      <c r="I4" s="991">
        <v>5</v>
      </c>
      <c r="J4" s="992">
        <v>42666</v>
      </c>
      <c r="M4" s="985">
        <v>9</v>
      </c>
      <c r="N4" s="986">
        <v>71.027177760140717</v>
      </c>
      <c r="O4" s="988">
        <v>218.17340830567619</v>
      </c>
      <c r="P4" s="989">
        <v>1.81</v>
      </c>
      <c r="Q4" s="990">
        <v>22</v>
      </c>
      <c r="R4" s="991">
        <v>5</v>
      </c>
      <c r="S4" s="992">
        <v>42666</v>
      </c>
      <c r="T4" s="987">
        <v>448</v>
      </c>
    </row>
    <row r="5" spans="1:27">
      <c r="A5" s="932" t="s">
        <v>425</v>
      </c>
      <c r="B5" s="984">
        <v>8.4</v>
      </c>
      <c r="C5" s="985">
        <v>6.9</v>
      </c>
      <c r="D5" s="986">
        <v>70.62318863808899</v>
      </c>
      <c r="E5" s="987">
        <v>661.2</v>
      </c>
      <c r="F5" s="988">
        <v>228.45028196578826</v>
      </c>
      <c r="G5" s="989">
        <v>1.63</v>
      </c>
      <c r="H5" s="990">
        <v>27.3</v>
      </c>
      <c r="I5" s="991">
        <v>6.7</v>
      </c>
      <c r="J5" s="992">
        <v>68460</v>
      </c>
      <c r="M5" s="985">
        <v>6.9</v>
      </c>
      <c r="N5" s="986">
        <v>70.62318863808899</v>
      </c>
      <c r="O5" s="988">
        <v>228.45028196578826</v>
      </c>
      <c r="P5" s="989">
        <v>1.63</v>
      </c>
      <c r="Q5" s="990">
        <v>27.3</v>
      </c>
      <c r="R5" s="991">
        <v>6.7</v>
      </c>
      <c r="S5" s="992">
        <v>68460</v>
      </c>
      <c r="T5" s="987">
        <v>661.2</v>
      </c>
      <c r="V5" s="35" t="s">
        <v>692</v>
      </c>
      <c r="W5" s="35"/>
    </row>
    <row r="6" spans="1:27">
      <c r="A6" s="932" t="s">
        <v>426</v>
      </c>
      <c r="B6" s="984">
        <v>14.7</v>
      </c>
      <c r="C6" s="985">
        <v>6.4</v>
      </c>
      <c r="D6" s="986">
        <v>86.505696765320337</v>
      </c>
      <c r="E6" s="987">
        <v>482.7</v>
      </c>
      <c r="F6" s="988">
        <v>209.66657175716827</v>
      </c>
      <c r="G6" s="989">
        <v>1.69</v>
      </c>
      <c r="H6" s="990">
        <v>25.1</v>
      </c>
      <c r="I6" s="991">
        <v>5.5</v>
      </c>
      <c r="J6" s="992">
        <v>50958</v>
      </c>
      <c r="M6" s="985">
        <v>6.4</v>
      </c>
      <c r="N6" s="986">
        <v>86.505696765320337</v>
      </c>
      <c r="O6" s="988">
        <v>209.66657175716827</v>
      </c>
      <c r="P6" s="989">
        <v>1.69</v>
      </c>
      <c r="Q6" s="990">
        <v>25.1</v>
      </c>
      <c r="R6" s="991">
        <v>5.5</v>
      </c>
      <c r="S6" s="992">
        <v>50958</v>
      </c>
      <c r="T6" s="987">
        <v>482.7</v>
      </c>
      <c r="V6" s="899" t="s">
        <v>693</v>
      </c>
      <c r="W6" s="899">
        <v>0.71976617776723262</v>
      </c>
    </row>
    <row r="7" spans="1:27">
      <c r="A7" s="932" t="s">
        <v>427</v>
      </c>
      <c r="B7" s="984">
        <v>17.3</v>
      </c>
      <c r="C7" s="985">
        <v>8.5</v>
      </c>
      <c r="D7" s="986">
        <v>80.783955956979611</v>
      </c>
      <c r="E7" s="987">
        <v>529.4</v>
      </c>
      <c r="F7" s="988">
        <v>203.42285988234826</v>
      </c>
      <c r="G7" s="989">
        <v>1.96</v>
      </c>
      <c r="H7" s="990">
        <v>18.8</v>
      </c>
      <c r="I7" s="991">
        <v>5.0999999999999996</v>
      </c>
      <c r="J7" s="992">
        <v>38815</v>
      </c>
      <c r="M7" s="985">
        <v>8.5</v>
      </c>
      <c r="N7" s="986">
        <v>80.783955956979611</v>
      </c>
      <c r="O7" s="988">
        <v>203.42285988234826</v>
      </c>
      <c r="P7" s="989">
        <v>1.96</v>
      </c>
      <c r="Q7" s="990">
        <v>18.8</v>
      </c>
      <c r="R7" s="991">
        <v>5.0999999999999996</v>
      </c>
      <c r="S7" s="992">
        <v>38815</v>
      </c>
      <c r="T7" s="987">
        <v>529.4</v>
      </c>
      <c r="V7" s="899" t="s">
        <v>686</v>
      </c>
      <c r="W7" s="899">
        <v>0.51806335065765152</v>
      </c>
    </row>
    <row r="8" spans="1:27">
      <c r="A8" s="932" t="s">
        <v>428</v>
      </c>
      <c r="B8" s="984">
        <v>13.3</v>
      </c>
      <c r="C8" s="985">
        <v>5</v>
      </c>
      <c r="D8" s="986">
        <v>76.640052174481781</v>
      </c>
      <c r="E8" s="987">
        <v>522.6</v>
      </c>
      <c r="F8" s="988">
        <v>268.69056049813605</v>
      </c>
      <c r="G8" s="989">
        <v>1.21</v>
      </c>
      <c r="H8" s="990">
        <v>29.6</v>
      </c>
      <c r="I8" s="991">
        <v>7.2</v>
      </c>
      <c r="J8" s="992">
        <v>61021</v>
      </c>
      <c r="M8" s="985">
        <v>5</v>
      </c>
      <c r="N8" s="986">
        <v>76.640052174481781</v>
      </c>
      <c r="O8" s="988">
        <v>268.69056049813605</v>
      </c>
      <c r="P8" s="989">
        <v>1.21</v>
      </c>
      <c r="Q8" s="990">
        <v>29.6</v>
      </c>
      <c r="R8" s="991">
        <v>7.2</v>
      </c>
      <c r="S8" s="992">
        <v>61021</v>
      </c>
      <c r="T8" s="987">
        <v>522.6</v>
      </c>
      <c r="V8" s="899" t="s">
        <v>694</v>
      </c>
      <c r="W8" s="899">
        <v>-0.32532578569145842</v>
      </c>
    </row>
    <row r="9" spans="1:27">
      <c r="A9" s="932" t="s">
        <v>429</v>
      </c>
      <c r="B9" s="984">
        <v>11.4</v>
      </c>
      <c r="C9" s="985">
        <v>5.7</v>
      </c>
      <c r="D9" s="986">
        <v>89.734092175332663</v>
      </c>
      <c r="E9" s="987">
        <v>347.8</v>
      </c>
      <c r="F9" s="988">
        <v>259.68608874672964</v>
      </c>
      <c r="G9" s="989">
        <v>1.1399999999999999</v>
      </c>
      <c r="H9" s="990">
        <v>35.6</v>
      </c>
      <c r="I9" s="991">
        <v>4.9000000000000004</v>
      </c>
      <c r="J9" s="992">
        <v>56993</v>
      </c>
      <c r="M9" s="985">
        <v>5.7</v>
      </c>
      <c r="N9" s="986">
        <v>89.734092175332663</v>
      </c>
      <c r="O9" s="988">
        <v>259.68608874672964</v>
      </c>
      <c r="P9" s="989">
        <v>1.1399999999999999</v>
      </c>
      <c r="Q9" s="990">
        <v>35.6</v>
      </c>
      <c r="R9" s="991">
        <v>4.9000000000000004</v>
      </c>
      <c r="S9" s="992">
        <v>56993</v>
      </c>
      <c r="T9" s="987">
        <v>347.8</v>
      </c>
      <c r="V9" s="899" t="s">
        <v>77</v>
      </c>
      <c r="W9" s="899">
        <v>192.83508992801839</v>
      </c>
    </row>
    <row r="10" spans="1:27" ht="15" thickBot="1">
      <c r="A10" s="932" t="s">
        <v>430</v>
      </c>
      <c r="B10" s="984">
        <v>9.3000000000000007</v>
      </c>
      <c r="C10" s="985">
        <v>6.2</v>
      </c>
      <c r="D10" s="986">
        <v>84.278652322083644</v>
      </c>
      <c r="E10" s="987">
        <v>256</v>
      </c>
      <c r="F10" s="988">
        <v>376.3752669155395</v>
      </c>
      <c r="G10" s="989">
        <v>0.86</v>
      </c>
      <c r="H10" s="990">
        <v>35.6</v>
      </c>
      <c r="I10" s="991">
        <v>5.7</v>
      </c>
      <c r="J10" s="992">
        <v>68595</v>
      </c>
      <c r="M10" s="985">
        <v>6.2</v>
      </c>
      <c r="N10" s="986">
        <v>84.278652322083644</v>
      </c>
      <c r="O10" s="988">
        <v>376.3752669155395</v>
      </c>
      <c r="P10" s="989">
        <v>0.86</v>
      </c>
      <c r="Q10" s="990">
        <v>35.6</v>
      </c>
      <c r="R10" s="991">
        <v>5.7</v>
      </c>
      <c r="S10" s="992">
        <v>68595</v>
      </c>
      <c r="T10" s="987">
        <v>256</v>
      </c>
      <c r="V10" s="903" t="s">
        <v>224</v>
      </c>
      <c r="W10" s="903">
        <v>12</v>
      </c>
    </row>
    <row r="11" spans="1:27">
      <c r="A11" s="932" t="s">
        <v>431</v>
      </c>
      <c r="B11" s="993">
        <v>10</v>
      </c>
      <c r="C11" s="985">
        <v>8.3000000000000007</v>
      </c>
      <c r="D11" s="986">
        <v>74.266056727126113</v>
      </c>
      <c r="E11" s="987">
        <v>689.2</v>
      </c>
      <c r="F11" s="988">
        <v>250.94175668510928</v>
      </c>
      <c r="G11" s="989">
        <v>1.23</v>
      </c>
      <c r="H11" s="990">
        <v>27.5</v>
      </c>
      <c r="I11" s="991">
        <v>4.8</v>
      </c>
      <c r="J11" s="992">
        <v>57989</v>
      </c>
      <c r="M11" s="985">
        <v>8.3000000000000007</v>
      </c>
      <c r="N11" s="986">
        <v>74.266056727126113</v>
      </c>
      <c r="O11" s="988">
        <v>250.94175668510928</v>
      </c>
      <c r="P11" s="989">
        <v>1.23</v>
      </c>
      <c r="Q11" s="990">
        <v>27.5</v>
      </c>
      <c r="R11" s="991">
        <v>4.8</v>
      </c>
      <c r="S11" s="992">
        <v>57989</v>
      </c>
      <c r="T11" s="987">
        <v>689.2</v>
      </c>
    </row>
    <row r="12" spans="1:27" ht="15" thickBot="1">
      <c r="A12" s="932" t="s">
        <v>432</v>
      </c>
      <c r="B12" s="984">
        <v>13.2</v>
      </c>
      <c r="C12" s="985">
        <v>7.3</v>
      </c>
      <c r="D12" s="986">
        <v>79.811068541941054</v>
      </c>
      <c r="E12" s="987">
        <v>722.6</v>
      </c>
      <c r="F12" s="988">
        <v>247.86359820579941</v>
      </c>
      <c r="G12" s="989">
        <v>1.56</v>
      </c>
      <c r="H12" s="990">
        <v>25.8</v>
      </c>
      <c r="I12" s="991">
        <v>6.2</v>
      </c>
      <c r="J12" s="992">
        <v>47778</v>
      </c>
      <c r="M12" s="985">
        <v>7.3</v>
      </c>
      <c r="N12" s="986">
        <v>79.811068541941054</v>
      </c>
      <c r="O12" s="988">
        <v>247.86359820579941</v>
      </c>
      <c r="P12" s="989">
        <v>1.56</v>
      </c>
      <c r="Q12" s="990">
        <v>25.8</v>
      </c>
      <c r="R12" s="991">
        <v>6.2</v>
      </c>
      <c r="S12" s="992">
        <v>47778</v>
      </c>
      <c r="T12" s="987">
        <v>722.6</v>
      </c>
      <c r="V12" s="25" t="s">
        <v>695</v>
      </c>
    </row>
    <row r="13" spans="1:27">
      <c r="A13" s="932" t="s">
        <v>433</v>
      </c>
      <c r="B13" s="984">
        <v>14.7</v>
      </c>
      <c r="C13" s="985">
        <v>8.1</v>
      </c>
      <c r="D13" s="986">
        <v>65.387718279566343</v>
      </c>
      <c r="E13" s="987">
        <v>493.2</v>
      </c>
      <c r="F13" s="988">
        <v>217.44570184044454</v>
      </c>
      <c r="G13" s="989">
        <v>1.46</v>
      </c>
      <c r="H13" s="990">
        <v>27.5</v>
      </c>
      <c r="I13" s="991">
        <v>6.2</v>
      </c>
      <c r="J13" s="992">
        <v>50861</v>
      </c>
      <c r="M13" s="985">
        <v>8.1</v>
      </c>
      <c r="N13" s="986">
        <v>65.387718279566343</v>
      </c>
      <c r="O13" s="988">
        <v>217.44570184044454</v>
      </c>
      <c r="P13" s="989">
        <v>1.46</v>
      </c>
      <c r="Q13" s="990">
        <v>27.5</v>
      </c>
      <c r="R13" s="991">
        <v>6.2</v>
      </c>
      <c r="S13" s="992">
        <v>50861</v>
      </c>
      <c r="T13" s="987">
        <v>493.2</v>
      </c>
      <c r="V13" s="1286"/>
      <c r="W13" s="1286" t="s">
        <v>186</v>
      </c>
      <c r="X13" s="1286" t="s">
        <v>578</v>
      </c>
      <c r="Y13" s="1286" t="s">
        <v>641</v>
      </c>
      <c r="Z13" s="1286" t="s">
        <v>388</v>
      </c>
      <c r="AA13" s="1286" t="s">
        <v>698</v>
      </c>
    </row>
    <row r="14" spans="1:27">
      <c r="A14" s="932" t="s">
        <v>434</v>
      </c>
      <c r="B14" s="984">
        <v>9.1</v>
      </c>
      <c r="C14" s="985">
        <v>5.6</v>
      </c>
      <c r="D14" s="986">
        <v>29.667333748383395</v>
      </c>
      <c r="E14" s="987">
        <v>272.8</v>
      </c>
      <c r="F14" s="988">
        <v>316.98289278791503</v>
      </c>
      <c r="G14" s="989">
        <v>1.33</v>
      </c>
      <c r="H14" s="990">
        <v>29.1</v>
      </c>
      <c r="I14" s="991">
        <v>3.9</v>
      </c>
      <c r="J14" s="992">
        <v>67214</v>
      </c>
      <c r="M14" s="985">
        <v>5.6</v>
      </c>
      <c r="N14" s="986">
        <v>29.667333748383395</v>
      </c>
      <c r="O14" s="988">
        <v>316.98289278791503</v>
      </c>
      <c r="P14" s="989">
        <v>1.33</v>
      </c>
      <c r="Q14" s="990">
        <v>29.1</v>
      </c>
      <c r="R14" s="991">
        <v>3.9</v>
      </c>
      <c r="S14" s="992">
        <v>67214</v>
      </c>
      <c r="T14" s="987">
        <v>272.8</v>
      </c>
      <c r="V14" s="899" t="s">
        <v>623</v>
      </c>
      <c r="W14" s="899">
        <v>7</v>
      </c>
      <c r="X14" s="899">
        <v>159891.37486981228</v>
      </c>
      <c r="Y14" s="899">
        <v>22841.624981401754</v>
      </c>
      <c r="Z14" s="899">
        <v>0.61426372279379948</v>
      </c>
      <c r="AA14" s="899">
        <v>0.73111172010500081</v>
      </c>
    </row>
    <row r="15" spans="1:27">
      <c r="A15" s="1290" t="s">
        <v>435</v>
      </c>
      <c r="B15" s="1291">
        <v>12.6</v>
      </c>
      <c r="C15" s="1292">
        <v>6.8</v>
      </c>
      <c r="D15" s="1293">
        <v>94.600660447193093</v>
      </c>
      <c r="E15" s="1294">
        <v>239.4</v>
      </c>
      <c r="F15" s="1295">
        <v>168.83390313104681</v>
      </c>
      <c r="G15" s="1296">
        <v>1.6</v>
      </c>
      <c r="H15" s="1297">
        <v>24</v>
      </c>
      <c r="I15" s="1298">
        <v>4.9000000000000004</v>
      </c>
      <c r="J15" s="1299">
        <v>47576</v>
      </c>
      <c r="M15" s="1292">
        <v>6.8</v>
      </c>
      <c r="N15" s="1293">
        <v>94.600660447193093</v>
      </c>
      <c r="O15" s="1295">
        <v>168.83390313104681</v>
      </c>
      <c r="P15" s="1296">
        <v>1.6</v>
      </c>
      <c r="Q15" s="1297">
        <v>24</v>
      </c>
      <c r="R15" s="1298">
        <v>4.9000000000000004</v>
      </c>
      <c r="S15" s="1299">
        <v>47576</v>
      </c>
      <c r="T15" s="1294">
        <v>239.4</v>
      </c>
      <c r="V15" s="899" t="s">
        <v>696</v>
      </c>
      <c r="W15" s="899">
        <v>4</v>
      </c>
      <c r="X15" s="899">
        <v>148741.48763018777</v>
      </c>
      <c r="Y15" s="899">
        <v>37185.371907546942</v>
      </c>
      <c r="Z15" s="899"/>
      <c r="AA15" s="899"/>
    </row>
    <row r="16" spans="1:27" ht="15" thickBot="1">
      <c r="A16" s="98"/>
      <c r="B16" s="984"/>
      <c r="C16" s="985"/>
      <c r="D16" s="994"/>
      <c r="E16" s="987"/>
      <c r="F16" s="988"/>
      <c r="G16" s="995"/>
      <c r="H16" s="990"/>
      <c r="I16" s="996"/>
      <c r="J16" s="997"/>
      <c r="V16" s="903" t="s">
        <v>12</v>
      </c>
      <c r="W16" s="903">
        <v>11</v>
      </c>
      <c r="X16" s="903">
        <v>308632.86250000005</v>
      </c>
      <c r="Y16" s="903"/>
      <c r="Z16" s="903"/>
      <c r="AA16" s="903"/>
    </row>
    <row r="17" spans="1:28" ht="15" thickBot="1">
      <c r="A17" s="932" t="s">
        <v>966</v>
      </c>
      <c r="B17" s="932"/>
      <c r="C17" s="932">
        <v>1</v>
      </c>
      <c r="D17" s="932">
        <f>C17+1</f>
        <v>2</v>
      </c>
      <c r="E17" s="932">
        <f t="shared" ref="E17:J17" si="0">D17+1</f>
        <v>3</v>
      </c>
      <c r="F17" s="932">
        <f t="shared" si="0"/>
        <v>4</v>
      </c>
      <c r="G17" s="932">
        <f t="shared" si="0"/>
        <v>5</v>
      </c>
      <c r="H17" s="932">
        <f t="shared" si="0"/>
        <v>6</v>
      </c>
      <c r="I17" s="932">
        <f t="shared" si="0"/>
        <v>7</v>
      </c>
      <c r="J17" s="932">
        <f t="shared" si="0"/>
        <v>8</v>
      </c>
    </row>
    <row r="18" spans="1:28">
      <c r="A18" s="932" t="s">
        <v>2076</v>
      </c>
      <c r="B18" s="932"/>
      <c r="C18" s="1300" t="str">
        <f>C3</f>
        <v>Infant Mort</v>
      </c>
      <c r="D18" s="1300" t="str">
        <f t="shared" ref="D18:J18" si="1">D3</f>
        <v>White</v>
      </c>
      <c r="E18" s="1300" t="str">
        <f t="shared" si="1"/>
        <v>Crime</v>
      </c>
      <c r="F18" s="1300" t="str">
        <f t="shared" si="1"/>
        <v>Doctors</v>
      </c>
      <c r="G18" s="1300" t="str">
        <f t="shared" si="1"/>
        <v>Traf Deaths</v>
      </c>
      <c r="H18" s="1300" t="str">
        <f t="shared" si="1"/>
        <v>University</v>
      </c>
      <c r="I18" s="1300" t="str">
        <f t="shared" si="1"/>
        <v>Unemployed</v>
      </c>
      <c r="J18" s="1300" t="str">
        <f t="shared" si="1"/>
        <v>Income</v>
      </c>
      <c r="V18" s="1286"/>
      <c r="W18" s="1286" t="s">
        <v>699</v>
      </c>
      <c r="X18" s="1286" t="s">
        <v>77</v>
      </c>
      <c r="Y18" s="1286" t="s">
        <v>229</v>
      </c>
      <c r="Z18" s="1286" t="s">
        <v>367</v>
      </c>
      <c r="AA18" s="1286" t="s">
        <v>700</v>
      </c>
      <c r="AB18" s="1286" t="s">
        <v>701</v>
      </c>
    </row>
    <row r="19" spans="1:28">
      <c r="A19" s="932" t="s">
        <v>2074</v>
      </c>
      <c r="B19" s="932"/>
      <c r="C19" s="1301" t="e">
        <f ca="1">[1]!TOLERANCE($C$4:$J$15,C17)</f>
        <v>#NAME?</v>
      </c>
      <c r="D19" s="1302" t="e">
        <f ca="1">[1]!TOLERANCE($C$4:$J$15,D17)</f>
        <v>#NAME?</v>
      </c>
      <c r="E19" s="1302" t="e">
        <f ca="1">[1]!TOLERANCE($C$4:$J$15,E17)</f>
        <v>#NAME?</v>
      </c>
      <c r="F19" s="1302" t="e">
        <f ca="1">[1]!TOLERANCE($C$4:$J$15,F17)</f>
        <v>#NAME?</v>
      </c>
      <c r="G19" s="1302" t="e">
        <f ca="1">[1]!TOLERANCE($C$4:$J$15,G17)</f>
        <v>#NAME?</v>
      </c>
      <c r="H19" s="1302" t="e">
        <f ca="1">[1]!TOLERANCE($C$4:$J$15,H17)</f>
        <v>#NAME?</v>
      </c>
      <c r="I19" s="1302" t="e">
        <f ca="1">[1]!TOLERANCE($C$4:$J$15,I17)</f>
        <v>#NAME?</v>
      </c>
      <c r="J19" s="1303" t="e">
        <f ca="1">[1]!TOLERANCE($C$4:$J$15,J17)</f>
        <v>#NAME?</v>
      </c>
      <c r="V19" s="899" t="s">
        <v>697</v>
      </c>
      <c r="W19" s="899">
        <v>-374.55491616671168</v>
      </c>
      <c r="X19" s="899">
        <v>2180.1320240232571</v>
      </c>
      <c r="Y19" s="899">
        <v>-0.17180377703709013</v>
      </c>
      <c r="Z19" s="899">
        <v>0.87193342814591435</v>
      </c>
      <c r="AA19" s="899">
        <v>-6427.5718029510417</v>
      </c>
      <c r="AB19" s="899">
        <v>5678.461970617619</v>
      </c>
    </row>
    <row r="20" spans="1:28">
      <c r="A20" s="932" t="s">
        <v>2075</v>
      </c>
      <c r="B20" s="932"/>
      <c r="C20" s="1304" t="e">
        <f ca="1">[1]!VIF($C$4:$J$15,C17)</f>
        <v>#NAME?</v>
      </c>
      <c r="D20" s="1290" t="e">
        <f ca="1">[1]!VIF($C$4:$J$15,D17)</f>
        <v>#NAME?</v>
      </c>
      <c r="E20" s="1290" t="e">
        <f ca="1">[1]!VIF($C$4:$J$15,E17)</f>
        <v>#NAME?</v>
      </c>
      <c r="F20" s="1290" t="e">
        <f ca="1">[1]!VIF($C$4:$J$15,F17)</f>
        <v>#NAME?</v>
      </c>
      <c r="G20" s="1290" t="e">
        <f ca="1">[1]!VIF($C$4:$J$15,G17)</f>
        <v>#NAME?</v>
      </c>
      <c r="H20" s="1290" t="e">
        <f ca="1">[1]!VIF($C$4:$J$15,H17)</f>
        <v>#NAME?</v>
      </c>
      <c r="I20" s="1290" t="e">
        <f ca="1">[1]!VIF($C$4:$J$15,I17)</f>
        <v>#NAME?</v>
      </c>
      <c r="J20" s="1305" t="e">
        <f ca="1">[1]!VIF($C$4:$J$15,J17)</f>
        <v>#NAME?</v>
      </c>
      <c r="V20" s="899" t="s">
        <v>417</v>
      </c>
      <c r="W20" s="899">
        <v>65.758997470819949</v>
      </c>
      <c r="X20" s="899">
        <v>65.324211973242114</v>
      </c>
      <c r="Y20" s="899">
        <v>1.0066558093001707</v>
      </c>
      <c r="Z20" s="899">
        <v>0.37105296163684931</v>
      </c>
      <c r="AA20" s="899">
        <v>-115.61009111319122</v>
      </c>
      <c r="AB20" s="899">
        <v>247.1280860548311</v>
      </c>
    </row>
    <row r="21" spans="1:28">
      <c r="A21" s="932"/>
      <c r="B21" s="932"/>
      <c r="C21" s="932"/>
      <c r="D21" s="932"/>
      <c r="E21" s="932"/>
      <c r="F21" s="932"/>
      <c r="G21" s="932"/>
      <c r="H21" s="932"/>
      <c r="I21" s="932"/>
      <c r="J21" s="932"/>
      <c r="V21" s="899" t="s">
        <v>418</v>
      </c>
      <c r="W21" s="899">
        <v>-1.0926639698857727</v>
      </c>
      <c r="X21" s="899">
        <v>4.9989674664258041</v>
      </c>
      <c r="Y21" s="899">
        <v>-0.2185779317877844</v>
      </c>
      <c r="Z21" s="899">
        <v>0.83767804111203337</v>
      </c>
      <c r="AA21" s="899">
        <v>-14.972022723086711</v>
      </c>
      <c r="AB21" s="899">
        <v>12.786694783315165</v>
      </c>
    </row>
    <row r="22" spans="1:28">
      <c r="A22" s="932" t="s">
        <v>2077</v>
      </c>
      <c r="B22" s="932"/>
      <c r="C22" s="1306" t="e">
        <f ca="1">[1]!RSquare(D4:J15,C4:C15)</f>
        <v>#NAME?</v>
      </c>
      <c r="D22" s="932"/>
      <c r="E22" s="1306">
        <f>W7</f>
        <v>0.51806335065765152</v>
      </c>
      <c r="F22" s="932"/>
      <c r="G22" s="932"/>
      <c r="H22" s="932"/>
      <c r="I22" s="932"/>
      <c r="J22" s="932"/>
      <c r="V22" s="899" t="s">
        <v>420</v>
      </c>
      <c r="W22" s="899">
        <v>-0.46501337426361106</v>
      </c>
      <c r="X22" s="899">
        <v>2.0403688569738496</v>
      </c>
      <c r="Y22" s="899">
        <v>-0.22790652419253765</v>
      </c>
      <c r="Z22" s="899">
        <v>0.83089488677879719</v>
      </c>
      <c r="AA22" s="899">
        <v>-6.129985500006673</v>
      </c>
      <c r="AB22" s="899">
        <v>5.1999587514794507</v>
      </c>
    </row>
    <row r="23" spans="1:28">
      <c r="A23" s="932" t="s">
        <v>2074</v>
      </c>
      <c r="B23" s="932"/>
      <c r="C23" s="1307" t="e">
        <f ca="1">1-C22</f>
        <v>#NAME?</v>
      </c>
      <c r="D23" s="932"/>
      <c r="E23" s="1307">
        <f>1-E22</f>
        <v>0.48193664934234848</v>
      </c>
      <c r="F23" s="932"/>
      <c r="G23" s="932"/>
      <c r="H23" s="932"/>
      <c r="I23" s="932"/>
      <c r="J23" s="932"/>
      <c r="V23" s="899" t="s">
        <v>421</v>
      </c>
      <c r="W23" s="899">
        <v>-26.694848263368264</v>
      </c>
      <c r="X23" s="899">
        <v>574.84205509034223</v>
      </c>
      <c r="Y23" s="899">
        <v>-4.6438579131397928E-2</v>
      </c>
      <c r="Z23" s="899">
        <v>0.9651867047248367</v>
      </c>
      <c r="AA23" s="899">
        <v>-1622.7122583807891</v>
      </c>
      <c r="AB23" s="899">
        <v>1569.3225618540528</v>
      </c>
    </row>
    <row r="24" spans="1:28">
      <c r="A24" s="932" t="s">
        <v>2075</v>
      </c>
      <c r="B24" s="932"/>
      <c r="C24" s="1308" t="e">
        <f ca="1">1/C23</f>
        <v>#NAME?</v>
      </c>
      <c r="D24" s="932"/>
      <c r="E24" s="1308">
        <f>1/E23</f>
        <v>2.0749615148891492</v>
      </c>
      <c r="F24" s="932"/>
      <c r="G24" s="932"/>
      <c r="H24" s="932"/>
      <c r="I24" s="932"/>
      <c r="J24" s="932"/>
      <c r="V24" s="899" t="s">
        <v>422</v>
      </c>
      <c r="W24" s="899">
        <v>-5.8433433693167975</v>
      </c>
      <c r="X24" s="899">
        <v>36.904815880210677</v>
      </c>
      <c r="Y24" s="899">
        <v>-0.15833552423845448</v>
      </c>
      <c r="Z24" s="899">
        <v>0.88186453570375911</v>
      </c>
      <c r="AA24" s="899">
        <v>-108.30753877815353</v>
      </c>
      <c r="AB24" s="899">
        <v>96.620852039519932</v>
      </c>
    </row>
    <row r="25" spans="1:28">
      <c r="A25" s="932"/>
      <c r="B25" s="932"/>
      <c r="C25" s="932"/>
      <c r="D25" s="932"/>
      <c r="E25" s="932"/>
      <c r="F25" s="932"/>
      <c r="G25" s="932"/>
      <c r="H25" s="932"/>
      <c r="I25" s="932"/>
      <c r="J25" s="932"/>
      <c r="V25" s="899" t="s">
        <v>423</v>
      </c>
      <c r="W25" s="899">
        <v>101.55363179997391</v>
      </c>
      <c r="X25" s="899">
        <v>70.33616028795899</v>
      </c>
      <c r="Y25" s="899">
        <v>1.4438324666033713</v>
      </c>
      <c r="Z25" s="899">
        <v>0.22227778074062871</v>
      </c>
      <c r="AA25" s="899">
        <v>-93.730856149937239</v>
      </c>
      <c r="AB25" s="899">
        <v>296.8381197498851</v>
      </c>
    </row>
    <row r="26" spans="1:28" ht="15" thickBot="1">
      <c r="A26" s="932"/>
      <c r="B26" s="932"/>
      <c r="C26" s="932"/>
      <c r="D26" s="932"/>
      <c r="E26" s="932"/>
      <c r="F26" s="932"/>
      <c r="G26" s="932"/>
      <c r="H26" s="932"/>
      <c r="I26" s="932"/>
      <c r="J26" s="932"/>
      <c r="V26" s="903" t="s">
        <v>23</v>
      </c>
      <c r="W26" s="903">
        <v>4.0754607444260724E-3</v>
      </c>
      <c r="X26" s="903">
        <v>1.1997111298070486E-2</v>
      </c>
      <c r="Y26" s="903">
        <v>0.33970350388276677</v>
      </c>
      <c r="Z26" s="903">
        <v>0.75116758819535034</v>
      </c>
      <c r="AA26" s="903">
        <v>-2.9233860195614872E-2</v>
      </c>
      <c r="AB26" s="903">
        <v>3.7384781684467017E-2</v>
      </c>
    </row>
    <row r="27" spans="1:28">
      <c r="A27" s="932"/>
      <c r="B27" s="932"/>
      <c r="C27" s="932"/>
      <c r="D27" s="932"/>
      <c r="E27" s="932"/>
      <c r="F27" s="932"/>
      <c r="G27" s="932"/>
      <c r="H27" s="932"/>
      <c r="I27" s="932"/>
      <c r="J27" s="932"/>
    </row>
    <row r="28" spans="1:28">
      <c r="A28" s="932"/>
      <c r="B28" s="932"/>
      <c r="C28" s="932"/>
      <c r="D28" s="932"/>
      <c r="E28" s="932"/>
      <c r="F28" s="932"/>
      <c r="G28" s="932"/>
      <c r="H28" s="932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sheetPr codeName="Sheet65"/>
  <dimension ref="A1:D37"/>
  <sheetViews>
    <sheetView workbookViewId="0"/>
  </sheetViews>
  <sheetFormatPr defaultRowHeight="14.4"/>
  <cols>
    <col min="2" max="2" width="12" bestFit="1" customWidth="1"/>
  </cols>
  <sheetData>
    <row r="1" spans="1:4">
      <c r="A1" s="1" t="s">
        <v>1984</v>
      </c>
    </row>
    <row r="3" spans="1:4">
      <c r="A3" t="s">
        <v>790</v>
      </c>
      <c r="B3">
        <v>1</v>
      </c>
    </row>
    <row r="4" spans="1:4">
      <c r="A4" t="s">
        <v>788</v>
      </c>
      <c r="B4">
        <v>5</v>
      </c>
    </row>
    <row r="6" spans="1:4">
      <c r="A6" s="19" t="s">
        <v>28</v>
      </c>
      <c r="B6" s="19" t="s">
        <v>400</v>
      </c>
    </row>
    <row r="7" spans="1:4">
      <c r="A7">
        <v>-2</v>
      </c>
      <c r="B7">
        <f>1/(1+EXP(-B$3-B$4*A7))</f>
        <v>1.2339457598623172E-4</v>
      </c>
      <c r="D7">
        <v>-3</v>
      </c>
    </row>
    <row r="8" spans="1:4">
      <c r="A8">
        <f>A7+0.1</f>
        <v>-1.9</v>
      </c>
      <c r="B8">
        <f t="shared" ref="B8:B37" si="0">1/(1+EXP(-B$3-B$4*A8))</f>
        <v>2.0342697805520653E-4</v>
      </c>
      <c r="D8">
        <f>D7+0.2</f>
        <v>-2.8</v>
      </c>
    </row>
    <row r="9" spans="1:4">
      <c r="A9">
        <f t="shared" ref="A9:A35" si="1">A8+0.1</f>
        <v>-1.7999999999999998</v>
      </c>
      <c r="B9">
        <f t="shared" si="0"/>
        <v>3.3535013046647811E-4</v>
      </c>
      <c r="D9">
        <f t="shared" ref="D9:D37" si="2">D8+0.2</f>
        <v>-2.5999999999999996</v>
      </c>
    </row>
    <row r="10" spans="1:4">
      <c r="A10">
        <f t="shared" si="1"/>
        <v>-1.6999999999999997</v>
      </c>
      <c r="B10">
        <f t="shared" si="0"/>
        <v>5.5277863692360053E-4</v>
      </c>
      <c r="D10">
        <f t="shared" si="2"/>
        <v>-2.3999999999999995</v>
      </c>
    </row>
    <row r="11" spans="1:4">
      <c r="A11">
        <f t="shared" si="1"/>
        <v>-1.5999999999999996</v>
      </c>
      <c r="B11">
        <f t="shared" si="0"/>
        <v>9.1105119440064691E-4</v>
      </c>
      <c r="D11">
        <f t="shared" si="2"/>
        <v>-2.1999999999999993</v>
      </c>
    </row>
    <row r="12" spans="1:4">
      <c r="A12">
        <f t="shared" si="1"/>
        <v>-1.4999999999999996</v>
      </c>
      <c r="B12">
        <f t="shared" si="0"/>
        <v>1.5011822567369941E-3</v>
      </c>
      <c r="D12">
        <f t="shared" si="2"/>
        <v>-1.9999999999999993</v>
      </c>
    </row>
    <row r="13" spans="1:4">
      <c r="A13">
        <f t="shared" si="1"/>
        <v>-1.3999999999999995</v>
      </c>
      <c r="B13">
        <f t="shared" si="0"/>
        <v>2.4726231566347808E-3</v>
      </c>
      <c r="D13">
        <f t="shared" si="2"/>
        <v>-1.7999999999999994</v>
      </c>
    </row>
    <row r="14" spans="1:4">
      <c r="A14">
        <f t="shared" si="1"/>
        <v>-1.2999999999999994</v>
      </c>
      <c r="B14">
        <f t="shared" si="0"/>
        <v>4.0701377158961416E-3</v>
      </c>
      <c r="D14">
        <f t="shared" si="2"/>
        <v>-1.5999999999999994</v>
      </c>
    </row>
    <row r="15" spans="1:4">
      <c r="A15">
        <f t="shared" si="1"/>
        <v>-1.1999999999999993</v>
      </c>
      <c r="B15">
        <f t="shared" si="0"/>
        <v>6.6928509242848789E-3</v>
      </c>
      <c r="D15">
        <f t="shared" si="2"/>
        <v>-1.3999999999999995</v>
      </c>
    </row>
    <row r="16" spans="1:4">
      <c r="A16">
        <f t="shared" si="1"/>
        <v>-1.0999999999999992</v>
      </c>
      <c r="B16">
        <f t="shared" si="0"/>
        <v>1.0986942630593218E-2</v>
      </c>
      <c r="D16">
        <f t="shared" si="2"/>
        <v>-1.1999999999999995</v>
      </c>
    </row>
    <row r="17" spans="1:4">
      <c r="A17">
        <f t="shared" si="1"/>
        <v>-0.99999999999999922</v>
      </c>
      <c r="B17">
        <f t="shared" si="0"/>
        <v>1.7986209962091621E-2</v>
      </c>
      <c r="D17">
        <f t="shared" si="2"/>
        <v>-0.99999999999999956</v>
      </c>
    </row>
    <row r="18" spans="1:4">
      <c r="A18">
        <f t="shared" si="1"/>
        <v>-0.89999999999999925</v>
      </c>
      <c r="B18">
        <f t="shared" si="0"/>
        <v>2.931223075135642E-2</v>
      </c>
      <c r="D18">
        <f t="shared" si="2"/>
        <v>-0.7999999999999996</v>
      </c>
    </row>
    <row r="19" spans="1:4">
      <c r="A19">
        <f t="shared" si="1"/>
        <v>-0.79999999999999927</v>
      </c>
      <c r="B19">
        <f t="shared" si="0"/>
        <v>4.7425873177566941E-2</v>
      </c>
      <c r="D19">
        <f t="shared" si="2"/>
        <v>-0.59999999999999964</v>
      </c>
    </row>
    <row r="20" spans="1:4">
      <c r="A20">
        <f t="shared" si="1"/>
        <v>-0.69999999999999929</v>
      </c>
      <c r="B20">
        <f t="shared" si="0"/>
        <v>7.5858180021243796E-2</v>
      </c>
      <c r="D20">
        <f t="shared" si="2"/>
        <v>-0.39999999999999963</v>
      </c>
    </row>
    <row r="21" spans="1:4">
      <c r="A21">
        <f t="shared" si="1"/>
        <v>-0.59999999999999931</v>
      </c>
      <c r="B21">
        <f t="shared" si="0"/>
        <v>0.11920292202211794</v>
      </c>
      <c r="D21">
        <f t="shared" si="2"/>
        <v>-0.19999999999999962</v>
      </c>
    </row>
    <row r="22" spans="1:4">
      <c r="A22">
        <f t="shared" si="1"/>
        <v>-0.49999999999999933</v>
      </c>
      <c r="B22">
        <f t="shared" si="0"/>
        <v>0.18242552380635688</v>
      </c>
      <c r="D22">
        <v>0</v>
      </c>
    </row>
    <row r="23" spans="1:4">
      <c r="A23">
        <f t="shared" si="1"/>
        <v>-0.39999999999999936</v>
      </c>
      <c r="B23">
        <f t="shared" si="0"/>
        <v>0.26894142136999571</v>
      </c>
      <c r="D23">
        <f t="shared" si="2"/>
        <v>0.2</v>
      </c>
    </row>
    <row r="24" spans="1:4">
      <c r="A24">
        <f t="shared" si="1"/>
        <v>-0.29999999999999938</v>
      </c>
      <c r="B24">
        <f t="shared" si="0"/>
        <v>0.37754066879814618</v>
      </c>
      <c r="D24">
        <f t="shared" si="2"/>
        <v>0.4</v>
      </c>
    </row>
    <row r="25" spans="1:4">
      <c r="A25">
        <f t="shared" si="1"/>
        <v>-0.19999999999999937</v>
      </c>
      <c r="B25">
        <f t="shared" si="0"/>
        <v>0.50000000000000078</v>
      </c>
      <c r="D25">
        <f t="shared" si="2"/>
        <v>0.60000000000000009</v>
      </c>
    </row>
    <row r="26" spans="1:4">
      <c r="A26">
        <f t="shared" si="1"/>
        <v>-9.9999999999999367E-2</v>
      </c>
      <c r="B26">
        <f t="shared" si="0"/>
        <v>0.62245933120185537</v>
      </c>
      <c r="D26">
        <f t="shared" si="2"/>
        <v>0.8</v>
      </c>
    </row>
    <row r="27" spans="1:4">
      <c r="A27">
        <v>0</v>
      </c>
      <c r="B27">
        <f t="shared" si="0"/>
        <v>0.7310585786300049</v>
      </c>
      <c r="D27">
        <f t="shared" si="2"/>
        <v>1</v>
      </c>
    </row>
    <row r="28" spans="1:4">
      <c r="A28">
        <v>0.1</v>
      </c>
      <c r="B28">
        <f t="shared" si="0"/>
        <v>0.81757447619364365</v>
      </c>
      <c r="D28">
        <f t="shared" si="2"/>
        <v>1.2</v>
      </c>
    </row>
    <row r="29" spans="1:4">
      <c r="A29">
        <f t="shared" si="1"/>
        <v>0.2</v>
      </c>
      <c r="B29">
        <f t="shared" si="0"/>
        <v>0.88079707797788231</v>
      </c>
      <c r="D29">
        <f t="shared" si="2"/>
        <v>1.4</v>
      </c>
    </row>
    <row r="30" spans="1:4">
      <c r="A30">
        <f t="shared" si="1"/>
        <v>0.30000000000000004</v>
      </c>
      <c r="B30">
        <f t="shared" si="0"/>
        <v>0.92414181997875655</v>
      </c>
      <c r="D30">
        <f t="shared" si="2"/>
        <v>1.5999999999999999</v>
      </c>
    </row>
    <row r="31" spans="1:4">
      <c r="A31">
        <f t="shared" si="1"/>
        <v>0.4</v>
      </c>
      <c r="B31">
        <f t="shared" si="0"/>
        <v>0.95257412682243336</v>
      </c>
      <c r="D31">
        <f t="shared" si="2"/>
        <v>1.7999999999999998</v>
      </c>
    </row>
    <row r="32" spans="1:4">
      <c r="A32">
        <f t="shared" si="1"/>
        <v>0.5</v>
      </c>
      <c r="B32">
        <f t="shared" si="0"/>
        <v>0.97068776924864364</v>
      </c>
      <c r="D32">
        <f t="shared" si="2"/>
        <v>1.9999999999999998</v>
      </c>
    </row>
    <row r="33" spans="1:4">
      <c r="A33">
        <f t="shared" si="1"/>
        <v>0.6</v>
      </c>
      <c r="B33">
        <f t="shared" si="0"/>
        <v>0.98201379003790845</v>
      </c>
      <c r="D33">
        <f t="shared" si="2"/>
        <v>2.1999999999999997</v>
      </c>
    </row>
    <row r="34" spans="1:4">
      <c r="A34">
        <f t="shared" si="1"/>
        <v>0.7</v>
      </c>
      <c r="B34">
        <f t="shared" si="0"/>
        <v>0.98901305736940681</v>
      </c>
      <c r="D34">
        <f t="shared" si="2"/>
        <v>2.4</v>
      </c>
    </row>
    <row r="35" spans="1:4">
      <c r="A35">
        <f t="shared" si="1"/>
        <v>0.79999999999999993</v>
      </c>
      <c r="B35">
        <f t="shared" si="0"/>
        <v>0.99330714907571527</v>
      </c>
      <c r="D35">
        <f t="shared" si="2"/>
        <v>2.6</v>
      </c>
    </row>
    <row r="36" spans="1:4">
      <c r="A36">
        <f>A35+0.1</f>
        <v>0.89999999999999991</v>
      </c>
      <c r="B36">
        <f t="shared" si="0"/>
        <v>0.99592986228410396</v>
      </c>
      <c r="D36">
        <f t="shared" si="2"/>
        <v>2.8000000000000003</v>
      </c>
    </row>
    <row r="37" spans="1:4">
      <c r="A37">
        <f>A36+0.1</f>
        <v>0.99999999999999989</v>
      </c>
      <c r="B37">
        <f t="shared" si="0"/>
        <v>0.99752737684336534</v>
      </c>
      <c r="D37">
        <f t="shared" si="2"/>
        <v>3.0000000000000004</v>
      </c>
    </row>
  </sheetData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sheetPr codeName="Sheet66"/>
  <dimension ref="A1:AG27"/>
  <sheetViews>
    <sheetView workbookViewId="0"/>
  </sheetViews>
  <sheetFormatPr defaultRowHeight="14.4"/>
  <cols>
    <col min="2" max="2" width="8.88671875" customWidth="1"/>
    <col min="4" max="4" width="9.109375" customWidth="1"/>
    <col min="6" max="6" width="9.33203125" customWidth="1"/>
    <col min="9" max="9" width="2.5546875" customWidth="1"/>
    <col min="11" max="11" width="10.6640625" customWidth="1"/>
    <col min="14" max="14" width="2.5546875" customWidth="1"/>
    <col min="19" max="19" width="3.33203125" customWidth="1"/>
    <col min="24" max="24" width="3.44140625" customWidth="1"/>
    <col min="27" max="27" width="9.88671875" customWidth="1"/>
    <col min="28" max="28" width="9.33203125" customWidth="1"/>
    <col min="29" max="29" width="3.88671875" customWidth="1"/>
    <col min="30" max="33" width="10.44140625" customWidth="1"/>
    <col min="34" max="34" width="4.88671875" customWidth="1"/>
    <col min="39" max="39" width="4.33203125" customWidth="1"/>
    <col min="44" max="44" width="4.5546875" customWidth="1"/>
    <col min="49" max="49" width="4.109375" customWidth="1"/>
    <col min="54" max="54" width="4.5546875" customWidth="1"/>
    <col min="59" max="59" width="4.33203125" customWidth="1"/>
    <col min="64" max="64" width="4.44140625" customWidth="1"/>
    <col min="69" max="69" width="4.44140625" customWidth="1"/>
    <col min="74" max="74" width="4" customWidth="1"/>
  </cols>
  <sheetData>
    <row r="1" spans="1:33">
      <c r="A1" s="1" t="s">
        <v>1971</v>
      </c>
      <c r="AA1" t="s">
        <v>691</v>
      </c>
    </row>
    <row r="2" spans="1:33">
      <c r="AA2" s="28" t="s">
        <v>693</v>
      </c>
      <c r="AB2" s="28">
        <v>0.98019766125822028</v>
      </c>
    </row>
    <row r="3" spans="1:33" s="19" customFormat="1">
      <c r="A3" s="19" t="s">
        <v>2082</v>
      </c>
      <c r="B3" s="19" t="s">
        <v>1972</v>
      </c>
      <c r="C3" s="19" t="s">
        <v>1973</v>
      </c>
      <c r="E3" s="19" t="str">
        <f>A3</f>
        <v>Rems</v>
      </c>
      <c r="F3" s="19" t="s">
        <v>1974</v>
      </c>
      <c r="G3" s="19" t="s">
        <v>1975</v>
      </c>
      <c r="J3" s="19" t="s">
        <v>2082</v>
      </c>
      <c r="K3" s="19" t="s">
        <v>1974</v>
      </c>
      <c r="AA3" s="28" t="s">
        <v>686</v>
      </c>
      <c r="AB3" s="28">
        <v>0.96078745513608477</v>
      </c>
      <c r="AC3"/>
      <c r="AD3"/>
      <c r="AE3"/>
      <c r="AF3"/>
      <c r="AG3"/>
    </row>
    <row r="4" spans="1:33">
      <c r="A4" s="45">
        <v>50</v>
      </c>
      <c r="B4" s="864">
        <v>21</v>
      </c>
      <c r="C4" s="866">
        <v>0</v>
      </c>
      <c r="E4" s="19">
        <f t="shared" ref="E4:E13" si="0">A4</f>
        <v>50</v>
      </c>
      <c r="F4" s="829">
        <f t="shared" ref="F4:F14" si="1">B4/(B4+C4)</f>
        <v>1</v>
      </c>
      <c r="G4" s="839" t="str">
        <f t="shared" ref="G4:G14" si="2">IF(F4 = 1,"∞",F4/(1-F4))</f>
        <v>∞</v>
      </c>
      <c r="J4" s="911">
        <f t="shared" ref="J4:J13" si="3">A4</f>
        <v>50</v>
      </c>
      <c r="K4">
        <f t="shared" ref="K4:K13" si="4">F4</f>
        <v>1</v>
      </c>
      <c r="AA4" s="28" t="s">
        <v>694</v>
      </c>
      <c r="AB4" s="28">
        <v>0.95294494616330172</v>
      </c>
    </row>
    <row r="5" spans="1:33">
      <c r="A5" s="45">
        <f>A4+100</f>
        <v>150</v>
      </c>
      <c r="B5" s="656">
        <v>29</v>
      </c>
      <c r="C5" s="657">
        <v>1</v>
      </c>
      <c r="E5" s="19">
        <f t="shared" si="0"/>
        <v>150</v>
      </c>
      <c r="F5" s="656">
        <f t="shared" si="1"/>
        <v>0.96666666666666667</v>
      </c>
      <c r="G5" s="838">
        <f t="shared" si="2"/>
        <v>29.000000000000007</v>
      </c>
      <c r="J5" s="911">
        <f t="shared" si="3"/>
        <v>150</v>
      </c>
      <c r="K5">
        <f t="shared" si="4"/>
        <v>0.96666666666666667</v>
      </c>
      <c r="AA5" s="28" t="s">
        <v>77</v>
      </c>
      <c r="AB5" s="28">
        <v>0.48383403651561618</v>
      </c>
    </row>
    <row r="6" spans="1:33" ht="15" thickBot="1">
      <c r="A6" s="45">
        <f t="shared" ref="A6:A13" si="5">A5+100</f>
        <v>250</v>
      </c>
      <c r="B6" s="656">
        <v>87</v>
      </c>
      <c r="C6" s="657">
        <v>6</v>
      </c>
      <c r="E6" s="19">
        <f t="shared" si="0"/>
        <v>250</v>
      </c>
      <c r="F6" s="656">
        <f t="shared" si="1"/>
        <v>0.93548387096774188</v>
      </c>
      <c r="G6" s="838">
        <f t="shared" si="2"/>
        <v>14.499999999999988</v>
      </c>
      <c r="J6" s="911">
        <f t="shared" si="3"/>
        <v>250</v>
      </c>
      <c r="K6">
        <f t="shared" si="4"/>
        <v>0.93548387096774188</v>
      </c>
      <c r="AA6" s="31" t="s">
        <v>224</v>
      </c>
      <c r="AB6" s="31">
        <v>7</v>
      </c>
    </row>
    <row r="7" spans="1:33">
      <c r="A7" s="45">
        <f t="shared" si="5"/>
        <v>350</v>
      </c>
      <c r="B7" s="656">
        <v>75</v>
      </c>
      <c r="C7" s="657">
        <v>11</v>
      </c>
      <c r="E7" s="19">
        <f t="shared" si="0"/>
        <v>350</v>
      </c>
      <c r="F7" s="656">
        <f t="shared" si="1"/>
        <v>0.87209302325581395</v>
      </c>
      <c r="G7" s="838">
        <f t="shared" si="2"/>
        <v>6.8181818181818175</v>
      </c>
      <c r="J7" s="911">
        <f t="shared" si="3"/>
        <v>350</v>
      </c>
      <c r="K7">
        <f t="shared" si="4"/>
        <v>0.87209302325581395</v>
      </c>
    </row>
    <row r="8" spans="1:33" ht="15" thickBot="1">
      <c r="A8" s="45">
        <f t="shared" si="5"/>
        <v>450</v>
      </c>
      <c r="B8" s="656">
        <v>85</v>
      </c>
      <c r="C8" s="657">
        <v>23</v>
      </c>
      <c r="E8" s="19">
        <f t="shared" si="0"/>
        <v>450</v>
      </c>
      <c r="F8" s="656">
        <f t="shared" si="1"/>
        <v>0.78703703703703709</v>
      </c>
      <c r="G8" s="838">
        <f t="shared" si="2"/>
        <v>3.6956521739130448</v>
      </c>
      <c r="J8" s="911">
        <f t="shared" si="3"/>
        <v>450</v>
      </c>
      <c r="K8">
        <f t="shared" si="4"/>
        <v>0.78703703703703709</v>
      </c>
      <c r="AA8" t="s">
        <v>695</v>
      </c>
    </row>
    <row r="9" spans="1:33">
      <c r="A9" s="45">
        <f t="shared" si="5"/>
        <v>550</v>
      </c>
      <c r="B9" s="656">
        <v>64</v>
      </c>
      <c r="C9" s="657">
        <v>38</v>
      </c>
      <c r="E9" s="19">
        <f t="shared" si="0"/>
        <v>550</v>
      </c>
      <c r="F9" s="656">
        <f t="shared" si="1"/>
        <v>0.62745098039215685</v>
      </c>
      <c r="G9" s="838">
        <f t="shared" si="2"/>
        <v>1.6842105263157894</v>
      </c>
      <c r="J9" s="911">
        <f t="shared" si="3"/>
        <v>550</v>
      </c>
      <c r="K9">
        <f t="shared" si="4"/>
        <v>0.62745098039215685</v>
      </c>
      <c r="AA9" s="819"/>
      <c r="AB9" s="819" t="s">
        <v>186</v>
      </c>
      <c r="AC9" s="819" t="s">
        <v>578</v>
      </c>
      <c r="AD9" s="819" t="s">
        <v>641</v>
      </c>
      <c r="AE9" s="819" t="s">
        <v>388</v>
      </c>
      <c r="AF9" s="819" t="s">
        <v>698</v>
      </c>
    </row>
    <row r="10" spans="1:33">
      <c r="A10" s="45">
        <f t="shared" si="5"/>
        <v>650</v>
      </c>
      <c r="B10" s="656">
        <v>53</v>
      </c>
      <c r="C10" s="657">
        <v>73</v>
      </c>
      <c r="E10" s="19">
        <f t="shared" si="0"/>
        <v>650</v>
      </c>
      <c r="F10" s="656">
        <f t="shared" si="1"/>
        <v>0.42063492063492064</v>
      </c>
      <c r="G10" s="838">
        <f t="shared" si="2"/>
        <v>0.7260273972602741</v>
      </c>
      <c r="J10" s="911">
        <f t="shared" si="3"/>
        <v>650</v>
      </c>
      <c r="K10">
        <f t="shared" si="4"/>
        <v>0.42063492063492064</v>
      </c>
      <c r="AA10" s="28" t="s">
        <v>623</v>
      </c>
      <c r="AB10" s="28">
        <v>1</v>
      </c>
      <c r="AC10" s="28">
        <v>28.679074551422662</v>
      </c>
      <c r="AD10" s="28">
        <v>28.679074551422662</v>
      </c>
      <c r="AE10" s="28">
        <v>122.5102143294242</v>
      </c>
      <c r="AF10" s="28">
        <v>1.0486299346429363E-4</v>
      </c>
    </row>
    <row r="11" spans="1:33">
      <c r="A11" s="45">
        <f t="shared" si="5"/>
        <v>750</v>
      </c>
      <c r="B11" s="656">
        <v>31</v>
      </c>
      <c r="C11" s="657">
        <v>81</v>
      </c>
      <c r="E11" s="19">
        <f t="shared" si="0"/>
        <v>750</v>
      </c>
      <c r="F11" s="656">
        <f t="shared" si="1"/>
        <v>0.2767857142857143</v>
      </c>
      <c r="G11" s="838">
        <f t="shared" si="2"/>
        <v>0.38271604938271608</v>
      </c>
      <c r="J11" s="911">
        <f t="shared" si="3"/>
        <v>750</v>
      </c>
      <c r="K11">
        <f t="shared" si="4"/>
        <v>0.2767857142857143</v>
      </c>
      <c r="AA11" s="28" t="s">
        <v>696</v>
      </c>
      <c r="AB11" s="28">
        <v>5</v>
      </c>
      <c r="AC11" s="28">
        <v>1.1704768744549732</v>
      </c>
      <c r="AD11" s="28">
        <v>0.23409537489099463</v>
      </c>
      <c r="AE11" s="28"/>
      <c r="AF11" s="28"/>
    </row>
    <row r="12" spans="1:33" ht="15" thickBot="1">
      <c r="A12" s="45">
        <f t="shared" si="5"/>
        <v>850</v>
      </c>
      <c r="B12" s="656">
        <v>10</v>
      </c>
      <c r="C12" s="657">
        <v>41</v>
      </c>
      <c r="E12" s="19">
        <f t="shared" si="0"/>
        <v>850</v>
      </c>
      <c r="F12" s="656">
        <f t="shared" si="1"/>
        <v>0.19607843137254902</v>
      </c>
      <c r="G12" s="838">
        <f t="shared" si="2"/>
        <v>0.24390243902439024</v>
      </c>
      <c r="J12" s="911">
        <f t="shared" si="3"/>
        <v>850</v>
      </c>
      <c r="K12">
        <f t="shared" si="4"/>
        <v>0.19607843137254902</v>
      </c>
      <c r="AA12" s="31" t="s">
        <v>12</v>
      </c>
      <c r="AB12" s="31">
        <v>6</v>
      </c>
      <c r="AC12" s="31">
        <v>29.849551425877635</v>
      </c>
      <c r="AD12" s="31"/>
      <c r="AE12" s="31"/>
      <c r="AF12" s="31"/>
    </row>
    <row r="13" spans="1:33" ht="15" thickBot="1">
      <c r="A13" s="45">
        <f t="shared" si="5"/>
        <v>950</v>
      </c>
      <c r="B13" s="533">
        <v>3</v>
      </c>
      <c r="C13" s="541">
        <v>28</v>
      </c>
      <c r="E13" s="19">
        <f t="shared" si="0"/>
        <v>950</v>
      </c>
      <c r="F13" s="10">
        <f t="shared" si="1"/>
        <v>9.6774193548387094E-2</v>
      </c>
      <c r="G13" s="751">
        <f t="shared" si="2"/>
        <v>0.10714285714285714</v>
      </c>
      <c r="J13" s="911">
        <f t="shared" si="3"/>
        <v>950</v>
      </c>
      <c r="K13">
        <f t="shared" si="4"/>
        <v>9.6774193548387094E-2</v>
      </c>
    </row>
    <row r="14" spans="1:33">
      <c r="B14">
        <f>SUM(B4:B13)</f>
        <v>458</v>
      </c>
      <c r="C14">
        <f>SUM(C4:C13)</f>
        <v>302</v>
      </c>
      <c r="F14">
        <f t="shared" si="1"/>
        <v>0.60263157894736841</v>
      </c>
      <c r="G14" s="19">
        <f t="shared" si="2"/>
        <v>1.5165562913907285</v>
      </c>
      <c r="AA14" s="819"/>
      <c r="AB14" s="819" t="s">
        <v>699</v>
      </c>
      <c r="AC14" s="819" t="s">
        <v>77</v>
      </c>
      <c r="AD14" s="819" t="s">
        <v>229</v>
      </c>
      <c r="AE14" s="819" t="s">
        <v>367</v>
      </c>
      <c r="AF14" s="819" t="s">
        <v>700</v>
      </c>
      <c r="AG14" s="819" t="s">
        <v>701</v>
      </c>
    </row>
    <row r="15" spans="1:33">
      <c r="AA15" s="28" t="s">
        <v>697</v>
      </c>
      <c r="AB15" s="28">
        <v>21.389792432310717</v>
      </c>
      <c r="AC15" s="28">
        <v>1.8833382481789414</v>
      </c>
      <c r="AD15" s="28">
        <v>11.357382272140002</v>
      </c>
      <c r="AE15" s="28">
        <v>9.2576145640744042E-5</v>
      </c>
      <c r="AF15" s="28">
        <v>16.548517342950841</v>
      </c>
      <c r="AG15" s="28">
        <v>26.231067521670592</v>
      </c>
    </row>
    <row r="16" spans="1:33" ht="15" thickBot="1">
      <c r="B16" s="126" t="s">
        <v>2085</v>
      </c>
      <c r="C16" s="19"/>
      <c r="AA16" s="31" t="s">
        <v>1976</v>
      </c>
      <c r="AB16" s="31">
        <v>-10.120536856070466</v>
      </c>
      <c r="AC16" s="31">
        <v>0.91436038317775925</v>
      </c>
      <c r="AD16" s="31">
        <v>-11.068433237338706</v>
      </c>
      <c r="AE16" s="31">
        <v>1.0486299346429363E-4</v>
      </c>
      <c r="AF16" s="31">
        <v>-12.470975047434296</v>
      </c>
      <c r="AG16" s="31">
        <v>-7.7700986647066355</v>
      </c>
    </row>
    <row r="17" spans="10:11">
      <c r="J17" s="19" t="s">
        <v>2082</v>
      </c>
      <c r="K17" s="19" t="s">
        <v>4026</v>
      </c>
    </row>
    <row r="18" spans="10:11">
      <c r="J18" s="911">
        <f t="shared" ref="J18:J27" si="6">A4</f>
        <v>50</v>
      </c>
      <c r="K18" s="19" t="str">
        <f t="shared" ref="K18:K27" si="7">IF(G4="∞","∞",IF(G4=0,"-∞",LN(G4)))</f>
        <v>∞</v>
      </c>
    </row>
    <row r="19" spans="10:11">
      <c r="J19" s="911">
        <f t="shared" si="6"/>
        <v>150</v>
      </c>
      <c r="K19" s="19">
        <f t="shared" si="7"/>
        <v>3.3672958299864741</v>
      </c>
    </row>
    <row r="20" spans="10:11">
      <c r="J20" s="911">
        <f t="shared" si="6"/>
        <v>250</v>
      </c>
      <c r="K20">
        <f t="shared" si="7"/>
        <v>2.6741486494265279</v>
      </c>
    </row>
    <row r="21" spans="10:11">
      <c r="J21" s="911">
        <f t="shared" si="6"/>
        <v>350</v>
      </c>
      <c r="K21">
        <f t="shared" si="7"/>
        <v>1.9195928407379399</v>
      </c>
    </row>
    <row r="22" spans="10:11">
      <c r="J22" s="911">
        <f t="shared" si="6"/>
        <v>450</v>
      </c>
      <c r="K22">
        <f t="shared" si="7"/>
        <v>1.3071570405611672</v>
      </c>
    </row>
    <row r="23" spans="10:11">
      <c r="J23" s="911">
        <f t="shared" si="6"/>
        <v>550</v>
      </c>
      <c r="K23">
        <f t="shared" si="7"/>
        <v>0.52129692363328606</v>
      </c>
    </row>
    <row r="24" spans="10:11">
      <c r="J24" s="911">
        <f t="shared" si="6"/>
        <v>650</v>
      </c>
      <c r="K24">
        <f t="shared" si="7"/>
        <v>-0.3201675275962691</v>
      </c>
    </row>
    <row r="25" spans="10:11">
      <c r="J25" s="911">
        <f t="shared" si="6"/>
        <v>750</v>
      </c>
      <c r="K25">
        <f t="shared" si="7"/>
        <v>-0.96046195018729241</v>
      </c>
    </row>
    <row r="26" spans="10:11">
      <c r="J26" s="911">
        <f t="shared" si="6"/>
        <v>850</v>
      </c>
      <c r="K26">
        <f t="shared" si="7"/>
        <v>-1.410986973710262</v>
      </c>
    </row>
    <row r="27" spans="10:11">
      <c r="J27" s="911">
        <f t="shared" si="6"/>
        <v>950</v>
      </c>
      <c r="K27">
        <f t="shared" si="7"/>
        <v>-2.2335922215070942</v>
      </c>
    </row>
  </sheetData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sheetPr codeName="Sheet182"/>
  <dimension ref="A1:AK25"/>
  <sheetViews>
    <sheetView workbookViewId="0"/>
  </sheetViews>
  <sheetFormatPr defaultColWidth="9.109375" defaultRowHeight="14.4"/>
  <cols>
    <col min="1" max="1" width="9.109375" style="25"/>
    <col min="2" max="2" width="8.88671875" style="25" customWidth="1"/>
    <col min="3" max="3" width="9.109375" style="25"/>
    <col min="4" max="4" width="5.5546875" style="25" customWidth="1"/>
    <col min="5" max="5" width="9.109375" style="25"/>
    <col min="6" max="6" width="9.33203125" style="25" customWidth="1"/>
    <col min="7" max="7" width="9.109375" style="25"/>
    <col min="8" max="8" width="5.5546875" style="25" customWidth="1"/>
    <col min="9" max="10" width="9.109375" style="25"/>
    <col min="11" max="12" width="9.109375" style="25" customWidth="1"/>
    <col min="13" max="13" width="7.6640625" style="25" customWidth="1"/>
    <col min="14" max="14" width="4.5546875" style="25" customWidth="1"/>
    <col min="15" max="15" width="9.33203125" style="25" customWidth="1"/>
    <col min="16" max="17" width="9.109375" style="25"/>
    <col min="18" max="18" width="2.5546875" style="25" customWidth="1"/>
    <col min="19" max="22" width="9.109375" style="25"/>
    <col min="23" max="23" width="3.33203125" style="25" customWidth="1"/>
    <col min="24" max="27" width="9.109375" style="25"/>
    <col min="28" max="28" width="3.44140625" style="25" customWidth="1"/>
    <col min="29" max="30" width="9.109375" style="25"/>
    <col min="31" max="31" width="9.88671875" style="25" customWidth="1"/>
    <col min="32" max="32" width="9.33203125" style="25" customWidth="1"/>
    <col min="33" max="33" width="3.88671875" style="25" customWidth="1"/>
    <col min="34" max="37" width="10.44140625" style="25" customWidth="1"/>
    <col min="38" max="38" width="4.88671875" style="25" customWidth="1"/>
    <col min="39" max="42" width="9.109375" style="25"/>
    <col min="43" max="43" width="4.33203125" style="25" customWidth="1"/>
    <col min="44" max="47" width="9.109375" style="25"/>
    <col min="48" max="48" width="4.5546875" style="25" customWidth="1"/>
    <col min="49" max="52" width="9.109375" style="25"/>
    <col min="53" max="53" width="4.109375" style="25" customWidth="1"/>
    <col min="54" max="57" width="9.109375" style="25"/>
    <col min="58" max="58" width="4.5546875" style="25" customWidth="1"/>
    <col min="59" max="62" width="9.109375" style="25"/>
    <col min="63" max="63" width="4.33203125" style="25" customWidth="1"/>
    <col min="64" max="67" width="9.109375" style="25"/>
    <col min="68" max="68" width="4.44140625" style="25" customWidth="1"/>
    <col min="69" max="72" width="9.109375" style="25"/>
    <col min="73" max="73" width="4.44140625" style="25" customWidth="1"/>
    <col min="74" max="77" width="9.109375" style="25"/>
    <col min="78" max="78" width="4" style="25" customWidth="1"/>
    <col min="79" max="16384" width="9.109375" style="25"/>
  </cols>
  <sheetData>
    <row r="1" spans="1:37">
      <c r="A1" s="1" t="s">
        <v>2083</v>
      </c>
      <c r="AE1" s="25" t="s">
        <v>691</v>
      </c>
    </row>
    <row r="2" spans="1:37">
      <c r="AE2" s="899" t="s">
        <v>693</v>
      </c>
      <c r="AF2" s="899">
        <v>0.98019766125822028</v>
      </c>
    </row>
    <row r="3" spans="1:37" s="912" customFormat="1">
      <c r="A3" s="912" t="s">
        <v>2082</v>
      </c>
      <c r="B3" s="912" t="s">
        <v>1972</v>
      </c>
      <c r="C3" s="912" t="s">
        <v>1973</v>
      </c>
      <c r="E3" s="912" t="str">
        <f t="shared" ref="E3:E13" si="0">A3</f>
        <v>Rems</v>
      </c>
      <c r="F3" s="912" t="s">
        <v>1974</v>
      </c>
      <c r="G3" s="912" t="s">
        <v>1975</v>
      </c>
      <c r="I3" s="912" t="s">
        <v>28</v>
      </c>
      <c r="J3" s="910" t="s">
        <v>400</v>
      </c>
      <c r="K3" s="910" t="s">
        <v>325</v>
      </c>
      <c r="L3" s="910" t="s">
        <v>1982</v>
      </c>
      <c r="N3" s="25"/>
      <c r="O3" s="910" t="s">
        <v>384</v>
      </c>
      <c r="P3" s="25"/>
      <c r="Q3" s="25"/>
      <c r="R3" s="25"/>
      <c r="S3" s="25"/>
      <c r="T3" s="25"/>
      <c r="U3" s="25"/>
      <c r="V3" s="25"/>
      <c r="W3" s="25"/>
      <c r="X3" s="25"/>
      <c r="AE3" s="899" t="s">
        <v>686</v>
      </c>
      <c r="AF3" s="899">
        <v>0.96078745513608477</v>
      </c>
      <c r="AG3" s="25"/>
      <c r="AH3" s="25"/>
      <c r="AI3" s="25"/>
      <c r="AJ3" s="25"/>
      <c r="AK3" s="25"/>
    </row>
    <row r="4" spans="1:37">
      <c r="A4" s="913">
        <v>50</v>
      </c>
      <c r="B4" s="914">
        <v>21</v>
      </c>
      <c r="C4" s="915">
        <v>0</v>
      </c>
      <c r="E4" s="912">
        <f t="shared" si="0"/>
        <v>50</v>
      </c>
      <c r="F4" s="916">
        <f t="shared" ref="F4:F14" si="1">B4/(B4+C4)</f>
        <v>1</v>
      </c>
      <c r="G4" s="839" t="str">
        <f t="shared" ref="G4:G14" si="2">IF(F4 = 1,"∞",F4/(1-F4))</f>
        <v>∞</v>
      </c>
      <c r="H4" s="918"/>
      <c r="I4" s="912">
        <f>E4</f>
        <v>50</v>
      </c>
      <c r="J4" s="920">
        <f>F4</f>
        <v>1</v>
      </c>
      <c r="K4" s="972">
        <f>1/(1+EXP(-$O$5-$O$6*I4))</f>
        <v>0.98395198029490827</v>
      </c>
      <c r="L4" s="921">
        <f t="shared" ref="L4:L13" si="3">(B4+C4)*(J4*LN(K4)+(1-J4)*LN(1-K4))</f>
        <v>-0.33974185631341247</v>
      </c>
      <c r="AE4" s="899" t="s">
        <v>694</v>
      </c>
      <c r="AF4" s="899">
        <v>0.95294494616330172</v>
      </c>
    </row>
    <row r="5" spans="1:37">
      <c r="A5" s="913">
        <f>A4+100</f>
        <v>150</v>
      </c>
      <c r="B5" s="734">
        <v>29</v>
      </c>
      <c r="C5" s="619">
        <v>1</v>
      </c>
      <c r="E5" s="912">
        <f t="shared" si="0"/>
        <v>150</v>
      </c>
      <c r="F5" s="734">
        <f t="shared" si="1"/>
        <v>0.96666666666666667</v>
      </c>
      <c r="G5" s="917">
        <f t="shared" si="2"/>
        <v>29.000000000000007</v>
      </c>
      <c r="H5" s="918"/>
      <c r="I5" s="912">
        <f t="shared" ref="I5:I13" si="4">E5</f>
        <v>150</v>
      </c>
      <c r="J5" s="922">
        <f t="shared" ref="J5:J13" si="5">F5</f>
        <v>0.96666666666666667</v>
      </c>
      <c r="K5" s="918">
        <f t="shared" ref="K5:K13" si="6">1/(1+EXP(-$O$5-$O$6*I5))</f>
        <v>0.96753388507077187</v>
      </c>
      <c r="L5" s="917">
        <f t="shared" si="3"/>
        <v>-4.3846984606260797</v>
      </c>
      <c r="N5" s="25" t="s">
        <v>141</v>
      </c>
      <c r="O5" s="825">
        <v>4.4767106944921951</v>
      </c>
      <c r="AE5" s="899" t="s">
        <v>77</v>
      </c>
      <c r="AF5" s="899">
        <v>0.48383403651561618</v>
      </c>
    </row>
    <row r="6" spans="1:37" ht="15" thickBot="1">
      <c r="A6" s="913">
        <f t="shared" ref="A6:A13" si="7">A5+100</f>
        <v>250</v>
      </c>
      <c r="B6" s="734">
        <v>87</v>
      </c>
      <c r="C6" s="619">
        <v>6</v>
      </c>
      <c r="E6" s="912">
        <f t="shared" si="0"/>
        <v>250</v>
      </c>
      <c r="F6" s="734">
        <f t="shared" si="1"/>
        <v>0.93548387096774188</v>
      </c>
      <c r="G6" s="917">
        <f t="shared" si="2"/>
        <v>14.499999999999988</v>
      </c>
      <c r="H6" s="918"/>
      <c r="I6" s="912">
        <f t="shared" si="4"/>
        <v>250</v>
      </c>
      <c r="J6" s="922">
        <f t="shared" si="5"/>
        <v>0.93548387096774188</v>
      </c>
      <c r="K6" s="918">
        <f t="shared" si="6"/>
        <v>0.93542148257003155</v>
      </c>
      <c r="L6" s="917">
        <f t="shared" si="3"/>
        <v>-22.247192721995795</v>
      </c>
      <c r="N6" s="25" t="s">
        <v>142</v>
      </c>
      <c r="O6" s="827">
        <v>-7.214381164948663E-3</v>
      </c>
      <c r="AE6" s="903" t="s">
        <v>224</v>
      </c>
      <c r="AF6" s="903">
        <v>7</v>
      </c>
    </row>
    <row r="7" spans="1:37">
      <c r="A7" s="913">
        <f t="shared" si="7"/>
        <v>350</v>
      </c>
      <c r="B7" s="734">
        <v>75</v>
      </c>
      <c r="C7" s="619">
        <v>11</v>
      </c>
      <c r="E7" s="912">
        <f t="shared" si="0"/>
        <v>350</v>
      </c>
      <c r="F7" s="734">
        <f t="shared" si="1"/>
        <v>0.87209302325581395</v>
      </c>
      <c r="G7" s="917">
        <f t="shared" si="2"/>
        <v>6.8181818181818175</v>
      </c>
      <c r="H7" s="918"/>
      <c r="I7" s="912">
        <f t="shared" si="4"/>
        <v>350</v>
      </c>
      <c r="J7" s="922">
        <f t="shared" si="5"/>
        <v>0.87209302325581395</v>
      </c>
      <c r="K7" s="918">
        <f t="shared" si="6"/>
        <v>0.87562941771495062</v>
      </c>
      <c r="L7" s="917">
        <f t="shared" si="3"/>
        <v>-32.890309389721565</v>
      </c>
    </row>
    <row r="8" spans="1:37" ht="15" thickBot="1">
      <c r="A8" s="913">
        <f t="shared" si="7"/>
        <v>450</v>
      </c>
      <c r="B8" s="734">
        <v>85</v>
      </c>
      <c r="C8" s="619">
        <v>23</v>
      </c>
      <c r="E8" s="912">
        <f t="shared" si="0"/>
        <v>450</v>
      </c>
      <c r="F8" s="734">
        <f t="shared" si="1"/>
        <v>0.78703703703703709</v>
      </c>
      <c r="G8" s="917">
        <f t="shared" si="2"/>
        <v>3.6956521739130448</v>
      </c>
      <c r="H8" s="918"/>
      <c r="I8" s="912">
        <f t="shared" si="4"/>
        <v>450</v>
      </c>
      <c r="J8" s="922">
        <f t="shared" si="5"/>
        <v>0.78703703703703709</v>
      </c>
      <c r="K8" s="918">
        <f t="shared" si="6"/>
        <v>0.77386043191826093</v>
      </c>
      <c r="L8" s="917">
        <f t="shared" si="3"/>
        <v>-55.982785070586239</v>
      </c>
      <c r="AE8" s="25" t="s">
        <v>695</v>
      </c>
    </row>
    <row r="9" spans="1:37">
      <c r="A9" s="913">
        <f t="shared" si="7"/>
        <v>550</v>
      </c>
      <c r="B9" s="734">
        <v>64</v>
      </c>
      <c r="C9" s="619">
        <v>38</v>
      </c>
      <c r="E9" s="912">
        <f t="shared" si="0"/>
        <v>550</v>
      </c>
      <c r="F9" s="734">
        <f t="shared" si="1"/>
        <v>0.62745098039215685</v>
      </c>
      <c r="G9" s="917">
        <f t="shared" si="2"/>
        <v>1.6842105263157894</v>
      </c>
      <c r="H9" s="918"/>
      <c r="I9" s="912">
        <f t="shared" si="4"/>
        <v>550</v>
      </c>
      <c r="J9" s="922">
        <f t="shared" si="5"/>
        <v>0.62745098039215685</v>
      </c>
      <c r="K9" s="918">
        <f t="shared" si="6"/>
        <v>0.62452537145457221</v>
      </c>
      <c r="L9" s="917">
        <f t="shared" si="3"/>
        <v>-67.352299031399639</v>
      </c>
      <c r="AE9" s="909"/>
      <c r="AF9" s="909" t="s">
        <v>186</v>
      </c>
      <c r="AG9" s="909" t="s">
        <v>578</v>
      </c>
      <c r="AH9" s="909" t="s">
        <v>641</v>
      </c>
      <c r="AI9" s="909" t="s">
        <v>388</v>
      </c>
      <c r="AJ9" s="909" t="s">
        <v>698</v>
      </c>
    </row>
    <row r="10" spans="1:37">
      <c r="A10" s="913">
        <f t="shared" si="7"/>
        <v>650</v>
      </c>
      <c r="B10" s="734">
        <v>53</v>
      </c>
      <c r="C10" s="619">
        <v>73</v>
      </c>
      <c r="E10" s="912">
        <f t="shared" si="0"/>
        <v>650</v>
      </c>
      <c r="F10" s="734">
        <f t="shared" si="1"/>
        <v>0.42063492063492064</v>
      </c>
      <c r="G10" s="917">
        <f t="shared" si="2"/>
        <v>0.7260273972602741</v>
      </c>
      <c r="H10" s="918"/>
      <c r="I10" s="912">
        <f t="shared" si="4"/>
        <v>650</v>
      </c>
      <c r="J10" s="922">
        <f t="shared" si="5"/>
        <v>0.42063492063492064</v>
      </c>
      <c r="K10" s="918">
        <f t="shared" si="6"/>
        <v>0.44704013036647189</v>
      </c>
      <c r="L10" s="917">
        <f t="shared" si="3"/>
        <v>-85.920965243919539</v>
      </c>
      <c r="AE10" s="899" t="s">
        <v>623</v>
      </c>
      <c r="AF10" s="899">
        <v>1</v>
      </c>
      <c r="AG10" s="899">
        <v>28.679074551422662</v>
      </c>
      <c r="AH10" s="899">
        <v>28.679074551422662</v>
      </c>
      <c r="AI10" s="899">
        <v>122.5102143294242</v>
      </c>
      <c r="AJ10" s="899">
        <v>1.0486299346429363E-4</v>
      </c>
    </row>
    <row r="11" spans="1:37">
      <c r="A11" s="913">
        <f t="shared" si="7"/>
        <v>750</v>
      </c>
      <c r="B11" s="734">
        <v>31</v>
      </c>
      <c r="C11" s="619">
        <v>81</v>
      </c>
      <c r="E11" s="912">
        <f t="shared" si="0"/>
        <v>750</v>
      </c>
      <c r="F11" s="734">
        <f t="shared" si="1"/>
        <v>0.2767857142857143</v>
      </c>
      <c r="G11" s="917">
        <f t="shared" si="2"/>
        <v>0.38271604938271608</v>
      </c>
      <c r="H11" s="918"/>
      <c r="I11" s="912">
        <f t="shared" si="4"/>
        <v>750</v>
      </c>
      <c r="J11" s="922">
        <f t="shared" si="5"/>
        <v>0.2767857142857143</v>
      </c>
      <c r="K11" s="918">
        <f t="shared" si="6"/>
        <v>0.28209868086119477</v>
      </c>
      <c r="L11" s="917">
        <f t="shared" si="3"/>
        <v>-66.075724241135234</v>
      </c>
      <c r="AE11" s="899" t="s">
        <v>696</v>
      </c>
      <c r="AF11" s="899">
        <v>5</v>
      </c>
      <c r="AG11" s="899">
        <v>1.1704768744549732</v>
      </c>
      <c r="AH11" s="899">
        <v>0.23409537489099463</v>
      </c>
      <c r="AI11" s="899"/>
      <c r="AJ11" s="899"/>
    </row>
    <row r="12" spans="1:37" ht="15" thickBot="1">
      <c r="A12" s="913">
        <f t="shared" si="7"/>
        <v>850</v>
      </c>
      <c r="B12" s="734">
        <v>10</v>
      </c>
      <c r="C12" s="619">
        <v>41</v>
      </c>
      <c r="E12" s="912">
        <f t="shared" si="0"/>
        <v>850</v>
      </c>
      <c r="F12" s="734">
        <f t="shared" si="1"/>
        <v>0.19607843137254902</v>
      </c>
      <c r="G12" s="917">
        <f t="shared" si="2"/>
        <v>0.24390243902439024</v>
      </c>
      <c r="H12" s="918"/>
      <c r="I12" s="912">
        <f t="shared" si="4"/>
        <v>850</v>
      </c>
      <c r="J12" s="922">
        <f t="shared" si="5"/>
        <v>0.19607843137254902</v>
      </c>
      <c r="K12" s="918">
        <f t="shared" si="6"/>
        <v>0.16036520341930324</v>
      </c>
      <c r="L12" s="917">
        <f t="shared" si="3"/>
        <v>-25.46933358771334</v>
      </c>
      <c r="AE12" s="903" t="s">
        <v>12</v>
      </c>
      <c r="AF12" s="903">
        <v>6</v>
      </c>
      <c r="AG12" s="903">
        <v>29.849551425877635</v>
      </c>
      <c r="AH12" s="903"/>
      <c r="AI12" s="903"/>
      <c r="AJ12" s="903"/>
    </row>
    <row r="13" spans="1:37" ht="15" thickBot="1">
      <c r="A13" s="913">
        <f t="shared" si="7"/>
        <v>950</v>
      </c>
      <c r="B13" s="620">
        <v>3</v>
      </c>
      <c r="C13" s="621">
        <v>28</v>
      </c>
      <c r="E13" s="912">
        <f t="shared" si="0"/>
        <v>950</v>
      </c>
      <c r="F13" s="458">
        <f t="shared" si="1"/>
        <v>9.6774193548387094E-2</v>
      </c>
      <c r="G13" s="919">
        <f t="shared" si="2"/>
        <v>0.10714285714285714</v>
      </c>
      <c r="H13" s="918"/>
      <c r="I13" s="912">
        <f t="shared" si="4"/>
        <v>950</v>
      </c>
      <c r="J13" s="923">
        <f t="shared" si="5"/>
        <v>9.6774193548387094E-2</v>
      </c>
      <c r="K13" s="924">
        <f t="shared" si="6"/>
        <v>8.4947236480021129E-2</v>
      </c>
      <c r="L13" s="925">
        <f t="shared" si="3"/>
        <v>-9.8828342965478342</v>
      </c>
    </row>
    <row r="14" spans="1:37">
      <c r="B14" s="25">
        <f>SUM(B4:B13)</f>
        <v>458</v>
      </c>
      <c r="C14" s="25">
        <f>SUM(C4:C13)</f>
        <v>302</v>
      </c>
      <c r="F14" s="25">
        <f t="shared" si="1"/>
        <v>0.60263157894736841</v>
      </c>
      <c r="G14" s="912">
        <f t="shared" si="2"/>
        <v>1.5165562913907285</v>
      </c>
      <c r="H14" s="912"/>
      <c r="I14" s="912"/>
      <c r="J14" s="912"/>
      <c r="K14" s="912"/>
      <c r="L14" s="912">
        <f>SUM(L4:L13)</f>
        <v>-370.54588389995865</v>
      </c>
      <c r="AE14" s="909"/>
      <c r="AF14" s="909" t="s">
        <v>699</v>
      </c>
      <c r="AG14" s="909" t="s">
        <v>77</v>
      </c>
      <c r="AH14" s="909" t="s">
        <v>229</v>
      </c>
      <c r="AI14" s="909" t="s">
        <v>367</v>
      </c>
      <c r="AJ14" s="909" t="s">
        <v>700</v>
      </c>
      <c r="AK14" s="909" t="s">
        <v>701</v>
      </c>
    </row>
    <row r="15" spans="1:37">
      <c r="AE15" s="899" t="s">
        <v>697</v>
      </c>
      <c r="AF15" s="899">
        <v>21.389792432310717</v>
      </c>
      <c r="AG15" s="899">
        <v>1.8833382481789414</v>
      </c>
      <c r="AH15" s="899">
        <v>11.357382272140002</v>
      </c>
      <c r="AI15" s="899">
        <v>9.2576145640744042E-5</v>
      </c>
      <c r="AJ15" s="899">
        <v>16.548517342950841</v>
      </c>
      <c r="AK15" s="899">
        <v>26.231067521670592</v>
      </c>
    </row>
    <row r="16" spans="1:37" ht="15" thickBot="1">
      <c r="B16" s="386" t="s">
        <v>2085</v>
      </c>
      <c r="C16" s="912"/>
      <c r="AE16" s="903" t="s">
        <v>1976</v>
      </c>
      <c r="AF16" s="903">
        <v>-10.120536856070466</v>
      </c>
      <c r="AG16" s="903">
        <v>0.91436038317775925</v>
      </c>
      <c r="AH16" s="903">
        <v>-11.068433237338706</v>
      </c>
      <c r="AI16" s="903">
        <v>1.0486299346429363E-4</v>
      </c>
      <c r="AJ16" s="903">
        <v>-12.470975047434296</v>
      </c>
      <c r="AK16" s="903">
        <v>-7.7700986647066355</v>
      </c>
    </row>
    <row r="18" spans="1:11">
      <c r="A18" s="25" t="s">
        <v>630</v>
      </c>
    </row>
    <row r="19" spans="1:11">
      <c r="K19" s="25" t="e">
        <f>DEL</f>
        <v>#NAME?</v>
      </c>
    </row>
    <row r="20" spans="1:11">
      <c r="A20" s="25" t="s">
        <v>790</v>
      </c>
      <c r="B20" s="825">
        <f>O5</f>
        <v>4.4767106944921951</v>
      </c>
    </row>
    <row r="21" spans="1:11">
      <c r="A21" s="25" t="s">
        <v>788</v>
      </c>
      <c r="B21" s="827">
        <f>O6</f>
        <v>-7.214381164948663E-3</v>
      </c>
    </row>
    <row r="23" spans="1:11">
      <c r="A23" s="25" t="s">
        <v>28</v>
      </c>
      <c r="B23" s="931">
        <v>380</v>
      </c>
    </row>
    <row r="24" spans="1:11">
      <c r="A24" s="25" t="s">
        <v>1977</v>
      </c>
      <c r="B24" s="826">
        <f>B20+B23*B21</f>
        <v>1.7352458518117033</v>
      </c>
    </row>
    <row r="25" spans="1:11">
      <c r="A25" s="25" t="s">
        <v>325</v>
      </c>
      <c r="B25" s="930">
        <f>1/(1+EXP(-B24))</f>
        <v>0.85008219299194931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sheetPr codeName="Sheet265"/>
  <dimension ref="A1:AK54"/>
  <sheetViews>
    <sheetView workbookViewId="0"/>
  </sheetViews>
  <sheetFormatPr defaultRowHeight="14.4"/>
  <cols>
    <col min="1" max="1" width="6.109375" customWidth="1"/>
    <col min="2" max="2" width="8.44140625" customWidth="1"/>
    <col min="3" max="3" width="8.109375" customWidth="1"/>
    <col min="4" max="4" width="3.33203125" customWidth="1"/>
    <col min="5" max="6" width="8.88671875" customWidth="1"/>
    <col min="16" max="16" width="3.33203125" customWidth="1"/>
    <col min="18" max="18" width="3.33203125" customWidth="1"/>
    <col min="21" max="21" width="3.33203125" customWidth="1"/>
  </cols>
  <sheetData>
    <row r="1" spans="1:37">
      <c r="A1" s="1" t="s">
        <v>2600</v>
      </c>
      <c r="B1" s="25"/>
      <c r="C1" s="25"/>
      <c r="D1" s="25"/>
    </row>
    <row r="2" spans="1:37">
      <c r="A2" s="25"/>
      <c r="B2" s="25"/>
      <c r="C2" s="25"/>
      <c r="D2" s="25"/>
    </row>
    <row r="3" spans="1:37">
      <c r="A3" s="912" t="s">
        <v>2082</v>
      </c>
      <c r="B3" s="912" t="s">
        <v>1972</v>
      </c>
      <c r="C3" s="912" t="s">
        <v>1973</v>
      </c>
      <c r="D3" s="912"/>
      <c r="E3" t="s">
        <v>1971</v>
      </c>
      <c r="Y3" t="s">
        <v>2877</v>
      </c>
      <c r="AD3" t="s">
        <v>2881</v>
      </c>
    </row>
    <row r="4" spans="1:37" ht="15" thickBot="1">
      <c r="A4" s="913">
        <v>50</v>
      </c>
      <c r="B4" s="914">
        <v>21</v>
      </c>
      <c r="C4" s="915">
        <v>0</v>
      </c>
      <c r="D4" s="25"/>
    </row>
    <row r="5" spans="1:37" ht="15" thickTop="1">
      <c r="A5" s="913">
        <f>A4+100</f>
        <v>150</v>
      </c>
      <c r="B5" s="734">
        <v>29</v>
      </c>
      <c r="C5" s="619">
        <v>1</v>
      </c>
      <c r="D5" s="25"/>
      <c r="E5" s="1116" t="str">
        <f>A3</f>
        <v>Rems</v>
      </c>
      <c r="F5" s="1116" t="str">
        <f>B3</f>
        <v>Survived</v>
      </c>
      <c r="G5" s="1116" t="str">
        <f>C3</f>
        <v>Died</v>
      </c>
      <c r="H5" s="1116" t="s">
        <v>12</v>
      </c>
      <c r="I5" s="1116" t="s">
        <v>2093</v>
      </c>
      <c r="J5" s="1116" t="s">
        <v>2094</v>
      </c>
      <c r="K5" s="1116" t="s">
        <v>2875</v>
      </c>
      <c r="L5" s="1116" t="s">
        <v>2876</v>
      </c>
      <c r="M5" s="1116" t="s">
        <v>1982</v>
      </c>
      <c r="N5" s="1116" t="s">
        <v>2601</v>
      </c>
      <c r="O5" s="1116" t="s">
        <v>2801</v>
      </c>
      <c r="Q5" t="s">
        <v>2095</v>
      </c>
      <c r="S5" t="s">
        <v>1981</v>
      </c>
      <c r="T5" s="1118">
        <f>F16*LN(F16/H16)+G16*LN(G16/H16)</f>
        <v>-510.66696372157895</v>
      </c>
      <c r="V5" t="s">
        <v>2602</v>
      </c>
      <c r="Z5" s="1108" t="s">
        <v>2878</v>
      </c>
      <c r="AA5" s="1108" t="s">
        <v>2879</v>
      </c>
      <c r="AD5" s="1070" t="s">
        <v>2094</v>
      </c>
      <c r="AE5" s="1070" t="s">
        <v>2808</v>
      </c>
      <c r="AF5" s="1070" t="s">
        <v>2807</v>
      </c>
      <c r="AG5" s="1070" t="s">
        <v>2882</v>
      </c>
      <c r="AH5" s="1070" t="s">
        <v>2883</v>
      </c>
      <c r="AI5" s="1070" t="s">
        <v>2884</v>
      </c>
      <c r="AJ5" s="1070" t="s">
        <v>2885</v>
      </c>
      <c r="AK5" s="1070" t="s">
        <v>2886</v>
      </c>
    </row>
    <row r="6" spans="1:37">
      <c r="A6" s="913">
        <f t="shared" ref="A6:A13" si="0">A5+100</f>
        <v>250</v>
      </c>
      <c r="B6" s="734">
        <v>87</v>
      </c>
      <c r="C6" s="619">
        <v>6</v>
      </c>
      <c r="D6" s="25"/>
      <c r="E6">
        <f t="shared" ref="E6:E15" si="1">A4</f>
        <v>50</v>
      </c>
      <c r="F6" s="625">
        <f t="shared" ref="F6:F15" si="2">B4</f>
        <v>21</v>
      </c>
      <c r="G6" s="8">
        <f t="shared" ref="G6:G15" si="3">C4</f>
        <v>0</v>
      </c>
      <c r="H6" s="132">
        <f>F6+G6</f>
        <v>21</v>
      </c>
      <c r="I6">
        <f>F6/H6</f>
        <v>1</v>
      </c>
      <c r="J6">
        <f>1/(1+EXP(-$Q$7-$Q$8*E6))</f>
        <v>0.5</v>
      </c>
      <c r="K6" s="1113">
        <f>H6*J6</f>
        <v>10.5</v>
      </c>
      <c r="L6" s="1115">
        <f>H6-K6</f>
        <v>10.5</v>
      </c>
      <c r="M6">
        <f>H6*(I6*LN(J6)+(1-I6)*LN(1-J6))</f>
        <v>-14.556090791758852</v>
      </c>
      <c r="N6">
        <f>100*IF(J6&gt;=$Z$12,F6/H6,G6/H6)</f>
        <v>100</v>
      </c>
      <c r="O6">
        <f>(F6-K6)^2/K6+(G6-L6)^2/L6</f>
        <v>21</v>
      </c>
      <c r="S6" t="s">
        <v>2084</v>
      </c>
      <c r="T6" s="1073">
        <f>M16</f>
        <v>-526.79185722555849</v>
      </c>
      <c r="V6" s="1113" t="e">
        <f t="array" aca="1" ref="V6:W7" ca="1">MINVERSE(MMULT(TRANSPOSE([1]!DESIGN(E6:E15)),J6:J15*(1-J6:J15)*H6:H15*[1]!DESIGN(E6:E15)))</f>
        <v>#NAME?</v>
      </c>
      <c r="W6" s="1115" t="e">
        <f ca="1"/>
        <v>#NAME?</v>
      </c>
      <c r="Y6" t="s">
        <v>2875</v>
      </c>
      <c r="Z6" s="1113">
        <f>SUMIF(J6:J15,"&gt;="&amp;Z12,F6:F15)</f>
        <v>458</v>
      </c>
      <c r="AA6" s="1115">
        <f>SUMIF(J6:J15,"&gt;="&amp;Z12,G6:G15)</f>
        <v>302</v>
      </c>
      <c r="AB6">
        <f>Z6+AA6</f>
        <v>760</v>
      </c>
      <c r="AG6">
        <v>0</v>
      </c>
      <c r="AH6">
        <v>0</v>
      </c>
      <c r="AI6" t="e">
        <f ca="1">1-AG6/AG$16</f>
        <v>#NAME?</v>
      </c>
      <c r="AJ6" t="e">
        <f ca="1">1-AH6/AH$16</f>
        <v>#NAME?</v>
      </c>
      <c r="AK6" t="e">
        <f ca="1">(AI6-AI7)*AJ6</f>
        <v>#NAME?</v>
      </c>
    </row>
    <row r="7" spans="1:37">
      <c r="A7" s="913">
        <f t="shared" si="0"/>
        <v>350</v>
      </c>
      <c r="B7" s="734">
        <v>75</v>
      </c>
      <c r="C7" s="619">
        <v>11</v>
      </c>
      <c r="D7" s="25"/>
      <c r="E7">
        <f t="shared" si="1"/>
        <v>150</v>
      </c>
      <c r="F7" s="625">
        <f t="shared" si="2"/>
        <v>29</v>
      </c>
      <c r="G7" s="8">
        <f t="shared" si="3"/>
        <v>1</v>
      </c>
      <c r="H7" s="132">
        <f t="shared" ref="H7:H15" si="4">F7+G7</f>
        <v>30</v>
      </c>
      <c r="I7">
        <f t="shared" ref="I7:I15" si="5">F7/H7</f>
        <v>0.96666666666666667</v>
      </c>
      <c r="J7">
        <f t="shared" ref="J7:J15" si="6">1/(1+EXP(-$Q$7-$Q$8*E7))</f>
        <v>0.5</v>
      </c>
      <c r="K7" s="625">
        <f t="shared" ref="K7:K15" si="7">H7*J7</f>
        <v>15</v>
      </c>
      <c r="L7" s="132">
        <f t="shared" ref="L7:L15" si="8">H7-K7</f>
        <v>15</v>
      </c>
      <c r="M7">
        <f t="shared" ref="M7:M15" si="9">H7*(I7*LN(J7)+(1-I7)*LN(1-J7))</f>
        <v>-20.794415416798358</v>
      </c>
      <c r="N7">
        <f t="shared" ref="N7:N15" si="10">100*IF(J7&gt;=$Z$12,F7/H7,G7/H7)</f>
        <v>96.666666666666671</v>
      </c>
      <c r="O7">
        <f t="shared" ref="O7:O15" si="11">(F7-K7)^2/K7+(G7-L7)^2/L7</f>
        <v>26.133333333333333</v>
      </c>
      <c r="Q7" s="1118">
        <v>0</v>
      </c>
      <c r="V7" s="1075" t="e">
        <f ca="1"/>
        <v>#NAME?</v>
      </c>
      <c r="W7" s="1077" t="e">
        <f ca="1"/>
        <v>#NAME?</v>
      </c>
      <c r="Y7" t="s">
        <v>2876</v>
      </c>
      <c r="Z7" s="1075">
        <f>Z8-Z6</f>
        <v>0</v>
      </c>
      <c r="AA7" s="1077">
        <f>AA8-AA6</f>
        <v>0</v>
      </c>
      <c r="AB7">
        <f>Z7+AA7</f>
        <v>0</v>
      </c>
      <c r="AD7" t="e">
        <f t="array" aca="1" ref="AD7:AF16" ca="1">[1]!SelectCols(F6:J15,"5,2,1",1)</f>
        <v>#NAME?</v>
      </c>
      <c r="AE7" t="e">
        <f ca="1"/>
        <v>#NAME?</v>
      </c>
      <c r="AF7" t="e">
        <f ca="1"/>
        <v>#NAME?</v>
      </c>
      <c r="AG7" t="e">
        <f ca="1">AG6+AE7</f>
        <v>#NAME?</v>
      </c>
      <c r="AH7" t="e">
        <f ca="1">AH6+AF7</f>
        <v>#NAME?</v>
      </c>
      <c r="AI7" t="e">
        <f t="shared" ref="AI7:AI16" ca="1" si="12">1-AG7/AG$16</f>
        <v>#NAME?</v>
      </c>
      <c r="AJ7" t="e">
        <f t="shared" ref="AJ7:AJ16" ca="1" si="13">1-AH7/AH$16</f>
        <v>#NAME?</v>
      </c>
      <c r="AK7" t="e">
        <f t="shared" ref="AK7:AK16" ca="1" si="14">(AI7-AI8)*AJ7</f>
        <v>#NAME?</v>
      </c>
    </row>
    <row r="8" spans="1:37">
      <c r="A8" s="913">
        <f t="shared" si="0"/>
        <v>450</v>
      </c>
      <c r="B8" s="734">
        <v>85</v>
      </c>
      <c r="C8" s="619">
        <v>23</v>
      </c>
      <c r="D8" s="25"/>
      <c r="E8">
        <f t="shared" si="1"/>
        <v>250</v>
      </c>
      <c r="F8" s="625">
        <f t="shared" si="2"/>
        <v>87</v>
      </c>
      <c r="G8" s="8">
        <f t="shared" si="3"/>
        <v>6</v>
      </c>
      <c r="H8" s="132">
        <f t="shared" si="4"/>
        <v>93</v>
      </c>
      <c r="I8">
        <f t="shared" si="5"/>
        <v>0.93548387096774188</v>
      </c>
      <c r="J8">
        <f t="shared" si="6"/>
        <v>0.5</v>
      </c>
      <c r="K8" s="625">
        <f t="shared" si="7"/>
        <v>46.5</v>
      </c>
      <c r="L8" s="132">
        <f t="shared" si="8"/>
        <v>46.5</v>
      </c>
      <c r="M8">
        <f t="shared" si="9"/>
        <v>-64.462687792074917</v>
      </c>
      <c r="N8">
        <f t="shared" si="10"/>
        <v>93.548387096774192</v>
      </c>
      <c r="O8">
        <f t="shared" si="11"/>
        <v>70.548387096774192</v>
      </c>
      <c r="Q8" s="1073">
        <v>0</v>
      </c>
      <c r="S8" t="s">
        <v>2099</v>
      </c>
      <c r="T8" s="1118">
        <f>2*(T6-T5)</f>
        <v>-32.249787007959071</v>
      </c>
      <c r="Z8">
        <f>F16</f>
        <v>458</v>
      </c>
      <c r="AA8">
        <f>G16</f>
        <v>302</v>
      </c>
      <c r="AB8">
        <f>Z8+AA8</f>
        <v>760</v>
      </c>
      <c r="AD8" t="e">
        <f ca="1"/>
        <v>#NAME?</v>
      </c>
      <c r="AE8" t="e">
        <f ca="1"/>
        <v>#NAME?</v>
      </c>
      <c r="AF8" t="e">
        <f ca="1"/>
        <v>#NAME?</v>
      </c>
      <c r="AG8" t="e">
        <f t="shared" ref="AG8:AG16" ca="1" si="15">AG7+AE8</f>
        <v>#NAME?</v>
      </c>
      <c r="AH8" t="e">
        <f t="shared" ref="AH8:AH16" ca="1" si="16">AH7+AF8</f>
        <v>#NAME?</v>
      </c>
      <c r="AI8" t="e">
        <f t="shared" ca="1" si="12"/>
        <v>#NAME?</v>
      </c>
      <c r="AJ8" t="e">
        <f t="shared" ca="1" si="13"/>
        <v>#NAME?</v>
      </c>
      <c r="AK8" t="e">
        <f t="shared" ca="1" si="14"/>
        <v>#NAME?</v>
      </c>
    </row>
    <row r="9" spans="1:37">
      <c r="A9" s="913">
        <f t="shared" si="0"/>
        <v>550</v>
      </c>
      <c r="B9" s="734">
        <v>64</v>
      </c>
      <c r="C9" s="619">
        <v>38</v>
      </c>
      <c r="D9" s="25"/>
      <c r="E9">
        <f t="shared" si="1"/>
        <v>350</v>
      </c>
      <c r="F9" s="625">
        <f t="shared" si="2"/>
        <v>75</v>
      </c>
      <c r="G9" s="8">
        <f t="shared" si="3"/>
        <v>11</v>
      </c>
      <c r="H9" s="132">
        <f t="shared" si="4"/>
        <v>86</v>
      </c>
      <c r="I9">
        <f t="shared" si="5"/>
        <v>0.87209302325581395</v>
      </c>
      <c r="J9">
        <f t="shared" si="6"/>
        <v>0.5</v>
      </c>
      <c r="K9" s="625">
        <f t="shared" si="7"/>
        <v>43</v>
      </c>
      <c r="L9" s="132">
        <f t="shared" si="8"/>
        <v>43</v>
      </c>
      <c r="M9">
        <f t="shared" si="9"/>
        <v>-59.610657528155294</v>
      </c>
      <c r="N9">
        <f t="shared" si="10"/>
        <v>87.20930232558139</v>
      </c>
      <c r="O9">
        <f t="shared" si="11"/>
        <v>47.627906976744185</v>
      </c>
      <c r="S9" t="s">
        <v>186</v>
      </c>
      <c r="T9" s="946">
        <f>COUNT(E6)</f>
        <v>1</v>
      </c>
      <c r="AD9" t="e">
        <f ca="1"/>
        <v>#NAME?</v>
      </c>
      <c r="AE9" t="e">
        <f ca="1"/>
        <v>#NAME?</v>
      </c>
      <c r="AF9" t="e">
        <f ca="1"/>
        <v>#NAME?</v>
      </c>
      <c r="AG9" t="e">
        <f t="shared" ca="1" si="15"/>
        <v>#NAME?</v>
      </c>
      <c r="AH9" t="e">
        <f t="shared" ca="1" si="16"/>
        <v>#NAME?</v>
      </c>
      <c r="AI9" t="e">
        <f t="shared" ca="1" si="12"/>
        <v>#NAME?</v>
      </c>
      <c r="AJ9" t="e">
        <f t="shared" ca="1" si="13"/>
        <v>#NAME?</v>
      </c>
      <c r="AK9" t="e">
        <f t="shared" ca="1" si="14"/>
        <v>#NAME?</v>
      </c>
    </row>
    <row r="10" spans="1:37">
      <c r="A10" s="913">
        <f t="shared" si="0"/>
        <v>650</v>
      </c>
      <c r="B10" s="734">
        <v>53</v>
      </c>
      <c r="C10" s="619">
        <v>73</v>
      </c>
      <c r="D10" s="25"/>
      <c r="E10">
        <f t="shared" si="1"/>
        <v>450</v>
      </c>
      <c r="F10" s="625">
        <f t="shared" si="2"/>
        <v>85</v>
      </c>
      <c r="G10" s="8">
        <f t="shared" si="3"/>
        <v>23</v>
      </c>
      <c r="H10" s="132">
        <f t="shared" si="4"/>
        <v>108</v>
      </c>
      <c r="I10">
        <f t="shared" si="5"/>
        <v>0.78703703703703709</v>
      </c>
      <c r="J10">
        <f t="shared" si="6"/>
        <v>0.5</v>
      </c>
      <c r="K10" s="625">
        <f t="shared" si="7"/>
        <v>54</v>
      </c>
      <c r="L10" s="132">
        <f t="shared" si="8"/>
        <v>54</v>
      </c>
      <c r="M10">
        <f t="shared" si="9"/>
        <v>-74.859895500474096</v>
      </c>
      <c r="N10">
        <f t="shared" si="10"/>
        <v>78.703703703703709</v>
      </c>
      <c r="O10">
        <f t="shared" si="11"/>
        <v>35.592592592592595</v>
      </c>
      <c r="S10" t="s">
        <v>200</v>
      </c>
      <c r="T10" s="946" t="e">
        <f>CHIDIST(T8,T9)</f>
        <v>#NUM!</v>
      </c>
      <c r="Y10" t="s">
        <v>2919</v>
      </c>
      <c r="Z10" s="1119">
        <f>Z6/Z8</f>
        <v>1</v>
      </c>
      <c r="AA10" s="1120">
        <f>AA7/AA8</f>
        <v>0</v>
      </c>
      <c r="AB10">
        <f>(Z6+AA7)/AB8</f>
        <v>0.60263157894736841</v>
      </c>
      <c r="AD10" t="e">
        <f ca="1"/>
        <v>#NAME?</v>
      </c>
      <c r="AE10" t="e">
        <f ca="1"/>
        <v>#NAME?</v>
      </c>
      <c r="AF10" t="e">
        <f ca="1"/>
        <v>#NAME?</v>
      </c>
      <c r="AG10" t="e">
        <f t="shared" ca="1" si="15"/>
        <v>#NAME?</v>
      </c>
      <c r="AH10" t="e">
        <f t="shared" ca="1" si="16"/>
        <v>#NAME?</v>
      </c>
      <c r="AI10" t="e">
        <f t="shared" ca="1" si="12"/>
        <v>#NAME?</v>
      </c>
      <c r="AJ10" t="e">
        <f t="shared" ca="1" si="13"/>
        <v>#NAME?</v>
      </c>
      <c r="AK10" t="e">
        <f t="shared" ca="1" si="14"/>
        <v>#NAME?</v>
      </c>
    </row>
    <row r="11" spans="1:37">
      <c r="A11" s="913">
        <f t="shared" si="0"/>
        <v>750</v>
      </c>
      <c r="B11" s="734">
        <v>31</v>
      </c>
      <c r="C11" s="619">
        <v>81</v>
      </c>
      <c r="D11" s="25"/>
      <c r="E11">
        <f t="shared" si="1"/>
        <v>550</v>
      </c>
      <c r="F11" s="625">
        <f t="shared" si="2"/>
        <v>64</v>
      </c>
      <c r="G11" s="8">
        <f t="shared" si="3"/>
        <v>38</v>
      </c>
      <c r="H11" s="132">
        <f t="shared" si="4"/>
        <v>102</v>
      </c>
      <c r="I11">
        <f t="shared" si="5"/>
        <v>0.62745098039215685</v>
      </c>
      <c r="J11">
        <f t="shared" si="6"/>
        <v>0.5</v>
      </c>
      <c r="K11" s="625">
        <f t="shared" si="7"/>
        <v>51</v>
      </c>
      <c r="L11" s="132">
        <f t="shared" si="8"/>
        <v>51</v>
      </c>
      <c r="M11">
        <f t="shared" si="9"/>
        <v>-70.701012417114413</v>
      </c>
      <c r="N11">
        <f t="shared" si="10"/>
        <v>62.745098039215684</v>
      </c>
      <c r="O11">
        <f t="shared" si="11"/>
        <v>6.6274509803921573</v>
      </c>
      <c r="S11" t="s">
        <v>337</v>
      </c>
      <c r="T11" s="946">
        <v>0.05</v>
      </c>
      <c r="AD11" t="e">
        <f ca="1"/>
        <v>#NAME?</v>
      </c>
      <c r="AE11" t="e">
        <f ca="1"/>
        <v>#NAME?</v>
      </c>
      <c r="AF11" t="e">
        <f ca="1"/>
        <v>#NAME?</v>
      </c>
      <c r="AG11" t="e">
        <f t="shared" ca="1" si="15"/>
        <v>#NAME?</v>
      </c>
      <c r="AH11" t="e">
        <f t="shared" ca="1" si="16"/>
        <v>#NAME?</v>
      </c>
      <c r="AI11" t="e">
        <f t="shared" ca="1" si="12"/>
        <v>#NAME?</v>
      </c>
      <c r="AJ11" t="e">
        <f t="shared" ca="1" si="13"/>
        <v>#NAME?</v>
      </c>
      <c r="AK11" t="e">
        <f t="shared" ca="1" si="14"/>
        <v>#NAME?</v>
      </c>
    </row>
    <row r="12" spans="1:37">
      <c r="A12" s="913">
        <f t="shared" si="0"/>
        <v>850</v>
      </c>
      <c r="B12" s="734">
        <v>10</v>
      </c>
      <c r="C12" s="619">
        <v>41</v>
      </c>
      <c r="D12" s="25"/>
      <c r="E12">
        <f t="shared" si="1"/>
        <v>650</v>
      </c>
      <c r="F12" s="625">
        <f t="shared" si="2"/>
        <v>53</v>
      </c>
      <c r="G12" s="8">
        <f t="shared" si="3"/>
        <v>73</v>
      </c>
      <c r="H12" s="132">
        <f t="shared" si="4"/>
        <v>126</v>
      </c>
      <c r="I12">
        <f t="shared" si="5"/>
        <v>0.42063492063492064</v>
      </c>
      <c r="J12">
        <f t="shared" si="6"/>
        <v>0.5</v>
      </c>
      <c r="K12" s="625">
        <f t="shared" si="7"/>
        <v>63</v>
      </c>
      <c r="L12" s="132">
        <f t="shared" si="8"/>
        <v>63</v>
      </c>
      <c r="M12">
        <f t="shared" si="9"/>
        <v>-87.336544750553088</v>
      </c>
      <c r="N12">
        <f t="shared" si="10"/>
        <v>42.063492063492063</v>
      </c>
      <c r="O12">
        <f t="shared" si="11"/>
        <v>3.1746031746031744</v>
      </c>
      <c r="S12" t="s">
        <v>948</v>
      </c>
      <c r="T12" s="1074" t="e">
        <f>IF(T10&lt;T11,"yes","no")</f>
        <v>#NUM!</v>
      </c>
      <c r="Y12" t="s">
        <v>2880</v>
      </c>
      <c r="Z12" s="1121">
        <v>0.5</v>
      </c>
      <c r="AD12" t="e">
        <f ca="1"/>
        <v>#NAME?</v>
      </c>
      <c r="AE12" t="e">
        <f ca="1"/>
        <v>#NAME?</v>
      </c>
      <c r="AF12" t="e">
        <f ca="1"/>
        <v>#NAME?</v>
      </c>
      <c r="AG12" t="e">
        <f t="shared" ca="1" si="15"/>
        <v>#NAME?</v>
      </c>
      <c r="AH12" t="e">
        <f t="shared" ca="1" si="16"/>
        <v>#NAME?</v>
      </c>
      <c r="AI12" t="e">
        <f t="shared" ca="1" si="12"/>
        <v>#NAME?</v>
      </c>
      <c r="AJ12" t="e">
        <f t="shared" ca="1" si="13"/>
        <v>#NAME?</v>
      </c>
      <c r="AK12" t="e">
        <f t="shared" ca="1" si="14"/>
        <v>#NAME?</v>
      </c>
    </row>
    <row r="13" spans="1:37">
      <c r="A13" s="913">
        <f t="shared" si="0"/>
        <v>950</v>
      </c>
      <c r="B13" s="620">
        <v>3</v>
      </c>
      <c r="C13" s="621">
        <v>28</v>
      </c>
      <c r="D13" s="25"/>
      <c r="E13">
        <f t="shared" si="1"/>
        <v>750</v>
      </c>
      <c r="F13" s="625">
        <f t="shared" si="2"/>
        <v>31</v>
      </c>
      <c r="G13" s="8">
        <f t="shared" si="3"/>
        <v>81</v>
      </c>
      <c r="H13" s="132">
        <f t="shared" si="4"/>
        <v>112</v>
      </c>
      <c r="I13">
        <f t="shared" si="5"/>
        <v>0.2767857142857143</v>
      </c>
      <c r="J13">
        <f t="shared" si="6"/>
        <v>0.5</v>
      </c>
      <c r="K13" s="625">
        <f t="shared" si="7"/>
        <v>56</v>
      </c>
      <c r="L13" s="132">
        <f t="shared" si="8"/>
        <v>56</v>
      </c>
      <c r="M13">
        <f t="shared" si="9"/>
        <v>-77.63248422271387</v>
      </c>
      <c r="N13">
        <f t="shared" si="10"/>
        <v>27.678571428571431</v>
      </c>
      <c r="O13">
        <f t="shared" si="11"/>
        <v>22.321428571428573</v>
      </c>
      <c r="AD13" t="e">
        <f ca="1"/>
        <v>#NAME?</v>
      </c>
      <c r="AE13" t="e">
        <f ca="1"/>
        <v>#NAME?</v>
      </c>
      <c r="AF13" t="e">
        <f ca="1"/>
        <v>#NAME?</v>
      </c>
      <c r="AG13" t="e">
        <f t="shared" ca="1" si="15"/>
        <v>#NAME?</v>
      </c>
      <c r="AH13" t="e">
        <f t="shared" ca="1" si="16"/>
        <v>#NAME?</v>
      </c>
      <c r="AI13" t="e">
        <f t="shared" ca="1" si="12"/>
        <v>#NAME?</v>
      </c>
      <c r="AJ13" t="e">
        <f t="shared" ca="1" si="13"/>
        <v>#NAME?</v>
      </c>
      <c r="AK13" t="e">
        <f t="shared" ca="1" si="14"/>
        <v>#NAME?</v>
      </c>
    </row>
    <row r="14" spans="1:37">
      <c r="A14" s="25"/>
      <c r="B14" s="25">
        <f>SUM(B4:B13)</f>
        <v>458</v>
      </c>
      <c r="C14" s="25">
        <f>SUM(C4:C13)</f>
        <v>302</v>
      </c>
      <c r="D14" s="25"/>
      <c r="E14">
        <f t="shared" si="1"/>
        <v>850</v>
      </c>
      <c r="F14" s="625">
        <f t="shared" si="2"/>
        <v>10</v>
      </c>
      <c r="G14" s="8">
        <f t="shared" si="3"/>
        <v>41</v>
      </c>
      <c r="H14" s="132">
        <f t="shared" si="4"/>
        <v>51</v>
      </c>
      <c r="I14">
        <f t="shared" si="5"/>
        <v>0.19607843137254902</v>
      </c>
      <c r="J14">
        <f t="shared" si="6"/>
        <v>0.5</v>
      </c>
      <c r="K14" s="625">
        <f t="shared" si="7"/>
        <v>25.5</v>
      </c>
      <c r="L14" s="132">
        <f t="shared" si="8"/>
        <v>25.5</v>
      </c>
      <c r="M14">
        <f t="shared" si="9"/>
        <v>-35.350506208557206</v>
      </c>
      <c r="N14">
        <f t="shared" si="10"/>
        <v>19.607843137254903</v>
      </c>
      <c r="O14">
        <f t="shared" si="11"/>
        <v>18.843137254901961</v>
      </c>
      <c r="S14" t="s">
        <v>2096</v>
      </c>
      <c r="T14" s="1118">
        <f>1-T6/T5</f>
        <v>-3.1576143846209215E-2</v>
      </c>
      <c r="AD14" t="e">
        <f ca="1"/>
        <v>#NAME?</v>
      </c>
      <c r="AE14" t="e">
        <f ca="1"/>
        <v>#NAME?</v>
      </c>
      <c r="AF14" t="e">
        <f ca="1"/>
        <v>#NAME?</v>
      </c>
      <c r="AG14" t="e">
        <f t="shared" ca="1" si="15"/>
        <v>#NAME?</v>
      </c>
      <c r="AH14" t="e">
        <f t="shared" ca="1" si="16"/>
        <v>#NAME?</v>
      </c>
      <c r="AI14" t="e">
        <f t="shared" ca="1" si="12"/>
        <v>#NAME?</v>
      </c>
      <c r="AJ14" t="e">
        <f t="shared" ca="1" si="13"/>
        <v>#NAME?</v>
      </c>
      <c r="AK14" t="e">
        <f t="shared" ca="1" si="14"/>
        <v>#NAME?</v>
      </c>
    </row>
    <row r="15" spans="1:37">
      <c r="E15">
        <f t="shared" si="1"/>
        <v>950</v>
      </c>
      <c r="F15" s="1075">
        <f t="shared" si="2"/>
        <v>3</v>
      </c>
      <c r="G15" s="1076">
        <f t="shared" si="3"/>
        <v>28</v>
      </c>
      <c r="H15" s="132">
        <f t="shared" si="4"/>
        <v>31</v>
      </c>
      <c r="I15">
        <f t="shared" si="5"/>
        <v>9.6774193548387094E-2</v>
      </c>
      <c r="J15">
        <f t="shared" si="6"/>
        <v>0.5</v>
      </c>
      <c r="K15" s="625">
        <f t="shared" si="7"/>
        <v>15.5</v>
      </c>
      <c r="L15" s="132">
        <f t="shared" si="8"/>
        <v>15.5</v>
      </c>
      <c r="M15">
        <f t="shared" si="9"/>
        <v>-21.487562597358306</v>
      </c>
      <c r="N15">
        <f t="shared" si="10"/>
        <v>9.67741935483871</v>
      </c>
      <c r="O15">
        <f t="shared" si="11"/>
        <v>20.161290322580644</v>
      </c>
      <c r="S15" t="s">
        <v>2097</v>
      </c>
      <c r="T15" s="946">
        <f>1-EXP((-2/H16)*(T6-T5))</f>
        <v>-4.3347120437658093E-2</v>
      </c>
      <c r="AD15" t="e">
        <f ca="1"/>
        <v>#NAME?</v>
      </c>
      <c r="AE15" t="e">
        <f ca="1"/>
        <v>#NAME?</v>
      </c>
      <c r="AF15" t="e">
        <f ca="1"/>
        <v>#NAME?</v>
      </c>
      <c r="AG15" t="e">
        <f t="shared" ca="1" si="15"/>
        <v>#NAME?</v>
      </c>
      <c r="AH15" t="e">
        <f t="shared" ca="1" si="16"/>
        <v>#NAME?</v>
      </c>
      <c r="AI15" t="e">
        <f t="shared" ca="1" si="12"/>
        <v>#NAME?</v>
      </c>
      <c r="AJ15" t="e">
        <f t="shared" ca="1" si="13"/>
        <v>#NAME?</v>
      </c>
      <c r="AK15" t="e">
        <f t="shared" ca="1" si="14"/>
        <v>#NAME?</v>
      </c>
    </row>
    <row r="16" spans="1:37">
      <c r="E16" s="5"/>
      <c r="F16" s="5">
        <f>SUM(F6:F15)</f>
        <v>458</v>
      </c>
      <c r="G16" s="5">
        <f>SUM(G6:G15)</f>
        <v>302</v>
      </c>
      <c r="H16" s="1117">
        <f>SUM(H6:H15)</f>
        <v>760</v>
      </c>
      <c r="I16" s="1117"/>
      <c r="J16" s="1117"/>
      <c r="K16" s="5">
        <f>SUM(K6:K15)</f>
        <v>380</v>
      </c>
      <c r="L16" s="5">
        <f>SUM(L6:L15)</f>
        <v>380</v>
      </c>
      <c r="M16" s="1117">
        <f>SUM(M6:M15)</f>
        <v>-526.79185722555849</v>
      </c>
      <c r="N16" s="1117">
        <f>SUMPRODUCT(N6:N15,H6:H15)/H16</f>
        <v>60.263157894736842</v>
      </c>
      <c r="O16" s="1117">
        <f>SUM(O6:O15)</f>
        <v>272.0301303033508</v>
      </c>
      <c r="S16" t="s">
        <v>2098</v>
      </c>
      <c r="T16" s="1073">
        <f>T15/(1-EXP(2*T5/H16))</f>
        <v>-5.8643502911406416E-2</v>
      </c>
      <c r="AD16" s="1078" t="e">
        <f ca="1"/>
        <v>#NAME?</v>
      </c>
      <c r="AE16" s="1078" t="e">
        <f ca="1"/>
        <v>#NAME?</v>
      </c>
      <c r="AF16" s="1078" t="e">
        <f ca="1"/>
        <v>#NAME?</v>
      </c>
      <c r="AG16" s="1078" t="e">
        <f t="shared" ca="1" si="15"/>
        <v>#NAME?</v>
      </c>
      <c r="AH16" s="1078" t="e">
        <f t="shared" ca="1" si="16"/>
        <v>#NAME?</v>
      </c>
      <c r="AI16" s="1078" t="e">
        <f t="shared" ca="1" si="12"/>
        <v>#NAME?</v>
      </c>
      <c r="AJ16" s="1078" t="e">
        <f t="shared" ca="1" si="13"/>
        <v>#NAME?</v>
      </c>
      <c r="AK16" s="1078" t="e">
        <f t="shared" ca="1" si="14"/>
        <v>#NAME?</v>
      </c>
    </row>
    <row r="17" spans="1:37" ht="15" thickBot="1">
      <c r="AK17" t="e">
        <f ca="1">SUM(AK6:AK16)</f>
        <v>#NAME?</v>
      </c>
    </row>
    <row r="18" spans="1:37" ht="15" thickTop="1">
      <c r="E18" s="1070"/>
      <c r="F18" s="1070" t="s">
        <v>2603</v>
      </c>
      <c r="G18" s="1070" t="s">
        <v>826</v>
      </c>
      <c r="H18" s="1070" t="s">
        <v>2604</v>
      </c>
      <c r="I18" s="1070" t="s">
        <v>200</v>
      </c>
      <c r="J18" s="1070" t="s">
        <v>2605</v>
      </c>
      <c r="K18" s="1070" t="s">
        <v>103</v>
      </c>
      <c r="L18" s="1070" t="s">
        <v>104</v>
      </c>
      <c r="S18" t="s">
        <v>2806</v>
      </c>
      <c r="T18" s="1118">
        <f>O16</f>
        <v>272.0301303033508</v>
      </c>
    </row>
    <row r="19" spans="1:37">
      <c r="E19" t="s">
        <v>697</v>
      </c>
      <c r="F19">
        <f t="array" ref="F19:F20">Q7:Q8</f>
        <v>0</v>
      </c>
      <c r="G19" t="e">
        <f t="array" aca="1" ref="G19:G20" ca="1">SQRT([1]!DIAG(V6:W7))</f>
        <v>#NAME?</v>
      </c>
      <c r="H19" t="e">
        <f ca="1">(F19/G19)^2</f>
        <v>#NAME?</v>
      </c>
      <c r="I19" t="e">
        <f ca="1">CHIDIST(H19,1)</f>
        <v>#NAME?</v>
      </c>
      <c r="J19">
        <f>EXP(F19)</f>
        <v>1</v>
      </c>
      <c r="S19" t="s">
        <v>186</v>
      </c>
      <c r="T19" s="946">
        <f>COUNT(H6:H15)-2</f>
        <v>8</v>
      </c>
    </row>
    <row r="20" spans="1:37">
      <c r="E20" s="1078" t="str">
        <f t="array" ref="E20">TRANSPOSE(E5)</f>
        <v>Rems</v>
      </c>
      <c r="F20" s="1078">
        <v>0</v>
      </c>
      <c r="G20" s="1078" t="e">
        <f ca="1"/>
        <v>#NAME?</v>
      </c>
      <c r="H20" s="1078" t="e">
        <f ca="1">(F20/G20)^2</f>
        <v>#NAME?</v>
      </c>
      <c r="I20" s="1078" t="e">
        <f ca="1">CHIDIST(H20,1)</f>
        <v>#NAME?</v>
      </c>
      <c r="J20" s="1078">
        <f>EXP(F20)</f>
        <v>1</v>
      </c>
      <c r="K20" s="1078" t="e">
        <f ca="1">EXP(F20-G20*NORMSINV(1-$T$11/2))</f>
        <v>#NAME?</v>
      </c>
      <c r="L20" s="1078" t="e">
        <f ca="1">EXP(F20+G20*NORMSINV(1-$T$11/2))</f>
        <v>#NAME?</v>
      </c>
      <c r="S20" t="s">
        <v>200</v>
      </c>
      <c r="T20" s="946">
        <f>CHIDIST(T18,T19)</f>
        <v>3.6444432907476416E-54</v>
      </c>
    </row>
    <row r="21" spans="1:37">
      <c r="S21" t="s">
        <v>337</v>
      </c>
      <c r="T21" s="946">
        <f>T11</f>
        <v>0.05</v>
      </c>
    </row>
    <row r="22" spans="1:37">
      <c r="S22" t="s">
        <v>948</v>
      </c>
      <c r="T22" s="1074" t="str">
        <f>IF(T20&lt;T21,"yes","no")</f>
        <v>yes</v>
      </c>
    </row>
    <row r="23" spans="1:37">
      <c r="E23" t="s">
        <v>2606</v>
      </c>
    </row>
    <row r="24" spans="1:37">
      <c r="E24" t="s">
        <v>2607</v>
      </c>
    </row>
    <row r="25" spans="1:37">
      <c r="E25" t="s">
        <v>2608</v>
      </c>
    </row>
    <row r="26" spans="1:37">
      <c r="E26" t="s">
        <v>2609</v>
      </c>
    </row>
    <row r="27" spans="1:37">
      <c r="E27" t="s">
        <v>2610</v>
      </c>
    </row>
    <row r="30" spans="1:37">
      <c r="A30" s="912" t="s">
        <v>2082</v>
      </c>
      <c r="B30" s="912" t="s">
        <v>1972</v>
      </c>
      <c r="C30" s="912" t="s">
        <v>1973</v>
      </c>
      <c r="D30" s="912"/>
      <c r="E30" t="s">
        <v>1971</v>
      </c>
      <c r="Y30" t="s">
        <v>2877</v>
      </c>
      <c r="AD30" t="s">
        <v>2881</v>
      </c>
    </row>
    <row r="31" spans="1:37" ht="15" thickBot="1">
      <c r="A31" s="913">
        <v>50</v>
      </c>
      <c r="B31" s="914">
        <v>21</v>
      </c>
      <c r="C31" s="915">
        <v>0</v>
      </c>
      <c r="D31" s="25"/>
    </row>
    <row r="32" spans="1:37" ht="15" thickTop="1">
      <c r="A32" s="913">
        <f>A31+100</f>
        <v>150</v>
      </c>
      <c r="B32" s="734">
        <v>29</v>
      </c>
      <c r="C32" s="619">
        <v>1</v>
      </c>
      <c r="D32" s="25"/>
      <c r="E32" s="1116" t="str">
        <f>A30</f>
        <v>Rems</v>
      </c>
      <c r="F32" s="1116" t="str">
        <f>B30</f>
        <v>Survived</v>
      </c>
      <c r="G32" s="1116" t="str">
        <f>C30</f>
        <v>Died</v>
      </c>
      <c r="H32" s="1116" t="s">
        <v>12</v>
      </c>
      <c r="I32" s="1116" t="s">
        <v>2093</v>
      </c>
      <c r="J32" s="1116" t="s">
        <v>2094</v>
      </c>
      <c r="K32" s="1116" t="s">
        <v>2875</v>
      </c>
      <c r="L32" s="1116" t="s">
        <v>2876</v>
      </c>
      <c r="M32" s="1116" t="s">
        <v>1982</v>
      </c>
      <c r="N32" s="1116" t="s">
        <v>2601</v>
      </c>
      <c r="O32" s="1116" t="s">
        <v>2801</v>
      </c>
      <c r="Q32" t="s">
        <v>2095</v>
      </c>
      <c r="S32" t="s">
        <v>1981</v>
      </c>
      <c r="T32" s="1118">
        <f>F43*LN(F43/H43)+G43*LN(G43/H43)</f>
        <v>-510.66696372157895</v>
      </c>
      <c r="V32" t="s">
        <v>2602</v>
      </c>
      <c r="Z32" s="1108" t="s">
        <v>2878</v>
      </c>
      <c r="AA32" s="1108" t="s">
        <v>2879</v>
      </c>
      <c r="AD32" s="1070" t="s">
        <v>2094</v>
      </c>
      <c r="AE32" s="1070" t="s">
        <v>2808</v>
      </c>
      <c r="AF32" s="1070" t="s">
        <v>2807</v>
      </c>
      <c r="AG32" s="1070" t="s">
        <v>2882</v>
      </c>
      <c r="AH32" s="1070" t="s">
        <v>2883</v>
      </c>
      <c r="AI32" s="1070" t="s">
        <v>2884</v>
      </c>
      <c r="AJ32" s="1070" t="s">
        <v>2885</v>
      </c>
      <c r="AK32" s="1070" t="s">
        <v>2886</v>
      </c>
    </row>
    <row r="33" spans="1:37">
      <c r="A33" s="913">
        <f t="shared" ref="A33:A40" si="17">A32+100</f>
        <v>250</v>
      </c>
      <c r="B33" s="734">
        <v>87</v>
      </c>
      <c r="C33" s="619">
        <v>6</v>
      </c>
      <c r="D33" s="25"/>
      <c r="E33">
        <f t="shared" ref="E33:E42" si="18">A31</f>
        <v>50</v>
      </c>
      <c r="F33" s="625">
        <f t="shared" ref="F33:F42" si="19">B31</f>
        <v>21</v>
      </c>
      <c r="G33" s="8">
        <f t="shared" ref="G33:G42" si="20">C31</f>
        <v>0</v>
      </c>
      <c r="H33" s="132">
        <f>F33+G33</f>
        <v>21</v>
      </c>
      <c r="I33">
        <f>F33/H33</f>
        <v>1</v>
      </c>
      <c r="J33">
        <f>1/(1+EXP(-$Q$34-$Q$35*E33))</f>
        <v>0.98399905066887317</v>
      </c>
      <c r="K33" s="1113">
        <f>H33*J33</f>
        <v>20.663980064046335</v>
      </c>
      <c r="L33" s="1115">
        <f>H33-K33</f>
        <v>0.33601993595366508</v>
      </c>
      <c r="M33">
        <f>H33*(I33*LN(J33)+(1-I33)*LN(1-J33))</f>
        <v>-0.33873728065284109</v>
      </c>
      <c r="N33">
        <f>100*IF(J33&gt;=$Z$39,F33/H33,G33/H33)</f>
        <v>100</v>
      </c>
      <c r="O33">
        <f>(F33-K33)^2/K33+(G33-L33)^2/L33</f>
        <v>0.34148400420229635</v>
      </c>
      <c r="S33" t="s">
        <v>2084</v>
      </c>
      <c r="T33" s="1073">
        <f>M43</f>
        <v>-370.54593104356275</v>
      </c>
      <c r="V33" s="1113" t="e">
        <f t="array" aca="1" ref="V33:W34" ca="1">MINVERSE(MMULT(TRANSPOSE([1]!DESIGN(E33:E42)),J33:J42*(1-J33:J42)*H33:H42*[1]!DESIGN(E33:E42)))</f>
        <v>#NAME?</v>
      </c>
      <c r="W33" s="1115" t="e">
        <f ca="1"/>
        <v>#NAME?</v>
      </c>
      <c r="Y33" t="s">
        <v>2875</v>
      </c>
      <c r="Z33" s="1113">
        <f>SUMIF(J33:J42,"&gt;="&amp;Z39,F33:F42)</f>
        <v>361</v>
      </c>
      <c r="AA33" s="1115">
        <f>SUMIF(J33:J42,"&gt;="&amp;Z39,G33:G42)</f>
        <v>79</v>
      </c>
      <c r="AB33">
        <f>Z33+AA33</f>
        <v>440</v>
      </c>
      <c r="AG33">
        <v>0</v>
      </c>
      <c r="AH33">
        <v>0</v>
      </c>
      <c r="AI33" t="e">
        <f ca="1">1-AG33/AG$43</f>
        <v>#NAME?</v>
      </c>
      <c r="AJ33" t="e">
        <f ca="1">1-AH33/AH$43</f>
        <v>#NAME?</v>
      </c>
      <c r="AK33" t="e">
        <f ca="1">(AI33-AI34)*AJ33</f>
        <v>#NAME?</v>
      </c>
    </row>
    <row r="34" spans="1:37">
      <c r="A34" s="913">
        <f t="shared" si="17"/>
        <v>350</v>
      </c>
      <c r="B34" s="734">
        <v>75</v>
      </c>
      <c r="C34" s="619">
        <v>11</v>
      </c>
      <c r="D34" s="25"/>
      <c r="E34">
        <f t="shared" si="18"/>
        <v>150</v>
      </c>
      <c r="F34" s="625">
        <f t="shared" si="19"/>
        <v>29</v>
      </c>
      <c r="G34" s="8">
        <f t="shared" si="20"/>
        <v>1</v>
      </c>
      <c r="H34" s="132">
        <f t="shared" ref="H34:H42" si="21">F34+G34</f>
        <v>30</v>
      </c>
      <c r="I34">
        <f t="shared" ref="I34:I42" si="22">F34/H34</f>
        <v>0.96666666666666667</v>
      </c>
      <c r="J34">
        <f t="shared" ref="J34:J42" si="23">1/(1+EXP(-$Q$34-$Q$35*E34))</f>
        <v>0.96761153941827338</v>
      </c>
      <c r="K34" s="625">
        <f t="shared" ref="K34:K42" si="24">H34*J34</f>
        <v>29.028346182548201</v>
      </c>
      <c r="L34" s="132">
        <f t="shared" ref="L34:L42" si="25">H34-K34</f>
        <v>0.97165381745179857</v>
      </c>
      <c r="M34">
        <f t="shared" ref="M34:M42" si="26">H34*(I34*LN(J34)+(1-I34)*LN(1-J34))</f>
        <v>-4.3847657350855842</v>
      </c>
      <c r="N34">
        <f t="shared" ref="N34:N42" si="27">100*IF(J34&gt;=$Z$39,F34/H34,G34/H34)</f>
        <v>96.666666666666671</v>
      </c>
      <c r="O34">
        <f t="shared" ref="O34:O42" si="28">(F34-K34)^2/K34+(G34-L34)^2/L34</f>
        <v>8.5462690116574352E-4</v>
      </c>
      <c r="Q34" s="1118">
        <v>4.4799510679118164</v>
      </c>
      <c r="V34" s="1075" t="e">
        <f ca="1"/>
        <v>#NAME?</v>
      </c>
      <c r="W34" s="1077" t="e">
        <f ca="1"/>
        <v>#NAME?</v>
      </c>
      <c r="Y34" t="s">
        <v>2876</v>
      </c>
      <c r="Z34" s="1075">
        <f>Z35-Z33</f>
        <v>97</v>
      </c>
      <c r="AA34" s="1077">
        <f>AA35-AA33</f>
        <v>223</v>
      </c>
      <c r="AB34">
        <f>Z34+AA34</f>
        <v>320</v>
      </c>
      <c r="AD34" t="e">
        <f t="array" aca="1" ref="AD34:AF43" ca="1">[1]!SelectCols(F33:J42,"5,2,1",1)</f>
        <v>#NAME?</v>
      </c>
      <c r="AE34" t="e">
        <f ca="1"/>
        <v>#NAME?</v>
      </c>
      <c r="AF34" t="e">
        <f ca="1"/>
        <v>#NAME?</v>
      </c>
      <c r="AG34" t="e">
        <f ca="1">AG33+AE34</f>
        <v>#NAME?</v>
      </c>
      <c r="AH34" t="e">
        <f ca="1">AH33+AF34</f>
        <v>#NAME?</v>
      </c>
      <c r="AI34" t="e">
        <f t="shared" ref="AI34:AI43" ca="1" si="29">1-AG34/AG$43</f>
        <v>#NAME?</v>
      </c>
      <c r="AJ34" t="e">
        <f t="shared" ref="AJ34:AJ43" ca="1" si="30">1-AH34/AH$43</f>
        <v>#NAME?</v>
      </c>
      <c r="AK34" t="e">
        <f t="shared" ref="AK34:AK43" ca="1" si="31">(AI34-AI35)*AJ34</f>
        <v>#NAME?</v>
      </c>
    </row>
    <row r="35" spans="1:37">
      <c r="A35" s="913">
        <f t="shared" si="17"/>
        <v>450</v>
      </c>
      <c r="B35" s="734">
        <v>85</v>
      </c>
      <c r="C35" s="619">
        <v>23</v>
      </c>
      <c r="D35" s="25"/>
      <c r="E35">
        <f t="shared" si="18"/>
        <v>250</v>
      </c>
      <c r="F35" s="625">
        <f t="shared" si="19"/>
        <v>87</v>
      </c>
      <c r="G35" s="8">
        <f t="shared" si="20"/>
        <v>6</v>
      </c>
      <c r="H35" s="132">
        <f t="shared" si="21"/>
        <v>93</v>
      </c>
      <c r="I35">
        <f t="shared" si="22"/>
        <v>0.93548387096774188</v>
      </c>
      <c r="J35">
        <f t="shared" si="23"/>
        <v>0.93554006604006168</v>
      </c>
      <c r="K35" s="625">
        <f t="shared" si="24"/>
        <v>87.005226141725743</v>
      </c>
      <c r="L35" s="132">
        <f t="shared" si="25"/>
        <v>5.9947738582742573</v>
      </c>
      <c r="M35">
        <f t="shared" si="26"/>
        <v>-22.247192159267104</v>
      </c>
      <c r="N35">
        <f t="shared" si="27"/>
        <v>93.548387096774192</v>
      </c>
      <c r="O35">
        <f t="shared" si="28"/>
        <v>4.8699799100109463E-6</v>
      </c>
      <c r="Q35" s="1073">
        <v>-7.2194837860498247E-3</v>
      </c>
      <c r="S35" t="s">
        <v>2099</v>
      </c>
      <c r="T35" s="1118">
        <f>2*(T33-T32)</f>
        <v>280.24206535603241</v>
      </c>
      <c r="Z35">
        <f>F43</f>
        <v>458</v>
      </c>
      <c r="AA35">
        <f>G43</f>
        <v>302</v>
      </c>
      <c r="AB35">
        <f>Z35+AA35</f>
        <v>760</v>
      </c>
      <c r="AD35" t="e">
        <f ca="1"/>
        <v>#NAME?</v>
      </c>
      <c r="AE35" t="e">
        <f ca="1"/>
        <v>#NAME?</v>
      </c>
      <c r="AF35" t="e">
        <f ca="1"/>
        <v>#NAME?</v>
      </c>
      <c r="AG35" t="e">
        <f t="shared" ref="AG35:AG43" ca="1" si="32">AG34+AE35</f>
        <v>#NAME?</v>
      </c>
      <c r="AH35" t="e">
        <f t="shared" ref="AH35:AH43" ca="1" si="33">AH34+AF35</f>
        <v>#NAME?</v>
      </c>
      <c r="AI35" t="e">
        <f t="shared" ca="1" si="29"/>
        <v>#NAME?</v>
      </c>
      <c r="AJ35" t="e">
        <f t="shared" ca="1" si="30"/>
        <v>#NAME?</v>
      </c>
      <c r="AK35" t="e">
        <f t="shared" ca="1" si="31"/>
        <v>#NAME?</v>
      </c>
    </row>
    <row r="36" spans="1:37">
      <c r="A36" s="913">
        <f t="shared" si="17"/>
        <v>550</v>
      </c>
      <c r="B36" s="734">
        <v>64</v>
      </c>
      <c r="C36" s="619">
        <v>38</v>
      </c>
      <c r="D36" s="25"/>
      <c r="E36">
        <f t="shared" si="18"/>
        <v>350</v>
      </c>
      <c r="F36" s="625">
        <f t="shared" si="19"/>
        <v>75</v>
      </c>
      <c r="G36" s="8">
        <f t="shared" si="20"/>
        <v>11</v>
      </c>
      <c r="H36" s="132">
        <f t="shared" si="21"/>
        <v>86</v>
      </c>
      <c r="I36">
        <f t="shared" si="22"/>
        <v>0.87209302325581395</v>
      </c>
      <c r="J36">
        <f t="shared" si="23"/>
        <v>0.87578772515515479</v>
      </c>
      <c r="K36" s="625">
        <f t="shared" si="24"/>
        <v>75.317744363343309</v>
      </c>
      <c r="L36" s="132">
        <f t="shared" si="25"/>
        <v>10.682255636656691</v>
      </c>
      <c r="M36">
        <f t="shared" si="26"/>
        <v>-32.890761635929508</v>
      </c>
      <c r="N36">
        <f t="shared" si="27"/>
        <v>87.20930232558139</v>
      </c>
      <c r="O36">
        <f t="shared" si="28"/>
        <v>1.0791800031495111E-2</v>
      </c>
      <c r="S36" t="s">
        <v>186</v>
      </c>
      <c r="T36" s="946">
        <f>COUNT(E33)</f>
        <v>1</v>
      </c>
      <c r="AD36" t="e">
        <f ca="1"/>
        <v>#NAME?</v>
      </c>
      <c r="AE36" t="e">
        <f ca="1"/>
        <v>#NAME?</v>
      </c>
      <c r="AF36" t="e">
        <f ca="1"/>
        <v>#NAME?</v>
      </c>
      <c r="AG36" t="e">
        <f t="shared" ca="1" si="32"/>
        <v>#NAME?</v>
      </c>
      <c r="AH36" t="e">
        <f t="shared" ca="1" si="33"/>
        <v>#NAME?</v>
      </c>
      <c r="AI36" t="e">
        <f t="shared" ca="1" si="29"/>
        <v>#NAME?</v>
      </c>
      <c r="AJ36" t="e">
        <f t="shared" ca="1" si="30"/>
        <v>#NAME?</v>
      </c>
      <c r="AK36" t="e">
        <f t="shared" ca="1" si="31"/>
        <v>#NAME?</v>
      </c>
    </row>
    <row r="37" spans="1:37">
      <c r="A37" s="913">
        <f t="shared" si="17"/>
        <v>650</v>
      </c>
      <c r="B37" s="734">
        <v>53</v>
      </c>
      <c r="C37" s="619">
        <v>73</v>
      </c>
      <c r="D37" s="25"/>
      <c r="E37">
        <f t="shared" si="18"/>
        <v>450</v>
      </c>
      <c r="F37" s="625">
        <f t="shared" si="19"/>
        <v>85</v>
      </c>
      <c r="G37" s="8">
        <f t="shared" si="20"/>
        <v>23</v>
      </c>
      <c r="H37" s="132">
        <f t="shared" si="21"/>
        <v>108</v>
      </c>
      <c r="I37">
        <f t="shared" si="22"/>
        <v>0.78703703703703709</v>
      </c>
      <c r="J37">
        <f t="shared" si="23"/>
        <v>0.77402562356583138</v>
      </c>
      <c r="K37" s="625">
        <f t="shared" si="24"/>
        <v>83.594767345109787</v>
      </c>
      <c r="L37" s="132">
        <f t="shared" si="25"/>
        <v>24.405232654890213</v>
      </c>
      <c r="M37">
        <f t="shared" si="26"/>
        <v>-55.981449836638433</v>
      </c>
      <c r="N37">
        <f t="shared" si="27"/>
        <v>78.703703703703709</v>
      </c>
      <c r="O37">
        <f t="shared" si="28"/>
        <v>0.10453414627634554</v>
      </c>
      <c r="S37" t="s">
        <v>200</v>
      </c>
      <c r="T37" s="946">
        <f>CHIDIST(T35,T36)</f>
        <v>6.6503726856595022E-63</v>
      </c>
      <c r="Y37" t="s">
        <v>2919</v>
      </c>
      <c r="Z37" s="1119">
        <f>Z33/Z35</f>
        <v>0.78820960698689957</v>
      </c>
      <c r="AA37" s="1120">
        <f>AA34/AA35</f>
        <v>0.73841059602649006</v>
      </c>
      <c r="AB37">
        <f>(Z33+AA34)/AB35</f>
        <v>0.76842105263157889</v>
      </c>
      <c r="AD37" t="e">
        <f ca="1"/>
        <v>#NAME?</v>
      </c>
      <c r="AE37" t="e">
        <f ca="1"/>
        <v>#NAME?</v>
      </c>
      <c r="AF37" t="e">
        <f ca="1"/>
        <v>#NAME?</v>
      </c>
      <c r="AG37" t="e">
        <f t="shared" ca="1" si="32"/>
        <v>#NAME?</v>
      </c>
      <c r="AH37" t="e">
        <f t="shared" ca="1" si="33"/>
        <v>#NAME?</v>
      </c>
      <c r="AI37" t="e">
        <f t="shared" ca="1" si="29"/>
        <v>#NAME?</v>
      </c>
      <c r="AJ37" t="e">
        <f t="shared" ca="1" si="30"/>
        <v>#NAME?</v>
      </c>
      <c r="AK37" t="e">
        <f t="shared" ca="1" si="31"/>
        <v>#NAME?</v>
      </c>
    </row>
    <row r="38" spans="1:37">
      <c r="A38" s="913">
        <f t="shared" si="17"/>
        <v>750</v>
      </c>
      <c r="B38" s="734">
        <v>31</v>
      </c>
      <c r="C38" s="619">
        <v>81</v>
      </c>
      <c r="D38" s="25"/>
      <c r="E38">
        <f t="shared" si="18"/>
        <v>550</v>
      </c>
      <c r="F38" s="625">
        <f t="shared" si="19"/>
        <v>64</v>
      </c>
      <c r="G38" s="8">
        <f t="shared" si="20"/>
        <v>38</v>
      </c>
      <c r="H38" s="132">
        <f t="shared" si="21"/>
        <v>102</v>
      </c>
      <c r="I38">
        <f t="shared" si="22"/>
        <v>0.62745098039215685</v>
      </c>
      <c r="J38">
        <f t="shared" si="23"/>
        <v>0.6246271201151895</v>
      </c>
      <c r="K38" s="625">
        <f t="shared" si="24"/>
        <v>63.711966251749331</v>
      </c>
      <c r="L38" s="132">
        <f t="shared" si="25"/>
        <v>38.288033748250669</v>
      </c>
      <c r="M38">
        <f t="shared" si="26"/>
        <v>-67.352171792682327</v>
      </c>
      <c r="N38">
        <f t="shared" si="27"/>
        <v>62.745098039215684</v>
      </c>
      <c r="O38">
        <f t="shared" si="28"/>
        <v>3.4689884306584205E-3</v>
      </c>
      <c r="S38" t="s">
        <v>337</v>
      </c>
      <c r="T38" s="946">
        <v>0.05</v>
      </c>
      <c r="AD38" t="e">
        <f ca="1"/>
        <v>#NAME?</v>
      </c>
      <c r="AE38" t="e">
        <f ca="1"/>
        <v>#NAME?</v>
      </c>
      <c r="AF38" t="e">
        <f ca="1"/>
        <v>#NAME?</v>
      </c>
      <c r="AG38" t="e">
        <f t="shared" ca="1" si="32"/>
        <v>#NAME?</v>
      </c>
      <c r="AH38" t="e">
        <f t="shared" ca="1" si="33"/>
        <v>#NAME?</v>
      </c>
      <c r="AI38" t="e">
        <f t="shared" ca="1" si="29"/>
        <v>#NAME?</v>
      </c>
      <c r="AJ38" t="e">
        <f t="shared" ca="1" si="30"/>
        <v>#NAME?</v>
      </c>
      <c r="AK38" t="e">
        <f t="shared" ca="1" si="31"/>
        <v>#NAME?</v>
      </c>
    </row>
    <row r="39" spans="1:37">
      <c r="A39" s="913">
        <f t="shared" si="17"/>
        <v>850</v>
      </c>
      <c r="B39" s="734">
        <v>10</v>
      </c>
      <c r="C39" s="619">
        <v>41</v>
      </c>
      <c r="D39" s="25"/>
      <c r="E39">
        <f t="shared" si="18"/>
        <v>650</v>
      </c>
      <c r="F39" s="625">
        <f t="shared" si="19"/>
        <v>53</v>
      </c>
      <c r="G39" s="8">
        <f t="shared" si="20"/>
        <v>73</v>
      </c>
      <c r="H39" s="132">
        <f t="shared" si="21"/>
        <v>126</v>
      </c>
      <c r="I39">
        <f t="shared" si="22"/>
        <v>0.42063492063492064</v>
      </c>
      <c r="J39">
        <f t="shared" si="23"/>
        <v>0.4470212619559516</v>
      </c>
      <c r="K39" s="625">
        <f t="shared" si="24"/>
        <v>56.324679006449898</v>
      </c>
      <c r="L39" s="132">
        <f t="shared" si="25"/>
        <v>69.675320993550102</v>
      </c>
      <c r="M39">
        <f t="shared" si="26"/>
        <v>-85.920711379451973</v>
      </c>
      <c r="N39">
        <f t="shared" si="27"/>
        <v>57.936507936507944</v>
      </c>
      <c r="O39">
        <f t="shared" si="28"/>
        <v>0.35488879194923151</v>
      </c>
      <c r="S39" t="s">
        <v>948</v>
      </c>
      <c r="T39" s="1074" t="str">
        <f>IF(T37&lt;T38,"yes","no")</f>
        <v>yes</v>
      </c>
      <c r="Y39" t="s">
        <v>2880</v>
      </c>
      <c r="Z39" s="1121">
        <v>0.5</v>
      </c>
      <c r="AD39" t="e">
        <f ca="1"/>
        <v>#NAME?</v>
      </c>
      <c r="AE39" t="e">
        <f ca="1"/>
        <v>#NAME?</v>
      </c>
      <c r="AF39" t="e">
        <f ca="1"/>
        <v>#NAME?</v>
      </c>
      <c r="AG39" t="e">
        <f t="shared" ca="1" si="32"/>
        <v>#NAME?</v>
      </c>
      <c r="AH39" t="e">
        <f t="shared" ca="1" si="33"/>
        <v>#NAME?</v>
      </c>
      <c r="AI39" t="e">
        <f t="shared" ca="1" si="29"/>
        <v>#NAME?</v>
      </c>
      <c r="AJ39" t="e">
        <f t="shared" ca="1" si="30"/>
        <v>#NAME?</v>
      </c>
      <c r="AK39" t="e">
        <f t="shared" ca="1" si="31"/>
        <v>#NAME?</v>
      </c>
    </row>
    <row r="40" spans="1:37">
      <c r="A40" s="913">
        <f t="shared" si="17"/>
        <v>950</v>
      </c>
      <c r="B40" s="620">
        <v>3</v>
      </c>
      <c r="C40" s="621">
        <v>28</v>
      </c>
      <c r="D40" s="25"/>
      <c r="E40">
        <f t="shared" si="18"/>
        <v>750</v>
      </c>
      <c r="F40" s="625">
        <f t="shared" si="19"/>
        <v>31</v>
      </c>
      <c r="G40" s="8">
        <f t="shared" si="20"/>
        <v>81</v>
      </c>
      <c r="H40" s="132">
        <f t="shared" si="21"/>
        <v>112</v>
      </c>
      <c r="I40">
        <f t="shared" si="22"/>
        <v>0.2767857142857143</v>
      </c>
      <c r="J40">
        <f t="shared" si="23"/>
        <v>0.28197989993070216</v>
      </c>
      <c r="K40" s="625">
        <f t="shared" si="24"/>
        <v>31.581748792238642</v>
      </c>
      <c r="L40" s="132">
        <f t="shared" si="25"/>
        <v>80.418251207761358</v>
      </c>
      <c r="M40">
        <f t="shared" si="26"/>
        <v>-66.075379090022125</v>
      </c>
      <c r="N40">
        <f t="shared" si="27"/>
        <v>72.321428571428569</v>
      </c>
      <c r="O40">
        <f t="shared" si="28"/>
        <v>1.4924445484827981E-2</v>
      </c>
      <c r="AD40" t="e">
        <f ca="1"/>
        <v>#NAME?</v>
      </c>
      <c r="AE40" t="e">
        <f ca="1"/>
        <v>#NAME?</v>
      </c>
      <c r="AF40" t="e">
        <f ca="1"/>
        <v>#NAME?</v>
      </c>
      <c r="AG40" t="e">
        <f t="shared" ca="1" si="32"/>
        <v>#NAME?</v>
      </c>
      <c r="AH40" t="e">
        <f t="shared" ca="1" si="33"/>
        <v>#NAME?</v>
      </c>
      <c r="AI40" t="e">
        <f t="shared" ca="1" si="29"/>
        <v>#NAME?</v>
      </c>
      <c r="AJ40" t="e">
        <f t="shared" ca="1" si="30"/>
        <v>#NAME?</v>
      </c>
      <c r="AK40" t="e">
        <f t="shared" ca="1" si="31"/>
        <v>#NAME?</v>
      </c>
    </row>
    <row r="41" spans="1:37">
      <c r="A41" s="25"/>
      <c r="B41" s="25">
        <f>SUM(B31:B40)</f>
        <v>458</v>
      </c>
      <c r="C41" s="25">
        <f>SUM(C31:C40)</f>
        <v>302</v>
      </c>
      <c r="D41" s="25"/>
      <c r="E41">
        <f t="shared" si="18"/>
        <v>850</v>
      </c>
      <c r="F41" s="625">
        <f t="shared" si="19"/>
        <v>10</v>
      </c>
      <c r="G41" s="8">
        <f t="shared" si="20"/>
        <v>41</v>
      </c>
      <c r="H41" s="132">
        <f t="shared" si="21"/>
        <v>51</v>
      </c>
      <c r="I41">
        <f t="shared" si="22"/>
        <v>0.19607843137254902</v>
      </c>
      <c r="J41">
        <f t="shared" si="23"/>
        <v>0.16021756894064951</v>
      </c>
      <c r="K41" s="625">
        <f t="shared" si="24"/>
        <v>8.1710960159731254</v>
      </c>
      <c r="L41" s="132">
        <f t="shared" si="25"/>
        <v>42.828903984026873</v>
      </c>
      <c r="M41">
        <f t="shared" si="26"/>
        <v>-25.471335500515707</v>
      </c>
      <c r="N41">
        <f t="shared" si="27"/>
        <v>80.392156862745097</v>
      </c>
      <c r="O41">
        <f t="shared" si="28"/>
        <v>0.48745520662094172</v>
      </c>
      <c r="S41" t="s">
        <v>2096</v>
      </c>
      <c r="T41" s="1118">
        <f>1-T33/T32</f>
        <v>0.27438828558021167</v>
      </c>
      <c r="AD41" t="e">
        <f ca="1"/>
        <v>#NAME?</v>
      </c>
      <c r="AE41" t="e">
        <f ca="1"/>
        <v>#NAME?</v>
      </c>
      <c r="AF41" t="e">
        <f ca="1"/>
        <v>#NAME?</v>
      </c>
      <c r="AG41" t="e">
        <f t="shared" ca="1" si="32"/>
        <v>#NAME?</v>
      </c>
      <c r="AH41" t="e">
        <f t="shared" ca="1" si="33"/>
        <v>#NAME?</v>
      </c>
      <c r="AI41" t="e">
        <f t="shared" ca="1" si="29"/>
        <v>#NAME?</v>
      </c>
      <c r="AJ41" t="e">
        <f t="shared" ca="1" si="30"/>
        <v>#NAME?</v>
      </c>
      <c r="AK41" t="e">
        <f t="shared" ca="1" si="31"/>
        <v>#NAME?</v>
      </c>
    </row>
    <row r="42" spans="1:37">
      <c r="E42">
        <f t="shared" si="18"/>
        <v>950</v>
      </c>
      <c r="F42" s="1075">
        <f t="shared" si="19"/>
        <v>3</v>
      </c>
      <c r="G42" s="1076">
        <f t="shared" si="20"/>
        <v>28</v>
      </c>
      <c r="H42" s="132">
        <f t="shared" si="21"/>
        <v>31</v>
      </c>
      <c r="I42">
        <f t="shared" si="22"/>
        <v>9.6774193548387094E-2</v>
      </c>
      <c r="J42">
        <f t="shared" si="23"/>
        <v>8.4822396670280353E-2</v>
      </c>
      <c r="K42" s="625">
        <f t="shared" si="24"/>
        <v>2.6294942967786907</v>
      </c>
      <c r="L42" s="132">
        <f t="shared" si="25"/>
        <v>28.370505703221308</v>
      </c>
      <c r="M42">
        <f t="shared" si="26"/>
        <v>-9.8834266333171676</v>
      </c>
      <c r="N42">
        <f t="shared" si="27"/>
        <v>90.322580645161281</v>
      </c>
      <c r="O42">
        <f t="shared" si="28"/>
        <v>5.7044289923064956E-2</v>
      </c>
      <c r="S42" t="s">
        <v>2097</v>
      </c>
      <c r="T42" s="946">
        <f>1-EXP((-2/H43)*(T33-T32))</f>
        <v>0.3083944910424008</v>
      </c>
      <c r="AD42" t="e">
        <f ca="1"/>
        <v>#NAME?</v>
      </c>
      <c r="AE42" t="e">
        <f ca="1"/>
        <v>#NAME?</v>
      </c>
      <c r="AF42" t="e">
        <f ca="1"/>
        <v>#NAME?</v>
      </c>
      <c r="AG42" t="e">
        <f t="shared" ca="1" si="32"/>
        <v>#NAME?</v>
      </c>
      <c r="AH42" t="e">
        <f t="shared" ca="1" si="33"/>
        <v>#NAME?</v>
      </c>
      <c r="AI42" t="e">
        <f t="shared" ca="1" si="29"/>
        <v>#NAME?</v>
      </c>
      <c r="AJ42" t="e">
        <f t="shared" ca="1" si="30"/>
        <v>#NAME?</v>
      </c>
      <c r="AK42" t="e">
        <f t="shared" ca="1" si="31"/>
        <v>#NAME?</v>
      </c>
    </row>
    <row r="43" spans="1:37">
      <c r="E43" s="5"/>
      <c r="F43" s="5">
        <f>SUM(F33:F42)</f>
        <v>458</v>
      </c>
      <c r="G43" s="5">
        <f>SUM(G33:G42)</f>
        <v>302</v>
      </c>
      <c r="H43" s="1117">
        <f>SUM(H33:H42)</f>
        <v>760</v>
      </c>
      <c r="I43" s="1117"/>
      <c r="J43" s="1117"/>
      <c r="K43" s="5">
        <f>SUM(K33:K42)</f>
        <v>458.02904845996318</v>
      </c>
      <c r="L43" s="5">
        <f>SUM(L33:L42)</f>
        <v>301.97095154003694</v>
      </c>
      <c r="M43" s="1117">
        <f>SUM(M33:M42)</f>
        <v>-370.54593104356275</v>
      </c>
      <c r="N43" s="1117">
        <f>SUMPRODUCT(N33:N42,H33:H42)/H43</f>
        <v>76.84210526315789</v>
      </c>
      <c r="O43" s="1117">
        <f>SUM(O33:O42)</f>
        <v>1.3754511697999374</v>
      </c>
      <c r="S43" t="s">
        <v>2098</v>
      </c>
      <c r="T43" s="1073">
        <f>T42/(1-EXP(2*T32/H43))</f>
        <v>0.41722109913430327</v>
      </c>
      <c r="AD43" s="1078" t="e">
        <f ca="1"/>
        <v>#NAME?</v>
      </c>
      <c r="AE43" s="1078" t="e">
        <f ca="1"/>
        <v>#NAME?</v>
      </c>
      <c r="AF43" s="1078" t="e">
        <f ca="1"/>
        <v>#NAME?</v>
      </c>
      <c r="AG43" s="1078" t="e">
        <f t="shared" ca="1" si="32"/>
        <v>#NAME?</v>
      </c>
      <c r="AH43" s="1078" t="e">
        <f t="shared" ca="1" si="33"/>
        <v>#NAME?</v>
      </c>
      <c r="AI43" s="1078" t="e">
        <f t="shared" ca="1" si="29"/>
        <v>#NAME?</v>
      </c>
      <c r="AJ43" s="1078" t="e">
        <f t="shared" ca="1" si="30"/>
        <v>#NAME?</v>
      </c>
      <c r="AK43" s="1078" t="e">
        <f t="shared" ca="1" si="31"/>
        <v>#NAME?</v>
      </c>
    </row>
    <row r="44" spans="1:37" ht="15" thickBot="1">
      <c r="AK44" t="e">
        <f ca="1">SUM(AK33:AK43)</f>
        <v>#NAME?</v>
      </c>
    </row>
    <row r="45" spans="1:37" ht="15" thickTop="1">
      <c r="E45" s="1070"/>
      <c r="F45" s="1070" t="s">
        <v>2603</v>
      </c>
      <c r="G45" s="1070" t="s">
        <v>826</v>
      </c>
      <c r="H45" s="1070" t="s">
        <v>2604</v>
      </c>
      <c r="I45" s="1070" t="s">
        <v>200</v>
      </c>
      <c r="J45" s="1070" t="s">
        <v>2605</v>
      </c>
      <c r="K45" s="1070" t="s">
        <v>103</v>
      </c>
      <c r="L45" s="1070" t="s">
        <v>104</v>
      </c>
      <c r="S45" t="s">
        <v>2806</v>
      </c>
      <c r="T45" s="1118">
        <f>O43</f>
        <v>1.3754511697999374</v>
      </c>
    </row>
    <row r="46" spans="1:37">
      <c r="E46" t="s">
        <v>697</v>
      </c>
      <c r="F46">
        <f t="array" ref="F46:F47">Q34:Q35</f>
        <v>4.4799510679118164</v>
      </c>
      <c r="G46" t="e">
        <f t="array" aca="1" ref="G46:G47" ca="1">SQRT([1]!DIAG(V33:W34))</f>
        <v>#NAME?</v>
      </c>
      <c r="H46" t="e">
        <f ca="1">(F46/G46)^2</f>
        <v>#NAME?</v>
      </c>
      <c r="I46" t="e">
        <f ca="1">CHIDIST(H46,1)</f>
        <v>#NAME?</v>
      </c>
      <c r="J46">
        <f>EXP(F46)</f>
        <v>88.230355274497853</v>
      </c>
      <c r="S46" t="s">
        <v>186</v>
      </c>
      <c r="T46" s="946">
        <f>COUNT(H33:H42)-2</f>
        <v>8</v>
      </c>
    </row>
    <row r="47" spans="1:37">
      <c r="E47" s="1078" t="str">
        <f t="array" ref="E47">TRANSPOSE(E32)</f>
        <v>Rems</v>
      </c>
      <c r="F47" s="1078">
        <v>-7.2194837860498247E-3</v>
      </c>
      <c r="G47" s="1078" t="e">
        <f ca="1"/>
        <v>#NAME?</v>
      </c>
      <c r="H47" s="1078" t="e">
        <f ca="1">(F47/G47)^2</f>
        <v>#NAME?</v>
      </c>
      <c r="I47" s="1078" t="e">
        <f ca="1">CHIDIST(H47,1)</f>
        <v>#NAME?</v>
      </c>
      <c r="J47" s="1078">
        <f>EXP(F47)</f>
        <v>0.99280651408565923</v>
      </c>
      <c r="K47" s="1078" t="e">
        <f ca="1">EXP(F47-G47*NORMSINV(1-$T$38/2))</f>
        <v>#NAME?</v>
      </c>
      <c r="L47" s="1078" t="e">
        <f ca="1">EXP(F47+G47*NORMSINV(1-$T$38/2))</f>
        <v>#NAME?</v>
      </c>
      <c r="S47" t="s">
        <v>200</v>
      </c>
      <c r="T47" s="946">
        <f>CHIDIST(T45,T46)</f>
        <v>0.9945880046597233</v>
      </c>
    </row>
    <row r="48" spans="1:37">
      <c r="S48" t="s">
        <v>337</v>
      </c>
      <c r="T48" s="946">
        <f>T38</f>
        <v>0.05</v>
      </c>
    </row>
    <row r="49" spans="5:20">
      <c r="S49" t="s">
        <v>948</v>
      </c>
      <c r="T49" s="1074" t="str">
        <f>IF(T47&lt;T48,"yes","no")</f>
        <v>no</v>
      </c>
    </row>
    <row r="50" spans="5:20">
      <c r="E50" t="s">
        <v>2606</v>
      </c>
    </row>
    <row r="51" spans="5:20">
      <c r="E51" t="s">
        <v>2607</v>
      </c>
    </row>
    <row r="52" spans="5:20">
      <c r="E52" t="s">
        <v>2608</v>
      </c>
    </row>
    <row r="53" spans="5:20">
      <c r="E53" t="s">
        <v>2609</v>
      </c>
    </row>
    <row r="54" spans="5:20">
      <c r="E54" t="s">
        <v>2610</v>
      </c>
    </row>
  </sheetData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sheetPr codeName="Sheet239"/>
  <dimension ref="A1:AY30"/>
  <sheetViews>
    <sheetView zoomScaleNormal="100" workbookViewId="0"/>
  </sheetViews>
  <sheetFormatPr defaultColWidth="9.109375" defaultRowHeight="14.4"/>
  <cols>
    <col min="1" max="1" width="9.109375" style="25"/>
    <col min="2" max="2" width="8.88671875" style="25" customWidth="1"/>
    <col min="3" max="3" width="9.109375" style="25"/>
    <col min="4" max="4" width="5.5546875" style="25" customWidth="1"/>
    <col min="5" max="6" width="9.109375" style="25"/>
    <col min="7" max="8" width="9.109375" style="25" customWidth="1"/>
    <col min="9" max="9" width="7.6640625" style="25" customWidth="1"/>
    <col min="10" max="11" width="8.6640625" style="25" customWidth="1"/>
    <col min="12" max="12" width="4" style="25" customWidth="1"/>
    <col min="13" max="14" width="9.109375" style="25"/>
    <col min="15" max="16" width="9.109375" style="25" customWidth="1"/>
    <col min="17" max="17" width="7.6640625" style="25" customWidth="1"/>
    <col min="18" max="19" width="8.6640625" style="25" customWidth="1"/>
    <col min="20" max="20" width="4" style="25" customWidth="1"/>
    <col min="21" max="22" width="9.109375" style="25"/>
    <col min="23" max="24" width="9.109375" style="25" customWidth="1"/>
    <col min="25" max="25" width="7.6640625" style="25" customWidth="1"/>
    <col min="26" max="27" width="8.6640625" style="25" customWidth="1"/>
    <col min="28" max="28" width="4.109375" style="25" customWidth="1"/>
    <col min="29" max="30" width="9.109375" style="25"/>
    <col min="31" max="32" width="9.109375" style="25" customWidth="1"/>
    <col min="33" max="33" width="7.6640625" style="25" customWidth="1"/>
    <col min="34" max="35" width="8.6640625" style="25" customWidth="1"/>
    <col min="36" max="36" width="4.109375" style="25" customWidth="1"/>
    <col min="37" max="38" width="9.109375" style="25"/>
    <col min="39" max="40" width="9.109375" style="25" customWidth="1"/>
    <col min="41" max="41" width="7.6640625" style="25" customWidth="1"/>
    <col min="42" max="43" width="8.6640625" style="25" customWidth="1"/>
    <col min="44" max="44" width="4.44140625" style="25" customWidth="1"/>
    <col min="45" max="46" width="9.109375" style="25"/>
    <col min="47" max="48" width="9.109375" style="25" customWidth="1"/>
    <col min="49" max="49" width="7.6640625" style="25" customWidth="1"/>
    <col min="50" max="51" width="8.6640625" style="25" customWidth="1"/>
    <col min="52" max="55" width="9.109375" style="25"/>
    <col min="56" max="56" width="4.44140625" style="25" customWidth="1"/>
    <col min="57" max="60" width="9.109375" style="25"/>
    <col min="61" max="61" width="4" style="25" customWidth="1"/>
    <col min="62" max="16384" width="9.109375" style="25"/>
  </cols>
  <sheetData>
    <row r="1" spans="1:51">
      <c r="A1" s="1" t="s">
        <v>2614</v>
      </c>
      <c r="F1" s="25" t="s">
        <v>2613</v>
      </c>
      <c r="N1" s="25" t="s">
        <v>2615</v>
      </c>
      <c r="V1" s="25" t="s">
        <v>2616</v>
      </c>
      <c r="AD1" s="25" t="s">
        <v>2617</v>
      </c>
      <c r="AL1" s="25" t="s">
        <v>2618</v>
      </c>
      <c r="AT1" s="25" t="s">
        <v>2619</v>
      </c>
    </row>
    <row r="3" spans="1:51" s="912" customFormat="1">
      <c r="A3" s="912" t="s">
        <v>2082</v>
      </c>
      <c r="B3" s="912" t="s">
        <v>1972</v>
      </c>
      <c r="C3" s="912" t="s">
        <v>1973</v>
      </c>
      <c r="E3" s="912" t="s">
        <v>28</v>
      </c>
      <c r="F3" s="968" t="s">
        <v>400</v>
      </c>
      <c r="G3" s="968" t="s">
        <v>325</v>
      </c>
      <c r="H3" s="968" t="s">
        <v>1982</v>
      </c>
      <c r="J3" s="386" t="s">
        <v>2095</v>
      </c>
      <c r="K3" s="25"/>
      <c r="L3" s="25"/>
      <c r="M3" s="912" t="s">
        <v>28</v>
      </c>
      <c r="N3" s="968" t="s">
        <v>400</v>
      </c>
      <c r="O3" s="968" t="s">
        <v>325</v>
      </c>
      <c r="P3" s="968" t="s">
        <v>1982</v>
      </c>
      <c r="R3" s="386" t="s">
        <v>2095</v>
      </c>
      <c r="S3" s="25"/>
      <c r="U3" s="912" t="s">
        <v>28</v>
      </c>
      <c r="V3" s="968" t="s">
        <v>400</v>
      </c>
      <c r="W3" s="968" t="s">
        <v>325</v>
      </c>
      <c r="X3" s="968" t="s">
        <v>1982</v>
      </c>
      <c r="Z3" s="386" t="s">
        <v>2095</v>
      </c>
      <c r="AA3" s="25"/>
      <c r="AC3" s="912" t="s">
        <v>28</v>
      </c>
      <c r="AD3" s="968" t="s">
        <v>400</v>
      </c>
      <c r="AE3" s="968" t="s">
        <v>325</v>
      </c>
      <c r="AF3" s="968" t="s">
        <v>1982</v>
      </c>
      <c r="AH3" s="386" t="s">
        <v>2095</v>
      </c>
      <c r="AI3" s="25"/>
      <c r="AK3" s="912" t="s">
        <v>28</v>
      </c>
      <c r="AL3" s="968" t="s">
        <v>400</v>
      </c>
      <c r="AM3" s="968" t="s">
        <v>325</v>
      </c>
      <c r="AN3" s="968" t="s">
        <v>1982</v>
      </c>
      <c r="AP3" s="386" t="s">
        <v>2095</v>
      </c>
      <c r="AQ3" s="25"/>
      <c r="AS3" s="912" t="s">
        <v>28</v>
      </c>
      <c r="AT3" s="968" t="s">
        <v>400</v>
      </c>
      <c r="AU3" s="968" t="s">
        <v>325</v>
      </c>
      <c r="AV3" s="968" t="s">
        <v>1982</v>
      </c>
      <c r="AX3" s="386" t="s">
        <v>2095</v>
      </c>
      <c r="AY3" s="25"/>
    </row>
    <row r="4" spans="1:51">
      <c r="A4" s="913">
        <v>50</v>
      </c>
      <c r="B4" s="914">
        <v>21</v>
      </c>
      <c r="C4" s="915">
        <v>0</v>
      </c>
      <c r="E4" s="912">
        <f>A4</f>
        <v>50</v>
      </c>
      <c r="F4" s="920">
        <f>B4/(B4+C4)</f>
        <v>1</v>
      </c>
      <c r="G4" s="975">
        <f>1/(1+EXP(-J$5-J$6*E4))</f>
        <v>0.5</v>
      </c>
      <c r="H4" s="921">
        <f>($B4+$C4)*(F4*LN(G4)+(1-F4)*LN(1-G4))</f>
        <v>-14.556090791758852</v>
      </c>
      <c r="M4" s="912">
        <f>E4</f>
        <v>50</v>
      </c>
      <c r="N4" s="920">
        <f>F4</f>
        <v>1</v>
      </c>
      <c r="O4" s="975" t="e">
        <f ca="1">1/(1+EXP(-R$5-R$6*M4))</f>
        <v>#NAME?</v>
      </c>
      <c r="P4" s="921" t="e">
        <f ca="1">($B4+$C4)*(N4*LN(O4)+(1-N4)*LN(1-O4))</f>
        <v>#NAME?</v>
      </c>
      <c r="U4" s="912">
        <f>M4</f>
        <v>50</v>
      </c>
      <c r="V4" s="920">
        <f>N4</f>
        <v>1</v>
      </c>
      <c r="W4" s="975" t="e">
        <f ca="1">1/(1+EXP(-Z$5-Z$6*U4))</f>
        <v>#NAME?</v>
      </c>
      <c r="X4" s="921" t="e">
        <f ca="1">($B4+$C4)*(V4*LN(W4)+(1-V4)*LN(1-W4))</f>
        <v>#NAME?</v>
      </c>
      <c r="AC4" s="912">
        <f>U4</f>
        <v>50</v>
      </c>
      <c r="AD4" s="920">
        <f>V4</f>
        <v>1</v>
      </c>
      <c r="AE4" s="975" t="e">
        <f ca="1">1/(1+EXP(-AH$5-AH$6*AC4))</f>
        <v>#NAME?</v>
      </c>
      <c r="AF4" s="921" t="e">
        <f ca="1">($B4+$C4)*(AD4*LN(AE4)+(1-AD4)*LN(1-AE4))</f>
        <v>#NAME?</v>
      </c>
      <c r="AK4" s="912">
        <f>AC4</f>
        <v>50</v>
      </c>
      <c r="AL4" s="920">
        <f>AD4</f>
        <v>1</v>
      </c>
      <c r="AM4" s="975" t="e">
        <f ca="1">1/(1+EXP(-AP$5-AP$6*AK4))</f>
        <v>#NAME?</v>
      </c>
      <c r="AN4" s="921" t="e">
        <f ca="1">($B4+$C4)*(AL4*LN(AM4)+(1-AL4)*LN(1-AM4))</f>
        <v>#NAME?</v>
      </c>
      <c r="AS4" s="912">
        <f>AK4</f>
        <v>50</v>
      </c>
      <c r="AT4" s="920">
        <f>AL4</f>
        <v>1</v>
      </c>
      <c r="AU4" s="975" t="e">
        <f ca="1">1/(1+EXP(-AX$5-AX$6*AS4))</f>
        <v>#NAME?</v>
      </c>
      <c r="AV4" s="921" t="e">
        <f ca="1">($B4+$C4)*(AT4*LN(AU4)+(1-AT4)*LN(1-AU4))</f>
        <v>#NAME?</v>
      </c>
    </row>
    <row r="5" spans="1:51">
      <c r="A5" s="913">
        <f>A4+100</f>
        <v>150</v>
      </c>
      <c r="B5" s="734">
        <v>29</v>
      </c>
      <c r="C5" s="619">
        <v>1</v>
      </c>
      <c r="E5" s="912">
        <f t="shared" ref="E5:E13" si="0">A5</f>
        <v>150</v>
      </c>
      <c r="F5" s="922">
        <f t="shared" ref="F5:F13" si="1">B5/(B5+C5)</f>
        <v>0.96666666666666667</v>
      </c>
      <c r="G5" s="918">
        <f t="shared" ref="G5:G13" si="2">1/(1+EXP(-J$5-J$6*E5))</f>
        <v>0.5</v>
      </c>
      <c r="H5" s="917">
        <f t="shared" ref="H5:H13" si="3">($B5+$C5)*(F5*LN(G5)+(1-F5)*LN(1-G5))</f>
        <v>-20.794415416798358</v>
      </c>
      <c r="J5" s="825">
        <v>0</v>
      </c>
      <c r="M5" s="912">
        <f t="shared" ref="M5:M13" si="4">E5</f>
        <v>150</v>
      </c>
      <c r="N5" s="922">
        <f t="shared" ref="N5:N13" si="5">F5</f>
        <v>0.96666666666666667</v>
      </c>
      <c r="O5" s="918" t="e">
        <f t="shared" ref="O5:O13" ca="1" si="6">1/(1+EXP(-R$5-R$6*M5))</f>
        <v>#NAME?</v>
      </c>
      <c r="P5" s="917" t="e">
        <f t="shared" ref="P5:P13" ca="1" si="7">($B5+$C5)*(N5*LN(O5)+(1-N5)*LN(1-O5))</f>
        <v>#NAME?</v>
      </c>
      <c r="R5" s="825" t="e">
        <f t="array" ref="R5:R6" ca="1">J5:J6+J13:J14</f>
        <v>#NAME?</v>
      </c>
      <c r="U5" s="912">
        <f t="shared" ref="U5:U13" si="8">M5</f>
        <v>150</v>
      </c>
      <c r="V5" s="922">
        <f t="shared" ref="V5:V13" si="9">N5</f>
        <v>0.96666666666666667</v>
      </c>
      <c r="W5" s="918" t="e">
        <f t="shared" ref="W5:W13" ca="1" si="10">1/(1+EXP(-Z$5-Z$6*U5))</f>
        <v>#NAME?</v>
      </c>
      <c r="X5" s="917" t="e">
        <f t="shared" ref="X5:X13" ca="1" si="11">($B5+$C5)*(V5*LN(W5)+(1-V5)*LN(1-W5))</f>
        <v>#NAME?</v>
      </c>
      <c r="Z5" s="825" t="e">
        <f t="array" ref="Z5:Z6" ca="1">R5:R6+R13:R14</f>
        <v>#NAME?</v>
      </c>
      <c r="AC5" s="912">
        <f t="shared" ref="AC5:AC13" si="12">U5</f>
        <v>150</v>
      </c>
      <c r="AD5" s="922">
        <f t="shared" ref="AD5:AD13" si="13">V5</f>
        <v>0.96666666666666667</v>
      </c>
      <c r="AE5" s="918" t="e">
        <f t="shared" ref="AE5:AE13" ca="1" si="14">1/(1+EXP(-AH$5-AH$6*AC5))</f>
        <v>#NAME?</v>
      </c>
      <c r="AF5" s="917" t="e">
        <f t="shared" ref="AF5:AF13" ca="1" si="15">($B5+$C5)*(AD5*LN(AE5)+(1-AD5)*LN(1-AE5))</f>
        <v>#NAME?</v>
      </c>
      <c r="AH5" s="825" t="e">
        <f t="array" ref="AH5:AH6" ca="1">Z5:Z6+Z13:Z14</f>
        <v>#NAME?</v>
      </c>
      <c r="AK5" s="912">
        <f t="shared" ref="AK5:AK13" si="16">AC5</f>
        <v>150</v>
      </c>
      <c r="AL5" s="922">
        <f t="shared" ref="AL5:AL13" si="17">AD5</f>
        <v>0.96666666666666667</v>
      </c>
      <c r="AM5" s="918" t="e">
        <f t="shared" ref="AM5:AM13" ca="1" si="18">1/(1+EXP(-AP$5-AP$6*AK5))</f>
        <v>#NAME?</v>
      </c>
      <c r="AN5" s="917" t="e">
        <f t="shared" ref="AN5:AN13" ca="1" si="19">($B5+$C5)*(AL5*LN(AM5)+(1-AL5)*LN(1-AM5))</f>
        <v>#NAME?</v>
      </c>
      <c r="AP5" s="825" t="e">
        <f t="array" ref="AP5:AP6" ca="1">AH5:AH6+AH13:AH14</f>
        <v>#NAME?</v>
      </c>
      <c r="AS5" s="912">
        <f t="shared" ref="AS5:AS13" si="20">AK5</f>
        <v>150</v>
      </c>
      <c r="AT5" s="922">
        <f t="shared" ref="AT5:AT13" si="21">AL5</f>
        <v>0.96666666666666667</v>
      </c>
      <c r="AU5" s="918" t="e">
        <f t="shared" ref="AU5:AU13" ca="1" si="22">1/(1+EXP(-AX$5-AX$6*AS5))</f>
        <v>#NAME?</v>
      </c>
      <c r="AV5" s="917" t="e">
        <f t="shared" ref="AV5:AV13" ca="1" si="23">($B5+$C5)*(AT5*LN(AU5)+(1-AT5)*LN(1-AU5))</f>
        <v>#NAME?</v>
      </c>
      <c r="AX5" s="825" t="e">
        <f t="array" ref="AX5:AX6" ca="1">AP5:AP6+AP13:AP14</f>
        <v>#NAME?</v>
      </c>
    </row>
    <row r="6" spans="1:51">
      <c r="A6" s="913">
        <f t="shared" ref="A6:A13" si="24">A5+100</f>
        <v>250</v>
      </c>
      <c r="B6" s="734">
        <v>87</v>
      </c>
      <c r="C6" s="619">
        <v>6</v>
      </c>
      <c r="E6" s="912">
        <f t="shared" si="0"/>
        <v>250</v>
      </c>
      <c r="F6" s="922">
        <f t="shared" si="1"/>
        <v>0.93548387096774188</v>
      </c>
      <c r="G6" s="918">
        <f t="shared" si="2"/>
        <v>0.5</v>
      </c>
      <c r="H6" s="917">
        <f t="shared" si="3"/>
        <v>-64.462687792074917</v>
      </c>
      <c r="J6" s="827">
        <v>0</v>
      </c>
      <c r="M6" s="912">
        <f t="shared" si="4"/>
        <v>250</v>
      </c>
      <c r="N6" s="922">
        <f t="shared" si="5"/>
        <v>0.93548387096774188</v>
      </c>
      <c r="O6" s="918" t="e">
        <f t="shared" ca="1" si="6"/>
        <v>#NAME?</v>
      </c>
      <c r="P6" s="917" t="e">
        <f t="shared" ca="1" si="7"/>
        <v>#NAME?</v>
      </c>
      <c r="R6" s="827" t="e">
        <f ca="1"/>
        <v>#NAME?</v>
      </c>
      <c r="U6" s="912">
        <f t="shared" si="8"/>
        <v>250</v>
      </c>
      <c r="V6" s="922">
        <f t="shared" si="9"/>
        <v>0.93548387096774188</v>
      </c>
      <c r="W6" s="918" t="e">
        <f t="shared" ca="1" si="10"/>
        <v>#NAME?</v>
      </c>
      <c r="X6" s="917" t="e">
        <f t="shared" ca="1" si="11"/>
        <v>#NAME?</v>
      </c>
      <c r="Z6" s="827" t="e">
        <f ca="1"/>
        <v>#NAME?</v>
      </c>
      <c r="AC6" s="912">
        <f t="shared" si="12"/>
        <v>250</v>
      </c>
      <c r="AD6" s="922">
        <f t="shared" si="13"/>
        <v>0.93548387096774188</v>
      </c>
      <c r="AE6" s="918" t="e">
        <f t="shared" ca="1" si="14"/>
        <v>#NAME?</v>
      </c>
      <c r="AF6" s="917" t="e">
        <f t="shared" ca="1" si="15"/>
        <v>#NAME?</v>
      </c>
      <c r="AH6" s="827" t="e">
        <f ca="1"/>
        <v>#NAME?</v>
      </c>
      <c r="AK6" s="912">
        <f t="shared" si="16"/>
        <v>250</v>
      </c>
      <c r="AL6" s="922">
        <f t="shared" si="17"/>
        <v>0.93548387096774188</v>
      </c>
      <c r="AM6" s="918" t="e">
        <f t="shared" ca="1" si="18"/>
        <v>#NAME?</v>
      </c>
      <c r="AN6" s="917" t="e">
        <f t="shared" ca="1" si="19"/>
        <v>#NAME?</v>
      </c>
      <c r="AP6" s="827" t="e">
        <f ca="1"/>
        <v>#NAME?</v>
      </c>
      <c r="AS6" s="912">
        <f t="shared" si="20"/>
        <v>250</v>
      </c>
      <c r="AT6" s="922">
        <f t="shared" si="21"/>
        <v>0.93548387096774188</v>
      </c>
      <c r="AU6" s="918" t="e">
        <f t="shared" ca="1" si="22"/>
        <v>#NAME?</v>
      </c>
      <c r="AV6" s="917" t="e">
        <f t="shared" ca="1" si="23"/>
        <v>#NAME?</v>
      </c>
      <c r="AX6" s="827" t="e">
        <f ca="1"/>
        <v>#NAME?</v>
      </c>
    </row>
    <row r="7" spans="1:51">
      <c r="A7" s="913">
        <f t="shared" si="24"/>
        <v>350</v>
      </c>
      <c r="B7" s="734">
        <v>75</v>
      </c>
      <c r="C7" s="619">
        <v>11</v>
      </c>
      <c r="E7" s="912">
        <f t="shared" si="0"/>
        <v>350</v>
      </c>
      <c r="F7" s="922">
        <f t="shared" si="1"/>
        <v>0.87209302325581395</v>
      </c>
      <c r="G7" s="918">
        <f t="shared" si="2"/>
        <v>0.5</v>
      </c>
      <c r="H7" s="917">
        <f t="shared" si="3"/>
        <v>-59.610657528155294</v>
      </c>
      <c r="M7" s="912">
        <f t="shared" si="4"/>
        <v>350</v>
      </c>
      <c r="N7" s="922">
        <f t="shared" si="5"/>
        <v>0.87209302325581395</v>
      </c>
      <c r="O7" s="918" t="e">
        <f t="shared" ca="1" si="6"/>
        <v>#NAME?</v>
      </c>
      <c r="P7" s="917" t="e">
        <f t="shared" ca="1" si="7"/>
        <v>#NAME?</v>
      </c>
      <c r="U7" s="912">
        <f t="shared" si="8"/>
        <v>350</v>
      </c>
      <c r="V7" s="922">
        <f t="shared" si="9"/>
        <v>0.87209302325581395</v>
      </c>
      <c r="W7" s="918" t="e">
        <f t="shared" ca="1" si="10"/>
        <v>#NAME?</v>
      </c>
      <c r="X7" s="917" t="e">
        <f t="shared" ca="1" si="11"/>
        <v>#NAME?</v>
      </c>
      <c r="AC7" s="912">
        <f t="shared" si="12"/>
        <v>350</v>
      </c>
      <c r="AD7" s="922">
        <f t="shared" si="13"/>
        <v>0.87209302325581395</v>
      </c>
      <c r="AE7" s="918" t="e">
        <f t="shared" ca="1" si="14"/>
        <v>#NAME?</v>
      </c>
      <c r="AF7" s="917" t="e">
        <f t="shared" ca="1" si="15"/>
        <v>#NAME?</v>
      </c>
      <c r="AK7" s="912">
        <f t="shared" si="16"/>
        <v>350</v>
      </c>
      <c r="AL7" s="922">
        <f t="shared" si="17"/>
        <v>0.87209302325581395</v>
      </c>
      <c r="AM7" s="918" t="e">
        <f t="shared" ca="1" si="18"/>
        <v>#NAME?</v>
      </c>
      <c r="AN7" s="917" t="e">
        <f t="shared" ca="1" si="19"/>
        <v>#NAME?</v>
      </c>
      <c r="AS7" s="912">
        <f t="shared" si="20"/>
        <v>350</v>
      </c>
      <c r="AT7" s="922">
        <f t="shared" si="21"/>
        <v>0.87209302325581395</v>
      </c>
      <c r="AU7" s="918" t="e">
        <f t="shared" ca="1" si="22"/>
        <v>#NAME?</v>
      </c>
      <c r="AV7" s="917" t="e">
        <f t="shared" ca="1" si="23"/>
        <v>#NAME?</v>
      </c>
    </row>
    <row r="8" spans="1:51">
      <c r="A8" s="913">
        <f t="shared" si="24"/>
        <v>450</v>
      </c>
      <c r="B8" s="734">
        <v>85</v>
      </c>
      <c r="C8" s="619">
        <v>23</v>
      </c>
      <c r="E8" s="912">
        <f t="shared" si="0"/>
        <v>450</v>
      </c>
      <c r="F8" s="922">
        <f t="shared" si="1"/>
        <v>0.78703703703703709</v>
      </c>
      <c r="G8" s="918">
        <f t="shared" si="2"/>
        <v>0.5</v>
      </c>
      <c r="H8" s="917">
        <f t="shared" si="3"/>
        <v>-74.859895500474096</v>
      </c>
      <c r="J8" s="25" t="s">
        <v>2602</v>
      </c>
      <c r="M8" s="912">
        <f t="shared" si="4"/>
        <v>450</v>
      </c>
      <c r="N8" s="922">
        <f t="shared" si="5"/>
        <v>0.78703703703703709</v>
      </c>
      <c r="O8" s="918" t="e">
        <f t="shared" ca="1" si="6"/>
        <v>#NAME?</v>
      </c>
      <c r="P8" s="917" t="e">
        <f t="shared" ca="1" si="7"/>
        <v>#NAME?</v>
      </c>
      <c r="R8" s="25" t="s">
        <v>2602</v>
      </c>
      <c r="U8" s="912">
        <f t="shared" si="8"/>
        <v>450</v>
      </c>
      <c r="V8" s="922">
        <f t="shared" si="9"/>
        <v>0.78703703703703709</v>
      </c>
      <c r="W8" s="918" t="e">
        <f t="shared" ca="1" si="10"/>
        <v>#NAME?</v>
      </c>
      <c r="X8" s="917" t="e">
        <f t="shared" ca="1" si="11"/>
        <v>#NAME?</v>
      </c>
      <c r="Z8" s="25" t="s">
        <v>2602</v>
      </c>
      <c r="AC8" s="912">
        <f t="shared" si="12"/>
        <v>450</v>
      </c>
      <c r="AD8" s="922">
        <f t="shared" si="13"/>
        <v>0.78703703703703709</v>
      </c>
      <c r="AE8" s="918" t="e">
        <f t="shared" ca="1" si="14"/>
        <v>#NAME?</v>
      </c>
      <c r="AF8" s="917" t="e">
        <f t="shared" ca="1" si="15"/>
        <v>#NAME?</v>
      </c>
      <c r="AH8" s="25" t="s">
        <v>2602</v>
      </c>
      <c r="AK8" s="912">
        <f t="shared" si="16"/>
        <v>450</v>
      </c>
      <c r="AL8" s="922">
        <f t="shared" si="17"/>
        <v>0.78703703703703709</v>
      </c>
      <c r="AM8" s="918" t="e">
        <f t="shared" ca="1" si="18"/>
        <v>#NAME?</v>
      </c>
      <c r="AN8" s="917" t="e">
        <f t="shared" ca="1" si="19"/>
        <v>#NAME?</v>
      </c>
      <c r="AP8" s="25" t="s">
        <v>2602</v>
      </c>
      <c r="AS8" s="912">
        <f t="shared" si="20"/>
        <v>450</v>
      </c>
      <c r="AT8" s="922">
        <f t="shared" si="21"/>
        <v>0.78703703703703709</v>
      </c>
      <c r="AU8" s="918" t="e">
        <f t="shared" ca="1" si="22"/>
        <v>#NAME?</v>
      </c>
      <c r="AV8" s="917" t="e">
        <f t="shared" ca="1" si="23"/>
        <v>#NAME?</v>
      </c>
      <c r="AX8" s="25" t="s">
        <v>2602</v>
      </c>
    </row>
    <row r="9" spans="1:51">
      <c r="A9" s="913">
        <f t="shared" si="24"/>
        <v>550</v>
      </c>
      <c r="B9" s="734">
        <v>64</v>
      </c>
      <c r="C9" s="619">
        <v>38</v>
      </c>
      <c r="E9" s="912">
        <f t="shared" si="0"/>
        <v>550</v>
      </c>
      <c r="F9" s="922">
        <f t="shared" si="1"/>
        <v>0.62745098039215685</v>
      </c>
      <c r="G9" s="918">
        <f t="shared" si="2"/>
        <v>0.5</v>
      </c>
      <c r="H9" s="917">
        <f t="shared" si="3"/>
        <v>-70.701012417114413</v>
      </c>
      <c r="J9" s="937" t="e">
        <f t="array" aca="1" ref="J9:K10" ca="1">MINVERSE(MMULT(TRANSPOSE([1]!DESIGN(E4:E13)),MMULT([1]!DIAGONAL(G4:G13*(1-G4:G13)*($B$4:$B$13+$C$4:$C$13)),[1]!DESIGN(E4:E13))))</f>
        <v>#NAME?</v>
      </c>
      <c r="K9" s="938" t="e">
        <f ca="1"/>
        <v>#NAME?</v>
      </c>
      <c r="M9" s="912">
        <f t="shared" si="4"/>
        <v>550</v>
      </c>
      <c r="N9" s="922">
        <f t="shared" si="5"/>
        <v>0.62745098039215685</v>
      </c>
      <c r="O9" s="918" t="e">
        <f t="shared" ca="1" si="6"/>
        <v>#NAME?</v>
      </c>
      <c r="P9" s="917" t="e">
        <f t="shared" ca="1" si="7"/>
        <v>#NAME?</v>
      </c>
      <c r="R9" s="937" t="e">
        <f t="array" aca="1" ref="R9:S10" ca="1">MINVERSE(MMULT(TRANSPOSE([1]!DESIGN(M4:M13)*O4:O13*(1-O4:O13)*($B$4:$B$13+$C$4:$C$13)),[1]!DESIGN(M4:M13)))</f>
        <v>#NAME?</v>
      </c>
      <c r="S9" s="938" t="e">
        <f ca="1"/>
        <v>#NAME?</v>
      </c>
      <c r="U9" s="912">
        <f t="shared" si="8"/>
        <v>550</v>
      </c>
      <c r="V9" s="922">
        <f t="shared" si="9"/>
        <v>0.62745098039215685</v>
      </c>
      <c r="W9" s="918" t="e">
        <f t="shared" ca="1" si="10"/>
        <v>#NAME?</v>
      </c>
      <c r="X9" s="917" t="e">
        <f t="shared" ca="1" si="11"/>
        <v>#NAME?</v>
      </c>
      <c r="Z9" s="937" t="e">
        <f t="array" aca="1" ref="Z9:AA10" ca="1">MINVERSE(MMULT(TRANSPOSE([1]!DESIGN(U4:U13)*W4:W13*(1-W4:W13)*($B$4:$B$13+$C$4:$C$13)),[1]!DESIGN(U4:U13)))</f>
        <v>#NAME?</v>
      </c>
      <c r="AA9" s="938" t="e">
        <f ca="1"/>
        <v>#NAME?</v>
      </c>
      <c r="AC9" s="912">
        <f t="shared" si="12"/>
        <v>550</v>
      </c>
      <c r="AD9" s="922">
        <f t="shared" si="13"/>
        <v>0.62745098039215685</v>
      </c>
      <c r="AE9" s="918" t="e">
        <f t="shared" ca="1" si="14"/>
        <v>#NAME?</v>
      </c>
      <c r="AF9" s="917" t="e">
        <f t="shared" ca="1" si="15"/>
        <v>#NAME?</v>
      </c>
      <c r="AH9" s="937" t="e">
        <f t="array" aca="1" ref="AH9:AI10" ca="1">MINVERSE(MMULT(TRANSPOSE([1]!DESIGN(AC4:AC13)*AE4:AE13*(1-AE4:AE13)*($B$4:$B$13+$C$4:$C$13)),[1]!DESIGN(AC4:AC13)))</f>
        <v>#NAME?</v>
      </c>
      <c r="AI9" s="938" t="e">
        <f ca="1"/>
        <v>#NAME?</v>
      </c>
      <c r="AK9" s="912">
        <f t="shared" si="16"/>
        <v>550</v>
      </c>
      <c r="AL9" s="922">
        <f t="shared" si="17"/>
        <v>0.62745098039215685</v>
      </c>
      <c r="AM9" s="918" t="e">
        <f t="shared" ca="1" si="18"/>
        <v>#NAME?</v>
      </c>
      <c r="AN9" s="917" t="e">
        <f t="shared" ca="1" si="19"/>
        <v>#NAME?</v>
      </c>
      <c r="AP9" s="937" t="e">
        <f t="array" aca="1" ref="AP9:AQ10" ca="1">MINVERSE(MMULT(TRANSPOSE([1]!DESIGN(AK4:AK13)*AM4:AM13*(1-AM4:AM13)*($B$4:$B$13+$C$4:$C$13)),[1]!DESIGN(AK4:AK13)))</f>
        <v>#NAME?</v>
      </c>
      <c r="AQ9" s="938" t="e">
        <f ca="1"/>
        <v>#NAME?</v>
      </c>
      <c r="AS9" s="912">
        <f t="shared" si="20"/>
        <v>550</v>
      </c>
      <c r="AT9" s="922">
        <f t="shared" si="21"/>
        <v>0.62745098039215685</v>
      </c>
      <c r="AU9" s="918" t="e">
        <f t="shared" ca="1" si="22"/>
        <v>#NAME?</v>
      </c>
      <c r="AV9" s="917" t="e">
        <f t="shared" ca="1" si="23"/>
        <v>#NAME?</v>
      </c>
      <c r="AX9" s="937" t="e">
        <f t="array" aca="1" ref="AX9:AY10" ca="1">MINVERSE(MMULT(TRANSPOSE([1]!DESIGN(AS4:AS13)*AU4:AU13*(1-AU4:AU13)*($B$4:$B$13+$C$4:$C$13)),[1]!DESIGN(AS4:AS13)))</f>
        <v>#NAME?</v>
      </c>
      <c r="AY9" s="938" t="e">
        <f ca="1"/>
        <v>#NAME?</v>
      </c>
    </row>
    <row r="10" spans="1:51">
      <c r="A10" s="913">
        <f t="shared" si="24"/>
        <v>650</v>
      </c>
      <c r="B10" s="734">
        <v>53</v>
      </c>
      <c r="C10" s="619">
        <v>73</v>
      </c>
      <c r="E10" s="912">
        <f t="shared" si="0"/>
        <v>650</v>
      </c>
      <c r="F10" s="922">
        <f t="shared" si="1"/>
        <v>0.42063492063492064</v>
      </c>
      <c r="G10" s="918">
        <f t="shared" si="2"/>
        <v>0.5</v>
      </c>
      <c r="H10" s="917">
        <f t="shared" si="3"/>
        <v>-87.336544750553088</v>
      </c>
      <c r="J10" s="620" t="e">
        <f ca="1"/>
        <v>#NAME?</v>
      </c>
      <c r="K10" s="621" t="e">
        <f ca="1"/>
        <v>#NAME?</v>
      </c>
      <c r="M10" s="912">
        <f t="shared" si="4"/>
        <v>650</v>
      </c>
      <c r="N10" s="922">
        <f t="shared" si="5"/>
        <v>0.42063492063492064</v>
      </c>
      <c r="O10" s="918" t="e">
        <f t="shared" ca="1" si="6"/>
        <v>#NAME?</v>
      </c>
      <c r="P10" s="917" t="e">
        <f t="shared" ca="1" si="7"/>
        <v>#NAME?</v>
      </c>
      <c r="R10" s="620" t="e">
        <f ca="1"/>
        <v>#NAME?</v>
      </c>
      <c r="S10" s="621" t="e">
        <f ca="1"/>
        <v>#NAME?</v>
      </c>
      <c r="U10" s="912">
        <f t="shared" si="8"/>
        <v>650</v>
      </c>
      <c r="V10" s="922">
        <f t="shared" si="9"/>
        <v>0.42063492063492064</v>
      </c>
      <c r="W10" s="918" t="e">
        <f t="shared" ca="1" si="10"/>
        <v>#NAME?</v>
      </c>
      <c r="X10" s="917" t="e">
        <f t="shared" ca="1" si="11"/>
        <v>#NAME?</v>
      </c>
      <c r="Z10" s="620" t="e">
        <f ca="1"/>
        <v>#NAME?</v>
      </c>
      <c r="AA10" s="621" t="e">
        <f ca="1"/>
        <v>#NAME?</v>
      </c>
      <c r="AC10" s="912">
        <f t="shared" si="12"/>
        <v>650</v>
      </c>
      <c r="AD10" s="922">
        <f t="shared" si="13"/>
        <v>0.42063492063492064</v>
      </c>
      <c r="AE10" s="918" t="e">
        <f t="shared" ca="1" si="14"/>
        <v>#NAME?</v>
      </c>
      <c r="AF10" s="917" t="e">
        <f t="shared" ca="1" si="15"/>
        <v>#NAME?</v>
      </c>
      <c r="AH10" s="620" t="e">
        <f ca="1"/>
        <v>#NAME?</v>
      </c>
      <c r="AI10" s="621" t="e">
        <f ca="1"/>
        <v>#NAME?</v>
      </c>
      <c r="AK10" s="912">
        <f t="shared" si="16"/>
        <v>650</v>
      </c>
      <c r="AL10" s="922">
        <f t="shared" si="17"/>
        <v>0.42063492063492064</v>
      </c>
      <c r="AM10" s="918" t="e">
        <f t="shared" ca="1" si="18"/>
        <v>#NAME?</v>
      </c>
      <c r="AN10" s="917" t="e">
        <f t="shared" ca="1" si="19"/>
        <v>#NAME?</v>
      </c>
      <c r="AP10" s="620" t="e">
        <f ca="1"/>
        <v>#NAME?</v>
      </c>
      <c r="AQ10" s="621" t="e">
        <f ca="1"/>
        <v>#NAME?</v>
      </c>
      <c r="AS10" s="912">
        <f t="shared" si="20"/>
        <v>650</v>
      </c>
      <c r="AT10" s="922">
        <f t="shared" si="21"/>
        <v>0.42063492063492064</v>
      </c>
      <c r="AU10" s="918" t="e">
        <f t="shared" ca="1" si="22"/>
        <v>#NAME?</v>
      </c>
      <c r="AV10" s="917" t="e">
        <f t="shared" ca="1" si="23"/>
        <v>#NAME?</v>
      </c>
      <c r="AX10" s="620" t="e">
        <f ca="1"/>
        <v>#NAME?</v>
      </c>
      <c r="AY10" s="621" t="e">
        <f ca="1"/>
        <v>#NAME?</v>
      </c>
    </row>
    <row r="11" spans="1:51">
      <c r="A11" s="913">
        <f t="shared" si="24"/>
        <v>750</v>
      </c>
      <c r="B11" s="734">
        <v>31</v>
      </c>
      <c r="C11" s="619">
        <v>81</v>
      </c>
      <c r="E11" s="912">
        <f t="shared" si="0"/>
        <v>750</v>
      </c>
      <c r="F11" s="922">
        <f t="shared" si="1"/>
        <v>0.2767857142857143</v>
      </c>
      <c r="G11" s="918">
        <f t="shared" si="2"/>
        <v>0.5</v>
      </c>
      <c r="H11" s="917">
        <f t="shared" si="3"/>
        <v>-77.63248422271387</v>
      </c>
      <c r="M11" s="912">
        <f t="shared" si="4"/>
        <v>750</v>
      </c>
      <c r="N11" s="922">
        <f t="shared" si="5"/>
        <v>0.2767857142857143</v>
      </c>
      <c r="O11" s="918" t="e">
        <f t="shared" ca="1" si="6"/>
        <v>#NAME?</v>
      </c>
      <c r="P11" s="917" t="e">
        <f t="shared" ca="1" si="7"/>
        <v>#NAME?</v>
      </c>
      <c r="U11" s="912">
        <f t="shared" si="8"/>
        <v>750</v>
      </c>
      <c r="V11" s="922">
        <f t="shared" si="9"/>
        <v>0.2767857142857143</v>
      </c>
      <c r="W11" s="918" t="e">
        <f t="shared" ca="1" si="10"/>
        <v>#NAME?</v>
      </c>
      <c r="X11" s="917" t="e">
        <f t="shared" ca="1" si="11"/>
        <v>#NAME?</v>
      </c>
      <c r="AC11" s="912">
        <f t="shared" si="12"/>
        <v>750</v>
      </c>
      <c r="AD11" s="922">
        <f t="shared" si="13"/>
        <v>0.2767857142857143</v>
      </c>
      <c r="AE11" s="918" t="e">
        <f t="shared" ca="1" si="14"/>
        <v>#NAME?</v>
      </c>
      <c r="AF11" s="917" t="e">
        <f t="shared" ca="1" si="15"/>
        <v>#NAME?</v>
      </c>
      <c r="AK11" s="912">
        <f t="shared" si="16"/>
        <v>750</v>
      </c>
      <c r="AL11" s="922">
        <f t="shared" si="17"/>
        <v>0.2767857142857143</v>
      </c>
      <c r="AM11" s="918" t="e">
        <f t="shared" ca="1" si="18"/>
        <v>#NAME?</v>
      </c>
      <c r="AN11" s="917" t="e">
        <f t="shared" ca="1" si="19"/>
        <v>#NAME?</v>
      </c>
      <c r="AS11" s="912">
        <f t="shared" si="20"/>
        <v>750</v>
      </c>
      <c r="AT11" s="922">
        <f t="shared" si="21"/>
        <v>0.2767857142857143</v>
      </c>
      <c r="AU11" s="918" t="e">
        <f t="shared" ca="1" si="22"/>
        <v>#NAME?</v>
      </c>
      <c r="AV11" s="917" t="e">
        <f t="shared" ca="1" si="23"/>
        <v>#NAME?</v>
      </c>
    </row>
    <row r="12" spans="1:51">
      <c r="A12" s="913">
        <f t="shared" si="24"/>
        <v>850</v>
      </c>
      <c r="B12" s="734">
        <v>10</v>
      </c>
      <c r="C12" s="619">
        <v>41</v>
      </c>
      <c r="E12" s="912">
        <f t="shared" si="0"/>
        <v>850</v>
      </c>
      <c r="F12" s="922">
        <f t="shared" si="1"/>
        <v>0.19607843137254902</v>
      </c>
      <c r="G12" s="918">
        <f t="shared" si="2"/>
        <v>0.5</v>
      </c>
      <c r="H12" s="917">
        <f t="shared" si="3"/>
        <v>-35.350506208557206</v>
      </c>
      <c r="J12" s="25" t="s">
        <v>2612</v>
      </c>
      <c r="M12" s="912">
        <f t="shared" si="4"/>
        <v>850</v>
      </c>
      <c r="N12" s="922">
        <f t="shared" si="5"/>
        <v>0.19607843137254902</v>
      </c>
      <c r="O12" s="918" t="e">
        <f t="shared" ca="1" si="6"/>
        <v>#NAME?</v>
      </c>
      <c r="P12" s="917" t="e">
        <f t="shared" ca="1" si="7"/>
        <v>#NAME?</v>
      </c>
      <c r="R12" s="25" t="s">
        <v>2612</v>
      </c>
      <c r="U12" s="912">
        <f t="shared" si="8"/>
        <v>850</v>
      </c>
      <c r="V12" s="922">
        <f t="shared" si="9"/>
        <v>0.19607843137254902</v>
      </c>
      <c r="W12" s="918" t="e">
        <f t="shared" ca="1" si="10"/>
        <v>#NAME?</v>
      </c>
      <c r="X12" s="917" t="e">
        <f t="shared" ca="1" si="11"/>
        <v>#NAME?</v>
      </c>
      <c r="Z12" s="25" t="s">
        <v>2612</v>
      </c>
      <c r="AC12" s="912">
        <f t="shared" si="12"/>
        <v>850</v>
      </c>
      <c r="AD12" s="922">
        <f t="shared" si="13"/>
        <v>0.19607843137254902</v>
      </c>
      <c r="AE12" s="918" t="e">
        <f t="shared" ca="1" si="14"/>
        <v>#NAME?</v>
      </c>
      <c r="AF12" s="917" t="e">
        <f t="shared" ca="1" si="15"/>
        <v>#NAME?</v>
      </c>
      <c r="AH12" s="25" t="s">
        <v>2612</v>
      </c>
      <c r="AK12" s="912">
        <f t="shared" si="16"/>
        <v>850</v>
      </c>
      <c r="AL12" s="922">
        <f t="shared" si="17"/>
        <v>0.19607843137254902</v>
      </c>
      <c r="AM12" s="918" t="e">
        <f t="shared" ca="1" si="18"/>
        <v>#NAME?</v>
      </c>
      <c r="AN12" s="917" t="e">
        <f t="shared" ca="1" si="19"/>
        <v>#NAME?</v>
      </c>
      <c r="AP12" s="25" t="s">
        <v>2612</v>
      </c>
      <c r="AS12" s="912">
        <f t="shared" si="20"/>
        <v>850</v>
      </c>
      <c r="AT12" s="922">
        <f t="shared" si="21"/>
        <v>0.19607843137254902</v>
      </c>
      <c r="AU12" s="918" t="e">
        <f t="shared" ca="1" si="22"/>
        <v>#NAME?</v>
      </c>
      <c r="AV12" s="917" t="e">
        <f t="shared" ca="1" si="23"/>
        <v>#NAME?</v>
      </c>
      <c r="AX12" s="25" t="s">
        <v>2612</v>
      </c>
    </row>
    <row r="13" spans="1:51">
      <c r="A13" s="913">
        <f t="shared" si="24"/>
        <v>950</v>
      </c>
      <c r="B13" s="620">
        <v>3</v>
      </c>
      <c r="C13" s="621">
        <v>28</v>
      </c>
      <c r="E13" s="912">
        <f t="shared" si="0"/>
        <v>950</v>
      </c>
      <c r="F13" s="923">
        <f t="shared" si="1"/>
        <v>9.6774193548387094E-2</v>
      </c>
      <c r="G13" s="924">
        <f t="shared" si="2"/>
        <v>0.5</v>
      </c>
      <c r="H13" s="925">
        <f t="shared" si="3"/>
        <v>-21.487562597358306</v>
      </c>
      <c r="J13" s="974" t="e">
        <f t="array" aca="1" ref="J13:J14" ca="1">MMULT(J9:K10,MMULT(TRANSPOSE([1]!DESIGN(E4:E13)),($B$4:$B$13+$C$4:$C$13)*(F4:F13-G4:G13)))</f>
        <v>#NAME?</v>
      </c>
      <c r="M13" s="912">
        <f t="shared" si="4"/>
        <v>950</v>
      </c>
      <c r="N13" s="923">
        <f t="shared" si="5"/>
        <v>9.6774193548387094E-2</v>
      </c>
      <c r="O13" s="924" t="e">
        <f t="shared" ca="1" si="6"/>
        <v>#NAME?</v>
      </c>
      <c r="P13" s="925" t="e">
        <f t="shared" ca="1" si="7"/>
        <v>#NAME?</v>
      </c>
      <c r="R13" s="974" t="e">
        <f t="array" aca="1" ref="R13:R14" ca="1">MMULT(R9:S10,MMULT(TRANSPOSE([1]!DESIGN(M4:M13)),($B$4:$B$13+$C$4:$C$13)*(N4:N13-O4:O13)))</f>
        <v>#NAME?</v>
      </c>
      <c r="U13" s="912">
        <f t="shared" si="8"/>
        <v>950</v>
      </c>
      <c r="V13" s="923">
        <f t="shared" si="9"/>
        <v>9.6774193548387094E-2</v>
      </c>
      <c r="W13" s="924" t="e">
        <f t="shared" ca="1" si="10"/>
        <v>#NAME?</v>
      </c>
      <c r="X13" s="925" t="e">
        <f t="shared" ca="1" si="11"/>
        <v>#NAME?</v>
      </c>
      <c r="Z13" s="974" t="e">
        <f t="array" aca="1" ref="Z13:Z14" ca="1">MMULT(Z9:AA10,MMULT(TRANSPOSE([1]!DESIGN(U4:U13)),($B$4:$B$13+$C$4:$C$13)*(V4:V13-W4:W13)))</f>
        <v>#NAME?</v>
      </c>
      <c r="AC13" s="912">
        <f t="shared" si="12"/>
        <v>950</v>
      </c>
      <c r="AD13" s="923">
        <f t="shared" si="13"/>
        <v>9.6774193548387094E-2</v>
      </c>
      <c r="AE13" s="924" t="e">
        <f t="shared" ca="1" si="14"/>
        <v>#NAME?</v>
      </c>
      <c r="AF13" s="925" t="e">
        <f t="shared" ca="1" si="15"/>
        <v>#NAME?</v>
      </c>
      <c r="AH13" s="974" t="e">
        <f t="array" aca="1" ref="AH13:AH14" ca="1">MMULT(AH9:AI10,MMULT(TRANSPOSE([1]!DESIGN(AC4:AC13)),($B$4:$B$13+$C$4:$C$13)*(AD4:AD13-AE4:AE13)))</f>
        <v>#NAME?</v>
      </c>
      <c r="AK13" s="912">
        <f t="shared" si="16"/>
        <v>950</v>
      </c>
      <c r="AL13" s="923">
        <f t="shared" si="17"/>
        <v>9.6774193548387094E-2</v>
      </c>
      <c r="AM13" s="924" t="e">
        <f t="shared" ca="1" si="18"/>
        <v>#NAME?</v>
      </c>
      <c r="AN13" s="925" t="e">
        <f t="shared" ca="1" si="19"/>
        <v>#NAME?</v>
      </c>
      <c r="AP13" s="974" t="e">
        <f t="array" aca="1" ref="AP13:AP14" ca="1">MMULT(AP9:AQ10,MMULT(TRANSPOSE([1]!DESIGN(AK4:AK13)),($B$4:$B$13+$C$4:$C$13)*(AL4:AL13-AM4:AM13)))</f>
        <v>#NAME?</v>
      </c>
      <c r="AS13" s="912">
        <f t="shared" si="20"/>
        <v>950</v>
      </c>
      <c r="AT13" s="923">
        <f t="shared" si="21"/>
        <v>9.6774193548387094E-2</v>
      </c>
      <c r="AU13" s="924" t="e">
        <f t="shared" ca="1" si="22"/>
        <v>#NAME?</v>
      </c>
      <c r="AV13" s="925" t="e">
        <f t="shared" ca="1" si="23"/>
        <v>#NAME?</v>
      </c>
      <c r="AX13" s="974" t="e">
        <f t="array" aca="1" ref="AX13:AX14" ca="1">MMULT(AX9:AY10,MMULT(TRANSPOSE([1]!DESIGN(AS4:AS13)),AT4:AT13-AU4:AU13))</f>
        <v>#NAME?</v>
      </c>
    </row>
    <row r="14" spans="1:51">
      <c r="B14" s="25">
        <f>SUM(B4:B13)</f>
        <v>458</v>
      </c>
      <c r="C14" s="25">
        <f>SUM(C4:C13)</f>
        <v>302</v>
      </c>
      <c r="E14" s="912"/>
      <c r="F14" s="912"/>
      <c r="G14" s="912"/>
      <c r="H14" s="912">
        <f>SUM(H4:H13)</f>
        <v>-526.79185722555849</v>
      </c>
      <c r="J14" s="827" t="e">
        <f ca="1"/>
        <v>#NAME?</v>
      </c>
      <c r="M14" s="912"/>
      <c r="N14" s="912"/>
      <c r="O14" s="912"/>
      <c r="P14" s="912" t="e">
        <f ca="1">SUM(P4:P13)</f>
        <v>#NAME?</v>
      </c>
      <c r="R14" s="827" t="e">
        <f ca="1"/>
        <v>#NAME?</v>
      </c>
      <c r="U14" s="912"/>
      <c r="V14" s="912"/>
      <c r="W14" s="912"/>
      <c r="X14" s="912" t="e">
        <f ca="1">SUM(X4:X13)</f>
        <v>#NAME?</v>
      </c>
      <c r="Z14" s="827" t="e">
        <f ca="1"/>
        <v>#NAME?</v>
      </c>
      <c r="AC14" s="912"/>
      <c r="AD14" s="912"/>
      <c r="AE14" s="912"/>
      <c r="AF14" s="912" t="e">
        <f ca="1">SUM(AF4:AF13)</f>
        <v>#NAME?</v>
      </c>
      <c r="AH14" s="827" t="e">
        <f ca="1"/>
        <v>#NAME?</v>
      </c>
      <c r="AK14" s="912"/>
      <c r="AL14" s="912"/>
      <c r="AM14" s="912"/>
      <c r="AN14" s="912" t="e">
        <f ca="1">SUM(AN4:AN13)</f>
        <v>#NAME?</v>
      </c>
      <c r="AP14" s="827" t="e">
        <f ca="1"/>
        <v>#NAME?</v>
      </c>
      <c r="AS14" s="912"/>
      <c r="AT14" s="912"/>
      <c r="AU14" s="912"/>
      <c r="AV14" s="912" t="e">
        <f ca="1">SUM(AV4:AV13)</f>
        <v>#NAME?</v>
      </c>
      <c r="AX14" s="827" t="e">
        <f ca="1"/>
        <v>#NAME?</v>
      </c>
    </row>
    <row r="17" spans="13:27">
      <c r="N17" s="25" t="s">
        <v>2617</v>
      </c>
      <c r="V17" s="25" t="s">
        <v>2618</v>
      </c>
    </row>
    <row r="19" spans="13:27">
      <c r="M19" s="912" t="s">
        <v>28</v>
      </c>
      <c r="N19" s="968" t="s">
        <v>400</v>
      </c>
      <c r="O19" s="968" t="s">
        <v>325</v>
      </c>
      <c r="P19" s="968" t="s">
        <v>1982</v>
      </c>
      <c r="Q19" s="912"/>
      <c r="R19" s="386" t="s">
        <v>2095</v>
      </c>
      <c r="T19" s="912"/>
      <c r="U19" s="912" t="s">
        <v>28</v>
      </c>
      <c r="V19" s="968" t="s">
        <v>400</v>
      </c>
      <c r="W19" s="968" t="s">
        <v>325</v>
      </c>
      <c r="X19" s="968" t="s">
        <v>1982</v>
      </c>
      <c r="Y19" s="912"/>
      <c r="Z19" s="386" t="s">
        <v>2095</v>
      </c>
    </row>
    <row r="20" spans="13:27">
      <c r="M20" s="912">
        <f>U4</f>
        <v>50</v>
      </c>
      <c r="N20" s="920">
        <f>V4</f>
        <v>1</v>
      </c>
      <c r="O20" s="975" t="e">
        <f ca="1">1/(1+EXP(-R$21-R$22*M20))</f>
        <v>#NAME?</v>
      </c>
      <c r="P20" s="921" t="e">
        <f ca="1">($B4+$C4)*(N20*LN(O20)+(1-N20)*LN(1-O20))</f>
        <v>#NAME?</v>
      </c>
      <c r="U20" s="912">
        <f>M20</f>
        <v>50</v>
      </c>
      <c r="V20" s="920">
        <f>N20</f>
        <v>1</v>
      </c>
      <c r="W20" s="975" t="e">
        <f ca="1">1/(1+EXP(-Z$21-Z$22*U20))</f>
        <v>#NAME?</v>
      </c>
      <c r="X20" s="921" t="e">
        <f ca="1">($B4+$C4)*(V20*LN(W20)+(1-V20)*LN(1-W20))</f>
        <v>#NAME?</v>
      </c>
    </row>
    <row r="21" spans="13:27">
      <c r="M21" s="912">
        <f t="shared" ref="M21:M29" si="25">U5</f>
        <v>150</v>
      </c>
      <c r="N21" s="922">
        <f t="shared" ref="N21:N29" si="26">V5</f>
        <v>0.96666666666666667</v>
      </c>
      <c r="O21" s="918" t="e">
        <f t="shared" ref="O21:O29" ca="1" si="27">1/(1+EXP(-R$21-R$22*M21))</f>
        <v>#NAME?</v>
      </c>
      <c r="P21" s="917" t="e">
        <f t="shared" ref="P21:P29" ca="1" si="28">($B5+$C5)*(N21*LN(O21)+(1-N21)*LN(1-O21))</f>
        <v>#NAME?</v>
      </c>
      <c r="R21" s="825" t="e">
        <f t="array" ref="R21:R22" ca="1">Z5:Z6+Z13:Z14</f>
        <v>#NAME?</v>
      </c>
      <c r="U21" s="912">
        <f t="shared" ref="U21:U29" si="29">M21</f>
        <v>150</v>
      </c>
      <c r="V21" s="922">
        <f t="shared" ref="V21:V29" si="30">N21</f>
        <v>0.96666666666666667</v>
      </c>
      <c r="W21" s="918" t="e">
        <f t="shared" ref="W21:W29" ca="1" si="31">1/(1+EXP(-Z$21-Z$22*U21))</f>
        <v>#NAME?</v>
      </c>
      <c r="X21" s="917" t="e">
        <f t="shared" ref="X21:X29" ca="1" si="32">($B5+$C5)*(V21*LN(W21)+(1-V21)*LN(1-W21))</f>
        <v>#NAME?</v>
      </c>
      <c r="Z21" s="825" t="e">
        <f t="array" ref="Z21:Z22" ca="1">R21:R22+R29:R30</f>
        <v>#NAME?</v>
      </c>
    </row>
    <row r="22" spans="13:27">
      <c r="M22" s="912">
        <f t="shared" si="25"/>
        <v>250</v>
      </c>
      <c r="N22" s="922">
        <f t="shared" si="26"/>
        <v>0.93548387096774188</v>
      </c>
      <c r="O22" s="918" t="e">
        <f t="shared" ca="1" si="27"/>
        <v>#NAME?</v>
      </c>
      <c r="P22" s="917" t="e">
        <f t="shared" ca="1" si="28"/>
        <v>#NAME?</v>
      </c>
      <c r="R22" s="827" t="e">
        <f ca="1"/>
        <v>#NAME?</v>
      </c>
      <c r="U22" s="912">
        <f t="shared" si="29"/>
        <v>250</v>
      </c>
      <c r="V22" s="922">
        <f t="shared" si="30"/>
        <v>0.93548387096774188</v>
      </c>
      <c r="W22" s="918" t="e">
        <f t="shared" ca="1" si="31"/>
        <v>#NAME?</v>
      </c>
      <c r="X22" s="917" t="e">
        <f t="shared" ca="1" si="32"/>
        <v>#NAME?</v>
      </c>
      <c r="Z22" s="827" t="e">
        <f ca="1"/>
        <v>#NAME?</v>
      </c>
    </row>
    <row r="23" spans="13:27">
      <c r="M23" s="912">
        <f t="shared" si="25"/>
        <v>350</v>
      </c>
      <c r="N23" s="922">
        <f t="shared" si="26"/>
        <v>0.87209302325581395</v>
      </c>
      <c r="O23" s="918" t="e">
        <f t="shared" ca="1" si="27"/>
        <v>#NAME?</v>
      </c>
      <c r="P23" s="917" t="e">
        <f t="shared" ca="1" si="28"/>
        <v>#NAME?</v>
      </c>
      <c r="U23" s="912">
        <f t="shared" si="29"/>
        <v>350</v>
      </c>
      <c r="V23" s="922">
        <f t="shared" si="30"/>
        <v>0.87209302325581395</v>
      </c>
      <c r="W23" s="918" t="e">
        <f t="shared" ca="1" si="31"/>
        <v>#NAME?</v>
      </c>
      <c r="X23" s="917" t="e">
        <f t="shared" ca="1" si="32"/>
        <v>#NAME?</v>
      </c>
    </row>
    <row r="24" spans="13:27">
      <c r="M24" s="912">
        <f t="shared" si="25"/>
        <v>450</v>
      </c>
      <c r="N24" s="922">
        <f t="shared" si="26"/>
        <v>0.78703703703703709</v>
      </c>
      <c r="O24" s="918" t="e">
        <f t="shared" ca="1" si="27"/>
        <v>#NAME?</v>
      </c>
      <c r="P24" s="917" t="e">
        <f t="shared" ca="1" si="28"/>
        <v>#NAME?</v>
      </c>
      <c r="R24" s="25" t="s">
        <v>2602</v>
      </c>
      <c r="U24" s="912">
        <f t="shared" si="29"/>
        <v>450</v>
      </c>
      <c r="V24" s="922">
        <f t="shared" si="30"/>
        <v>0.78703703703703709</v>
      </c>
      <c r="W24" s="918" t="e">
        <f t="shared" ca="1" si="31"/>
        <v>#NAME?</v>
      </c>
      <c r="X24" s="917" t="e">
        <f t="shared" ca="1" si="32"/>
        <v>#NAME?</v>
      </c>
      <c r="Z24" s="25" t="s">
        <v>2602</v>
      </c>
    </row>
    <row r="25" spans="13:27">
      <c r="M25" s="912">
        <f t="shared" si="25"/>
        <v>550</v>
      </c>
      <c r="N25" s="922">
        <f t="shared" si="26"/>
        <v>0.62745098039215685</v>
      </c>
      <c r="O25" s="918" t="e">
        <f t="shared" ca="1" si="27"/>
        <v>#NAME?</v>
      </c>
      <c r="P25" s="917" t="e">
        <f t="shared" ca="1" si="28"/>
        <v>#NAME?</v>
      </c>
      <c r="R25" s="937" t="e">
        <f t="array" aca="1" ref="R25:S26" ca="1">MINVERSE(MMULT(TRANSPOSE([1]!DESIGN(M20:M29)*O20:O29*(1-O20:O29)*($B$4:$B$13+$C$4:$C$13)),[1]!DESIGN(M20:M29)))</f>
        <v>#NAME?</v>
      </c>
      <c r="S25" s="938" t="e">
        <f ca="1"/>
        <v>#NAME?</v>
      </c>
      <c r="U25" s="912">
        <f t="shared" si="29"/>
        <v>550</v>
      </c>
      <c r="V25" s="922">
        <f t="shared" si="30"/>
        <v>0.62745098039215685</v>
      </c>
      <c r="W25" s="918" t="e">
        <f t="shared" ca="1" si="31"/>
        <v>#NAME?</v>
      </c>
      <c r="X25" s="917" t="e">
        <f t="shared" ca="1" si="32"/>
        <v>#NAME?</v>
      </c>
      <c r="Z25" s="937" t="e">
        <f t="array" aca="1" ref="Z25:AA26" ca="1">MINVERSE(MMULT(TRANSPOSE([1]!DESIGN(U20:U29)*W20:W29*(1-W20:W29)*($B$4:$B$13+$C$4:$C$13)),[1]!DESIGN(U20:U29)))</f>
        <v>#NAME?</v>
      </c>
      <c r="AA25" s="938" t="e">
        <f ca="1"/>
        <v>#NAME?</v>
      </c>
    </row>
    <row r="26" spans="13:27">
      <c r="M26" s="912">
        <f t="shared" si="25"/>
        <v>650</v>
      </c>
      <c r="N26" s="922">
        <f t="shared" si="26"/>
        <v>0.42063492063492064</v>
      </c>
      <c r="O26" s="918" t="e">
        <f t="shared" ca="1" si="27"/>
        <v>#NAME?</v>
      </c>
      <c r="P26" s="917" t="e">
        <f t="shared" ca="1" si="28"/>
        <v>#NAME?</v>
      </c>
      <c r="R26" s="620" t="e">
        <f ca="1"/>
        <v>#NAME?</v>
      </c>
      <c r="S26" s="621" t="e">
        <f ca="1"/>
        <v>#NAME?</v>
      </c>
      <c r="U26" s="912">
        <f t="shared" si="29"/>
        <v>650</v>
      </c>
      <c r="V26" s="922">
        <f t="shared" si="30"/>
        <v>0.42063492063492064</v>
      </c>
      <c r="W26" s="918" t="e">
        <f t="shared" ca="1" si="31"/>
        <v>#NAME?</v>
      </c>
      <c r="X26" s="917" t="e">
        <f t="shared" ca="1" si="32"/>
        <v>#NAME?</v>
      </c>
      <c r="Z26" s="620" t="e">
        <f ca="1"/>
        <v>#NAME?</v>
      </c>
      <c r="AA26" s="621" t="e">
        <f ca="1"/>
        <v>#NAME?</v>
      </c>
    </row>
    <row r="27" spans="13:27">
      <c r="M27" s="912">
        <f t="shared" si="25"/>
        <v>750</v>
      </c>
      <c r="N27" s="922">
        <f t="shared" si="26"/>
        <v>0.2767857142857143</v>
      </c>
      <c r="O27" s="918" t="e">
        <f t="shared" ca="1" si="27"/>
        <v>#NAME?</v>
      </c>
      <c r="P27" s="917" t="e">
        <f t="shared" ca="1" si="28"/>
        <v>#NAME?</v>
      </c>
      <c r="U27" s="912">
        <f t="shared" si="29"/>
        <v>750</v>
      </c>
      <c r="V27" s="922">
        <f t="shared" si="30"/>
        <v>0.2767857142857143</v>
      </c>
      <c r="W27" s="918" t="e">
        <f t="shared" ca="1" si="31"/>
        <v>#NAME?</v>
      </c>
      <c r="X27" s="917" t="e">
        <f t="shared" ca="1" si="32"/>
        <v>#NAME?</v>
      </c>
    </row>
    <row r="28" spans="13:27">
      <c r="M28" s="912">
        <f t="shared" si="25"/>
        <v>850</v>
      </c>
      <c r="N28" s="922">
        <f t="shared" si="26"/>
        <v>0.19607843137254902</v>
      </c>
      <c r="O28" s="918" t="e">
        <f t="shared" ca="1" si="27"/>
        <v>#NAME?</v>
      </c>
      <c r="P28" s="917" t="e">
        <f t="shared" ca="1" si="28"/>
        <v>#NAME?</v>
      </c>
      <c r="R28" s="25" t="s">
        <v>2612</v>
      </c>
      <c r="U28" s="912">
        <f t="shared" si="29"/>
        <v>850</v>
      </c>
      <c r="V28" s="922">
        <f t="shared" si="30"/>
        <v>0.19607843137254902</v>
      </c>
      <c r="W28" s="918" t="e">
        <f t="shared" ca="1" si="31"/>
        <v>#NAME?</v>
      </c>
      <c r="X28" s="917" t="e">
        <f t="shared" ca="1" si="32"/>
        <v>#NAME?</v>
      </c>
      <c r="Z28" s="25" t="s">
        <v>2612</v>
      </c>
    </row>
    <row r="29" spans="13:27">
      <c r="M29" s="912">
        <f t="shared" si="25"/>
        <v>950</v>
      </c>
      <c r="N29" s="923">
        <f t="shared" si="26"/>
        <v>9.6774193548387094E-2</v>
      </c>
      <c r="O29" s="924" t="e">
        <f t="shared" ca="1" si="27"/>
        <v>#NAME?</v>
      </c>
      <c r="P29" s="925" t="e">
        <f t="shared" ca="1" si="28"/>
        <v>#NAME?</v>
      </c>
      <c r="R29" s="974" t="e">
        <f t="array" aca="1" ref="R29:R30" ca="1">MMULT(R25:S26,MMULT(TRANSPOSE([1]!DESIGN(M20:M29)),($B$4:$B$13+$C$4:$C$13)*(N20:N29-O20:O29)))</f>
        <v>#NAME?</v>
      </c>
      <c r="U29" s="912">
        <f t="shared" si="29"/>
        <v>950</v>
      </c>
      <c r="V29" s="923">
        <f t="shared" si="30"/>
        <v>9.6774193548387094E-2</v>
      </c>
      <c r="W29" s="924" t="e">
        <f t="shared" ca="1" si="31"/>
        <v>#NAME?</v>
      </c>
      <c r="X29" s="925" t="e">
        <f t="shared" ca="1" si="32"/>
        <v>#NAME?</v>
      </c>
      <c r="Z29" s="974" t="e">
        <f t="array" aca="1" ref="Z29:Z30" ca="1">MMULT(Z25:AA26,MMULT(TRANSPOSE([1]!DESIGN(U20:U29)),($B$4:$B$13+$C$4:$C$13)*(V20:V29-W20:W29)))</f>
        <v>#NAME?</v>
      </c>
    </row>
    <row r="30" spans="13:27">
      <c r="M30" s="912"/>
      <c r="N30" s="912"/>
      <c r="O30" s="912"/>
      <c r="P30" s="912" t="e">
        <f ca="1">SUM(P20:P29)</f>
        <v>#NAME?</v>
      </c>
      <c r="R30" s="827" t="e">
        <f ca="1"/>
        <v>#NAME?</v>
      </c>
      <c r="U30" s="912"/>
      <c r="V30" s="912"/>
      <c r="W30" s="912"/>
      <c r="X30" s="912" t="e">
        <f ca="1">SUM(X20:X29)</f>
        <v>#NAME?</v>
      </c>
      <c r="Z30" s="827" t="e">
        <f ca="1"/>
        <v>#NAME?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sheetPr codeName="Sheet267"/>
  <dimension ref="A1:AM33"/>
  <sheetViews>
    <sheetView workbookViewId="0"/>
  </sheetViews>
  <sheetFormatPr defaultRowHeight="14.4"/>
  <cols>
    <col min="4" max="4" width="5" customWidth="1"/>
    <col min="5" max="5" width="9.33203125" bestFit="1" customWidth="1"/>
    <col min="6" max="7" width="9.44140625" bestFit="1" customWidth="1"/>
    <col min="8" max="8" width="11.109375" bestFit="1" customWidth="1"/>
    <col min="9" max="9" width="11" bestFit="1" customWidth="1"/>
    <col min="10" max="12" width="9.44140625" bestFit="1" customWidth="1"/>
    <col min="16" max="16" width="4.5546875" customWidth="1"/>
    <col min="18" max="18" width="4.33203125" customWidth="1"/>
    <col min="21" max="21" width="5" customWidth="1"/>
    <col min="24" max="24" width="4.6640625" customWidth="1"/>
  </cols>
  <sheetData>
    <row r="1" spans="1:39">
      <c r="A1" s="1" t="s">
        <v>2611</v>
      </c>
    </row>
    <row r="3" spans="1:39">
      <c r="A3" s="19" t="s">
        <v>2082</v>
      </c>
      <c r="B3" s="19" t="s">
        <v>1972</v>
      </c>
      <c r="C3" s="19" t="s">
        <v>1973</v>
      </c>
      <c r="E3" t="s">
        <v>1971</v>
      </c>
      <c r="AA3" t="s">
        <v>2877</v>
      </c>
      <c r="AF3" t="s">
        <v>2881</v>
      </c>
    </row>
    <row r="4" spans="1:39" ht="15" thickBot="1">
      <c r="A4" s="45">
        <v>50</v>
      </c>
      <c r="B4" s="864">
        <v>21</v>
      </c>
      <c r="C4" s="866">
        <v>0</v>
      </c>
    </row>
    <row r="5" spans="1:39" ht="15" thickTop="1">
      <c r="A5" s="45">
        <f>A4+100</f>
        <v>150</v>
      </c>
      <c r="B5" s="656">
        <v>29</v>
      </c>
      <c r="C5" s="657">
        <v>1</v>
      </c>
      <c r="E5" s="1116" t="str">
        <f>A3</f>
        <v>Rems</v>
      </c>
      <c r="F5" s="1116" t="str">
        <f>B3</f>
        <v>Survived</v>
      </c>
      <c r="G5" s="1116" t="str">
        <f>C3</f>
        <v>Died</v>
      </c>
      <c r="H5" s="1116" t="s">
        <v>12</v>
      </c>
      <c r="I5" s="1116" t="s">
        <v>2093</v>
      </c>
      <c r="J5" s="1116" t="s">
        <v>2094</v>
      </c>
      <c r="K5" s="1116" t="s">
        <v>2875</v>
      </c>
      <c r="L5" s="1116" t="s">
        <v>2876</v>
      </c>
      <c r="M5" s="1116" t="s">
        <v>1982</v>
      </c>
      <c r="N5" s="1116" t="s">
        <v>2601</v>
      </c>
      <c r="O5" s="1116" t="s">
        <v>2801</v>
      </c>
      <c r="Q5" t="s">
        <v>2095</v>
      </c>
      <c r="S5" t="s">
        <v>1981</v>
      </c>
      <c r="T5" s="1118">
        <f>F16*LN(F16/H16)+G16*LN(G16/H16)</f>
        <v>-510.66696372157895</v>
      </c>
      <c r="V5" t="s">
        <v>2602</v>
      </c>
      <c r="Y5" t="s">
        <v>2887</v>
      </c>
      <c r="AB5" s="1108" t="s">
        <v>2878</v>
      </c>
      <c r="AC5" s="1108" t="s">
        <v>2879</v>
      </c>
      <c r="AF5" s="1070" t="s">
        <v>2094</v>
      </c>
      <c r="AG5" s="1070" t="s">
        <v>2808</v>
      </c>
      <c r="AH5" s="1070" t="s">
        <v>2807</v>
      </c>
      <c r="AI5" s="1070" t="s">
        <v>2882</v>
      </c>
      <c r="AJ5" s="1070" t="s">
        <v>2883</v>
      </c>
      <c r="AK5" s="1070" t="s">
        <v>2884</v>
      </c>
      <c r="AL5" s="1070" t="s">
        <v>2885</v>
      </c>
      <c r="AM5" s="1070" t="s">
        <v>2886</v>
      </c>
    </row>
    <row r="6" spans="1:39">
      <c r="A6" s="45">
        <f t="shared" ref="A6:A13" si="0">A5+100</f>
        <v>250</v>
      </c>
      <c r="B6" s="656">
        <v>87</v>
      </c>
      <c r="C6" s="657">
        <v>6</v>
      </c>
      <c r="E6">
        <f t="shared" ref="E6:E15" si="1">A4</f>
        <v>50</v>
      </c>
      <c r="F6" s="625">
        <f t="shared" ref="F6:F15" si="2">B4</f>
        <v>21</v>
      </c>
      <c r="G6" s="8">
        <f t="shared" ref="G6:G15" si="3">C4</f>
        <v>0</v>
      </c>
      <c r="H6" s="132">
        <f>F6+G6</f>
        <v>21</v>
      </c>
      <c r="I6">
        <f>F6/H6</f>
        <v>1</v>
      </c>
      <c r="J6" t="e">
        <f ca="1">1/(1+EXP(-$Q$7-$Q$8*E6))</f>
        <v>#NAME?</v>
      </c>
      <c r="K6" s="1113" t="e">
        <f ca="1">H6*J6</f>
        <v>#NAME?</v>
      </c>
      <c r="L6" s="1115" t="e">
        <f ca="1">H6-K6</f>
        <v>#NAME?</v>
      </c>
      <c r="M6" t="e">
        <f ca="1">H6*(I6*LN(J6)+(1-I6)*LN(1-J6))</f>
        <v>#NAME?</v>
      </c>
      <c r="N6" t="e">
        <f ca="1">100*IF(J6&gt;=$AB$12,F6/H6,G6/H6)</f>
        <v>#NAME?</v>
      </c>
      <c r="O6" t="e">
        <f ca="1">(F6-K6)^2/K6+(G6-L6)^2/L6</f>
        <v>#NAME?</v>
      </c>
      <c r="S6" t="s">
        <v>2084</v>
      </c>
      <c r="T6" s="1073" t="e">
        <f ca="1">M16</f>
        <v>#NAME?</v>
      </c>
      <c r="V6" s="1113" t="e">
        <f t="array" aca="1" ref="V6:W7" ca="1">MINVERSE(MMULT(TRANSPOSE([1]!DESIGN(E6:E15)),J6:J15*(1-J6:J15)*H6:H15*[1]!DESIGN(E6:E15)))</f>
        <v>#NAME?</v>
      </c>
      <c r="W6" s="1115" t="e">
        <f ca="1"/>
        <v>#NAME?</v>
      </c>
      <c r="Y6" s="1118" t="e">
        <f t="array" aca="1" ref="Y6:Y7" ca="1">MMULT(V6:W7,MMULT(TRANSPOSE([1]!DESIGN(E6:E15)),H6:H15*(I6:I15-J6:J15)))</f>
        <v>#NAME?</v>
      </c>
      <c r="AA6" t="s">
        <v>2875</v>
      </c>
      <c r="AB6" s="1113">
        <f ca="1">SUMIF(J6:J15,"&gt;="&amp;AB12,F6:F15)</f>
        <v>0</v>
      </c>
      <c r="AC6" s="1115">
        <f ca="1">SUMIF(J6:J15,"&gt;="&amp;AB12,G6:G15)</f>
        <v>0</v>
      </c>
      <c r="AD6">
        <f ca="1">AB6+AC6</f>
        <v>0</v>
      </c>
      <c r="AI6">
        <v>0</v>
      </c>
      <c r="AJ6">
        <v>0</v>
      </c>
      <c r="AK6" t="e">
        <f ca="1">1-AI6/AI$16</f>
        <v>#NAME?</v>
      </c>
      <c r="AL6" t="e">
        <f ca="1">1-AJ6/AJ$16</f>
        <v>#NAME?</v>
      </c>
      <c r="AM6" t="e">
        <f ca="1">(AK6-AK7)*AL6</f>
        <v>#NAME?</v>
      </c>
    </row>
    <row r="7" spans="1:39">
      <c r="A7" s="45">
        <f t="shared" si="0"/>
        <v>350</v>
      </c>
      <c r="B7" s="656">
        <v>75</v>
      </c>
      <c r="C7" s="657">
        <v>11</v>
      </c>
      <c r="E7">
        <f t="shared" si="1"/>
        <v>150</v>
      </c>
      <c r="F7" s="625">
        <f t="shared" si="2"/>
        <v>29</v>
      </c>
      <c r="G7" s="8">
        <f t="shared" si="3"/>
        <v>1</v>
      </c>
      <c r="H7" s="132">
        <f t="shared" ref="H7:H15" si="4">F7+G7</f>
        <v>30</v>
      </c>
      <c r="I7">
        <f t="shared" ref="I7:I15" si="5">F7/H7</f>
        <v>0.96666666666666667</v>
      </c>
      <c r="J7" t="e">
        <f t="shared" ref="J7:J15" ca="1" si="6">1/(1+EXP(-$Q$7-$Q$8*E7))</f>
        <v>#NAME?</v>
      </c>
      <c r="K7" s="625" t="e">
        <f t="shared" ref="K7:K15" ca="1" si="7">H7*J7</f>
        <v>#NAME?</v>
      </c>
      <c r="L7" s="132" t="e">
        <f t="shared" ref="L7:L15" ca="1" si="8">H7-K7</f>
        <v>#NAME?</v>
      </c>
      <c r="M7" t="e">
        <f t="shared" ref="M7:M15" ca="1" si="9">H7*(I7*LN(J7)+(1-I7)*LN(1-J7))</f>
        <v>#NAME?</v>
      </c>
      <c r="N7" t="e">
        <f t="shared" ref="N7:N15" ca="1" si="10">100*IF(J7&gt;=$AB$12,F7/H7,G7/H7)</f>
        <v>#NAME?</v>
      </c>
      <c r="O7" t="e">
        <f t="shared" ref="O7:O15" ca="1" si="11">(F7-K7)^2/K7+(G7-L7)^2/L7</f>
        <v>#NAME?</v>
      </c>
      <c r="Q7" s="1118" t="e">
        <f t="array" aca="1" ref="Q7:Q8" ca="1">[1]!LogitCoeff(E6:G15,,,,,20)</f>
        <v>#NAME?</v>
      </c>
      <c r="V7" s="1075" t="e">
        <f ca="1"/>
        <v>#NAME?</v>
      </c>
      <c r="W7" s="1077" t="e">
        <f ca="1"/>
        <v>#NAME?</v>
      </c>
      <c r="Y7" s="1073" t="e">
        <f ca="1"/>
        <v>#NAME?</v>
      </c>
      <c r="AA7" t="s">
        <v>2876</v>
      </c>
      <c r="AB7" s="1075">
        <f ca="1">AB8-AB6</f>
        <v>458</v>
      </c>
      <c r="AC7" s="1077">
        <f ca="1">AC8-AC6</f>
        <v>302</v>
      </c>
      <c r="AD7">
        <f ca="1">AB7+AC7</f>
        <v>760</v>
      </c>
      <c r="AF7" t="e">
        <f t="array" aca="1" ref="AF7:AH16" ca="1">[1]!SelectCols(F6:J15,"5,2,1",1)</f>
        <v>#NAME?</v>
      </c>
      <c r="AG7" t="e">
        <f ca="1"/>
        <v>#NAME?</v>
      </c>
      <c r="AH7" t="e">
        <f ca="1"/>
        <v>#NAME?</v>
      </c>
      <c r="AI7" t="e">
        <f ca="1">AI6+AG7</f>
        <v>#NAME?</v>
      </c>
      <c r="AJ7" t="e">
        <f ca="1">AJ6+AH7</f>
        <v>#NAME?</v>
      </c>
      <c r="AK7" t="e">
        <f t="shared" ref="AK7:AK16" ca="1" si="12">1-AI7/AI$16</f>
        <v>#NAME?</v>
      </c>
      <c r="AL7" t="e">
        <f t="shared" ref="AL7:AL16" ca="1" si="13">1-AJ7/AJ$16</f>
        <v>#NAME?</v>
      </c>
      <c r="AM7" t="e">
        <f t="shared" ref="AM7:AM16" ca="1" si="14">(AK7-AK8)*AL7</f>
        <v>#NAME?</v>
      </c>
    </row>
    <row r="8" spans="1:39">
      <c r="A8" s="45">
        <f t="shared" si="0"/>
        <v>450</v>
      </c>
      <c r="B8" s="656">
        <v>85</v>
      </c>
      <c r="C8" s="657">
        <v>23</v>
      </c>
      <c r="E8">
        <f t="shared" si="1"/>
        <v>250</v>
      </c>
      <c r="F8" s="625">
        <f t="shared" si="2"/>
        <v>87</v>
      </c>
      <c r="G8" s="8">
        <f t="shared" si="3"/>
        <v>6</v>
      </c>
      <c r="H8" s="132">
        <f t="shared" si="4"/>
        <v>93</v>
      </c>
      <c r="I8">
        <f t="shared" si="5"/>
        <v>0.93548387096774188</v>
      </c>
      <c r="J8" t="e">
        <f t="shared" ca="1" si="6"/>
        <v>#NAME?</v>
      </c>
      <c r="K8" s="625" t="e">
        <f t="shared" ca="1" si="7"/>
        <v>#NAME?</v>
      </c>
      <c r="L8" s="132" t="e">
        <f t="shared" ca="1" si="8"/>
        <v>#NAME?</v>
      </c>
      <c r="M8" t="e">
        <f t="shared" ca="1" si="9"/>
        <v>#NAME?</v>
      </c>
      <c r="N8" t="e">
        <f t="shared" ca="1" si="10"/>
        <v>#NAME?</v>
      </c>
      <c r="O8" t="e">
        <f t="shared" ca="1" si="11"/>
        <v>#NAME?</v>
      </c>
      <c r="Q8" s="1073" t="e">
        <f ca="1"/>
        <v>#NAME?</v>
      </c>
      <c r="S8" t="s">
        <v>2099</v>
      </c>
      <c r="T8" s="1118" t="e">
        <f ca="1">2*(T6-T5)</f>
        <v>#NAME?</v>
      </c>
      <c r="AB8">
        <f>F16</f>
        <v>458</v>
      </c>
      <c r="AC8">
        <f>G16</f>
        <v>302</v>
      </c>
      <c r="AD8">
        <f>AB8+AC8</f>
        <v>760</v>
      </c>
      <c r="AF8" t="e">
        <f ca="1"/>
        <v>#NAME?</v>
      </c>
      <c r="AG8" t="e">
        <f ca="1"/>
        <v>#NAME?</v>
      </c>
      <c r="AH8" t="e">
        <f ca="1"/>
        <v>#NAME?</v>
      </c>
      <c r="AI8" t="e">
        <f t="shared" ref="AI8:AI16" ca="1" si="15">AI7+AG8</f>
        <v>#NAME?</v>
      </c>
      <c r="AJ8" t="e">
        <f t="shared" ref="AJ8:AJ16" ca="1" si="16">AJ7+AH8</f>
        <v>#NAME?</v>
      </c>
      <c r="AK8" t="e">
        <f t="shared" ca="1" si="12"/>
        <v>#NAME?</v>
      </c>
      <c r="AL8" t="e">
        <f t="shared" ca="1" si="13"/>
        <v>#NAME?</v>
      </c>
      <c r="AM8" t="e">
        <f t="shared" ca="1" si="14"/>
        <v>#NAME?</v>
      </c>
    </row>
    <row r="9" spans="1:39">
      <c r="A9" s="45">
        <f t="shared" si="0"/>
        <v>550</v>
      </c>
      <c r="B9" s="656">
        <v>64</v>
      </c>
      <c r="C9" s="657">
        <v>38</v>
      </c>
      <c r="E9">
        <f t="shared" si="1"/>
        <v>350</v>
      </c>
      <c r="F9" s="625">
        <f t="shared" si="2"/>
        <v>75</v>
      </c>
      <c r="G9" s="8">
        <f t="shared" si="3"/>
        <v>11</v>
      </c>
      <c r="H9" s="132">
        <f t="shared" si="4"/>
        <v>86</v>
      </c>
      <c r="I9">
        <f t="shared" si="5"/>
        <v>0.87209302325581395</v>
      </c>
      <c r="J9" t="e">
        <f t="shared" ca="1" si="6"/>
        <v>#NAME?</v>
      </c>
      <c r="K9" s="625" t="e">
        <f t="shared" ca="1" si="7"/>
        <v>#NAME?</v>
      </c>
      <c r="L9" s="132" t="e">
        <f t="shared" ca="1" si="8"/>
        <v>#NAME?</v>
      </c>
      <c r="M9" t="e">
        <f t="shared" ca="1" si="9"/>
        <v>#NAME?</v>
      </c>
      <c r="N9" t="e">
        <f t="shared" ca="1" si="10"/>
        <v>#NAME?</v>
      </c>
      <c r="O9" t="e">
        <f t="shared" ca="1" si="11"/>
        <v>#NAME?</v>
      </c>
      <c r="S9" t="s">
        <v>186</v>
      </c>
      <c r="T9" s="946">
        <f>COUNT(E6)</f>
        <v>1</v>
      </c>
      <c r="AF9" t="e">
        <f ca="1"/>
        <v>#NAME?</v>
      </c>
      <c r="AG9" t="e">
        <f ca="1"/>
        <v>#NAME?</v>
      </c>
      <c r="AH9" t="e">
        <f ca="1"/>
        <v>#NAME?</v>
      </c>
      <c r="AI9" t="e">
        <f t="shared" ca="1" si="15"/>
        <v>#NAME?</v>
      </c>
      <c r="AJ9" t="e">
        <f t="shared" ca="1" si="16"/>
        <v>#NAME?</v>
      </c>
      <c r="AK9" t="e">
        <f t="shared" ca="1" si="12"/>
        <v>#NAME?</v>
      </c>
      <c r="AL9" t="e">
        <f t="shared" ca="1" si="13"/>
        <v>#NAME?</v>
      </c>
      <c r="AM9" t="e">
        <f t="shared" ca="1" si="14"/>
        <v>#NAME?</v>
      </c>
    </row>
    <row r="10" spans="1:39">
      <c r="A10" s="45">
        <f t="shared" si="0"/>
        <v>650</v>
      </c>
      <c r="B10" s="656">
        <v>53</v>
      </c>
      <c r="C10" s="657">
        <v>73</v>
      </c>
      <c r="E10">
        <f t="shared" si="1"/>
        <v>450</v>
      </c>
      <c r="F10" s="625">
        <f t="shared" si="2"/>
        <v>85</v>
      </c>
      <c r="G10" s="8">
        <f t="shared" si="3"/>
        <v>23</v>
      </c>
      <c r="H10" s="132">
        <f t="shared" si="4"/>
        <v>108</v>
      </c>
      <c r="I10">
        <f t="shared" si="5"/>
        <v>0.78703703703703709</v>
      </c>
      <c r="J10" t="e">
        <f t="shared" ca="1" si="6"/>
        <v>#NAME?</v>
      </c>
      <c r="K10" s="625" t="e">
        <f t="shared" ca="1" si="7"/>
        <v>#NAME?</v>
      </c>
      <c r="L10" s="132" t="e">
        <f t="shared" ca="1" si="8"/>
        <v>#NAME?</v>
      </c>
      <c r="M10" t="e">
        <f t="shared" ca="1" si="9"/>
        <v>#NAME?</v>
      </c>
      <c r="N10" t="e">
        <f t="shared" ca="1" si="10"/>
        <v>#NAME?</v>
      </c>
      <c r="O10" t="e">
        <f t="shared" ca="1" si="11"/>
        <v>#NAME?</v>
      </c>
      <c r="S10" t="s">
        <v>200</v>
      </c>
      <c r="T10" s="946" t="e">
        <f ca="1">CHIDIST(T8,T9)</f>
        <v>#NAME?</v>
      </c>
      <c r="AA10" t="s">
        <v>2919</v>
      </c>
      <c r="AB10" s="1119">
        <f ca="1">AB6/AB8</f>
        <v>0</v>
      </c>
      <c r="AC10" s="1120">
        <f ca="1">AC7/AC8</f>
        <v>1</v>
      </c>
      <c r="AD10">
        <f ca="1">(AB6+AC7)/AD8</f>
        <v>0.39736842105263159</v>
      </c>
      <c r="AF10" t="e">
        <f ca="1"/>
        <v>#NAME?</v>
      </c>
      <c r="AG10" t="e">
        <f ca="1"/>
        <v>#NAME?</v>
      </c>
      <c r="AH10" t="e">
        <f ca="1"/>
        <v>#NAME?</v>
      </c>
      <c r="AI10" t="e">
        <f t="shared" ca="1" si="15"/>
        <v>#NAME?</v>
      </c>
      <c r="AJ10" t="e">
        <f t="shared" ca="1" si="16"/>
        <v>#NAME?</v>
      </c>
      <c r="AK10" t="e">
        <f t="shared" ca="1" si="12"/>
        <v>#NAME?</v>
      </c>
      <c r="AL10" t="e">
        <f t="shared" ca="1" si="13"/>
        <v>#NAME?</v>
      </c>
      <c r="AM10" t="e">
        <f t="shared" ca="1" si="14"/>
        <v>#NAME?</v>
      </c>
    </row>
    <row r="11" spans="1:39">
      <c r="A11" s="45">
        <f t="shared" si="0"/>
        <v>750</v>
      </c>
      <c r="B11" s="656">
        <v>31</v>
      </c>
      <c r="C11" s="657">
        <v>81</v>
      </c>
      <c r="E11">
        <f t="shared" si="1"/>
        <v>550</v>
      </c>
      <c r="F11" s="625">
        <f t="shared" si="2"/>
        <v>64</v>
      </c>
      <c r="G11" s="8">
        <f t="shared" si="3"/>
        <v>38</v>
      </c>
      <c r="H11" s="132">
        <f t="shared" si="4"/>
        <v>102</v>
      </c>
      <c r="I11">
        <f t="shared" si="5"/>
        <v>0.62745098039215685</v>
      </c>
      <c r="J11" t="e">
        <f t="shared" ca="1" si="6"/>
        <v>#NAME?</v>
      </c>
      <c r="K11" s="625" t="e">
        <f t="shared" ca="1" si="7"/>
        <v>#NAME?</v>
      </c>
      <c r="L11" s="132" t="e">
        <f t="shared" ca="1" si="8"/>
        <v>#NAME?</v>
      </c>
      <c r="M11" t="e">
        <f t="shared" ca="1" si="9"/>
        <v>#NAME?</v>
      </c>
      <c r="N11" t="e">
        <f t="shared" ca="1" si="10"/>
        <v>#NAME?</v>
      </c>
      <c r="O11" t="e">
        <f t="shared" ca="1" si="11"/>
        <v>#NAME?</v>
      </c>
      <c r="S11" t="s">
        <v>337</v>
      </c>
      <c r="T11" s="946">
        <v>0.05</v>
      </c>
      <c r="AF11" t="e">
        <f ca="1"/>
        <v>#NAME?</v>
      </c>
      <c r="AG11" t="e">
        <f ca="1"/>
        <v>#NAME?</v>
      </c>
      <c r="AH11" t="e">
        <f ca="1"/>
        <v>#NAME?</v>
      </c>
      <c r="AI11" t="e">
        <f t="shared" ca="1" si="15"/>
        <v>#NAME?</v>
      </c>
      <c r="AJ11" t="e">
        <f t="shared" ca="1" si="16"/>
        <v>#NAME?</v>
      </c>
      <c r="AK11" t="e">
        <f t="shared" ca="1" si="12"/>
        <v>#NAME?</v>
      </c>
      <c r="AL11" t="e">
        <f t="shared" ca="1" si="13"/>
        <v>#NAME?</v>
      </c>
      <c r="AM11" t="e">
        <f t="shared" ca="1" si="14"/>
        <v>#NAME?</v>
      </c>
    </row>
    <row r="12" spans="1:39">
      <c r="A12" s="45">
        <f t="shared" si="0"/>
        <v>850</v>
      </c>
      <c r="B12" s="656">
        <v>10</v>
      </c>
      <c r="C12" s="657">
        <v>41</v>
      </c>
      <c r="E12">
        <f t="shared" si="1"/>
        <v>650</v>
      </c>
      <c r="F12" s="625">
        <f t="shared" si="2"/>
        <v>53</v>
      </c>
      <c r="G12" s="8">
        <f t="shared" si="3"/>
        <v>73</v>
      </c>
      <c r="H12" s="132">
        <f t="shared" si="4"/>
        <v>126</v>
      </c>
      <c r="I12">
        <f t="shared" si="5"/>
        <v>0.42063492063492064</v>
      </c>
      <c r="J12" t="e">
        <f t="shared" ca="1" si="6"/>
        <v>#NAME?</v>
      </c>
      <c r="K12" s="625" t="e">
        <f t="shared" ca="1" si="7"/>
        <v>#NAME?</v>
      </c>
      <c r="L12" s="132" t="e">
        <f t="shared" ca="1" si="8"/>
        <v>#NAME?</v>
      </c>
      <c r="M12" t="e">
        <f t="shared" ca="1" si="9"/>
        <v>#NAME?</v>
      </c>
      <c r="N12" t="e">
        <f t="shared" ca="1" si="10"/>
        <v>#NAME?</v>
      </c>
      <c r="O12" t="e">
        <f t="shared" ca="1" si="11"/>
        <v>#NAME?</v>
      </c>
      <c r="S12" t="s">
        <v>948</v>
      </c>
      <c r="T12" s="1074" t="e">
        <f ca="1">IF(T10&lt;T11,"yes","no")</f>
        <v>#NAME?</v>
      </c>
      <c r="AA12" t="s">
        <v>2880</v>
      </c>
      <c r="AB12" s="1121">
        <v>0.5</v>
      </c>
      <c r="AF12" t="e">
        <f ca="1"/>
        <v>#NAME?</v>
      </c>
      <c r="AG12" t="e">
        <f ca="1"/>
        <v>#NAME?</v>
      </c>
      <c r="AH12" t="e">
        <f ca="1"/>
        <v>#NAME?</v>
      </c>
      <c r="AI12" t="e">
        <f t="shared" ca="1" si="15"/>
        <v>#NAME?</v>
      </c>
      <c r="AJ12" t="e">
        <f t="shared" ca="1" si="16"/>
        <v>#NAME?</v>
      </c>
      <c r="AK12" t="e">
        <f t="shared" ca="1" si="12"/>
        <v>#NAME?</v>
      </c>
      <c r="AL12" t="e">
        <f t="shared" ca="1" si="13"/>
        <v>#NAME?</v>
      </c>
      <c r="AM12" t="e">
        <f t="shared" ca="1" si="14"/>
        <v>#NAME?</v>
      </c>
    </row>
    <row r="13" spans="1:39">
      <c r="A13" s="45">
        <f t="shared" si="0"/>
        <v>950</v>
      </c>
      <c r="B13" s="533">
        <v>3</v>
      </c>
      <c r="C13" s="541">
        <v>28</v>
      </c>
      <c r="E13">
        <f t="shared" si="1"/>
        <v>750</v>
      </c>
      <c r="F13" s="625">
        <f t="shared" si="2"/>
        <v>31</v>
      </c>
      <c r="G13" s="8">
        <f t="shared" si="3"/>
        <v>81</v>
      </c>
      <c r="H13" s="132">
        <f t="shared" si="4"/>
        <v>112</v>
      </c>
      <c r="I13">
        <f t="shared" si="5"/>
        <v>0.2767857142857143</v>
      </c>
      <c r="J13" t="e">
        <f t="shared" ca="1" si="6"/>
        <v>#NAME?</v>
      </c>
      <c r="K13" s="625" t="e">
        <f t="shared" ca="1" si="7"/>
        <v>#NAME?</v>
      </c>
      <c r="L13" s="132" t="e">
        <f t="shared" ca="1" si="8"/>
        <v>#NAME?</v>
      </c>
      <c r="M13" t="e">
        <f t="shared" ca="1" si="9"/>
        <v>#NAME?</v>
      </c>
      <c r="N13" t="e">
        <f t="shared" ca="1" si="10"/>
        <v>#NAME?</v>
      </c>
      <c r="O13" t="e">
        <f t="shared" ca="1" si="11"/>
        <v>#NAME?</v>
      </c>
      <c r="AF13" t="e">
        <f ca="1"/>
        <v>#NAME?</v>
      </c>
      <c r="AG13" t="e">
        <f ca="1"/>
        <v>#NAME?</v>
      </c>
      <c r="AH13" t="e">
        <f ca="1"/>
        <v>#NAME?</v>
      </c>
      <c r="AI13" t="e">
        <f t="shared" ca="1" si="15"/>
        <v>#NAME?</v>
      </c>
      <c r="AJ13" t="e">
        <f t="shared" ca="1" si="16"/>
        <v>#NAME?</v>
      </c>
      <c r="AK13" t="e">
        <f t="shared" ca="1" si="12"/>
        <v>#NAME?</v>
      </c>
      <c r="AL13" t="e">
        <f t="shared" ca="1" si="13"/>
        <v>#NAME?</v>
      </c>
      <c r="AM13" t="e">
        <f t="shared" ca="1" si="14"/>
        <v>#NAME?</v>
      </c>
    </row>
    <row r="14" spans="1:39">
      <c r="B14">
        <f>SUM(B4:B13)</f>
        <v>458</v>
      </c>
      <c r="C14">
        <f>SUM(C4:C13)</f>
        <v>302</v>
      </c>
      <c r="E14">
        <f t="shared" si="1"/>
        <v>850</v>
      </c>
      <c r="F14" s="625">
        <f t="shared" si="2"/>
        <v>10</v>
      </c>
      <c r="G14" s="8">
        <f t="shared" si="3"/>
        <v>41</v>
      </c>
      <c r="H14" s="132">
        <f t="shared" si="4"/>
        <v>51</v>
      </c>
      <c r="I14">
        <f t="shared" si="5"/>
        <v>0.19607843137254902</v>
      </c>
      <c r="J14" t="e">
        <f t="shared" ca="1" si="6"/>
        <v>#NAME?</v>
      </c>
      <c r="K14" s="625" t="e">
        <f t="shared" ca="1" si="7"/>
        <v>#NAME?</v>
      </c>
      <c r="L14" s="132" t="e">
        <f t="shared" ca="1" si="8"/>
        <v>#NAME?</v>
      </c>
      <c r="M14" t="e">
        <f t="shared" ca="1" si="9"/>
        <v>#NAME?</v>
      </c>
      <c r="N14" t="e">
        <f t="shared" ca="1" si="10"/>
        <v>#NAME?</v>
      </c>
      <c r="O14" t="e">
        <f t="shared" ca="1" si="11"/>
        <v>#NAME?</v>
      </c>
      <c r="S14" t="s">
        <v>2096</v>
      </c>
      <c r="T14" s="1118" t="e">
        <f ca="1">1-T6/T5</f>
        <v>#NAME?</v>
      </c>
      <c r="AF14" t="e">
        <f ca="1"/>
        <v>#NAME?</v>
      </c>
      <c r="AG14" t="e">
        <f ca="1"/>
        <v>#NAME?</v>
      </c>
      <c r="AH14" t="e">
        <f ca="1"/>
        <v>#NAME?</v>
      </c>
      <c r="AI14" t="e">
        <f t="shared" ca="1" si="15"/>
        <v>#NAME?</v>
      </c>
      <c r="AJ14" t="e">
        <f t="shared" ca="1" si="16"/>
        <v>#NAME?</v>
      </c>
      <c r="AK14" t="e">
        <f t="shared" ca="1" si="12"/>
        <v>#NAME?</v>
      </c>
      <c r="AL14" t="e">
        <f t="shared" ca="1" si="13"/>
        <v>#NAME?</v>
      </c>
      <c r="AM14" t="e">
        <f t="shared" ca="1" si="14"/>
        <v>#NAME?</v>
      </c>
    </row>
    <row r="15" spans="1:39">
      <c r="E15">
        <f t="shared" si="1"/>
        <v>950</v>
      </c>
      <c r="F15" s="1075">
        <f t="shared" si="2"/>
        <v>3</v>
      </c>
      <c r="G15" s="1076">
        <f t="shared" si="3"/>
        <v>28</v>
      </c>
      <c r="H15" s="132">
        <f t="shared" si="4"/>
        <v>31</v>
      </c>
      <c r="I15">
        <f t="shared" si="5"/>
        <v>9.6774193548387094E-2</v>
      </c>
      <c r="J15" t="e">
        <f t="shared" ca="1" si="6"/>
        <v>#NAME?</v>
      </c>
      <c r="K15" s="625" t="e">
        <f t="shared" ca="1" si="7"/>
        <v>#NAME?</v>
      </c>
      <c r="L15" s="132" t="e">
        <f t="shared" ca="1" si="8"/>
        <v>#NAME?</v>
      </c>
      <c r="M15" t="e">
        <f t="shared" ca="1" si="9"/>
        <v>#NAME?</v>
      </c>
      <c r="N15" t="e">
        <f t="shared" ca="1" si="10"/>
        <v>#NAME?</v>
      </c>
      <c r="O15" t="e">
        <f t="shared" ca="1" si="11"/>
        <v>#NAME?</v>
      </c>
      <c r="S15" t="s">
        <v>2097</v>
      </c>
      <c r="T15" s="946" t="e">
        <f ca="1">1-EXP((-2/H16)*(T6-T5))</f>
        <v>#NAME?</v>
      </c>
      <c r="AF15" t="e">
        <f ca="1"/>
        <v>#NAME?</v>
      </c>
      <c r="AG15" t="e">
        <f ca="1"/>
        <v>#NAME?</v>
      </c>
      <c r="AH15" t="e">
        <f ca="1"/>
        <v>#NAME?</v>
      </c>
      <c r="AI15" t="e">
        <f t="shared" ca="1" si="15"/>
        <v>#NAME?</v>
      </c>
      <c r="AJ15" t="e">
        <f t="shared" ca="1" si="16"/>
        <v>#NAME?</v>
      </c>
      <c r="AK15" t="e">
        <f t="shared" ca="1" si="12"/>
        <v>#NAME?</v>
      </c>
      <c r="AL15" t="e">
        <f t="shared" ca="1" si="13"/>
        <v>#NAME?</v>
      </c>
      <c r="AM15" t="e">
        <f t="shared" ca="1" si="14"/>
        <v>#NAME?</v>
      </c>
    </row>
    <row r="16" spans="1:39">
      <c r="E16" s="5"/>
      <c r="F16" s="5">
        <f>SUM(F6:F15)</f>
        <v>458</v>
      </c>
      <c r="G16" s="5">
        <f>SUM(G6:G15)</f>
        <v>302</v>
      </c>
      <c r="H16" s="1117">
        <f>SUM(H6:H15)</f>
        <v>760</v>
      </c>
      <c r="I16" s="1117"/>
      <c r="J16" s="1117"/>
      <c r="K16" s="5" t="e">
        <f ca="1">SUM(K6:K15)</f>
        <v>#NAME?</v>
      </c>
      <c r="L16" s="5" t="e">
        <f ca="1">SUM(L6:L15)</f>
        <v>#NAME?</v>
      </c>
      <c r="M16" s="1117" t="e">
        <f ca="1">SUM(M6:M15)</f>
        <v>#NAME?</v>
      </c>
      <c r="N16" s="1117" t="e">
        <f ca="1">SUMPRODUCT(N6:N15,H6:H15)/H16</f>
        <v>#NAME?</v>
      </c>
      <c r="O16" s="1117" t="e">
        <f ca="1">SUM(O6:O15)</f>
        <v>#NAME?</v>
      </c>
      <c r="S16" t="s">
        <v>2098</v>
      </c>
      <c r="T16" s="1073" t="e">
        <f ca="1">T15/(1-EXP(2*T5/H16))</f>
        <v>#NAME?</v>
      </c>
      <c r="AF16" s="1078" t="e">
        <f ca="1"/>
        <v>#NAME?</v>
      </c>
      <c r="AG16" s="1078" t="e">
        <f ca="1"/>
        <v>#NAME?</v>
      </c>
      <c r="AH16" s="1078" t="e">
        <f ca="1"/>
        <v>#NAME?</v>
      </c>
      <c r="AI16" s="1078" t="e">
        <f t="shared" ca="1" si="15"/>
        <v>#NAME?</v>
      </c>
      <c r="AJ16" s="1078" t="e">
        <f t="shared" ca="1" si="16"/>
        <v>#NAME?</v>
      </c>
      <c r="AK16" s="1078" t="e">
        <f t="shared" ca="1" si="12"/>
        <v>#NAME?</v>
      </c>
      <c r="AL16" s="1078" t="e">
        <f t="shared" ca="1" si="13"/>
        <v>#NAME?</v>
      </c>
      <c r="AM16" s="1078" t="e">
        <f t="shared" ca="1" si="14"/>
        <v>#NAME?</v>
      </c>
    </row>
    <row r="17" spans="1:39" ht="15" thickBot="1">
      <c r="AM17" t="e">
        <f ca="1">SUM(AM6:AM16)</f>
        <v>#NAME?</v>
      </c>
    </row>
    <row r="18" spans="1:39" ht="15" thickTop="1">
      <c r="E18" s="1070"/>
      <c r="F18" s="1070" t="s">
        <v>2603</v>
      </c>
      <c r="G18" s="1070" t="s">
        <v>826</v>
      </c>
      <c r="H18" s="1070" t="s">
        <v>2604</v>
      </c>
      <c r="I18" s="1070" t="s">
        <v>200</v>
      </c>
      <c r="J18" s="1070" t="s">
        <v>2605</v>
      </c>
      <c r="K18" s="1070" t="s">
        <v>103</v>
      </c>
      <c r="L18" s="1070" t="s">
        <v>104</v>
      </c>
      <c r="S18" t="s">
        <v>2806</v>
      </c>
      <c r="T18" s="1118" t="e">
        <f ca="1">O16</f>
        <v>#NAME?</v>
      </c>
    </row>
    <row r="19" spans="1:39">
      <c r="E19" t="s">
        <v>697</v>
      </c>
      <c r="F19" t="e">
        <f t="array" ref="F19:F20" ca="1">Q7:Q8</f>
        <v>#NAME?</v>
      </c>
      <c r="G19" t="e">
        <f t="array" aca="1" ref="G19:G20" ca="1">SQRT([1]!DIAG(V6:W7))</f>
        <v>#NAME?</v>
      </c>
      <c r="H19" t="e">
        <f ca="1">(F19/G19)^2</f>
        <v>#NAME?</v>
      </c>
      <c r="I19" t="e">
        <f ca="1">CHIDIST(H19,1)</f>
        <v>#NAME?</v>
      </c>
      <c r="J19" t="e">
        <f ca="1">EXP(F19)</f>
        <v>#NAME?</v>
      </c>
      <c r="S19" t="s">
        <v>186</v>
      </c>
      <c r="T19" s="946">
        <f>COUNT(H6:H15)-2</f>
        <v>8</v>
      </c>
      <c r="AB19" s="1130" t="s">
        <v>2878</v>
      </c>
      <c r="AC19" s="1130" t="s">
        <v>2879</v>
      </c>
    </row>
    <row r="20" spans="1:39">
      <c r="E20" s="1078" t="str">
        <f t="array" ref="E20">TRANSPOSE(E5)</f>
        <v>Rems</v>
      </c>
      <c r="F20" s="1078" t="e">
        <f ca="1"/>
        <v>#NAME?</v>
      </c>
      <c r="G20" s="1078" t="e">
        <f ca="1"/>
        <v>#NAME?</v>
      </c>
      <c r="H20" s="1078" t="e">
        <f ca="1">(F20/G20)^2</f>
        <v>#NAME?</v>
      </c>
      <c r="I20" s="1078" t="e">
        <f ca="1">CHIDIST(H20,1)</f>
        <v>#NAME?</v>
      </c>
      <c r="J20" s="1078" t="e">
        <f ca="1">EXP(F20)</f>
        <v>#NAME?</v>
      </c>
      <c r="K20" s="1078" t="e">
        <f ca="1">EXP(F20-G20*NORMSINV(1-$T$11/2))</f>
        <v>#NAME?</v>
      </c>
      <c r="L20" s="1078" t="e">
        <f ca="1">EXP(F20+G20*NORMSINV(1-$T$11/2))</f>
        <v>#NAME?</v>
      </c>
      <c r="S20" t="s">
        <v>200</v>
      </c>
      <c r="T20" s="946" t="e">
        <f ca="1">CHIDIST(T18,T19)</f>
        <v>#NAME?</v>
      </c>
      <c r="AA20" t="s">
        <v>2875</v>
      </c>
      <c r="AB20" s="1131" t="s">
        <v>2910</v>
      </c>
      <c r="AC20" s="1132" t="s">
        <v>2911</v>
      </c>
      <c r="AD20" s="1130" t="s">
        <v>2914</v>
      </c>
    </row>
    <row r="21" spans="1:39">
      <c r="S21" t="s">
        <v>337</v>
      </c>
      <c r="T21" s="946">
        <f>T11</f>
        <v>0.05</v>
      </c>
      <c r="AA21" t="s">
        <v>2876</v>
      </c>
      <c r="AB21" s="1133" t="s">
        <v>2912</v>
      </c>
      <c r="AC21" s="1134" t="s">
        <v>2913</v>
      </c>
      <c r="AD21" s="1130" t="s">
        <v>2915</v>
      </c>
    </row>
    <row r="22" spans="1:39">
      <c r="S22" t="s">
        <v>948</v>
      </c>
      <c r="T22" s="1074" t="e">
        <f ca="1">IF(T20&lt;T21,"yes","no")</f>
        <v>#NAME?</v>
      </c>
      <c r="AB22" s="1130" t="s">
        <v>2916</v>
      </c>
      <c r="AC22" s="1130" t="s">
        <v>2917</v>
      </c>
      <c r="AD22" s="1130" t="s">
        <v>2918</v>
      </c>
    </row>
    <row r="24" spans="1:39">
      <c r="A24" t="s">
        <v>2966</v>
      </c>
    </row>
    <row r="25" spans="1:39">
      <c r="E25" t="e">
        <f t="array" aca="1" ref="E25:L27" ca="1">[1]!LogitCoeff(A4:C13,TRUE)</f>
        <v>#NAME?</v>
      </c>
      <c r="F25" t="e">
        <f ca="1"/>
        <v>#NAME?</v>
      </c>
      <c r="G25" t="e">
        <f ca="1"/>
        <v>#NAME?</v>
      </c>
      <c r="H25" t="e">
        <f ca="1"/>
        <v>#NAME?</v>
      </c>
      <c r="I25" t="e">
        <f ca="1"/>
        <v>#NAME?</v>
      </c>
      <c r="J25" t="e">
        <f ca="1"/>
        <v>#NAME?</v>
      </c>
      <c r="K25" t="e">
        <f ca="1"/>
        <v>#NAME?</v>
      </c>
      <c r="L25" t="e">
        <f ca="1"/>
        <v>#NAME?</v>
      </c>
      <c r="N25" t="e">
        <f t="array" aca="1" ref="N25:O31" ca="1">[1]!LogitRSquare(A4:C13,1)</f>
        <v>#NAME?</v>
      </c>
      <c r="O25" s="1156" t="e">
        <f ca="1"/>
        <v>#NAME?</v>
      </c>
      <c r="S25" t="e">
        <f t="array" aca="1" ref="S25:T29" ca="1">[1]!LogitTest(A4:C13,1)</f>
        <v>#NAME?</v>
      </c>
      <c r="T25" s="1156" t="e">
        <f ca="1"/>
        <v>#NAME?</v>
      </c>
    </row>
    <row r="26" spans="1:39">
      <c r="E26" t="e">
        <f ca="1"/>
        <v>#NAME?</v>
      </c>
      <c r="F26" s="1067" t="e">
        <f ca="1"/>
        <v>#NAME?</v>
      </c>
      <c r="G26" s="1068" t="e">
        <f ca="1"/>
        <v>#NAME?</v>
      </c>
      <c r="H26" s="1068" t="e">
        <f ca="1"/>
        <v>#NAME?</v>
      </c>
      <c r="I26" s="1068" t="e">
        <f ca="1"/>
        <v>#NAME?</v>
      </c>
      <c r="J26" s="1068" t="e">
        <f ca="1"/>
        <v>#NAME?</v>
      </c>
      <c r="K26" s="1068" t="e">
        <f ca="1"/>
        <v>#NAME?</v>
      </c>
      <c r="L26" s="1071" t="e">
        <f ca="1"/>
        <v>#NAME?</v>
      </c>
      <c r="N26" t="e">
        <f ca="1"/>
        <v>#NAME?</v>
      </c>
      <c r="O26" s="627" t="e">
        <f ca="1"/>
        <v>#NAME?</v>
      </c>
      <c r="S26" t="e">
        <f ca="1"/>
        <v>#NAME?</v>
      </c>
      <c r="T26" s="627" t="e">
        <f ca="1"/>
        <v>#NAME?</v>
      </c>
    </row>
    <row r="27" spans="1:39">
      <c r="E27" t="e">
        <f ca="1"/>
        <v>#NAME?</v>
      </c>
      <c r="F27" s="533" t="e">
        <f ca="1"/>
        <v>#NAME?</v>
      </c>
      <c r="G27" s="1078" t="e">
        <f ca="1"/>
        <v>#NAME?</v>
      </c>
      <c r="H27" s="1078" t="e">
        <f ca="1"/>
        <v>#NAME?</v>
      </c>
      <c r="I27" s="1078" t="e">
        <f ca="1"/>
        <v>#NAME?</v>
      </c>
      <c r="J27" s="1078" t="e">
        <f ca="1"/>
        <v>#NAME?</v>
      </c>
      <c r="K27" s="1078" t="e">
        <f ca="1"/>
        <v>#NAME?</v>
      </c>
      <c r="L27" s="541" t="e">
        <f ca="1"/>
        <v>#NAME?</v>
      </c>
      <c r="N27" t="e">
        <f ca="1"/>
        <v>#NAME?</v>
      </c>
      <c r="O27" s="627" t="e">
        <f ca="1"/>
        <v>#NAME?</v>
      </c>
      <c r="S27" t="e">
        <f ca="1"/>
        <v>#NAME?</v>
      </c>
      <c r="T27" s="627" t="e">
        <f ca="1"/>
        <v>#NAME?</v>
      </c>
    </row>
    <row r="28" spans="1:39">
      <c r="N28" t="e">
        <f ca="1"/>
        <v>#NAME?</v>
      </c>
      <c r="O28" s="627" t="e">
        <f ca="1"/>
        <v>#NAME?</v>
      </c>
      <c r="S28" t="e">
        <f ca="1"/>
        <v>#NAME?</v>
      </c>
      <c r="T28" s="627" t="e">
        <f ca="1"/>
        <v>#NAME?</v>
      </c>
    </row>
    <row r="29" spans="1:39">
      <c r="E29" t="s">
        <v>630</v>
      </c>
      <c r="N29" t="e">
        <f ca="1"/>
        <v>#NAME?</v>
      </c>
      <c r="O29" s="627" t="e">
        <f ca="1"/>
        <v>#NAME?</v>
      </c>
      <c r="S29" t="e">
        <f ca="1"/>
        <v>#NAME?</v>
      </c>
      <c r="T29" s="544" t="e">
        <f ca="1"/>
        <v>#NAME?</v>
      </c>
    </row>
    <row r="30" spans="1:39">
      <c r="N30" t="e">
        <f ca="1"/>
        <v>#NAME?</v>
      </c>
      <c r="O30" s="627" t="e">
        <f ca="1"/>
        <v>#NAME?</v>
      </c>
    </row>
    <row r="31" spans="1:39">
      <c r="E31" s="19" t="s">
        <v>2967</v>
      </c>
      <c r="F31" s="1153" t="s">
        <v>2968</v>
      </c>
      <c r="N31" t="e">
        <f ca="1"/>
        <v>#NAME?</v>
      </c>
      <c r="O31" s="544" t="e">
        <f ca="1"/>
        <v>#NAME?</v>
      </c>
    </row>
    <row r="32" spans="1:39">
      <c r="E32">
        <v>250</v>
      </c>
      <c r="F32" s="1156" t="e">
        <f ca="1">[1]!LogitPred(E32:E32,$A$4:$C$13)</f>
        <v>#NAME?</v>
      </c>
    </row>
    <row r="33" spans="5:6">
      <c r="E33">
        <v>300</v>
      </c>
      <c r="F33" s="544" t="e">
        <f ca="1">[1]!LogitPred(E33:E33,$A$4:$C$13)</f>
        <v>#NAME?</v>
      </c>
    </row>
  </sheetData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sheetPr codeName="Sheet269"/>
  <dimension ref="A1:AZ67"/>
  <sheetViews>
    <sheetView zoomScaleNormal="100" workbookViewId="0"/>
  </sheetViews>
  <sheetFormatPr defaultRowHeight="14.4"/>
  <cols>
    <col min="1" max="3" width="7" customWidth="1"/>
    <col min="4" max="4" width="3" customWidth="1"/>
    <col min="7" max="8" width="9.109375" customWidth="1"/>
    <col min="9" max="9" width="8.6640625" customWidth="1"/>
    <col min="14" max="14" width="8.6640625" customWidth="1"/>
    <col min="15" max="15" width="9.109375" customWidth="1"/>
    <col min="17" max="17" width="8" customWidth="1"/>
    <col min="18" max="18" width="8.88671875" customWidth="1"/>
    <col min="19" max="19" width="3.109375" customWidth="1"/>
    <col min="20" max="20" width="9.109375" customWidth="1"/>
    <col min="22" max="22" width="3.109375" customWidth="1"/>
    <col min="24" max="24" width="9.109375" customWidth="1"/>
    <col min="26" max="26" width="3.88671875" customWidth="1"/>
  </cols>
  <sheetData>
    <row r="1" spans="1:52">
      <c r="A1" s="1" t="s">
        <v>2621</v>
      </c>
    </row>
    <row r="3" spans="1:52">
      <c r="A3" s="912" t="s">
        <v>2091</v>
      </c>
      <c r="B3" s="912" t="s">
        <v>2092</v>
      </c>
      <c r="C3" s="19" t="s">
        <v>383</v>
      </c>
      <c r="E3" t="s">
        <v>1971</v>
      </c>
      <c r="AC3" t="s">
        <v>2877</v>
      </c>
      <c r="AH3" t="s">
        <v>2881</v>
      </c>
      <c r="AR3" t="s">
        <v>2888</v>
      </c>
    </row>
    <row r="4" spans="1:52" ht="15" thickBot="1">
      <c r="A4" s="939">
        <v>20</v>
      </c>
      <c r="B4" s="978">
        <v>0</v>
      </c>
      <c r="C4" s="929">
        <v>1</v>
      </c>
    </row>
    <row r="5" spans="1:52" ht="15" thickTop="1">
      <c r="A5" s="941">
        <v>22</v>
      </c>
      <c r="B5" s="976">
        <v>1</v>
      </c>
      <c r="C5" s="627">
        <v>1</v>
      </c>
      <c r="E5" s="1116" t="str">
        <f>A3</f>
        <v>Temp</v>
      </c>
      <c r="F5" s="1116" t="str">
        <f>B3</f>
        <v>Water</v>
      </c>
      <c r="G5" s="1116" t="s">
        <v>2807</v>
      </c>
      <c r="H5" s="1116" t="s">
        <v>2808</v>
      </c>
      <c r="I5" s="1116" t="s">
        <v>12</v>
      </c>
      <c r="J5" s="1116" t="s">
        <v>2093</v>
      </c>
      <c r="K5" s="1116" t="s">
        <v>2094</v>
      </c>
      <c r="L5" s="1116" t="s">
        <v>2875</v>
      </c>
      <c r="M5" s="1116" t="s">
        <v>2876</v>
      </c>
      <c r="N5" s="1116" t="s">
        <v>1982</v>
      </c>
      <c r="O5" s="1116" t="s">
        <v>2601</v>
      </c>
      <c r="P5" s="1116" t="s">
        <v>2801</v>
      </c>
      <c r="R5" t="s">
        <v>2095</v>
      </c>
      <c r="T5" t="s">
        <v>1981</v>
      </c>
      <c r="U5" s="1118" t="e">
        <f ca="1">G12*LN(G12/I12)+H12*LN(H12/I12)</f>
        <v>#NAME?</v>
      </c>
      <c r="W5" t="s">
        <v>2602</v>
      </c>
      <c r="AA5" t="s">
        <v>2887</v>
      </c>
      <c r="AD5" s="1108" t="s">
        <v>2878</v>
      </c>
      <c r="AE5" s="1108" t="s">
        <v>2879</v>
      </c>
      <c r="AH5" s="1070" t="s">
        <v>2094</v>
      </c>
      <c r="AI5" s="1070" t="s">
        <v>2808</v>
      </c>
      <c r="AJ5" s="1070" t="s">
        <v>2807</v>
      </c>
      <c r="AK5" s="1070" t="s">
        <v>2882</v>
      </c>
      <c r="AL5" s="1070" t="s">
        <v>2883</v>
      </c>
      <c r="AM5" s="1070" t="s">
        <v>2884</v>
      </c>
      <c r="AN5" s="1070" t="s">
        <v>2885</v>
      </c>
      <c r="AO5" s="1070" t="s">
        <v>2886</v>
      </c>
      <c r="AR5" s="19" t="s">
        <v>178</v>
      </c>
      <c r="AS5" s="912" t="s">
        <v>2091</v>
      </c>
      <c r="AT5" s="912" t="s">
        <v>2092</v>
      </c>
      <c r="AU5" s="19" t="s">
        <v>383</v>
      </c>
      <c r="AV5" s="19"/>
      <c r="AW5" s="19" t="s">
        <v>178</v>
      </c>
      <c r="AX5" s="912" t="s">
        <v>2091</v>
      </c>
      <c r="AY5" s="912" t="s">
        <v>2092</v>
      </c>
      <c r="AZ5" s="19" t="s">
        <v>383</v>
      </c>
    </row>
    <row r="6" spans="1:52">
      <c r="A6" s="941">
        <v>22</v>
      </c>
      <c r="B6" s="976">
        <v>1</v>
      </c>
      <c r="C6" s="627">
        <v>0</v>
      </c>
      <c r="E6" t="e">
        <f t="array" aca="1" ref="E6:H11" ca="1">[1]!LogitSummary(A4:C52)</f>
        <v>#NAME?</v>
      </c>
      <c r="F6" t="e">
        <f ca="1"/>
        <v>#NAME?</v>
      </c>
      <c r="G6" s="625" t="e">
        <f ca="1"/>
        <v>#NAME?</v>
      </c>
      <c r="H6" s="8" t="e">
        <f ca="1"/>
        <v>#NAME?</v>
      </c>
      <c r="I6" s="132" t="e">
        <f t="shared" ref="I6:I11" ca="1" si="0">G6+H6</f>
        <v>#NAME?</v>
      </c>
      <c r="J6" t="e">
        <f t="shared" ref="J6:J11" ca="1" si="1">G6/I6</f>
        <v>#NAME?</v>
      </c>
      <c r="K6" t="e">
        <f t="shared" ref="K6:K11" ca="1" si="2">1/(1+EXP(-$R$7-MMULT(E6:F6,$R$8:$R$9)))</f>
        <v>#NAME?</v>
      </c>
      <c r="L6" s="1113" t="e">
        <f t="shared" ref="L6:L11" ca="1" si="3">I6*K6</f>
        <v>#NAME?</v>
      </c>
      <c r="M6" s="1115" t="e">
        <f t="shared" ref="M6:M11" ca="1" si="4">I6-L6</f>
        <v>#NAME?</v>
      </c>
      <c r="N6" t="e">
        <f t="shared" ref="N6:N11" ca="1" si="5">I6*(J6*LN(K6)+(1-J6)*LN(1-K6))</f>
        <v>#NAME?</v>
      </c>
      <c r="O6" t="e">
        <f t="shared" ref="O6:O11" ca="1" si="6">100*IF(K6&gt;=$AD$12,G6/I6,H6/I6)</f>
        <v>#NAME?</v>
      </c>
      <c r="P6" t="e">
        <f t="shared" ref="P6:P11" ca="1" si="7">(G6-L6)^2/L6+(H6-M6)^2/M6</f>
        <v>#NAME?</v>
      </c>
      <c r="T6" t="s">
        <v>2084</v>
      </c>
      <c r="U6" s="1073" t="e">
        <f ca="1">N12</f>
        <v>#NAME?</v>
      </c>
      <c r="W6" s="1113" t="e">
        <f t="array" aca="1" ref="W6:Y8" ca="1">MINVERSE(MMULT(TRANSPOSE([1]!DESIGN(E6:F11)),K6:K11*(1-K6:K11)*I6:I11*[1]!DESIGN(E6:F11)))</f>
        <v>#NAME?</v>
      </c>
      <c r="X6" s="1114" t="e">
        <f ca="1"/>
        <v>#NAME?</v>
      </c>
      <c r="Y6" s="1115" t="e">
        <f ca="1"/>
        <v>#NAME?</v>
      </c>
      <c r="AA6" s="1118" t="e">
        <f t="array" aca="1" ref="AA6:AA8" ca="1">MMULT(W6:Y8,MMULT(TRANSPOSE([1]!DESIGN(E6:F11)),I6:I11*(J6:J11-K6:K11)))</f>
        <v>#NAME?</v>
      </c>
      <c r="AC6" t="s">
        <v>2875</v>
      </c>
      <c r="AD6" s="1113">
        <f ca="1">SUMIF(K6:K11,"&gt;="&amp;AD12,G6:G11)</f>
        <v>0</v>
      </c>
      <c r="AE6" s="1115">
        <f ca="1">SUMIF(K6:K11,"&gt;="&amp;AD12,H6:H11)</f>
        <v>0</v>
      </c>
      <c r="AF6">
        <f ca="1">AD6+AE6</f>
        <v>0</v>
      </c>
      <c r="AK6">
        <v>0</v>
      </c>
      <c r="AL6">
        <v>0</v>
      </c>
      <c r="AM6" t="e">
        <f ca="1">1-AK6/AK$12</f>
        <v>#NAME?</v>
      </c>
      <c r="AN6" t="e">
        <f ca="1">1-AL6/AL$12</f>
        <v>#NAME?</v>
      </c>
      <c r="AO6" t="e">
        <f ca="1">(AM6-AM7)*AN6</f>
        <v>#NAME?</v>
      </c>
      <c r="AR6" s="929">
        <v>1</v>
      </c>
      <c r="AS6" s="939">
        <v>20</v>
      </c>
      <c r="AT6" s="978">
        <v>0</v>
      </c>
      <c r="AU6" s="929">
        <v>1</v>
      </c>
      <c r="AV6" s="8"/>
      <c r="AW6" s="926">
        <v>26</v>
      </c>
      <c r="AX6" s="939">
        <v>24</v>
      </c>
      <c r="AY6" s="978">
        <v>0</v>
      </c>
      <c r="AZ6" s="929">
        <v>0</v>
      </c>
    </row>
    <row r="7" spans="1:52">
      <c r="A7" s="941">
        <v>24</v>
      </c>
      <c r="B7" s="977">
        <v>0</v>
      </c>
      <c r="C7" s="627">
        <v>0</v>
      </c>
      <c r="E7" t="e">
        <f ca="1"/>
        <v>#NAME?</v>
      </c>
      <c r="F7" t="e">
        <f ca="1"/>
        <v>#NAME?</v>
      </c>
      <c r="G7" s="625" t="e">
        <f ca="1"/>
        <v>#NAME?</v>
      </c>
      <c r="H7" s="8" t="e">
        <f ca="1"/>
        <v>#NAME?</v>
      </c>
      <c r="I7" s="132" t="e">
        <f t="shared" ca="1" si="0"/>
        <v>#NAME?</v>
      </c>
      <c r="J7" t="e">
        <f t="shared" ca="1" si="1"/>
        <v>#NAME?</v>
      </c>
      <c r="K7" t="e">
        <f t="shared" ca="1" si="2"/>
        <v>#NAME?</v>
      </c>
      <c r="L7" s="625" t="e">
        <f t="shared" ca="1" si="3"/>
        <v>#NAME?</v>
      </c>
      <c r="M7" s="132" t="e">
        <f t="shared" ca="1" si="4"/>
        <v>#NAME?</v>
      </c>
      <c r="N7" t="e">
        <f t="shared" ca="1" si="5"/>
        <v>#NAME?</v>
      </c>
      <c r="O7" t="e">
        <f t="shared" ca="1" si="6"/>
        <v>#NAME?</v>
      </c>
      <c r="P7" t="e">
        <f t="shared" ca="1" si="7"/>
        <v>#NAME?</v>
      </c>
      <c r="R7" s="1118" t="e">
        <f t="array" aca="1" ref="R7:R9" ca="1">[1]!LogitCoeff(E6:H11,,,,,20)</f>
        <v>#NAME?</v>
      </c>
      <c r="W7" s="625" t="e">
        <f ca="1"/>
        <v>#NAME?</v>
      </c>
      <c r="X7" s="8" t="e">
        <f ca="1"/>
        <v>#NAME?</v>
      </c>
      <c r="Y7" s="132" t="e">
        <f ca="1"/>
        <v>#NAME?</v>
      </c>
      <c r="AA7" s="946" t="e">
        <f ca="1"/>
        <v>#NAME?</v>
      </c>
      <c r="AC7" t="s">
        <v>2876</v>
      </c>
      <c r="AD7" s="1075" t="e">
        <f ca="1">AD8-AD6</f>
        <v>#NAME?</v>
      </c>
      <c r="AE7" s="1077" t="e">
        <f ca="1">AE8-AE6</f>
        <v>#NAME?</v>
      </c>
      <c r="AF7" t="e">
        <f ca="1">AD7+AE7</f>
        <v>#NAME?</v>
      </c>
      <c r="AH7" t="e">
        <f t="array" aca="1" ref="AH7:AJ12" ca="1">[1]!SelectCols(G6:K11,"5,2,1",1)</f>
        <v>#NAME?</v>
      </c>
      <c r="AI7" t="e">
        <f ca="1"/>
        <v>#NAME?</v>
      </c>
      <c r="AJ7" t="e">
        <f ca="1"/>
        <v>#NAME?</v>
      </c>
      <c r="AK7" t="e">
        <f t="shared" ref="AK7:AL12" ca="1" si="8">AK6+AI7</f>
        <v>#NAME?</v>
      </c>
      <c r="AL7" t="e">
        <f t="shared" ca="1" si="8"/>
        <v>#NAME?</v>
      </c>
      <c r="AM7" t="e">
        <f t="shared" ref="AM7:AM12" ca="1" si="9">1-AK7/AK$12</f>
        <v>#NAME?</v>
      </c>
      <c r="AN7" t="e">
        <f t="shared" ref="AN7:AN12" ca="1" si="10">1-AL7/AL$12</f>
        <v>#NAME?</v>
      </c>
      <c r="AO7" t="e">
        <f t="shared" ref="AO7:AO12" ca="1" si="11">(AM7-AM8)*AN7</f>
        <v>#NAME?</v>
      </c>
      <c r="AR7" s="627">
        <f>AR6+1</f>
        <v>2</v>
      </c>
      <c r="AS7" s="941">
        <v>22</v>
      </c>
      <c r="AT7" s="976">
        <v>1</v>
      </c>
      <c r="AU7" s="627">
        <v>1</v>
      </c>
      <c r="AV7" s="8"/>
      <c r="AW7" s="656">
        <f>AW6+1</f>
        <v>27</v>
      </c>
      <c r="AX7" s="941">
        <v>22</v>
      </c>
      <c r="AY7" s="977">
        <v>0</v>
      </c>
      <c r="AZ7" s="627">
        <v>1</v>
      </c>
    </row>
    <row r="8" spans="1:52">
      <c r="A8" s="941">
        <v>22</v>
      </c>
      <c r="B8" s="976">
        <v>0</v>
      </c>
      <c r="C8" s="627">
        <v>1</v>
      </c>
      <c r="E8" t="e">
        <f ca="1"/>
        <v>#NAME?</v>
      </c>
      <c r="F8" t="e">
        <f ca="1"/>
        <v>#NAME?</v>
      </c>
      <c r="G8" s="625" t="e">
        <f ca="1"/>
        <v>#NAME?</v>
      </c>
      <c r="H8" s="8" t="e">
        <f ca="1"/>
        <v>#NAME?</v>
      </c>
      <c r="I8" s="132" t="e">
        <f t="shared" ca="1" si="0"/>
        <v>#NAME?</v>
      </c>
      <c r="J8" t="e">
        <f t="shared" ca="1" si="1"/>
        <v>#NAME?</v>
      </c>
      <c r="K8" t="e">
        <f t="shared" ca="1" si="2"/>
        <v>#NAME?</v>
      </c>
      <c r="L8" s="625" t="e">
        <f t="shared" ca="1" si="3"/>
        <v>#NAME?</v>
      </c>
      <c r="M8" s="132" t="e">
        <f t="shared" ca="1" si="4"/>
        <v>#NAME?</v>
      </c>
      <c r="N8" t="e">
        <f t="shared" ca="1" si="5"/>
        <v>#NAME?</v>
      </c>
      <c r="O8" t="e">
        <f t="shared" ca="1" si="6"/>
        <v>#NAME?</v>
      </c>
      <c r="P8" t="e">
        <f t="shared" ca="1" si="7"/>
        <v>#NAME?</v>
      </c>
      <c r="R8" s="946" t="e">
        <f ca="1"/>
        <v>#NAME?</v>
      </c>
      <c r="T8" t="s">
        <v>2099</v>
      </c>
      <c r="U8" s="1118" t="e">
        <f ca="1">2*(U6-U5)</f>
        <v>#NAME?</v>
      </c>
      <c r="W8" s="1075" t="e">
        <f ca="1"/>
        <v>#NAME?</v>
      </c>
      <c r="X8" s="1076" t="e">
        <f ca="1"/>
        <v>#NAME?</v>
      </c>
      <c r="Y8" s="1077" t="e">
        <f ca="1"/>
        <v>#NAME?</v>
      </c>
      <c r="AA8" s="1073" t="e">
        <f ca="1"/>
        <v>#NAME?</v>
      </c>
      <c r="AD8" t="e">
        <f ca="1">G12</f>
        <v>#NAME?</v>
      </c>
      <c r="AE8" t="e">
        <f ca="1">H12</f>
        <v>#NAME?</v>
      </c>
      <c r="AF8" t="e">
        <f ca="1">AD8+AE8</f>
        <v>#NAME?</v>
      </c>
      <c r="AH8" t="e">
        <f ca="1"/>
        <v>#NAME?</v>
      </c>
      <c r="AI8" t="e">
        <f ca="1"/>
        <v>#NAME?</v>
      </c>
      <c r="AJ8" t="e">
        <f ca="1"/>
        <v>#NAME?</v>
      </c>
      <c r="AK8" t="e">
        <f t="shared" ca="1" si="8"/>
        <v>#NAME?</v>
      </c>
      <c r="AL8" t="e">
        <f t="shared" ca="1" si="8"/>
        <v>#NAME?</v>
      </c>
      <c r="AM8" t="e">
        <f t="shared" ca="1" si="9"/>
        <v>#NAME?</v>
      </c>
      <c r="AN8" t="e">
        <f t="shared" ca="1" si="10"/>
        <v>#NAME?</v>
      </c>
      <c r="AO8" t="e">
        <f t="shared" ca="1" si="11"/>
        <v>#NAME?</v>
      </c>
      <c r="AR8" s="627">
        <f t="shared" ref="AR8:AR30" si="12">AR7+1</f>
        <v>3</v>
      </c>
      <c r="AS8" s="941">
        <v>22</v>
      </c>
      <c r="AT8" s="976">
        <v>1</v>
      </c>
      <c r="AU8" s="627">
        <v>0</v>
      </c>
      <c r="AV8" s="8"/>
      <c r="AW8" s="656">
        <f t="shared" ref="AW8:AW29" si="13">AW7+1</f>
        <v>28</v>
      </c>
      <c r="AX8" s="941">
        <v>24</v>
      </c>
      <c r="AY8" s="976">
        <v>1</v>
      </c>
      <c r="AZ8" s="627">
        <v>1</v>
      </c>
    </row>
    <row r="9" spans="1:52">
      <c r="A9" s="941">
        <v>22</v>
      </c>
      <c r="B9" s="976">
        <v>1</v>
      </c>
      <c r="C9" s="627">
        <v>0</v>
      </c>
      <c r="E9" t="e">
        <f ca="1"/>
        <v>#NAME?</v>
      </c>
      <c r="F9" t="e">
        <f ca="1"/>
        <v>#NAME?</v>
      </c>
      <c r="G9" s="625" t="e">
        <f ca="1"/>
        <v>#NAME?</v>
      </c>
      <c r="H9" s="8" t="e">
        <f ca="1"/>
        <v>#NAME?</v>
      </c>
      <c r="I9" s="132" t="e">
        <f t="shared" ca="1" si="0"/>
        <v>#NAME?</v>
      </c>
      <c r="J9" t="e">
        <f t="shared" ca="1" si="1"/>
        <v>#NAME?</v>
      </c>
      <c r="K9" t="e">
        <f t="shared" ca="1" si="2"/>
        <v>#NAME?</v>
      </c>
      <c r="L9" s="625" t="e">
        <f t="shared" ca="1" si="3"/>
        <v>#NAME?</v>
      </c>
      <c r="M9" s="132" t="e">
        <f t="shared" ca="1" si="4"/>
        <v>#NAME?</v>
      </c>
      <c r="N9" t="e">
        <f t="shared" ca="1" si="5"/>
        <v>#NAME?</v>
      </c>
      <c r="O9" t="e">
        <f t="shared" ca="1" si="6"/>
        <v>#NAME?</v>
      </c>
      <c r="P9" t="e">
        <f t="shared" ca="1" si="7"/>
        <v>#NAME?</v>
      </c>
      <c r="R9" s="1073" t="e">
        <f ca="1"/>
        <v>#NAME?</v>
      </c>
      <c r="T9" t="s">
        <v>186</v>
      </c>
      <c r="U9" s="946">
        <f ca="1">COUNT(E6:F6)</f>
        <v>0</v>
      </c>
      <c r="AH9" t="e">
        <f ca="1"/>
        <v>#NAME?</v>
      </c>
      <c r="AI9" t="e">
        <f ca="1"/>
        <v>#NAME?</v>
      </c>
      <c r="AJ9" t="e">
        <f ca="1"/>
        <v>#NAME?</v>
      </c>
      <c r="AK9" t="e">
        <f t="shared" ca="1" si="8"/>
        <v>#NAME?</v>
      </c>
      <c r="AL9" t="e">
        <f t="shared" ca="1" si="8"/>
        <v>#NAME?</v>
      </c>
      <c r="AM9" t="e">
        <f t="shared" ca="1" si="9"/>
        <v>#NAME?</v>
      </c>
      <c r="AN9" t="e">
        <f t="shared" ca="1" si="10"/>
        <v>#NAME?</v>
      </c>
      <c r="AO9" t="e">
        <f t="shared" ca="1" si="11"/>
        <v>#NAME?</v>
      </c>
      <c r="AR9" s="627">
        <f t="shared" si="12"/>
        <v>4</v>
      </c>
      <c r="AS9" s="941">
        <v>24</v>
      </c>
      <c r="AT9" s="977">
        <v>0</v>
      </c>
      <c r="AU9" s="627">
        <v>0</v>
      </c>
      <c r="AV9" s="8"/>
      <c r="AW9" s="656">
        <f t="shared" si="13"/>
        <v>29</v>
      </c>
      <c r="AX9" s="941">
        <v>24</v>
      </c>
      <c r="AY9" s="977">
        <v>0</v>
      </c>
      <c r="AZ9" s="627">
        <v>1</v>
      </c>
    </row>
    <row r="10" spans="1:52">
      <c r="A10" s="941">
        <v>20</v>
      </c>
      <c r="B10" s="976">
        <v>1</v>
      </c>
      <c r="C10" s="627">
        <v>0</v>
      </c>
      <c r="E10" t="e">
        <f ca="1"/>
        <v>#NAME?</v>
      </c>
      <c r="F10" t="e">
        <f ca="1"/>
        <v>#NAME?</v>
      </c>
      <c r="G10" s="625" t="e">
        <f ca="1"/>
        <v>#NAME?</v>
      </c>
      <c r="H10" s="8" t="e">
        <f ca="1"/>
        <v>#NAME?</v>
      </c>
      <c r="I10" s="132" t="e">
        <f t="shared" ca="1" si="0"/>
        <v>#NAME?</v>
      </c>
      <c r="J10" t="e">
        <f t="shared" ca="1" si="1"/>
        <v>#NAME?</v>
      </c>
      <c r="K10" t="e">
        <f t="shared" ca="1" si="2"/>
        <v>#NAME?</v>
      </c>
      <c r="L10" s="625" t="e">
        <f t="shared" ca="1" si="3"/>
        <v>#NAME?</v>
      </c>
      <c r="M10" s="132" t="e">
        <f t="shared" ca="1" si="4"/>
        <v>#NAME?</v>
      </c>
      <c r="N10" t="e">
        <f t="shared" ca="1" si="5"/>
        <v>#NAME?</v>
      </c>
      <c r="O10" t="e">
        <f t="shared" ca="1" si="6"/>
        <v>#NAME?</v>
      </c>
      <c r="P10" t="e">
        <f t="shared" ca="1" si="7"/>
        <v>#NAME?</v>
      </c>
      <c r="T10" t="s">
        <v>200</v>
      </c>
      <c r="U10" s="946" t="e">
        <f ca="1">CHIDIST(U8,U9)</f>
        <v>#NAME?</v>
      </c>
      <c r="AC10" t="s">
        <v>2919</v>
      </c>
      <c r="AD10" s="1119" t="e">
        <f ca="1">AD6/AD8</f>
        <v>#NAME?</v>
      </c>
      <c r="AE10" s="1120" t="e">
        <f ca="1">AE7/AE8</f>
        <v>#NAME?</v>
      </c>
      <c r="AF10" t="e">
        <f ca="1">(AD6+AE7)/AF8</f>
        <v>#NAME?</v>
      </c>
      <c r="AH10" t="e">
        <f ca="1"/>
        <v>#NAME?</v>
      </c>
      <c r="AI10" t="e">
        <f ca="1"/>
        <v>#NAME?</v>
      </c>
      <c r="AJ10" t="e">
        <f ca="1"/>
        <v>#NAME?</v>
      </c>
      <c r="AK10" t="e">
        <f t="shared" ca="1" si="8"/>
        <v>#NAME?</v>
      </c>
      <c r="AL10" t="e">
        <f t="shared" ca="1" si="8"/>
        <v>#NAME?</v>
      </c>
      <c r="AM10" t="e">
        <f t="shared" ca="1" si="9"/>
        <v>#NAME?</v>
      </c>
      <c r="AN10" t="e">
        <f t="shared" ca="1" si="10"/>
        <v>#NAME?</v>
      </c>
      <c r="AO10" t="e">
        <f t="shared" ca="1" si="11"/>
        <v>#NAME?</v>
      </c>
      <c r="AR10" s="627">
        <f t="shared" si="12"/>
        <v>5</v>
      </c>
      <c r="AS10" s="941">
        <v>22</v>
      </c>
      <c r="AT10" s="976">
        <v>0</v>
      </c>
      <c r="AU10" s="627">
        <v>1</v>
      </c>
      <c r="AV10" s="8"/>
      <c r="AW10" s="656">
        <f t="shared" si="13"/>
        <v>30</v>
      </c>
      <c r="AX10" s="941">
        <v>22</v>
      </c>
      <c r="AY10" s="976">
        <v>1</v>
      </c>
      <c r="AZ10" s="627">
        <v>1</v>
      </c>
    </row>
    <row r="11" spans="1:52">
      <c r="A11" s="941">
        <v>24</v>
      </c>
      <c r="B11" s="976">
        <v>1</v>
      </c>
      <c r="C11" s="627">
        <v>0</v>
      </c>
      <c r="E11" t="e">
        <f ca="1"/>
        <v>#NAME?</v>
      </c>
      <c r="F11" t="e">
        <f ca="1"/>
        <v>#NAME?</v>
      </c>
      <c r="G11" s="1075" t="e">
        <f ca="1"/>
        <v>#NAME?</v>
      </c>
      <c r="H11" s="1076" t="e">
        <f ca="1"/>
        <v>#NAME?</v>
      </c>
      <c r="I11" s="132" t="e">
        <f t="shared" ca="1" si="0"/>
        <v>#NAME?</v>
      </c>
      <c r="J11" t="e">
        <f t="shared" ca="1" si="1"/>
        <v>#NAME?</v>
      </c>
      <c r="K11" t="e">
        <f t="shared" ca="1" si="2"/>
        <v>#NAME?</v>
      </c>
      <c r="L11" s="625" t="e">
        <f t="shared" ca="1" si="3"/>
        <v>#NAME?</v>
      </c>
      <c r="M11" s="132" t="e">
        <f t="shared" ca="1" si="4"/>
        <v>#NAME?</v>
      </c>
      <c r="N11" t="e">
        <f t="shared" ca="1" si="5"/>
        <v>#NAME?</v>
      </c>
      <c r="O11" t="e">
        <f t="shared" ca="1" si="6"/>
        <v>#NAME?</v>
      </c>
      <c r="P11" t="e">
        <f t="shared" ca="1" si="7"/>
        <v>#NAME?</v>
      </c>
      <c r="T11" t="s">
        <v>337</v>
      </c>
      <c r="U11" s="946">
        <v>0.05</v>
      </c>
      <c r="AH11" t="e">
        <f ca="1"/>
        <v>#NAME?</v>
      </c>
      <c r="AI11" t="e">
        <f ca="1"/>
        <v>#NAME?</v>
      </c>
      <c r="AJ11" t="e">
        <f ca="1"/>
        <v>#NAME?</v>
      </c>
      <c r="AK11" t="e">
        <f t="shared" ca="1" si="8"/>
        <v>#NAME?</v>
      </c>
      <c r="AL11" t="e">
        <f t="shared" ca="1" si="8"/>
        <v>#NAME?</v>
      </c>
      <c r="AM11" t="e">
        <f t="shared" ca="1" si="9"/>
        <v>#NAME?</v>
      </c>
      <c r="AN11" t="e">
        <f t="shared" ca="1" si="10"/>
        <v>#NAME?</v>
      </c>
      <c r="AO11" t="e">
        <f t="shared" ca="1" si="11"/>
        <v>#NAME?</v>
      </c>
      <c r="AR11" s="627">
        <f t="shared" si="12"/>
        <v>6</v>
      </c>
      <c r="AS11" s="941">
        <v>22</v>
      </c>
      <c r="AT11" s="976">
        <v>1</v>
      </c>
      <c r="AU11" s="627">
        <v>0</v>
      </c>
      <c r="AV11" s="8"/>
      <c r="AW11" s="656">
        <f t="shared" si="13"/>
        <v>31</v>
      </c>
      <c r="AX11" s="941">
        <v>22</v>
      </c>
      <c r="AY11" s="977">
        <v>0</v>
      </c>
      <c r="AZ11" s="627">
        <v>0</v>
      </c>
    </row>
    <row r="12" spans="1:52">
      <c r="A12" s="941">
        <v>24</v>
      </c>
      <c r="B12" s="977">
        <v>0</v>
      </c>
      <c r="C12" s="627">
        <v>0</v>
      </c>
      <c r="E12" s="5"/>
      <c r="F12" s="5"/>
      <c r="G12" s="5" t="e">
        <f ca="1">SUM(G6:G11)</f>
        <v>#NAME?</v>
      </c>
      <c r="H12" s="5" t="e">
        <f ca="1">SUM(H6:H11)</f>
        <v>#NAME?</v>
      </c>
      <c r="I12" s="1117" t="e">
        <f ca="1">SUM(I6:I11)</f>
        <v>#NAME?</v>
      </c>
      <c r="J12" s="1117"/>
      <c r="K12" s="1117"/>
      <c r="L12" s="5" t="e">
        <f ca="1">SUM(L6:L11)</f>
        <v>#NAME?</v>
      </c>
      <c r="M12" s="5" t="e">
        <f ca="1">SUM(M6:M11)</f>
        <v>#NAME?</v>
      </c>
      <c r="N12" s="1117" t="e">
        <f ca="1">SUM(N6:N11)</f>
        <v>#NAME?</v>
      </c>
      <c r="O12" s="1117" t="e">
        <f ca="1">SUMPRODUCT(O6:O11,I6:I11)/I12</f>
        <v>#NAME?</v>
      </c>
      <c r="P12" s="1117" t="e">
        <f ca="1">SUM(P6:P11)</f>
        <v>#NAME?</v>
      </c>
      <c r="T12" t="s">
        <v>948</v>
      </c>
      <c r="U12" s="1074" t="e">
        <f ca="1">IF(U10&lt;U11,"yes","no")</f>
        <v>#NAME?</v>
      </c>
      <c r="AC12" t="s">
        <v>2880</v>
      </c>
      <c r="AD12" s="1121">
        <v>0.5</v>
      </c>
      <c r="AH12" s="1078" t="e">
        <f ca="1"/>
        <v>#NAME?</v>
      </c>
      <c r="AI12" s="1078" t="e">
        <f ca="1"/>
        <v>#NAME?</v>
      </c>
      <c r="AJ12" s="1078" t="e">
        <f ca="1"/>
        <v>#NAME?</v>
      </c>
      <c r="AK12" s="1078" t="e">
        <f t="shared" ca="1" si="8"/>
        <v>#NAME?</v>
      </c>
      <c r="AL12" s="1078" t="e">
        <f t="shared" ca="1" si="8"/>
        <v>#NAME?</v>
      </c>
      <c r="AM12" s="1078" t="e">
        <f t="shared" ca="1" si="9"/>
        <v>#NAME?</v>
      </c>
      <c r="AN12" s="1078" t="e">
        <f t="shared" ca="1" si="10"/>
        <v>#NAME?</v>
      </c>
      <c r="AO12" s="1078" t="e">
        <f t="shared" ca="1" si="11"/>
        <v>#NAME?</v>
      </c>
      <c r="AR12" s="627">
        <f t="shared" si="12"/>
        <v>7</v>
      </c>
      <c r="AS12" s="941">
        <v>20</v>
      </c>
      <c r="AT12" s="976">
        <v>1</v>
      </c>
      <c r="AU12" s="627">
        <v>0</v>
      </c>
      <c r="AV12" s="8"/>
      <c r="AW12" s="656">
        <f t="shared" si="13"/>
        <v>32</v>
      </c>
      <c r="AX12" s="941">
        <v>22</v>
      </c>
      <c r="AY12" s="977">
        <v>0</v>
      </c>
      <c r="AZ12" s="627">
        <v>1</v>
      </c>
    </row>
    <row r="13" spans="1:52" ht="15" thickBot="1">
      <c r="A13" s="941">
        <v>20</v>
      </c>
      <c r="B13" s="976">
        <v>0</v>
      </c>
      <c r="C13" s="627">
        <v>1</v>
      </c>
      <c r="AO13" t="e">
        <f ca="1">SUM(AO6:AO12)</f>
        <v>#NAME?</v>
      </c>
      <c r="AR13" s="627">
        <f t="shared" si="12"/>
        <v>8</v>
      </c>
      <c r="AS13" s="941">
        <v>24</v>
      </c>
      <c r="AT13" s="976">
        <v>1</v>
      </c>
      <c r="AU13" s="627">
        <v>0</v>
      </c>
      <c r="AV13" s="8"/>
      <c r="AW13" s="656">
        <f t="shared" si="13"/>
        <v>33</v>
      </c>
      <c r="AX13" s="941">
        <v>20</v>
      </c>
      <c r="AY13" s="976">
        <v>1</v>
      </c>
      <c r="AZ13" s="627">
        <v>0</v>
      </c>
    </row>
    <row r="14" spans="1:52" ht="15" thickTop="1">
      <c r="A14" s="941">
        <v>20</v>
      </c>
      <c r="B14" s="976">
        <v>0</v>
      </c>
      <c r="C14" s="627">
        <v>1</v>
      </c>
      <c r="E14" s="1070"/>
      <c r="F14" s="1070" t="s">
        <v>2603</v>
      </c>
      <c r="G14" s="1070" t="s">
        <v>826</v>
      </c>
      <c r="H14" s="1070" t="s">
        <v>2604</v>
      </c>
      <c r="I14" s="1070" t="s">
        <v>200</v>
      </c>
      <c r="J14" s="1070" t="s">
        <v>2605</v>
      </c>
      <c r="K14" s="1070" t="s">
        <v>103</v>
      </c>
      <c r="L14" s="1070" t="s">
        <v>104</v>
      </c>
      <c r="T14" t="s">
        <v>2096</v>
      </c>
      <c r="U14" s="1118" t="e">
        <f ca="1">1-U6/U5</f>
        <v>#NAME?</v>
      </c>
      <c r="AR14" s="627">
        <f t="shared" si="12"/>
        <v>9</v>
      </c>
      <c r="AS14" s="941">
        <v>24</v>
      </c>
      <c r="AT14" s="977">
        <v>0</v>
      </c>
      <c r="AU14" s="627">
        <v>0</v>
      </c>
      <c r="AV14" s="8"/>
      <c r="AW14" s="656">
        <f t="shared" si="13"/>
        <v>34</v>
      </c>
      <c r="AX14" s="941">
        <v>24</v>
      </c>
      <c r="AY14" s="976">
        <v>1</v>
      </c>
      <c r="AZ14" s="627">
        <v>0</v>
      </c>
    </row>
    <row r="15" spans="1:52">
      <c r="A15" s="941">
        <v>22</v>
      </c>
      <c r="B15" s="976">
        <v>1</v>
      </c>
      <c r="C15" s="627">
        <v>0</v>
      </c>
      <c r="E15" t="s">
        <v>697</v>
      </c>
      <c r="F15" t="e">
        <f t="array" ref="F15:F17" ca="1">R7:R9</f>
        <v>#NAME?</v>
      </c>
      <c r="G15" t="e">
        <f t="array" aca="1" ref="G15:G17" ca="1">SQRT([1]!DIAG(W6:Y8))</f>
        <v>#NAME?</v>
      </c>
      <c r="H15" t="e">
        <f ca="1">(F15/G15)^2</f>
        <v>#NAME?</v>
      </c>
      <c r="I15" t="e">
        <f ca="1">CHIDIST(H15,1)</f>
        <v>#NAME?</v>
      </c>
      <c r="J15" t="e">
        <f ca="1">EXP(F15)</f>
        <v>#NAME?</v>
      </c>
      <c r="T15" t="s">
        <v>2097</v>
      </c>
      <c r="U15" s="946" t="e">
        <f ca="1">1-EXP((-2/I12)*(U6-U5))</f>
        <v>#NAME?</v>
      </c>
      <c r="AR15" s="627">
        <f t="shared" si="12"/>
        <v>10</v>
      </c>
      <c r="AS15" s="941">
        <v>20</v>
      </c>
      <c r="AT15" s="976">
        <v>0</v>
      </c>
      <c r="AU15" s="627">
        <v>1</v>
      </c>
      <c r="AV15" s="8"/>
      <c r="AW15" s="656">
        <f t="shared" si="13"/>
        <v>35</v>
      </c>
      <c r="AX15" s="941">
        <v>24</v>
      </c>
      <c r="AY15" s="977">
        <v>0</v>
      </c>
      <c r="AZ15" s="627">
        <v>0</v>
      </c>
    </row>
    <row r="16" spans="1:52">
      <c r="A16" s="941">
        <v>20</v>
      </c>
      <c r="B16" s="976">
        <v>1</v>
      </c>
      <c r="C16" s="627">
        <v>1</v>
      </c>
      <c r="E16" t="str">
        <f t="array" ref="E16:E17">TRANSPOSE(E5:F5)</f>
        <v>Temp</v>
      </c>
      <c r="F16" t="e">
        <f ca="1"/>
        <v>#NAME?</v>
      </c>
      <c r="G16" t="e">
        <f ca="1"/>
        <v>#NAME?</v>
      </c>
      <c r="H16" t="e">
        <f ca="1">(F16/G16)^2</f>
        <v>#NAME?</v>
      </c>
      <c r="I16" t="e">
        <f ca="1">CHIDIST(H16,1)</f>
        <v>#NAME?</v>
      </c>
      <c r="J16" t="e">
        <f ca="1">EXP(F16)</f>
        <v>#NAME?</v>
      </c>
      <c r="K16" t="e">
        <f ca="1">EXP(F16-G16*NORMSINV(1-$U$11/2))</f>
        <v>#NAME?</v>
      </c>
      <c r="L16" t="e">
        <f ca="1">EXP(F16+G16*NORMSINV(1-$U$11/2))</f>
        <v>#NAME?</v>
      </c>
      <c r="T16" t="s">
        <v>2098</v>
      </c>
      <c r="U16" s="1073" t="e">
        <f ca="1">U15/(1-EXP(2*U5/I12))</f>
        <v>#NAME?</v>
      </c>
      <c r="AR16" s="627">
        <f t="shared" si="12"/>
        <v>11</v>
      </c>
      <c r="AS16" s="941">
        <v>20</v>
      </c>
      <c r="AT16" s="976">
        <v>0</v>
      </c>
      <c r="AU16" s="627">
        <v>1</v>
      </c>
      <c r="AV16" s="8"/>
      <c r="AW16" s="656">
        <f t="shared" si="13"/>
        <v>36</v>
      </c>
      <c r="AX16" s="941">
        <v>22</v>
      </c>
      <c r="AY16" s="976">
        <v>1</v>
      </c>
      <c r="AZ16" s="627">
        <v>1</v>
      </c>
    </row>
    <row r="17" spans="1:52">
      <c r="A17" s="941">
        <v>22</v>
      </c>
      <c r="B17" s="977">
        <v>0</v>
      </c>
      <c r="C17" s="627">
        <v>0</v>
      </c>
      <c r="E17" s="1078" t="str">
        <v>Water</v>
      </c>
      <c r="F17" s="1078" t="e">
        <f ca="1"/>
        <v>#NAME?</v>
      </c>
      <c r="G17" s="1078" t="e">
        <f ca="1"/>
        <v>#NAME?</v>
      </c>
      <c r="H17" s="1078" t="e">
        <f ca="1">(F17/G17)^2</f>
        <v>#NAME?</v>
      </c>
      <c r="I17" s="1078" t="e">
        <f ca="1">CHIDIST(H17,1)</f>
        <v>#NAME?</v>
      </c>
      <c r="J17" s="1078" t="e">
        <f ca="1">EXP(F17)</f>
        <v>#NAME?</v>
      </c>
      <c r="K17" s="1078" t="e">
        <f ca="1">EXP(F17-G17*NORMSINV(1-$U$11/2))</f>
        <v>#NAME?</v>
      </c>
      <c r="L17" s="1078" t="e">
        <f ca="1">EXP(F17+G17*NORMSINV(1-$U$11/2))</f>
        <v>#NAME?</v>
      </c>
      <c r="AR17" s="627">
        <f t="shared" si="12"/>
        <v>12</v>
      </c>
      <c r="AS17" s="941">
        <v>22</v>
      </c>
      <c r="AT17" s="976">
        <v>1</v>
      </c>
      <c r="AU17" s="627">
        <v>0</v>
      </c>
      <c r="AV17" s="8"/>
      <c r="AW17" s="656">
        <f t="shared" si="13"/>
        <v>37</v>
      </c>
      <c r="AX17" s="941">
        <v>20</v>
      </c>
      <c r="AY17" s="977">
        <v>0</v>
      </c>
      <c r="AZ17" s="627">
        <v>1</v>
      </c>
    </row>
    <row r="18" spans="1:52">
      <c r="A18" s="941">
        <v>22</v>
      </c>
      <c r="B18" s="976">
        <v>0</v>
      </c>
      <c r="C18" s="627">
        <v>1</v>
      </c>
      <c r="T18" t="s">
        <v>2806</v>
      </c>
      <c r="U18" s="1118" t="e">
        <f ca="1">P12</f>
        <v>#NAME?</v>
      </c>
      <c r="AR18" s="627">
        <f t="shared" si="12"/>
        <v>13</v>
      </c>
      <c r="AS18" s="941">
        <v>20</v>
      </c>
      <c r="AT18" s="976">
        <v>1</v>
      </c>
      <c r="AU18" s="627">
        <v>1</v>
      </c>
      <c r="AV18" s="8"/>
      <c r="AW18" s="656">
        <f t="shared" si="13"/>
        <v>38</v>
      </c>
      <c r="AX18" s="941">
        <v>22</v>
      </c>
      <c r="AY18" s="976">
        <v>0</v>
      </c>
      <c r="AZ18" s="627">
        <v>0</v>
      </c>
    </row>
    <row r="19" spans="1:52">
      <c r="A19" s="941">
        <v>24</v>
      </c>
      <c r="B19" s="976">
        <v>1</v>
      </c>
      <c r="C19" s="627">
        <v>1</v>
      </c>
      <c r="T19" t="s">
        <v>186</v>
      </c>
      <c r="U19" s="946">
        <f ca="1">COUNT(I6:I11)-2</f>
        <v>-2</v>
      </c>
      <c r="AR19" s="627">
        <f t="shared" si="12"/>
        <v>14</v>
      </c>
      <c r="AS19" s="941">
        <v>22</v>
      </c>
      <c r="AT19" s="977">
        <v>0</v>
      </c>
      <c r="AU19" s="627">
        <v>0</v>
      </c>
      <c r="AV19" s="8"/>
      <c r="AW19" s="656">
        <f t="shared" si="13"/>
        <v>39</v>
      </c>
      <c r="AX19" s="941">
        <v>22</v>
      </c>
      <c r="AY19" s="976">
        <v>1</v>
      </c>
      <c r="AZ19" s="627">
        <v>0</v>
      </c>
    </row>
    <row r="20" spans="1:52">
      <c r="A20" s="941">
        <v>24</v>
      </c>
      <c r="B20" s="977">
        <v>0</v>
      </c>
      <c r="C20" s="627">
        <v>0</v>
      </c>
      <c r="E20" t="s">
        <v>630</v>
      </c>
      <c r="T20" t="s">
        <v>200</v>
      </c>
      <c r="U20" s="946" t="e">
        <f ca="1">CHIDIST(U18,U19)</f>
        <v>#NAME?</v>
      </c>
      <c r="AR20" s="627">
        <f t="shared" si="12"/>
        <v>15</v>
      </c>
      <c r="AS20" s="941">
        <v>22</v>
      </c>
      <c r="AT20" s="976">
        <v>0</v>
      </c>
      <c r="AU20" s="627">
        <v>1</v>
      </c>
      <c r="AV20" s="8"/>
      <c r="AW20" s="656">
        <f t="shared" si="13"/>
        <v>40</v>
      </c>
      <c r="AX20" s="941">
        <v>20</v>
      </c>
      <c r="AY20" s="976">
        <v>1</v>
      </c>
      <c r="AZ20" s="627">
        <v>1</v>
      </c>
    </row>
    <row r="21" spans="1:52" ht="15" thickBot="1">
      <c r="A21" s="941">
        <v>22</v>
      </c>
      <c r="B21" s="976">
        <v>1</v>
      </c>
      <c r="C21" s="627">
        <v>0</v>
      </c>
      <c r="T21" t="s">
        <v>337</v>
      </c>
      <c r="U21" s="946">
        <f>U11</f>
        <v>0.05</v>
      </c>
      <c r="AR21" s="627">
        <f t="shared" si="12"/>
        <v>16</v>
      </c>
      <c r="AS21" s="941">
        <v>24</v>
      </c>
      <c r="AT21" s="976">
        <v>1</v>
      </c>
      <c r="AU21" s="627">
        <v>1</v>
      </c>
      <c r="AV21" s="8"/>
      <c r="AW21" s="656">
        <f t="shared" si="13"/>
        <v>41</v>
      </c>
      <c r="AX21" s="941">
        <v>20</v>
      </c>
      <c r="AY21" s="976">
        <v>1</v>
      </c>
      <c r="AZ21" s="627">
        <v>0</v>
      </c>
    </row>
    <row r="22" spans="1:52" ht="15" thickTop="1">
      <c r="A22" s="941">
        <v>24</v>
      </c>
      <c r="B22" s="976">
        <v>1</v>
      </c>
      <c r="C22" s="627">
        <v>0</v>
      </c>
      <c r="E22" s="973" t="s">
        <v>2091</v>
      </c>
      <c r="F22" s="973" t="s">
        <v>2092</v>
      </c>
      <c r="G22" s="973" t="s">
        <v>383</v>
      </c>
      <c r="H22" s="973" t="s">
        <v>342</v>
      </c>
      <c r="I22" s="970" t="s">
        <v>12</v>
      </c>
      <c r="J22" s="970" t="s">
        <v>2093</v>
      </c>
      <c r="K22" s="970" t="s">
        <v>2094</v>
      </c>
      <c r="T22" t="s">
        <v>948</v>
      </c>
      <c r="U22" s="1074" t="e">
        <f ca="1">IF(U20&lt;U21,"yes","no")</f>
        <v>#NAME?</v>
      </c>
      <c r="AR22" s="627">
        <f t="shared" si="12"/>
        <v>17</v>
      </c>
      <c r="AS22" s="941">
        <v>24</v>
      </c>
      <c r="AT22" s="977">
        <v>0</v>
      </c>
      <c r="AU22" s="627">
        <v>0</v>
      </c>
      <c r="AV22" s="8"/>
      <c r="AW22" s="656">
        <f t="shared" si="13"/>
        <v>42</v>
      </c>
      <c r="AX22" s="941">
        <v>22</v>
      </c>
      <c r="AY22" s="976">
        <v>1</v>
      </c>
      <c r="AZ22" s="627">
        <v>1</v>
      </c>
    </row>
    <row r="23" spans="1:52">
      <c r="A23" s="941">
        <v>20</v>
      </c>
      <c r="B23" s="977">
        <v>0</v>
      </c>
      <c r="C23" s="627">
        <v>0</v>
      </c>
      <c r="E23">
        <v>22</v>
      </c>
      <c r="F23">
        <v>0</v>
      </c>
      <c r="K23" t="e">
        <f ca="1">1/(1+EXP(-$R$7-MMULT(E23:F23,$R$8:$R$9)))</f>
        <v>#NAME?</v>
      </c>
      <c r="AR23" s="627">
        <f t="shared" si="12"/>
        <v>18</v>
      </c>
      <c r="AS23" s="941">
        <v>22</v>
      </c>
      <c r="AT23" s="976">
        <v>1</v>
      </c>
      <c r="AU23" s="627">
        <v>0</v>
      </c>
      <c r="AV23" s="8"/>
      <c r="AW23" s="656">
        <f t="shared" si="13"/>
        <v>43</v>
      </c>
      <c r="AX23" s="941">
        <v>24</v>
      </c>
      <c r="AY23" s="977">
        <v>0</v>
      </c>
      <c r="AZ23" s="627">
        <v>1</v>
      </c>
    </row>
    <row r="24" spans="1:52">
      <c r="A24" s="941">
        <v>20</v>
      </c>
      <c r="B24" s="976">
        <v>1</v>
      </c>
      <c r="C24" s="627">
        <v>0</v>
      </c>
      <c r="E24" s="534">
        <v>22</v>
      </c>
      <c r="F24" s="534">
        <v>1</v>
      </c>
      <c r="G24" s="534"/>
      <c r="H24" s="534"/>
      <c r="I24" s="534"/>
      <c r="J24" s="534"/>
      <c r="K24" s="534" t="e">
        <f ca="1">1/(1+EXP(-$R$7-MMULT(E24:F24,$R$8:$R$9)))</f>
        <v>#NAME?</v>
      </c>
      <c r="AR24" s="627">
        <f t="shared" si="12"/>
        <v>19</v>
      </c>
      <c r="AS24" s="941">
        <v>24</v>
      </c>
      <c r="AT24" s="976">
        <v>1</v>
      </c>
      <c r="AU24" s="627">
        <v>0</v>
      </c>
      <c r="AV24" s="8"/>
      <c r="AW24" s="656">
        <f t="shared" si="13"/>
        <v>44</v>
      </c>
      <c r="AX24" s="941">
        <v>20</v>
      </c>
      <c r="AY24" s="976">
        <v>1</v>
      </c>
      <c r="AZ24" s="627">
        <v>1</v>
      </c>
    </row>
    <row r="25" spans="1:52">
      <c r="A25" s="941">
        <v>20</v>
      </c>
      <c r="B25" s="976">
        <v>0</v>
      </c>
      <c r="C25" s="627">
        <v>1</v>
      </c>
      <c r="AR25" s="627">
        <f t="shared" si="12"/>
        <v>20</v>
      </c>
      <c r="AS25" s="941">
        <v>20</v>
      </c>
      <c r="AT25" s="977">
        <v>0</v>
      </c>
      <c r="AU25" s="627">
        <v>0</v>
      </c>
      <c r="AV25" s="8"/>
      <c r="AW25" s="656">
        <f t="shared" si="13"/>
        <v>45</v>
      </c>
      <c r="AX25" s="941">
        <v>20</v>
      </c>
      <c r="AY25" s="976">
        <v>0</v>
      </c>
      <c r="AZ25" s="627">
        <v>1</v>
      </c>
    </row>
    <row r="26" spans="1:52">
      <c r="A26" s="941">
        <v>20</v>
      </c>
      <c r="B26" s="976">
        <v>1</v>
      </c>
      <c r="C26" s="627">
        <v>1</v>
      </c>
      <c r="E26" t="s">
        <v>630</v>
      </c>
      <c r="AR26" s="627">
        <f t="shared" si="12"/>
        <v>21</v>
      </c>
      <c r="AS26" s="941">
        <v>20</v>
      </c>
      <c r="AT26" s="976">
        <v>1</v>
      </c>
      <c r="AU26" s="627">
        <v>0</v>
      </c>
      <c r="AV26" s="8"/>
      <c r="AW26" s="656">
        <f t="shared" si="13"/>
        <v>46</v>
      </c>
      <c r="AX26" s="941">
        <v>24</v>
      </c>
      <c r="AY26" s="976">
        <v>1</v>
      </c>
      <c r="AZ26" s="627">
        <v>0</v>
      </c>
    </row>
    <row r="27" spans="1:52" ht="15" thickBot="1">
      <c r="A27" s="941">
        <v>20</v>
      </c>
      <c r="B27" s="976">
        <v>1</v>
      </c>
      <c r="C27" s="627">
        <v>1</v>
      </c>
      <c r="AR27" s="627">
        <f t="shared" si="12"/>
        <v>22</v>
      </c>
      <c r="AS27" s="941">
        <v>20</v>
      </c>
      <c r="AT27" s="976">
        <v>0</v>
      </c>
      <c r="AU27" s="627">
        <v>1</v>
      </c>
      <c r="AV27" s="8"/>
      <c r="AW27" s="656">
        <f t="shared" si="13"/>
        <v>47</v>
      </c>
      <c r="AX27" s="941">
        <v>24</v>
      </c>
      <c r="AY27" s="976">
        <v>1</v>
      </c>
      <c r="AZ27" s="627">
        <v>0</v>
      </c>
    </row>
    <row r="28" spans="1:52" ht="15" thickTop="1">
      <c r="A28" s="941">
        <v>20</v>
      </c>
      <c r="B28" s="977">
        <v>0</v>
      </c>
      <c r="C28" s="627">
        <v>1</v>
      </c>
      <c r="E28" s="973" t="s">
        <v>2091</v>
      </c>
      <c r="F28" s="973" t="s">
        <v>2092</v>
      </c>
      <c r="G28" s="973" t="s">
        <v>2094</v>
      </c>
      <c r="AR28" s="627">
        <f t="shared" si="12"/>
        <v>23</v>
      </c>
      <c r="AS28" s="941">
        <v>20</v>
      </c>
      <c r="AT28" s="976">
        <v>1</v>
      </c>
      <c r="AU28" s="627">
        <v>1</v>
      </c>
      <c r="AV28" s="8"/>
      <c r="AW28" s="656">
        <f t="shared" si="13"/>
        <v>48</v>
      </c>
      <c r="AX28" s="941">
        <v>22</v>
      </c>
      <c r="AY28" s="976">
        <v>0</v>
      </c>
      <c r="AZ28" s="627">
        <v>1</v>
      </c>
    </row>
    <row r="29" spans="1:52">
      <c r="A29" s="941">
        <v>24</v>
      </c>
      <c r="B29" s="977">
        <v>0</v>
      </c>
      <c r="C29" s="627">
        <v>0</v>
      </c>
      <c r="E29">
        <v>23</v>
      </c>
      <c r="F29">
        <v>0</v>
      </c>
      <c r="G29" t="e">
        <f ca="1">1/(1+EXP(-$P$7-MMULT(A29:B29,$P$8:$P$9)))</f>
        <v>#NAME?</v>
      </c>
      <c r="AR29" s="627">
        <f t="shared" si="12"/>
        <v>24</v>
      </c>
      <c r="AS29" s="941">
        <v>20</v>
      </c>
      <c r="AT29" s="976">
        <v>1</v>
      </c>
      <c r="AU29" s="627">
        <v>1</v>
      </c>
      <c r="AV29" s="8"/>
      <c r="AW29" s="533">
        <f t="shared" si="13"/>
        <v>49</v>
      </c>
      <c r="AX29" s="944">
        <v>24</v>
      </c>
      <c r="AY29" s="979">
        <v>1</v>
      </c>
      <c r="AZ29" s="544">
        <v>0</v>
      </c>
    </row>
    <row r="30" spans="1:52">
      <c r="A30" s="941">
        <v>22</v>
      </c>
      <c r="B30" s="977">
        <v>0</v>
      </c>
      <c r="C30" s="627">
        <v>1</v>
      </c>
      <c r="E30" s="534">
        <v>23</v>
      </c>
      <c r="F30" s="534">
        <v>1</v>
      </c>
      <c r="G30" s="534" t="e">
        <f ca="1">1/(1+EXP(-$P$7-MMULT(E30:F30,$P$8:$P$9)))</f>
        <v>#NAME?</v>
      </c>
      <c r="AR30" s="544">
        <f t="shared" si="12"/>
        <v>25</v>
      </c>
      <c r="AS30" s="944">
        <v>20</v>
      </c>
      <c r="AT30" s="980">
        <v>0</v>
      </c>
      <c r="AU30" s="544">
        <v>1</v>
      </c>
      <c r="AV30" s="8"/>
    </row>
    <row r="31" spans="1:52">
      <c r="A31" s="941">
        <v>24</v>
      </c>
      <c r="B31" s="976">
        <v>1</v>
      </c>
      <c r="C31" s="627">
        <v>1</v>
      </c>
    </row>
    <row r="32" spans="1:52">
      <c r="A32" s="941">
        <v>24</v>
      </c>
      <c r="B32" s="977">
        <v>0</v>
      </c>
      <c r="C32" s="627">
        <v>1</v>
      </c>
      <c r="E32" t="s">
        <v>2966</v>
      </c>
    </row>
    <row r="33" spans="1:16">
      <c r="A33" s="941">
        <v>22</v>
      </c>
      <c r="B33" s="976">
        <v>1</v>
      </c>
      <c r="C33" s="627">
        <v>1</v>
      </c>
    </row>
    <row r="34" spans="1:16">
      <c r="A34" s="941">
        <v>22</v>
      </c>
      <c r="B34" s="977">
        <v>0</v>
      </c>
      <c r="C34" s="627">
        <v>0</v>
      </c>
      <c r="E34" s="23" t="s">
        <v>3062</v>
      </c>
      <c r="N34" s="23" t="s">
        <v>3006</v>
      </c>
    </row>
    <row r="35" spans="1:16">
      <c r="A35" s="941">
        <v>22</v>
      </c>
      <c r="B35" s="977">
        <v>0</v>
      </c>
      <c r="C35" s="627">
        <v>1</v>
      </c>
    </row>
    <row r="36" spans="1:16">
      <c r="A36" s="941">
        <v>20</v>
      </c>
      <c r="B36" s="976">
        <v>1</v>
      </c>
      <c r="C36" s="627">
        <v>0</v>
      </c>
      <c r="E36" t="e">
        <f t="array" aca="1" ref="E36:L39" ca="1">[1]!LogitCoeff(A3:C52,TRUE,TRUE,TRUE)</f>
        <v>#NAME?</v>
      </c>
      <c r="F36" t="e">
        <f ca="1"/>
        <v>#NAME?</v>
      </c>
      <c r="G36" t="e">
        <f ca="1"/>
        <v>#NAME?</v>
      </c>
      <c r="H36" t="e">
        <f ca="1"/>
        <v>#NAME?</v>
      </c>
      <c r="I36" t="e">
        <f ca="1"/>
        <v>#NAME?</v>
      </c>
      <c r="J36" t="e">
        <f ca="1"/>
        <v>#NAME?</v>
      </c>
      <c r="K36" t="e">
        <f ca="1"/>
        <v>#NAME?</v>
      </c>
      <c r="L36" t="e">
        <f ca="1"/>
        <v>#NAME?</v>
      </c>
      <c r="N36" t="s">
        <v>2091</v>
      </c>
      <c r="O36" t="s">
        <v>2092</v>
      </c>
      <c r="P36" t="s">
        <v>2094</v>
      </c>
    </row>
    <row r="37" spans="1:16">
      <c r="A37" s="941">
        <v>24</v>
      </c>
      <c r="B37" s="976">
        <v>1</v>
      </c>
      <c r="C37" s="627">
        <v>0</v>
      </c>
      <c r="E37" t="e">
        <f ca="1"/>
        <v>#NAME?</v>
      </c>
      <c r="F37" s="1067" t="e">
        <f ca="1"/>
        <v>#NAME?</v>
      </c>
      <c r="G37" s="1068" t="e">
        <f ca="1"/>
        <v>#NAME?</v>
      </c>
      <c r="H37" s="1068" t="e">
        <f ca="1"/>
        <v>#NAME?</v>
      </c>
      <c r="I37" s="1068" t="e">
        <f ca="1"/>
        <v>#NAME?</v>
      </c>
      <c r="J37" s="1068" t="e">
        <f ca="1"/>
        <v>#NAME?</v>
      </c>
      <c r="K37" s="1068" t="e">
        <f ca="1"/>
        <v>#NAME?</v>
      </c>
      <c r="L37" s="1071" t="e">
        <f ca="1"/>
        <v>#NAME?</v>
      </c>
      <c r="N37" s="1067">
        <v>22</v>
      </c>
      <c r="O37" s="1068">
        <v>0</v>
      </c>
      <c r="P37" s="1071" t="e">
        <f ca="1">[1]!LogitPred(N37:O37,$A$4:$C$52,TRUE)</f>
        <v>#NAME?</v>
      </c>
    </row>
    <row r="38" spans="1:16">
      <c r="A38" s="941">
        <v>24</v>
      </c>
      <c r="B38" s="977">
        <v>0</v>
      </c>
      <c r="C38" s="627">
        <v>0</v>
      </c>
      <c r="E38" t="e">
        <f ca="1"/>
        <v>#NAME?</v>
      </c>
      <c r="F38" s="656" t="e">
        <f ca="1"/>
        <v>#NAME?</v>
      </c>
      <c r="G38" s="8" t="e">
        <f ca="1"/>
        <v>#NAME?</v>
      </c>
      <c r="H38" s="8" t="e">
        <f ca="1"/>
        <v>#NAME?</v>
      </c>
      <c r="I38" s="8" t="e">
        <f ca="1"/>
        <v>#NAME?</v>
      </c>
      <c r="J38" s="8" t="e">
        <f ca="1"/>
        <v>#NAME?</v>
      </c>
      <c r="K38" s="8" t="e">
        <f ca="1"/>
        <v>#NAME?</v>
      </c>
      <c r="L38" s="657" t="e">
        <f ca="1"/>
        <v>#NAME?</v>
      </c>
      <c r="N38" s="533">
        <v>23</v>
      </c>
      <c r="O38" s="1078">
        <v>1</v>
      </c>
      <c r="P38" s="541" t="e">
        <f ca="1">[1]!LogitPred(N38:O38,$A$4:$C$52,TRUE)</f>
        <v>#NAME?</v>
      </c>
    </row>
    <row r="39" spans="1:16">
      <c r="A39" s="941">
        <v>22</v>
      </c>
      <c r="B39" s="976">
        <v>1</v>
      </c>
      <c r="C39" s="627">
        <v>1</v>
      </c>
      <c r="E39" t="e">
        <f ca="1"/>
        <v>#NAME?</v>
      </c>
      <c r="F39" s="533" t="e">
        <f ca="1"/>
        <v>#NAME?</v>
      </c>
      <c r="G39" s="1078" t="e">
        <f ca="1"/>
        <v>#NAME?</v>
      </c>
      <c r="H39" s="1078" t="e">
        <f ca="1"/>
        <v>#NAME?</v>
      </c>
      <c r="I39" s="1078" t="e">
        <f ca="1"/>
        <v>#NAME?</v>
      </c>
      <c r="J39" s="1078" t="e">
        <f ca="1"/>
        <v>#NAME?</v>
      </c>
      <c r="K39" s="1078" t="e">
        <f ca="1"/>
        <v>#NAME?</v>
      </c>
      <c r="L39" s="541" t="e">
        <f ca="1"/>
        <v>#NAME?</v>
      </c>
    </row>
    <row r="40" spans="1:16">
      <c r="A40" s="941">
        <v>20</v>
      </c>
      <c r="B40" s="977">
        <v>0</v>
      </c>
      <c r="C40" s="627">
        <v>1</v>
      </c>
      <c r="N40" s="23" t="s">
        <v>3007</v>
      </c>
    </row>
    <row r="41" spans="1:16">
      <c r="A41" s="941">
        <v>22</v>
      </c>
      <c r="B41" s="976">
        <v>0</v>
      </c>
      <c r="C41" s="627">
        <v>0</v>
      </c>
      <c r="E41" s="23" t="s">
        <v>3009</v>
      </c>
      <c r="I41" s="23" t="s">
        <v>3010</v>
      </c>
    </row>
    <row r="42" spans="1:16">
      <c r="A42" s="941">
        <v>22</v>
      </c>
      <c r="B42" s="976">
        <v>1</v>
      </c>
      <c r="C42" s="627">
        <v>0</v>
      </c>
      <c r="N42" t="s">
        <v>2091</v>
      </c>
      <c r="O42" t="s">
        <v>2092</v>
      </c>
      <c r="P42" t="s">
        <v>2094</v>
      </c>
    </row>
    <row r="43" spans="1:16">
      <c r="A43" s="941">
        <v>20</v>
      </c>
      <c r="B43" s="976">
        <v>1</v>
      </c>
      <c r="C43" s="627">
        <v>1</v>
      </c>
      <c r="E43" t="e">
        <f t="array" aca="1" ref="E43:F47" ca="1">[1]!LogitTest(A4:C52,TRUE,TRUE)</f>
        <v>#NAME?</v>
      </c>
      <c r="F43" s="1156" t="e">
        <f ca="1"/>
        <v>#NAME?</v>
      </c>
      <c r="I43" s="19" t="s">
        <v>2091</v>
      </c>
      <c r="J43" s="19" t="s">
        <v>2092</v>
      </c>
      <c r="K43" s="19" t="s">
        <v>383</v>
      </c>
      <c r="L43" s="19" t="s">
        <v>342</v>
      </c>
      <c r="N43" s="1067">
        <v>22</v>
      </c>
      <c r="O43" s="1068">
        <v>0</v>
      </c>
      <c r="P43" s="1071" t="e">
        <f ca="1">[1]!LogitPredC(N43:O43,$F$37:$F$39)</f>
        <v>#NAME?</v>
      </c>
    </row>
    <row r="44" spans="1:16">
      <c r="A44" s="941">
        <v>20</v>
      </c>
      <c r="B44" s="976">
        <v>1</v>
      </c>
      <c r="C44" s="627">
        <v>0</v>
      </c>
      <c r="E44" t="e">
        <f ca="1"/>
        <v>#NAME?</v>
      </c>
      <c r="F44" s="627" t="e">
        <f ca="1"/>
        <v>#NAME?</v>
      </c>
      <c r="I44" s="1067" t="e">
        <f t="array" aca="1" ref="I44:L49" ca="1">[1]!LogitSummary(A4:C52)</f>
        <v>#NAME?</v>
      </c>
      <c r="J44" s="1068" t="e">
        <f ca="1"/>
        <v>#NAME?</v>
      </c>
      <c r="K44" s="1068" t="e">
        <f ca="1"/>
        <v>#NAME?</v>
      </c>
      <c r="L44" s="1071" t="e">
        <f ca="1"/>
        <v>#NAME?</v>
      </c>
      <c r="N44" s="533">
        <v>23</v>
      </c>
      <c r="O44" s="1078">
        <v>1</v>
      </c>
      <c r="P44" s="541" t="e">
        <f ca="1">[1]!LogitPredC(N44:O44,$F$37:$F$39)</f>
        <v>#NAME?</v>
      </c>
    </row>
    <row r="45" spans="1:16">
      <c r="A45" s="941">
        <v>22</v>
      </c>
      <c r="B45" s="976">
        <v>1</v>
      </c>
      <c r="C45" s="627">
        <v>1</v>
      </c>
      <c r="E45" t="e">
        <f ca="1"/>
        <v>#NAME?</v>
      </c>
      <c r="F45" s="627" t="e">
        <f ca="1"/>
        <v>#NAME?</v>
      </c>
      <c r="I45" s="656" t="e">
        <f ca="1"/>
        <v>#NAME?</v>
      </c>
      <c r="J45" s="8" t="e">
        <f ca="1"/>
        <v>#NAME?</v>
      </c>
      <c r="K45" s="8" t="e">
        <f ca="1"/>
        <v>#NAME?</v>
      </c>
      <c r="L45" s="657" t="e">
        <f ca="1"/>
        <v>#NAME?</v>
      </c>
    </row>
    <row r="46" spans="1:16">
      <c r="A46" s="941">
        <v>24</v>
      </c>
      <c r="B46" s="977">
        <v>0</v>
      </c>
      <c r="C46" s="627">
        <v>1</v>
      </c>
      <c r="E46" t="e">
        <f ca="1"/>
        <v>#NAME?</v>
      </c>
      <c r="F46" s="627" t="e">
        <f ca="1"/>
        <v>#NAME?</v>
      </c>
      <c r="I46" s="656" t="e">
        <f ca="1"/>
        <v>#NAME?</v>
      </c>
      <c r="J46" s="8" t="e">
        <f ca="1"/>
        <v>#NAME?</v>
      </c>
      <c r="K46" s="8" t="e">
        <f ca="1"/>
        <v>#NAME?</v>
      </c>
      <c r="L46" s="657" t="e">
        <f ca="1"/>
        <v>#NAME?</v>
      </c>
      <c r="N46" s="23" t="s">
        <v>3008</v>
      </c>
    </row>
    <row r="47" spans="1:16">
      <c r="A47" s="941">
        <v>20</v>
      </c>
      <c r="B47" s="976">
        <v>1</v>
      </c>
      <c r="C47" s="627">
        <v>1</v>
      </c>
      <c r="E47" t="e">
        <f ca="1"/>
        <v>#NAME?</v>
      </c>
      <c r="F47" s="544" t="e">
        <f ca="1"/>
        <v>#NAME?</v>
      </c>
      <c r="I47" s="656" t="e">
        <f ca="1"/>
        <v>#NAME?</v>
      </c>
      <c r="J47" s="8" t="e">
        <f ca="1"/>
        <v>#NAME?</v>
      </c>
      <c r="K47" s="8" t="e">
        <f ca="1"/>
        <v>#NAME?</v>
      </c>
      <c r="L47" s="657" t="e">
        <f ca="1"/>
        <v>#NAME?</v>
      </c>
    </row>
    <row r="48" spans="1:16">
      <c r="A48" s="941">
        <v>20</v>
      </c>
      <c r="B48" s="976">
        <v>0</v>
      </c>
      <c r="C48" s="627">
        <v>1</v>
      </c>
      <c r="I48" s="656" t="e">
        <f ca="1"/>
        <v>#NAME?</v>
      </c>
      <c r="J48" s="8" t="e">
        <f ca="1"/>
        <v>#NAME?</v>
      </c>
      <c r="K48" s="8" t="e">
        <f ca="1"/>
        <v>#NAME?</v>
      </c>
      <c r="L48" s="657" t="e">
        <f ca="1"/>
        <v>#NAME?</v>
      </c>
      <c r="N48" t="s">
        <v>2091</v>
      </c>
      <c r="O48" t="s">
        <v>2092</v>
      </c>
      <c r="P48" t="s">
        <v>2094</v>
      </c>
    </row>
    <row r="49" spans="1:16">
      <c r="A49" s="941">
        <v>24</v>
      </c>
      <c r="B49" s="976">
        <v>1</v>
      </c>
      <c r="C49" s="627">
        <v>0</v>
      </c>
      <c r="I49" s="533" t="e">
        <f ca="1"/>
        <v>#NAME?</v>
      </c>
      <c r="J49" s="1078" t="e">
        <f ca="1"/>
        <v>#NAME?</v>
      </c>
      <c r="K49" s="1078" t="e">
        <f ca="1"/>
        <v>#NAME?</v>
      </c>
      <c r="L49" s="541" t="e">
        <f ca="1"/>
        <v>#NAME?</v>
      </c>
      <c r="N49" s="1067">
        <v>22</v>
      </c>
      <c r="O49" s="1068">
        <v>0</v>
      </c>
      <c r="P49" s="1071" t="e">
        <f ca="1">[1]!LogitPred(N49:O49,$E$6:$H$11)</f>
        <v>#NAME?</v>
      </c>
    </row>
    <row r="50" spans="1:16">
      <c r="A50" s="941">
        <v>24</v>
      </c>
      <c r="B50" s="976">
        <v>1</v>
      </c>
      <c r="C50" s="627">
        <v>0</v>
      </c>
      <c r="N50" s="533">
        <v>23</v>
      </c>
      <c r="O50" s="1078">
        <v>1</v>
      </c>
      <c r="P50" s="541" t="e">
        <f ca="1">[1]!LogitPred(N50:O50,$E$6:$H$11)</f>
        <v>#NAME?</v>
      </c>
    </row>
    <row r="51" spans="1:16">
      <c r="A51" s="941">
        <v>22</v>
      </c>
      <c r="B51" s="976">
        <v>0</v>
      </c>
      <c r="C51" s="627">
        <v>1</v>
      </c>
    </row>
    <row r="52" spans="1:16">
      <c r="A52" s="944">
        <v>24</v>
      </c>
      <c r="B52" s="979">
        <v>1</v>
      </c>
      <c r="C52" s="544">
        <v>0</v>
      </c>
      <c r="I52" s="23" t="s">
        <v>3061</v>
      </c>
    </row>
    <row r="54" spans="1:16">
      <c r="I54" t="e">
        <f t="array" aca="1" ref="I54:L60" ca="1">[1]!LogitSummary(A3:C52,TRUE)</f>
        <v>#NAME?</v>
      </c>
      <c r="J54" t="e">
        <f ca="1"/>
        <v>#NAME?</v>
      </c>
      <c r="K54" t="e">
        <f ca="1"/>
        <v>#NAME?</v>
      </c>
      <c r="L54" t="e">
        <f ca="1"/>
        <v>#NAME?</v>
      </c>
    </row>
    <row r="55" spans="1:16">
      <c r="I55" s="4" t="e">
        <f ca="1"/>
        <v>#NAME?</v>
      </c>
      <c r="J55" s="1152" t="e">
        <f ca="1"/>
        <v>#NAME?</v>
      </c>
      <c r="K55" s="1152" t="e">
        <f ca="1"/>
        <v>#NAME?</v>
      </c>
      <c r="L55" s="6" t="e">
        <f ca="1"/>
        <v>#NAME?</v>
      </c>
    </row>
    <row r="56" spans="1:16">
      <c r="I56" s="656" t="e">
        <f ca="1"/>
        <v>#NAME?</v>
      </c>
      <c r="J56" s="8" t="e">
        <f ca="1"/>
        <v>#NAME?</v>
      </c>
      <c r="K56" s="8" t="e">
        <f ca="1"/>
        <v>#NAME?</v>
      </c>
      <c r="L56" s="657" t="e">
        <f ca="1"/>
        <v>#NAME?</v>
      </c>
    </row>
    <row r="57" spans="1:16">
      <c r="I57" s="656" t="e">
        <f ca="1"/>
        <v>#NAME?</v>
      </c>
      <c r="J57" s="8" t="e">
        <f ca="1"/>
        <v>#NAME?</v>
      </c>
      <c r="K57" s="8" t="e">
        <f ca="1"/>
        <v>#NAME?</v>
      </c>
      <c r="L57" s="657" t="e">
        <f ca="1"/>
        <v>#NAME?</v>
      </c>
    </row>
    <row r="58" spans="1:16">
      <c r="I58" s="656" t="e">
        <f ca="1"/>
        <v>#NAME?</v>
      </c>
      <c r="J58" s="8" t="e">
        <f ca="1"/>
        <v>#NAME?</v>
      </c>
      <c r="K58" s="8" t="e">
        <f ca="1"/>
        <v>#NAME?</v>
      </c>
      <c r="L58" s="657" t="e">
        <f ca="1"/>
        <v>#NAME?</v>
      </c>
    </row>
    <row r="59" spans="1:16">
      <c r="I59" s="656" t="e">
        <f ca="1"/>
        <v>#NAME?</v>
      </c>
      <c r="J59" s="8" t="e">
        <f ca="1"/>
        <v>#NAME?</v>
      </c>
      <c r="K59" s="8" t="e">
        <f ca="1"/>
        <v>#NAME?</v>
      </c>
      <c r="L59" s="657" t="e">
        <f ca="1"/>
        <v>#NAME?</v>
      </c>
    </row>
    <row r="60" spans="1:16">
      <c r="I60" s="533" t="e">
        <f ca="1"/>
        <v>#NAME?</v>
      </c>
      <c r="J60" s="1078" t="e">
        <f ca="1"/>
        <v>#NAME?</v>
      </c>
      <c r="K60" s="1078" t="e">
        <f ca="1"/>
        <v>#NAME?</v>
      </c>
      <c r="L60" s="541" t="e">
        <f ca="1"/>
        <v>#NAME?</v>
      </c>
    </row>
    <row r="62" spans="1:16">
      <c r="E62" s="23" t="s">
        <v>3005</v>
      </c>
    </row>
    <row r="64" spans="1:16">
      <c r="E64" t="e">
        <f t="array" aca="1" ref="E64:L67" ca="1">[1]!LogitCoeff(A4:C52,TRUE,TRUE)</f>
        <v>#NAME?</v>
      </c>
      <c r="F64" t="e">
        <f ca="1"/>
        <v>#NAME?</v>
      </c>
      <c r="G64" t="e">
        <f ca="1"/>
        <v>#NAME?</v>
      </c>
      <c r="H64" t="e">
        <f ca="1"/>
        <v>#NAME?</v>
      </c>
      <c r="I64" t="e">
        <f ca="1"/>
        <v>#NAME?</v>
      </c>
      <c r="J64" t="e">
        <f ca="1"/>
        <v>#NAME?</v>
      </c>
      <c r="K64" t="e">
        <f ca="1"/>
        <v>#NAME?</v>
      </c>
      <c r="L64" t="e">
        <f ca="1"/>
        <v>#NAME?</v>
      </c>
    </row>
    <row r="65" spans="5:12">
      <c r="E65" t="e">
        <f ca="1"/>
        <v>#NAME?</v>
      </c>
      <c r="F65" s="1067" t="e">
        <f ca="1"/>
        <v>#NAME?</v>
      </c>
      <c r="G65" s="1068" t="e">
        <f ca="1"/>
        <v>#NAME?</v>
      </c>
      <c r="H65" s="1068" t="e">
        <f ca="1"/>
        <v>#NAME?</v>
      </c>
      <c r="I65" s="1068" t="e">
        <f ca="1"/>
        <v>#NAME?</v>
      </c>
      <c r="J65" s="1068" t="e">
        <f ca="1"/>
        <v>#NAME?</v>
      </c>
      <c r="K65" s="1068" t="e">
        <f ca="1"/>
        <v>#NAME?</v>
      </c>
      <c r="L65" s="1071" t="e">
        <f ca="1"/>
        <v>#NAME?</v>
      </c>
    </row>
    <row r="66" spans="5:12">
      <c r="E66" t="e">
        <f ca="1"/>
        <v>#NAME?</v>
      </c>
      <c r="F66" s="656" t="e">
        <f ca="1"/>
        <v>#NAME?</v>
      </c>
      <c r="G66" s="8" t="e">
        <f ca="1"/>
        <v>#NAME?</v>
      </c>
      <c r="H66" s="8" t="e">
        <f ca="1"/>
        <v>#NAME?</v>
      </c>
      <c r="I66" s="8" t="e">
        <f ca="1"/>
        <v>#NAME?</v>
      </c>
      <c r="J66" s="8" t="e">
        <f ca="1"/>
        <v>#NAME?</v>
      </c>
      <c r="K66" s="8" t="e">
        <f ca="1"/>
        <v>#NAME?</v>
      </c>
      <c r="L66" s="657" t="e">
        <f ca="1"/>
        <v>#NAME?</v>
      </c>
    </row>
    <row r="67" spans="5:12">
      <c r="E67" t="e">
        <f ca="1"/>
        <v>#NAME?</v>
      </c>
      <c r="F67" s="533" t="e">
        <f ca="1"/>
        <v>#NAME?</v>
      </c>
      <c r="G67" s="1078" t="e">
        <f ca="1"/>
        <v>#NAME?</v>
      </c>
      <c r="H67" s="1078" t="e">
        <f ca="1"/>
        <v>#NAME?</v>
      </c>
      <c r="I67" s="1078" t="e">
        <f ca="1"/>
        <v>#NAME?</v>
      </c>
      <c r="J67" s="1078" t="e">
        <f ca="1"/>
        <v>#NAME?</v>
      </c>
      <c r="K67" s="1078" t="e">
        <f ca="1"/>
        <v>#NAME?</v>
      </c>
      <c r="L67" s="541" t="e">
        <f ca="1"/>
        <v>#NAME?</v>
      </c>
    </row>
  </sheetData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sheetPr codeName="Sheet325"/>
  <dimension ref="A1:H52"/>
  <sheetViews>
    <sheetView workbookViewId="0"/>
  </sheetViews>
  <sheetFormatPr defaultRowHeight="14.4"/>
  <sheetData>
    <row r="1" spans="1:8">
      <c r="A1" s="1" t="s">
        <v>3445</v>
      </c>
    </row>
    <row r="3" spans="1:8">
      <c r="A3" s="912" t="s">
        <v>2091</v>
      </c>
      <c r="B3" s="912" t="s">
        <v>2092</v>
      </c>
      <c r="C3" s="19" t="s">
        <v>383</v>
      </c>
      <c r="E3" s="912" t="s">
        <v>2091</v>
      </c>
      <c r="F3" s="912" t="s">
        <v>2092</v>
      </c>
      <c r="G3" s="912" t="s">
        <v>2807</v>
      </c>
      <c r="H3" s="912" t="s">
        <v>2808</v>
      </c>
    </row>
    <row r="4" spans="1:8">
      <c r="A4" s="939">
        <v>20</v>
      </c>
      <c r="B4" s="978">
        <v>0</v>
      </c>
      <c r="C4" s="929">
        <v>1</v>
      </c>
      <c r="E4" s="1323">
        <v>20</v>
      </c>
      <c r="F4" s="1324">
        <v>0</v>
      </c>
      <c r="G4" s="1236" t="e">
        <f t="array" aca="1" ref="G4:H9" ca="1">[1]!LogitMatches(A4:C52,E4:F9)</f>
        <v>#NAME?</v>
      </c>
      <c r="H4" s="1237" t="e">
        <f ca="1"/>
        <v>#NAME?</v>
      </c>
    </row>
    <row r="5" spans="1:8">
      <c r="A5" s="941">
        <v>22</v>
      </c>
      <c r="B5" s="976">
        <v>1</v>
      </c>
      <c r="C5" s="627">
        <v>1</v>
      </c>
      <c r="E5" s="941">
        <v>22</v>
      </c>
      <c r="F5" s="942">
        <v>1</v>
      </c>
      <c r="G5" s="656" t="e">
        <f ca="1"/>
        <v>#NAME?</v>
      </c>
      <c r="H5" s="657" t="e">
        <f ca="1"/>
        <v>#NAME?</v>
      </c>
    </row>
    <row r="6" spans="1:8">
      <c r="A6" s="941">
        <v>22</v>
      </c>
      <c r="B6" s="976">
        <v>1</v>
      </c>
      <c r="C6" s="627">
        <v>0</v>
      </c>
      <c r="E6" s="941">
        <v>24</v>
      </c>
      <c r="F6" s="943">
        <v>0</v>
      </c>
      <c r="G6" s="656" t="e">
        <f ca="1"/>
        <v>#NAME?</v>
      </c>
      <c r="H6" s="657" t="e">
        <f ca="1"/>
        <v>#NAME?</v>
      </c>
    </row>
    <row r="7" spans="1:8">
      <c r="A7" s="941">
        <v>24</v>
      </c>
      <c r="B7" s="977">
        <v>0</v>
      </c>
      <c r="C7" s="627">
        <v>0</v>
      </c>
      <c r="E7" s="941">
        <v>22</v>
      </c>
      <c r="F7" s="942">
        <v>0</v>
      </c>
      <c r="G7" s="656" t="e">
        <f ca="1"/>
        <v>#NAME?</v>
      </c>
      <c r="H7" s="657" t="e">
        <f ca="1"/>
        <v>#NAME?</v>
      </c>
    </row>
    <row r="8" spans="1:8">
      <c r="A8" s="941">
        <v>22</v>
      </c>
      <c r="B8" s="976">
        <v>0</v>
      </c>
      <c r="C8" s="627">
        <v>1</v>
      </c>
      <c r="E8" s="941">
        <v>20</v>
      </c>
      <c r="F8" s="942">
        <v>1</v>
      </c>
      <c r="G8" s="656" t="e">
        <f ca="1"/>
        <v>#NAME?</v>
      </c>
      <c r="H8" s="657" t="e">
        <f ca="1"/>
        <v>#NAME?</v>
      </c>
    </row>
    <row r="9" spans="1:8">
      <c r="A9" s="941">
        <v>22</v>
      </c>
      <c r="B9" s="976">
        <v>1</v>
      </c>
      <c r="C9" s="627">
        <v>0</v>
      </c>
      <c r="E9" s="944">
        <v>24</v>
      </c>
      <c r="F9" s="1325">
        <v>1</v>
      </c>
      <c r="G9" s="533" t="e">
        <f ca="1"/>
        <v>#NAME?</v>
      </c>
      <c r="H9" s="541" t="e">
        <f ca="1"/>
        <v>#NAME?</v>
      </c>
    </row>
    <row r="10" spans="1:8">
      <c r="A10" s="941">
        <v>20</v>
      </c>
      <c r="B10" s="976">
        <v>1</v>
      </c>
      <c r="C10" s="627">
        <v>0</v>
      </c>
    </row>
    <row r="11" spans="1:8">
      <c r="A11" s="941">
        <v>24</v>
      </c>
      <c r="B11" s="976">
        <v>1</v>
      </c>
      <c r="C11" s="627">
        <v>0</v>
      </c>
    </row>
    <row r="12" spans="1:8">
      <c r="A12" s="941">
        <v>24</v>
      </c>
      <c r="B12" s="977">
        <v>0</v>
      </c>
      <c r="C12" s="627">
        <v>0</v>
      </c>
    </row>
    <row r="13" spans="1:8">
      <c r="A13" s="941">
        <v>20</v>
      </c>
      <c r="B13" s="976">
        <v>0</v>
      </c>
      <c r="C13" s="627">
        <v>1</v>
      </c>
    </row>
    <row r="14" spans="1:8">
      <c r="A14" s="941">
        <v>20</v>
      </c>
      <c r="B14" s="976">
        <v>0</v>
      </c>
      <c r="C14" s="627">
        <v>1</v>
      </c>
    </row>
    <row r="15" spans="1:8">
      <c r="A15" s="941">
        <v>22</v>
      </c>
      <c r="B15" s="976">
        <v>1</v>
      </c>
      <c r="C15" s="627">
        <v>0</v>
      </c>
    </row>
    <row r="16" spans="1:8">
      <c r="A16" s="941">
        <v>20</v>
      </c>
      <c r="B16" s="976">
        <v>1</v>
      </c>
      <c r="C16" s="627">
        <v>1</v>
      </c>
    </row>
    <row r="17" spans="1:3">
      <c r="A17" s="941">
        <v>22</v>
      </c>
      <c r="B17" s="977">
        <v>0</v>
      </c>
      <c r="C17" s="627">
        <v>0</v>
      </c>
    </row>
    <row r="18" spans="1:3">
      <c r="A18" s="941">
        <v>22</v>
      </c>
      <c r="B18" s="976">
        <v>0</v>
      </c>
      <c r="C18" s="627">
        <v>1</v>
      </c>
    </row>
    <row r="19" spans="1:3">
      <c r="A19" s="941">
        <v>24</v>
      </c>
      <c r="B19" s="976">
        <v>1</v>
      </c>
      <c r="C19" s="627">
        <v>1</v>
      </c>
    </row>
    <row r="20" spans="1:3">
      <c r="A20" s="941">
        <v>24</v>
      </c>
      <c r="B20" s="977">
        <v>0</v>
      </c>
      <c r="C20" s="627">
        <v>0</v>
      </c>
    </row>
    <row r="21" spans="1:3">
      <c r="A21" s="941">
        <v>22</v>
      </c>
      <c r="B21" s="976">
        <v>1</v>
      </c>
      <c r="C21" s="627">
        <v>0</v>
      </c>
    </row>
    <row r="22" spans="1:3">
      <c r="A22" s="941">
        <v>24</v>
      </c>
      <c r="B22" s="976">
        <v>1</v>
      </c>
      <c r="C22" s="627">
        <v>0</v>
      </c>
    </row>
    <row r="23" spans="1:3">
      <c r="A23" s="941">
        <v>20</v>
      </c>
      <c r="B23" s="977">
        <v>0</v>
      </c>
      <c r="C23" s="627">
        <v>0</v>
      </c>
    </row>
    <row r="24" spans="1:3">
      <c r="A24" s="941">
        <v>20</v>
      </c>
      <c r="B24" s="976">
        <v>1</v>
      </c>
      <c r="C24" s="627">
        <v>0</v>
      </c>
    </row>
    <row r="25" spans="1:3">
      <c r="A25" s="941">
        <v>20</v>
      </c>
      <c r="B25" s="976">
        <v>0</v>
      </c>
      <c r="C25" s="627">
        <v>1</v>
      </c>
    </row>
    <row r="26" spans="1:3">
      <c r="A26" s="941">
        <v>20</v>
      </c>
      <c r="B26" s="976">
        <v>1</v>
      </c>
      <c r="C26" s="627">
        <v>1</v>
      </c>
    </row>
    <row r="27" spans="1:3">
      <c r="A27" s="941">
        <v>20</v>
      </c>
      <c r="B27" s="976">
        <v>1</v>
      </c>
      <c r="C27" s="627">
        <v>1</v>
      </c>
    </row>
    <row r="28" spans="1:3">
      <c r="A28" s="941">
        <v>20</v>
      </c>
      <c r="B28" s="977">
        <v>0</v>
      </c>
      <c r="C28" s="627">
        <v>1</v>
      </c>
    </row>
    <row r="29" spans="1:3">
      <c r="A29" s="941">
        <v>24</v>
      </c>
      <c r="B29" s="977">
        <v>0</v>
      </c>
      <c r="C29" s="627">
        <v>0</v>
      </c>
    </row>
    <row r="30" spans="1:3">
      <c r="A30" s="941">
        <v>22</v>
      </c>
      <c r="B30" s="977">
        <v>0</v>
      </c>
      <c r="C30" s="627">
        <v>1</v>
      </c>
    </row>
    <row r="31" spans="1:3">
      <c r="A31" s="941">
        <v>24</v>
      </c>
      <c r="B31" s="976">
        <v>1</v>
      </c>
      <c r="C31" s="627">
        <v>1</v>
      </c>
    </row>
    <row r="32" spans="1:3">
      <c r="A32" s="941">
        <v>24</v>
      </c>
      <c r="B32" s="977">
        <v>0</v>
      </c>
      <c r="C32" s="627">
        <v>1</v>
      </c>
    </row>
    <row r="33" spans="1:3">
      <c r="A33" s="941">
        <v>22</v>
      </c>
      <c r="B33" s="976">
        <v>1</v>
      </c>
      <c r="C33" s="627">
        <v>1</v>
      </c>
    </row>
    <row r="34" spans="1:3">
      <c r="A34" s="941">
        <v>22</v>
      </c>
      <c r="B34" s="977">
        <v>0</v>
      </c>
      <c r="C34" s="627">
        <v>0</v>
      </c>
    </row>
    <row r="35" spans="1:3">
      <c r="A35" s="941">
        <v>22</v>
      </c>
      <c r="B35" s="977">
        <v>0</v>
      </c>
      <c r="C35" s="627">
        <v>1</v>
      </c>
    </row>
    <row r="36" spans="1:3">
      <c r="A36" s="941">
        <v>20</v>
      </c>
      <c r="B36" s="976">
        <v>1</v>
      </c>
      <c r="C36" s="627">
        <v>0</v>
      </c>
    </row>
    <row r="37" spans="1:3">
      <c r="A37" s="941">
        <v>24</v>
      </c>
      <c r="B37" s="976">
        <v>1</v>
      </c>
      <c r="C37" s="627">
        <v>0</v>
      </c>
    </row>
    <row r="38" spans="1:3">
      <c r="A38" s="941">
        <v>24</v>
      </c>
      <c r="B38" s="977">
        <v>0</v>
      </c>
      <c r="C38" s="627">
        <v>0</v>
      </c>
    </row>
    <row r="39" spans="1:3">
      <c r="A39" s="941">
        <v>22</v>
      </c>
      <c r="B39" s="976">
        <v>1</v>
      </c>
      <c r="C39" s="627">
        <v>1</v>
      </c>
    </row>
    <row r="40" spans="1:3">
      <c r="A40" s="941">
        <v>20</v>
      </c>
      <c r="B40" s="977">
        <v>0</v>
      </c>
      <c r="C40" s="627">
        <v>1</v>
      </c>
    </row>
    <row r="41" spans="1:3">
      <c r="A41" s="941">
        <v>22</v>
      </c>
      <c r="B41" s="976">
        <v>0</v>
      </c>
      <c r="C41" s="627">
        <v>0</v>
      </c>
    </row>
    <row r="42" spans="1:3">
      <c r="A42" s="941">
        <v>22</v>
      </c>
      <c r="B42" s="976">
        <v>1</v>
      </c>
      <c r="C42" s="627">
        <v>0</v>
      </c>
    </row>
    <row r="43" spans="1:3">
      <c r="A43" s="941">
        <v>20</v>
      </c>
      <c r="B43" s="976">
        <v>1</v>
      </c>
      <c r="C43" s="627">
        <v>1</v>
      </c>
    </row>
    <row r="44" spans="1:3">
      <c r="A44" s="941">
        <v>20</v>
      </c>
      <c r="B44" s="976">
        <v>1</v>
      </c>
      <c r="C44" s="627">
        <v>0</v>
      </c>
    </row>
    <row r="45" spans="1:3">
      <c r="A45" s="941">
        <v>22</v>
      </c>
      <c r="B45" s="976">
        <v>1</v>
      </c>
      <c r="C45" s="627">
        <v>1</v>
      </c>
    </row>
    <row r="46" spans="1:3">
      <c r="A46" s="941">
        <v>24</v>
      </c>
      <c r="B46" s="977">
        <v>0</v>
      </c>
      <c r="C46" s="627">
        <v>1</v>
      </c>
    </row>
    <row r="47" spans="1:3">
      <c r="A47" s="941">
        <v>20</v>
      </c>
      <c r="B47" s="976">
        <v>1</v>
      </c>
      <c r="C47" s="627">
        <v>1</v>
      </c>
    </row>
    <row r="48" spans="1:3">
      <c r="A48" s="941">
        <v>20</v>
      </c>
      <c r="B48" s="976">
        <v>0</v>
      </c>
      <c r="C48" s="627">
        <v>1</v>
      </c>
    </row>
    <row r="49" spans="1:3">
      <c r="A49" s="941">
        <v>24</v>
      </c>
      <c r="B49" s="976">
        <v>1</v>
      </c>
      <c r="C49" s="627">
        <v>0</v>
      </c>
    </row>
    <row r="50" spans="1:3">
      <c r="A50" s="941">
        <v>24</v>
      </c>
      <c r="B50" s="976">
        <v>1</v>
      </c>
      <c r="C50" s="627">
        <v>0</v>
      </c>
    </row>
    <row r="51" spans="1:3">
      <c r="A51" s="941">
        <v>22</v>
      </c>
      <c r="B51" s="976">
        <v>0</v>
      </c>
      <c r="C51" s="627">
        <v>1</v>
      </c>
    </row>
    <row r="52" spans="1:3">
      <c r="A52" s="944">
        <v>24</v>
      </c>
      <c r="B52" s="979">
        <v>1</v>
      </c>
      <c r="C52" s="544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sheetPr codeName="Sheet270"/>
  <dimension ref="A1:AT118"/>
  <sheetViews>
    <sheetView workbookViewId="0"/>
  </sheetViews>
  <sheetFormatPr defaultRowHeight="14.4"/>
  <cols>
    <col min="4" max="5" width="9.109375" customWidth="1"/>
    <col min="6" max="6" width="8.6640625" customWidth="1"/>
    <col min="7" max="9" width="9.109375" customWidth="1"/>
    <col min="10" max="12" width="9.33203125" bestFit="1" customWidth="1"/>
    <col min="13" max="13" width="9.33203125" customWidth="1"/>
    <col min="14" max="15" width="9.33203125" bestFit="1" customWidth="1"/>
    <col min="17" max="29" width="9.109375" customWidth="1"/>
    <col min="33" max="34" width="9.109375" customWidth="1"/>
  </cols>
  <sheetData>
    <row r="1" spans="1:42">
      <c r="A1" s="1" t="s">
        <v>2620</v>
      </c>
      <c r="B1" s="1"/>
      <c r="C1" s="25"/>
      <c r="D1" s="25"/>
    </row>
    <row r="2" spans="1:42">
      <c r="A2" s="25"/>
      <c r="B2" s="25"/>
      <c r="C2" s="25"/>
      <c r="D2" s="25"/>
    </row>
    <row r="3" spans="1:42">
      <c r="A3" s="912" t="s">
        <v>2091</v>
      </c>
      <c r="B3" s="912" t="s">
        <v>2092</v>
      </c>
      <c r="C3" s="912" t="s">
        <v>383</v>
      </c>
      <c r="D3" s="912" t="s">
        <v>342</v>
      </c>
      <c r="F3" t="s">
        <v>1971</v>
      </c>
      <c r="AD3" t="s">
        <v>2877</v>
      </c>
      <c r="AI3" t="s">
        <v>2881</v>
      </c>
    </row>
    <row r="4" spans="1:42" ht="15" thickBot="1">
      <c r="A4" s="939">
        <v>20</v>
      </c>
      <c r="B4" s="940">
        <v>0</v>
      </c>
      <c r="C4" s="937">
        <v>21</v>
      </c>
      <c r="D4" s="938">
        <v>0</v>
      </c>
    </row>
    <row r="5" spans="1:42" ht="15" thickTop="1">
      <c r="A5" s="941">
        <v>21</v>
      </c>
      <c r="B5" s="942">
        <v>0</v>
      </c>
      <c r="C5" s="734">
        <v>90</v>
      </c>
      <c r="D5" s="619">
        <v>6</v>
      </c>
      <c r="F5" s="1116" t="str">
        <f>A3</f>
        <v>Temp</v>
      </c>
      <c r="G5" s="1116" t="str">
        <f>B3</f>
        <v>Water</v>
      </c>
      <c r="H5" s="1116" t="str">
        <f>C3</f>
        <v>Male</v>
      </c>
      <c r="I5" s="1116" t="str">
        <f>D3</f>
        <v>Female</v>
      </c>
      <c r="J5" s="1116" t="s">
        <v>12</v>
      </c>
      <c r="K5" s="1116" t="s">
        <v>2093</v>
      </c>
      <c r="L5" s="1116" t="s">
        <v>2094</v>
      </c>
      <c r="M5" s="1116" t="s">
        <v>2875</v>
      </c>
      <c r="N5" s="1116" t="s">
        <v>2876</v>
      </c>
      <c r="O5" s="1116" t="s">
        <v>1982</v>
      </c>
      <c r="P5" s="1116" t="s">
        <v>2601</v>
      </c>
      <c r="Q5" s="1116" t="s">
        <v>2801</v>
      </c>
      <c r="S5" t="s">
        <v>2095</v>
      </c>
      <c r="U5" t="s">
        <v>1981</v>
      </c>
      <c r="V5" s="1118">
        <f>H18*LN(H18/J18)+I18*LN(I18/J18)</f>
        <v>-576.26986120489823</v>
      </c>
      <c r="X5" t="s">
        <v>2602</v>
      </c>
      <c r="AB5" t="s">
        <v>2887</v>
      </c>
      <c r="AE5" s="1108" t="s">
        <v>2878</v>
      </c>
      <c r="AF5" s="1108" t="s">
        <v>2879</v>
      </c>
      <c r="AI5" s="1070" t="s">
        <v>2094</v>
      </c>
      <c r="AJ5" s="1070" t="s">
        <v>2808</v>
      </c>
      <c r="AK5" s="1070" t="s">
        <v>2807</v>
      </c>
      <c r="AL5" s="1070" t="s">
        <v>2882</v>
      </c>
      <c r="AM5" s="1070" t="s">
        <v>2883</v>
      </c>
      <c r="AN5" s="1070" t="s">
        <v>2884</v>
      </c>
      <c r="AO5" s="1070" t="s">
        <v>2885</v>
      </c>
      <c r="AP5" s="1070" t="s">
        <v>2886</v>
      </c>
    </row>
    <row r="6" spans="1:42">
      <c r="A6" s="941">
        <v>22</v>
      </c>
      <c r="B6" s="942">
        <v>0</v>
      </c>
      <c r="C6" s="734">
        <v>91</v>
      </c>
      <c r="D6" s="619">
        <v>23</v>
      </c>
      <c r="F6">
        <f t="shared" ref="F6:F17" si="0">A4</f>
        <v>20</v>
      </c>
      <c r="G6">
        <f t="shared" ref="G6:G17" si="1">B4</f>
        <v>0</v>
      </c>
      <c r="H6" s="625">
        <f t="shared" ref="H6:H17" si="2">C4</f>
        <v>21</v>
      </c>
      <c r="I6" s="8">
        <f t="shared" ref="I6:I17" si="3">D4</f>
        <v>0</v>
      </c>
      <c r="J6" s="132">
        <f>H6+I6</f>
        <v>21</v>
      </c>
      <c r="K6">
        <f>H6/J6</f>
        <v>1</v>
      </c>
      <c r="L6" t="e">
        <f ca="1">1/(1+EXP(-$S$7-MMULT(F6:G6,$S$8:$S$9)))</f>
        <v>#NAME?</v>
      </c>
      <c r="M6" s="1113" t="e">
        <f ca="1">J6*L6</f>
        <v>#NAME?</v>
      </c>
      <c r="N6" s="1115" t="e">
        <f ca="1">J6-M6</f>
        <v>#NAME?</v>
      </c>
      <c r="O6" t="e">
        <f ca="1">J6*(K6*LN(L6)+(1-K6)*LN(1-L6))</f>
        <v>#NAME?</v>
      </c>
      <c r="P6" t="e">
        <f ca="1">100*IF(L6&gt;=$AE$12,H6/J6,I6/J6)</f>
        <v>#NAME?</v>
      </c>
      <c r="Q6" t="e">
        <f ca="1">(H6-M6)^2/M6+(I6-N6)^2/N6</f>
        <v>#NAME?</v>
      </c>
      <c r="U6" t="s">
        <v>2084</v>
      </c>
      <c r="V6" s="1073" t="e">
        <f ca="1">O18</f>
        <v>#NAME?</v>
      </c>
      <c r="X6" s="1113" t="e">
        <f t="array" aca="1" ref="X6:Z8" ca="1">MINVERSE(MMULT(TRANSPOSE([1]!DESIGN(F6:G17)),L6:L17*(1-L6:L17)*J6:J17*[1]!DESIGN(F6:G17)))</f>
        <v>#NAME?</v>
      </c>
      <c r="Y6" s="1114" t="e">
        <f ca="1"/>
        <v>#NAME?</v>
      </c>
      <c r="Z6" s="1115" t="e">
        <f ca="1"/>
        <v>#NAME?</v>
      </c>
      <c r="AB6" s="1118" t="e">
        <f t="array" aca="1" ref="AB6:AB8" ca="1">MMULT(X6:Z8,MMULT(TRANSPOSE([1]!DESIGN(F6:G17)),J6:J17*(K6:K17-L6:L17)))</f>
        <v>#NAME?</v>
      </c>
      <c r="AD6" t="s">
        <v>2875</v>
      </c>
      <c r="AE6" s="1113">
        <f ca="1">SUMIF(L6:L17,"&gt;="&amp;AE12,H6:H17)</f>
        <v>0</v>
      </c>
      <c r="AF6" s="1115">
        <f ca="1">SUMIF(L6:L17,"&gt;="&amp;AE12,I6:I17)</f>
        <v>0</v>
      </c>
      <c r="AG6">
        <f ca="1">AE6+AF6</f>
        <v>0</v>
      </c>
      <c r="AL6">
        <v>0</v>
      </c>
      <c r="AM6">
        <v>0</v>
      </c>
      <c r="AN6" t="e">
        <f ca="1">1-AL6/AL$18</f>
        <v>#NAME?</v>
      </c>
      <c r="AO6" t="e">
        <f ca="1">1-AM6/AM$18</f>
        <v>#NAME?</v>
      </c>
      <c r="AP6" t="e">
        <f ca="1">(AN6-AN7)*AO6</f>
        <v>#NAME?</v>
      </c>
    </row>
    <row r="7" spans="1:42">
      <c r="A7" s="941">
        <v>23</v>
      </c>
      <c r="B7" s="943">
        <v>0</v>
      </c>
      <c r="C7" s="734">
        <v>61</v>
      </c>
      <c r="D7" s="619">
        <v>73</v>
      </c>
      <c r="F7">
        <f t="shared" si="0"/>
        <v>21</v>
      </c>
      <c r="G7">
        <f t="shared" si="1"/>
        <v>0</v>
      </c>
      <c r="H7" s="625">
        <f t="shared" si="2"/>
        <v>90</v>
      </c>
      <c r="I7" s="8">
        <f t="shared" si="3"/>
        <v>6</v>
      </c>
      <c r="J7" s="132">
        <f t="shared" ref="J7:J17" si="4">H7+I7</f>
        <v>96</v>
      </c>
      <c r="K7">
        <f t="shared" ref="K7:K17" si="5">H7/J7</f>
        <v>0.9375</v>
      </c>
      <c r="L7" t="e">
        <f t="shared" ref="L7:L17" ca="1" si="6">1/(1+EXP(-$S$7-MMULT(F7:G7,$S$8:$S$9)))</f>
        <v>#NAME?</v>
      </c>
      <c r="M7" s="625" t="e">
        <f t="shared" ref="M7:M17" ca="1" si="7">J7*L7</f>
        <v>#NAME?</v>
      </c>
      <c r="N7" s="132" t="e">
        <f t="shared" ref="N7:N17" ca="1" si="8">J7-M7</f>
        <v>#NAME?</v>
      </c>
      <c r="O7" t="e">
        <f t="shared" ref="O7:O17" ca="1" si="9">J7*(K7*LN(L7)+(1-K7)*LN(1-L7))</f>
        <v>#NAME?</v>
      </c>
      <c r="P7" t="e">
        <f ca="1">100*IF(L7&gt;=$AE$12,H7/J7,I7/J7)</f>
        <v>#NAME?</v>
      </c>
      <c r="Q7" t="e">
        <f t="shared" ref="Q7:Q17" ca="1" si="10">(H7-M7)^2/M7+(I7-N7)^2/N7</f>
        <v>#NAME?</v>
      </c>
      <c r="S7" s="1118" t="e">
        <f t="array" aca="1" ref="S7:S9" ca="1">[1]!LogitCoeff(F6:I17,,,,,20)</f>
        <v>#NAME?</v>
      </c>
      <c r="X7" s="625" t="e">
        <f ca="1"/>
        <v>#NAME?</v>
      </c>
      <c r="Y7" s="8" t="e">
        <f ca="1"/>
        <v>#NAME?</v>
      </c>
      <c r="Z7" s="132" t="e">
        <f ca="1"/>
        <v>#NAME?</v>
      </c>
      <c r="AB7" s="946" t="e">
        <f ca="1"/>
        <v>#NAME?</v>
      </c>
      <c r="AD7" t="s">
        <v>2876</v>
      </c>
      <c r="AE7" s="1075">
        <f ca="1">AE8-AE6</f>
        <v>522</v>
      </c>
      <c r="AF7" s="1077">
        <f ca="1">AF8-AF6</f>
        <v>338</v>
      </c>
      <c r="AG7">
        <f ca="1">AE7+AF7</f>
        <v>860</v>
      </c>
      <c r="AI7" t="e">
        <f t="array" aca="1" ref="AI7:AK18" ca="1">[1]!SelectCols(H6:L17,"5,2,1",1)</f>
        <v>#NAME?</v>
      </c>
      <c r="AJ7" t="e">
        <f ca="1"/>
        <v>#NAME?</v>
      </c>
      <c r="AK7" t="e">
        <f ca="1"/>
        <v>#NAME?</v>
      </c>
      <c r="AL7" t="e">
        <f ca="1">AL6+AJ7</f>
        <v>#NAME?</v>
      </c>
      <c r="AM7" t="e">
        <f ca="1">AM6+AK7</f>
        <v>#NAME?</v>
      </c>
      <c r="AN7" t="e">
        <f t="shared" ref="AN7:AN18" ca="1" si="11">1-AL7/AL$18</f>
        <v>#NAME?</v>
      </c>
      <c r="AO7" t="e">
        <f t="shared" ref="AO7:AO18" ca="1" si="12">1-AM7/AM$18</f>
        <v>#NAME?</v>
      </c>
      <c r="AP7" t="e">
        <f t="shared" ref="AP7:AP18" ca="1" si="13">(AN7-AN8)*AO7</f>
        <v>#NAME?</v>
      </c>
    </row>
    <row r="8" spans="1:42">
      <c r="A8" s="941">
        <v>24</v>
      </c>
      <c r="B8" s="943">
        <v>0</v>
      </c>
      <c r="C8" s="734">
        <v>11</v>
      </c>
      <c r="D8" s="619">
        <v>41</v>
      </c>
      <c r="F8">
        <f t="shared" si="0"/>
        <v>22</v>
      </c>
      <c r="G8">
        <f t="shared" si="1"/>
        <v>0</v>
      </c>
      <c r="H8" s="625">
        <f t="shared" si="2"/>
        <v>91</v>
      </c>
      <c r="I8" s="8">
        <f t="shared" si="3"/>
        <v>23</v>
      </c>
      <c r="J8" s="132">
        <f t="shared" si="4"/>
        <v>114</v>
      </c>
      <c r="K8">
        <f t="shared" si="5"/>
        <v>0.79824561403508776</v>
      </c>
      <c r="L8" t="e">
        <f t="shared" ca="1" si="6"/>
        <v>#NAME?</v>
      </c>
      <c r="M8" s="625" t="e">
        <f t="shared" ca="1" si="7"/>
        <v>#NAME?</v>
      </c>
      <c r="N8" s="132" t="e">
        <f t="shared" ca="1" si="8"/>
        <v>#NAME?</v>
      </c>
      <c r="O8" t="e">
        <f ca="1">J8*(K8*LN(L8)+(1-K8)*LN(1-L8))</f>
        <v>#NAME?</v>
      </c>
      <c r="P8" t="e">
        <f t="shared" ref="P8:P17" ca="1" si="14">100*IF(L8&gt;=$AE$12,H8/J8,I8/J8)</f>
        <v>#NAME?</v>
      </c>
      <c r="Q8" t="e">
        <f t="shared" ca="1" si="10"/>
        <v>#NAME?</v>
      </c>
      <c r="S8" s="946" t="e">
        <f ca="1"/>
        <v>#NAME?</v>
      </c>
      <c r="U8" t="s">
        <v>2099</v>
      </c>
      <c r="V8" s="1118" t="e">
        <f ca="1">2*(V6-V5)</f>
        <v>#NAME?</v>
      </c>
      <c r="X8" s="1075" t="e">
        <f ca="1"/>
        <v>#NAME?</v>
      </c>
      <c r="Y8" s="1076" t="e">
        <f ca="1"/>
        <v>#NAME?</v>
      </c>
      <c r="Z8" s="1077" t="e">
        <f ca="1"/>
        <v>#NAME?</v>
      </c>
      <c r="AB8" s="1073" t="e">
        <f ca="1"/>
        <v>#NAME?</v>
      </c>
      <c r="AE8">
        <f>H18</f>
        <v>522</v>
      </c>
      <c r="AF8">
        <f>I18</f>
        <v>338</v>
      </c>
      <c r="AG8">
        <f>AE8+AF8</f>
        <v>860</v>
      </c>
      <c r="AI8" t="e">
        <f ca="1"/>
        <v>#NAME?</v>
      </c>
      <c r="AJ8" t="e">
        <f ca="1"/>
        <v>#NAME?</v>
      </c>
      <c r="AK8" t="e">
        <f ca="1"/>
        <v>#NAME?</v>
      </c>
      <c r="AL8" t="e">
        <f ca="1">AL7+AJ8</f>
        <v>#NAME?</v>
      </c>
      <c r="AM8" t="e">
        <f t="shared" ref="AM8:AM18" ca="1" si="15">AM7+AK8</f>
        <v>#NAME?</v>
      </c>
      <c r="AN8" t="e">
        <f ca="1">1-AL8/AL$18</f>
        <v>#NAME?</v>
      </c>
      <c r="AO8" t="e">
        <f ca="1">1-AM8/AM$18</f>
        <v>#NAME?</v>
      </c>
      <c r="AP8" t="e">
        <f ca="1">(AN8-AN9)*AO8</f>
        <v>#NAME?</v>
      </c>
    </row>
    <row r="9" spans="1:42">
      <c r="A9" s="941">
        <v>25</v>
      </c>
      <c r="B9" s="943">
        <v>0</v>
      </c>
      <c r="C9" s="656">
        <v>4</v>
      </c>
      <c r="D9" s="657">
        <v>28</v>
      </c>
      <c r="F9">
        <f t="shared" si="0"/>
        <v>23</v>
      </c>
      <c r="G9">
        <f t="shared" si="1"/>
        <v>0</v>
      </c>
      <c r="H9" s="625">
        <f t="shared" si="2"/>
        <v>61</v>
      </c>
      <c r="I9" s="8">
        <f t="shared" si="3"/>
        <v>73</v>
      </c>
      <c r="J9" s="132">
        <f t="shared" si="4"/>
        <v>134</v>
      </c>
      <c r="K9">
        <f t="shared" si="5"/>
        <v>0.45522388059701491</v>
      </c>
      <c r="L9" t="e">
        <f t="shared" ca="1" si="6"/>
        <v>#NAME?</v>
      </c>
      <c r="M9" s="625" t="e">
        <f t="shared" ca="1" si="7"/>
        <v>#NAME?</v>
      </c>
      <c r="N9" s="132" t="e">
        <f t="shared" ca="1" si="8"/>
        <v>#NAME?</v>
      </c>
      <c r="O9" t="e">
        <f t="shared" ca="1" si="9"/>
        <v>#NAME?</v>
      </c>
      <c r="P9" t="e">
        <f t="shared" ca="1" si="14"/>
        <v>#NAME?</v>
      </c>
      <c r="Q9" t="e">
        <f t="shared" ca="1" si="10"/>
        <v>#NAME?</v>
      </c>
      <c r="S9" s="1073" t="e">
        <f ca="1"/>
        <v>#NAME?</v>
      </c>
      <c r="U9" t="s">
        <v>186</v>
      </c>
      <c r="V9" s="946">
        <f>COUNT(F6:G6)</f>
        <v>2</v>
      </c>
      <c r="AI9" t="e">
        <f ca="1"/>
        <v>#NAME?</v>
      </c>
      <c r="AJ9" t="e">
        <f ca="1"/>
        <v>#NAME?</v>
      </c>
      <c r="AK9" t="e">
        <f ca="1"/>
        <v>#NAME?</v>
      </c>
      <c r="AL9" t="e">
        <f t="shared" ref="AL9:AL18" ca="1" si="16">AL8+AJ9</f>
        <v>#NAME?</v>
      </c>
      <c r="AM9" t="e">
        <f ca="1">AM8+AK9</f>
        <v>#NAME?</v>
      </c>
      <c r="AN9" t="e">
        <f t="shared" ca="1" si="11"/>
        <v>#NAME?</v>
      </c>
      <c r="AO9" t="e">
        <f t="shared" ca="1" si="12"/>
        <v>#NAME?</v>
      </c>
      <c r="AP9" t="e">
        <f t="shared" ca="1" si="13"/>
        <v>#NAME?</v>
      </c>
    </row>
    <row r="10" spans="1:42">
      <c r="A10" s="941">
        <v>20</v>
      </c>
      <c r="B10" s="943">
        <v>1</v>
      </c>
      <c r="C10" s="734">
        <v>18</v>
      </c>
      <c r="D10" s="619">
        <v>4</v>
      </c>
      <c r="F10">
        <f t="shared" si="0"/>
        <v>24</v>
      </c>
      <c r="G10">
        <f t="shared" si="1"/>
        <v>0</v>
      </c>
      <c r="H10" s="625">
        <f t="shared" si="2"/>
        <v>11</v>
      </c>
      <c r="I10" s="8">
        <f t="shared" si="3"/>
        <v>41</v>
      </c>
      <c r="J10" s="132">
        <f t="shared" si="4"/>
        <v>52</v>
      </c>
      <c r="K10">
        <f t="shared" si="5"/>
        <v>0.21153846153846154</v>
      </c>
      <c r="L10" t="e">
        <f t="shared" ca="1" si="6"/>
        <v>#NAME?</v>
      </c>
      <c r="M10" s="625" t="e">
        <f t="shared" ca="1" si="7"/>
        <v>#NAME?</v>
      </c>
      <c r="N10" s="132" t="e">
        <f t="shared" ca="1" si="8"/>
        <v>#NAME?</v>
      </c>
      <c r="O10" t="e">
        <f t="shared" ca="1" si="9"/>
        <v>#NAME?</v>
      </c>
      <c r="P10" t="e">
        <f t="shared" ca="1" si="14"/>
        <v>#NAME?</v>
      </c>
      <c r="Q10" t="e">
        <f t="shared" ca="1" si="10"/>
        <v>#NAME?</v>
      </c>
      <c r="U10" t="s">
        <v>200</v>
      </c>
      <c r="V10" s="946" t="e">
        <f ca="1">CHIDIST(V8,V9)</f>
        <v>#NAME?</v>
      </c>
      <c r="AD10" t="s">
        <v>2919</v>
      </c>
      <c r="AE10" s="1119">
        <f ca="1">AE6/AE8</f>
        <v>0</v>
      </c>
      <c r="AF10" s="1120">
        <f ca="1">AF7/AF8</f>
        <v>1</v>
      </c>
      <c r="AG10">
        <f ca="1">(AE6+AF7)/AG8</f>
        <v>0.39302325581395348</v>
      </c>
      <c r="AI10" t="e">
        <f ca="1"/>
        <v>#NAME?</v>
      </c>
      <c r="AJ10" t="e">
        <f ca="1"/>
        <v>#NAME?</v>
      </c>
      <c r="AK10" t="e">
        <f ca="1"/>
        <v>#NAME?</v>
      </c>
      <c r="AL10" t="e">
        <f t="shared" ca="1" si="16"/>
        <v>#NAME?</v>
      </c>
      <c r="AM10" t="e">
        <f t="shared" ca="1" si="15"/>
        <v>#NAME?</v>
      </c>
      <c r="AN10" t="e">
        <f t="shared" ca="1" si="11"/>
        <v>#NAME?</v>
      </c>
      <c r="AO10" t="e">
        <f t="shared" ca="1" si="12"/>
        <v>#NAME?</v>
      </c>
      <c r="AP10" t="e">
        <f t="shared" ca="1" si="13"/>
        <v>#NAME?</v>
      </c>
    </row>
    <row r="11" spans="1:42">
      <c r="A11" s="941">
        <v>21</v>
      </c>
      <c r="B11" s="943">
        <v>1</v>
      </c>
      <c r="C11" s="734">
        <v>75</v>
      </c>
      <c r="D11" s="619">
        <v>9</v>
      </c>
      <c r="F11">
        <f t="shared" si="0"/>
        <v>25</v>
      </c>
      <c r="G11">
        <f t="shared" si="1"/>
        <v>0</v>
      </c>
      <c r="H11" s="625">
        <f t="shared" si="2"/>
        <v>4</v>
      </c>
      <c r="I11" s="8">
        <f t="shared" si="3"/>
        <v>28</v>
      </c>
      <c r="J11" s="132">
        <f t="shared" si="4"/>
        <v>32</v>
      </c>
      <c r="K11">
        <f t="shared" si="5"/>
        <v>0.125</v>
      </c>
      <c r="L11" t="e">
        <f t="shared" ca="1" si="6"/>
        <v>#NAME?</v>
      </c>
      <c r="M11" s="625" t="e">
        <f t="shared" ca="1" si="7"/>
        <v>#NAME?</v>
      </c>
      <c r="N11" s="132" t="e">
        <f t="shared" ca="1" si="8"/>
        <v>#NAME?</v>
      </c>
      <c r="O11" t="e">
        <f t="shared" ca="1" si="9"/>
        <v>#NAME?</v>
      </c>
      <c r="P11" t="e">
        <f t="shared" ca="1" si="14"/>
        <v>#NAME?</v>
      </c>
      <c r="Q11" t="e">
        <f t="shared" ca="1" si="10"/>
        <v>#NAME?</v>
      </c>
      <c r="U11" t="s">
        <v>337</v>
      </c>
      <c r="V11" s="946">
        <v>0.05</v>
      </c>
      <c r="AI11" t="e">
        <f ca="1"/>
        <v>#NAME?</v>
      </c>
      <c r="AJ11" t="e">
        <f ca="1"/>
        <v>#NAME?</v>
      </c>
      <c r="AK11" t="e">
        <f ca="1"/>
        <v>#NAME?</v>
      </c>
      <c r="AL11" t="e">
        <f t="shared" ca="1" si="16"/>
        <v>#NAME?</v>
      </c>
      <c r="AM11" t="e">
        <f t="shared" ca="1" si="15"/>
        <v>#NAME?</v>
      </c>
      <c r="AN11" t="e">
        <f t="shared" ca="1" si="11"/>
        <v>#NAME?</v>
      </c>
      <c r="AO11" t="e">
        <f t="shared" ca="1" si="12"/>
        <v>#NAME?</v>
      </c>
      <c r="AP11" t="e">
        <f t="shared" ca="1" si="13"/>
        <v>#NAME?</v>
      </c>
    </row>
    <row r="12" spans="1:42">
      <c r="A12" s="941">
        <v>22</v>
      </c>
      <c r="B12" s="943">
        <v>1</v>
      </c>
      <c r="C12" s="734">
        <v>68</v>
      </c>
      <c r="D12" s="619">
        <v>21</v>
      </c>
      <c r="F12">
        <f t="shared" si="0"/>
        <v>20</v>
      </c>
      <c r="G12">
        <f t="shared" si="1"/>
        <v>1</v>
      </c>
      <c r="H12" s="625">
        <f t="shared" si="2"/>
        <v>18</v>
      </c>
      <c r="I12" s="8">
        <f t="shared" si="3"/>
        <v>4</v>
      </c>
      <c r="J12" s="132">
        <f t="shared" si="4"/>
        <v>22</v>
      </c>
      <c r="K12">
        <f t="shared" si="5"/>
        <v>0.81818181818181823</v>
      </c>
      <c r="L12" t="e">
        <f t="shared" ca="1" si="6"/>
        <v>#NAME?</v>
      </c>
      <c r="M12" s="625" t="e">
        <f t="shared" ca="1" si="7"/>
        <v>#NAME?</v>
      </c>
      <c r="N12" s="132" t="e">
        <f t="shared" ca="1" si="8"/>
        <v>#NAME?</v>
      </c>
      <c r="O12" t="e">
        <f t="shared" ca="1" si="9"/>
        <v>#NAME?</v>
      </c>
      <c r="P12" t="e">
        <f t="shared" ca="1" si="14"/>
        <v>#NAME?</v>
      </c>
      <c r="Q12" t="e">
        <f t="shared" ca="1" si="10"/>
        <v>#NAME?</v>
      </c>
      <c r="U12" t="s">
        <v>948</v>
      </c>
      <c r="V12" s="1074" t="e">
        <f ca="1">IF(V10&lt;V11,"yes","no")</f>
        <v>#NAME?</v>
      </c>
      <c r="AD12" t="s">
        <v>2880</v>
      </c>
      <c r="AE12" s="1121">
        <v>0.5</v>
      </c>
      <c r="AI12" t="e">
        <f ca="1"/>
        <v>#NAME?</v>
      </c>
      <c r="AJ12" t="e">
        <f ca="1"/>
        <v>#NAME?</v>
      </c>
      <c r="AK12" t="e">
        <f ca="1"/>
        <v>#NAME?</v>
      </c>
      <c r="AL12" t="e">
        <f t="shared" ca="1" si="16"/>
        <v>#NAME?</v>
      </c>
      <c r="AM12" t="e">
        <f t="shared" ca="1" si="15"/>
        <v>#NAME?</v>
      </c>
      <c r="AN12" t="e">
        <f t="shared" ca="1" si="11"/>
        <v>#NAME?</v>
      </c>
      <c r="AO12" t="e">
        <f t="shared" ca="1" si="12"/>
        <v>#NAME?</v>
      </c>
      <c r="AP12" t="e">
        <f t="shared" ca="1" si="13"/>
        <v>#NAME?</v>
      </c>
    </row>
    <row r="13" spans="1:42">
      <c r="A13" s="941">
        <v>23</v>
      </c>
      <c r="B13" s="943">
        <v>1</v>
      </c>
      <c r="C13" s="734">
        <v>59</v>
      </c>
      <c r="D13" s="619">
        <v>65</v>
      </c>
      <c r="F13">
        <f t="shared" si="0"/>
        <v>21</v>
      </c>
      <c r="G13">
        <f t="shared" si="1"/>
        <v>1</v>
      </c>
      <c r="H13" s="625">
        <f t="shared" si="2"/>
        <v>75</v>
      </c>
      <c r="I13" s="8">
        <f t="shared" si="3"/>
        <v>9</v>
      </c>
      <c r="J13" s="132">
        <f t="shared" si="4"/>
        <v>84</v>
      </c>
      <c r="K13">
        <f t="shared" si="5"/>
        <v>0.8928571428571429</v>
      </c>
      <c r="L13" t="e">
        <f t="shared" ca="1" si="6"/>
        <v>#NAME?</v>
      </c>
      <c r="M13" s="625" t="e">
        <f t="shared" ca="1" si="7"/>
        <v>#NAME?</v>
      </c>
      <c r="N13" s="132" t="e">
        <f t="shared" ca="1" si="8"/>
        <v>#NAME?</v>
      </c>
      <c r="O13" t="e">
        <f t="shared" ca="1" si="9"/>
        <v>#NAME?</v>
      </c>
      <c r="P13" t="e">
        <f t="shared" ca="1" si="14"/>
        <v>#NAME?</v>
      </c>
      <c r="Q13" t="e">
        <f t="shared" ca="1" si="10"/>
        <v>#NAME?</v>
      </c>
      <c r="AI13" t="e">
        <f ca="1"/>
        <v>#NAME?</v>
      </c>
      <c r="AJ13" t="e">
        <f ca="1"/>
        <v>#NAME?</v>
      </c>
      <c r="AK13" t="e">
        <f ca="1"/>
        <v>#NAME?</v>
      </c>
      <c r="AL13" t="e">
        <f t="shared" ca="1" si="16"/>
        <v>#NAME?</v>
      </c>
      <c r="AM13" t="e">
        <f t="shared" ca="1" si="15"/>
        <v>#NAME?</v>
      </c>
      <c r="AN13" t="e">
        <f t="shared" ca="1" si="11"/>
        <v>#NAME?</v>
      </c>
      <c r="AO13" t="e">
        <f t="shared" ca="1" si="12"/>
        <v>#NAME?</v>
      </c>
      <c r="AP13" t="e">
        <f t="shared" ca="1" si="13"/>
        <v>#NAME?</v>
      </c>
    </row>
    <row r="14" spans="1:42">
      <c r="A14" s="941">
        <v>24</v>
      </c>
      <c r="B14" s="943">
        <v>1</v>
      </c>
      <c r="C14" s="734">
        <v>17</v>
      </c>
      <c r="D14" s="619">
        <v>46</v>
      </c>
      <c r="F14">
        <f t="shared" si="0"/>
        <v>22</v>
      </c>
      <c r="G14">
        <f t="shared" si="1"/>
        <v>1</v>
      </c>
      <c r="H14" s="625">
        <f t="shared" si="2"/>
        <v>68</v>
      </c>
      <c r="I14" s="8">
        <f t="shared" si="3"/>
        <v>21</v>
      </c>
      <c r="J14" s="132">
        <f t="shared" si="4"/>
        <v>89</v>
      </c>
      <c r="K14">
        <f t="shared" si="5"/>
        <v>0.7640449438202247</v>
      </c>
      <c r="L14" t="e">
        <f t="shared" ca="1" si="6"/>
        <v>#NAME?</v>
      </c>
      <c r="M14" s="625" t="e">
        <f t="shared" ca="1" si="7"/>
        <v>#NAME?</v>
      </c>
      <c r="N14" s="132" t="e">
        <f t="shared" ca="1" si="8"/>
        <v>#NAME?</v>
      </c>
      <c r="O14" t="e">
        <f t="shared" ca="1" si="9"/>
        <v>#NAME?</v>
      </c>
      <c r="P14" t="e">
        <f t="shared" ca="1" si="14"/>
        <v>#NAME?</v>
      </c>
      <c r="Q14" t="e">
        <f t="shared" ca="1" si="10"/>
        <v>#NAME?</v>
      </c>
      <c r="U14" t="s">
        <v>2096</v>
      </c>
      <c r="V14" s="1118" t="e">
        <f ca="1">1-V6/V5</f>
        <v>#NAME?</v>
      </c>
      <c r="AI14" t="e">
        <f ca="1"/>
        <v>#NAME?</v>
      </c>
      <c r="AJ14" t="e">
        <f ca="1"/>
        <v>#NAME?</v>
      </c>
      <c r="AK14" t="e">
        <f ca="1"/>
        <v>#NAME?</v>
      </c>
      <c r="AL14" t="e">
        <f t="shared" ca="1" si="16"/>
        <v>#NAME?</v>
      </c>
      <c r="AM14" t="e">
        <f t="shared" ca="1" si="15"/>
        <v>#NAME?</v>
      </c>
      <c r="AN14" t="e">
        <f t="shared" ca="1" si="11"/>
        <v>#NAME?</v>
      </c>
      <c r="AO14" t="e">
        <f t="shared" ca="1" si="12"/>
        <v>#NAME?</v>
      </c>
      <c r="AP14" t="e">
        <f t="shared" ca="1" si="13"/>
        <v>#NAME?</v>
      </c>
    </row>
    <row r="15" spans="1:42">
      <c r="A15" s="944">
        <v>25</v>
      </c>
      <c r="B15" s="945">
        <v>1</v>
      </c>
      <c r="C15" s="533">
        <v>7</v>
      </c>
      <c r="D15" s="541">
        <v>22</v>
      </c>
      <c r="F15">
        <f t="shared" si="0"/>
        <v>23</v>
      </c>
      <c r="G15">
        <f t="shared" si="1"/>
        <v>1</v>
      </c>
      <c r="H15" s="625">
        <f t="shared" si="2"/>
        <v>59</v>
      </c>
      <c r="I15" s="8">
        <f t="shared" si="3"/>
        <v>65</v>
      </c>
      <c r="J15" s="132">
        <f t="shared" si="4"/>
        <v>124</v>
      </c>
      <c r="K15">
        <f t="shared" si="5"/>
        <v>0.47580645161290325</v>
      </c>
      <c r="L15" t="e">
        <f t="shared" ca="1" si="6"/>
        <v>#NAME?</v>
      </c>
      <c r="M15" s="625" t="e">
        <f t="shared" ca="1" si="7"/>
        <v>#NAME?</v>
      </c>
      <c r="N15" s="132" t="e">
        <f t="shared" ca="1" si="8"/>
        <v>#NAME?</v>
      </c>
      <c r="O15" t="e">
        <f t="shared" ca="1" si="9"/>
        <v>#NAME?</v>
      </c>
      <c r="P15" t="e">
        <f t="shared" ca="1" si="14"/>
        <v>#NAME?</v>
      </c>
      <c r="Q15" t="e">
        <f t="shared" ca="1" si="10"/>
        <v>#NAME?</v>
      </c>
      <c r="U15" t="s">
        <v>2097</v>
      </c>
      <c r="V15" s="946" t="e">
        <f ca="1">1-EXP((-2/J18)*(V6-V5))</f>
        <v>#NAME?</v>
      </c>
      <c r="AI15" t="e">
        <f ca="1"/>
        <v>#NAME?</v>
      </c>
      <c r="AJ15" t="e">
        <f ca="1"/>
        <v>#NAME?</v>
      </c>
      <c r="AK15" t="e">
        <f ca="1"/>
        <v>#NAME?</v>
      </c>
      <c r="AL15" t="e">
        <f t="shared" ca="1" si="16"/>
        <v>#NAME?</v>
      </c>
      <c r="AM15" t="e">
        <f t="shared" ca="1" si="15"/>
        <v>#NAME?</v>
      </c>
      <c r="AN15" t="e">
        <f t="shared" ca="1" si="11"/>
        <v>#NAME?</v>
      </c>
      <c r="AO15" t="e">
        <f t="shared" ca="1" si="12"/>
        <v>#NAME?</v>
      </c>
      <c r="AP15" t="e">
        <f t="shared" ca="1" si="13"/>
        <v>#NAME?</v>
      </c>
    </row>
    <row r="16" spans="1:42">
      <c r="C16">
        <f>SUM(C4:C15)</f>
        <v>522</v>
      </c>
      <c r="D16">
        <f>SUM(D4:D15)</f>
        <v>338</v>
      </c>
      <c r="F16">
        <f t="shared" si="0"/>
        <v>24</v>
      </c>
      <c r="G16">
        <f t="shared" si="1"/>
        <v>1</v>
      </c>
      <c r="H16" s="625">
        <f t="shared" si="2"/>
        <v>17</v>
      </c>
      <c r="I16" s="8">
        <f t="shared" si="3"/>
        <v>46</v>
      </c>
      <c r="J16" s="132">
        <f t="shared" si="4"/>
        <v>63</v>
      </c>
      <c r="K16">
        <f t="shared" si="5"/>
        <v>0.26984126984126983</v>
      </c>
      <c r="L16" t="e">
        <f t="shared" ca="1" si="6"/>
        <v>#NAME?</v>
      </c>
      <c r="M16" s="625" t="e">
        <f t="shared" ca="1" si="7"/>
        <v>#NAME?</v>
      </c>
      <c r="N16" s="132" t="e">
        <f t="shared" ca="1" si="8"/>
        <v>#NAME?</v>
      </c>
      <c r="O16" t="e">
        <f t="shared" ca="1" si="9"/>
        <v>#NAME?</v>
      </c>
      <c r="P16" t="e">
        <f t="shared" ca="1" si="14"/>
        <v>#NAME?</v>
      </c>
      <c r="Q16" t="e">
        <f t="shared" ca="1" si="10"/>
        <v>#NAME?</v>
      </c>
      <c r="U16" t="s">
        <v>2098</v>
      </c>
      <c r="V16" s="1073" t="e">
        <f ca="1">V15/(1-EXP(2*V5/J18))</f>
        <v>#NAME?</v>
      </c>
      <c r="AI16" t="e">
        <f ca="1"/>
        <v>#NAME?</v>
      </c>
      <c r="AJ16" t="e">
        <f ca="1"/>
        <v>#NAME?</v>
      </c>
      <c r="AK16" t="e">
        <f ca="1"/>
        <v>#NAME?</v>
      </c>
      <c r="AL16" t="e">
        <f t="shared" ca="1" si="16"/>
        <v>#NAME?</v>
      </c>
      <c r="AM16" t="e">
        <f t="shared" ca="1" si="15"/>
        <v>#NAME?</v>
      </c>
      <c r="AN16" t="e">
        <f t="shared" ca="1" si="11"/>
        <v>#NAME?</v>
      </c>
      <c r="AO16" t="e">
        <f t="shared" ca="1" si="12"/>
        <v>#NAME?</v>
      </c>
      <c r="AP16" t="e">
        <f t="shared" ca="1" si="13"/>
        <v>#NAME?</v>
      </c>
    </row>
    <row r="17" spans="2:42">
      <c r="F17">
        <f t="shared" si="0"/>
        <v>25</v>
      </c>
      <c r="G17">
        <f t="shared" si="1"/>
        <v>1</v>
      </c>
      <c r="H17" s="1075">
        <f t="shared" si="2"/>
        <v>7</v>
      </c>
      <c r="I17" s="1076">
        <f t="shared" si="3"/>
        <v>22</v>
      </c>
      <c r="J17" s="132">
        <f t="shared" si="4"/>
        <v>29</v>
      </c>
      <c r="K17">
        <f t="shared" si="5"/>
        <v>0.2413793103448276</v>
      </c>
      <c r="L17" t="e">
        <f t="shared" ca="1" si="6"/>
        <v>#NAME?</v>
      </c>
      <c r="M17" s="625" t="e">
        <f t="shared" ca="1" si="7"/>
        <v>#NAME?</v>
      </c>
      <c r="N17" s="132" t="e">
        <f t="shared" ca="1" si="8"/>
        <v>#NAME?</v>
      </c>
      <c r="O17" t="e">
        <f t="shared" ca="1" si="9"/>
        <v>#NAME?</v>
      </c>
      <c r="P17" t="e">
        <f t="shared" ca="1" si="14"/>
        <v>#NAME?</v>
      </c>
      <c r="Q17" t="e">
        <f t="shared" ca="1" si="10"/>
        <v>#NAME?</v>
      </c>
      <c r="AI17" t="e">
        <f ca="1"/>
        <v>#NAME?</v>
      </c>
      <c r="AJ17" t="e">
        <f ca="1"/>
        <v>#NAME?</v>
      </c>
      <c r="AK17" t="e">
        <f ca="1"/>
        <v>#NAME?</v>
      </c>
      <c r="AL17" t="e">
        <f t="shared" ca="1" si="16"/>
        <v>#NAME?</v>
      </c>
      <c r="AM17" t="e">
        <f t="shared" ca="1" si="15"/>
        <v>#NAME?</v>
      </c>
      <c r="AN17" t="e">
        <f t="shared" ca="1" si="11"/>
        <v>#NAME?</v>
      </c>
      <c r="AO17" t="e">
        <f t="shared" ca="1" si="12"/>
        <v>#NAME?</v>
      </c>
      <c r="AP17" t="e">
        <f t="shared" ca="1" si="13"/>
        <v>#NAME?</v>
      </c>
    </row>
    <row r="18" spans="2:42">
      <c r="F18" s="5"/>
      <c r="G18" s="5"/>
      <c r="H18" s="5">
        <f>SUM(H6:H17)</f>
        <v>522</v>
      </c>
      <c r="I18" s="5">
        <f>SUM(I6:I17)</f>
        <v>338</v>
      </c>
      <c r="J18" s="1117">
        <f>SUM(J6:J17)</f>
        <v>860</v>
      </c>
      <c r="K18" s="1117"/>
      <c r="L18" s="1117"/>
      <c r="M18" s="1117" t="e">
        <f ca="1">SUM(M6:M17)</f>
        <v>#NAME?</v>
      </c>
      <c r="N18" s="1117" t="e">
        <f ca="1">SUM(N6:N17)</f>
        <v>#NAME?</v>
      </c>
      <c r="O18" s="1117" t="e">
        <f ca="1">SUM(O6:O17)</f>
        <v>#NAME?</v>
      </c>
      <c r="P18" s="1117" t="e">
        <f ca="1">SUMPRODUCT(P6:P17,J6:J17)/J18</f>
        <v>#NAME?</v>
      </c>
      <c r="Q18" s="1117" t="e">
        <f ca="1">SUM(Q6:Q17)</f>
        <v>#NAME?</v>
      </c>
      <c r="U18" t="s">
        <v>2806</v>
      </c>
      <c r="V18" s="1118" t="e">
        <f ca="1">Q18</f>
        <v>#NAME?</v>
      </c>
      <c r="AI18" s="1078" t="e">
        <f ca="1"/>
        <v>#NAME?</v>
      </c>
      <c r="AJ18" s="1078" t="e">
        <f ca="1"/>
        <v>#NAME?</v>
      </c>
      <c r="AK18" s="1078" t="e">
        <f ca="1"/>
        <v>#NAME?</v>
      </c>
      <c r="AL18" s="1078" t="e">
        <f t="shared" ca="1" si="16"/>
        <v>#NAME?</v>
      </c>
      <c r="AM18" s="1078" t="e">
        <f t="shared" ca="1" si="15"/>
        <v>#NAME?</v>
      </c>
      <c r="AN18" s="1078" t="e">
        <f t="shared" ca="1" si="11"/>
        <v>#NAME?</v>
      </c>
      <c r="AO18" s="1078" t="e">
        <f t="shared" ca="1" si="12"/>
        <v>#NAME?</v>
      </c>
      <c r="AP18" s="1078" t="e">
        <f t="shared" ca="1" si="13"/>
        <v>#NAME?</v>
      </c>
    </row>
    <row r="19" spans="2:42" ht="15" thickBot="1">
      <c r="U19" t="s">
        <v>186</v>
      </c>
      <c r="V19" s="946">
        <f>COUNT(J6:J17)-2</f>
        <v>10</v>
      </c>
      <c r="AP19" t="e">
        <f ca="1">SUM(AP6:AP18)</f>
        <v>#NAME?</v>
      </c>
    </row>
    <row r="20" spans="2:42" ht="15" thickTop="1">
      <c r="F20" s="1070"/>
      <c r="G20" s="1070" t="s">
        <v>2603</v>
      </c>
      <c r="H20" s="1070" t="s">
        <v>826</v>
      </c>
      <c r="I20" s="1070" t="s">
        <v>2604</v>
      </c>
      <c r="J20" s="1070" t="s">
        <v>200</v>
      </c>
      <c r="K20" s="1070" t="s">
        <v>2605</v>
      </c>
      <c r="L20" s="1070" t="s">
        <v>103</v>
      </c>
      <c r="M20" s="1070" t="s">
        <v>104</v>
      </c>
      <c r="U20" t="s">
        <v>200</v>
      </c>
      <c r="V20" s="946" t="e">
        <f ca="1">CHIDIST(V18,V19)</f>
        <v>#NAME?</v>
      </c>
    </row>
    <row r="21" spans="2:42">
      <c r="F21" t="s">
        <v>697</v>
      </c>
      <c r="G21" t="e">
        <f t="array" ref="G21:G23" ca="1">S7:S9</f>
        <v>#NAME?</v>
      </c>
      <c r="H21" t="e">
        <f t="array" aca="1" ref="H21:H23" ca="1">SQRT([1]!DIAG(X6:Z8))</f>
        <v>#NAME?</v>
      </c>
      <c r="I21" t="e">
        <f ca="1">(G21/H21)^2</f>
        <v>#NAME?</v>
      </c>
      <c r="J21" t="e">
        <f ca="1">CHIDIST(I21,1)</f>
        <v>#NAME?</v>
      </c>
      <c r="K21" t="e">
        <f ca="1">EXP(G21)</f>
        <v>#NAME?</v>
      </c>
      <c r="U21" t="s">
        <v>337</v>
      </c>
      <c r="V21" s="946">
        <f>V11</f>
        <v>0.05</v>
      </c>
    </row>
    <row r="22" spans="2:42">
      <c r="F22" t="str">
        <f t="array" ref="F22:F23">TRANSPOSE(F5:G5)</f>
        <v>Temp</v>
      </c>
      <c r="G22" t="e">
        <f ca="1"/>
        <v>#NAME?</v>
      </c>
      <c r="H22" t="e">
        <f ca="1"/>
        <v>#NAME?</v>
      </c>
      <c r="I22" t="e">
        <f ca="1">(G22/H22)^2</f>
        <v>#NAME?</v>
      </c>
      <c r="J22" t="e">
        <f ca="1">CHIDIST(I22,1)</f>
        <v>#NAME?</v>
      </c>
      <c r="K22" t="e">
        <f ca="1">EXP(G22)</f>
        <v>#NAME?</v>
      </c>
      <c r="L22" t="e">
        <f ca="1">EXP(G22-H22*NORMSINV(1-$V$11/2))</f>
        <v>#NAME?</v>
      </c>
      <c r="M22" t="e">
        <f ca="1">EXP(G22+H22*NORMSINV(1-$V$11/2))</f>
        <v>#NAME?</v>
      </c>
      <c r="U22" t="s">
        <v>948</v>
      </c>
      <c r="V22" s="1074" t="e">
        <f ca="1">IF(V20&lt;V21,"yes","no")</f>
        <v>#NAME?</v>
      </c>
    </row>
    <row r="23" spans="2:42">
      <c r="F23" s="1078" t="str">
        <v>Water</v>
      </c>
      <c r="G23" s="1078" t="e">
        <f ca="1"/>
        <v>#NAME?</v>
      </c>
      <c r="H23" s="1078" t="e">
        <f ca="1"/>
        <v>#NAME?</v>
      </c>
      <c r="I23" s="1078" t="e">
        <f ca="1">(G23/H23)^2</f>
        <v>#NAME?</v>
      </c>
      <c r="J23" s="1078" t="e">
        <f ca="1">CHIDIST(I23,1)</f>
        <v>#NAME?</v>
      </c>
      <c r="K23" s="1078" t="e">
        <f ca="1">EXP(G23)</f>
        <v>#NAME?</v>
      </c>
      <c r="L23" s="1078" t="e">
        <f ca="1">EXP(G23-H23*NORMSINV(1-$V$11/2))</f>
        <v>#NAME?</v>
      </c>
      <c r="M23" s="1078" t="e">
        <f ca="1">EXP(G23+H23*NORMSINV(1-$V$11/2))</f>
        <v>#NAME?</v>
      </c>
    </row>
    <row r="26" spans="2:42">
      <c r="B26" s="1" t="s">
        <v>2622</v>
      </c>
      <c r="F26" t="s">
        <v>1971</v>
      </c>
      <c r="AB26" t="s">
        <v>2877</v>
      </c>
      <c r="AG26" t="s">
        <v>2881</v>
      </c>
    </row>
    <row r="27" spans="2:42" ht="15" thickBot="1"/>
    <row r="28" spans="2:42" ht="15" thickTop="1">
      <c r="B28" s="912" t="s">
        <v>2091</v>
      </c>
      <c r="C28" s="912" t="s">
        <v>383</v>
      </c>
      <c r="D28" s="912" t="s">
        <v>342</v>
      </c>
      <c r="F28" s="1116" t="e">
        <f t="array" aca="1" ref="F28:H34" ca="1">[1]!LogitReduce(A3:D15,"Water")</f>
        <v>#NAME?</v>
      </c>
      <c r="G28" s="1116" t="e">
        <f ca="1"/>
        <v>#NAME?</v>
      </c>
      <c r="H28" s="1116" t="e">
        <f ca="1"/>
        <v>#NAME?</v>
      </c>
      <c r="I28" s="1116" t="s">
        <v>12</v>
      </c>
      <c r="J28" s="1116" t="s">
        <v>2093</v>
      </c>
      <c r="K28" s="1116" t="s">
        <v>2094</v>
      </c>
      <c r="L28" s="1116" t="s">
        <v>2875</v>
      </c>
      <c r="M28" s="1116" t="s">
        <v>2876</v>
      </c>
      <c r="N28" s="1116" t="s">
        <v>1982</v>
      </c>
      <c r="O28" s="1116" t="s">
        <v>2601</v>
      </c>
      <c r="P28" s="1116" t="s">
        <v>2801</v>
      </c>
      <c r="R28" t="s">
        <v>2095</v>
      </c>
      <c r="T28" t="s">
        <v>1981</v>
      </c>
      <c r="U28" s="1118" t="e">
        <f ca="1">G35*LN(G35/I35)+H35*LN(H35/I35)</f>
        <v>#NAME?</v>
      </c>
      <c r="W28" t="s">
        <v>2602</v>
      </c>
      <c r="Z28" t="s">
        <v>2887</v>
      </c>
      <c r="AC28" s="1108" t="s">
        <v>2878</v>
      </c>
      <c r="AD28" s="1108" t="s">
        <v>2879</v>
      </c>
      <c r="AG28" s="1070" t="s">
        <v>2094</v>
      </c>
      <c r="AH28" s="1070" t="s">
        <v>2808</v>
      </c>
      <c r="AI28" s="1070" t="s">
        <v>2807</v>
      </c>
      <c r="AJ28" s="1070" t="s">
        <v>2882</v>
      </c>
      <c r="AK28" s="1070" t="s">
        <v>2883</v>
      </c>
      <c r="AL28" s="1070" t="s">
        <v>2884</v>
      </c>
      <c r="AM28" s="1070" t="s">
        <v>2885</v>
      </c>
      <c r="AN28" s="1070" t="s">
        <v>2886</v>
      </c>
    </row>
    <row r="29" spans="2:42">
      <c r="B29" s="1126">
        <v>20</v>
      </c>
      <c r="C29" s="1123">
        <f t="shared" ref="C29:D34" si="17">SUMIF($A$4:$A$15,$B29,C$4:C$15)</f>
        <v>39</v>
      </c>
      <c r="D29" s="1124">
        <f t="shared" si="17"/>
        <v>4</v>
      </c>
      <c r="F29" t="e">
        <f ca="1"/>
        <v>#NAME?</v>
      </c>
      <c r="G29" s="625" t="e">
        <f ca="1"/>
        <v>#NAME?</v>
      </c>
      <c r="H29" s="8" t="e">
        <f ca="1"/>
        <v>#NAME?</v>
      </c>
      <c r="I29" s="132" t="e">
        <f t="shared" ref="I29:I34" ca="1" si="18">G29+H29</f>
        <v>#NAME?</v>
      </c>
      <c r="J29" t="e">
        <f t="shared" ref="J29:J34" ca="1" si="19">G29/I29</f>
        <v>#NAME?</v>
      </c>
      <c r="K29" t="e">
        <f t="shared" ref="K29:K34" ca="1" si="20">1/(1+EXP(-$R$30-$R$31*F29))</f>
        <v>#NAME?</v>
      </c>
      <c r="L29" s="1113" t="e">
        <f t="shared" ref="L29:L34" ca="1" si="21">I29*K29</f>
        <v>#NAME?</v>
      </c>
      <c r="M29" s="1115" t="e">
        <f t="shared" ref="M29:M34" ca="1" si="22">I29-L29</f>
        <v>#NAME?</v>
      </c>
      <c r="N29" t="e">
        <f t="shared" ref="N29:N34" ca="1" si="23">I29*(J29*LN(K29)+(1-J29)*LN(1-K29))</f>
        <v>#NAME?</v>
      </c>
      <c r="O29" t="e">
        <f t="shared" ref="O29:O34" ca="1" si="24">100*IF(K29&gt;=$AC$35,G29/I29,H29/I29)</f>
        <v>#NAME?</v>
      </c>
      <c r="P29" t="e">
        <f t="shared" ref="P29:P34" ca="1" si="25">(G29-L29)^2/L29+(H29-M29)^2/M29</f>
        <v>#NAME?</v>
      </c>
      <c r="T29" t="s">
        <v>2084</v>
      </c>
      <c r="U29" s="1073" t="e">
        <f ca="1">N35</f>
        <v>#NAME?</v>
      </c>
      <c r="W29" s="1113" t="e">
        <f t="array" aca="1" ref="W29:X30" ca="1">MINVERSE(MMULT(TRANSPOSE([1]!DESIGN(F29:F34)),K29:K34*(1-K29:K34)*I29:I34*[1]!DESIGN(F29:F34)))</f>
        <v>#NAME?</v>
      </c>
      <c r="X29" s="1115" t="e">
        <f ca="1"/>
        <v>#NAME?</v>
      </c>
      <c r="Z29" s="1118" t="e">
        <f t="array" aca="1" ref="Z29:Z30" ca="1">MMULT(W29:X30,MMULT(TRANSPOSE([1]!DESIGN(F29:F34)),I29:I34*(J29:J34-K29:K34)))</f>
        <v>#NAME?</v>
      </c>
      <c r="AB29" t="s">
        <v>2875</v>
      </c>
      <c r="AC29" s="1113">
        <f ca="1">SUMIF(K29:K34,"&gt;="&amp;AC35,G29:G34)</f>
        <v>0</v>
      </c>
      <c r="AD29" s="1115">
        <f ca="1">SUMIF(K29:K34,"&gt;="&amp;AC35,H29:H34)</f>
        <v>0</v>
      </c>
      <c r="AE29">
        <f ca="1">AC29+AD29</f>
        <v>0</v>
      </c>
      <c r="AJ29">
        <v>0</v>
      </c>
      <c r="AK29">
        <v>0</v>
      </c>
      <c r="AL29" t="e">
        <f ca="1">1-AJ29/AJ$35</f>
        <v>#NAME?</v>
      </c>
      <c r="AM29" t="e">
        <f ca="1">1-AK29/AK$35</f>
        <v>#NAME?</v>
      </c>
      <c r="AN29" t="e">
        <f ca="1">(AL29-AL30)*AM29</f>
        <v>#NAME?</v>
      </c>
    </row>
    <row r="30" spans="2:42">
      <c r="B30" s="981">
        <v>21</v>
      </c>
      <c r="C30" s="174">
        <f t="shared" si="17"/>
        <v>165</v>
      </c>
      <c r="D30" s="619">
        <f t="shared" si="17"/>
        <v>15</v>
      </c>
      <c r="F30" t="e">
        <f ca="1"/>
        <v>#NAME?</v>
      </c>
      <c r="G30" s="625" t="e">
        <f ca="1"/>
        <v>#NAME?</v>
      </c>
      <c r="H30" s="8" t="e">
        <f ca="1"/>
        <v>#NAME?</v>
      </c>
      <c r="I30" s="132" t="e">
        <f t="shared" ca="1" si="18"/>
        <v>#NAME?</v>
      </c>
      <c r="J30" t="e">
        <f t="shared" ca="1" si="19"/>
        <v>#NAME?</v>
      </c>
      <c r="K30" t="e">
        <f t="shared" ca="1" si="20"/>
        <v>#NAME?</v>
      </c>
      <c r="L30" s="625" t="e">
        <f t="shared" ca="1" si="21"/>
        <v>#NAME?</v>
      </c>
      <c r="M30" s="132" t="e">
        <f t="shared" ca="1" si="22"/>
        <v>#NAME?</v>
      </c>
      <c r="N30" t="e">
        <f t="shared" ca="1" si="23"/>
        <v>#NAME?</v>
      </c>
      <c r="O30" t="e">
        <f t="shared" ca="1" si="24"/>
        <v>#NAME?</v>
      </c>
      <c r="P30" t="e">
        <f t="shared" ca="1" si="25"/>
        <v>#NAME?</v>
      </c>
      <c r="R30" s="1118" t="e">
        <f t="array" aca="1" ref="R30:R31" ca="1">[1]!LogitCoeff(F29:H34,,,,,20)</f>
        <v>#NAME?</v>
      </c>
      <c r="W30" s="1075" t="e">
        <f ca="1"/>
        <v>#NAME?</v>
      </c>
      <c r="X30" s="1077" t="e">
        <f ca="1"/>
        <v>#NAME?</v>
      </c>
      <c r="Z30" s="1073" t="e">
        <f ca="1"/>
        <v>#NAME?</v>
      </c>
      <c r="AB30" t="s">
        <v>2876</v>
      </c>
      <c r="AC30" s="1075" t="e">
        <f ca="1">AC31-AC29</f>
        <v>#NAME?</v>
      </c>
      <c r="AD30" s="1077" t="e">
        <f ca="1">AD31-AD29</f>
        <v>#NAME?</v>
      </c>
      <c r="AE30" t="e">
        <f ca="1">AC30+AD30</f>
        <v>#NAME?</v>
      </c>
      <c r="AG30" t="e">
        <f t="array" aca="1" ref="AG30:AI35" ca="1">[1]!SelectCols(G29:K34,"5,2,1",1)</f>
        <v>#NAME?</v>
      </c>
      <c r="AH30" t="e">
        <f ca="1"/>
        <v>#NAME?</v>
      </c>
      <c r="AI30" t="e">
        <f ca="1"/>
        <v>#NAME?</v>
      </c>
      <c r="AJ30" t="e">
        <f t="shared" ref="AJ30:AK35" ca="1" si="26">AJ29+AH30</f>
        <v>#NAME?</v>
      </c>
      <c r="AK30" t="e">
        <f t="shared" ca="1" si="26"/>
        <v>#NAME?</v>
      </c>
      <c r="AL30" t="e">
        <f t="shared" ref="AL30:AL35" ca="1" si="27">1-AJ30/AJ$35</f>
        <v>#NAME?</v>
      </c>
      <c r="AM30" t="e">
        <f t="shared" ref="AM30:AM35" ca="1" si="28">1-AK30/AK$35</f>
        <v>#NAME?</v>
      </c>
      <c r="AN30" t="e">
        <f t="shared" ref="AN30:AN35" ca="1" si="29">(AL30-AL31)*AM30</f>
        <v>#NAME?</v>
      </c>
    </row>
    <row r="31" spans="2:42">
      <c r="B31" s="981">
        <v>22</v>
      </c>
      <c r="C31" s="174">
        <f t="shared" si="17"/>
        <v>159</v>
      </c>
      <c r="D31" s="619">
        <f t="shared" si="17"/>
        <v>44</v>
      </c>
      <c r="F31" t="e">
        <f ca="1"/>
        <v>#NAME?</v>
      </c>
      <c r="G31" s="625" t="e">
        <f ca="1"/>
        <v>#NAME?</v>
      </c>
      <c r="H31" s="8" t="e">
        <f ca="1"/>
        <v>#NAME?</v>
      </c>
      <c r="I31" s="132" t="e">
        <f t="shared" ca="1" si="18"/>
        <v>#NAME?</v>
      </c>
      <c r="J31" t="e">
        <f t="shared" ca="1" si="19"/>
        <v>#NAME?</v>
      </c>
      <c r="K31" t="e">
        <f t="shared" ca="1" si="20"/>
        <v>#NAME?</v>
      </c>
      <c r="L31" s="625" t="e">
        <f t="shared" ca="1" si="21"/>
        <v>#NAME?</v>
      </c>
      <c r="M31" s="132" t="e">
        <f t="shared" ca="1" si="22"/>
        <v>#NAME?</v>
      </c>
      <c r="N31" t="e">
        <f t="shared" ca="1" si="23"/>
        <v>#NAME?</v>
      </c>
      <c r="O31" t="e">
        <f t="shared" ca="1" si="24"/>
        <v>#NAME?</v>
      </c>
      <c r="P31" t="e">
        <f t="shared" ca="1" si="25"/>
        <v>#NAME?</v>
      </c>
      <c r="R31" s="1073" t="e">
        <f ca="1"/>
        <v>#NAME?</v>
      </c>
      <c r="T31" t="s">
        <v>2099</v>
      </c>
      <c r="U31" s="1118" t="e">
        <f ca="1">2*(U29-U28)</f>
        <v>#NAME?</v>
      </c>
      <c r="AC31" t="e">
        <f ca="1">G35</f>
        <v>#NAME?</v>
      </c>
      <c r="AD31" t="e">
        <f ca="1">H35</f>
        <v>#NAME?</v>
      </c>
      <c r="AE31" t="e">
        <f ca="1">AC31+AD31</f>
        <v>#NAME?</v>
      </c>
      <c r="AG31" t="e">
        <f ca="1"/>
        <v>#NAME?</v>
      </c>
      <c r="AH31" t="e">
        <f ca="1"/>
        <v>#NAME?</v>
      </c>
      <c r="AI31" t="e">
        <f ca="1"/>
        <v>#NAME?</v>
      </c>
      <c r="AJ31" t="e">
        <f t="shared" ca="1" si="26"/>
        <v>#NAME?</v>
      </c>
      <c r="AK31" t="e">
        <f t="shared" ca="1" si="26"/>
        <v>#NAME?</v>
      </c>
      <c r="AL31" t="e">
        <f t="shared" ca="1" si="27"/>
        <v>#NAME?</v>
      </c>
      <c r="AM31" t="e">
        <f t="shared" ca="1" si="28"/>
        <v>#NAME?</v>
      </c>
      <c r="AN31" t="e">
        <f t="shared" ca="1" si="29"/>
        <v>#NAME?</v>
      </c>
    </row>
    <row r="32" spans="2:42">
      <c r="B32" s="981">
        <v>23</v>
      </c>
      <c r="C32" s="174">
        <f t="shared" si="17"/>
        <v>120</v>
      </c>
      <c r="D32" s="619">
        <f t="shared" si="17"/>
        <v>138</v>
      </c>
      <c r="F32" t="e">
        <f ca="1"/>
        <v>#NAME?</v>
      </c>
      <c r="G32" s="625" t="e">
        <f ca="1"/>
        <v>#NAME?</v>
      </c>
      <c r="H32" s="8" t="e">
        <f ca="1"/>
        <v>#NAME?</v>
      </c>
      <c r="I32" s="132" t="e">
        <f t="shared" ca="1" si="18"/>
        <v>#NAME?</v>
      </c>
      <c r="J32" t="e">
        <f t="shared" ca="1" si="19"/>
        <v>#NAME?</v>
      </c>
      <c r="K32" t="e">
        <f t="shared" ca="1" si="20"/>
        <v>#NAME?</v>
      </c>
      <c r="L32" s="625" t="e">
        <f t="shared" ca="1" si="21"/>
        <v>#NAME?</v>
      </c>
      <c r="M32" s="132" t="e">
        <f t="shared" ca="1" si="22"/>
        <v>#NAME?</v>
      </c>
      <c r="N32" t="e">
        <f t="shared" ca="1" si="23"/>
        <v>#NAME?</v>
      </c>
      <c r="O32" t="e">
        <f t="shared" ca="1" si="24"/>
        <v>#NAME?</v>
      </c>
      <c r="P32" t="e">
        <f t="shared" ca="1" si="25"/>
        <v>#NAME?</v>
      </c>
      <c r="T32" t="s">
        <v>186</v>
      </c>
      <c r="U32" s="946">
        <f ca="1">COUNT(F29)</f>
        <v>0</v>
      </c>
      <c r="AG32" t="e">
        <f ca="1"/>
        <v>#NAME?</v>
      </c>
      <c r="AH32" t="e">
        <f ca="1"/>
        <v>#NAME?</v>
      </c>
      <c r="AI32" t="e">
        <f ca="1"/>
        <v>#NAME?</v>
      </c>
      <c r="AJ32" t="e">
        <f t="shared" ca="1" si="26"/>
        <v>#NAME?</v>
      </c>
      <c r="AK32" t="e">
        <f t="shared" ca="1" si="26"/>
        <v>#NAME?</v>
      </c>
      <c r="AL32" t="e">
        <f t="shared" ca="1" si="27"/>
        <v>#NAME?</v>
      </c>
      <c r="AM32" t="e">
        <f t="shared" ca="1" si="28"/>
        <v>#NAME?</v>
      </c>
      <c r="AN32" t="e">
        <f t="shared" ca="1" si="29"/>
        <v>#NAME?</v>
      </c>
    </row>
    <row r="33" spans="2:40">
      <c r="B33" s="981">
        <v>24</v>
      </c>
      <c r="C33" s="174">
        <f t="shared" si="17"/>
        <v>28</v>
      </c>
      <c r="D33" s="619">
        <f t="shared" si="17"/>
        <v>87</v>
      </c>
      <c r="F33" t="e">
        <f ca="1"/>
        <v>#NAME?</v>
      </c>
      <c r="G33" s="625" t="e">
        <f ca="1"/>
        <v>#NAME?</v>
      </c>
      <c r="H33" s="8" t="e">
        <f ca="1"/>
        <v>#NAME?</v>
      </c>
      <c r="I33" s="132" t="e">
        <f t="shared" ca="1" si="18"/>
        <v>#NAME?</v>
      </c>
      <c r="J33" t="e">
        <f t="shared" ca="1" si="19"/>
        <v>#NAME?</v>
      </c>
      <c r="K33" t="e">
        <f t="shared" ca="1" si="20"/>
        <v>#NAME?</v>
      </c>
      <c r="L33" s="625" t="e">
        <f t="shared" ca="1" si="21"/>
        <v>#NAME?</v>
      </c>
      <c r="M33" s="132" t="e">
        <f t="shared" ca="1" si="22"/>
        <v>#NAME?</v>
      </c>
      <c r="N33" t="e">
        <f t="shared" ca="1" si="23"/>
        <v>#NAME?</v>
      </c>
      <c r="O33" t="e">
        <f t="shared" ca="1" si="24"/>
        <v>#NAME?</v>
      </c>
      <c r="P33" t="e">
        <f t="shared" ca="1" si="25"/>
        <v>#NAME?</v>
      </c>
      <c r="T33" t="s">
        <v>200</v>
      </c>
      <c r="U33" s="946" t="e">
        <f ca="1">CHIDIST(U31,U32)</f>
        <v>#NAME?</v>
      </c>
      <c r="AB33" t="s">
        <v>2919</v>
      </c>
      <c r="AC33" s="1119" t="e">
        <f ca="1">AC29/AC31</f>
        <v>#NAME?</v>
      </c>
      <c r="AD33" s="1120" t="e">
        <f ca="1">AD30/AD31</f>
        <v>#NAME?</v>
      </c>
      <c r="AE33" t="e">
        <f ca="1">(AC29+AD30)/AE31</f>
        <v>#NAME?</v>
      </c>
      <c r="AG33" t="e">
        <f ca="1"/>
        <v>#NAME?</v>
      </c>
      <c r="AH33" t="e">
        <f ca="1"/>
        <v>#NAME?</v>
      </c>
      <c r="AI33" t="e">
        <f ca="1"/>
        <v>#NAME?</v>
      </c>
      <c r="AJ33" t="e">
        <f t="shared" ca="1" si="26"/>
        <v>#NAME?</v>
      </c>
      <c r="AK33" t="e">
        <f t="shared" ca="1" si="26"/>
        <v>#NAME?</v>
      </c>
      <c r="AL33" t="e">
        <f t="shared" ca="1" si="27"/>
        <v>#NAME?</v>
      </c>
      <c r="AM33" t="e">
        <f t="shared" ca="1" si="28"/>
        <v>#NAME?</v>
      </c>
      <c r="AN33" t="e">
        <f t="shared" ca="1" si="29"/>
        <v>#NAME?</v>
      </c>
    </row>
    <row r="34" spans="2:40">
      <c r="B34" s="930">
        <v>25</v>
      </c>
      <c r="C34" s="1125">
        <f t="shared" si="17"/>
        <v>11</v>
      </c>
      <c r="D34" s="621">
        <f t="shared" si="17"/>
        <v>50</v>
      </c>
      <c r="F34" t="e">
        <f ca="1"/>
        <v>#NAME?</v>
      </c>
      <c r="G34" s="1075" t="e">
        <f ca="1"/>
        <v>#NAME?</v>
      </c>
      <c r="H34" s="1076" t="e">
        <f ca="1"/>
        <v>#NAME?</v>
      </c>
      <c r="I34" s="132" t="e">
        <f t="shared" ca="1" si="18"/>
        <v>#NAME?</v>
      </c>
      <c r="J34" t="e">
        <f t="shared" ca="1" si="19"/>
        <v>#NAME?</v>
      </c>
      <c r="K34" t="e">
        <f t="shared" ca="1" si="20"/>
        <v>#NAME?</v>
      </c>
      <c r="L34" s="625" t="e">
        <f t="shared" ca="1" si="21"/>
        <v>#NAME?</v>
      </c>
      <c r="M34" s="132" t="e">
        <f t="shared" ca="1" si="22"/>
        <v>#NAME?</v>
      </c>
      <c r="N34" t="e">
        <f t="shared" ca="1" si="23"/>
        <v>#NAME?</v>
      </c>
      <c r="O34" t="e">
        <f t="shared" ca="1" si="24"/>
        <v>#NAME?</v>
      </c>
      <c r="P34" t="e">
        <f t="shared" ca="1" si="25"/>
        <v>#NAME?</v>
      </c>
      <c r="T34" t="s">
        <v>337</v>
      </c>
      <c r="U34" s="946">
        <v>0.05</v>
      </c>
      <c r="AG34" t="e">
        <f ca="1"/>
        <v>#NAME?</v>
      </c>
      <c r="AH34" t="e">
        <f ca="1"/>
        <v>#NAME?</v>
      </c>
      <c r="AI34" t="e">
        <f ca="1"/>
        <v>#NAME?</v>
      </c>
      <c r="AJ34" t="e">
        <f t="shared" ca="1" si="26"/>
        <v>#NAME?</v>
      </c>
      <c r="AK34" t="e">
        <f t="shared" ca="1" si="26"/>
        <v>#NAME?</v>
      </c>
      <c r="AL34" t="e">
        <f t="shared" ca="1" si="27"/>
        <v>#NAME?</v>
      </c>
      <c r="AM34" t="e">
        <f t="shared" ca="1" si="28"/>
        <v>#NAME?</v>
      </c>
      <c r="AN34" t="e">
        <f t="shared" ca="1" si="29"/>
        <v>#NAME?</v>
      </c>
    </row>
    <row r="35" spans="2:40">
      <c r="B35" s="8"/>
      <c r="C35" s="172">
        <f>SUM(C29:C34)</f>
        <v>522</v>
      </c>
      <c r="D35" s="172">
        <f>SUM(D29:D34)</f>
        <v>338</v>
      </c>
      <c r="F35" s="5"/>
      <c r="G35" s="5" t="e">
        <f ca="1">SUM(G29:G34)</f>
        <v>#NAME?</v>
      </c>
      <c r="H35" s="5" t="e">
        <f ca="1">SUM(H29:H34)</f>
        <v>#NAME?</v>
      </c>
      <c r="I35" s="1117" t="e">
        <f ca="1">SUM(I29:I34)</f>
        <v>#NAME?</v>
      </c>
      <c r="J35" s="1117"/>
      <c r="K35" s="1117"/>
      <c r="L35" s="5" t="e">
        <f ca="1">SUM(L29:L34)</f>
        <v>#NAME?</v>
      </c>
      <c r="M35" s="5" t="e">
        <f ca="1">SUM(M29:M34)</f>
        <v>#NAME?</v>
      </c>
      <c r="N35" s="1117" t="e">
        <f ca="1">SUM(N29:N34)</f>
        <v>#NAME?</v>
      </c>
      <c r="O35" s="1117" t="e">
        <f ca="1">SUMPRODUCT(O29:O34,I29:I34)/I35</f>
        <v>#NAME?</v>
      </c>
      <c r="P35" s="1117" t="e">
        <f ca="1">SUM(P29:P34)</f>
        <v>#NAME?</v>
      </c>
      <c r="T35" t="s">
        <v>948</v>
      </c>
      <c r="U35" s="1074" t="e">
        <f ca="1">IF(U33&lt;U34,"yes","no")</f>
        <v>#NAME?</v>
      </c>
      <c r="W35" t="s">
        <v>2889</v>
      </c>
      <c r="AB35" t="s">
        <v>2880</v>
      </c>
      <c r="AC35" s="1121">
        <v>0.5</v>
      </c>
      <c r="AG35" s="1078" t="e">
        <f ca="1"/>
        <v>#NAME?</v>
      </c>
      <c r="AH35" s="1078" t="e">
        <f ca="1"/>
        <v>#NAME?</v>
      </c>
      <c r="AI35" s="1078" t="e">
        <f ca="1"/>
        <v>#NAME?</v>
      </c>
      <c r="AJ35" s="1078" t="e">
        <f t="shared" ca="1" si="26"/>
        <v>#NAME?</v>
      </c>
      <c r="AK35" s="1078" t="e">
        <f t="shared" ca="1" si="26"/>
        <v>#NAME?</v>
      </c>
      <c r="AL35" s="1078" t="e">
        <f t="shared" ca="1" si="27"/>
        <v>#NAME?</v>
      </c>
      <c r="AM35" s="1078" t="e">
        <f t="shared" ca="1" si="28"/>
        <v>#NAME?</v>
      </c>
      <c r="AN35" s="1078" t="e">
        <f t="shared" ca="1" si="29"/>
        <v>#NAME?</v>
      </c>
    </row>
    <row r="36" spans="2:40" ht="15" thickBot="1">
      <c r="AN36" t="e">
        <f ca="1">SUM(AN29:AN35)</f>
        <v>#NAME?</v>
      </c>
    </row>
    <row r="37" spans="2:40" ht="15" thickTop="1">
      <c r="F37" s="1070"/>
      <c r="G37" s="1070" t="s">
        <v>2603</v>
      </c>
      <c r="H37" s="1070" t="s">
        <v>826</v>
      </c>
      <c r="I37" s="1070" t="s">
        <v>2604</v>
      </c>
      <c r="J37" s="1070" t="s">
        <v>200</v>
      </c>
      <c r="K37" s="1070" t="s">
        <v>2605</v>
      </c>
      <c r="L37" s="1070" t="s">
        <v>103</v>
      </c>
      <c r="M37" s="1070" t="s">
        <v>104</v>
      </c>
      <c r="T37" t="s">
        <v>2096</v>
      </c>
      <c r="U37" s="1118" t="e">
        <f ca="1">1-U29/U28</f>
        <v>#NAME?</v>
      </c>
      <c r="W37" t="s">
        <v>1981</v>
      </c>
      <c r="X37" s="1118" t="e">
        <f ca="1">U29</f>
        <v>#NAME?</v>
      </c>
    </row>
    <row r="38" spans="2:40">
      <c r="F38" t="s">
        <v>697</v>
      </c>
      <c r="G38" t="e">
        <f t="array" ref="G38:G39" ca="1">R30:R31</f>
        <v>#NAME?</v>
      </c>
      <c r="H38" t="e">
        <f t="array" aca="1" ref="H38:H39" ca="1">SQRT([1]!DIAG(W29:X30))</f>
        <v>#NAME?</v>
      </c>
      <c r="I38" t="e">
        <f ca="1">(G38/H38)^2</f>
        <v>#NAME?</v>
      </c>
      <c r="J38" t="e">
        <f ca="1">CHIDIST(I38,1)</f>
        <v>#NAME?</v>
      </c>
      <c r="K38" t="e">
        <f ca="1">EXP(G38)</f>
        <v>#NAME?</v>
      </c>
      <c r="T38" t="s">
        <v>2097</v>
      </c>
      <c r="U38" s="946" t="e">
        <f ca="1">1-EXP((-2/I35)*(U29-U28))</f>
        <v>#NAME?</v>
      </c>
      <c r="W38" t="s">
        <v>2084</v>
      </c>
      <c r="X38" s="1073" t="e">
        <f ca="1">V6</f>
        <v>#NAME?</v>
      </c>
    </row>
    <row r="39" spans="2:40">
      <c r="F39" s="1078" t="e">
        <f t="array" aca="1" ref="F39" ca="1">TRANSPOSE(F28)</f>
        <v>#NAME?</v>
      </c>
      <c r="G39" s="1078" t="e">
        <f ca="1"/>
        <v>#NAME?</v>
      </c>
      <c r="H39" s="1078" t="e">
        <f ca="1"/>
        <v>#NAME?</v>
      </c>
      <c r="I39" s="1078" t="e">
        <f ca="1">(G39/H39)^2</f>
        <v>#NAME?</v>
      </c>
      <c r="J39" s="1078" t="e">
        <f ca="1">CHIDIST(I39,1)</f>
        <v>#NAME?</v>
      </c>
      <c r="K39" s="1078" t="e">
        <f ca="1">EXP(G39)</f>
        <v>#NAME?</v>
      </c>
      <c r="L39" s="1078" t="e">
        <f ca="1">EXP(G39-H39*NORMSINV(1-$U$34/2))</f>
        <v>#NAME?</v>
      </c>
      <c r="M39" s="1078" t="e">
        <f ca="1">EXP(G39+H39*NORMSINV(1-$U$34/2))</f>
        <v>#NAME?</v>
      </c>
      <c r="T39" t="s">
        <v>2098</v>
      </c>
      <c r="U39" s="1073" t="e">
        <f ca="1">U38/(1-EXP(2*U28/I35))</f>
        <v>#NAME?</v>
      </c>
    </row>
    <row r="40" spans="2:40">
      <c r="W40" t="s">
        <v>2099</v>
      </c>
      <c r="X40" s="1118" t="e">
        <f ca="1">2*(X38-X37)</f>
        <v>#NAME?</v>
      </c>
    </row>
    <row r="41" spans="2:40">
      <c r="T41" t="s">
        <v>2806</v>
      </c>
      <c r="U41" s="1118" t="e">
        <f ca="1">P35</f>
        <v>#NAME?</v>
      </c>
      <c r="W41" t="s">
        <v>186</v>
      </c>
      <c r="X41" s="946">
        <f ca="1">V9-U32</f>
        <v>2</v>
      </c>
    </row>
    <row r="42" spans="2:40">
      <c r="T42" t="s">
        <v>186</v>
      </c>
      <c r="U42" s="946">
        <f ca="1">COUNT(I29:I34)-2</f>
        <v>-2</v>
      </c>
      <c r="W42" t="s">
        <v>200</v>
      </c>
      <c r="X42" s="946" t="e">
        <f ca="1">CHIDIST(X40,X41)</f>
        <v>#NAME?</v>
      </c>
    </row>
    <row r="43" spans="2:40">
      <c r="T43" t="s">
        <v>200</v>
      </c>
      <c r="U43" s="946" t="e">
        <f ca="1">CHIDIST(U41,U42)</f>
        <v>#NAME?</v>
      </c>
      <c r="W43" t="s">
        <v>337</v>
      </c>
      <c r="X43" s="946">
        <v>0.05</v>
      </c>
    </row>
    <row r="44" spans="2:40">
      <c r="T44" t="s">
        <v>337</v>
      </c>
      <c r="U44" s="946">
        <f>U34</f>
        <v>0.05</v>
      </c>
      <c r="W44" t="s">
        <v>948</v>
      </c>
      <c r="X44" s="1074" t="e">
        <f ca="1">IF(X42&lt;X43,"yes","no")</f>
        <v>#NAME?</v>
      </c>
    </row>
    <row r="45" spans="2:40">
      <c r="T45" t="s">
        <v>948</v>
      </c>
      <c r="U45" s="1074" t="e">
        <f ca="1">IF(U43&lt;U44,"yes","no")</f>
        <v>#NAME?</v>
      </c>
    </row>
    <row r="47" spans="2:40">
      <c r="B47" s="1" t="s">
        <v>2623</v>
      </c>
      <c r="F47" t="s">
        <v>1971</v>
      </c>
      <c r="AB47" t="s">
        <v>2877</v>
      </c>
      <c r="AG47" t="s">
        <v>2881</v>
      </c>
    </row>
    <row r="48" spans="2:40" ht="15" thickBot="1"/>
    <row r="49" spans="2:40" ht="15" thickTop="1">
      <c r="B49" t="s">
        <v>2092</v>
      </c>
      <c r="C49" t="s">
        <v>383</v>
      </c>
      <c r="D49" t="s">
        <v>342</v>
      </c>
      <c r="F49" s="1116" t="e">
        <f t="array" aca="1" ref="F49:H51" ca="1">[1]!LogitReduce(A3:D15,"Temp")</f>
        <v>#NAME?</v>
      </c>
      <c r="G49" s="1116" t="e">
        <f ca="1"/>
        <v>#NAME?</v>
      </c>
      <c r="H49" s="1116" t="e">
        <f ca="1"/>
        <v>#NAME?</v>
      </c>
      <c r="I49" s="1116" t="s">
        <v>12</v>
      </c>
      <c r="J49" s="1116" t="s">
        <v>2093</v>
      </c>
      <c r="K49" s="1116" t="s">
        <v>2094</v>
      </c>
      <c r="L49" s="1116" t="s">
        <v>2875</v>
      </c>
      <c r="M49" s="1116" t="s">
        <v>2876</v>
      </c>
      <c r="N49" s="1116" t="s">
        <v>1982</v>
      </c>
      <c r="O49" s="1116" t="s">
        <v>2601</v>
      </c>
      <c r="P49" s="1116" t="s">
        <v>2801</v>
      </c>
      <c r="R49" t="s">
        <v>2095</v>
      </c>
      <c r="T49" t="s">
        <v>1981</v>
      </c>
      <c r="U49" s="1118" t="e">
        <f ca="1">G52*LN(G52/I52)+H52*LN(H52/I52)</f>
        <v>#NAME?</v>
      </c>
      <c r="W49" t="s">
        <v>2602</v>
      </c>
      <c r="Z49" t="s">
        <v>2887</v>
      </c>
      <c r="AC49" s="1108" t="s">
        <v>2878</v>
      </c>
      <c r="AD49" s="1108" t="s">
        <v>2879</v>
      </c>
      <c r="AG49" s="1070" t="s">
        <v>2094</v>
      </c>
      <c r="AH49" s="1070" t="s">
        <v>2808</v>
      </c>
      <c r="AI49" s="1070" t="s">
        <v>2807</v>
      </c>
      <c r="AJ49" s="1070" t="s">
        <v>2882</v>
      </c>
      <c r="AK49" s="1070" t="s">
        <v>2883</v>
      </c>
      <c r="AL49" s="1070" t="s">
        <v>2884</v>
      </c>
      <c r="AM49" s="1070" t="s">
        <v>2885</v>
      </c>
      <c r="AN49" s="1070" t="s">
        <v>2886</v>
      </c>
    </row>
    <row r="50" spans="2:40">
      <c r="B50" s="1072">
        <v>0</v>
      </c>
      <c r="C50" s="1123">
        <f>SUMIF($B$4:$B$15,$B50,C$4:C$15)</f>
        <v>278</v>
      </c>
      <c r="D50" s="1124">
        <f>SUMIF($B$4:$B$15,$B50,D$4:D$15)</f>
        <v>171</v>
      </c>
      <c r="F50" t="e">
        <f ca="1"/>
        <v>#NAME?</v>
      </c>
      <c r="G50" s="625" t="e">
        <f ca="1"/>
        <v>#NAME?</v>
      </c>
      <c r="H50" s="8" t="e">
        <f ca="1"/>
        <v>#NAME?</v>
      </c>
      <c r="I50" s="132" t="e">
        <f ca="1">G50+H50</f>
        <v>#NAME?</v>
      </c>
      <c r="J50" t="e">
        <f ca="1">G50/I50</f>
        <v>#NAME?</v>
      </c>
      <c r="K50" t="e">
        <f ca="1">1/(1+EXP(-$R$51-$R$52*F50))</f>
        <v>#NAME?</v>
      </c>
      <c r="L50" s="1113" t="e">
        <f ca="1">I50*K50</f>
        <v>#NAME?</v>
      </c>
      <c r="M50" s="1115" t="e">
        <f ca="1">I50-L50</f>
        <v>#NAME?</v>
      </c>
      <c r="N50" t="e">
        <f ca="1">I50*(J50*LN(K50)+(1-J50)*LN(1-K50))</f>
        <v>#NAME?</v>
      </c>
      <c r="O50" t="e">
        <f ca="1">100*IF(K50&gt;=$AC$56,G50/I50,H50/I50)</f>
        <v>#NAME?</v>
      </c>
      <c r="P50" t="e">
        <f ca="1">(G50-L50)^2/L50+(H50-M50)^2/M50</f>
        <v>#NAME?</v>
      </c>
      <c r="T50" t="s">
        <v>2084</v>
      </c>
      <c r="U50" s="1073" t="e">
        <f ca="1">N52</f>
        <v>#NAME?</v>
      </c>
      <c r="W50" s="1113" t="e">
        <f t="array" aca="1" ref="W50:X51" ca="1">MINVERSE(MMULT(TRANSPOSE([1]!DESIGN(F50:F51)),K50:K51*(1-K50:K51)*I50:I51*[1]!DESIGN(F50:F51)))</f>
        <v>#NAME?</v>
      </c>
      <c r="X50" s="1115" t="e">
        <f ca="1"/>
        <v>#NAME?</v>
      </c>
      <c r="Z50" s="1118" t="e">
        <f t="array" aca="1" ref="Z50:Z51" ca="1">MMULT(W50:X51,MMULT(TRANSPOSE([1]!DESIGN(F50:F51)),I50:I51*(J50:J51-K50:K51)))</f>
        <v>#NAME?</v>
      </c>
      <c r="AB50" t="s">
        <v>2875</v>
      </c>
      <c r="AC50" s="1113">
        <f ca="1">SUMIF(K50:K51,"&gt;="&amp;AC56,G50:G51)</f>
        <v>0</v>
      </c>
      <c r="AD50" s="1115">
        <f ca="1">SUMIF(K50:K51,"&gt;="&amp;AC56,H50:H51)</f>
        <v>0</v>
      </c>
      <c r="AE50">
        <f ca="1">AC50+AD50</f>
        <v>0</v>
      </c>
      <c r="AJ50">
        <v>0</v>
      </c>
      <c r="AK50">
        <v>0</v>
      </c>
      <c r="AL50" t="e">
        <f t="shared" ref="AL50:AM52" ca="1" si="30">1-AJ50/AJ$52</f>
        <v>#NAME?</v>
      </c>
      <c r="AM50" t="e">
        <f t="shared" ca="1" si="30"/>
        <v>#NAME?</v>
      </c>
      <c r="AN50" t="e">
        <f ca="1">(AL50-AL51)*AM50</f>
        <v>#NAME?</v>
      </c>
    </row>
    <row r="51" spans="2:40">
      <c r="B51" s="544">
        <v>1</v>
      </c>
      <c r="C51" s="1125">
        <f>SUMIF($B$4:$B$15,$B51,C$4:C$15)</f>
        <v>244</v>
      </c>
      <c r="D51" s="621">
        <f>SUMIF($B$4:$B$15,$B51,D$4:D$15)</f>
        <v>167</v>
      </c>
      <c r="F51" t="e">
        <f ca="1"/>
        <v>#NAME?</v>
      </c>
      <c r="G51" s="1075" t="e">
        <f ca="1"/>
        <v>#NAME?</v>
      </c>
      <c r="H51" s="1076" t="e">
        <f ca="1"/>
        <v>#NAME?</v>
      </c>
      <c r="I51" s="132" t="e">
        <f ca="1">G51+H51</f>
        <v>#NAME?</v>
      </c>
      <c r="J51" t="e">
        <f ca="1">G51/I51</f>
        <v>#NAME?</v>
      </c>
      <c r="K51" t="e">
        <f ca="1">1/(1+EXP(-$R$51-$R$52*F51))</f>
        <v>#NAME?</v>
      </c>
      <c r="L51" s="625" t="e">
        <f ca="1">I51*K51</f>
        <v>#NAME?</v>
      </c>
      <c r="M51" s="132" t="e">
        <f ca="1">I51-L51</f>
        <v>#NAME?</v>
      </c>
      <c r="N51" t="e">
        <f ca="1">I51*(J51*LN(K51)+(1-J51)*LN(1-K51))</f>
        <v>#NAME?</v>
      </c>
      <c r="O51" t="e">
        <f ca="1">100*IF(K51&gt;=$AC$56,G51/I51,H51/I51)</f>
        <v>#NAME?</v>
      </c>
      <c r="P51" t="e">
        <f ca="1">(G51-L51)^2/L51+(H51-M51)^2/M51</f>
        <v>#NAME?</v>
      </c>
      <c r="R51" s="1118" t="e">
        <f t="array" aca="1" ref="R51:R52" ca="1">[1]!LogitCoeff(F50:H51,,,,,20)</f>
        <v>#NAME?</v>
      </c>
      <c r="W51" s="1075" t="e">
        <f ca="1"/>
        <v>#NAME?</v>
      </c>
      <c r="X51" s="1077" t="e">
        <f ca="1"/>
        <v>#NAME?</v>
      </c>
      <c r="Z51" s="1073" t="e">
        <f ca="1"/>
        <v>#NAME?</v>
      </c>
      <c r="AB51" t="s">
        <v>2876</v>
      </c>
      <c r="AC51" s="1075" t="e">
        <f ca="1">AC52-AC50</f>
        <v>#NAME?</v>
      </c>
      <c r="AD51" s="1077" t="e">
        <f ca="1">AD52-AD50</f>
        <v>#NAME?</v>
      </c>
      <c r="AE51" t="e">
        <f ca="1">AC51+AD51</f>
        <v>#NAME?</v>
      </c>
      <c r="AG51" t="e">
        <f t="array" aca="1" ref="AG51:AI52" ca="1">[1]!SelectCols(G50:K51,"5,2,1",1)</f>
        <v>#NAME?</v>
      </c>
      <c r="AH51" t="e">
        <f ca="1"/>
        <v>#NAME?</v>
      </c>
      <c r="AI51" t="e">
        <f ca="1"/>
        <v>#NAME?</v>
      </c>
      <c r="AJ51" t="e">
        <f ca="1">AJ50+AH51</f>
        <v>#NAME?</v>
      </c>
      <c r="AK51" t="e">
        <f ca="1">AK50+AI51</f>
        <v>#NAME?</v>
      </c>
      <c r="AL51" t="e">
        <f t="shared" ca="1" si="30"/>
        <v>#NAME?</v>
      </c>
      <c r="AM51" t="e">
        <f t="shared" ca="1" si="30"/>
        <v>#NAME?</v>
      </c>
      <c r="AN51" t="e">
        <f ca="1">(AL51-AL52)*AM51</f>
        <v>#NAME?</v>
      </c>
    </row>
    <row r="52" spans="2:40">
      <c r="C52">
        <f>SUM(C50:C51)</f>
        <v>522</v>
      </c>
      <c r="D52">
        <f>SUM(D50:D51)</f>
        <v>338</v>
      </c>
      <c r="F52" s="5"/>
      <c r="G52" s="5" t="e">
        <f ca="1">SUM(G50:G51)</f>
        <v>#NAME?</v>
      </c>
      <c r="H52" s="5" t="e">
        <f ca="1">SUM(H50:H51)</f>
        <v>#NAME?</v>
      </c>
      <c r="I52" s="1117" t="e">
        <f ca="1">SUM(I50:I51)</f>
        <v>#NAME?</v>
      </c>
      <c r="J52" s="1117"/>
      <c r="K52" s="1117"/>
      <c r="L52" s="5" t="e">
        <f ca="1">SUM(L50:L51)</f>
        <v>#NAME?</v>
      </c>
      <c r="M52" s="5" t="e">
        <f ca="1">SUM(M50:M51)</f>
        <v>#NAME?</v>
      </c>
      <c r="N52" s="1117" t="e">
        <f ca="1">SUM(N50:N51)</f>
        <v>#NAME?</v>
      </c>
      <c r="O52" s="1117" t="e">
        <f ca="1">SUMPRODUCT(O50:O51,I50:I51)/I52</f>
        <v>#NAME?</v>
      </c>
      <c r="P52" s="1117" t="e">
        <f ca="1">SUM(P50:P51)</f>
        <v>#NAME?</v>
      </c>
      <c r="R52" s="1073" t="e">
        <f ca="1"/>
        <v>#NAME?</v>
      </c>
      <c r="T52" t="s">
        <v>2099</v>
      </c>
      <c r="U52" s="1118" t="e">
        <f ca="1">2*(U50-U49)</f>
        <v>#NAME?</v>
      </c>
      <c r="AC52" t="e">
        <f ca="1">G52</f>
        <v>#NAME?</v>
      </c>
      <c r="AD52" t="e">
        <f ca="1">H52</f>
        <v>#NAME?</v>
      </c>
      <c r="AE52" t="e">
        <f ca="1">AC52+AD52</f>
        <v>#NAME?</v>
      </c>
      <c r="AG52" s="1078" t="e">
        <f ca="1"/>
        <v>#NAME?</v>
      </c>
      <c r="AH52" s="1078" t="e">
        <f ca="1"/>
        <v>#NAME?</v>
      </c>
      <c r="AI52" s="1078" t="e">
        <f ca="1"/>
        <v>#NAME?</v>
      </c>
      <c r="AJ52" s="1078" t="e">
        <f ca="1">AJ51+AH52</f>
        <v>#NAME?</v>
      </c>
      <c r="AK52" s="1078" t="e">
        <f ca="1">AK51+AI52</f>
        <v>#NAME?</v>
      </c>
      <c r="AL52" s="1078" t="e">
        <f t="shared" ca="1" si="30"/>
        <v>#NAME?</v>
      </c>
      <c r="AM52" s="1078" t="e">
        <f t="shared" ca="1" si="30"/>
        <v>#NAME?</v>
      </c>
      <c r="AN52" s="1078" t="e">
        <f ca="1">(AL52-AL53)*AM52</f>
        <v>#NAME?</v>
      </c>
    </row>
    <row r="53" spans="2:40" ht="15" thickBot="1">
      <c r="T53" t="s">
        <v>186</v>
      </c>
      <c r="U53" s="946">
        <f ca="1">COUNT(F50)</f>
        <v>0</v>
      </c>
      <c r="AN53" t="e">
        <f ca="1">SUM(AN50:AN52)</f>
        <v>#NAME?</v>
      </c>
    </row>
    <row r="54" spans="2:40" ht="15" thickTop="1">
      <c r="F54" s="1070"/>
      <c r="G54" s="1070" t="s">
        <v>2603</v>
      </c>
      <c r="H54" s="1070" t="s">
        <v>826</v>
      </c>
      <c r="I54" s="1070" t="s">
        <v>2604</v>
      </c>
      <c r="J54" s="1070" t="s">
        <v>200</v>
      </c>
      <c r="K54" s="1070" t="s">
        <v>2605</v>
      </c>
      <c r="L54" s="1070" t="s">
        <v>103</v>
      </c>
      <c r="M54" s="1070" t="s">
        <v>104</v>
      </c>
      <c r="T54" t="s">
        <v>200</v>
      </c>
      <c r="U54" s="946" t="e">
        <f ca="1">CHIDIST(U52,U53)</f>
        <v>#NAME?</v>
      </c>
      <c r="AB54" t="s">
        <v>2919</v>
      </c>
      <c r="AC54" s="1119" t="e">
        <f ca="1">AC50/AC52</f>
        <v>#NAME?</v>
      </c>
      <c r="AD54" s="1120" t="e">
        <f ca="1">AD51/AD52</f>
        <v>#NAME?</v>
      </c>
      <c r="AE54" t="e">
        <f ca="1">(AC50+AD51)/AE52</f>
        <v>#NAME?</v>
      </c>
    </row>
    <row r="55" spans="2:40">
      <c r="F55" t="s">
        <v>697</v>
      </c>
      <c r="G55" t="e">
        <f t="array" ref="G55:G56" ca="1">R51:R52</f>
        <v>#NAME?</v>
      </c>
      <c r="H55" t="e">
        <f t="array" aca="1" ref="H55:H56" ca="1">SQRT([1]!DIAG(W50:X51))</f>
        <v>#NAME?</v>
      </c>
      <c r="I55" t="e">
        <f ca="1">(G55/H55)^2</f>
        <v>#NAME?</v>
      </c>
      <c r="J55" t="e">
        <f ca="1">CHIDIST(I55,1)</f>
        <v>#NAME?</v>
      </c>
      <c r="K55" t="e">
        <f ca="1">EXP(G55)</f>
        <v>#NAME?</v>
      </c>
      <c r="T55" t="s">
        <v>337</v>
      </c>
      <c r="U55" s="946">
        <v>0.05</v>
      </c>
    </row>
    <row r="56" spans="2:40">
      <c r="F56" s="1078" t="e">
        <f t="array" aca="1" ref="F56" ca="1">TRANSPOSE(F49)</f>
        <v>#NAME?</v>
      </c>
      <c r="G56" s="1078" t="e">
        <f ca="1"/>
        <v>#NAME?</v>
      </c>
      <c r="H56" s="1078" t="e">
        <f ca="1"/>
        <v>#NAME?</v>
      </c>
      <c r="I56" s="1078" t="e">
        <f ca="1">(G56/H56)^2</f>
        <v>#NAME?</v>
      </c>
      <c r="J56" s="1078" t="e">
        <f ca="1">CHIDIST(I56,1)</f>
        <v>#NAME?</v>
      </c>
      <c r="K56" s="1078" t="e">
        <f ca="1">EXP(G56)</f>
        <v>#NAME?</v>
      </c>
      <c r="L56" s="1078" t="e">
        <f ca="1">EXP(G56-H56*NORMSINV(1-$U$55/2))</f>
        <v>#NAME?</v>
      </c>
      <c r="M56" s="1078" t="e">
        <f ca="1">EXP(G56+H56*NORMSINV(1-$U$55/2))</f>
        <v>#NAME?</v>
      </c>
      <c r="T56" t="s">
        <v>948</v>
      </c>
      <c r="U56" s="1074" t="e">
        <f ca="1">IF(U54&lt;U55,"yes","no")</f>
        <v>#NAME?</v>
      </c>
      <c r="W56" t="s">
        <v>2889</v>
      </c>
      <c r="AB56" t="s">
        <v>2880</v>
      </c>
      <c r="AC56" s="1121">
        <v>0.5</v>
      </c>
    </row>
    <row r="58" spans="2:40">
      <c r="T58" t="s">
        <v>2096</v>
      </c>
      <c r="U58" s="1118" t="e">
        <f ca="1">1-U50/U49</f>
        <v>#NAME?</v>
      </c>
      <c r="W58" t="s">
        <v>1981</v>
      </c>
      <c r="X58" s="1118" t="e">
        <f ca="1">U50</f>
        <v>#NAME?</v>
      </c>
    </row>
    <row r="59" spans="2:40">
      <c r="T59" t="s">
        <v>2097</v>
      </c>
      <c r="U59" s="946" t="e">
        <f ca="1">1-EXP((-2/I52)*(U50-U49))</f>
        <v>#NAME?</v>
      </c>
      <c r="W59" t="s">
        <v>2084</v>
      </c>
      <c r="X59" s="1073" t="e">
        <f ca="1">V6</f>
        <v>#NAME?</v>
      </c>
    </row>
    <row r="60" spans="2:40">
      <c r="T60" t="s">
        <v>2098</v>
      </c>
      <c r="U60" s="1073" t="e">
        <f ca="1">U59/(1-EXP(2*U49/I52))</f>
        <v>#NAME?</v>
      </c>
    </row>
    <row r="61" spans="2:40">
      <c r="W61" t="s">
        <v>2099</v>
      </c>
      <c r="X61" s="1118" t="e">
        <f ca="1">2*(X59-X58)</f>
        <v>#NAME?</v>
      </c>
    </row>
    <row r="62" spans="2:40">
      <c r="W62" t="s">
        <v>186</v>
      </c>
      <c r="X62" s="946">
        <f ca="1">V9-U53</f>
        <v>2</v>
      </c>
    </row>
    <row r="63" spans="2:40">
      <c r="W63" t="s">
        <v>200</v>
      </c>
      <c r="X63" s="946" t="e">
        <f ca="1">CHIDIST(X61,X62)</f>
        <v>#NAME?</v>
      </c>
    </row>
    <row r="64" spans="2:40">
      <c r="W64" t="s">
        <v>337</v>
      </c>
      <c r="X64" s="946">
        <v>0.05</v>
      </c>
    </row>
    <row r="65" spans="2:46">
      <c r="W65" t="s">
        <v>948</v>
      </c>
      <c r="X65" s="1074" t="e">
        <f ca="1">IF(X63&lt;X64,"yes","no")</f>
        <v>#NAME?</v>
      </c>
    </row>
    <row r="68" spans="2:46">
      <c r="B68" s="1" t="s">
        <v>837</v>
      </c>
      <c r="H68" t="s">
        <v>1971</v>
      </c>
      <c r="AH68" t="s">
        <v>2877</v>
      </c>
      <c r="AM68" t="s">
        <v>2881</v>
      </c>
    </row>
    <row r="69" spans="2:46" ht="15" thickBot="1"/>
    <row r="70" spans="2:46" ht="15" thickTop="1">
      <c r="B70" s="912" t="s">
        <v>2091</v>
      </c>
      <c r="C70" s="912" t="s">
        <v>2092</v>
      </c>
      <c r="D70" s="19" t="s">
        <v>2624</v>
      </c>
      <c r="E70" s="912" t="s">
        <v>383</v>
      </c>
      <c r="F70" s="912" t="s">
        <v>342</v>
      </c>
      <c r="H70" s="1116" t="str">
        <f>B70</f>
        <v>Temp</v>
      </c>
      <c r="I70" s="1116" t="str">
        <f>C70</f>
        <v>Water</v>
      </c>
      <c r="J70" s="1116" t="str">
        <f>D70</f>
        <v>T x W</v>
      </c>
      <c r="K70" s="1116" t="str">
        <f>E70</f>
        <v>Male</v>
      </c>
      <c r="L70" s="1116" t="str">
        <f>F70</f>
        <v>Female</v>
      </c>
      <c r="M70" s="1116" t="s">
        <v>12</v>
      </c>
      <c r="N70" s="1116" t="s">
        <v>2093</v>
      </c>
      <c r="O70" s="1116" t="s">
        <v>2094</v>
      </c>
      <c r="P70" s="1116" t="s">
        <v>2875</v>
      </c>
      <c r="Q70" s="1116" t="s">
        <v>2876</v>
      </c>
      <c r="R70" s="1116" t="s">
        <v>1982</v>
      </c>
      <c r="S70" s="1116" t="s">
        <v>2601</v>
      </c>
      <c r="T70" s="1116" t="s">
        <v>2801</v>
      </c>
      <c r="V70" t="s">
        <v>2095</v>
      </c>
      <c r="X70" t="s">
        <v>1981</v>
      </c>
      <c r="Y70" s="1118">
        <f>K83*LN(K83/M83)+L83*LN(L83/M83)</f>
        <v>-576.26986120489823</v>
      </c>
      <c r="AA70" t="s">
        <v>2602</v>
      </c>
      <c r="AF70" t="s">
        <v>2887</v>
      </c>
      <c r="AI70" s="1108" t="s">
        <v>2878</v>
      </c>
      <c r="AJ70" s="1108" t="s">
        <v>2879</v>
      </c>
      <c r="AM70" s="1070" t="s">
        <v>2094</v>
      </c>
      <c r="AN70" s="1070" t="s">
        <v>2808</v>
      </c>
      <c r="AO70" s="1070" t="s">
        <v>2807</v>
      </c>
      <c r="AP70" s="1070" t="s">
        <v>2882</v>
      </c>
      <c r="AQ70" s="1070" t="s">
        <v>2883</v>
      </c>
      <c r="AR70" s="1070" t="s">
        <v>2884</v>
      </c>
      <c r="AS70" s="1070" t="s">
        <v>2885</v>
      </c>
      <c r="AT70" s="1070" t="s">
        <v>2886</v>
      </c>
    </row>
    <row r="71" spans="2:46">
      <c r="B71" s="1122">
        <f t="shared" ref="B71:C82" si="31">A4</f>
        <v>20</v>
      </c>
      <c r="C71" s="1127">
        <f t="shared" si="31"/>
        <v>0</v>
      </c>
      <c r="D71" s="5">
        <f>B71*C71</f>
        <v>0</v>
      </c>
      <c r="E71" s="1129">
        <f t="shared" ref="E71:E82" si="32">C4</f>
        <v>21</v>
      </c>
      <c r="F71" s="1124">
        <f t="shared" ref="F71:F82" si="33">D4</f>
        <v>0</v>
      </c>
      <c r="H71">
        <f t="shared" ref="H71:H82" si="34">B71</f>
        <v>20</v>
      </c>
      <c r="I71">
        <f t="shared" ref="I71:I82" si="35">C71</f>
        <v>0</v>
      </c>
      <c r="J71">
        <f t="shared" ref="J71:J82" si="36">D71</f>
        <v>0</v>
      </c>
      <c r="K71" s="625">
        <f t="shared" ref="K71:K82" si="37">E71</f>
        <v>21</v>
      </c>
      <c r="L71" s="8">
        <f t="shared" ref="L71:L82" si="38">F71</f>
        <v>0</v>
      </c>
      <c r="M71" s="132">
        <f>K71+L71</f>
        <v>21</v>
      </c>
      <c r="N71">
        <f>K71/M71</f>
        <v>1</v>
      </c>
      <c r="O71" t="e">
        <f ca="1">1/(1+EXP(-$V$72-MMULT(H71:J71,$V$73:$V$75)))</f>
        <v>#NAME?</v>
      </c>
      <c r="P71" s="1113" t="e">
        <f ca="1">M71*O71</f>
        <v>#NAME?</v>
      </c>
      <c r="Q71" s="1115" t="e">
        <f ca="1">M71-P71</f>
        <v>#NAME?</v>
      </c>
      <c r="R71" t="e">
        <f ca="1">M71*(N71*LN(O71)+(1-N71)*LN(1-O71))</f>
        <v>#NAME?</v>
      </c>
      <c r="S71" t="e">
        <f ca="1">100*IF(O71&gt;=$AI$77,K71/M71,L71/M71)</f>
        <v>#NAME?</v>
      </c>
      <c r="T71" t="e">
        <f ca="1">(K71-P71)^2/P71+(L71-Q71)^2/Q71</f>
        <v>#NAME?</v>
      </c>
      <c r="X71" t="s">
        <v>2084</v>
      </c>
      <c r="Y71" s="1073" t="e">
        <f ca="1">R83</f>
        <v>#NAME?</v>
      </c>
      <c r="AA71" s="1113" t="e">
        <f t="array" aca="1" ref="AA71:AD74" ca="1">MINVERSE(MMULT(TRANSPOSE([1]!DESIGN(H71:J82)),O71:O82*(1-O71:O82)*M71:M82*[1]!DESIGN(H71:J82)))</f>
        <v>#NAME?</v>
      </c>
      <c r="AB71" s="1114" t="e">
        <f ca="1"/>
        <v>#NAME?</v>
      </c>
      <c r="AC71" s="1114" t="e">
        <f ca="1"/>
        <v>#NAME?</v>
      </c>
      <c r="AD71" s="1115" t="e">
        <f ca="1"/>
        <v>#NAME?</v>
      </c>
      <c r="AF71" s="1118" t="e">
        <f t="array" aca="1" ref="AF71:AF74" ca="1">MMULT(AA71:AD74,MMULT(TRANSPOSE([1]!DESIGN(H71:J82)),M71:M82*(N71:N82-O71:O82)))</f>
        <v>#NAME?</v>
      </c>
      <c r="AH71" t="s">
        <v>2875</v>
      </c>
      <c r="AI71" s="1113">
        <f ca="1">SUMIF(O71:O82,"&gt;="&amp;AI77,K71:K82)</f>
        <v>0</v>
      </c>
      <c r="AJ71" s="1115">
        <f ca="1">SUMIF(O71:O82,"&gt;="&amp;AI77,L71:L82)</f>
        <v>0</v>
      </c>
      <c r="AK71">
        <f ca="1">AI71+AJ71</f>
        <v>0</v>
      </c>
      <c r="AP71">
        <v>0</v>
      </c>
      <c r="AQ71">
        <v>0</v>
      </c>
      <c r="AR71" t="e">
        <f ca="1">1-AP71/AP$83</f>
        <v>#NAME?</v>
      </c>
      <c r="AS71" t="e">
        <f ca="1">1-AQ71/AQ$83</f>
        <v>#NAME?</v>
      </c>
      <c r="AT71" t="e">
        <f ca="1">(AR71-AR72)*AS71</f>
        <v>#NAME?</v>
      </c>
    </row>
    <row r="72" spans="2:46">
      <c r="B72" s="941">
        <f t="shared" si="31"/>
        <v>21</v>
      </c>
      <c r="C72" s="976">
        <f t="shared" si="31"/>
        <v>0</v>
      </c>
      <c r="D72" s="8">
        <f t="shared" ref="D72:D82" si="39">B72*C72</f>
        <v>0</v>
      </c>
      <c r="E72" s="734">
        <f t="shared" si="32"/>
        <v>90</v>
      </c>
      <c r="F72" s="619">
        <f t="shared" si="33"/>
        <v>6</v>
      </c>
      <c r="H72">
        <f t="shared" si="34"/>
        <v>21</v>
      </c>
      <c r="I72">
        <f t="shared" si="35"/>
        <v>0</v>
      </c>
      <c r="J72">
        <f t="shared" si="36"/>
        <v>0</v>
      </c>
      <c r="K72" s="625">
        <f t="shared" si="37"/>
        <v>90</v>
      </c>
      <c r="L72" s="8">
        <f t="shared" si="38"/>
        <v>6</v>
      </c>
      <c r="M72" s="132">
        <f t="shared" ref="M72:M82" si="40">K72+L72</f>
        <v>96</v>
      </c>
      <c r="N72">
        <f t="shared" ref="N72:N82" si="41">K72/M72</f>
        <v>0.9375</v>
      </c>
      <c r="O72" t="e">
        <f t="shared" ref="O72:O82" ca="1" si="42">1/(1+EXP(-$V$72-MMULT(H72:J72,$V$73:$V$75)))</f>
        <v>#NAME?</v>
      </c>
      <c r="P72" s="625" t="e">
        <f t="shared" ref="P72:P82" ca="1" si="43">M72*O72</f>
        <v>#NAME?</v>
      </c>
      <c r="Q72" s="132" t="e">
        <f t="shared" ref="Q72:Q82" ca="1" si="44">M72-P72</f>
        <v>#NAME?</v>
      </c>
      <c r="R72" t="e">
        <f t="shared" ref="R72:R82" ca="1" si="45">M72*(N72*LN(O72)+(1-N72)*LN(1-O72))</f>
        <v>#NAME?</v>
      </c>
      <c r="S72" t="e">
        <f t="shared" ref="S72:S82" ca="1" si="46">100*IF(O72&gt;=$AI$77,K72/M72,L72/M72)</f>
        <v>#NAME?</v>
      </c>
      <c r="T72" t="e">
        <f t="shared" ref="T72:T82" ca="1" si="47">(K72-P72)^2/P72+(L72-Q72)^2/Q72</f>
        <v>#NAME?</v>
      </c>
      <c r="V72" s="1118" t="e">
        <f t="array" aca="1" ref="V72:V75" ca="1">[1]!LogitCoeff(H71:L82,,,,,20)</f>
        <v>#NAME?</v>
      </c>
      <c r="AA72" s="625" t="e">
        <f ca="1"/>
        <v>#NAME?</v>
      </c>
      <c r="AB72" s="8" t="e">
        <f ca="1"/>
        <v>#NAME?</v>
      </c>
      <c r="AC72" s="8" t="e">
        <f ca="1"/>
        <v>#NAME?</v>
      </c>
      <c r="AD72" s="132" t="e">
        <f ca="1"/>
        <v>#NAME?</v>
      </c>
      <c r="AF72" s="946" t="e">
        <f ca="1"/>
        <v>#NAME?</v>
      </c>
      <c r="AH72" t="s">
        <v>2876</v>
      </c>
      <c r="AI72" s="1075">
        <f ca="1">AI73-AI71</f>
        <v>522</v>
      </c>
      <c r="AJ72" s="1077">
        <f ca="1">AJ73-AJ71</f>
        <v>338</v>
      </c>
      <c r="AK72">
        <f ca="1">AI72+AJ72</f>
        <v>860</v>
      </c>
      <c r="AM72" t="e">
        <f t="array" aca="1" ref="AM72:AO83" ca="1">[1]!SelectCols(K71:O82,"5,2,1",1)</f>
        <v>#NAME?</v>
      </c>
      <c r="AN72" t="e">
        <f ca="1"/>
        <v>#NAME?</v>
      </c>
      <c r="AO72" t="e">
        <f ca="1"/>
        <v>#NAME?</v>
      </c>
      <c r="AP72" t="e">
        <f ca="1">AP71+AN72</f>
        <v>#NAME?</v>
      </c>
      <c r="AQ72" t="e">
        <f ca="1">AQ71+AO72</f>
        <v>#NAME?</v>
      </c>
      <c r="AR72" t="e">
        <f t="shared" ref="AR72:AR83" ca="1" si="48">1-AP72/AP$83</f>
        <v>#NAME?</v>
      </c>
      <c r="AS72" t="e">
        <f t="shared" ref="AS72:AS83" ca="1" si="49">1-AQ72/AQ$83</f>
        <v>#NAME?</v>
      </c>
      <c r="AT72" t="e">
        <f t="shared" ref="AT72:AT83" ca="1" si="50">(AR72-AR73)*AS72</f>
        <v>#NAME?</v>
      </c>
    </row>
    <row r="73" spans="2:46">
      <c r="B73" s="941">
        <f t="shared" si="31"/>
        <v>22</v>
      </c>
      <c r="C73" s="976">
        <f t="shared" si="31"/>
        <v>0</v>
      </c>
      <c r="D73" s="8">
        <f t="shared" si="39"/>
        <v>0</v>
      </c>
      <c r="E73" s="734">
        <f t="shared" si="32"/>
        <v>91</v>
      </c>
      <c r="F73" s="619">
        <f t="shared" si="33"/>
        <v>23</v>
      </c>
      <c r="H73">
        <f t="shared" si="34"/>
        <v>22</v>
      </c>
      <c r="I73">
        <f t="shared" si="35"/>
        <v>0</v>
      </c>
      <c r="J73">
        <f t="shared" si="36"/>
        <v>0</v>
      </c>
      <c r="K73" s="625">
        <f t="shared" si="37"/>
        <v>91</v>
      </c>
      <c r="L73" s="8">
        <f t="shared" si="38"/>
        <v>23</v>
      </c>
      <c r="M73" s="132">
        <f t="shared" si="40"/>
        <v>114</v>
      </c>
      <c r="N73">
        <f t="shared" si="41"/>
        <v>0.79824561403508776</v>
      </c>
      <c r="O73" t="e">
        <f t="shared" ca="1" si="42"/>
        <v>#NAME?</v>
      </c>
      <c r="P73" s="625" t="e">
        <f t="shared" ca="1" si="43"/>
        <v>#NAME?</v>
      </c>
      <c r="Q73" s="132" t="e">
        <f t="shared" ca="1" si="44"/>
        <v>#NAME?</v>
      </c>
      <c r="R73" t="e">
        <f t="shared" ca="1" si="45"/>
        <v>#NAME?</v>
      </c>
      <c r="S73" t="e">
        <f t="shared" ca="1" si="46"/>
        <v>#NAME?</v>
      </c>
      <c r="T73" t="e">
        <f t="shared" ca="1" si="47"/>
        <v>#NAME?</v>
      </c>
      <c r="V73" s="946" t="e">
        <f ca="1"/>
        <v>#NAME?</v>
      </c>
      <c r="X73" t="s">
        <v>2099</v>
      </c>
      <c r="Y73" s="1118" t="e">
        <f ca="1">2*(Y71-Y70)</f>
        <v>#NAME?</v>
      </c>
      <c r="AA73" s="625" t="e">
        <f ca="1"/>
        <v>#NAME?</v>
      </c>
      <c r="AB73" s="8" t="e">
        <f ca="1"/>
        <v>#NAME?</v>
      </c>
      <c r="AC73" s="8" t="e">
        <f ca="1"/>
        <v>#NAME?</v>
      </c>
      <c r="AD73" s="132" t="e">
        <f ca="1"/>
        <v>#NAME?</v>
      </c>
      <c r="AF73" s="946" t="e">
        <f ca="1"/>
        <v>#NAME?</v>
      </c>
      <c r="AI73">
        <f>K83</f>
        <v>522</v>
      </c>
      <c r="AJ73">
        <f>L83</f>
        <v>338</v>
      </c>
      <c r="AK73">
        <f>AI73+AJ73</f>
        <v>860</v>
      </c>
      <c r="AM73" t="e">
        <f ca="1"/>
        <v>#NAME?</v>
      </c>
      <c r="AN73" t="e">
        <f ca="1"/>
        <v>#NAME?</v>
      </c>
      <c r="AO73" t="e">
        <f ca="1"/>
        <v>#NAME?</v>
      </c>
      <c r="AP73" t="e">
        <f t="shared" ref="AP73:AP83" ca="1" si="51">AP72+AN73</f>
        <v>#NAME?</v>
      </c>
      <c r="AQ73" t="e">
        <f t="shared" ref="AQ73:AQ83" ca="1" si="52">AQ72+AO73</f>
        <v>#NAME?</v>
      </c>
      <c r="AR73" t="e">
        <f t="shared" ca="1" si="48"/>
        <v>#NAME?</v>
      </c>
      <c r="AS73" t="e">
        <f t="shared" ca="1" si="49"/>
        <v>#NAME?</v>
      </c>
      <c r="AT73" t="e">
        <f t="shared" ca="1" si="50"/>
        <v>#NAME?</v>
      </c>
    </row>
    <row r="74" spans="2:46">
      <c r="B74" s="941">
        <f t="shared" si="31"/>
        <v>23</v>
      </c>
      <c r="C74" s="976">
        <f t="shared" si="31"/>
        <v>0</v>
      </c>
      <c r="D74" s="8">
        <f t="shared" si="39"/>
        <v>0</v>
      </c>
      <c r="E74" s="734">
        <f t="shared" si="32"/>
        <v>61</v>
      </c>
      <c r="F74" s="619">
        <f t="shared" si="33"/>
        <v>73</v>
      </c>
      <c r="H74">
        <f t="shared" si="34"/>
        <v>23</v>
      </c>
      <c r="I74">
        <f t="shared" si="35"/>
        <v>0</v>
      </c>
      <c r="J74">
        <f t="shared" si="36"/>
        <v>0</v>
      </c>
      <c r="K74" s="625">
        <f t="shared" si="37"/>
        <v>61</v>
      </c>
      <c r="L74" s="8">
        <f t="shared" si="38"/>
        <v>73</v>
      </c>
      <c r="M74" s="132">
        <f t="shared" si="40"/>
        <v>134</v>
      </c>
      <c r="N74">
        <f t="shared" si="41"/>
        <v>0.45522388059701491</v>
      </c>
      <c r="O74" t="e">
        <f t="shared" ca="1" si="42"/>
        <v>#NAME?</v>
      </c>
      <c r="P74" s="625" t="e">
        <f t="shared" ca="1" si="43"/>
        <v>#NAME?</v>
      </c>
      <c r="Q74" s="132" t="e">
        <f t="shared" ca="1" si="44"/>
        <v>#NAME?</v>
      </c>
      <c r="R74" t="e">
        <f t="shared" ca="1" si="45"/>
        <v>#NAME?</v>
      </c>
      <c r="S74" t="e">
        <f t="shared" ca="1" si="46"/>
        <v>#NAME?</v>
      </c>
      <c r="T74" t="e">
        <f t="shared" ca="1" si="47"/>
        <v>#NAME?</v>
      </c>
      <c r="V74" s="946" t="e">
        <f ca="1"/>
        <v>#NAME?</v>
      </c>
      <c r="X74" t="s">
        <v>186</v>
      </c>
      <c r="Y74" s="946">
        <f>COUNT(H71:J71)</f>
        <v>3</v>
      </c>
      <c r="AA74" s="1075" t="e">
        <f ca="1"/>
        <v>#NAME?</v>
      </c>
      <c r="AB74" s="1076" t="e">
        <f ca="1"/>
        <v>#NAME?</v>
      </c>
      <c r="AC74" s="1076" t="e">
        <f ca="1"/>
        <v>#NAME?</v>
      </c>
      <c r="AD74" s="1077" t="e">
        <f ca="1"/>
        <v>#NAME?</v>
      </c>
      <c r="AF74" s="1073" t="e">
        <f ca="1"/>
        <v>#NAME?</v>
      </c>
      <c r="AM74" t="e">
        <f ca="1"/>
        <v>#NAME?</v>
      </c>
      <c r="AN74" t="e">
        <f ca="1"/>
        <v>#NAME?</v>
      </c>
      <c r="AO74" t="e">
        <f ca="1"/>
        <v>#NAME?</v>
      </c>
      <c r="AP74" t="e">
        <f t="shared" ca="1" si="51"/>
        <v>#NAME?</v>
      </c>
      <c r="AQ74" t="e">
        <f t="shared" ca="1" si="52"/>
        <v>#NAME?</v>
      </c>
      <c r="AR74" t="e">
        <f t="shared" ca="1" si="48"/>
        <v>#NAME?</v>
      </c>
      <c r="AS74" t="e">
        <f t="shared" ca="1" si="49"/>
        <v>#NAME?</v>
      </c>
      <c r="AT74" t="e">
        <f t="shared" ca="1" si="50"/>
        <v>#NAME?</v>
      </c>
    </row>
    <row r="75" spans="2:46">
      <c r="B75" s="941">
        <f t="shared" si="31"/>
        <v>24</v>
      </c>
      <c r="C75" s="976">
        <f t="shared" si="31"/>
        <v>0</v>
      </c>
      <c r="D75" s="8">
        <f t="shared" si="39"/>
        <v>0</v>
      </c>
      <c r="E75" s="734">
        <f t="shared" si="32"/>
        <v>11</v>
      </c>
      <c r="F75" s="619">
        <f t="shared" si="33"/>
        <v>41</v>
      </c>
      <c r="H75">
        <f t="shared" si="34"/>
        <v>24</v>
      </c>
      <c r="I75">
        <f t="shared" si="35"/>
        <v>0</v>
      </c>
      <c r="J75">
        <f t="shared" si="36"/>
        <v>0</v>
      </c>
      <c r="K75" s="625">
        <f t="shared" si="37"/>
        <v>11</v>
      </c>
      <c r="L75" s="8">
        <f t="shared" si="38"/>
        <v>41</v>
      </c>
      <c r="M75" s="132">
        <f t="shared" si="40"/>
        <v>52</v>
      </c>
      <c r="N75">
        <f t="shared" si="41"/>
        <v>0.21153846153846154</v>
      </c>
      <c r="O75" t="e">
        <f t="shared" ca="1" si="42"/>
        <v>#NAME?</v>
      </c>
      <c r="P75" s="625" t="e">
        <f t="shared" ca="1" si="43"/>
        <v>#NAME?</v>
      </c>
      <c r="Q75" s="132" t="e">
        <f t="shared" ca="1" si="44"/>
        <v>#NAME?</v>
      </c>
      <c r="R75" t="e">
        <f t="shared" ca="1" si="45"/>
        <v>#NAME?</v>
      </c>
      <c r="S75" t="e">
        <f t="shared" ca="1" si="46"/>
        <v>#NAME?</v>
      </c>
      <c r="T75" t="e">
        <f t="shared" ca="1" si="47"/>
        <v>#NAME?</v>
      </c>
      <c r="V75" s="1073" t="e">
        <f ca="1"/>
        <v>#NAME?</v>
      </c>
      <c r="X75" t="s">
        <v>200</v>
      </c>
      <c r="Y75" s="946" t="e">
        <f ca="1">CHIDIST(Y73,Y74)</f>
        <v>#NAME?</v>
      </c>
      <c r="AH75" t="s">
        <v>2919</v>
      </c>
      <c r="AI75" s="1119">
        <f ca="1">AI71/AI73</f>
        <v>0</v>
      </c>
      <c r="AJ75" s="1120">
        <f ca="1">AJ72/AJ73</f>
        <v>1</v>
      </c>
      <c r="AK75">
        <f ca="1">(AI71+AJ72)/AK73</f>
        <v>0.39302325581395348</v>
      </c>
      <c r="AM75" t="e">
        <f ca="1"/>
        <v>#NAME?</v>
      </c>
      <c r="AN75" t="e">
        <f ca="1"/>
        <v>#NAME?</v>
      </c>
      <c r="AO75" t="e">
        <f ca="1"/>
        <v>#NAME?</v>
      </c>
      <c r="AP75" t="e">
        <f t="shared" ca="1" si="51"/>
        <v>#NAME?</v>
      </c>
      <c r="AQ75" t="e">
        <f t="shared" ca="1" si="52"/>
        <v>#NAME?</v>
      </c>
      <c r="AR75" t="e">
        <f t="shared" ca="1" si="48"/>
        <v>#NAME?</v>
      </c>
      <c r="AS75" t="e">
        <f t="shared" ca="1" si="49"/>
        <v>#NAME?</v>
      </c>
      <c r="AT75" t="e">
        <f t="shared" ca="1" si="50"/>
        <v>#NAME?</v>
      </c>
    </row>
    <row r="76" spans="2:46">
      <c r="B76" s="941">
        <f t="shared" si="31"/>
        <v>25</v>
      </c>
      <c r="C76" s="976">
        <f t="shared" si="31"/>
        <v>0</v>
      </c>
      <c r="D76" s="8">
        <f t="shared" si="39"/>
        <v>0</v>
      </c>
      <c r="E76" s="734">
        <f t="shared" si="32"/>
        <v>4</v>
      </c>
      <c r="F76" s="619">
        <f t="shared" si="33"/>
        <v>28</v>
      </c>
      <c r="H76">
        <f t="shared" si="34"/>
        <v>25</v>
      </c>
      <c r="I76">
        <f t="shared" si="35"/>
        <v>0</v>
      </c>
      <c r="J76">
        <f t="shared" si="36"/>
        <v>0</v>
      </c>
      <c r="K76" s="625">
        <f t="shared" si="37"/>
        <v>4</v>
      </c>
      <c r="L76" s="8">
        <f t="shared" si="38"/>
        <v>28</v>
      </c>
      <c r="M76" s="132">
        <f t="shared" si="40"/>
        <v>32</v>
      </c>
      <c r="N76">
        <f t="shared" si="41"/>
        <v>0.125</v>
      </c>
      <c r="O76" t="e">
        <f t="shared" ca="1" si="42"/>
        <v>#NAME?</v>
      </c>
      <c r="P76" s="625" t="e">
        <f t="shared" ca="1" si="43"/>
        <v>#NAME?</v>
      </c>
      <c r="Q76" s="132" t="e">
        <f t="shared" ca="1" si="44"/>
        <v>#NAME?</v>
      </c>
      <c r="R76" t="e">
        <f t="shared" ca="1" si="45"/>
        <v>#NAME?</v>
      </c>
      <c r="S76" t="e">
        <f t="shared" ca="1" si="46"/>
        <v>#NAME?</v>
      </c>
      <c r="T76" t="e">
        <f t="shared" ca="1" si="47"/>
        <v>#NAME?</v>
      </c>
      <c r="X76" t="s">
        <v>337</v>
      </c>
      <c r="Y76" s="946">
        <v>0.05</v>
      </c>
      <c r="AM76" t="e">
        <f ca="1"/>
        <v>#NAME?</v>
      </c>
      <c r="AN76" t="e">
        <f ca="1"/>
        <v>#NAME?</v>
      </c>
      <c r="AO76" t="e">
        <f ca="1"/>
        <v>#NAME?</v>
      </c>
      <c r="AP76" t="e">
        <f t="shared" ca="1" si="51"/>
        <v>#NAME?</v>
      </c>
      <c r="AQ76" t="e">
        <f t="shared" ca="1" si="52"/>
        <v>#NAME?</v>
      </c>
      <c r="AR76" t="e">
        <f t="shared" ca="1" si="48"/>
        <v>#NAME?</v>
      </c>
      <c r="AS76" t="e">
        <f t="shared" ca="1" si="49"/>
        <v>#NAME?</v>
      </c>
      <c r="AT76" t="e">
        <f t="shared" ca="1" si="50"/>
        <v>#NAME?</v>
      </c>
    </row>
    <row r="77" spans="2:46">
      <c r="B77" s="941">
        <f t="shared" si="31"/>
        <v>20</v>
      </c>
      <c r="C77" s="976">
        <f t="shared" si="31"/>
        <v>1</v>
      </c>
      <c r="D77" s="8">
        <f t="shared" si="39"/>
        <v>20</v>
      </c>
      <c r="E77" s="734">
        <f t="shared" si="32"/>
        <v>18</v>
      </c>
      <c r="F77" s="619">
        <f t="shared" si="33"/>
        <v>4</v>
      </c>
      <c r="H77">
        <f t="shared" si="34"/>
        <v>20</v>
      </c>
      <c r="I77">
        <f t="shared" si="35"/>
        <v>1</v>
      </c>
      <c r="J77">
        <f t="shared" si="36"/>
        <v>20</v>
      </c>
      <c r="K77" s="625">
        <f t="shared" si="37"/>
        <v>18</v>
      </c>
      <c r="L77" s="8">
        <f t="shared" si="38"/>
        <v>4</v>
      </c>
      <c r="M77" s="132">
        <f t="shared" si="40"/>
        <v>22</v>
      </c>
      <c r="N77">
        <f t="shared" si="41"/>
        <v>0.81818181818181823</v>
      </c>
      <c r="O77" t="e">
        <f t="shared" ca="1" si="42"/>
        <v>#NAME?</v>
      </c>
      <c r="P77" s="625" t="e">
        <f t="shared" ca="1" si="43"/>
        <v>#NAME?</v>
      </c>
      <c r="Q77" s="132" t="e">
        <f t="shared" ca="1" si="44"/>
        <v>#NAME?</v>
      </c>
      <c r="R77" t="e">
        <f t="shared" ca="1" si="45"/>
        <v>#NAME?</v>
      </c>
      <c r="S77" t="e">
        <f t="shared" ca="1" si="46"/>
        <v>#NAME?</v>
      </c>
      <c r="T77" t="e">
        <f t="shared" ca="1" si="47"/>
        <v>#NAME?</v>
      </c>
      <c r="X77" t="s">
        <v>948</v>
      </c>
      <c r="Y77" s="1074" t="e">
        <f ca="1">IF(Y75&lt;Y76,"yes","no")</f>
        <v>#NAME?</v>
      </c>
      <c r="AA77" t="s">
        <v>2889</v>
      </c>
      <c r="AD77" t="s">
        <v>2890</v>
      </c>
      <c r="AH77" t="s">
        <v>2880</v>
      </c>
      <c r="AI77" s="1121">
        <v>0.5</v>
      </c>
      <c r="AM77" t="e">
        <f ca="1"/>
        <v>#NAME?</v>
      </c>
      <c r="AN77" t="e">
        <f ca="1"/>
        <v>#NAME?</v>
      </c>
      <c r="AO77" t="e">
        <f ca="1"/>
        <v>#NAME?</v>
      </c>
      <c r="AP77" t="e">
        <f t="shared" ca="1" si="51"/>
        <v>#NAME?</v>
      </c>
      <c r="AQ77" t="e">
        <f t="shared" ca="1" si="52"/>
        <v>#NAME?</v>
      </c>
      <c r="AR77" t="e">
        <f t="shared" ca="1" si="48"/>
        <v>#NAME?</v>
      </c>
      <c r="AS77" t="e">
        <f t="shared" ca="1" si="49"/>
        <v>#NAME?</v>
      </c>
      <c r="AT77" t="e">
        <f t="shared" ca="1" si="50"/>
        <v>#NAME?</v>
      </c>
    </row>
    <row r="78" spans="2:46">
      <c r="B78" s="941">
        <f t="shared" si="31"/>
        <v>21</v>
      </c>
      <c r="C78" s="976">
        <f t="shared" si="31"/>
        <v>1</v>
      </c>
      <c r="D78" s="8">
        <f t="shared" si="39"/>
        <v>21</v>
      </c>
      <c r="E78" s="734">
        <f t="shared" si="32"/>
        <v>75</v>
      </c>
      <c r="F78" s="619">
        <f t="shared" si="33"/>
        <v>9</v>
      </c>
      <c r="H78">
        <f t="shared" si="34"/>
        <v>21</v>
      </c>
      <c r="I78">
        <f t="shared" si="35"/>
        <v>1</v>
      </c>
      <c r="J78">
        <f t="shared" si="36"/>
        <v>21</v>
      </c>
      <c r="K78" s="625">
        <f t="shared" si="37"/>
        <v>75</v>
      </c>
      <c r="L78" s="8">
        <f t="shared" si="38"/>
        <v>9</v>
      </c>
      <c r="M78" s="132">
        <f t="shared" si="40"/>
        <v>84</v>
      </c>
      <c r="N78">
        <f t="shared" si="41"/>
        <v>0.8928571428571429</v>
      </c>
      <c r="O78" t="e">
        <f t="shared" ca="1" si="42"/>
        <v>#NAME?</v>
      </c>
      <c r="P78" s="625" t="e">
        <f t="shared" ca="1" si="43"/>
        <v>#NAME?</v>
      </c>
      <c r="Q78" s="132" t="e">
        <f t="shared" ca="1" si="44"/>
        <v>#NAME?</v>
      </c>
      <c r="R78" t="e">
        <f t="shared" ca="1" si="45"/>
        <v>#NAME?</v>
      </c>
      <c r="S78" t="e">
        <f t="shared" ca="1" si="46"/>
        <v>#NAME?</v>
      </c>
      <c r="T78" t="e">
        <f t="shared" ca="1" si="47"/>
        <v>#NAME?</v>
      </c>
      <c r="AM78" t="e">
        <f ca="1"/>
        <v>#NAME?</v>
      </c>
      <c r="AN78" t="e">
        <f ca="1"/>
        <v>#NAME?</v>
      </c>
      <c r="AO78" t="e">
        <f ca="1"/>
        <v>#NAME?</v>
      </c>
      <c r="AP78" t="e">
        <f t="shared" ca="1" si="51"/>
        <v>#NAME?</v>
      </c>
      <c r="AQ78" t="e">
        <f t="shared" ca="1" si="52"/>
        <v>#NAME?</v>
      </c>
      <c r="AR78" t="e">
        <f t="shared" ca="1" si="48"/>
        <v>#NAME?</v>
      </c>
      <c r="AS78" t="e">
        <f t="shared" ca="1" si="49"/>
        <v>#NAME?</v>
      </c>
      <c r="AT78" t="e">
        <f t="shared" ca="1" si="50"/>
        <v>#NAME?</v>
      </c>
    </row>
    <row r="79" spans="2:46">
      <c r="B79" s="941">
        <f t="shared" si="31"/>
        <v>22</v>
      </c>
      <c r="C79" s="976">
        <f t="shared" si="31"/>
        <v>1</v>
      </c>
      <c r="D79" s="8">
        <f t="shared" si="39"/>
        <v>22</v>
      </c>
      <c r="E79" s="734">
        <f t="shared" si="32"/>
        <v>68</v>
      </c>
      <c r="F79" s="619">
        <f t="shared" si="33"/>
        <v>21</v>
      </c>
      <c r="H79">
        <f t="shared" si="34"/>
        <v>22</v>
      </c>
      <c r="I79">
        <f t="shared" si="35"/>
        <v>1</v>
      </c>
      <c r="J79">
        <f t="shared" si="36"/>
        <v>22</v>
      </c>
      <c r="K79" s="625">
        <f t="shared" si="37"/>
        <v>68</v>
      </c>
      <c r="L79" s="8">
        <f t="shared" si="38"/>
        <v>21</v>
      </c>
      <c r="M79" s="132">
        <f t="shared" si="40"/>
        <v>89</v>
      </c>
      <c r="N79">
        <f t="shared" si="41"/>
        <v>0.7640449438202247</v>
      </c>
      <c r="O79" t="e">
        <f t="shared" ca="1" si="42"/>
        <v>#NAME?</v>
      </c>
      <c r="P79" s="625" t="e">
        <f t="shared" ca="1" si="43"/>
        <v>#NAME?</v>
      </c>
      <c r="Q79" s="132" t="e">
        <f t="shared" ca="1" si="44"/>
        <v>#NAME?</v>
      </c>
      <c r="R79" t="e">
        <f t="shared" ca="1" si="45"/>
        <v>#NAME?</v>
      </c>
      <c r="S79" t="e">
        <f t="shared" ca="1" si="46"/>
        <v>#NAME?</v>
      </c>
      <c r="T79" t="e">
        <f t="shared" ca="1" si="47"/>
        <v>#NAME?</v>
      </c>
      <c r="X79" t="s">
        <v>2096</v>
      </c>
      <c r="Y79" s="1118" t="e">
        <f ca="1">1-Y71/Y70</f>
        <v>#NAME?</v>
      </c>
      <c r="AA79" t="s">
        <v>1981</v>
      </c>
      <c r="AB79" s="1118" t="e">
        <f ca="1">V6</f>
        <v>#NAME?</v>
      </c>
      <c r="AD79" t="s">
        <v>1981</v>
      </c>
      <c r="AE79" s="1118" t="e">
        <f ca="1">U29</f>
        <v>#NAME?</v>
      </c>
      <c r="AM79" t="e">
        <f ca="1"/>
        <v>#NAME?</v>
      </c>
      <c r="AN79" t="e">
        <f ca="1"/>
        <v>#NAME?</v>
      </c>
      <c r="AO79" t="e">
        <f ca="1"/>
        <v>#NAME?</v>
      </c>
      <c r="AP79" t="e">
        <f t="shared" ca="1" si="51"/>
        <v>#NAME?</v>
      </c>
      <c r="AQ79" t="e">
        <f t="shared" ca="1" si="52"/>
        <v>#NAME?</v>
      </c>
      <c r="AR79" t="e">
        <f t="shared" ca="1" si="48"/>
        <v>#NAME?</v>
      </c>
      <c r="AS79" t="e">
        <f t="shared" ca="1" si="49"/>
        <v>#NAME?</v>
      </c>
      <c r="AT79" t="e">
        <f t="shared" ca="1" si="50"/>
        <v>#NAME?</v>
      </c>
    </row>
    <row r="80" spans="2:46">
      <c r="B80" s="941">
        <f t="shared" si="31"/>
        <v>23</v>
      </c>
      <c r="C80" s="976">
        <f t="shared" si="31"/>
        <v>1</v>
      </c>
      <c r="D80" s="8">
        <f t="shared" si="39"/>
        <v>23</v>
      </c>
      <c r="E80" s="734">
        <f t="shared" si="32"/>
        <v>59</v>
      </c>
      <c r="F80" s="619">
        <f t="shared" si="33"/>
        <v>65</v>
      </c>
      <c r="H80">
        <f t="shared" si="34"/>
        <v>23</v>
      </c>
      <c r="I80">
        <f t="shared" si="35"/>
        <v>1</v>
      </c>
      <c r="J80">
        <f t="shared" si="36"/>
        <v>23</v>
      </c>
      <c r="K80" s="625">
        <f t="shared" si="37"/>
        <v>59</v>
      </c>
      <c r="L80" s="8">
        <f t="shared" si="38"/>
        <v>65</v>
      </c>
      <c r="M80" s="132">
        <f t="shared" si="40"/>
        <v>124</v>
      </c>
      <c r="N80">
        <f t="shared" si="41"/>
        <v>0.47580645161290325</v>
      </c>
      <c r="O80" t="e">
        <f t="shared" ca="1" si="42"/>
        <v>#NAME?</v>
      </c>
      <c r="P80" s="625" t="e">
        <f t="shared" ca="1" si="43"/>
        <v>#NAME?</v>
      </c>
      <c r="Q80" s="132" t="e">
        <f t="shared" ca="1" si="44"/>
        <v>#NAME?</v>
      </c>
      <c r="R80" t="e">
        <f t="shared" ca="1" si="45"/>
        <v>#NAME?</v>
      </c>
      <c r="S80" t="e">
        <f t="shared" ca="1" si="46"/>
        <v>#NAME?</v>
      </c>
      <c r="T80" t="e">
        <f t="shared" ca="1" si="47"/>
        <v>#NAME?</v>
      </c>
      <c r="X80" t="s">
        <v>2097</v>
      </c>
      <c r="Y80" s="946" t="e">
        <f ca="1">1-EXP((-2/M83)*(Y71-Y70))</f>
        <v>#NAME?</v>
      </c>
      <c r="AA80" t="s">
        <v>2084</v>
      </c>
      <c r="AB80" s="1073" t="e">
        <f ca="1">Y71</f>
        <v>#NAME?</v>
      </c>
      <c r="AD80" t="s">
        <v>2084</v>
      </c>
      <c r="AE80" s="1073" t="e">
        <f ca="1">Y71</f>
        <v>#NAME?</v>
      </c>
      <c r="AM80" t="e">
        <f ca="1"/>
        <v>#NAME?</v>
      </c>
      <c r="AN80" t="e">
        <f ca="1"/>
        <v>#NAME?</v>
      </c>
      <c r="AO80" t="e">
        <f ca="1"/>
        <v>#NAME?</v>
      </c>
      <c r="AP80" t="e">
        <f t="shared" ca="1" si="51"/>
        <v>#NAME?</v>
      </c>
      <c r="AQ80" t="e">
        <f t="shared" ca="1" si="52"/>
        <v>#NAME?</v>
      </c>
      <c r="AR80" t="e">
        <f t="shared" ca="1" si="48"/>
        <v>#NAME?</v>
      </c>
      <c r="AS80" t="e">
        <f t="shared" ca="1" si="49"/>
        <v>#NAME?</v>
      </c>
      <c r="AT80" t="e">
        <f t="shared" ca="1" si="50"/>
        <v>#NAME?</v>
      </c>
    </row>
    <row r="81" spans="2:46">
      <c r="B81" s="941">
        <f t="shared" si="31"/>
        <v>24</v>
      </c>
      <c r="C81" s="976">
        <f t="shared" si="31"/>
        <v>1</v>
      </c>
      <c r="D81" s="8">
        <f t="shared" si="39"/>
        <v>24</v>
      </c>
      <c r="E81" s="734">
        <f t="shared" si="32"/>
        <v>17</v>
      </c>
      <c r="F81" s="619">
        <f t="shared" si="33"/>
        <v>46</v>
      </c>
      <c r="H81">
        <f t="shared" si="34"/>
        <v>24</v>
      </c>
      <c r="I81">
        <f t="shared" si="35"/>
        <v>1</v>
      </c>
      <c r="J81">
        <f t="shared" si="36"/>
        <v>24</v>
      </c>
      <c r="K81" s="625">
        <f t="shared" si="37"/>
        <v>17</v>
      </c>
      <c r="L81" s="8">
        <f t="shared" si="38"/>
        <v>46</v>
      </c>
      <c r="M81" s="132">
        <f t="shared" si="40"/>
        <v>63</v>
      </c>
      <c r="N81">
        <f t="shared" si="41"/>
        <v>0.26984126984126983</v>
      </c>
      <c r="O81" t="e">
        <f t="shared" ca="1" si="42"/>
        <v>#NAME?</v>
      </c>
      <c r="P81" s="625" t="e">
        <f t="shared" ca="1" si="43"/>
        <v>#NAME?</v>
      </c>
      <c r="Q81" s="132" t="e">
        <f t="shared" ca="1" si="44"/>
        <v>#NAME?</v>
      </c>
      <c r="R81" t="e">
        <f t="shared" ca="1" si="45"/>
        <v>#NAME?</v>
      </c>
      <c r="S81" t="e">
        <f t="shared" ca="1" si="46"/>
        <v>#NAME?</v>
      </c>
      <c r="T81" t="e">
        <f t="shared" ca="1" si="47"/>
        <v>#NAME?</v>
      </c>
      <c r="X81" t="s">
        <v>2098</v>
      </c>
      <c r="Y81" s="1073" t="e">
        <f ca="1">Y80/(1-EXP(2*Y70/M83))</f>
        <v>#NAME?</v>
      </c>
      <c r="AM81" t="e">
        <f ca="1"/>
        <v>#NAME?</v>
      </c>
      <c r="AN81" t="e">
        <f ca="1"/>
        <v>#NAME?</v>
      </c>
      <c r="AO81" t="e">
        <f ca="1"/>
        <v>#NAME?</v>
      </c>
      <c r="AP81" t="e">
        <f t="shared" ca="1" si="51"/>
        <v>#NAME?</v>
      </c>
      <c r="AQ81" t="e">
        <f t="shared" ca="1" si="52"/>
        <v>#NAME?</v>
      </c>
      <c r="AR81" t="e">
        <f t="shared" ca="1" si="48"/>
        <v>#NAME?</v>
      </c>
      <c r="AS81" t="e">
        <f t="shared" ca="1" si="49"/>
        <v>#NAME?</v>
      </c>
      <c r="AT81" t="e">
        <f t="shared" ca="1" si="50"/>
        <v>#NAME?</v>
      </c>
    </row>
    <row r="82" spans="2:46">
      <c r="B82" s="944">
        <f t="shared" si="31"/>
        <v>25</v>
      </c>
      <c r="C82" s="1128">
        <f t="shared" si="31"/>
        <v>1</v>
      </c>
      <c r="D82" s="1078">
        <f t="shared" si="39"/>
        <v>25</v>
      </c>
      <c r="E82" s="620">
        <f t="shared" si="32"/>
        <v>7</v>
      </c>
      <c r="F82" s="621">
        <f t="shared" si="33"/>
        <v>22</v>
      </c>
      <c r="H82">
        <f t="shared" si="34"/>
        <v>25</v>
      </c>
      <c r="I82">
        <f t="shared" si="35"/>
        <v>1</v>
      </c>
      <c r="J82">
        <f t="shared" si="36"/>
        <v>25</v>
      </c>
      <c r="K82" s="1075">
        <f t="shared" si="37"/>
        <v>7</v>
      </c>
      <c r="L82" s="1076">
        <f t="shared" si="38"/>
        <v>22</v>
      </c>
      <c r="M82" s="132">
        <f t="shared" si="40"/>
        <v>29</v>
      </c>
      <c r="N82">
        <f t="shared" si="41"/>
        <v>0.2413793103448276</v>
      </c>
      <c r="O82" t="e">
        <f t="shared" ca="1" si="42"/>
        <v>#NAME?</v>
      </c>
      <c r="P82" s="625" t="e">
        <f t="shared" ca="1" si="43"/>
        <v>#NAME?</v>
      </c>
      <c r="Q82" s="132" t="e">
        <f t="shared" ca="1" si="44"/>
        <v>#NAME?</v>
      </c>
      <c r="R82" t="e">
        <f t="shared" ca="1" si="45"/>
        <v>#NAME?</v>
      </c>
      <c r="S82" t="e">
        <f t="shared" ca="1" si="46"/>
        <v>#NAME?</v>
      </c>
      <c r="T82" t="e">
        <f t="shared" ca="1" si="47"/>
        <v>#NAME?</v>
      </c>
      <c r="AA82" t="s">
        <v>2099</v>
      </c>
      <c r="AB82" s="1118" t="e">
        <f ca="1">2*(AB80-AB79)</f>
        <v>#NAME?</v>
      </c>
      <c r="AD82" t="s">
        <v>2099</v>
      </c>
      <c r="AE82" s="1118" t="e">
        <f ca="1">2*(AE80-AE79)</f>
        <v>#NAME?</v>
      </c>
      <c r="AM82" t="e">
        <f ca="1"/>
        <v>#NAME?</v>
      </c>
      <c r="AN82" t="e">
        <f ca="1"/>
        <v>#NAME?</v>
      </c>
      <c r="AO82" t="e">
        <f ca="1"/>
        <v>#NAME?</v>
      </c>
      <c r="AP82" t="e">
        <f t="shared" ca="1" si="51"/>
        <v>#NAME?</v>
      </c>
      <c r="AQ82" t="e">
        <f t="shared" ca="1" si="52"/>
        <v>#NAME?</v>
      </c>
      <c r="AR82" t="e">
        <f t="shared" ca="1" si="48"/>
        <v>#NAME?</v>
      </c>
      <c r="AS82" t="e">
        <f t="shared" ca="1" si="49"/>
        <v>#NAME?</v>
      </c>
      <c r="AT82" t="e">
        <f t="shared" ca="1" si="50"/>
        <v>#NAME?</v>
      </c>
    </row>
    <row r="83" spans="2:46">
      <c r="E83" s="172">
        <f>SUM(E71:E82)</f>
        <v>522</v>
      </c>
      <c r="F83" s="172">
        <f>SUM(F71:F82)</f>
        <v>338</v>
      </c>
      <c r="H83" s="5"/>
      <c r="I83" s="5"/>
      <c r="J83" s="5"/>
      <c r="K83" s="5">
        <f>SUM(K71:K82)</f>
        <v>522</v>
      </c>
      <c r="L83" s="5">
        <f>SUM(L71:L82)</f>
        <v>338</v>
      </c>
      <c r="M83" s="1117">
        <f>SUM(M71:M82)</f>
        <v>860</v>
      </c>
      <c r="N83" s="1117"/>
      <c r="O83" s="1117"/>
      <c r="P83" s="5" t="e">
        <f ca="1">SUM(P71:P82)</f>
        <v>#NAME?</v>
      </c>
      <c r="Q83" s="5" t="e">
        <f ca="1">SUM(Q71:Q82)</f>
        <v>#NAME?</v>
      </c>
      <c r="R83" s="1117" t="e">
        <f ca="1">SUM(R71:R82)</f>
        <v>#NAME?</v>
      </c>
      <c r="S83" s="1117" t="e">
        <f ca="1">SUMPRODUCT(S71:S82,M71:M82)/M83</f>
        <v>#NAME?</v>
      </c>
      <c r="T83" s="1117" t="e">
        <f ca="1">SUM(T71:T82)</f>
        <v>#NAME?</v>
      </c>
      <c r="X83" t="s">
        <v>2806</v>
      </c>
      <c r="Y83" s="1118" t="e">
        <f ca="1">T83</f>
        <v>#NAME?</v>
      </c>
      <c r="AA83" t="s">
        <v>186</v>
      </c>
      <c r="AB83" s="946">
        <f>Y74-V9</f>
        <v>1</v>
      </c>
      <c r="AD83" t="s">
        <v>186</v>
      </c>
      <c r="AE83" s="946">
        <f ca="1">Y74-X41</f>
        <v>1</v>
      </c>
      <c r="AM83" s="1078" t="e">
        <f ca="1"/>
        <v>#NAME?</v>
      </c>
      <c r="AN83" s="1078" t="e">
        <f ca="1"/>
        <v>#NAME?</v>
      </c>
      <c r="AO83" s="1078" t="e">
        <f ca="1"/>
        <v>#NAME?</v>
      </c>
      <c r="AP83" s="1078" t="e">
        <f t="shared" ca="1" si="51"/>
        <v>#NAME?</v>
      </c>
      <c r="AQ83" s="1078" t="e">
        <f t="shared" ca="1" si="52"/>
        <v>#NAME?</v>
      </c>
      <c r="AR83" s="1078" t="e">
        <f t="shared" ca="1" si="48"/>
        <v>#NAME?</v>
      </c>
      <c r="AS83" s="1078" t="e">
        <f t="shared" ca="1" si="49"/>
        <v>#NAME?</v>
      </c>
      <c r="AT83" s="1078" t="e">
        <f t="shared" ca="1" si="50"/>
        <v>#NAME?</v>
      </c>
    </row>
    <row r="84" spans="2:46" ht="15" thickBot="1">
      <c r="X84" t="s">
        <v>186</v>
      </c>
      <c r="Y84" s="946">
        <f>COUNT(M71:M82)-2</f>
        <v>10</v>
      </c>
      <c r="AA84" t="s">
        <v>200</v>
      </c>
      <c r="AB84" s="946" t="e">
        <f ca="1">CHIDIST(AB82,AB83)</f>
        <v>#NAME?</v>
      </c>
      <c r="AD84" t="s">
        <v>200</v>
      </c>
      <c r="AE84" s="946" t="e">
        <f ca="1">CHIDIST(AE82,AE83)</f>
        <v>#NAME?</v>
      </c>
      <c r="AT84" t="e">
        <f ca="1">SUM(AT71:AT83)</f>
        <v>#NAME?</v>
      </c>
    </row>
    <row r="85" spans="2:46" ht="15" thickTop="1">
      <c r="H85" s="1070"/>
      <c r="I85" s="1070" t="s">
        <v>2603</v>
      </c>
      <c r="J85" s="1070" t="s">
        <v>826</v>
      </c>
      <c r="K85" s="1070" t="s">
        <v>2604</v>
      </c>
      <c r="L85" s="1070" t="s">
        <v>200</v>
      </c>
      <c r="M85" s="1070" t="s">
        <v>2605</v>
      </c>
      <c r="N85" s="1070" t="s">
        <v>103</v>
      </c>
      <c r="O85" s="1070" t="s">
        <v>104</v>
      </c>
      <c r="X85" t="s">
        <v>200</v>
      </c>
      <c r="Y85" s="946" t="e">
        <f ca="1">CHIDIST(Y83,Y84)</f>
        <v>#NAME?</v>
      </c>
      <c r="AA85" t="s">
        <v>337</v>
      </c>
      <c r="AB85" s="946">
        <v>0.05</v>
      </c>
      <c r="AD85" t="s">
        <v>337</v>
      </c>
      <c r="AE85" s="946">
        <v>0.05</v>
      </c>
    </row>
    <row r="86" spans="2:46">
      <c r="H86" t="s">
        <v>697</v>
      </c>
      <c r="I86" t="e">
        <f t="array" ref="I86:I89" ca="1">V72:V75</f>
        <v>#NAME?</v>
      </c>
      <c r="J86" t="e">
        <f t="array" aca="1" ref="J86:J89" ca="1">SQRT([1]!DIAG(AA71:AD74))</f>
        <v>#NAME?</v>
      </c>
      <c r="K86" t="e">
        <f ca="1">(I86/J86)^2</f>
        <v>#NAME?</v>
      </c>
      <c r="L86" t="e">
        <f ca="1">CHIDIST(K86,1)</f>
        <v>#NAME?</v>
      </c>
      <c r="M86" t="e">
        <f ca="1">EXP(I86)</f>
        <v>#NAME?</v>
      </c>
      <c r="X86" t="s">
        <v>337</v>
      </c>
      <c r="Y86" s="946">
        <f>Y76</f>
        <v>0.05</v>
      </c>
      <c r="AA86" t="s">
        <v>948</v>
      </c>
      <c r="AB86" s="1074" t="e">
        <f ca="1">IF(AB84&lt;AB85,"yes","no")</f>
        <v>#NAME?</v>
      </c>
      <c r="AD86" t="s">
        <v>948</v>
      </c>
      <c r="AE86" s="1074" t="e">
        <f ca="1">IF(AE84&lt;AE85,"yes","no")</f>
        <v>#NAME?</v>
      </c>
    </row>
    <row r="87" spans="2:46">
      <c r="H87" t="str">
        <f t="array" ref="H87:H89">TRANSPOSE(H70:J70)</f>
        <v>Temp</v>
      </c>
      <c r="I87" t="e">
        <f ca="1"/>
        <v>#NAME?</v>
      </c>
      <c r="J87" t="e">
        <f ca="1"/>
        <v>#NAME?</v>
      </c>
      <c r="K87" t="e">
        <f ca="1">(I87/J87)^2</f>
        <v>#NAME?</v>
      </c>
      <c r="L87" t="e">
        <f ca="1">CHIDIST(K87,1)</f>
        <v>#NAME?</v>
      </c>
      <c r="M87" t="e">
        <f ca="1">EXP(I87)</f>
        <v>#NAME?</v>
      </c>
      <c r="N87" t="e">
        <f ca="1">EXP(I87-J87*NORMSINV(1-$Y$76/2))</f>
        <v>#NAME?</v>
      </c>
      <c r="O87" t="e">
        <f ca="1">EXP(I87+J87*NORMSINV(1-$Y$76/2))</f>
        <v>#NAME?</v>
      </c>
      <c r="X87" t="s">
        <v>948</v>
      </c>
      <c r="Y87" s="1074" t="e">
        <f ca="1">IF(Y85&lt;Y86,"yes","no")</f>
        <v>#NAME?</v>
      </c>
    </row>
    <row r="88" spans="2:46">
      <c r="H88" t="str">
        <v>Water</v>
      </c>
      <c r="I88" t="e">
        <f ca="1"/>
        <v>#NAME?</v>
      </c>
      <c r="J88" t="e">
        <f ca="1"/>
        <v>#NAME?</v>
      </c>
      <c r="K88" t="e">
        <f ca="1">(I88/J88)^2</f>
        <v>#NAME?</v>
      </c>
      <c r="L88" t="e">
        <f ca="1">CHIDIST(K88,1)</f>
        <v>#NAME?</v>
      </c>
      <c r="M88" t="e">
        <f ca="1">EXP(I88)</f>
        <v>#NAME?</v>
      </c>
      <c r="N88" t="e">
        <f ca="1">EXP(I88-J88*NORMSINV(1-$Y$76/2))</f>
        <v>#NAME?</v>
      </c>
      <c r="O88" t="e">
        <f ca="1">EXP(I88+J88*NORMSINV(1-$Y$76/2))</f>
        <v>#NAME?</v>
      </c>
    </row>
    <row r="89" spans="2:46">
      <c r="H89" s="1078" t="str">
        <v>T x W</v>
      </c>
      <c r="I89" s="1078" t="e">
        <f ca="1"/>
        <v>#NAME?</v>
      </c>
      <c r="J89" s="1078" t="e">
        <f ca="1"/>
        <v>#NAME?</v>
      </c>
      <c r="K89" s="1078" t="e">
        <f ca="1">(I89/J89)^2</f>
        <v>#NAME?</v>
      </c>
      <c r="L89" s="1078" t="e">
        <f ca="1">CHIDIST(K89,1)</f>
        <v>#NAME?</v>
      </c>
      <c r="M89" s="1078" t="e">
        <f ca="1">EXP(I89)</f>
        <v>#NAME?</v>
      </c>
      <c r="N89" s="1078" t="e">
        <f ca="1">EXP(I89-J89*NORMSINV(1-$Y$76/2))</f>
        <v>#NAME?</v>
      </c>
      <c r="O89" s="1078" t="e">
        <f ca="1">EXP(I89+J89*NORMSINV(1-$Y$76/2))</f>
        <v>#NAME?</v>
      </c>
    </row>
    <row r="92" spans="2:46">
      <c r="B92" t="s">
        <v>2969</v>
      </c>
    </row>
    <row r="94" spans="2:46">
      <c r="B94" t="s">
        <v>2964</v>
      </c>
      <c r="H94" t="s">
        <v>2970</v>
      </c>
      <c r="Q94" t="s">
        <v>1230</v>
      </c>
      <c r="T94" t="s">
        <v>2971</v>
      </c>
    </row>
    <row r="96" spans="2:46">
      <c r="B96" s="912" t="s">
        <v>2091</v>
      </c>
      <c r="C96" s="912" t="s">
        <v>2092</v>
      </c>
      <c r="D96" s="19" t="s">
        <v>2624</v>
      </c>
      <c r="E96" s="19" t="s">
        <v>2094</v>
      </c>
      <c r="H96" t="e">
        <f t="array" aca="1" ref="H96:O100" ca="1">[1]!LogitCoeff(B71:F82,TRUE)</f>
        <v>#NAME?</v>
      </c>
      <c r="I96" t="e">
        <f ca="1"/>
        <v>#NAME?</v>
      </c>
      <c r="J96" t="e">
        <f ca="1"/>
        <v>#NAME?</v>
      </c>
      <c r="K96" t="e">
        <f ca="1"/>
        <v>#NAME?</v>
      </c>
      <c r="L96" t="e">
        <f ca="1"/>
        <v>#NAME?</v>
      </c>
      <c r="M96" t="e">
        <f ca="1"/>
        <v>#NAME?</v>
      </c>
      <c r="N96" t="e">
        <f ca="1"/>
        <v>#NAME?</v>
      </c>
      <c r="O96" t="e">
        <f ca="1"/>
        <v>#NAME?</v>
      </c>
      <c r="Q96" t="e">
        <f t="array" aca="1" ref="Q96:R102" ca="1">[1]!LogitRSquare(B71:F82,TRUE)</f>
        <v>#NAME?</v>
      </c>
      <c r="R96" s="1156" t="e">
        <f ca="1"/>
        <v>#NAME?</v>
      </c>
      <c r="T96" t="e">
        <f t="array" aca="1" ref="T96:U100" ca="1">[1]!LogitTest(B71:F82,TRUE)</f>
        <v>#NAME?</v>
      </c>
      <c r="U96" s="1156" t="e">
        <f ca="1"/>
        <v>#NAME?</v>
      </c>
    </row>
    <row r="97" spans="2:21">
      <c r="B97" s="1067">
        <v>24</v>
      </c>
      <c r="C97" s="1068">
        <v>0</v>
      </c>
      <c r="D97" s="1068">
        <f>B97*C97</f>
        <v>0</v>
      </c>
      <c r="E97" s="1071" t="e">
        <f ca="1">[1]!LogitPred(B97:D97,$B$71:$F$82)</f>
        <v>#NAME?</v>
      </c>
      <c r="H97" t="e">
        <f ca="1"/>
        <v>#NAME?</v>
      </c>
      <c r="I97" s="1067" t="e">
        <f ca="1"/>
        <v>#NAME?</v>
      </c>
      <c r="J97" s="1068" t="e">
        <f ca="1"/>
        <v>#NAME?</v>
      </c>
      <c r="K97" s="1068" t="e">
        <f ca="1"/>
        <v>#NAME?</v>
      </c>
      <c r="L97" s="1068" t="e">
        <f ca="1"/>
        <v>#NAME?</v>
      </c>
      <c r="M97" s="1068" t="e">
        <f ca="1"/>
        <v>#NAME?</v>
      </c>
      <c r="N97" s="1068" t="e">
        <f ca="1"/>
        <v>#NAME?</v>
      </c>
      <c r="O97" s="1071" t="e">
        <f ca="1"/>
        <v>#NAME?</v>
      </c>
      <c r="Q97" t="e">
        <f ca="1"/>
        <v>#NAME?</v>
      </c>
      <c r="R97" s="627" t="e">
        <f ca="1"/>
        <v>#NAME?</v>
      </c>
      <c r="T97" t="e">
        <f ca="1"/>
        <v>#NAME?</v>
      </c>
      <c r="U97" s="627" t="e">
        <f ca="1"/>
        <v>#NAME?</v>
      </c>
    </row>
    <row r="98" spans="2:21">
      <c r="B98" s="656">
        <v>24</v>
      </c>
      <c r="C98" s="8">
        <v>1</v>
      </c>
      <c r="D98" s="8">
        <f>B98*C98</f>
        <v>24</v>
      </c>
      <c r="E98" s="657" t="e">
        <f ca="1">[1]!LogitPred(B98:D98,$B$71:$F$82)</f>
        <v>#NAME?</v>
      </c>
      <c r="H98" t="e">
        <f ca="1"/>
        <v>#NAME?</v>
      </c>
      <c r="I98" s="656" t="e">
        <f ca="1"/>
        <v>#NAME?</v>
      </c>
      <c r="J98" s="8" t="e">
        <f ca="1"/>
        <v>#NAME?</v>
      </c>
      <c r="K98" s="8" t="e">
        <f ca="1"/>
        <v>#NAME?</v>
      </c>
      <c r="L98" s="8" t="e">
        <f ca="1"/>
        <v>#NAME?</v>
      </c>
      <c r="M98" s="8" t="e">
        <f ca="1"/>
        <v>#NAME?</v>
      </c>
      <c r="N98" s="8" t="e">
        <f ca="1"/>
        <v>#NAME?</v>
      </c>
      <c r="O98" s="657" t="e">
        <f ca="1"/>
        <v>#NAME?</v>
      </c>
      <c r="Q98" t="e">
        <f ca="1"/>
        <v>#NAME?</v>
      </c>
      <c r="R98" s="627" t="e">
        <f ca="1"/>
        <v>#NAME?</v>
      </c>
      <c r="T98" t="e">
        <f ca="1"/>
        <v>#NAME?</v>
      </c>
      <c r="U98" s="627" t="e">
        <f ca="1"/>
        <v>#NAME?</v>
      </c>
    </row>
    <row r="99" spans="2:21">
      <c r="B99" s="656">
        <v>24.5</v>
      </c>
      <c r="C99" s="8">
        <v>0</v>
      </c>
      <c r="D99" s="8">
        <f>B99*C99</f>
        <v>0</v>
      </c>
      <c r="E99" s="657" t="e">
        <f ca="1">[1]!LogitPred(B99:D99,$B$71:$F$82)</f>
        <v>#NAME?</v>
      </c>
      <c r="H99" t="e">
        <f ca="1"/>
        <v>#NAME?</v>
      </c>
      <c r="I99" s="656" t="e">
        <f ca="1"/>
        <v>#NAME?</v>
      </c>
      <c r="J99" s="8" t="e">
        <f ca="1"/>
        <v>#NAME?</v>
      </c>
      <c r="K99" s="8" t="e">
        <f ca="1"/>
        <v>#NAME?</v>
      </c>
      <c r="L99" s="8" t="e">
        <f ca="1"/>
        <v>#NAME?</v>
      </c>
      <c r="M99" s="8" t="e">
        <f ca="1"/>
        <v>#NAME?</v>
      </c>
      <c r="N99" s="8" t="e">
        <f ca="1"/>
        <v>#NAME?</v>
      </c>
      <c r="O99" s="657" t="e">
        <f ca="1"/>
        <v>#NAME?</v>
      </c>
      <c r="Q99" t="e">
        <f ca="1"/>
        <v>#NAME?</v>
      </c>
      <c r="R99" s="627" t="e">
        <f ca="1"/>
        <v>#NAME?</v>
      </c>
      <c r="T99" t="e">
        <f ca="1"/>
        <v>#NAME?</v>
      </c>
      <c r="U99" s="627" t="e">
        <f ca="1"/>
        <v>#NAME?</v>
      </c>
    </row>
    <row r="100" spans="2:21">
      <c r="B100" s="533">
        <v>24.5</v>
      </c>
      <c r="C100" s="1078">
        <v>1</v>
      </c>
      <c r="D100" s="1078">
        <f>B100*C100</f>
        <v>24.5</v>
      </c>
      <c r="E100" s="541" t="e">
        <f ca="1">[1]!LogitPred(B100:D100,$B$71:$F$82)</f>
        <v>#NAME?</v>
      </c>
      <c r="H100" t="e">
        <f ca="1"/>
        <v>#NAME?</v>
      </c>
      <c r="I100" s="533" t="e">
        <f ca="1"/>
        <v>#NAME?</v>
      </c>
      <c r="J100" s="1078" t="e">
        <f ca="1"/>
        <v>#NAME?</v>
      </c>
      <c r="K100" s="1078" t="e">
        <f ca="1"/>
        <v>#NAME?</v>
      </c>
      <c r="L100" s="1078" t="e">
        <f ca="1"/>
        <v>#NAME?</v>
      </c>
      <c r="M100" s="1078" t="e">
        <f ca="1"/>
        <v>#NAME?</v>
      </c>
      <c r="N100" s="1078" t="e">
        <f ca="1"/>
        <v>#NAME?</v>
      </c>
      <c r="O100" s="541" t="e">
        <f ca="1"/>
        <v>#NAME?</v>
      </c>
      <c r="Q100" t="e">
        <f ca="1"/>
        <v>#NAME?</v>
      </c>
      <c r="R100" s="627" t="e">
        <f ca="1"/>
        <v>#NAME?</v>
      </c>
      <c r="T100" t="e">
        <f ca="1"/>
        <v>#NAME?</v>
      </c>
      <c r="U100" s="544" t="e">
        <f ca="1"/>
        <v>#NAME?</v>
      </c>
    </row>
    <row r="101" spans="2:21">
      <c r="Q101" t="e">
        <f ca="1"/>
        <v>#NAME?</v>
      </c>
      <c r="R101" s="627" t="e">
        <f ca="1"/>
        <v>#NAME?</v>
      </c>
    </row>
    <row r="102" spans="2:21">
      <c r="Q102" t="e">
        <f ca="1"/>
        <v>#NAME?</v>
      </c>
      <c r="R102" s="544" t="e">
        <f ca="1"/>
        <v>#NAME?</v>
      </c>
    </row>
    <row r="103" spans="2:21">
      <c r="B103" t="s">
        <v>3079</v>
      </c>
    </row>
    <row r="105" spans="2:21">
      <c r="B105" s="912" t="e">
        <f t="array" aca="1" ref="B105:F117" ca="1">[1]!LogitSelect(A3:D15,"1,2,1*2",TRUE)</f>
        <v>#NAME?</v>
      </c>
      <c r="C105" s="912" t="e">
        <f ca="1"/>
        <v>#NAME?</v>
      </c>
      <c r="D105" s="19" t="e">
        <f ca="1"/>
        <v>#NAME?</v>
      </c>
      <c r="E105" s="912" t="e">
        <f ca="1"/>
        <v>#NAME?</v>
      </c>
      <c r="F105" s="912" t="e">
        <f ca="1"/>
        <v>#NAME?</v>
      </c>
    </row>
    <row r="106" spans="2:21">
      <c r="B106" s="1122" t="e">
        <f ca="1"/>
        <v>#NAME?</v>
      </c>
      <c r="C106" s="1127" t="e">
        <f ca="1"/>
        <v>#NAME?</v>
      </c>
      <c r="D106" s="5" t="e">
        <f ca="1"/>
        <v>#NAME?</v>
      </c>
      <c r="E106" s="1129" t="e">
        <f ca="1"/>
        <v>#NAME?</v>
      </c>
      <c r="F106" s="1124" t="e">
        <f ca="1"/>
        <v>#NAME?</v>
      </c>
    </row>
    <row r="107" spans="2:21">
      <c r="B107" s="941" t="e">
        <f ca="1"/>
        <v>#NAME?</v>
      </c>
      <c r="C107" s="976" t="e">
        <f ca="1"/>
        <v>#NAME?</v>
      </c>
      <c r="D107" s="8" t="e">
        <f ca="1"/>
        <v>#NAME?</v>
      </c>
      <c r="E107" s="734" t="e">
        <f ca="1"/>
        <v>#NAME?</v>
      </c>
      <c r="F107" s="619" t="e">
        <f ca="1"/>
        <v>#NAME?</v>
      </c>
    </row>
    <row r="108" spans="2:21">
      <c r="B108" s="941" t="e">
        <f ca="1"/>
        <v>#NAME?</v>
      </c>
      <c r="C108" s="976" t="e">
        <f ca="1"/>
        <v>#NAME?</v>
      </c>
      <c r="D108" s="8" t="e">
        <f ca="1"/>
        <v>#NAME?</v>
      </c>
      <c r="E108" s="734" t="e">
        <f ca="1"/>
        <v>#NAME?</v>
      </c>
      <c r="F108" s="619" t="e">
        <f ca="1"/>
        <v>#NAME?</v>
      </c>
    </row>
    <row r="109" spans="2:21">
      <c r="B109" s="941" t="e">
        <f ca="1"/>
        <v>#NAME?</v>
      </c>
      <c r="C109" s="976" t="e">
        <f ca="1"/>
        <v>#NAME?</v>
      </c>
      <c r="D109" s="8" t="e">
        <f ca="1"/>
        <v>#NAME?</v>
      </c>
      <c r="E109" s="734" t="e">
        <f ca="1"/>
        <v>#NAME?</v>
      </c>
      <c r="F109" s="619" t="e">
        <f ca="1"/>
        <v>#NAME?</v>
      </c>
    </row>
    <row r="110" spans="2:21">
      <c r="B110" s="941" t="e">
        <f ca="1"/>
        <v>#NAME?</v>
      </c>
      <c r="C110" s="976" t="e">
        <f ca="1"/>
        <v>#NAME?</v>
      </c>
      <c r="D110" s="8" t="e">
        <f ca="1"/>
        <v>#NAME?</v>
      </c>
      <c r="E110" s="734" t="e">
        <f ca="1"/>
        <v>#NAME?</v>
      </c>
      <c r="F110" s="619" t="e">
        <f ca="1"/>
        <v>#NAME?</v>
      </c>
    </row>
    <row r="111" spans="2:21">
      <c r="B111" s="941" t="e">
        <f ca="1"/>
        <v>#NAME?</v>
      </c>
      <c r="C111" s="976" t="e">
        <f ca="1"/>
        <v>#NAME?</v>
      </c>
      <c r="D111" s="8" t="e">
        <f ca="1"/>
        <v>#NAME?</v>
      </c>
      <c r="E111" s="734" t="e">
        <f ca="1"/>
        <v>#NAME?</v>
      </c>
      <c r="F111" s="619" t="e">
        <f ca="1"/>
        <v>#NAME?</v>
      </c>
    </row>
    <row r="112" spans="2:21">
      <c r="B112" s="941" t="e">
        <f ca="1"/>
        <v>#NAME?</v>
      </c>
      <c r="C112" s="976" t="e">
        <f ca="1"/>
        <v>#NAME?</v>
      </c>
      <c r="D112" s="8" t="e">
        <f ca="1"/>
        <v>#NAME?</v>
      </c>
      <c r="E112" s="734" t="e">
        <f ca="1"/>
        <v>#NAME?</v>
      </c>
      <c r="F112" s="619" t="e">
        <f ca="1"/>
        <v>#NAME?</v>
      </c>
    </row>
    <row r="113" spans="2:6">
      <c r="B113" s="941" t="e">
        <f ca="1"/>
        <v>#NAME?</v>
      </c>
      <c r="C113" s="976" t="e">
        <f ca="1"/>
        <v>#NAME?</v>
      </c>
      <c r="D113" s="8" t="e">
        <f ca="1"/>
        <v>#NAME?</v>
      </c>
      <c r="E113" s="734" t="e">
        <f ca="1"/>
        <v>#NAME?</v>
      </c>
      <c r="F113" s="619" t="e">
        <f ca="1"/>
        <v>#NAME?</v>
      </c>
    </row>
    <row r="114" spans="2:6">
      <c r="B114" s="941" t="e">
        <f ca="1"/>
        <v>#NAME?</v>
      </c>
      <c r="C114" s="976" t="e">
        <f ca="1"/>
        <v>#NAME?</v>
      </c>
      <c r="D114" s="8" t="e">
        <f ca="1"/>
        <v>#NAME?</v>
      </c>
      <c r="E114" s="734" t="e">
        <f ca="1"/>
        <v>#NAME?</v>
      </c>
      <c r="F114" s="619" t="e">
        <f ca="1"/>
        <v>#NAME?</v>
      </c>
    </row>
    <row r="115" spans="2:6">
      <c r="B115" s="941" t="e">
        <f ca="1"/>
        <v>#NAME?</v>
      </c>
      <c r="C115" s="976" t="e">
        <f ca="1"/>
        <v>#NAME?</v>
      </c>
      <c r="D115" s="8" t="e">
        <f ca="1"/>
        <v>#NAME?</v>
      </c>
      <c r="E115" s="734" t="e">
        <f ca="1"/>
        <v>#NAME?</v>
      </c>
      <c r="F115" s="619" t="e">
        <f ca="1"/>
        <v>#NAME?</v>
      </c>
    </row>
    <row r="116" spans="2:6">
      <c r="B116" s="941" t="e">
        <f ca="1"/>
        <v>#NAME?</v>
      </c>
      <c r="C116" s="976" t="e">
        <f ca="1"/>
        <v>#NAME?</v>
      </c>
      <c r="D116" s="8" t="e">
        <f ca="1"/>
        <v>#NAME?</v>
      </c>
      <c r="E116" s="734" t="e">
        <f ca="1"/>
        <v>#NAME?</v>
      </c>
      <c r="F116" s="619" t="e">
        <f ca="1"/>
        <v>#NAME?</v>
      </c>
    </row>
    <row r="117" spans="2:6">
      <c r="B117" s="944" t="e">
        <f ca="1"/>
        <v>#NAME?</v>
      </c>
      <c r="C117" s="1128" t="e">
        <f ca="1"/>
        <v>#NAME?</v>
      </c>
      <c r="D117" s="1078" t="e">
        <f ca="1"/>
        <v>#NAME?</v>
      </c>
      <c r="E117" s="620" t="e">
        <f ca="1"/>
        <v>#NAME?</v>
      </c>
      <c r="F117" s="621" t="e">
        <f ca="1"/>
        <v>#NAME?</v>
      </c>
    </row>
    <row r="118" spans="2:6">
      <c r="E118" s="172" t="e">
        <f ca="1">SUM(E106:E117)</f>
        <v>#NAME?</v>
      </c>
      <c r="F118" s="172" t="e">
        <f ca="1">SUM(F106:F117)</f>
        <v>#NAME?</v>
      </c>
    </row>
  </sheetData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sheetPr codeName="Sheet274"/>
  <dimension ref="A1:Y26"/>
  <sheetViews>
    <sheetView workbookViewId="0"/>
  </sheetViews>
  <sheetFormatPr defaultRowHeight="14.4"/>
  <cols>
    <col min="1" max="1" width="7" customWidth="1"/>
    <col min="2" max="4" width="7.6640625" customWidth="1"/>
    <col min="5" max="5" width="6" customWidth="1"/>
    <col min="7" max="13" width="9.109375" customWidth="1"/>
    <col min="14" max="14" width="3.88671875" customWidth="1"/>
    <col min="15" max="15" width="10.33203125" customWidth="1"/>
    <col min="19" max="21" width="9.33203125" bestFit="1" customWidth="1"/>
    <col min="22" max="25" width="9.33203125" customWidth="1"/>
  </cols>
  <sheetData>
    <row r="1" spans="1:25">
      <c r="A1" s="1" t="s">
        <v>2997</v>
      </c>
      <c r="B1" s="1"/>
      <c r="C1" s="25"/>
      <c r="D1" s="25"/>
    </row>
    <row r="2" spans="1:25">
      <c r="A2" s="25"/>
      <c r="B2" s="25"/>
      <c r="C2" s="25"/>
      <c r="D2" s="25"/>
    </row>
    <row r="3" spans="1:25">
      <c r="A3" s="912" t="s">
        <v>2091</v>
      </c>
      <c r="B3" s="912" t="s">
        <v>2092</v>
      </c>
      <c r="C3" s="912" t="s">
        <v>383</v>
      </c>
      <c r="D3" s="912" t="s">
        <v>342</v>
      </c>
      <c r="F3" s="1159" t="s">
        <v>3063</v>
      </c>
      <c r="O3" s="23" t="s">
        <v>3000</v>
      </c>
      <c r="R3" s="1159" t="s">
        <v>2998</v>
      </c>
    </row>
    <row r="4" spans="1:25">
      <c r="A4" s="939">
        <v>20</v>
      </c>
      <c r="B4" s="940">
        <v>0</v>
      </c>
      <c r="C4" s="937">
        <v>21</v>
      </c>
      <c r="D4" s="938">
        <v>0</v>
      </c>
    </row>
    <row r="5" spans="1:25">
      <c r="A5" s="941">
        <v>21</v>
      </c>
      <c r="B5" s="942">
        <v>0</v>
      </c>
      <c r="C5" s="734">
        <v>90</v>
      </c>
      <c r="D5" s="619">
        <v>6</v>
      </c>
      <c r="F5" s="8" t="e">
        <f t="array" aca="1" ref="F5:M8" ca="1">[1]!LogitCoeff(A3:D15,TRUE,,TRUE)</f>
        <v>#NAME?</v>
      </c>
      <c r="G5" s="8" t="e">
        <f ca="1"/>
        <v>#NAME?</v>
      </c>
      <c r="H5" s="8" t="e">
        <f ca="1"/>
        <v>#NAME?</v>
      </c>
      <c r="I5" s="8" t="e">
        <f ca="1"/>
        <v>#NAME?</v>
      </c>
      <c r="J5" s="8" t="e">
        <f ca="1"/>
        <v>#NAME?</v>
      </c>
      <c r="K5" s="8" t="e">
        <f ca="1"/>
        <v>#NAME?</v>
      </c>
      <c r="L5" s="8" t="e">
        <f ca="1"/>
        <v>#NAME?</v>
      </c>
      <c r="M5" s="8" t="e">
        <f ca="1"/>
        <v>#NAME?</v>
      </c>
      <c r="O5" t="e">
        <f t="array" aca="1" ref="O5:P9" ca="1">[1]!LogitTest(A4:D15,1)</f>
        <v>#NAME?</v>
      </c>
      <c r="P5" s="1156" t="e">
        <f ca="1"/>
        <v>#NAME?</v>
      </c>
      <c r="R5" s="8" t="e">
        <f t="array" aca="1" ref="R5:Y8" ca="1">[1]!LogitCoeff(A4:D15,TRUE)</f>
        <v>#NAME?</v>
      </c>
      <c r="S5" s="8" t="e">
        <f ca="1"/>
        <v>#NAME?</v>
      </c>
      <c r="T5" s="8" t="e">
        <f ca="1"/>
        <v>#NAME?</v>
      </c>
      <c r="U5" s="8" t="e">
        <f ca="1"/>
        <v>#NAME?</v>
      </c>
      <c r="V5" s="8" t="e">
        <f ca="1"/>
        <v>#NAME?</v>
      </c>
      <c r="W5" s="8" t="e">
        <f ca="1"/>
        <v>#NAME?</v>
      </c>
      <c r="X5" s="8" t="e">
        <f ca="1"/>
        <v>#NAME?</v>
      </c>
      <c r="Y5" s="8" t="e">
        <f ca="1"/>
        <v>#NAME?</v>
      </c>
    </row>
    <row r="6" spans="1:25">
      <c r="A6" s="941">
        <v>22</v>
      </c>
      <c r="B6" s="942">
        <v>0</v>
      </c>
      <c r="C6" s="734">
        <v>91</v>
      </c>
      <c r="D6" s="619">
        <v>23</v>
      </c>
      <c r="F6" s="8" t="e">
        <f ca="1"/>
        <v>#NAME?</v>
      </c>
      <c r="G6" s="1067" t="e">
        <f ca="1"/>
        <v>#NAME?</v>
      </c>
      <c r="H6" s="1068" t="e">
        <f ca="1"/>
        <v>#NAME?</v>
      </c>
      <c r="I6" s="1068" t="e">
        <f ca="1"/>
        <v>#NAME?</v>
      </c>
      <c r="J6" s="1068" t="e">
        <f ca="1"/>
        <v>#NAME?</v>
      </c>
      <c r="K6" s="1068" t="e">
        <f ca="1"/>
        <v>#NAME?</v>
      </c>
      <c r="L6" s="1068" t="e">
        <f ca="1"/>
        <v>#NAME?</v>
      </c>
      <c r="M6" s="1071" t="e">
        <f ca="1"/>
        <v>#NAME?</v>
      </c>
      <c r="O6" t="e">
        <f ca="1"/>
        <v>#NAME?</v>
      </c>
      <c r="P6" s="627" t="e">
        <f ca="1"/>
        <v>#NAME?</v>
      </c>
      <c r="R6" s="8" t="e">
        <f ca="1"/>
        <v>#NAME?</v>
      </c>
      <c r="S6" s="1067" t="e">
        <f ca="1"/>
        <v>#NAME?</v>
      </c>
      <c r="T6" s="1068" t="e">
        <f ca="1"/>
        <v>#NAME?</v>
      </c>
      <c r="U6" s="1068" t="e">
        <f ca="1"/>
        <v>#NAME?</v>
      </c>
      <c r="V6" s="1068" t="e">
        <f ca="1"/>
        <v>#NAME?</v>
      </c>
      <c r="W6" s="1068" t="e">
        <f ca="1"/>
        <v>#NAME?</v>
      </c>
      <c r="X6" s="1068" t="e">
        <f ca="1"/>
        <v>#NAME?</v>
      </c>
      <c r="Y6" s="1071" t="e">
        <f ca="1"/>
        <v>#NAME?</v>
      </c>
    </row>
    <row r="7" spans="1:25">
      <c r="A7" s="941">
        <v>23</v>
      </c>
      <c r="B7" s="943">
        <v>0</v>
      </c>
      <c r="C7" s="734">
        <v>61</v>
      </c>
      <c r="D7" s="619">
        <v>73</v>
      </c>
      <c r="F7" s="8" t="e">
        <f ca="1"/>
        <v>#NAME?</v>
      </c>
      <c r="G7" s="656" t="e">
        <f ca="1"/>
        <v>#NAME?</v>
      </c>
      <c r="H7" s="8" t="e">
        <f ca="1"/>
        <v>#NAME?</v>
      </c>
      <c r="I7" s="8" t="e">
        <f ca="1"/>
        <v>#NAME?</v>
      </c>
      <c r="J7" s="8" t="e">
        <f ca="1"/>
        <v>#NAME?</v>
      </c>
      <c r="K7" s="8" t="e">
        <f ca="1"/>
        <v>#NAME?</v>
      </c>
      <c r="L7" s="8" t="e">
        <f ca="1"/>
        <v>#NAME?</v>
      </c>
      <c r="M7" s="657" t="e">
        <f ca="1"/>
        <v>#NAME?</v>
      </c>
      <c r="O7" t="e">
        <f ca="1"/>
        <v>#NAME?</v>
      </c>
      <c r="P7" s="627" t="e">
        <f ca="1"/>
        <v>#NAME?</v>
      </c>
      <c r="R7" s="8" t="e">
        <f ca="1"/>
        <v>#NAME?</v>
      </c>
      <c r="S7" s="656" t="e">
        <f ca="1"/>
        <v>#NAME?</v>
      </c>
      <c r="T7" s="8" t="e">
        <f ca="1"/>
        <v>#NAME?</v>
      </c>
      <c r="U7" s="8" t="e">
        <f ca="1"/>
        <v>#NAME?</v>
      </c>
      <c r="V7" s="8" t="e">
        <f ca="1"/>
        <v>#NAME?</v>
      </c>
      <c r="W7" s="8" t="e">
        <f ca="1"/>
        <v>#NAME?</v>
      </c>
      <c r="X7" s="8" t="e">
        <f ca="1"/>
        <v>#NAME?</v>
      </c>
      <c r="Y7" s="657" t="e">
        <f ca="1"/>
        <v>#NAME?</v>
      </c>
    </row>
    <row r="8" spans="1:25">
      <c r="A8" s="941">
        <v>24</v>
      </c>
      <c r="B8" s="943">
        <v>0</v>
      </c>
      <c r="C8" s="734">
        <v>11</v>
      </c>
      <c r="D8" s="619">
        <v>41</v>
      </c>
      <c r="F8" s="8" t="e">
        <f ca="1"/>
        <v>#NAME?</v>
      </c>
      <c r="G8" s="533" t="e">
        <f ca="1"/>
        <v>#NAME?</v>
      </c>
      <c r="H8" s="1078" t="e">
        <f ca="1"/>
        <v>#NAME?</v>
      </c>
      <c r="I8" s="1078" t="e">
        <f ca="1"/>
        <v>#NAME?</v>
      </c>
      <c r="J8" s="1078" t="e">
        <f ca="1"/>
        <v>#NAME?</v>
      </c>
      <c r="K8" s="1078" t="e">
        <f ca="1"/>
        <v>#NAME?</v>
      </c>
      <c r="L8" s="1078" t="e">
        <f ca="1"/>
        <v>#NAME?</v>
      </c>
      <c r="M8" s="541" t="e">
        <f ca="1"/>
        <v>#NAME?</v>
      </c>
      <c r="O8" t="e">
        <f ca="1"/>
        <v>#NAME?</v>
      </c>
      <c r="P8" s="627" t="e">
        <f ca="1"/>
        <v>#NAME?</v>
      </c>
      <c r="R8" s="8" t="e">
        <f ca="1"/>
        <v>#NAME?</v>
      </c>
      <c r="S8" s="533" t="e">
        <f ca="1"/>
        <v>#NAME?</v>
      </c>
      <c r="T8" s="1078" t="e">
        <f ca="1"/>
        <v>#NAME?</v>
      </c>
      <c r="U8" s="1078" t="e">
        <f ca="1"/>
        <v>#NAME?</v>
      </c>
      <c r="V8" s="1078" t="e">
        <f ca="1"/>
        <v>#NAME?</v>
      </c>
      <c r="W8" s="1078" t="e">
        <f ca="1"/>
        <v>#NAME?</v>
      </c>
      <c r="X8" s="1078" t="e">
        <f ca="1"/>
        <v>#NAME?</v>
      </c>
      <c r="Y8" s="541" t="e">
        <f ca="1"/>
        <v>#NAME?</v>
      </c>
    </row>
    <row r="9" spans="1:25">
      <c r="A9" s="941">
        <v>25</v>
      </c>
      <c r="B9" s="943">
        <v>0</v>
      </c>
      <c r="C9" s="656">
        <v>4</v>
      </c>
      <c r="D9" s="657">
        <v>28</v>
      </c>
      <c r="O9" t="e">
        <f ca="1"/>
        <v>#NAME?</v>
      </c>
      <c r="P9" s="544" t="e">
        <f ca="1"/>
        <v>#NAME?</v>
      </c>
    </row>
    <row r="10" spans="1:25">
      <c r="A10" s="941">
        <v>20</v>
      </c>
      <c r="B10" s="943">
        <v>1</v>
      </c>
      <c r="C10" s="734">
        <v>18</v>
      </c>
      <c r="D10" s="619">
        <v>4</v>
      </c>
      <c r="F10" s="23" t="s">
        <v>2999</v>
      </c>
    </row>
    <row r="11" spans="1:25">
      <c r="A11" s="941">
        <v>21</v>
      </c>
      <c r="B11" s="943">
        <v>1</v>
      </c>
      <c r="C11" s="734">
        <v>75</v>
      </c>
      <c r="D11" s="619">
        <v>9</v>
      </c>
      <c r="O11" s="23" t="s">
        <v>3001</v>
      </c>
    </row>
    <row r="12" spans="1:25">
      <c r="A12" s="941">
        <v>22</v>
      </c>
      <c r="B12" s="943">
        <v>1</v>
      </c>
      <c r="C12" s="734">
        <v>68</v>
      </c>
      <c r="D12" s="619">
        <v>21</v>
      </c>
      <c r="G12" s="1067" t="e">
        <f t="array" aca="1" ref="G12:M14" ca="1">[1]!LogitCoeff(A4:D15)</f>
        <v>#NAME?</v>
      </c>
      <c r="H12" s="1068" t="e">
        <f ca="1"/>
        <v>#NAME?</v>
      </c>
      <c r="I12" s="1068" t="e">
        <f ca="1"/>
        <v>#NAME?</v>
      </c>
      <c r="J12" s="1068" t="e">
        <f ca="1"/>
        <v>#NAME?</v>
      </c>
      <c r="K12" s="1068" t="e">
        <f ca="1"/>
        <v>#NAME?</v>
      </c>
      <c r="L12" s="1068" t="e">
        <f ca="1"/>
        <v>#NAME?</v>
      </c>
      <c r="M12" s="1071" t="e">
        <f ca="1"/>
        <v>#NAME?</v>
      </c>
    </row>
    <row r="13" spans="1:25">
      <c r="A13" s="941">
        <v>23</v>
      </c>
      <c r="B13" s="943">
        <v>1</v>
      </c>
      <c r="C13" s="734">
        <v>59</v>
      </c>
      <c r="D13" s="619">
        <v>65</v>
      </c>
      <c r="G13" s="656" t="e">
        <f ca="1"/>
        <v>#NAME?</v>
      </c>
      <c r="H13" s="8" t="e">
        <f ca="1"/>
        <v>#NAME?</v>
      </c>
      <c r="I13" s="8" t="e">
        <f ca="1"/>
        <v>#NAME?</v>
      </c>
      <c r="J13" s="8" t="e">
        <f ca="1"/>
        <v>#NAME?</v>
      </c>
      <c r="K13" s="8" t="e">
        <f ca="1"/>
        <v>#NAME?</v>
      </c>
      <c r="L13" s="8" t="e">
        <f ca="1"/>
        <v>#NAME?</v>
      </c>
      <c r="M13" s="657" t="e">
        <f ca="1"/>
        <v>#NAME?</v>
      </c>
      <c r="O13" t="e">
        <f t="array" aca="1" ref="O13:P19" ca="1">[1]!LogitRSquare(A4:D15,TRUE)</f>
        <v>#NAME?</v>
      </c>
      <c r="P13" s="1156" t="e">
        <f ca="1"/>
        <v>#NAME?</v>
      </c>
    </row>
    <row r="14" spans="1:25">
      <c r="A14" s="941">
        <v>24</v>
      </c>
      <c r="B14" s="943">
        <v>1</v>
      </c>
      <c r="C14" s="734">
        <v>17</v>
      </c>
      <c r="D14" s="619">
        <v>46</v>
      </c>
      <c r="G14" s="533" t="e">
        <f ca="1"/>
        <v>#NAME?</v>
      </c>
      <c r="H14" s="1078" t="e">
        <f ca="1"/>
        <v>#NAME?</v>
      </c>
      <c r="I14" s="1078" t="e">
        <f ca="1"/>
        <v>#NAME?</v>
      </c>
      <c r="J14" s="1078" t="e">
        <f ca="1"/>
        <v>#NAME?</v>
      </c>
      <c r="K14" s="1078" t="e">
        <f ca="1"/>
        <v>#NAME?</v>
      </c>
      <c r="L14" s="1078" t="e">
        <f ca="1"/>
        <v>#NAME?</v>
      </c>
      <c r="M14" s="541" t="e">
        <f ca="1"/>
        <v>#NAME?</v>
      </c>
      <c r="O14" t="e">
        <f ca="1"/>
        <v>#NAME?</v>
      </c>
      <c r="P14" s="627" t="e">
        <f ca="1"/>
        <v>#NAME?</v>
      </c>
    </row>
    <row r="15" spans="1:25">
      <c r="A15" s="944">
        <v>25</v>
      </c>
      <c r="B15" s="945">
        <v>1</v>
      </c>
      <c r="C15" s="533">
        <v>7</v>
      </c>
      <c r="D15" s="541">
        <v>22</v>
      </c>
      <c r="O15" t="e">
        <f ca="1"/>
        <v>#NAME?</v>
      </c>
      <c r="P15" s="627" t="e">
        <f ca="1"/>
        <v>#NAME?</v>
      </c>
    </row>
    <row r="16" spans="1:25">
      <c r="C16">
        <f>SUM(C4:C15)</f>
        <v>522</v>
      </c>
      <c r="D16">
        <f>SUM(D4:D15)</f>
        <v>338</v>
      </c>
      <c r="F16" s="23" t="s">
        <v>2999</v>
      </c>
      <c r="I16" s="23" t="s">
        <v>3003</v>
      </c>
      <c r="O16" t="e">
        <f ca="1"/>
        <v>#NAME?</v>
      </c>
      <c r="P16" s="627" t="e">
        <f ca="1"/>
        <v>#NAME?</v>
      </c>
    </row>
    <row r="17" spans="7:16">
      <c r="O17" t="e">
        <f ca="1"/>
        <v>#NAME?</v>
      </c>
      <c r="P17" s="627" t="e">
        <f ca="1"/>
        <v>#NAME?</v>
      </c>
    </row>
    <row r="18" spans="7:16">
      <c r="G18" s="1156" t="e">
        <f t="array" aca="1" ref="G18:G20" ca="1">[1]!LogitCoeff(A4:D15)</f>
        <v>#NAME?</v>
      </c>
      <c r="I18" t="s">
        <v>2091</v>
      </c>
      <c r="J18" t="s">
        <v>2092</v>
      </c>
      <c r="K18" t="s">
        <v>3002</v>
      </c>
      <c r="O18" t="e">
        <f ca="1"/>
        <v>#NAME?</v>
      </c>
      <c r="P18" s="627" t="e">
        <f ca="1"/>
        <v>#NAME?</v>
      </c>
    </row>
    <row r="19" spans="7:16">
      <c r="G19" s="627" t="e">
        <f ca="1"/>
        <v>#NAME?</v>
      </c>
      <c r="I19" s="1067">
        <v>21</v>
      </c>
      <c r="J19" s="1068">
        <v>0</v>
      </c>
      <c r="K19" s="1071" t="e">
        <f ca="1">[1]!LogitPred(I19:J19,$A$4:$D$15)</f>
        <v>#NAME?</v>
      </c>
      <c r="O19" t="e">
        <f ca="1"/>
        <v>#NAME?</v>
      </c>
      <c r="P19" s="544" t="e">
        <f ca="1"/>
        <v>#NAME?</v>
      </c>
    </row>
    <row r="20" spans="7:16">
      <c r="G20" s="544" t="e">
        <f ca="1"/>
        <v>#NAME?</v>
      </c>
      <c r="I20" s="533">
        <v>21.5</v>
      </c>
      <c r="J20" s="1078">
        <v>0</v>
      </c>
      <c r="K20" s="541" t="e">
        <f ca="1">[1]!LogitPred(I20:J20,$A$4:$D$15)</f>
        <v>#NAME?</v>
      </c>
    </row>
    <row r="22" spans="7:16">
      <c r="I22" s="23" t="s">
        <v>3004</v>
      </c>
    </row>
    <row r="24" spans="7:16">
      <c r="I24" t="s">
        <v>2091</v>
      </c>
      <c r="J24" t="s">
        <v>2092</v>
      </c>
      <c r="K24" t="s">
        <v>3002</v>
      </c>
    </row>
    <row r="25" spans="7:16">
      <c r="I25" s="1067">
        <v>21</v>
      </c>
      <c r="J25" s="1068">
        <v>0</v>
      </c>
      <c r="K25" s="1071" t="e">
        <f ca="1">[1]!LogitPredC(I25:J25,$G$18:$G$20)</f>
        <v>#NAME?</v>
      </c>
    </row>
    <row r="26" spans="7:16">
      <c r="I26" s="533">
        <v>21.5</v>
      </c>
      <c r="J26" s="1078">
        <v>0</v>
      </c>
      <c r="K26" s="541" t="e">
        <f ca="1">[1]!LogitPredC(I26:J26,$G$18:$G$20)</f>
        <v>#NAME?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sheetPr codeName="Sheet268"/>
  <dimension ref="A1:Q53"/>
  <sheetViews>
    <sheetView workbookViewId="0"/>
  </sheetViews>
  <sheetFormatPr defaultRowHeight="14.4"/>
  <cols>
    <col min="8" max="8" width="9.109375" customWidth="1"/>
  </cols>
  <sheetData>
    <row r="1" spans="1:17">
      <c r="A1" s="1" t="s">
        <v>2792</v>
      </c>
      <c r="F1" t="s">
        <v>1971</v>
      </c>
    </row>
    <row r="2" spans="1:17" ht="15" thickBot="1"/>
    <row r="3" spans="1:17" ht="15" thickTop="1">
      <c r="A3" s="912" t="s">
        <v>2091</v>
      </c>
      <c r="B3" s="912" t="s">
        <v>2092</v>
      </c>
      <c r="C3" s="912" t="s">
        <v>383</v>
      </c>
      <c r="D3" s="912" t="s">
        <v>342</v>
      </c>
      <c r="F3" s="1070" t="str">
        <f t="shared" ref="F3:F15" si="0">A3</f>
        <v>Temp</v>
      </c>
      <c r="G3" s="1070" t="str">
        <f t="shared" ref="G3:G15" si="1">B3</f>
        <v>Water</v>
      </c>
      <c r="H3" s="1070" t="str">
        <f t="shared" ref="H3:H15" si="2">C3</f>
        <v>Male</v>
      </c>
      <c r="I3" s="1070" t="str">
        <f t="shared" ref="I3:I15" si="3">D3</f>
        <v>Female</v>
      </c>
      <c r="J3" s="973" t="s">
        <v>12</v>
      </c>
      <c r="K3" s="973" t="s">
        <v>2094</v>
      </c>
      <c r="L3" s="973" t="s">
        <v>2798</v>
      </c>
      <c r="M3" s="973" t="s">
        <v>2799</v>
      </c>
      <c r="N3" s="973" t="s">
        <v>2801</v>
      </c>
      <c r="P3" s="398" t="s">
        <v>2803</v>
      </c>
    </row>
    <row r="4" spans="1:17">
      <c r="A4" s="939">
        <v>20</v>
      </c>
      <c r="B4" s="940">
        <v>0</v>
      </c>
      <c r="C4" s="937">
        <v>21</v>
      </c>
      <c r="D4" s="938">
        <v>0</v>
      </c>
      <c r="F4">
        <f t="shared" si="0"/>
        <v>20</v>
      </c>
      <c r="G4">
        <f t="shared" si="1"/>
        <v>0</v>
      </c>
      <c r="H4" s="625">
        <f t="shared" si="2"/>
        <v>21</v>
      </c>
      <c r="I4" s="132">
        <f t="shared" si="3"/>
        <v>0</v>
      </c>
      <c r="J4">
        <f>H4+I4</f>
        <v>21</v>
      </c>
      <c r="K4" t="e">
        <f t="shared" ref="K4:K15" ca="1" si="4">1/(1+EXP(-$Q$5-MMULT(F4:G4,$Q$6:$Q$7)))</f>
        <v>#NAME?</v>
      </c>
      <c r="L4" t="e">
        <f ca="1">J4*K4</f>
        <v>#NAME?</v>
      </c>
      <c r="M4" t="e">
        <f ca="1">J4*(1-K4)</f>
        <v>#NAME?</v>
      </c>
      <c r="N4" t="e">
        <f ca="1">(H4-L4)^2/L4+(I4-M4)^2/M4</f>
        <v>#NAME?</v>
      </c>
    </row>
    <row r="5" spans="1:17">
      <c r="A5" s="941">
        <v>21</v>
      </c>
      <c r="B5" s="942">
        <v>0</v>
      </c>
      <c r="C5" s="734">
        <v>90</v>
      </c>
      <c r="D5" s="619">
        <v>6</v>
      </c>
      <c r="F5">
        <f t="shared" si="0"/>
        <v>21</v>
      </c>
      <c r="G5">
        <f t="shared" si="1"/>
        <v>0</v>
      </c>
      <c r="H5" s="625">
        <f t="shared" si="2"/>
        <v>90</v>
      </c>
      <c r="I5" s="132">
        <f t="shared" si="3"/>
        <v>6</v>
      </c>
      <c r="J5">
        <f t="shared" ref="J5:J15" si="5">H5+I5</f>
        <v>96</v>
      </c>
      <c r="K5" t="e">
        <f t="shared" ca="1" si="4"/>
        <v>#NAME?</v>
      </c>
      <c r="L5" t="e">
        <f t="shared" ref="L5:L15" ca="1" si="6">J5*K5</f>
        <v>#NAME?</v>
      </c>
      <c r="M5" t="e">
        <f t="shared" ref="M5:M15" ca="1" si="7">J5*(1-K5)</f>
        <v>#NAME?</v>
      </c>
      <c r="N5" t="e">
        <f t="shared" ref="N5:N15" ca="1" si="8">(H5-L5)^2/L5+(I5-M5)^2/M5</f>
        <v>#NAME?</v>
      </c>
      <c r="Q5" s="1060" t="e">
        <f t="array" aca="1" ref="Q5:Q7" ca="1">[1]!LogitCoeff(F4:I15,,,,,20)</f>
        <v>#NAME?</v>
      </c>
    </row>
    <row r="6" spans="1:17">
      <c r="A6" s="941">
        <v>22</v>
      </c>
      <c r="B6" s="942">
        <v>0</v>
      </c>
      <c r="C6" s="734">
        <v>91</v>
      </c>
      <c r="D6" s="619">
        <v>23</v>
      </c>
      <c r="F6">
        <f t="shared" si="0"/>
        <v>22</v>
      </c>
      <c r="G6">
        <f t="shared" si="1"/>
        <v>0</v>
      </c>
      <c r="H6" s="625">
        <f t="shared" si="2"/>
        <v>91</v>
      </c>
      <c r="I6" s="132">
        <f t="shared" si="3"/>
        <v>23</v>
      </c>
      <c r="J6">
        <f t="shared" si="5"/>
        <v>114</v>
      </c>
      <c r="K6" t="e">
        <f t="shared" ca="1" si="4"/>
        <v>#NAME?</v>
      </c>
      <c r="L6" t="e">
        <f t="shared" ca="1" si="6"/>
        <v>#NAME?</v>
      </c>
      <c r="M6" t="e">
        <f t="shared" ca="1" si="7"/>
        <v>#NAME?</v>
      </c>
      <c r="N6" t="e">
        <f t="shared" ca="1" si="8"/>
        <v>#NAME?</v>
      </c>
      <c r="Q6" s="946" t="e">
        <f ca="1"/>
        <v>#NAME?</v>
      </c>
    </row>
    <row r="7" spans="1:17">
      <c r="A7" s="941">
        <v>23</v>
      </c>
      <c r="B7" s="943">
        <v>0</v>
      </c>
      <c r="C7" s="734">
        <v>61</v>
      </c>
      <c r="D7" s="619">
        <v>73</v>
      </c>
      <c r="F7">
        <f t="shared" si="0"/>
        <v>23</v>
      </c>
      <c r="G7">
        <f t="shared" si="1"/>
        <v>0</v>
      </c>
      <c r="H7" s="625">
        <f t="shared" si="2"/>
        <v>61</v>
      </c>
      <c r="I7" s="132">
        <f t="shared" si="3"/>
        <v>73</v>
      </c>
      <c r="J7">
        <f t="shared" si="5"/>
        <v>134</v>
      </c>
      <c r="K7" t="e">
        <f t="shared" ca="1" si="4"/>
        <v>#NAME?</v>
      </c>
      <c r="L7" t="e">
        <f t="shared" ca="1" si="6"/>
        <v>#NAME?</v>
      </c>
      <c r="M7" t="e">
        <f t="shared" ca="1" si="7"/>
        <v>#NAME?</v>
      </c>
      <c r="N7" t="e">
        <f t="shared" ca="1" si="8"/>
        <v>#NAME?</v>
      </c>
      <c r="Q7" s="947" t="e">
        <f ca="1"/>
        <v>#NAME?</v>
      </c>
    </row>
    <row r="8" spans="1:17">
      <c r="A8" s="941">
        <v>24</v>
      </c>
      <c r="B8" s="943">
        <v>0</v>
      </c>
      <c r="C8" s="734">
        <v>11</v>
      </c>
      <c r="D8" s="619">
        <v>41</v>
      </c>
      <c r="F8">
        <f t="shared" si="0"/>
        <v>24</v>
      </c>
      <c r="G8">
        <f t="shared" si="1"/>
        <v>0</v>
      </c>
      <c r="H8" s="625">
        <f t="shared" si="2"/>
        <v>11</v>
      </c>
      <c r="I8" s="132">
        <f t="shared" si="3"/>
        <v>41</v>
      </c>
      <c r="J8">
        <f t="shared" si="5"/>
        <v>52</v>
      </c>
      <c r="K8" t="e">
        <f t="shared" ca="1" si="4"/>
        <v>#NAME?</v>
      </c>
      <c r="L8" t="e">
        <f t="shared" ca="1" si="6"/>
        <v>#NAME?</v>
      </c>
      <c r="M8" t="e">
        <f t="shared" ca="1" si="7"/>
        <v>#NAME?</v>
      </c>
      <c r="N8" t="e">
        <f t="shared" ca="1" si="8"/>
        <v>#NAME?</v>
      </c>
    </row>
    <row r="9" spans="1:17">
      <c r="A9" s="941">
        <v>25</v>
      </c>
      <c r="B9" s="943">
        <v>0</v>
      </c>
      <c r="C9" s="656">
        <v>4</v>
      </c>
      <c r="D9" s="657">
        <v>28</v>
      </c>
      <c r="F9">
        <f t="shared" si="0"/>
        <v>25</v>
      </c>
      <c r="G9">
        <f t="shared" si="1"/>
        <v>0</v>
      </c>
      <c r="H9" s="625">
        <f t="shared" si="2"/>
        <v>4</v>
      </c>
      <c r="I9" s="132">
        <f t="shared" si="3"/>
        <v>28</v>
      </c>
      <c r="J9">
        <f t="shared" si="5"/>
        <v>32</v>
      </c>
      <c r="K9" t="e">
        <f t="shared" ca="1" si="4"/>
        <v>#NAME?</v>
      </c>
      <c r="L9" t="e">
        <f t="shared" ca="1" si="6"/>
        <v>#NAME?</v>
      </c>
      <c r="M9" t="e">
        <f t="shared" ca="1" si="7"/>
        <v>#NAME?</v>
      </c>
      <c r="N9" t="e">
        <f t="shared" ca="1" si="8"/>
        <v>#NAME?</v>
      </c>
    </row>
    <row r="10" spans="1:17">
      <c r="A10" s="941">
        <v>20</v>
      </c>
      <c r="B10" s="943">
        <v>1</v>
      </c>
      <c r="C10" s="734">
        <v>18</v>
      </c>
      <c r="D10" s="619">
        <v>4</v>
      </c>
      <c r="F10">
        <f t="shared" si="0"/>
        <v>20</v>
      </c>
      <c r="G10">
        <f t="shared" si="1"/>
        <v>1</v>
      </c>
      <c r="H10" s="625">
        <f t="shared" si="2"/>
        <v>18</v>
      </c>
      <c r="I10" s="132">
        <f t="shared" si="3"/>
        <v>4</v>
      </c>
      <c r="J10">
        <f t="shared" si="5"/>
        <v>22</v>
      </c>
      <c r="K10" t="e">
        <f t="shared" ca="1" si="4"/>
        <v>#NAME?</v>
      </c>
      <c r="L10" t="e">
        <f t="shared" ca="1" si="6"/>
        <v>#NAME?</v>
      </c>
      <c r="M10" t="e">
        <f t="shared" ca="1" si="7"/>
        <v>#NAME?</v>
      </c>
      <c r="N10" t="e">
        <f t="shared" ca="1" si="8"/>
        <v>#NAME?</v>
      </c>
      <c r="P10" s="289" t="s">
        <v>2800</v>
      </c>
    </row>
    <row r="11" spans="1:17">
      <c r="A11" s="941">
        <v>21</v>
      </c>
      <c r="B11" s="943">
        <v>1</v>
      </c>
      <c r="C11" s="734">
        <v>75</v>
      </c>
      <c r="D11" s="619">
        <v>9</v>
      </c>
      <c r="F11">
        <f t="shared" si="0"/>
        <v>21</v>
      </c>
      <c r="G11">
        <f t="shared" si="1"/>
        <v>1</v>
      </c>
      <c r="H11" s="625">
        <f t="shared" si="2"/>
        <v>75</v>
      </c>
      <c r="I11" s="132">
        <f t="shared" si="3"/>
        <v>9</v>
      </c>
      <c r="J11">
        <f t="shared" si="5"/>
        <v>84</v>
      </c>
      <c r="K11" t="e">
        <f t="shared" ca="1" si="4"/>
        <v>#NAME?</v>
      </c>
      <c r="L11" t="e">
        <f t="shared" ca="1" si="6"/>
        <v>#NAME?</v>
      </c>
      <c r="M11" t="e">
        <f t="shared" ca="1" si="7"/>
        <v>#NAME?</v>
      </c>
      <c r="N11" t="e">
        <f t="shared" ca="1" si="8"/>
        <v>#NAME?</v>
      </c>
    </row>
    <row r="12" spans="1:17">
      <c r="A12" s="941">
        <v>22</v>
      </c>
      <c r="B12" s="943">
        <v>1</v>
      </c>
      <c r="C12" s="734">
        <v>68</v>
      </c>
      <c r="D12" s="619">
        <v>21</v>
      </c>
      <c r="F12">
        <f t="shared" si="0"/>
        <v>22</v>
      </c>
      <c r="G12">
        <f t="shared" si="1"/>
        <v>1</v>
      </c>
      <c r="H12" s="625">
        <f t="shared" si="2"/>
        <v>68</v>
      </c>
      <c r="I12" s="132">
        <f t="shared" si="3"/>
        <v>21</v>
      </c>
      <c r="J12">
        <f t="shared" si="5"/>
        <v>89</v>
      </c>
      <c r="K12" t="e">
        <f t="shared" ca="1" si="4"/>
        <v>#NAME?</v>
      </c>
      <c r="L12" t="e">
        <f t="shared" ca="1" si="6"/>
        <v>#NAME?</v>
      </c>
      <c r="M12" t="e">
        <f t="shared" ca="1" si="7"/>
        <v>#NAME?</v>
      </c>
      <c r="N12" t="e">
        <f t="shared" ca="1" si="8"/>
        <v>#NAME?</v>
      </c>
      <c r="P12" t="s">
        <v>2802</v>
      </c>
      <c r="Q12" s="1072" t="e">
        <f ca="1">N16</f>
        <v>#NAME?</v>
      </c>
    </row>
    <row r="13" spans="1:17">
      <c r="A13" s="941">
        <v>23</v>
      </c>
      <c r="B13" s="943">
        <v>1</v>
      </c>
      <c r="C13" s="734">
        <v>59</v>
      </c>
      <c r="D13" s="619">
        <v>65</v>
      </c>
      <c r="F13">
        <f t="shared" si="0"/>
        <v>23</v>
      </c>
      <c r="G13">
        <f t="shared" si="1"/>
        <v>1</v>
      </c>
      <c r="H13" s="625">
        <f t="shared" si="2"/>
        <v>59</v>
      </c>
      <c r="I13" s="132">
        <f t="shared" si="3"/>
        <v>65</v>
      </c>
      <c r="J13">
        <f t="shared" si="5"/>
        <v>124</v>
      </c>
      <c r="K13" t="e">
        <f t="shared" ca="1" si="4"/>
        <v>#NAME?</v>
      </c>
      <c r="L13" t="e">
        <f t="shared" ca="1" si="6"/>
        <v>#NAME?</v>
      </c>
      <c r="M13" t="e">
        <f t="shared" ca="1" si="7"/>
        <v>#NAME?</v>
      </c>
      <c r="N13" t="e">
        <f t="shared" ca="1" si="8"/>
        <v>#NAME?</v>
      </c>
      <c r="P13" t="s">
        <v>186</v>
      </c>
      <c r="Q13" s="627">
        <f>COUNTA(F4:F15)-2</f>
        <v>10</v>
      </c>
    </row>
    <row r="14" spans="1:17">
      <c r="A14" s="941">
        <v>24</v>
      </c>
      <c r="B14" s="943">
        <v>1</v>
      </c>
      <c r="C14" s="734">
        <v>17</v>
      </c>
      <c r="D14" s="619">
        <v>46</v>
      </c>
      <c r="F14">
        <f t="shared" si="0"/>
        <v>24</v>
      </c>
      <c r="G14">
        <f t="shared" si="1"/>
        <v>1</v>
      </c>
      <c r="H14" s="625">
        <f t="shared" si="2"/>
        <v>17</v>
      </c>
      <c r="I14" s="132">
        <f t="shared" si="3"/>
        <v>46</v>
      </c>
      <c r="J14">
        <f t="shared" si="5"/>
        <v>63</v>
      </c>
      <c r="K14" t="e">
        <f t="shared" ca="1" si="4"/>
        <v>#NAME?</v>
      </c>
      <c r="L14" t="e">
        <f t="shared" ca="1" si="6"/>
        <v>#NAME?</v>
      </c>
      <c r="M14" t="e">
        <f t="shared" ca="1" si="7"/>
        <v>#NAME?</v>
      </c>
      <c r="N14" t="e">
        <f t="shared" ca="1" si="8"/>
        <v>#NAME?</v>
      </c>
      <c r="P14" t="s">
        <v>200</v>
      </c>
      <c r="Q14" s="627" t="e">
        <f ca="1">CHIDIST(Q12,Q13)</f>
        <v>#NAME?</v>
      </c>
    </row>
    <row r="15" spans="1:17">
      <c r="A15" s="944">
        <v>25</v>
      </c>
      <c r="B15" s="945">
        <v>1</v>
      </c>
      <c r="C15" s="533">
        <v>7</v>
      </c>
      <c r="D15" s="541">
        <v>22</v>
      </c>
      <c r="F15">
        <f t="shared" si="0"/>
        <v>25</v>
      </c>
      <c r="G15">
        <f t="shared" si="1"/>
        <v>1</v>
      </c>
      <c r="H15" s="497">
        <f t="shared" si="2"/>
        <v>7</v>
      </c>
      <c r="I15" s="498">
        <f t="shared" si="3"/>
        <v>22</v>
      </c>
      <c r="J15">
        <f t="shared" si="5"/>
        <v>29</v>
      </c>
      <c r="K15" t="e">
        <f t="shared" ca="1" si="4"/>
        <v>#NAME?</v>
      </c>
      <c r="L15" t="e">
        <f t="shared" ca="1" si="6"/>
        <v>#NAME?</v>
      </c>
      <c r="M15" t="e">
        <f t="shared" ca="1" si="7"/>
        <v>#NAME?</v>
      </c>
      <c r="N15" t="e">
        <f t="shared" ca="1" si="8"/>
        <v>#NAME?</v>
      </c>
      <c r="P15" t="s">
        <v>337</v>
      </c>
      <c r="Q15" s="627">
        <v>0.05</v>
      </c>
    </row>
    <row r="16" spans="1:17">
      <c r="C16">
        <f>SUM(C4:C15)</f>
        <v>522</v>
      </c>
      <c r="D16">
        <f>SUM(D4:D15)</f>
        <v>338</v>
      </c>
      <c r="F16" s="1068"/>
      <c r="G16" s="1068"/>
      <c r="H16">
        <f>SUM(H4:H15)</f>
        <v>522</v>
      </c>
      <c r="I16">
        <f>SUM(I4:I15)</f>
        <v>338</v>
      </c>
      <c r="J16" s="1068">
        <f>SUM(J4:J15)</f>
        <v>860</v>
      </c>
      <c r="K16" s="1068"/>
      <c r="L16" s="1068" t="e">
        <f ca="1">SUM(L4:L15)</f>
        <v>#NAME?</v>
      </c>
      <c r="M16" s="1068" t="e">
        <f ca="1">SUM(M4:M15)</f>
        <v>#NAME?</v>
      </c>
      <c r="N16" s="1068" t="e">
        <f ca="1">SUM(N4:N15)</f>
        <v>#NAME?</v>
      </c>
      <c r="P16" t="s">
        <v>948</v>
      </c>
      <c r="Q16" s="538" t="e">
        <f ca="1">IF(Q14&lt;Q15,"yes","no")</f>
        <v>#NAME?</v>
      </c>
    </row>
    <row r="20" spans="1:17">
      <c r="A20" t="s">
        <v>2805</v>
      </c>
      <c r="F20" t="s">
        <v>1971</v>
      </c>
    </row>
    <row r="21" spans="1:17" ht="15" thickBot="1"/>
    <row r="22" spans="1:17" ht="15" thickTop="1">
      <c r="A22" s="912" t="s">
        <v>2091</v>
      </c>
      <c r="B22" s="912" t="s">
        <v>2092</v>
      </c>
      <c r="C22" s="912" t="s">
        <v>383</v>
      </c>
      <c r="D22" s="912" t="s">
        <v>342</v>
      </c>
      <c r="F22" s="1070" t="str">
        <f>A22</f>
        <v>Temp</v>
      </c>
      <c r="G22" s="1070" t="str">
        <f>B22</f>
        <v>Water</v>
      </c>
      <c r="H22" s="1070" t="str">
        <f>C22</f>
        <v>Male</v>
      </c>
      <c r="I22" s="1070" t="str">
        <f>D22</f>
        <v>Female</v>
      </c>
      <c r="J22" s="973" t="s">
        <v>12</v>
      </c>
      <c r="K22" s="973" t="s">
        <v>2094</v>
      </c>
      <c r="L22" s="973" t="s">
        <v>2798</v>
      </c>
      <c r="M22" s="973" t="s">
        <v>2799</v>
      </c>
      <c r="N22" s="973" t="s">
        <v>2801</v>
      </c>
    </row>
    <row r="23" spans="1:17">
      <c r="A23" s="939">
        <v>20</v>
      </c>
      <c r="B23" s="940">
        <v>0</v>
      </c>
      <c r="C23" s="937">
        <v>21</v>
      </c>
      <c r="D23" s="938">
        <v>0</v>
      </c>
      <c r="F23" s="19" t="s">
        <v>2804</v>
      </c>
      <c r="G23">
        <f>B23</f>
        <v>0</v>
      </c>
      <c r="H23" s="625">
        <f>H4+H5</f>
        <v>111</v>
      </c>
      <c r="I23" s="132">
        <f>I4+I5</f>
        <v>6</v>
      </c>
      <c r="J23">
        <f t="shared" ref="J23:J32" si="9">H23+I23</f>
        <v>117</v>
      </c>
      <c r="K23" t="e">
        <f ca="1">(J4*K4+J5*K5)/(J4+J5)</f>
        <v>#NAME?</v>
      </c>
      <c r="L23" t="e">
        <f t="shared" ref="L23:L32" ca="1" si="10">J23*K23</f>
        <v>#NAME?</v>
      </c>
      <c r="M23" t="e">
        <f t="shared" ref="M23:M32" ca="1" si="11">J23*(1-K23)</f>
        <v>#NAME?</v>
      </c>
      <c r="N23" t="e">
        <f t="shared" ref="N23:N32" ca="1" si="12">(H23-L23)^2/L23+(I23-M23)^2/M23</f>
        <v>#NAME?</v>
      </c>
    </row>
    <row r="24" spans="1:17">
      <c r="A24" s="941">
        <v>21</v>
      </c>
      <c r="B24" s="942">
        <v>0</v>
      </c>
      <c r="C24" s="734">
        <v>90</v>
      </c>
      <c r="D24" s="619">
        <v>6</v>
      </c>
      <c r="F24">
        <f t="shared" ref="F24:I27" si="13">A25</f>
        <v>22</v>
      </c>
      <c r="G24">
        <f t="shared" si="13"/>
        <v>0</v>
      </c>
      <c r="H24" s="625">
        <f t="shared" si="13"/>
        <v>91</v>
      </c>
      <c r="I24" s="132">
        <f t="shared" si="13"/>
        <v>23</v>
      </c>
      <c r="J24">
        <f t="shared" si="9"/>
        <v>114</v>
      </c>
      <c r="K24" t="e">
        <f ca="1">1/(1+EXP(-$Q$5-MMULT(F24:G24,$Q$6:$Q$7)))</f>
        <v>#NAME?</v>
      </c>
      <c r="L24" t="e">
        <f t="shared" ca="1" si="10"/>
        <v>#NAME?</v>
      </c>
      <c r="M24" t="e">
        <f t="shared" ca="1" si="11"/>
        <v>#NAME?</v>
      </c>
      <c r="N24" t="e">
        <f t="shared" ca="1" si="12"/>
        <v>#NAME?</v>
      </c>
    </row>
    <row r="25" spans="1:17">
      <c r="A25" s="941">
        <v>22</v>
      </c>
      <c r="B25" s="942">
        <v>0</v>
      </c>
      <c r="C25" s="734">
        <v>91</v>
      </c>
      <c r="D25" s="619">
        <v>23</v>
      </c>
      <c r="F25">
        <f t="shared" si="13"/>
        <v>23</v>
      </c>
      <c r="G25">
        <f t="shared" si="13"/>
        <v>0</v>
      </c>
      <c r="H25" s="625">
        <f t="shared" si="13"/>
        <v>61</v>
      </c>
      <c r="I25" s="132">
        <f t="shared" si="13"/>
        <v>73</v>
      </c>
      <c r="J25">
        <f t="shared" si="9"/>
        <v>134</v>
      </c>
      <c r="K25" t="e">
        <f ca="1">1/(1+EXP(-$Q$5-MMULT(F25:G25,$Q$6:$Q$7)))</f>
        <v>#NAME?</v>
      </c>
      <c r="L25" t="e">
        <f t="shared" ca="1" si="10"/>
        <v>#NAME?</v>
      </c>
      <c r="M25" t="e">
        <f t="shared" ca="1" si="11"/>
        <v>#NAME?</v>
      </c>
      <c r="N25" t="e">
        <f t="shared" ca="1" si="12"/>
        <v>#NAME?</v>
      </c>
    </row>
    <row r="26" spans="1:17">
      <c r="A26" s="941">
        <v>23</v>
      </c>
      <c r="B26" s="943">
        <v>0</v>
      </c>
      <c r="C26" s="734">
        <v>61</v>
      </c>
      <c r="D26" s="619">
        <v>73</v>
      </c>
      <c r="F26">
        <f t="shared" si="13"/>
        <v>24</v>
      </c>
      <c r="G26">
        <f t="shared" si="13"/>
        <v>0</v>
      </c>
      <c r="H26" s="625">
        <f t="shared" si="13"/>
        <v>11</v>
      </c>
      <c r="I26" s="132">
        <f t="shared" si="13"/>
        <v>41</v>
      </c>
      <c r="J26">
        <f t="shared" si="9"/>
        <v>52</v>
      </c>
      <c r="K26" t="e">
        <f ca="1">1/(1+EXP(-$Q$5-MMULT(F26:G26,$Q$6:$Q$7)))</f>
        <v>#NAME?</v>
      </c>
      <c r="L26" t="e">
        <f t="shared" ca="1" si="10"/>
        <v>#NAME?</v>
      </c>
      <c r="M26" t="e">
        <f t="shared" ca="1" si="11"/>
        <v>#NAME?</v>
      </c>
      <c r="N26" t="e">
        <f t="shared" ca="1" si="12"/>
        <v>#NAME?</v>
      </c>
    </row>
    <row r="27" spans="1:17">
      <c r="A27" s="941">
        <v>24</v>
      </c>
      <c r="B27" s="943">
        <v>0</v>
      </c>
      <c r="C27" s="734">
        <v>11</v>
      </c>
      <c r="D27" s="619">
        <v>41</v>
      </c>
      <c r="F27">
        <f t="shared" si="13"/>
        <v>25</v>
      </c>
      <c r="G27">
        <f t="shared" si="13"/>
        <v>0</v>
      </c>
      <c r="H27" s="625">
        <f t="shared" si="13"/>
        <v>4</v>
      </c>
      <c r="I27" s="132">
        <f t="shared" si="13"/>
        <v>28</v>
      </c>
      <c r="J27">
        <f t="shared" si="9"/>
        <v>32</v>
      </c>
      <c r="K27" t="e">
        <f ca="1">1/(1+EXP(-$Q$5-MMULT(F27:G27,$Q$6:$Q$7)))</f>
        <v>#NAME?</v>
      </c>
      <c r="L27" t="e">
        <f t="shared" ca="1" si="10"/>
        <v>#NAME?</v>
      </c>
      <c r="M27" t="e">
        <f t="shared" ca="1" si="11"/>
        <v>#NAME?</v>
      </c>
      <c r="N27" t="e">
        <f t="shared" ca="1" si="12"/>
        <v>#NAME?</v>
      </c>
      <c r="P27" s="289" t="s">
        <v>2800</v>
      </c>
    </row>
    <row r="28" spans="1:17">
      <c r="A28" s="941">
        <v>25</v>
      </c>
      <c r="B28" s="943">
        <v>0</v>
      </c>
      <c r="C28" s="656">
        <v>4</v>
      </c>
      <c r="D28" s="657">
        <v>28</v>
      </c>
      <c r="F28" s="19" t="s">
        <v>2804</v>
      </c>
      <c r="G28">
        <f>B29</f>
        <v>1</v>
      </c>
      <c r="H28" s="625">
        <f>H10+H11</f>
        <v>93</v>
      </c>
      <c r="I28" s="625">
        <f>I10+I11</f>
        <v>13</v>
      </c>
      <c r="J28">
        <f t="shared" si="9"/>
        <v>106</v>
      </c>
      <c r="K28" t="e">
        <f ca="1">(J10*K10+J11*K11)/(J10+J11)</f>
        <v>#NAME?</v>
      </c>
      <c r="L28" t="e">
        <f t="shared" ca="1" si="10"/>
        <v>#NAME?</v>
      </c>
      <c r="M28" t="e">
        <f t="shared" ca="1" si="11"/>
        <v>#NAME?</v>
      </c>
      <c r="N28" t="e">
        <f t="shared" ca="1" si="12"/>
        <v>#NAME?</v>
      </c>
    </row>
    <row r="29" spans="1:17">
      <c r="A29" s="941">
        <v>20</v>
      </c>
      <c r="B29" s="943">
        <v>1</v>
      </c>
      <c r="C29" s="734">
        <v>18</v>
      </c>
      <c r="D29" s="619">
        <v>4</v>
      </c>
      <c r="F29">
        <f t="shared" ref="F29:I32" si="14">A31</f>
        <v>22</v>
      </c>
      <c r="G29">
        <f t="shared" si="14"/>
        <v>1</v>
      </c>
      <c r="H29" s="625">
        <f t="shared" si="14"/>
        <v>68</v>
      </c>
      <c r="I29" s="132">
        <f t="shared" si="14"/>
        <v>21</v>
      </c>
      <c r="J29">
        <f t="shared" si="9"/>
        <v>89</v>
      </c>
      <c r="K29" t="e">
        <f ca="1">1/(1+EXP(-$Q$5-MMULT(F29:G29,$Q$6:$Q$7)))</f>
        <v>#NAME?</v>
      </c>
      <c r="L29" t="e">
        <f t="shared" ca="1" si="10"/>
        <v>#NAME?</v>
      </c>
      <c r="M29" t="e">
        <f t="shared" ca="1" si="11"/>
        <v>#NAME?</v>
      </c>
      <c r="N29" t="e">
        <f t="shared" ca="1" si="12"/>
        <v>#NAME?</v>
      </c>
      <c r="P29" t="s">
        <v>2802</v>
      </c>
      <c r="Q29" s="1072" t="e">
        <f ca="1">N33</f>
        <v>#NAME?</v>
      </c>
    </row>
    <row r="30" spans="1:17">
      <c r="A30" s="941">
        <v>21</v>
      </c>
      <c r="B30" s="943">
        <v>1</v>
      </c>
      <c r="C30" s="734">
        <v>75</v>
      </c>
      <c r="D30" s="619">
        <v>9</v>
      </c>
      <c r="F30">
        <f t="shared" si="14"/>
        <v>23</v>
      </c>
      <c r="G30">
        <f t="shared" si="14"/>
        <v>1</v>
      </c>
      <c r="H30" s="625">
        <f t="shared" si="14"/>
        <v>59</v>
      </c>
      <c r="I30" s="132">
        <f t="shared" si="14"/>
        <v>65</v>
      </c>
      <c r="J30">
        <f t="shared" si="9"/>
        <v>124</v>
      </c>
      <c r="K30" t="e">
        <f ca="1">1/(1+EXP(-$Q$5-MMULT(F30:G30,$Q$6:$Q$7)))</f>
        <v>#NAME?</v>
      </c>
      <c r="L30" t="e">
        <f t="shared" ca="1" si="10"/>
        <v>#NAME?</v>
      </c>
      <c r="M30" t="e">
        <f t="shared" ca="1" si="11"/>
        <v>#NAME?</v>
      </c>
      <c r="N30" t="e">
        <f t="shared" ca="1" si="12"/>
        <v>#NAME?</v>
      </c>
      <c r="P30" t="s">
        <v>186</v>
      </c>
      <c r="Q30" s="627">
        <f>COUNTA(F23:F32)-2</f>
        <v>8</v>
      </c>
    </row>
    <row r="31" spans="1:17">
      <c r="A31" s="941">
        <v>22</v>
      </c>
      <c r="B31" s="943">
        <v>1</v>
      </c>
      <c r="C31" s="734">
        <v>68</v>
      </c>
      <c r="D31" s="619">
        <v>21</v>
      </c>
      <c r="F31">
        <f t="shared" si="14"/>
        <v>24</v>
      </c>
      <c r="G31">
        <f t="shared" si="14"/>
        <v>1</v>
      </c>
      <c r="H31" s="625">
        <f t="shared" si="14"/>
        <v>17</v>
      </c>
      <c r="I31" s="132">
        <f t="shared" si="14"/>
        <v>46</v>
      </c>
      <c r="J31">
        <f t="shared" si="9"/>
        <v>63</v>
      </c>
      <c r="K31" t="e">
        <f ca="1">1/(1+EXP(-$Q$5-MMULT(F31:G31,$Q$6:$Q$7)))</f>
        <v>#NAME?</v>
      </c>
      <c r="L31" t="e">
        <f t="shared" ca="1" si="10"/>
        <v>#NAME?</v>
      </c>
      <c r="M31" t="e">
        <f t="shared" ca="1" si="11"/>
        <v>#NAME?</v>
      </c>
      <c r="N31" t="e">
        <f t="shared" ca="1" si="12"/>
        <v>#NAME?</v>
      </c>
      <c r="P31" t="s">
        <v>200</v>
      </c>
      <c r="Q31" s="627" t="e">
        <f ca="1">CHIDIST(Q29,Q30)</f>
        <v>#NAME?</v>
      </c>
    </row>
    <row r="32" spans="1:17">
      <c r="A32" s="941">
        <v>23</v>
      </c>
      <c r="B32" s="943">
        <v>1</v>
      </c>
      <c r="C32" s="734">
        <v>59</v>
      </c>
      <c r="D32" s="619">
        <v>65</v>
      </c>
      <c r="F32">
        <f t="shared" si="14"/>
        <v>25</v>
      </c>
      <c r="G32">
        <f t="shared" si="14"/>
        <v>1</v>
      </c>
      <c r="H32" s="497">
        <f t="shared" si="14"/>
        <v>7</v>
      </c>
      <c r="I32" s="498">
        <f t="shared" si="14"/>
        <v>22</v>
      </c>
      <c r="J32">
        <f t="shared" si="9"/>
        <v>29</v>
      </c>
      <c r="K32" t="e">
        <f ca="1">1/(1+EXP(-$Q$5-MMULT(F32:G32,$Q$6:$Q$7)))</f>
        <v>#NAME?</v>
      </c>
      <c r="L32" t="e">
        <f t="shared" ca="1" si="10"/>
        <v>#NAME?</v>
      </c>
      <c r="M32" t="e">
        <f t="shared" ca="1" si="11"/>
        <v>#NAME?</v>
      </c>
      <c r="N32" t="e">
        <f t="shared" ca="1" si="12"/>
        <v>#NAME?</v>
      </c>
      <c r="P32" t="s">
        <v>337</v>
      </c>
      <c r="Q32" s="627">
        <v>0.05</v>
      </c>
    </row>
    <row r="33" spans="1:17">
      <c r="A33" s="941">
        <v>24</v>
      </c>
      <c r="B33" s="943">
        <v>1</v>
      </c>
      <c r="C33" s="734">
        <v>17</v>
      </c>
      <c r="D33" s="619">
        <v>46</v>
      </c>
      <c r="F33" s="1068"/>
      <c r="G33" s="1068"/>
      <c r="H33">
        <f>SUM(H23:H32)</f>
        <v>522</v>
      </c>
      <c r="I33">
        <f>SUM(I23:I32)</f>
        <v>338</v>
      </c>
      <c r="J33" s="1068">
        <f>SUM(J23:J32)</f>
        <v>860</v>
      </c>
      <c r="K33" s="1068"/>
      <c r="L33" s="1068" t="e">
        <f ca="1">SUM(L23:L32)</f>
        <v>#NAME?</v>
      </c>
      <c r="M33" s="1068" t="e">
        <f ca="1">SUM(M23:M32)</f>
        <v>#NAME?</v>
      </c>
      <c r="N33" s="1068" t="e">
        <f ca="1">SUM(N23:N32)</f>
        <v>#NAME?</v>
      </c>
      <c r="P33" t="s">
        <v>948</v>
      </c>
      <c r="Q33" s="538" t="e">
        <f ca="1">IF(Q31&lt;Q32,"yes","no")</f>
        <v>#NAME?</v>
      </c>
    </row>
    <row r="34" spans="1:17">
      <c r="A34" s="944">
        <v>25</v>
      </c>
      <c r="B34" s="945">
        <v>1</v>
      </c>
      <c r="C34" s="533">
        <v>7</v>
      </c>
      <c r="D34" s="541">
        <v>22</v>
      </c>
    </row>
    <row r="35" spans="1:17">
      <c r="C35">
        <f>SUM(C23:C34)</f>
        <v>522</v>
      </c>
      <c r="D35">
        <f>SUM(D23:D34)</f>
        <v>338</v>
      </c>
    </row>
    <row r="38" spans="1:17">
      <c r="A38" t="s">
        <v>3078</v>
      </c>
    </row>
    <row r="40" spans="1:17">
      <c r="A40" s="912" t="s">
        <v>2091</v>
      </c>
      <c r="B40" s="912" t="s">
        <v>2092</v>
      </c>
      <c r="C40" s="912" t="s">
        <v>383</v>
      </c>
      <c r="D40" s="912" t="s">
        <v>342</v>
      </c>
      <c r="F40" s="19" t="e">
        <f t="array" aca="1" ref="F40:K50" ca="1">[1]!HOSMER(A41:D52,TRUE)</f>
        <v>#NAME?</v>
      </c>
      <c r="G40" s="19" t="e">
        <f ca="1"/>
        <v>#NAME?</v>
      </c>
      <c r="H40" s="19" t="e">
        <f ca="1"/>
        <v>#NAME?</v>
      </c>
      <c r="I40" s="19" t="e">
        <f ca="1"/>
        <v>#NAME?</v>
      </c>
      <c r="J40" s="19" t="e">
        <f ca="1"/>
        <v>#NAME?</v>
      </c>
      <c r="K40" s="19" t="e">
        <f ca="1"/>
        <v>#NAME?</v>
      </c>
      <c r="L40" s="19" t="s">
        <v>3075</v>
      </c>
      <c r="M40" s="19" t="s">
        <v>3076</v>
      </c>
      <c r="O40" t="e">
        <f t="array" aca="1" ref="O40:P42" ca="1">[1]!HLTEST(A41:D52,TRUE)</f>
        <v>#NAME?</v>
      </c>
      <c r="P40" s="1156" t="e">
        <f ca="1"/>
        <v>#NAME?</v>
      </c>
    </row>
    <row r="41" spans="1:17">
      <c r="A41" s="939">
        <v>20</v>
      </c>
      <c r="B41" s="940">
        <v>0</v>
      </c>
      <c r="C41" s="937">
        <v>21</v>
      </c>
      <c r="D41" s="938">
        <v>0</v>
      </c>
      <c r="F41" t="e">
        <f ca="1"/>
        <v>#NAME?</v>
      </c>
      <c r="G41" s="1067" t="e">
        <f ca="1"/>
        <v>#NAME?</v>
      </c>
      <c r="H41" s="1067" t="e">
        <f ca="1"/>
        <v>#NAME?</v>
      </c>
      <c r="I41" s="1071" t="e">
        <f ca="1"/>
        <v>#NAME?</v>
      </c>
      <c r="J41" s="1152" t="e">
        <f ca="1"/>
        <v>#NAME?</v>
      </c>
      <c r="K41" s="1071" t="e">
        <f ca="1"/>
        <v>#NAME?</v>
      </c>
      <c r="L41" s="1067" t="e">
        <f ca="1">(H41-I41)^2/I41</f>
        <v>#NAME?</v>
      </c>
      <c r="M41" s="1071" t="e">
        <f ca="1">(K41-J41)^2/K41</f>
        <v>#NAME?</v>
      </c>
      <c r="O41" t="e">
        <f ca="1"/>
        <v>#NAME?</v>
      </c>
      <c r="P41" s="627" t="e">
        <f ca="1"/>
        <v>#NAME?</v>
      </c>
    </row>
    <row r="42" spans="1:17">
      <c r="A42" s="941">
        <v>21</v>
      </c>
      <c r="B42" s="942">
        <v>0</v>
      </c>
      <c r="C42" s="734">
        <v>90</v>
      </c>
      <c r="D42" s="619">
        <v>6</v>
      </c>
      <c r="F42" t="e">
        <f ca="1"/>
        <v>#NAME?</v>
      </c>
      <c r="G42" s="656" t="e">
        <f ca="1"/>
        <v>#NAME?</v>
      </c>
      <c r="H42" s="656" t="e">
        <f ca="1"/>
        <v>#NAME?</v>
      </c>
      <c r="I42" s="657" t="e">
        <f ca="1"/>
        <v>#NAME?</v>
      </c>
      <c r="J42" s="8" t="e">
        <f ca="1"/>
        <v>#NAME?</v>
      </c>
      <c r="K42" s="657" t="e">
        <f ca="1"/>
        <v>#NAME?</v>
      </c>
      <c r="L42" s="656" t="e">
        <f t="shared" ref="L42:L50" ca="1" si="15">(H42-I42)^2/I42</f>
        <v>#NAME?</v>
      </c>
      <c r="M42" s="657" t="e">
        <f t="shared" ref="M42:M50" ca="1" si="16">(K42-J42)^2/K42</f>
        <v>#NAME?</v>
      </c>
      <c r="O42" t="e">
        <f ca="1"/>
        <v>#NAME?</v>
      </c>
      <c r="P42" s="544" t="e">
        <f ca="1"/>
        <v>#NAME?</v>
      </c>
    </row>
    <row r="43" spans="1:17">
      <c r="A43" s="941">
        <v>22</v>
      </c>
      <c r="B43" s="942">
        <v>0</v>
      </c>
      <c r="C43" s="734">
        <v>91</v>
      </c>
      <c r="D43" s="619">
        <v>23</v>
      </c>
      <c r="F43" t="e">
        <f ca="1"/>
        <v>#NAME?</v>
      </c>
      <c r="G43" s="656" t="e">
        <f ca="1"/>
        <v>#NAME?</v>
      </c>
      <c r="H43" s="656" t="e">
        <f ca="1"/>
        <v>#NAME?</v>
      </c>
      <c r="I43" s="657" t="e">
        <f ca="1"/>
        <v>#NAME?</v>
      </c>
      <c r="J43" s="8" t="e">
        <f ca="1"/>
        <v>#NAME?</v>
      </c>
      <c r="K43" s="657" t="e">
        <f ca="1"/>
        <v>#NAME?</v>
      </c>
      <c r="L43" s="656" t="e">
        <f t="shared" ca="1" si="15"/>
        <v>#NAME?</v>
      </c>
      <c r="M43" s="657" t="e">
        <f t="shared" ca="1" si="16"/>
        <v>#NAME?</v>
      </c>
    </row>
    <row r="44" spans="1:17">
      <c r="A44" s="941">
        <v>23</v>
      </c>
      <c r="B44" s="943">
        <v>0</v>
      </c>
      <c r="C44" s="734">
        <v>61</v>
      </c>
      <c r="D44" s="619">
        <v>73</v>
      </c>
      <c r="F44" t="e">
        <f ca="1"/>
        <v>#NAME?</v>
      </c>
      <c r="G44" s="656" t="e">
        <f ca="1"/>
        <v>#NAME?</v>
      </c>
      <c r="H44" s="656" t="e">
        <f ca="1"/>
        <v>#NAME?</v>
      </c>
      <c r="I44" s="657" t="e">
        <f ca="1"/>
        <v>#NAME?</v>
      </c>
      <c r="J44" s="8" t="e">
        <f ca="1"/>
        <v>#NAME?</v>
      </c>
      <c r="K44" s="657" t="e">
        <f ca="1"/>
        <v>#NAME?</v>
      </c>
      <c r="L44" s="656" t="e">
        <f t="shared" ca="1" si="15"/>
        <v>#NAME?</v>
      </c>
      <c r="M44" s="657" t="e">
        <f t="shared" ca="1" si="16"/>
        <v>#NAME?</v>
      </c>
    </row>
    <row r="45" spans="1:17">
      <c r="A45" s="941">
        <v>24</v>
      </c>
      <c r="B45" s="943">
        <v>0</v>
      </c>
      <c r="C45" s="734">
        <v>11</v>
      </c>
      <c r="D45" s="619">
        <v>41</v>
      </c>
      <c r="F45" t="e">
        <f ca="1"/>
        <v>#NAME?</v>
      </c>
      <c r="G45" s="656" t="e">
        <f ca="1"/>
        <v>#NAME?</v>
      </c>
      <c r="H45" s="656" t="e">
        <f ca="1"/>
        <v>#NAME?</v>
      </c>
      <c r="I45" s="657" t="e">
        <f ca="1"/>
        <v>#NAME?</v>
      </c>
      <c r="J45" s="8" t="e">
        <f ca="1"/>
        <v>#NAME?</v>
      </c>
      <c r="K45" s="657" t="e">
        <f ca="1"/>
        <v>#NAME?</v>
      </c>
      <c r="L45" s="656" t="e">
        <f t="shared" ca="1" si="15"/>
        <v>#NAME?</v>
      </c>
      <c r="M45" s="657" t="e">
        <f t="shared" ca="1" si="16"/>
        <v>#NAME?</v>
      </c>
    </row>
    <row r="46" spans="1:17">
      <c r="A46" s="941">
        <v>25</v>
      </c>
      <c r="B46" s="943">
        <v>0</v>
      </c>
      <c r="C46" s="656">
        <v>4</v>
      </c>
      <c r="D46" s="657">
        <v>28</v>
      </c>
      <c r="F46" t="e">
        <f ca="1"/>
        <v>#NAME?</v>
      </c>
      <c r="G46" s="656" t="e">
        <f ca="1"/>
        <v>#NAME?</v>
      </c>
      <c r="H46" s="656" t="e">
        <f ca="1"/>
        <v>#NAME?</v>
      </c>
      <c r="I46" s="657" t="e">
        <f ca="1"/>
        <v>#NAME?</v>
      </c>
      <c r="J46" s="8" t="e">
        <f ca="1"/>
        <v>#NAME?</v>
      </c>
      <c r="K46" s="657" t="e">
        <f ca="1"/>
        <v>#NAME?</v>
      </c>
      <c r="L46" s="656" t="e">
        <f t="shared" ca="1" si="15"/>
        <v>#NAME?</v>
      </c>
      <c r="M46" s="657" t="e">
        <f t="shared" ca="1" si="16"/>
        <v>#NAME?</v>
      </c>
    </row>
    <row r="47" spans="1:17">
      <c r="A47" s="941">
        <v>20</v>
      </c>
      <c r="B47" s="943">
        <v>1</v>
      </c>
      <c r="C47" s="734">
        <v>18</v>
      </c>
      <c r="D47" s="619">
        <v>4</v>
      </c>
      <c r="F47" t="e">
        <f ca="1"/>
        <v>#NAME?</v>
      </c>
      <c r="G47" s="656" t="e">
        <f ca="1"/>
        <v>#NAME?</v>
      </c>
      <c r="H47" s="656" t="e">
        <f ca="1"/>
        <v>#NAME?</v>
      </c>
      <c r="I47" s="657" t="e">
        <f ca="1"/>
        <v>#NAME?</v>
      </c>
      <c r="J47" s="8" t="e">
        <f ca="1"/>
        <v>#NAME?</v>
      </c>
      <c r="K47" s="657" t="e">
        <f ca="1"/>
        <v>#NAME?</v>
      </c>
      <c r="L47" s="656" t="e">
        <f t="shared" ca="1" si="15"/>
        <v>#NAME?</v>
      </c>
      <c r="M47" s="657" t="e">
        <f t="shared" ca="1" si="16"/>
        <v>#NAME?</v>
      </c>
    </row>
    <row r="48" spans="1:17">
      <c r="A48" s="941">
        <v>21</v>
      </c>
      <c r="B48" s="943">
        <v>1</v>
      </c>
      <c r="C48" s="734">
        <v>75</v>
      </c>
      <c r="D48" s="619">
        <v>9</v>
      </c>
      <c r="F48" t="e">
        <f ca="1"/>
        <v>#NAME?</v>
      </c>
      <c r="G48" s="656" t="e">
        <f ca="1"/>
        <v>#NAME?</v>
      </c>
      <c r="H48" s="656" t="e">
        <f ca="1"/>
        <v>#NAME?</v>
      </c>
      <c r="I48" s="657" t="e">
        <f ca="1"/>
        <v>#NAME?</v>
      </c>
      <c r="J48" s="8" t="e">
        <f ca="1"/>
        <v>#NAME?</v>
      </c>
      <c r="K48" s="657" t="e">
        <f ca="1"/>
        <v>#NAME?</v>
      </c>
      <c r="L48" s="656" t="e">
        <f t="shared" ca="1" si="15"/>
        <v>#NAME?</v>
      </c>
      <c r="M48" s="657" t="e">
        <f t="shared" ca="1" si="16"/>
        <v>#NAME?</v>
      </c>
    </row>
    <row r="49" spans="1:13">
      <c r="A49" s="941">
        <v>22</v>
      </c>
      <c r="B49" s="943">
        <v>1</v>
      </c>
      <c r="C49" s="734">
        <v>68</v>
      </c>
      <c r="D49" s="619">
        <v>21</v>
      </c>
      <c r="F49" t="e">
        <f ca="1"/>
        <v>#NAME?</v>
      </c>
      <c r="G49" s="656" t="e">
        <f ca="1"/>
        <v>#NAME?</v>
      </c>
      <c r="H49" s="656" t="e">
        <f ca="1"/>
        <v>#NAME?</v>
      </c>
      <c r="I49" s="657" t="e">
        <f ca="1"/>
        <v>#NAME?</v>
      </c>
      <c r="J49" s="8" t="e">
        <f ca="1"/>
        <v>#NAME?</v>
      </c>
      <c r="K49" s="657" t="e">
        <f ca="1"/>
        <v>#NAME?</v>
      </c>
      <c r="L49" s="656" t="e">
        <f t="shared" ca="1" si="15"/>
        <v>#NAME?</v>
      </c>
      <c r="M49" s="657" t="e">
        <f t="shared" ca="1" si="16"/>
        <v>#NAME?</v>
      </c>
    </row>
    <row r="50" spans="1:13">
      <c r="A50" s="941">
        <v>23</v>
      </c>
      <c r="B50" s="943">
        <v>1</v>
      </c>
      <c r="C50" s="734">
        <v>59</v>
      </c>
      <c r="D50" s="619">
        <v>65</v>
      </c>
      <c r="F50" t="e">
        <f ca="1"/>
        <v>#NAME?</v>
      </c>
      <c r="G50" s="533" t="e">
        <f ca="1"/>
        <v>#NAME?</v>
      </c>
      <c r="H50" s="533" t="e">
        <f ca="1"/>
        <v>#NAME?</v>
      </c>
      <c r="I50" s="541" t="e">
        <f ca="1"/>
        <v>#NAME?</v>
      </c>
      <c r="J50" s="1078" t="e">
        <f ca="1"/>
        <v>#NAME?</v>
      </c>
      <c r="K50" s="541" t="e">
        <f ca="1"/>
        <v>#NAME?</v>
      </c>
      <c r="L50" s="533" t="e">
        <f t="shared" ca="1" si="15"/>
        <v>#NAME?</v>
      </c>
      <c r="M50" s="541" t="e">
        <f t="shared" ca="1" si="16"/>
        <v>#NAME?</v>
      </c>
    </row>
    <row r="51" spans="1:13">
      <c r="A51" s="941">
        <v>24</v>
      </c>
      <c r="B51" s="943">
        <v>1</v>
      </c>
      <c r="C51" s="734">
        <v>17</v>
      </c>
      <c r="D51" s="619">
        <v>46</v>
      </c>
      <c r="G51" t="e">
        <f t="shared" ref="G51:M51" ca="1" si="17">SUM(G41:G50)</f>
        <v>#NAME?</v>
      </c>
      <c r="H51" t="e">
        <f ca="1">SUM(H41:H50)</f>
        <v>#NAME?</v>
      </c>
      <c r="I51" t="e">
        <f t="shared" ca="1" si="17"/>
        <v>#NAME?</v>
      </c>
      <c r="J51" t="e">
        <f t="shared" ca="1" si="17"/>
        <v>#NAME?</v>
      </c>
      <c r="K51" t="e">
        <f t="shared" ca="1" si="17"/>
        <v>#NAME?</v>
      </c>
      <c r="L51" t="e">
        <f t="shared" ca="1" si="17"/>
        <v>#NAME?</v>
      </c>
      <c r="M51" t="e">
        <f t="shared" ca="1" si="17"/>
        <v>#NAME?</v>
      </c>
    </row>
    <row r="52" spans="1:13">
      <c r="A52" s="944">
        <v>25</v>
      </c>
      <c r="B52" s="945">
        <v>1</v>
      </c>
      <c r="C52" s="533">
        <v>7</v>
      </c>
      <c r="D52" s="541">
        <v>22</v>
      </c>
    </row>
    <row r="53" spans="1:13">
      <c r="C53">
        <f>SUM(C41:C52)</f>
        <v>522</v>
      </c>
      <c r="D53">
        <f>SUM(D41:D52)</f>
        <v>338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sheetPr codeName="Sheet243"/>
  <dimension ref="A1:AL31"/>
  <sheetViews>
    <sheetView workbookViewId="0"/>
  </sheetViews>
  <sheetFormatPr defaultRowHeight="14.4"/>
  <cols>
    <col min="1" max="5" width="9.33203125" customWidth="1"/>
    <col min="6" max="6" width="5.109375" customWidth="1"/>
    <col min="7" max="12" width="9.33203125" customWidth="1"/>
    <col min="13" max="14" width="9.33203125" bestFit="1" customWidth="1"/>
    <col min="23" max="23" width="3.44140625" customWidth="1"/>
    <col min="26" max="26" width="3.33203125" customWidth="1"/>
    <col min="29" max="29" width="4.109375" customWidth="1"/>
    <col min="30" max="30" width="42" customWidth="1"/>
  </cols>
  <sheetData>
    <row r="1" spans="1:38">
      <c r="A1" s="1" t="s">
        <v>2963</v>
      </c>
    </row>
    <row r="2" spans="1:38">
      <c r="A2" t="s">
        <v>2980</v>
      </c>
    </row>
    <row r="3" spans="1:38" ht="15" thickBot="1">
      <c r="G3" s="1587" t="s">
        <v>3012</v>
      </c>
      <c r="H3" s="1587"/>
      <c r="I3" s="1587" t="s">
        <v>357</v>
      </c>
      <c r="J3" s="1587"/>
      <c r="K3" s="1587"/>
      <c r="L3" s="1587"/>
      <c r="M3" s="1587" t="s">
        <v>381</v>
      </c>
      <c r="N3" s="1587"/>
      <c r="O3" s="1587" t="s">
        <v>3014</v>
      </c>
      <c r="P3" s="1587"/>
      <c r="Q3" s="1587"/>
      <c r="R3" s="1587" t="s">
        <v>3013</v>
      </c>
      <c r="S3" s="1587"/>
      <c r="T3" s="1587"/>
      <c r="U3" s="1587" t="s">
        <v>3011</v>
      </c>
      <c r="V3" s="1587"/>
    </row>
    <row r="4" spans="1:38" ht="15" thickTop="1">
      <c r="A4" s="912" t="s">
        <v>2977</v>
      </c>
      <c r="B4" s="912" t="s">
        <v>1041</v>
      </c>
      <c r="C4" s="912" t="s">
        <v>2979</v>
      </c>
      <c r="D4" s="912" t="s">
        <v>362</v>
      </c>
      <c r="E4" s="912" t="s">
        <v>2978</v>
      </c>
      <c r="G4" s="1151" t="str">
        <f>A4</f>
        <v>Dosage</v>
      </c>
      <c r="H4" s="1151" t="str">
        <f t="shared" ref="H4:K5" si="0">B4</f>
        <v>Gender</v>
      </c>
      <c r="I4" s="1151" t="str">
        <f t="shared" si="0"/>
        <v>Dead</v>
      </c>
      <c r="J4" s="1151" t="str">
        <f t="shared" si="0"/>
        <v>Cured</v>
      </c>
      <c r="K4" s="1151" t="str">
        <f t="shared" si="0"/>
        <v>Sick</v>
      </c>
      <c r="L4" s="1151" t="s">
        <v>12</v>
      </c>
      <c r="M4" s="1151" t="str">
        <f>J4</f>
        <v>Cured</v>
      </c>
      <c r="N4" s="1151" t="str">
        <f>K4</f>
        <v>Sick</v>
      </c>
      <c r="O4" s="1151" t="str">
        <f>I4</f>
        <v>Dead</v>
      </c>
      <c r="P4" s="1151" t="str">
        <f>J4</f>
        <v>Cured</v>
      </c>
      <c r="Q4" s="1151" t="str">
        <f>K4</f>
        <v>Sick</v>
      </c>
      <c r="R4" s="1151" t="str">
        <f>O4</f>
        <v>Dead</v>
      </c>
      <c r="S4" s="1151" t="str">
        <f>P4</f>
        <v>Cured</v>
      </c>
      <c r="T4" s="1151" t="str">
        <f>Q4</f>
        <v>Sick</v>
      </c>
      <c r="U4" s="1151" t="s">
        <v>1982</v>
      </c>
      <c r="V4" s="1151" t="s">
        <v>2972</v>
      </c>
      <c r="X4" s="1552" t="s">
        <v>699</v>
      </c>
      <c r="Y4" s="1552"/>
      <c r="AA4" t="s">
        <v>1981</v>
      </c>
      <c r="AB4" s="1138">
        <f>SUMPRODUCT(I17:K17,LN(I17:K17/L17))+V17</f>
        <v>-170.26899101461777</v>
      </c>
      <c r="AC4" s="8"/>
      <c r="AD4" s="1160" t="s">
        <v>3027</v>
      </c>
      <c r="AF4" t="s">
        <v>2964</v>
      </c>
    </row>
    <row r="5" spans="1:38">
      <c r="A5" s="1122">
        <v>20</v>
      </c>
      <c r="B5" s="1146">
        <v>0</v>
      </c>
      <c r="C5" s="1129">
        <v>13</v>
      </c>
      <c r="D5" s="1147">
        <v>0</v>
      </c>
      <c r="E5" s="1148">
        <v>8</v>
      </c>
      <c r="G5">
        <f>A5</f>
        <v>20</v>
      </c>
      <c r="H5">
        <f t="shared" si="0"/>
        <v>0</v>
      </c>
      <c r="I5" s="1067">
        <f t="shared" si="0"/>
        <v>13</v>
      </c>
      <c r="J5" s="1068">
        <f t="shared" si="0"/>
        <v>0</v>
      </c>
      <c r="K5" s="1068">
        <f t="shared" si="0"/>
        <v>8</v>
      </c>
      <c r="L5" s="1071">
        <f>SUM(I5:K5)</f>
        <v>21</v>
      </c>
      <c r="M5" s="1067" t="e">
        <f ca="1">EXP(X$6+MMULT($G5:$H5,X$7:X$8))</f>
        <v>#NAME?</v>
      </c>
      <c r="N5" s="1071" t="e">
        <f ca="1">EXP(Y$6+MMULT($G5:$H5,Y$7:Y$8))</f>
        <v>#NAME?</v>
      </c>
      <c r="O5" s="1067" t="e">
        <f ca="1">1/(1+$M5+$N5)</f>
        <v>#NAME?</v>
      </c>
      <c r="P5" s="1068" t="e">
        <f ca="1">M5*O5</f>
        <v>#NAME?</v>
      </c>
      <c r="Q5" s="1071" t="e">
        <f ca="1">N5*O5</f>
        <v>#NAME?</v>
      </c>
      <c r="R5" s="1067" t="e">
        <f ca="1">O5*$L5</f>
        <v>#NAME?</v>
      </c>
      <c r="S5" s="1068" t="e">
        <f ca="1">P5*$L5</f>
        <v>#NAME?</v>
      </c>
      <c r="T5" s="1071" t="e">
        <f ca="1">Q5*$L5</f>
        <v>#NAME?</v>
      </c>
      <c r="U5" s="8" t="e">
        <f ca="1">I5*LN(O5)+J5*LN(P5)+K5*LN(Q5)</f>
        <v>#NAME?</v>
      </c>
      <c r="V5" s="8">
        <f>GAMMALN(L5+1)-GAMMALN(I5+1)-GAMMALN(J5+1)-GAMMALN(K5+1)</f>
        <v>12.223372142608234</v>
      </c>
      <c r="AA5" t="s">
        <v>2084</v>
      </c>
      <c r="AB5" s="1073" t="e">
        <f ca="1">U17+V17</f>
        <v>#NAME?</v>
      </c>
      <c r="AC5" s="8"/>
      <c r="AD5" s="1160" t="s">
        <v>3019</v>
      </c>
      <c r="AF5" s="1"/>
    </row>
    <row r="6" spans="1:38">
      <c r="A6" s="941">
        <v>21</v>
      </c>
      <c r="B6" s="942">
        <v>0</v>
      </c>
      <c r="C6" s="734">
        <v>60</v>
      </c>
      <c r="D6" s="174">
        <v>6</v>
      </c>
      <c r="E6" s="1149">
        <v>30</v>
      </c>
      <c r="G6">
        <f t="shared" ref="G6:G16" si="1">A6</f>
        <v>21</v>
      </c>
      <c r="H6">
        <f t="shared" ref="H6:H16" si="2">B6</f>
        <v>0</v>
      </c>
      <c r="I6" s="656">
        <f t="shared" ref="I6:I16" si="3">C6</f>
        <v>60</v>
      </c>
      <c r="J6" s="8">
        <f t="shared" ref="J6:J16" si="4">D6</f>
        <v>6</v>
      </c>
      <c r="K6" s="8">
        <f t="shared" ref="K6:K16" si="5">E6</f>
        <v>30</v>
      </c>
      <c r="L6" s="657">
        <f t="shared" ref="L6:L16" si="6">SUM(I6:K6)</f>
        <v>96</v>
      </c>
      <c r="M6" s="656" t="e">
        <f t="shared" ref="M6:N16" ca="1" si="7">EXP(X$6+MMULT($G6:$H6,X$7:X$8))</f>
        <v>#NAME?</v>
      </c>
      <c r="N6" s="657" t="e">
        <f t="shared" ca="1" si="7"/>
        <v>#NAME?</v>
      </c>
      <c r="O6" s="656" t="e">
        <f t="shared" ref="O6:O16" ca="1" si="8">1/(1+$M6+$N6)</f>
        <v>#NAME?</v>
      </c>
      <c r="P6" s="8" t="e">
        <f t="shared" ref="P6:P16" ca="1" si="9">M6*O6</f>
        <v>#NAME?</v>
      </c>
      <c r="Q6" s="657" t="e">
        <f t="shared" ref="Q6:Q16" ca="1" si="10">N6*O6</f>
        <v>#NAME?</v>
      </c>
      <c r="R6" s="656" t="e">
        <f t="shared" ref="R6:R16" ca="1" si="11">O6*$L6</f>
        <v>#NAME?</v>
      </c>
      <c r="S6" s="8" t="e">
        <f t="shared" ref="S6:S16" ca="1" si="12">P6*$L6</f>
        <v>#NAME?</v>
      </c>
      <c r="T6" s="657" t="e">
        <f t="shared" ref="T6:T16" ca="1" si="13">Q6*$L6</f>
        <v>#NAME?</v>
      </c>
      <c r="U6" s="8" t="e">
        <f t="shared" ref="U6:U16" ca="1" si="14">I6*LN(O6)+J6*LN(P6)+K6*LN(Q6)</f>
        <v>#NAME?</v>
      </c>
      <c r="V6" s="8">
        <f t="shared" ref="V6:V16" si="15">GAMMALN(L6+1)-GAMMALN(I6+1)-GAMMALN(J6+1)-GAMMALN(K6+1)</f>
        <v>75.513746077754988</v>
      </c>
      <c r="X6" s="1118" t="e">
        <f t="array" aca="1" ref="X6:X8" ca="1">[1]!LogitCoeff([1]!MLogitExtract(A5:E16,2,"1,0",FALSE))</f>
        <v>#NAME?</v>
      </c>
      <c r="Y6" s="1156" t="e">
        <f t="array" aca="1" ref="Y6:Y8" ca="1">[1]!LogitCoeff([1]!MLogitExtract(A5:E16,2,"2,0",FALSE))</f>
        <v>#NAME?</v>
      </c>
      <c r="AF6" s="399" t="s">
        <v>2977</v>
      </c>
      <c r="AG6" s="399" t="s">
        <v>1041</v>
      </c>
      <c r="AH6" s="399" t="s">
        <v>3016</v>
      </c>
      <c r="AI6" s="399" t="s">
        <v>3017</v>
      </c>
      <c r="AJ6" s="399" t="s">
        <v>2979</v>
      </c>
      <c r="AK6" s="399" t="s">
        <v>362</v>
      </c>
      <c r="AL6" s="399" t="s">
        <v>2978</v>
      </c>
    </row>
    <row r="7" spans="1:38">
      <c r="A7" s="941">
        <v>22</v>
      </c>
      <c r="B7" s="942">
        <v>0</v>
      </c>
      <c r="C7" s="734">
        <v>61</v>
      </c>
      <c r="D7" s="174">
        <v>13</v>
      </c>
      <c r="E7" s="1149">
        <v>40</v>
      </c>
      <c r="G7">
        <f t="shared" si="1"/>
        <v>22</v>
      </c>
      <c r="H7">
        <f t="shared" si="2"/>
        <v>0</v>
      </c>
      <c r="I7" s="656">
        <f t="shared" si="3"/>
        <v>61</v>
      </c>
      <c r="J7" s="8">
        <f t="shared" si="4"/>
        <v>13</v>
      </c>
      <c r="K7" s="8">
        <f t="shared" si="5"/>
        <v>40</v>
      </c>
      <c r="L7" s="657">
        <f t="shared" si="6"/>
        <v>114</v>
      </c>
      <c r="M7" s="656" t="e">
        <f t="shared" ca="1" si="7"/>
        <v>#NAME?</v>
      </c>
      <c r="N7" s="657" t="e">
        <f t="shared" ca="1" si="7"/>
        <v>#NAME?</v>
      </c>
      <c r="O7" s="656" t="e">
        <f t="shared" ca="1" si="8"/>
        <v>#NAME?</v>
      </c>
      <c r="P7" s="8" t="e">
        <f t="shared" ca="1" si="9"/>
        <v>#NAME?</v>
      </c>
      <c r="Q7" s="657" t="e">
        <f t="shared" ca="1" si="10"/>
        <v>#NAME?</v>
      </c>
      <c r="R7" s="656" t="e">
        <f t="shared" ca="1" si="11"/>
        <v>#NAME?</v>
      </c>
      <c r="S7" s="8" t="e">
        <f t="shared" ca="1" si="12"/>
        <v>#NAME?</v>
      </c>
      <c r="T7" s="657" t="e">
        <f t="shared" ca="1" si="13"/>
        <v>#NAME?</v>
      </c>
      <c r="U7" s="8" t="e">
        <f t="shared" ca="1" si="14"/>
        <v>#NAME?</v>
      </c>
      <c r="V7" s="8">
        <f t="shared" si="15"/>
        <v>103.60254101092582</v>
      </c>
      <c r="X7" s="946" t="e">
        <f ca="1"/>
        <v>#NAME?</v>
      </c>
      <c r="Y7" s="627" t="e">
        <f ca="1"/>
        <v>#NAME?</v>
      </c>
      <c r="AA7" t="s">
        <v>2099</v>
      </c>
      <c r="AB7" s="1138" t="e">
        <f ca="1">2*(AB5-AB4)</f>
        <v>#NAME?</v>
      </c>
      <c r="AC7" s="8"/>
      <c r="AD7" s="1160" t="s">
        <v>3020</v>
      </c>
      <c r="AF7" s="1067">
        <v>24</v>
      </c>
      <c r="AG7" s="1068">
        <v>1</v>
      </c>
      <c r="AH7" s="1067" t="e">
        <f t="shared" ref="AH7:AI10" ca="1" si="16">EXP(X$6+MMULT($AF7:$AG7,X$7:X$8))</f>
        <v>#NAME?</v>
      </c>
      <c r="AI7" s="1071" t="e">
        <f t="shared" ca="1" si="16"/>
        <v>#NAME?</v>
      </c>
      <c r="AJ7" s="1068" t="e">
        <f ca="1">1/(1+AH7+AI7)</f>
        <v>#NAME?</v>
      </c>
      <c r="AK7" s="1068" t="e">
        <f ca="1">AH7*$AJ7</f>
        <v>#NAME?</v>
      </c>
      <c r="AL7" s="1071" t="e">
        <f ca="1">AI7*$AJ7</f>
        <v>#NAME?</v>
      </c>
    </row>
    <row r="8" spans="1:38">
      <c r="A8" s="941">
        <v>23</v>
      </c>
      <c r="B8" s="943">
        <v>0</v>
      </c>
      <c r="C8" s="734">
        <v>49</v>
      </c>
      <c r="D8" s="174">
        <v>60</v>
      </c>
      <c r="E8" s="1149">
        <v>25</v>
      </c>
      <c r="G8">
        <f t="shared" si="1"/>
        <v>23</v>
      </c>
      <c r="H8">
        <f t="shared" si="2"/>
        <v>0</v>
      </c>
      <c r="I8" s="656">
        <f t="shared" si="3"/>
        <v>49</v>
      </c>
      <c r="J8" s="8">
        <f t="shared" si="4"/>
        <v>60</v>
      </c>
      <c r="K8" s="8">
        <f t="shared" si="5"/>
        <v>25</v>
      </c>
      <c r="L8" s="657">
        <f t="shared" si="6"/>
        <v>134</v>
      </c>
      <c r="M8" s="656" t="e">
        <f t="shared" ca="1" si="7"/>
        <v>#NAME?</v>
      </c>
      <c r="N8" s="657" t="e">
        <f t="shared" ca="1" si="7"/>
        <v>#NAME?</v>
      </c>
      <c r="O8" s="656" t="e">
        <f t="shared" ca="1" si="8"/>
        <v>#NAME?</v>
      </c>
      <c r="P8" s="8" t="e">
        <f t="shared" ca="1" si="9"/>
        <v>#NAME?</v>
      </c>
      <c r="Q8" s="657" t="e">
        <f t="shared" ca="1" si="10"/>
        <v>#NAME?</v>
      </c>
      <c r="R8" s="656" t="e">
        <f t="shared" ca="1" si="11"/>
        <v>#NAME?</v>
      </c>
      <c r="S8" s="8" t="e">
        <f t="shared" ca="1" si="12"/>
        <v>#NAME?</v>
      </c>
      <c r="T8" s="657" t="e">
        <f t="shared" ca="1" si="13"/>
        <v>#NAME?</v>
      </c>
      <c r="U8" s="8" t="e">
        <f t="shared" ca="1" si="14"/>
        <v>#NAME?</v>
      </c>
      <c r="V8" s="8">
        <f t="shared" si="15"/>
        <v>134.48149092299815</v>
      </c>
      <c r="X8" s="1073" t="e">
        <f ca="1"/>
        <v>#NAME?</v>
      </c>
      <c r="Y8" s="544" t="e">
        <f ca="1"/>
        <v>#NAME?</v>
      </c>
      <c r="AA8" t="s">
        <v>186</v>
      </c>
      <c r="AB8" s="946">
        <f>COUNT(I5:J5)</f>
        <v>2</v>
      </c>
      <c r="AC8" s="8"/>
      <c r="AD8" s="1160" t="s">
        <v>3021</v>
      </c>
      <c r="AF8" s="656">
        <v>24</v>
      </c>
      <c r="AG8" s="8">
        <v>0</v>
      </c>
      <c r="AH8" s="656" t="e">
        <f t="shared" ca="1" si="16"/>
        <v>#NAME?</v>
      </c>
      <c r="AI8" s="657" t="e">
        <f t="shared" ca="1" si="16"/>
        <v>#NAME?</v>
      </c>
      <c r="AJ8" s="8" t="e">
        <f ca="1">1/(1+AH8+AI8)</f>
        <v>#NAME?</v>
      </c>
      <c r="AK8" s="8" t="e">
        <f t="shared" ref="AK8:AL10" ca="1" si="17">AH8*$AJ8</f>
        <v>#NAME?</v>
      </c>
      <c r="AL8" s="657" t="e">
        <f t="shared" ca="1" si="17"/>
        <v>#NAME?</v>
      </c>
    </row>
    <row r="9" spans="1:38">
      <c r="A9" s="941">
        <v>24</v>
      </c>
      <c r="B9" s="943">
        <v>0</v>
      </c>
      <c r="C9" s="734">
        <v>8</v>
      </c>
      <c r="D9" s="174">
        <v>29</v>
      </c>
      <c r="E9" s="1149">
        <v>15</v>
      </c>
      <c r="G9">
        <f t="shared" si="1"/>
        <v>24</v>
      </c>
      <c r="H9">
        <f t="shared" si="2"/>
        <v>0</v>
      </c>
      <c r="I9" s="656">
        <f t="shared" si="3"/>
        <v>8</v>
      </c>
      <c r="J9" s="8">
        <v>15</v>
      </c>
      <c r="K9" s="8">
        <v>29</v>
      </c>
      <c r="L9" s="657">
        <f t="shared" si="6"/>
        <v>52</v>
      </c>
      <c r="M9" s="656" t="e">
        <f t="shared" ca="1" si="7"/>
        <v>#NAME?</v>
      </c>
      <c r="N9" s="657" t="e">
        <f t="shared" ca="1" si="7"/>
        <v>#NAME?</v>
      </c>
      <c r="O9" s="656" t="e">
        <f t="shared" ca="1" si="8"/>
        <v>#NAME?</v>
      </c>
      <c r="P9" s="8" t="e">
        <f t="shared" ca="1" si="9"/>
        <v>#NAME?</v>
      </c>
      <c r="Q9" s="657" t="e">
        <f t="shared" ca="1" si="10"/>
        <v>#NAME?</v>
      </c>
      <c r="R9" s="656" t="e">
        <f t="shared" ca="1" si="11"/>
        <v>#NAME?</v>
      </c>
      <c r="S9" s="8" t="e">
        <f t="shared" ca="1" si="12"/>
        <v>#NAME?</v>
      </c>
      <c r="T9" s="657" t="e">
        <f t="shared" ca="1" si="13"/>
        <v>#NAME?</v>
      </c>
      <c r="U9" s="8" t="e">
        <f t="shared" ca="1" si="14"/>
        <v>#NAME?</v>
      </c>
      <c r="V9" s="8">
        <f t="shared" si="15"/>
        <v>46.599923049324644</v>
      </c>
      <c r="AA9" t="s">
        <v>200</v>
      </c>
      <c r="AB9" s="946" t="e">
        <f ca="1">CHIDIST(AB7,AB8)</f>
        <v>#NAME?</v>
      </c>
      <c r="AC9" s="8"/>
      <c r="AD9" s="218" t="s">
        <v>3022</v>
      </c>
      <c r="AF9" s="872">
        <v>24.5</v>
      </c>
      <c r="AG9" s="8">
        <v>1</v>
      </c>
      <c r="AH9" s="656" t="e">
        <f t="shared" ca="1" si="16"/>
        <v>#NAME?</v>
      </c>
      <c r="AI9" s="657" t="e">
        <f t="shared" ca="1" si="16"/>
        <v>#NAME?</v>
      </c>
      <c r="AJ9" s="8" t="e">
        <f ca="1">1/(1+AH9+AI9)</f>
        <v>#NAME?</v>
      </c>
      <c r="AK9" s="8" t="e">
        <f t="shared" ca="1" si="17"/>
        <v>#NAME?</v>
      </c>
      <c r="AL9" s="657" t="e">
        <f t="shared" ca="1" si="17"/>
        <v>#NAME?</v>
      </c>
    </row>
    <row r="10" spans="1:38">
      <c r="A10" s="941">
        <v>25</v>
      </c>
      <c r="B10" s="943">
        <v>0</v>
      </c>
      <c r="C10" s="656">
        <v>4</v>
      </c>
      <c r="D10" s="8">
        <v>20</v>
      </c>
      <c r="E10" s="1149">
        <v>8</v>
      </c>
      <c r="G10">
        <f t="shared" si="1"/>
        <v>25</v>
      </c>
      <c r="H10">
        <f t="shared" si="2"/>
        <v>0</v>
      </c>
      <c r="I10" s="656">
        <f t="shared" si="3"/>
        <v>4</v>
      </c>
      <c r="J10" s="8">
        <f t="shared" si="4"/>
        <v>20</v>
      </c>
      <c r="K10" s="8">
        <f t="shared" si="5"/>
        <v>8</v>
      </c>
      <c r="L10" s="657">
        <f t="shared" si="6"/>
        <v>32</v>
      </c>
      <c r="M10" s="656" t="e">
        <f t="shared" ca="1" si="7"/>
        <v>#NAME?</v>
      </c>
      <c r="N10" s="657" t="e">
        <f t="shared" ca="1" si="7"/>
        <v>#NAME?</v>
      </c>
      <c r="O10" s="656" t="e">
        <f t="shared" ca="1" si="8"/>
        <v>#NAME?</v>
      </c>
      <c r="P10" s="8" t="e">
        <f t="shared" ca="1" si="9"/>
        <v>#NAME?</v>
      </c>
      <c r="Q10" s="657" t="e">
        <f t="shared" ca="1" si="10"/>
        <v>#NAME?</v>
      </c>
      <c r="R10" s="656" t="e">
        <f t="shared" ca="1" si="11"/>
        <v>#NAME?</v>
      </c>
      <c r="S10" s="8" t="e">
        <f t="shared" ca="1" si="12"/>
        <v>#NAME?</v>
      </c>
      <c r="T10" s="657" t="e">
        <f t="shared" ca="1" si="13"/>
        <v>#NAME?</v>
      </c>
      <c r="U10" s="8" t="e">
        <f t="shared" ca="1" si="14"/>
        <v>#NAME?</v>
      </c>
      <c r="V10" s="8">
        <f t="shared" si="15"/>
        <v>25.439686262268342</v>
      </c>
      <c r="AA10" t="s">
        <v>337</v>
      </c>
      <c r="AB10" s="946">
        <v>0.05</v>
      </c>
      <c r="AC10" s="8"/>
      <c r="AD10" s="8"/>
      <c r="AF10" s="1137">
        <v>24.5</v>
      </c>
      <c r="AG10" s="1078">
        <v>0</v>
      </c>
      <c r="AH10" s="533" t="e">
        <f t="shared" ca="1" si="16"/>
        <v>#NAME?</v>
      </c>
      <c r="AI10" s="541" t="e">
        <f t="shared" ca="1" si="16"/>
        <v>#NAME?</v>
      </c>
      <c r="AJ10" s="1078" t="e">
        <f ca="1">1/(1+AH10+AI10)</f>
        <v>#NAME?</v>
      </c>
      <c r="AK10" s="1078" t="e">
        <f t="shared" ca="1" si="17"/>
        <v>#NAME?</v>
      </c>
      <c r="AL10" s="541" t="e">
        <f t="shared" ca="1" si="17"/>
        <v>#NAME?</v>
      </c>
    </row>
    <row r="11" spans="1:38">
      <c r="A11" s="941">
        <v>20</v>
      </c>
      <c r="B11" s="943">
        <v>1</v>
      </c>
      <c r="C11" s="734">
        <v>16</v>
      </c>
      <c r="D11" s="174">
        <v>4</v>
      </c>
      <c r="E11" s="1149">
        <v>2</v>
      </c>
      <c r="G11">
        <f t="shared" si="1"/>
        <v>20</v>
      </c>
      <c r="H11">
        <f t="shared" si="2"/>
        <v>1</v>
      </c>
      <c r="I11" s="656">
        <f t="shared" si="3"/>
        <v>16</v>
      </c>
      <c r="J11" s="8">
        <f t="shared" si="4"/>
        <v>4</v>
      </c>
      <c r="K11" s="8">
        <f t="shared" si="5"/>
        <v>2</v>
      </c>
      <c r="L11" s="657">
        <f t="shared" si="6"/>
        <v>22</v>
      </c>
      <c r="M11" s="656" t="e">
        <f t="shared" ca="1" si="7"/>
        <v>#NAME?</v>
      </c>
      <c r="N11" s="657" t="e">
        <f t="shared" ca="1" si="7"/>
        <v>#NAME?</v>
      </c>
      <c r="O11" s="656" t="e">
        <f t="shared" ca="1" si="8"/>
        <v>#NAME?</v>
      </c>
      <c r="P11" s="8" t="e">
        <f t="shared" ca="1" si="9"/>
        <v>#NAME?</v>
      </c>
      <c r="Q11" s="657" t="e">
        <f t="shared" ca="1" si="10"/>
        <v>#NAME?</v>
      </c>
      <c r="R11" s="656" t="e">
        <f t="shared" ca="1" si="11"/>
        <v>#NAME?</v>
      </c>
      <c r="S11" s="8" t="e">
        <f t="shared" ca="1" si="12"/>
        <v>#NAME?</v>
      </c>
      <c r="T11" s="657" t="e">
        <f t="shared" ca="1" si="13"/>
        <v>#NAME?</v>
      </c>
      <c r="U11" s="8" t="e">
        <f t="shared" ca="1" si="14"/>
        <v>#NAME?</v>
      </c>
      <c r="V11" s="8">
        <f t="shared" si="15"/>
        <v>13.928120234846661</v>
      </c>
      <c r="AA11" t="s">
        <v>948</v>
      </c>
      <c r="AB11" s="1074" t="e">
        <f ca="1">IF(AB9&lt;AB10,"yes","no")</f>
        <v>#NAME?</v>
      </c>
      <c r="AC11" s="42"/>
      <c r="AD11" s="1161" t="s">
        <v>3023</v>
      </c>
    </row>
    <row r="12" spans="1:38">
      <c r="A12" s="941">
        <v>21</v>
      </c>
      <c r="B12" s="943">
        <v>1</v>
      </c>
      <c r="C12" s="734">
        <v>67</v>
      </c>
      <c r="D12" s="174">
        <v>9</v>
      </c>
      <c r="E12" s="1149">
        <v>8</v>
      </c>
      <c r="G12">
        <f t="shared" si="1"/>
        <v>21</v>
      </c>
      <c r="H12">
        <f t="shared" si="2"/>
        <v>1</v>
      </c>
      <c r="I12" s="656">
        <f t="shared" si="3"/>
        <v>67</v>
      </c>
      <c r="J12" s="8">
        <f t="shared" si="4"/>
        <v>9</v>
      </c>
      <c r="K12" s="8">
        <f t="shared" si="5"/>
        <v>8</v>
      </c>
      <c r="L12" s="657">
        <f t="shared" si="6"/>
        <v>84</v>
      </c>
      <c r="M12" s="656" t="e">
        <f t="shared" ca="1" si="7"/>
        <v>#NAME?</v>
      </c>
      <c r="N12" s="657" t="e">
        <f t="shared" ca="1" si="7"/>
        <v>#NAME?</v>
      </c>
      <c r="O12" s="656" t="e">
        <f t="shared" ca="1" si="8"/>
        <v>#NAME?</v>
      </c>
      <c r="P12" s="8" t="e">
        <f t="shared" ca="1" si="9"/>
        <v>#NAME?</v>
      </c>
      <c r="Q12" s="657" t="e">
        <f t="shared" ca="1" si="10"/>
        <v>#NAME?</v>
      </c>
      <c r="R12" s="656" t="e">
        <f t="shared" ca="1" si="11"/>
        <v>#NAME?</v>
      </c>
      <c r="S12" s="8" t="e">
        <f t="shared" ca="1" si="12"/>
        <v>#NAME?</v>
      </c>
      <c r="T12" s="657" t="e">
        <f t="shared" ca="1" si="13"/>
        <v>#NAME?</v>
      </c>
      <c r="U12" s="8" t="e">
        <f t="shared" ca="1" si="14"/>
        <v>#NAME?</v>
      </c>
      <c r="V12" s="8">
        <f t="shared" si="15"/>
        <v>50.180585597489312</v>
      </c>
    </row>
    <row r="13" spans="1:38">
      <c r="A13" s="941">
        <v>22</v>
      </c>
      <c r="B13" s="943">
        <v>1</v>
      </c>
      <c r="C13" s="734">
        <v>55</v>
      </c>
      <c r="D13" s="174">
        <v>20</v>
      </c>
      <c r="E13" s="1149">
        <v>14</v>
      </c>
      <c r="G13">
        <f t="shared" si="1"/>
        <v>22</v>
      </c>
      <c r="H13">
        <f t="shared" si="2"/>
        <v>1</v>
      </c>
      <c r="I13" s="656">
        <f t="shared" si="3"/>
        <v>55</v>
      </c>
      <c r="J13" s="8">
        <f t="shared" si="4"/>
        <v>20</v>
      </c>
      <c r="K13" s="8">
        <f t="shared" si="5"/>
        <v>14</v>
      </c>
      <c r="L13" s="657">
        <f t="shared" si="6"/>
        <v>89</v>
      </c>
      <c r="M13" s="656" t="e">
        <f t="shared" ca="1" si="7"/>
        <v>#NAME?</v>
      </c>
      <c r="N13" s="657" t="e">
        <f t="shared" ca="1" si="7"/>
        <v>#NAME?</v>
      </c>
      <c r="O13" s="656" t="e">
        <f t="shared" ca="1" si="8"/>
        <v>#NAME?</v>
      </c>
      <c r="P13" s="8" t="e">
        <f t="shared" ca="1" si="9"/>
        <v>#NAME?</v>
      </c>
      <c r="Q13" s="657" t="e">
        <f t="shared" ca="1" si="10"/>
        <v>#NAME?</v>
      </c>
      <c r="R13" s="656" t="e">
        <f t="shared" ca="1" si="11"/>
        <v>#NAME?</v>
      </c>
      <c r="S13" s="8" t="e">
        <f t="shared" ca="1" si="12"/>
        <v>#NAME?</v>
      </c>
      <c r="T13" s="657" t="e">
        <f t="shared" ca="1" si="13"/>
        <v>#NAME?</v>
      </c>
      <c r="U13" s="8" t="e">
        <f t="shared" ca="1" si="14"/>
        <v>#NAME?</v>
      </c>
      <c r="V13" s="8">
        <f t="shared" si="15"/>
        <v>77.798546857959138</v>
      </c>
      <c r="AA13" t="s">
        <v>2096</v>
      </c>
      <c r="AB13" s="1138" t="e">
        <f ca="1">1-(AB5-V17)/(AB4-V17)</f>
        <v>#NAME?</v>
      </c>
      <c r="AC13" s="8"/>
      <c r="AD13" s="1160" t="s">
        <v>3024</v>
      </c>
    </row>
    <row r="14" spans="1:38">
      <c r="A14" s="941">
        <v>23</v>
      </c>
      <c r="B14" s="943">
        <v>1</v>
      </c>
      <c r="C14" s="734">
        <v>49</v>
      </c>
      <c r="D14" s="174">
        <v>55</v>
      </c>
      <c r="E14" s="1149">
        <v>20</v>
      </c>
      <c r="G14">
        <f t="shared" si="1"/>
        <v>23</v>
      </c>
      <c r="H14">
        <f t="shared" si="2"/>
        <v>1</v>
      </c>
      <c r="I14" s="656">
        <f t="shared" si="3"/>
        <v>49</v>
      </c>
      <c r="J14" s="8">
        <f t="shared" si="4"/>
        <v>55</v>
      </c>
      <c r="K14" s="8">
        <f t="shared" si="5"/>
        <v>20</v>
      </c>
      <c r="L14" s="657">
        <f t="shared" si="6"/>
        <v>124</v>
      </c>
      <c r="M14" s="656" t="e">
        <f t="shared" ca="1" si="7"/>
        <v>#NAME?</v>
      </c>
      <c r="N14" s="657" t="e">
        <f t="shared" ca="1" si="7"/>
        <v>#NAME?</v>
      </c>
      <c r="O14" s="656" t="e">
        <f t="shared" ca="1" si="8"/>
        <v>#NAME?</v>
      </c>
      <c r="P14" s="8" t="e">
        <f t="shared" ca="1" si="9"/>
        <v>#NAME?</v>
      </c>
      <c r="Q14" s="657" t="e">
        <f t="shared" ca="1" si="10"/>
        <v>#NAME?</v>
      </c>
      <c r="R14" s="656" t="e">
        <f t="shared" ca="1" si="11"/>
        <v>#NAME?</v>
      </c>
      <c r="S14" s="8" t="e">
        <f t="shared" ca="1" si="12"/>
        <v>#NAME?</v>
      </c>
      <c r="T14" s="657" t="e">
        <f t="shared" ca="1" si="13"/>
        <v>#NAME?</v>
      </c>
      <c r="U14" s="8" t="e">
        <f t="shared" ca="1" si="14"/>
        <v>#NAME?</v>
      </c>
      <c r="V14" s="8">
        <f t="shared" si="15"/>
        <v>121.81585963705966</v>
      </c>
      <c r="AA14" t="s">
        <v>2097</v>
      </c>
      <c r="AB14" s="946" t="e">
        <f ca="1">1-EXP((-2/L17)*(AB5-AB4))</f>
        <v>#NAME?</v>
      </c>
      <c r="AC14" s="8"/>
      <c r="AD14" s="1160" t="s">
        <v>3025</v>
      </c>
    </row>
    <row r="15" spans="1:38">
      <c r="A15" s="941">
        <v>24</v>
      </c>
      <c r="B15" s="943">
        <v>1</v>
      </c>
      <c r="C15" s="734">
        <v>12</v>
      </c>
      <c r="D15" s="174">
        <v>36</v>
      </c>
      <c r="E15" s="1149">
        <v>15</v>
      </c>
      <c r="G15">
        <f t="shared" si="1"/>
        <v>24</v>
      </c>
      <c r="H15">
        <f t="shared" si="2"/>
        <v>1</v>
      </c>
      <c r="I15" s="656">
        <f t="shared" si="3"/>
        <v>12</v>
      </c>
      <c r="J15" s="8">
        <v>15</v>
      </c>
      <c r="K15" s="8">
        <v>36</v>
      </c>
      <c r="L15" s="657">
        <f t="shared" si="6"/>
        <v>63</v>
      </c>
      <c r="M15" s="656" t="e">
        <f t="shared" ca="1" si="7"/>
        <v>#NAME?</v>
      </c>
      <c r="N15" s="657" t="e">
        <f t="shared" ca="1" si="7"/>
        <v>#NAME?</v>
      </c>
      <c r="O15" s="656" t="e">
        <f t="shared" ca="1" si="8"/>
        <v>#NAME?</v>
      </c>
      <c r="P15" s="8" t="e">
        <f t="shared" ca="1" si="9"/>
        <v>#NAME?</v>
      </c>
      <c r="Q15" s="657" t="e">
        <f t="shared" ca="1" si="10"/>
        <v>#NAME?</v>
      </c>
      <c r="R15" s="656" t="e">
        <f t="shared" ca="1" si="11"/>
        <v>#NAME?</v>
      </c>
      <c r="S15" s="8" t="e">
        <f t="shared" ca="1" si="12"/>
        <v>#NAME?</v>
      </c>
      <c r="T15" s="657" t="e">
        <f t="shared" ca="1" si="13"/>
        <v>#NAME?</v>
      </c>
      <c r="U15" s="8" t="e">
        <f t="shared" ca="1" si="14"/>
        <v>#NAME?</v>
      </c>
      <c r="V15" s="8">
        <f t="shared" si="15"/>
        <v>57.403135977635543</v>
      </c>
      <c r="AA15" t="s">
        <v>2098</v>
      </c>
      <c r="AB15" s="1073" t="e">
        <f ca="1">AB14/(1-EXP(2*(AB4-V17)/L17))</f>
        <v>#NAME?</v>
      </c>
      <c r="AC15" s="8"/>
      <c r="AD15" s="1160" t="s">
        <v>3026</v>
      </c>
    </row>
    <row r="16" spans="1:38">
      <c r="A16" s="944">
        <v>25</v>
      </c>
      <c r="B16" s="945">
        <v>1</v>
      </c>
      <c r="C16" s="533">
        <v>6</v>
      </c>
      <c r="D16" s="1078">
        <v>18</v>
      </c>
      <c r="E16" s="1150">
        <v>5</v>
      </c>
      <c r="G16">
        <f t="shared" si="1"/>
        <v>25</v>
      </c>
      <c r="H16">
        <f t="shared" si="2"/>
        <v>1</v>
      </c>
      <c r="I16" s="533">
        <f t="shared" si="3"/>
        <v>6</v>
      </c>
      <c r="J16" s="1078">
        <f t="shared" si="4"/>
        <v>18</v>
      </c>
      <c r="K16" s="1078">
        <f t="shared" si="5"/>
        <v>5</v>
      </c>
      <c r="L16" s="541">
        <f t="shared" si="6"/>
        <v>29</v>
      </c>
      <c r="M16" s="533" t="e">
        <f t="shared" ca="1" si="7"/>
        <v>#NAME?</v>
      </c>
      <c r="N16" s="541" t="e">
        <f t="shared" ca="1" si="7"/>
        <v>#NAME?</v>
      </c>
      <c r="O16" s="533" t="e">
        <f t="shared" ca="1" si="8"/>
        <v>#NAME?</v>
      </c>
      <c r="P16" s="1078" t="e">
        <f t="shared" ca="1" si="9"/>
        <v>#NAME?</v>
      </c>
      <c r="Q16" s="541" t="e">
        <f t="shared" ca="1" si="10"/>
        <v>#NAME?</v>
      </c>
      <c r="R16" s="533" t="e">
        <f t="shared" ca="1" si="11"/>
        <v>#NAME?</v>
      </c>
      <c r="S16" s="1078" t="e">
        <f t="shared" ca="1" si="12"/>
        <v>#NAME?</v>
      </c>
      <c r="T16" s="541" t="e">
        <f t="shared" ca="1" si="13"/>
        <v>#NAME?</v>
      </c>
      <c r="U16" s="8" t="e">
        <f t="shared" ca="1" si="14"/>
        <v>#NAME?</v>
      </c>
      <c r="V16" s="8">
        <f t="shared" si="15"/>
        <v>23.494850804342796</v>
      </c>
    </row>
    <row r="17" spans="3:22">
      <c r="C17">
        <f>SUM(C5:C16)</f>
        <v>400</v>
      </c>
      <c r="D17">
        <f>SUM(D5:D16)</f>
        <v>270</v>
      </c>
      <c r="E17">
        <f>SUM(E5:E16)</f>
        <v>190</v>
      </c>
      <c r="G17" s="1117"/>
      <c r="H17" s="1117"/>
      <c r="I17" s="1117">
        <f>SUM(I5:I16)</f>
        <v>400</v>
      </c>
      <c r="J17" s="1117">
        <f>SUM(J5:J16)</f>
        <v>235</v>
      </c>
      <c r="K17" s="1152">
        <f>SUM(K5:K16)</f>
        <v>225</v>
      </c>
      <c r="L17" s="1152">
        <f>SUM(L5:L16)</f>
        <v>860</v>
      </c>
      <c r="O17" s="1152"/>
      <c r="R17" s="1117" t="e">
        <f ca="1">SUM(R5:R16)</f>
        <v>#NAME?</v>
      </c>
      <c r="S17" s="1117" t="e">
        <f ca="1">SUM(S5:S16)</f>
        <v>#NAME?</v>
      </c>
      <c r="T17" s="1117" t="e">
        <f ca="1">SUM(T5:T16)</f>
        <v>#NAME?</v>
      </c>
      <c r="U17" s="1117" t="e">
        <f ca="1">SUM(U5:U16)</f>
        <v>#NAME?</v>
      </c>
      <c r="V17" s="1117">
        <f>SUM(V5:V16)</f>
        <v>742.48185857521344</v>
      </c>
    </row>
    <row r="19" spans="3:22">
      <c r="G19" t="s">
        <v>2993</v>
      </c>
    </row>
    <row r="20" spans="3:22" ht="15" thickBot="1"/>
    <row r="21" spans="3:22" ht="15" thickTop="1">
      <c r="G21" s="1116"/>
      <c r="H21" s="1116" t="s">
        <v>2603</v>
      </c>
      <c r="I21" s="1116" t="s">
        <v>826</v>
      </c>
      <c r="J21" s="1116" t="s">
        <v>2604</v>
      </c>
      <c r="K21" s="1116" t="s">
        <v>200</v>
      </c>
      <c r="L21" s="1116" t="s">
        <v>2605</v>
      </c>
      <c r="M21" s="1116" t="s">
        <v>103</v>
      </c>
      <c r="N21" s="1116" t="s">
        <v>104</v>
      </c>
    </row>
    <row r="22" spans="3:22">
      <c r="G22" t="s">
        <v>697</v>
      </c>
      <c r="H22" t="e">
        <f t="array" aca="1" ref="H22:N24" ca="1">[1]!LogitCoeff([1]!MLogitExtract(A5:E16,2,"1,0",FALSE))</f>
        <v>#NAME?</v>
      </c>
      <c r="I22" t="e">
        <f ca="1"/>
        <v>#NAME?</v>
      </c>
      <c r="J22" t="e">
        <f ca="1"/>
        <v>#NAME?</v>
      </c>
      <c r="K22" t="e">
        <f ca="1"/>
        <v>#NAME?</v>
      </c>
      <c r="L22" t="e">
        <f ca="1"/>
        <v>#NAME?</v>
      </c>
      <c r="M22" t="e">
        <f ca="1"/>
        <v>#NAME?</v>
      </c>
      <c r="N22" t="e">
        <f ca="1"/>
        <v>#NAME?</v>
      </c>
    </row>
    <row r="23" spans="3:22">
      <c r="G23" t="str">
        <f t="array" ref="G23:G24">TRANSPOSE(G4:H4)</f>
        <v>Dosage</v>
      </c>
      <c r="H23" t="e">
        <f ca="1"/>
        <v>#NAME?</v>
      </c>
      <c r="I23" t="e">
        <f ca="1"/>
        <v>#NAME?</v>
      </c>
      <c r="J23" t="e">
        <f ca="1"/>
        <v>#NAME?</v>
      </c>
      <c r="K23" t="e">
        <f ca="1"/>
        <v>#NAME?</v>
      </c>
      <c r="L23" t="e">
        <f ca="1"/>
        <v>#NAME?</v>
      </c>
      <c r="M23" t="e">
        <f ca="1"/>
        <v>#NAME?</v>
      </c>
      <c r="N23" t="e">
        <f ca="1"/>
        <v>#NAME?</v>
      </c>
    </row>
    <row r="24" spans="3:22">
      <c r="G24" s="1078" t="str">
        <v>Gender</v>
      </c>
      <c r="H24" s="1078" t="e">
        <f ca="1"/>
        <v>#NAME?</v>
      </c>
      <c r="I24" s="1078" t="e">
        <f ca="1"/>
        <v>#NAME?</v>
      </c>
      <c r="J24" s="1078" t="e">
        <f ca="1"/>
        <v>#NAME?</v>
      </c>
      <c r="K24" s="1078" t="e">
        <f ca="1"/>
        <v>#NAME?</v>
      </c>
      <c r="L24" s="1078" t="e">
        <f ca="1"/>
        <v>#NAME?</v>
      </c>
      <c r="M24" s="1078" t="e">
        <f ca="1"/>
        <v>#NAME?</v>
      </c>
      <c r="N24" s="1078" t="e">
        <f ca="1"/>
        <v>#NAME?</v>
      </c>
    </row>
    <row r="26" spans="3:22">
      <c r="G26" t="s">
        <v>3015</v>
      </c>
    </row>
    <row r="27" spans="3:22" ht="15" thickBot="1"/>
    <row r="28" spans="3:22" ht="15" thickTop="1">
      <c r="G28" s="1116"/>
      <c r="H28" s="1116" t="s">
        <v>2603</v>
      </c>
      <c r="I28" s="1116" t="s">
        <v>826</v>
      </c>
      <c r="J28" s="1116" t="s">
        <v>2604</v>
      </c>
      <c r="K28" s="1116" t="s">
        <v>200</v>
      </c>
      <c r="L28" s="1116" t="s">
        <v>2605</v>
      </c>
      <c r="M28" s="1116" t="s">
        <v>103</v>
      </c>
      <c r="N28" s="1116" t="s">
        <v>104</v>
      </c>
    </row>
    <row r="29" spans="3:22">
      <c r="G29" t="s">
        <v>697</v>
      </c>
      <c r="H29" t="e">
        <f t="array" aca="1" ref="H29:N31" ca="1">[1]!LogitCoeff([1]!MLogitExtract(A5:E16,2,"2,0",FALSE))</f>
        <v>#NAME?</v>
      </c>
      <c r="I29" t="e">
        <f ca="1"/>
        <v>#NAME?</v>
      </c>
      <c r="J29" t="e">
        <f ca="1"/>
        <v>#NAME?</v>
      </c>
      <c r="K29" t="e">
        <f ca="1"/>
        <v>#NAME?</v>
      </c>
      <c r="L29" t="e">
        <f ca="1"/>
        <v>#NAME?</v>
      </c>
      <c r="M29" t="e">
        <f ca="1"/>
        <v>#NAME?</v>
      </c>
      <c r="N29" t="e">
        <f ca="1"/>
        <v>#NAME?</v>
      </c>
    </row>
    <row r="30" spans="3:22">
      <c r="G30" t="str">
        <f t="array" ref="G30:G31">TRANSPOSE(G4:H4)</f>
        <v>Dosage</v>
      </c>
      <c r="H30" t="e">
        <f ca="1"/>
        <v>#NAME?</v>
      </c>
      <c r="I30" t="e">
        <f ca="1"/>
        <v>#NAME?</v>
      </c>
      <c r="J30" t="e">
        <f ca="1"/>
        <v>#NAME?</v>
      </c>
      <c r="K30" t="e">
        <f ca="1"/>
        <v>#NAME?</v>
      </c>
      <c r="L30" t="e">
        <f ca="1"/>
        <v>#NAME?</v>
      </c>
      <c r="M30" t="e">
        <f ca="1"/>
        <v>#NAME?</v>
      </c>
      <c r="N30" t="e">
        <f ca="1"/>
        <v>#NAME?</v>
      </c>
    </row>
    <row r="31" spans="3:22">
      <c r="G31" s="1078" t="str">
        <v>Gender</v>
      </c>
      <c r="H31" s="1078" t="e">
        <f ca="1"/>
        <v>#NAME?</v>
      </c>
      <c r="I31" s="1078" t="e">
        <f ca="1"/>
        <v>#NAME?</v>
      </c>
      <c r="J31" s="1078" t="e">
        <f ca="1"/>
        <v>#NAME?</v>
      </c>
      <c r="K31" s="1078" t="e">
        <f ca="1"/>
        <v>#NAME?</v>
      </c>
      <c r="L31" s="1078" t="e">
        <f ca="1"/>
        <v>#NAME?</v>
      </c>
      <c r="M31" s="1078" t="e">
        <f ca="1"/>
        <v>#NAME?</v>
      </c>
      <c r="N31" s="1078" t="e">
        <f ca="1"/>
        <v>#NAME?</v>
      </c>
    </row>
  </sheetData>
  <mergeCells count="7">
    <mergeCell ref="G3:H3"/>
    <mergeCell ref="X4:Y4"/>
    <mergeCell ref="O3:Q3"/>
    <mergeCell ref="R3:T3"/>
    <mergeCell ref="I3:L3"/>
    <mergeCell ref="M3:N3"/>
    <mergeCell ref="U3:V3"/>
  </mergeCells>
  <pageMargins left="0.7" right="0.7" top="0.75" bottom="0.75" header="0.3" footer="0.3"/>
  <pageSetup paperSize="9" orientation="portrait" r:id="rId1"/>
</worksheet>
</file>

<file path=xl/worksheets/sheet250.xml><?xml version="1.0" encoding="utf-8"?>
<worksheet xmlns="http://schemas.openxmlformats.org/spreadsheetml/2006/main" xmlns:r="http://schemas.openxmlformats.org/officeDocument/2006/relationships">
  <sheetPr codeName="Sheet247"/>
  <dimension ref="A1:AJ31"/>
  <sheetViews>
    <sheetView workbookViewId="0"/>
  </sheetViews>
  <sheetFormatPr defaultRowHeight="14.4"/>
  <cols>
    <col min="1" max="5" width="7.5546875" customWidth="1"/>
    <col min="6" max="6" width="5.6640625" customWidth="1"/>
    <col min="8" max="8" width="9.109375" customWidth="1"/>
    <col min="13" max="13" width="9.109375" customWidth="1"/>
    <col min="23" max="23" width="9.109375" customWidth="1"/>
    <col min="30" max="30" width="9.109375" customWidth="1"/>
    <col min="32" max="32" width="9.109375" customWidth="1"/>
  </cols>
  <sheetData>
    <row r="1" spans="1:36">
      <c r="A1" s="1" t="s">
        <v>2963</v>
      </c>
    </row>
    <row r="2" spans="1:36">
      <c r="A2" t="s">
        <v>2981</v>
      </c>
    </row>
    <row r="3" spans="1:36" ht="15" thickBot="1">
      <c r="G3" s="1587" t="s">
        <v>3012</v>
      </c>
      <c r="H3" s="1587"/>
      <c r="I3" s="1587" t="s">
        <v>357</v>
      </c>
      <c r="J3" s="1587"/>
      <c r="K3" s="1587"/>
      <c r="L3" s="1587"/>
      <c r="M3" s="1587" t="s">
        <v>381</v>
      </c>
      <c r="N3" s="1587"/>
      <c r="O3" s="1587" t="s">
        <v>3014</v>
      </c>
      <c r="P3" s="1587"/>
      <c r="Q3" s="1587"/>
      <c r="R3" s="1587" t="s">
        <v>3013</v>
      </c>
      <c r="S3" s="1587"/>
      <c r="T3" s="1587"/>
      <c r="U3" s="1587" t="s">
        <v>3011</v>
      </c>
      <c r="V3" s="1587"/>
    </row>
    <row r="4" spans="1:36" ht="15" thickTop="1">
      <c r="A4" s="912" t="s">
        <v>2977</v>
      </c>
      <c r="B4" s="912" t="s">
        <v>1041</v>
      </c>
      <c r="C4" s="912" t="s">
        <v>2979</v>
      </c>
      <c r="D4" s="912" t="s">
        <v>362</v>
      </c>
      <c r="E4" s="912" t="s">
        <v>2978</v>
      </c>
      <c r="G4" s="1151" t="str">
        <f>A4</f>
        <v>Dosage</v>
      </c>
      <c r="H4" s="1151" t="str">
        <f t="shared" ref="H4:K16" si="0">B4</f>
        <v>Gender</v>
      </c>
      <c r="I4" s="1151" t="str">
        <f t="shared" si="0"/>
        <v>Dead</v>
      </c>
      <c r="J4" s="1151" t="str">
        <f t="shared" si="0"/>
        <v>Cured</v>
      </c>
      <c r="K4" s="1151" t="str">
        <f t="shared" si="0"/>
        <v>Sick</v>
      </c>
      <c r="L4" s="1151" t="s">
        <v>12</v>
      </c>
      <c r="M4" s="1151" t="str">
        <f>J4</f>
        <v>Cured</v>
      </c>
      <c r="N4" s="1151" t="str">
        <f>K4</f>
        <v>Sick</v>
      </c>
      <c r="O4" s="1151" t="str">
        <f>I4</f>
        <v>Dead</v>
      </c>
      <c r="P4" s="1151" t="str">
        <f>J4</f>
        <v>Cured</v>
      </c>
      <c r="Q4" s="1151" t="str">
        <f>K4</f>
        <v>Sick</v>
      </c>
      <c r="R4" s="1151" t="str">
        <f>O4</f>
        <v>Dead</v>
      </c>
      <c r="S4" s="1151" t="str">
        <f>P4</f>
        <v>Cured</v>
      </c>
      <c r="T4" s="1151" t="str">
        <f>Q4</f>
        <v>Sick</v>
      </c>
      <c r="U4" s="1151" t="s">
        <v>1982</v>
      </c>
      <c r="V4" s="1151" t="s">
        <v>2972</v>
      </c>
      <c r="X4" t="s">
        <v>2095</v>
      </c>
      <c r="AA4" t="s">
        <v>1981</v>
      </c>
      <c r="AB4" s="1138">
        <f>I17*LN(I17/L17)+J17*LN(J17/L17)+K17*LN(K17/L17)+V17</f>
        <v>-163.38567469443615</v>
      </c>
      <c r="AD4" t="s">
        <v>2964</v>
      </c>
    </row>
    <row r="5" spans="1:36">
      <c r="A5" s="1122">
        <v>20</v>
      </c>
      <c r="B5" s="1146">
        <v>0</v>
      </c>
      <c r="C5" s="1129">
        <v>13</v>
      </c>
      <c r="D5" s="1147">
        <v>0</v>
      </c>
      <c r="E5" s="1148">
        <v>8</v>
      </c>
      <c r="G5">
        <f>A5</f>
        <v>20</v>
      </c>
      <c r="H5">
        <f t="shared" si="0"/>
        <v>0</v>
      </c>
      <c r="I5" s="1067">
        <f t="shared" si="0"/>
        <v>13</v>
      </c>
      <c r="J5" s="1068">
        <f t="shared" si="0"/>
        <v>0</v>
      </c>
      <c r="K5" s="1068">
        <f t="shared" si="0"/>
        <v>8</v>
      </c>
      <c r="L5" s="1071">
        <f>SUM(I5:K5)</f>
        <v>21</v>
      </c>
      <c r="M5" s="1067">
        <f>EXP(X$6+MMULT($G5:$H5,X$7:X$8))</f>
        <v>6.2373521108151975E-2</v>
      </c>
      <c r="N5" s="1071">
        <f>EXP(Y$6+MMULT($G5:$H5,Y$7:Y$8))</f>
        <v>0.2901684801631994</v>
      </c>
      <c r="O5" s="1067">
        <f>1/(1+$M5+$N5)</f>
        <v>0.73934857406278565</v>
      </c>
      <c r="P5" s="1068">
        <f>M5*O5</f>
        <v>4.6115773890587221E-2</v>
      </c>
      <c r="Q5" s="1071">
        <f>N5*O5</f>
        <v>0.2145356520466272</v>
      </c>
      <c r="R5" s="1067">
        <f>O5*$L5</f>
        <v>15.526320055318498</v>
      </c>
      <c r="S5" s="1068">
        <f t="shared" ref="S5:T16" si="1">P5*$L5</f>
        <v>0.96843125170233169</v>
      </c>
      <c r="T5" s="1071">
        <f t="shared" si="1"/>
        <v>4.5052486929791709</v>
      </c>
      <c r="U5" s="8">
        <f>I5*LN(O5)+J5*LN(P5)+K5*LN(Q5)</f>
        <v>-16.240049970752466</v>
      </c>
      <c r="V5">
        <f>GAMMALN(L5+1)-GAMMALN(I5+1)-GAMMALN(J5+1)-GAMMALN(K5+1)</f>
        <v>12.223372142608234</v>
      </c>
      <c r="AA5" t="s">
        <v>2084</v>
      </c>
      <c r="AB5" s="1073">
        <f>U17+V17</f>
        <v>-66.505076705878082</v>
      </c>
    </row>
    <row r="6" spans="1:36">
      <c r="A6" s="941">
        <v>21</v>
      </c>
      <c r="B6" s="942">
        <v>0</v>
      </c>
      <c r="C6" s="734">
        <v>60</v>
      </c>
      <c r="D6" s="174">
        <v>6</v>
      </c>
      <c r="E6" s="1149">
        <v>30</v>
      </c>
      <c r="G6">
        <f t="shared" ref="G6:G16" si="2">A6</f>
        <v>21</v>
      </c>
      <c r="H6">
        <f t="shared" si="0"/>
        <v>0</v>
      </c>
      <c r="I6" s="656">
        <f t="shared" si="0"/>
        <v>60</v>
      </c>
      <c r="J6" s="8">
        <f t="shared" si="0"/>
        <v>6</v>
      </c>
      <c r="K6" s="8">
        <f t="shared" si="0"/>
        <v>30</v>
      </c>
      <c r="L6" s="657">
        <f t="shared" ref="L6:L16" si="3">SUM(I6:K6)</f>
        <v>96</v>
      </c>
      <c r="M6" s="656">
        <f t="shared" ref="M6:M16" si="4">EXP(X$6+MMULT($G6:$H6,X$7:X$8))</f>
        <v>0.15635308518308863</v>
      </c>
      <c r="N6" s="657">
        <f t="shared" ref="N6:N16" si="5">EXP(Y$6+MMULT($G6:$H6,Y$7:Y$8))</f>
        <v>0.41915888099907195</v>
      </c>
      <c r="O6" s="656">
        <f t="shared" ref="O6:O16" si="6">1/(1+$M6+$N6)</f>
        <v>0.63471431602213557</v>
      </c>
      <c r="P6" s="8">
        <f t="shared" ref="P6:P16" si="7">M6*O6</f>
        <v>9.9239541519934804E-2</v>
      </c>
      <c r="Q6" s="657">
        <f t="shared" ref="Q6:Q16" si="8">N6*O6</f>
        <v>0.26604614245792968</v>
      </c>
      <c r="R6" s="656">
        <f t="shared" ref="R6:R16" si="9">O6*$L6</f>
        <v>60.932574338125015</v>
      </c>
      <c r="S6" s="8">
        <f t="shared" si="1"/>
        <v>9.5269959859137412</v>
      </c>
      <c r="T6" s="657">
        <f t="shared" si="1"/>
        <v>25.540429675961249</v>
      </c>
      <c r="U6" s="8">
        <f t="shared" ref="U6:U16" si="10">I6*LN(O6)+J6*LN(P6)+K6*LN(Q6)</f>
        <v>-80.858694602275747</v>
      </c>
      <c r="V6">
        <f t="shared" ref="V6:V16" si="11">GAMMALN(L6+1)-GAMMALN(I6+1)-GAMMALN(J6+1)-GAMMALN(K6+1)</f>
        <v>75.513746077754988</v>
      </c>
      <c r="X6" s="1118">
        <v>-21.154133877889475</v>
      </c>
      <c r="Y6" s="1156">
        <v>-8.5930599308358797</v>
      </c>
      <c r="AD6" s="399" t="s">
        <v>2977</v>
      </c>
      <c r="AE6" s="399" t="s">
        <v>1041</v>
      </c>
      <c r="AF6" s="399" t="s">
        <v>3016</v>
      </c>
      <c r="AG6" s="399" t="s">
        <v>3017</v>
      </c>
      <c r="AH6" s="399" t="s">
        <v>2979</v>
      </c>
      <c r="AI6" s="399" t="s">
        <v>362</v>
      </c>
      <c r="AJ6" s="399" t="s">
        <v>2978</v>
      </c>
    </row>
    <row r="7" spans="1:36">
      <c r="A7" s="941">
        <v>22</v>
      </c>
      <c r="B7" s="942">
        <v>0</v>
      </c>
      <c r="C7" s="734">
        <v>61</v>
      </c>
      <c r="D7" s="174">
        <v>13</v>
      </c>
      <c r="E7" s="1149">
        <v>40</v>
      </c>
      <c r="G7">
        <f t="shared" si="2"/>
        <v>22</v>
      </c>
      <c r="H7">
        <f t="shared" si="0"/>
        <v>0</v>
      </c>
      <c r="I7" s="656">
        <f t="shared" si="0"/>
        <v>61</v>
      </c>
      <c r="J7" s="8">
        <f t="shared" si="0"/>
        <v>13</v>
      </c>
      <c r="K7" s="8">
        <f t="shared" si="0"/>
        <v>40</v>
      </c>
      <c r="L7" s="657">
        <f t="shared" si="3"/>
        <v>114</v>
      </c>
      <c r="M7" s="656">
        <f t="shared" si="4"/>
        <v>0.39193373745698534</v>
      </c>
      <c r="N7" s="657">
        <f t="shared" si="5"/>
        <v>0.60549018770604723</v>
      </c>
      <c r="O7" s="656">
        <f t="shared" si="6"/>
        <v>0.50064484929926856</v>
      </c>
      <c r="P7" s="8">
        <f t="shared" si="7"/>
        <v>0.19621960692445151</v>
      </c>
      <c r="Q7" s="657">
        <f t="shared" si="8"/>
        <v>0.30313554377627983</v>
      </c>
      <c r="R7" s="656">
        <f t="shared" si="9"/>
        <v>57.073512820116619</v>
      </c>
      <c r="S7" s="8">
        <f t="shared" si="1"/>
        <v>22.369035189387471</v>
      </c>
      <c r="T7" s="657">
        <f t="shared" si="1"/>
        <v>34.557451990495899</v>
      </c>
      <c r="U7" s="8">
        <f t="shared" si="10"/>
        <v>-111.11713690488588</v>
      </c>
      <c r="V7">
        <f t="shared" si="11"/>
        <v>103.60254101092582</v>
      </c>
      <c r="X7" s="946">
        <v>0.91897597215044968</v>
      </c>
      <c r="Y7" s="627">
        <v>0.36778831861094008</v>
      </c>
      <c r="AA7" t="s">
        <v>2099</v>
      </c>
      <c r="AB7" s="1138">
        <f>2*(AB5-AB4)</f>
        <v>193.76119597711613</v>
      </c>
      <c r="AD7" s="1067">
        <v>24</v>
      </c>
      <c r="AE7" s="1068">
        <v>1</v>
      </c>
      <c r="AF7" s="1067">
        <f t="shared" ref="AF7:AG10" si="12">EXP(X$6+MMULT($AD7:$AE7,X$7:X$8))</f>
        <v>2.4308853155764618</v>
      </c>
      <c r="AG7" s="1071">
        <f t="shared" si="12"/>
        <v>0.59664380404820372</v>
      </c>
      <c r="AH7" s="1068">
        <f>1/(1+AF7+AG7)</f>
        <v>0.24829119052854728</v>
      </c>
      <c r="AI7" s="1068">
        <f t="shared" ref="AI7:AJ10" si="13">AF7*$AH7</f>
        <v>0.60356740904284312</v>
      </c>
      <c r="AJ7" s="1071">
        <f t="shared" si="13"/>
        <v>0.14814140042860979</v>
      </c>
    </row>
    <row r="8" spans="1:36">
      <c r="A8" s="941">
        <v>23</v>
      </c>
      <c r="B8" s="943">
        <v>0</v>
      </c>
      <c r="C8" s="734">
        <v>49</v>
      </c>
      <c r="D8" s="174">
        <v>60</v>
      </c>
      <c r="E8" s="1149">
        <v>25</v>
      </c>
      <c r="G8">
        <f t="shared" si="2"/>
        <v>23</v>
      </c>
      <c r="H8">
        <f t="shared" si="0"/>
        <v>0</v>
      </c>
      <c r="I8" s="656">
        <f t="shared" si="0"/>
        <v>49</v>
      </c>
      <c r="J8" s="8">
        <f t="shared" si="0"/>
        <v>60</v>
      </c>
      <c r="K8" s="8">
        <f t="shared" si="0"/>
        <v>25</v>
      </c>
      <c r="L8" s="657">
        <f t="shared" si="3"/>
        <v>134</v>
      </c>
      <c r="M8" s="656">
        <f t="shared" si="4"/>
        <v>0.98246897000543498</v>
      </c>
      <c r="N8" s="657">
        <f t="shared" si="5"/>
        <v>0.87465251012805478</v>
      </c>
      <c r="O8" s="656">
        <f t="shared" si="6"/>
        <v>0.35000261870324051</v>
      </c>
      <c r="P8" s="8">
        <f t="shared" si="7"/>
        <v>0.34386671229657767</v>
      </c>
      <c r="Q8" s="657">
        <f t="shared" si="8"/>
        <v>0.30613066900018177</v>
      </c>
      <c r="R8" s="656">
        <f t="shared" si="9"/>
        <v>46.90035090623423</v>
      </c>
      <c r="S8" s="8">
        <f t="shared" si="1"/>
        <v>46.078139447741407</v>
      </c>
      <c r="T8" s="657">
        <f t="shared" si="1"/>
        <v>41.021509646024356</v>
      </c>
      <c r="U8" s="8">
        <f t="shared" si="10"/>
        <v>-145.08456827268731</v>
      </c>
      <c r="V8">
        <f t="shared" si="11"/>
        <v>134.48149092299815</v>
      </c>
      <c r="X8" s="1073">
        <v>-1.3033935322250792E-2</v>
      </c>
      <c r="Y8" s="544">
        <v>-0.75029470261389919</v>
      </c>
      <c r="AA8" t="s">
        <v>186</v>
      </c>
      <c r="AB8" s="946">
        <f>COUNT(I5:J5)</f>
        <v>2</v>
      </c>
      <c r="AD8" s="656">
        <v>24</v>
      </c>
      <c r="AE8" s="8">
        <v>0</v>
      </c>
      <c r="AF8" s="656">
        <f t="shared" si="12"/>
        <v>2.4627767012006188</v>
      </c>
      <c r="AG8" s="657">
        <f t="shared" si="12"/>
        <v>1.2634672353182796</v>
      </c>
      <c r="AH8" s="8">
        <f>1/(1+AF8+AG8)</f>
        <v>0.21158450842394463</v>
      </c>
      <c r="AI8" s="8">
        <f t="shared" si="13"/>
        <v>0.52108539768147688</v>
      </c>
      <c r="AJ8" s="657">
        <f t="shared" si="13"/>
        <v>0.26733009389457857</v>
      </c>
    </row>
    <row r="9" spans="1:36">
      <c r="A9" s="941">
        <v>24</v>
      </c>
      <c r="B9" s="943">
        <v>0</v>
      </c>
      <c r="C9" s="734">
        <v>8</v>
      </c>
      <c r="D9" s="174">
        <v>29</v>
      </c>
      <c r="E9" s="1149">
        <v>15</v>
      </c>
      <c r="G9">
        <f t="shared" si="2"/>
        <v>24</v>
      </c>
      <c r="H9">
        <f t="shared" si="0"/>
        <v>0</v>
      </c>
      <c r="I9" s="656">
        <f t="shared" si="0"/>
        <v>8</v>
      </c>
      <c r="J9" s="8">
        <f t="shared" si="0"/>
        <v>29</v>
      </c>
      <c r="K9" s="8">
        <f t="shared" si="0"/>
        <v>15</v>
      </c>
      <c r="L9" s="657">
        <f t="shared" si="3"/>
        <v>52</v>
      </c>
      <c r="M9" s="656">
        <f t="shared" si="4"/>
        <v>2.4627767012006188</v>
      </c>
      <c r="N9" s="657">
        <f t="shared" si="5"/>
        <v>1.2634672353182796</v>
      </c>
      <c r="O9" s="656">
        <f t="shared" si="6"/>
        <v>0.21158450842394463</v>
      </c>
      <c r="P9" s="8">
        <f t="shared" si="7"/>
        <v>0.52108539768147688</v>
      </c>
      <c r="Q9" s="657">
        <f t="shared" si="8"/>
        <v>0.26733009389457857</v>
      </c>
      <c r="R9" s="656">
        <f t="shared" si="9"/>
        <v>11.002394438045121</v>
      </c>
      <c r="S9" s="8">
        <f t="shared" si="1"/>
        <v>27.096440679436796</v>
      </c>
      <c r="T9" s="657">
        <f t="shared" si="1"/>
        <v>13.901164882518085</v>
      </c>
      <c r="U9" s="8">
        <f t="shared" si="10"/>
        <v>-51.117511355509862</v>
      </c>
      <c r="V9">
        <f t="shared" si="11"/>
        <v>46.599923049324644</v>
      </c>
      <c r="AA9" t="s">
        <v>200</v>
      </c>
      <c r="AB9" s="946">
        <f>CHIDIST(AB7,AB8)</f>
        <v>8.4195889618977327E-43</v>
      </c>
      <c r="AD9" s="872">
        <v>24.5</v>
      </c>
      <c r="AE9" s="8">
        <v>1</v>
      </c>
      <c r="AF9" s="656">
        <f t="shared" si="12"/>
        <v>3.8487310804294448</v>
      </c>
      <c r="AG9" s="657">
        <f t="shared" si="12"/>
        <v>0.71709939090402408</v>
      </c>
      <c r="AH9" s="8">
        <f>1/(1+AF9+AG9)</f>
        <v>0.17966770729910836</v>
      </c>
      <c r="AI9" s="8">
        <f t="shared" si="13"/>
        <v>0.69149268923157858</v>
      </c>
      <c r="AJ9" s="657">
        <f t="shared" si="13"/>
        <v>0.12883960346931309</v>
      </c>
    </row>
    <row r="10" spans="1:36">
      <c r="A10" s="941">
        <v>25</v>
      </c>
      <c r="B10" s="943">
        <v>0</v>
      </c>
      <c r="C10" s="656">
        <v>4</v>
      </c>
      <c r="D10" s="8">
        <v>20</v>
      </c>
      <c r="E10" s="1149">
        <v>8</v>
      </c>
      <c r="G10">
        <f t="shared" si="2"/>
        <v>25</v>
      </c>
      <c r="H10">
        <f t="shared" si="0"/>
        <v>0</v>
      </c>
      <c r="I10" s="656">
        <f t="shared" si="0"/>
        <v>4</v>
      </c>
      <c r="J10" s="8">
        <f t="shared" si="0"/>
        <v>20</v>
      </c>
      <c r="K10" s="8">
        <f t="shared" si="0"/>
        <v>8</v>
      </c>
      <c r="L10" s="657">
        <f t="shared" si="3"/>
        <v>32</v>
      </c>
      <c r="M10" s="656">
        <f t="shared" si="4"/>
        <v>6.1734968382187443</v>
      </c>
      <c r="N10" s="657">
        <f t="shared" si="5"/>
        <v>1.8251241907361599</v>
      </c>
      <c r="O10" s="656">
        <f t="shared" si="6"/>
        <v>0.11112813805385241</v>
      </c>
      <c r="P10" s="8">
        <f t="shared" si="7"/>
        <v>0.68604920891259402</v>
      </c>
      <c r="Q10" s="657">
        <f t="shared" si="8"/>
        <v>0.20282265303355365</v>
      </c>
      <c r="R10" s="656">
        <f t="shared" si="9"/>
        <v>3.5561004177232771</v>
      </c>
      <c r="S10" s="8">
        <f t="shared" si="1"/>
        <v>21.953574685203009</v>
      </c>
      <c r="T10" s="657">
        <f t="shared" si="1"/>
        <v>6.4903248970737168</v>
      </c>
      <c r="U10" s="8">
        <f t="shared" si="10"/>
        <v>-29.087790298006972</v>
      </c>
      <c r="V10">
        <f t="shared" si="11"/>
        <v>25.439686262268342</v>
      </c>
      <c r="AA10" t="s">
        <v>337</v>
      </c>
      <c r="AB10" s="946">
        <v>0.05</v>
      </c>
      <c r="AD10" s="1137">
        <v>24.5</v>
      </c>
      <c r="AE10" s="1078">
        <v>0</v>
      </c>
      <c r="AF10" s="533">
        <f t="shared" si="12"/>
        <v>3.8992235352824807</v>
      </c>
      <c r="AG10" s="541">
        <f t="shared" si="12"/>
        <v>1.5185468762543792</v>
      </c>
      <c r="AH10" s="1078">
        <f>1/(1+AF10+AG10)</f>
        <v>0.15581735336034414</v>
      </c>
      <c r="AI10" s="1078">
        <f t="shared" si="13"/>
        <v>0.60756669142808062</v>
      </c>
      <c r="AJ10" s="541">
        <f t="shared" si="13"/>
        <v>0.23661595521157539</v>
      </c>
    </row>
    <row r="11" spans="1:36">
      <c r="A11" s="941">
        <v>20</v>
      </c>
      <c r="B11" s="943">
        <v>1</v>
      </c>
      <c r="C11" s="734">
        <v>16</v>
      </c>
      <c r="D11" s="174">
        <v>4</v>
      </c>
      <c r="E11" s="1149">
        <v>2</v>
      </c>
      <c r="G11">
        <f t="shared" si="2"/>
        <v>20</v>
      </c>
      <c r="H11">
        <f t="shared" si="0"/>
        <v>1</v>
      </c>
      <c r="I11" s="656">
        <f t="shared" si="0"/>
        <v>16</v>
      </c>
      <c r="J11" s="8">
        <f t="shared" si="0"/>
        <v>4</v>
      </c>
      <c r="K11" s="8">
        <f t="shared" si="0"/>
        <v>2</v>
      </c>
      <c r="L11" s="657">
        <f t="shared" si="3"/>
        <v>22</v>
      </c>
      <c r="M11" s="656">
        <f t="shared" si="4"/>
        <v>6.1565823839687957E-2</v>
      </c>
      <c r="N11" s="657">
        <f t="shared" si="5"/>
        <v>0.13702549696577193</v>
      </c>
      <c r="O11" s="656">
        <f t="shared" si="6"/>
        <v>0.83431273248999882</v>
      </c>
      <c r="P11" s="8">
        <f t="shared" si="7"/>
        <v>5.1365150715687972E-2</v>
      </c>
      <c r="Q11" s="657">
        <f t="shared" si="8"/>
        <v>0.11432211679431323</v>
      </c>
      <c r="R11" s="656">
        <f t="shared" si="9"/>
        <v>18.354880114779974</v>
      </c>
      <c r="S11" s="8">
        <f t="shared" si="1"/>
        <v>1.1300333157451354</v>
      </c>
      <c r="T11" s="657">
        <f t="shared" si="1"/>
        <v>2.515086569474891</v>
      </c>
      <c r="U11" s="8">
        <f t="shared" si="10"/>
        <v>-19.111003297197229</v>
      </c>
      <c r="V11">
        <f t="shared" si="11"/>
        <v>13.928120234846661</v>
      </c>
      <c r="AA11" t="s">
        <v>948</v>
      </c>
      <c r="AB11" s="1074" t="str">
        <f>IF(AB9&lt;AB10,"yes","no")</f>
        <v>yes</v>
      </c>
    </row>
    <row r="12" spans="1:36">
      <c r="A12" s="941">
        <v>21</v>
      </c>
      <c r="B12" s="943">
        <v>1</v>
      </c>
      <c r="C12" s="734">
        <v>67</v>
      </c>
      <c r="D12" s="174">
        <v>9</v>
      </c>
      <c r="E12" s="1149">
        <v>8</v>
      </c>
      <c r="G12">
        <f t="shared" si="2"/>
        <v>21</v>
      </c>
      <c r="H12">
        <f t="shared" si="0"/>
        <v>1</v>
      </c>
      <c r="I12" s="656">
        <f t="shared" si="0"/>
        <v>67</v>
      </c>
      <c r="J12" s="8">
        <f t="shared" si="0"/>
        <v>9</v>
      </c>
      <c r="K12" s="8">
        <f t="shared" si="0"/>
        <v>8</v>
      </c>
      <c r="L12" s="657">
        <f t="shared" si="3"/>
        <v>84</v>
      </c>
      <c r="M12" s="656">
        <f t="shared" si="4"/>
        <v>0.15432841257242536</v>
      </c>
      <c r="N12" s="657">
        <f t="shared" si="5"/>
        <v>0.19793829413936098</v>
      </c>
      <c r="O12" s="656">
        <f t="shared" si="6"/>
        <v>0.7394990907020339</v>
      </c>
      <c r="P12" s="8">
        <f t="shared" si="7"/>
        <v>0.11412572076679689</v>
      </c>
      <c r="Q12" s="657">
        <f t="shared" si="8"/>
        <v>0.14637518853116918</v>
      </c>
      <c r="R12" s="656">
        <f t="shared" si="9"/>
        <v>62.117923618970849</v>
      </c>
      <c r="S12" s="8">
        <f t="shared" si="1"/>
        <v>9.5865605444109381</v>
      </c>
      <c r="T12" s="657">
        <f t="shared" si="1"/>
        <v>12.295515836618211</v>
      </c>
      <c r="U12" s="8">
        <f t="shared" si="10"/>
        <v>-55.12615814471782</v>
      </c>
      <c r="V12">
        <f t="shared" si="11"/>
        <v>50.180585597489312</v>
      </c>
    </row>
    <row r="13" spans="1:36">
      <c r="A13" s="941">
        <v>22</v>
      </c>
      <c r="B13" s="943">
        <v>1</v>
      </c>
      <c r="C13" s="734">
        <v>55</v>
      </c>
      <c r="D13" s="174">
        <v>20</v>
      </c>
      <c r="E13" s="1149">
        <v>14</v>
      </c>
      <c r="G13">
        <f t="shared" si="2"/>
        <v>22</v>
      </c>
      <c r="H13">
        <f t="shared" si="0"/>
        <v>1</v>
      </c>
      <c r="I13" s="656">
        <f t="shared" si="0"/>
        <v>55</v>
      </c>
      <c r="J13" s="8">
        <f t="shared" si="0"/>
        <v>20</v>
      </c>
      <c r="K13" s="8">
        <f t="shared" si="0"/>
        <v>14</v>
      </c>
      <c r="L13" s="657">
        <f t="shared" si="3"/>
        <v>89</v>
      </c>
      <c r="M13" s="656">
        <f t="shared" si="4"/>
        <v>0.38685844583421491</v>
      </c>
      <c r="N13" s="657">
        <f t="shared" si="5"/>
        <v>0.28592903623321253</v>
      </c>
      <c r="O13" s="656">
        <f t="shared" si="6"/>
        <v>0.59780456915189395</v>
      </c>
      <c r="P13" s="8">
        <f t="shared" si="7"/>
        <v>0.23126574653469414</v>
      </c>
      <c r="Q13" s="657">
        <f t="shared" si="8"/>
        <v>0.17092968431341188</v>
      </c>
      <c r="R13" s="656">
        <f t="shared" si="9"/>
        <v>53.204606654518564</v>
      </c>
      <c r="S13" s="8">
        <f t="shared" si="1"/>
        <v>20.582651441587778</v>
      </c>
      <c r="T13" s="657">
        <f t="shared" si="1"/>
        <v>15.212741903893658</v>
      </c>
      <c r="U13" s="8">
        <f t="shared" si="10"/>
        <v>-82.311824597750871</v>
      </c>
      <c r="V13">
        <f t="shared" si="11"/>
        <v>77.798546857959138</v>
      </c>
      <c r="AA13" t="s">
        <v>2096</v>
      </c>
      <c r="AB13" s="1138">
        <f>1-(AB5-V17)/(AB4-V17)</f>
        <v>0.10694786426319536</v>
      </c>
    </row>
    <row r="14" spans="1:36">
      <c r="A14" s="941">
        <v>23</v>
      </c>
      <c r="B14" s="943">
        <v>1</v>
      </c>
      <c r="C14" s="734">
        <v>49</v>
      </c>
      <c r="D14" s="174">
        <v>55</v>
      </c>
      <c r="E14" s="1149">
        <v>20</v>
      </c>
      <c r="G14">
        <f t="shared" si="2"/>
        <v>23</v>
      </c>
      <c r="H14">
        <f t="shared" si="0"/>
        <v>1</v>
      </c>
      <c r="I14" s="656">
        <f t="shared" si="0"/>
        <v>49</v>
      </c>
      <c r="J14" s="8">
        <f t="shared" si="0"/>
        <v>55</v>
      </c>
      <c r="K14" s="8">
        <f t="shared" si="0"/>
        <v>20</v>
      </c>
      <c r="L14" s="657">
        <f t="shared" si="3"/>
        <v>124</v>
      </c>
      <c r="M14" s="656">
        <f t="shared" si="4"/>
        <v>0.96974662421950286</v>
      </c>
      <c r="N14" s="657">
        <f t="shared" si="5"/>
        <v>0.41303485066761747</v>
      </c>
      <c r="O14" s="656">
        <f t="shared" si="6"/>
        <v>0.41967759550731487</v>
      </c>
      <c r="P14" s="8">
        <f t="shared" si="7"/>
        <v>0.40698093150377662</v>
      </c>
      <c r="Q14" s="657">
        <f t="shared" si="8"/>
        <v>0.17334147298890856</v>
      </c>
      <c r="R14" s="656">
        <f t="shared" si="9"/>
        <v>52.040021842907045</v>
      </c>
      <c r="S14" s="8">
        <f t="shared" si="1"/>
        <v>50.465635506468303</v>
      </c>
      <c r="T14" s="657">
        <f t="shared" si="1"/>
        <v>21.494342650624663</v>
      </c>
      <c r="U14" s="8">
        <f t="shared" si="10"/>
        <v>-127.03938410053493</v>
      </c>
      <c r="V14">
        <f t="shared" si="11"/>
        <v>121.81585963705966</v>
      </c>
      <c r="AA14" t="s">
        <v>2097</v>
      </c>
      <c r="AB14" s="946">
        <f>1-EXP((-2/L17)*(AB5-AB4))</f>
        <v>0.20172626676885164</v>
      </c>
    </row>
    <row r="15" spans="1:36">
      <c r="A15" s="941">
        <v>24</v>
      </c>
      <c r="B15" s="943">
        <v>1</v>
      </c>
      <c r="C15" s="734">
        <v>12</v>
      </c>
      <c r="D15" s="174">
        <v>36</v>
      </c>
      <c r="E15" s="1149">
        <v>15</v>
      </c>
      <c r="G15">
        <f t="shared" si="2"/>
        <v>24</v>
      </c>
      <c r="H15">
        <f t="shared" si="0"/>
        <v>1</v>
      </c>
      <c r="I15" s="656">
        <f t="shared" si="0"/>
        <v>12</v>
      </c>
      <c r="J15" s="8">
        <f t="shared" si="0"/>
        <v>36</v>
      </c>
      <c r="K15" s="8">
        <f t="shared" si="0"/>
        <v>15</v>
      </c>
      <c r="L15" s="657">
        <f t="shared" si="3"/>
        <v>63</v>
      </c>
      <c r="M15" s="656">
        <f t="shared" si="4"/>
        <v>2.4308853155764618</v>
      </c>
      <c r="N15" s="657">
        <f t="shared" si="5"/>
        <v>0.59664380404820372</v>
      </c>
      <c r="O15" s="656">
        <f t="shared" si="6"/>
        <v>0.24829119052854728</v>
      </c>
      <c r="P15" s="8">
        <f t="shared" si="7"/>
        <v>0.60356740904284312</v>
      </c>
      <c r="Q15" s="657">
        <f t="shared" si="8"/>
        <v>0.14814140042860979</v>
      </c>
      <c r="R15" s="656">
        <f t="shared" si="9"/>
        <v>15.642345003298479</v>
      </c>
      <c r="S15" s="8">
        <f t="shared" si="1"/>
        <v>38.024746769699114</v>
      </c>
      <c r="T15" s="657">
        <f t="shared" si="1"/>
        <v>9.3329082270024166</v>
      </c>
      <c r="U15" s="8">
        <f t="shared" si="10"/>
        <v>-63.537969312650418</v>
      </c>
      <c r="V15">
        <f t="shared" si="11"/>
        <v>57.403135977635543</v>
      </c>
      <c r="AA15" t="s">
        <v>2098</v>
      </c>
      <c r="AB15" s="1073">
        <f>AB14/(1-EXP(2*(AB4-V17)/L17))</f>
        <v>0.22966306071375933</v>
      </c>
    </row>
    <row r="16" spans="1:36">
      <c r="A16" s="944">
        <v>25</v>
      </c>
      <c r="B16" s="945">
        <v>1</v>
      </c>
      <c r="C16" s="533">
        <v>6</v>
      </c>
      <c r="D16" s="1078">
        <v>18</v>
      </c>
      <c r="E16" s="1150">
        <v>5</v>
      </c>
      <c r="G16">
        <f t="shared" si="2"/>
        <v>25</v>
      </c>
      <c r="H16">
        <f t="shared" si="0"/>
        <v>1</v>
      </c>
      <c r="I16" s="533">
        <f t="shared" si="0"/>
        <v>6</v>
      </c>
      <c r="J16" s="1078">
        <f t="shared" si="0"/>
        <v>18</v>
      </c>
      <c r="K16" s="1078">
        <f t="shared" si="0"/>
        <v>5</v>
      </c>
      <c r="L16" s="541">
        <f t="shared" si="3"/>
        <v>29</v>
      </c>
      <c r="M16" s="533">
        <f t="shared" si="4"/>
        <v>6.0935539963763778</v>
      </c>
      <c r="N16" s="541">
        <f t="shared" si="5"/>
        <v>0.86187358847252182</v>
      </c>
      <c r="O16" s="533">
        <f t="shared" si="6"/>
        <v>0.12570034600082322</v>
      </c>
      <c r="P16" s="1078">
        <f t="shared" si="7"/>
        <v>0.76596184571920978</v>
      </c>
      <c r="Q16" s="541">
        <f t="shared" si="8"/>
        <v>0.10833780827996711</v>
      </c>
      <c r="R16" s="533">
        <f t="shared" si="9"/>
        <v>3.6453100340238733</v>
      </c>
      <c r="S16" s="1078">
        <f t="shared" si="1"/>
        <v>22.212893525857083</v>
      </c>
      <c r="T16" s="541">
        <f t="shared" si="1"/>
        <v>3.1417964401190464</v>
      </c>
      <c r="U16" s="8">
        <f t="shared" si="10"/>
        <v>-28.354844424122064</v>
      </c>
      <c r="V16">
        <f t="shared" si="11"/>
        <v>23.494850804342796</v>
      </c>
    </row>
    <row r="17" spans="3:36">
      <c r="C17">
        <f>SUM(C5:C16)</f>
        <v>400</v>
      </c>
      <c r="D17">
        <f>SUM(D5:D16)</f>
        <v>270</v>
      </c>
      <c r="E17">
        <f>SUM(E5:E16)</f>
        <v>190</v>
      </c>
      <c r="G17" s="1117"/>
      <c r="H17" s="1117"/>
      <c r="I17" s="1117">
        <f>SUM(I5:I16)</f>
        <v>400</v>
      </c>
      <c r="J17" s="1117">
        <f>SUM(J5:J16)</f>
        <v>270</v>
      </c>
      <c r="K17" s="1152">
        <f>SUM(K5:K16)</f>
        <v>190</v>
      </c>
      <c r="L17" s="1152">
        <f>SUM(L5:L16)</f>
        <v>860</v>
      </c>
      <c r="O17" s="1152"/>
      <c r="R17" s="1117">
        <f>SUM(R5:R16)</f>
        <v>399.99634024406151</v>
      </c>
      <c r="S17" s="1117">
        <f>SUM(S5:S16)</f>
        <v>269.99513834315314</v>
      </c>
      <c r="T17" s="1117">
        <f>SUM(T5:T16)</f>
        <v>190.00852141278537</v>
      </c>
      <c r="U17" s="1117">
        <f>SUM(U5:U16)</f>
        <v>-808.98693528109152</v>
      </c>
      <c r="V17" s="1117">
        <f>SUM(V5:V16)</f>
        <v>742.48185857521344</v>
      </c>
      <c r="W17" s="8"/>
    </row>
    <row r="18" spans="3:36">
      <c r="X18" t="s">
        <v>3028</v>
      </c>
      <c r="AE18" t="s">
        <v>2602</v>
      </c>
    </row>
    <row r="19" spans="3:36">
      <c r="G19" t="s">
        <v>2993</v>
      </c>
    </row>
    <row r="20" spans="3:36" ht="15" thickBot="1">
      <c r="X20" s="1067" t="e">
        <f t="array" aca="1" ref="X20:Z22" ca="1">MMULT(TRANSPOSE([1]!DESIGN(G5:H16)),P5:P16*(1-P5:P16)*L5:L16*[1]!DESIGN(G5:H16))</f>
        <v>#NAME?</v>
      </c>
      <c r="Y20" s="1068" t="e">
        <f ca="1"/>
        <v>#NAME?</v>
      </c>
      <c r="Z20" s="1071" t="e">
        <f ca="1"/>
        <v>#NAME?</v>
      </c>
      <c r="AA20" s="1067" t="e">
        <f t="array" aca="1" ref="AA20:AC22" ca="1">-MMULT(TRANSPOSE([1]!DESIGN(G5:H16)),P5:P16*Q5:Q16*L5:L16*[1]!DESIGN(G5:H16))</f>
        <v>#NAME?</v>
      </c>
      <c r="AB20" s="1068" t="e">
        <f ca="1"/>
        <v>#NAME?</v>
      </c>
      <c r="AC20" s="1071" t="e">
        <f ca="1"/>
        <v>#NAME?</v>
      </c>
      <c r="AE20" s="1067" t="e">
        <f t="array" aca="1" ref="AE20:AJ25" ca="1">MINVERSE(X20:AC25)</f>
        <v>#NAME?</v>
      </c>
      <c r="AF20" s="1068" t="e">
        <f ca="1"/>
        <v>#NAME?</v>
      </c>
      <c r="AG20" s="1068" t="e">
        <f ca="1"/>
        <v>#NAME?</v>
      </c>
      <c r="AH20" s="1068" t="e">
        <f ca="1"/>
        <v>#NAME?</v>
      </c>
      <c r="AI20" s="1068" t="e">
        <f ca="1"/>
        <v>#NAME?</v>
      </c>
      <c r="AJ20" s="1071" t="e">
        <f ca="1"/>
        <v>#NAME?</v>
      </c>
    </row>
    <row r="21" spans="3:36" ht="15" thickTop="1">
      <c r="G21" s="1116"/>
      <c r="H21" s="1116" t="s">
        <v>2603</v>
      </c>
      <c r="I21" s="1116" t="s">
        <v>826</v>
      </c>
      <c r="J21" s="1116" t="s">
        <v>2604</v>
      </c>
      <c r="K21" s="1116" t="s">
        <v>200</v>
      </c>
      <c r="L21" s="1116" t="s">
        <v>2605</v>
      </c>
      <c r="M21" s="1116" t="s">
        <v>103</v>
      </c>
      <c r="N21" s="1116" t="s">
        <v>104</v>
      </c>
      <c r="X21" s="656" t="e">
        <f ca="1"/>
        <v>#NAME?</v>
      </c>
      <c r="Y21" s="8" t="e">
        <f ca="1"/>
        <v>#NAME?</v>
      </c>
      <c r="Z21" s="657" t="e">
        <f ca="1"/>
        <v>#NAME?</v>
      </c>
      <c r="AA21" s="656" t="e">
        <f ca="1"/>
        <v>#NAME?</v>
      </c>
      <c r="AB21" s="8" t="e">
        <f ca="1"/>
        <v>#NAME?</v>
      </c>
      <c r="AC21" s="657" t="e">
        <f ca="1"/>
        <v>#NAME?</v>
      </c>
      <c r="AE21" s="656" t="e">
        <f ca="1"/>
        <v>#NAME?</v>
      </c>
      <c r="AF21" s="8" t="e">
        <f ca="1"/>
        <v>#NAME?</v>
      </c>
      <c r="AG21" s="8" t="e">
        <f ca="1"/>
        <v>#NAME?</v>
      </c>
      <c r="AH21" s="8" t="e">
        <f ca="1"/>
        <v>#NAME?</v>
      </c>
      <c r="AI21" s="8" t="e">
        <f ca="1"/>
        <v>#NAME?</v>
      </c>
      <c r="AJ21" s="657" t="e">
        <f ca="1"/>
        <v>#NAME?</v>
      </c>
    </row>
    <row r="22" spans="3:36">
      <c r="G22" t="s">
        <v>697</v>
      </c>
      <c r="H22">
        <f t="array" ref="H22:H24">X6:X8</f>
        <v>-21.154133877889475</v>
      </c>
      <c r="I22" t="e">
        <f t="array" aca="1" ref="I22:I24" ca="1">SQRT([1]!DIAG(AE20:AG22))</f>
        <v>#NAME?</v>
      </c>
      <c r="J22" t="e">
        <f ca="1">(H22/I22)^2</f>
        <v>#NAME?</v>
      </c>
      <c r="K22" t="e">
        <f ca="1">CHIDIST(J22,1)</f>
        <v>#NAME?</v>
      </c>
      <c r="L22">
        <f>EXP(H22)</f>
        <v>6.4994467120206512E-10</v>
      </c>
      <c r="X22" s="533" t="e">
        <f ca="1"/>
        <v>#NAME?</v>
      </c>
      <c r="Y22" s="1078" t="e">
        <f ca="1"/>
        <v>#NAME?</v>
      </c>
      <c r="Z22" s="541" t="e">
        <f ca="1"/>
        <v>#NAME?</v>
      </c>
      <c r="AA22" s="533" t="e">
        <f ca="1"/>
        <v>#NAME?</v>
      </c>
      <c r="AB22" s="1078" t="e">
        <f ca="1"/>
        <v>#NAME?</v>
      </c>
      <c r="AC22" s="541" t="e">
        <f ca="1"/>
        <v>#NAME?</v>
      </c>
      <c r="AE22" s="656" t="e">
        <f ca="1"/>
        <v>#NAME?</v>
      </c>
      <c r="AF22" s="8" t="e">
        <f ca="1"/>
        <v>#NAME?</v>
      </c>
      <c r="AG22" s="8" t="e">
        <f ca="1"/>
        <v>#NAME?</v>
      </c>
      <c r="AH22" s="8" t="e">
        <f ca="1"/>
        <v>#NAME?</v>
      </c>
      <c r="AI22" s="8" t="e">
        <f ca="1"/>
        <v>#NAME?</v>
      </c>
      <c r="AJ22" s="657" t="e">
        <f ca="1"/>
        <v>#NAME?</v>
      </c>
    </row>
    <row r="23" spans="3:36">
      <c r="G23" t="str">
        <f t="array" ref="G23:G24">TRANSPOSE(G4:H4)</f>
        <v>Dosage</v>
      </c>
      <c r="H23">
        <v>0.91897597215044968</v>
      </c>
      <c r="I23" t="e">
        <f ca="1"/>
        <v>#NAME?</v>
      </c>
      <c r="J23" t="e">
        <f ca="1">(H23/I23)^2</f>
        <v>#NAME?</v>
      </c>
      <c r="K23" t="e">
        <f ca="1">CHIDIST(J23,1)</f>
        <v>#NAME?</v>
      </c>
      <c r="L23">
        <f>EXP(H23)</f>
        <v>2.506722121907818</v>
      </c>
      <c r="M23" t="e">
        <f ca="1">EXP(H23-I23*NORMSINV(1-0.05/2))</f>
        <v>#NAME?</v>
      </c>
      <c r="N23" t="e">
        <f ca="1">EXP(H23+I23*NORMSINV(1-0.05/2))</f>
        <v>#NAME?</v>
      </c>
      <c r="X23" s="1067" t="e">
        <f t="array" ref="X23:Z25" ca="1">AA20:AC22</f>
        <v>#NAME?</v>
      </c>
      <c r="Y23" s="1068" t="e">
        <f ca="1"/>
        <v>#NAME?</v>
      </c>
      <c r="Z23" s="1071" t="e">
        <f ca="1"/>
        <v>#NAME?</v>
      </c>
      <c r="AA23" s="1067" t="e">
        <f t="array" aca="1" ref="AA23:AC25" ca="1">MMULT(TRANSPOSE([1]!DESIGN(G5:H16)),Q5:Q16*(1-Q5:Q16)*L5:L16*[1]!DESIGN(G5:H16))</f>
        <v>#NAME?</v>
      </c>
      <c r="AB23" s="1068" t="e">
        <f ca="1"/>
        <v>#NAME?</v>
      </c>
      <c r="AC23" s="1071" t="e">
        <f ca="1"/>
        <v>#NAME?</v>
      </c>
      <c r="AE23" s="656" t="e">
        <f ca="1"/>
        <v>#NAME?</v>
      </c>
      <c r="AF23" s="8" t="e">
        <f ca="1"/>
        <v>#NAME?</v>
      </c>
      <c r="AG23" s="8" t="e">
        <f ca="1"/>
        <v>#NAME?</v>
      </c>
      <c r="AH23" s="8" t="e">
        <f ca="1"/>
        <v>#NAME?</v>
      </c>
      <c r="AI23" s="8" t="e">
        <f ca="1"/>
        <v>#NAME?</v>
      </c>
      <c r="AJ23" s="657" t="e">
        <f ca="1"/>
        <v>#NAME?</v>
      </c>
    </row>
    <row r="24" spans="3:36">
      <c r="G24" s="1078" t="str">
        <v>Gender</v>
      </c>
      <c r="H24" s="1078">
        <v>-1.3033935322250792E-2</v>
      </c>
      <c r="I24" s="1078" t="e">
        <f ca="1"/>
        <v>#NAME?</v>
      </c>
      <c r="J24" s="1078" t="e">
        <f ca="1">(H24/I24)^2</f>
        <v>#NAME?</v>
      </c>
      <c r="K24" s="1078" t="e">
        <f ca="1">CHIDIST(J24,1)</f>
        <v>#NAME?</v>
      </c>
      <c r="L24" s="1078">
        <f>EXP(H24)</f>
        <v>0.98705063857043662</v>
      </c>
      <c r="M24" s="1078" t="e">
        <f ca="1">EXP(H24-I24*NORMSINV(1-0.05/2))</f>
        <v>#NAME?</v>
      </c>
      <c r="N24" s="1078" t="e">
        <f ca="1">EXP(H24+I24*NORMSINV(1-0.05/2))</f>
        <v>#NAME?</v>
      </c>
      <c r="X24" s="656" t="e">
        <f ca="1"/>
        <v>#NAME?</v>
      </c>
      <c r="Y24" s="8" t="e">
        <f ca="1"/>
        <v>#NAME?</v>
      </c>
      <c r="Z24" s="657" t="e">
        <f ca="1"/>
        <v>#NAME?</v>
      </c>
      <c r="AA24" s="656" t="e">
        <f ca="1"/>
        <v>#NAME?</v>
      </c>
      <c r="AB24" s="8" t="e">
        <f ca="1"/>
        <v>#NAME?</v>
      </c>
      <c r="AC24" s="657" t="e">
        <f ca="1"/>
        <v>#NAME?</v>
      </c>
      <c r="AE24" s="656" t="e">
        <f ca="1"/>
        <v>#NAME?</v>
      </c>
      <c r="AF24" s="8" t="e">
        <f ca="1"/>
        <v>#NAME?</v>
      </c>
      <c r="AG24" s="8" t="e">
        <f ca="1"/>
        <v>#NAME?</v>
      </c>
      <c r="AH24" s="8" t="e">
        <f ca="1"/>
        <v>#NAME?</v>
      </c>
      <c r="AI24" s="8" t="e">
        <f ca="1"/>
        <v>#NAME?</v>
      </c>
      <c r="AJ24" s="657" t="e">
        <f ca="1"/>
        <v>#NAME?</v>
      </c>
    </row>
    <row r="25" spans="3:36">
      <c r="X25" s="533" t="e">
        <f ca="1"/>
        <v>#NAME?</v>
      </c>
      <c r="Y25" s="1078" t="e">
        <f ca="1"/>
        <v>#NAME?</v>
      </c>
      <c r="Z25" s="541" t="e">
        <f ca="1"/>
        <v>#NAME?</v>
      </c>
      <c r="AA25" s="533" t="e">
        <f ca="1"/>
        <v>#NAME?</v>
      </c>
      <c r="AB25" s="1078" t="e">
        <f ca="1"/>
        <v>#NAME?</v>
      </c>
      <c r="AC25" s="541" t="e">
        <f ca="1"/>
        <v>#NAME?</v>
      </c>
      <c r="AE25" s="533" t="e">
        <f ca="1"/>
        <v>#NAME?</v>
      </c>
      <c r="AF25" s="1078" t="e">
        <f ca="1"/>
        <v>#NAME?</v>
      </c>
      <c r="AG25" s="1078" t="e">
        <f ca="1"/>
        <v>#NAME?</v>
      </c>
      <c r="AH25" s="1078" t="e">
        <f ca="1"/>
        <v>#NAME?</v>
      </c>
      <c r="AI25" s="1078" t="e">
        <f ca="1"/>
        <v>#NAME?</v>
      </c>
      <c r="AJ25" s="541" t="e">
        <f ca="1"/>
        <v>#NAME?</v>
      </c>
    </row>
    <row r="26" spans="3:36">
      <c r="G26" t="s">
        <v>3015</v>
      </c>
    </row>
    <row r="27" spans="3:36" ht="15" thickBot="1"/>
    <row r="28" spans="3:36" ht="15" thickTop="1">
      <c r="G28" s="1116"/>
      <c r="H28" s="1116" t="s">
        <v>2603</v>
      </c>
      <c r="I28" s="1116" t="s">
        <v>826</v>
      </c>
      <c r="J28" s="1116" t="s">
        <v>2604</v>
      </c>
      <c r="K28" s="1116" t="s">
        <v>200</v>
      </c>
      <c r="L28" s="1116" t="s">
        <v>2605</v>
      </c>
      <c r="M28" s="1116" t="s">
        <v>103</v>
      </c>
      <c r="N28" s="1116" t="s">
        <v>104</v>
      </c>
    </row>
    <row r="29" spans="3:36">
      <c r="G29" t="s">
        <v>697</v>
      </c>
      <c r="H29">
        <f t="array" ref="H29:H31">Y6:Y8</f>
        <v>-8.5930599308358797</v>
      </c>
      <c r="I29" t="e">
        <f t="array" aca="1" ref="I29:I31" ca="1">SQRT([1]!DIAG(AH23:AJ25))</f>
        <v>#NAME?</v>
      </c>
      <c r="J29" t="e">
        <f ca="1">(H29/I29)^2</f>
        <v>#NAME?</v>
      </c>
      <c r="K29" t="e">
        <f ca="1">CHIDIST(J29,1)</f>
        <v>#NAME?</v>
      </c>
      <c r="L29">
        <f>EXP(H29)</f>
        <v>1.8538794457093942E-4</v>
      </c>
    </row>
    <row r="30" spans="3:36">
      <c r="G30" t="str">
        <f t="array" ref="G30:G31">TRANSPOSE(G4:H4)</f>
        <v>Dosage</v>
      </c>
      <c r="H30">
        <v>0.36778831861094008</v>
      </c>
      <c r="I30" t="e">
        <f ca="1"/>
        <v>#NAME?</v>
      </c>
      <c r="J30" t="e">
        <f ca="1">(H30/I30)^2</f>
        <v>#NAME?</v>
      </c>
      <c r="K30" t="e">
        <f ca="1">CHIDIST(J30,1)</f>
        <v>#NAME?</v>
      </c>
      <c r="L30">
        <f>EXP(H30)</f>
        <v>1.444536225172784</v>
      </c>
      <c r="M30" t="e">
        <f ca="1">EXP(H30-I30*NORMSINV(1-0.05/2))</f>
        <v>#NAME?</v>
      </c>
      <c r="N30" t="e">
        <f ca="1">EXP(H30+I30*NORMSINV(1-0.05/2))</f>
        <v>#NAME?</v>
      </c>
    </row>
    <row r="31" spans="3:36">
      <c r="G31" s="1078" t="str">
        <v>Gender</v>
      </c>
      <c r="H31" s="1078">
        <v>-0.75029470261389919</v>
      </c>
      <c r="I31" s="1078" t="e">
        <f ca="1"/>
        <v>#NAME?</v>
      </c>
      <c r="J31" s="1078" t="e">
        <f ca="1">(H31/I31)^2</f>
        <v>#NAME?</v>
      </c>
      <c r="K31" s="1078" t="e">
        <f ca="1">CHIDIST(J31,1)</f>
        <v>#NAME?</v>
      </c>
      <c r="L31" s="1078">
        <f>EXP(H31)</f>
        <v>0.47222736559361883</v>
      </c>
      <c r="M31" s="1078" t="e">
        <f ca="1">EXP(H31-I31*NORMSINV(1-0.05/2))</f>
        <v>#NAME?</v>
      </c>
      <c r="N31" s="1078" t="e">
        <f ca="1">EXP(H31+I31*NORMSINV(1-0.05/2))</f>
        <v>#NAME?</v>
      </c>
    </row>
  </sheetData>
  <mergeCells count="6">
    <mergeCell ref="G3:H3"/>
    <mergeCell ref="U3:V3"/>
    <mergeCell ref="I3:L3"/>
    <mergeCell ref="O3:Q3"/>
    <mergeCell ref="R3:T3"/>
    <mergeCell ref="M3:N3"/>
  </mergeCell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sheetPr codeName="Sheet273"/>
  <dimension ref="A1:AJ32"/>
  <sheetViews>
    <sheetView workbookViewId="0"/>
  </sheetViews>
  <sheetFormatPr defaultRowHeight="14.4"/>
  <cols>
    <col min="1" max="5" width="7.5546875" customWidth="1"/>
    <col min="6" max="6" width="5.6640625" customWidth="1"/>
    <col min="13" max="13" width="9.109375" customWidth="1"/>
    <col min="32" max="32" width="9.109375" customWidth="1"/>
  </cols>
  <sheetData>
    <row r="1" spans="1:34">
      <c r="A1" s="1" t="s">
        <v>2963</v>
      </c>
    </row>
    <row r="2" spans="1:34">
      <c r="A2" t="s">
        <v>2994</v>
      </c>
    </row>
    <row r="3" spans="1:34" ht="15" thickBot="1">
      <c r="G3" s="1587" t="s">
        <v>3012</v>
      </c>
      <c r="H3" s="1587"/>
      <c r="I3" s="1587" t="s">
        <v>357</v>
      </c>
      <c r="J3" s="1587"/>
      <c r="K3" s="1587"/>
      <c r="L3" s="1587"/>
      <c r="M3" s="1587" t="s">
        <v>381</v>
      </c>
      <c r="N3" s="1587"/>
      <c r="O3" s="1587" t="s">
        <v>3014</v>
      </c>
      <c r="P3" s="1587"/>
      <c r="Q3" s="1587"/>
      <c r="R3" s="1587" t="s">
        <v>3013</v>
      </c>
      <c r="S3" s="1587"/>
      <c r="T3" s="1587"/>
      <c r="U3" s="1587" t="s">
        <v>3011</v>
      </c>
      <c r="V3" s="1587"/>
    </row>
    <row r="4" spans="1:34" ht="16.8" thickTop="1">
      <c r="A4" s="912" t="s">
        <v>2977</v>
      </c>
      <c r="B4" s="912" t="s">
        <v>1041</v>
      </c>
      <c r="C4" s="912" t="s">
        <v>2979</v>
      </c>
      <c r="D4" s="912" t="s">
        <v>362</v>
      </c>
      <c r="E4" s="912" t="s">
        <v>2978</v>
      </c>
      <c r="G4" s="1151" t="str">
        <f>A4</f>
        <v>Dosage</v>
      </c>
      <c r="H4" s="1151" t="str">
        <f t="shared" ref="H4:K16" si="0">B4</f>
        <v>Gender</v>
      </c>
      <c r="I4" s="1151" t="str">
        <f t="shared" si="0"/>
        <v>Dead</v>
      </c>
      <c r="J4" s="1151" t="str">
        <f t="shared" si="0"/>
        <v>Cured</v>
      </c>
      <c r="K4" s="1151" t="str">
        <f t="shared" si="0"/>
        <v>Sick</v>
      </c>
      <c r="L4" s="1151" t="s">
        <v>12</v>
      </c>
      <c r="M4" s="1151" t="str">
        <f>J4</f>
        <v>Cured</v>
      </c>
      <c r="N4" s="1151" t="str">
        <f>K4</f>
        <v>Sick</v>
      </c>
      <c r="O4" s="1151" t="str">
        <f>I4</f>
        <v>Dead</v>
      </c>
      <c r="P4" s="1151" t="str">
        <f>J4</f>
        <v>Cured</v>
      </c>
      <c r="Q4" s="1151" t="str">
        <f>K4</f>
        <v>Sick</v>
      </c>
      <c r="R4" s="1151" t="str">
        <f>O4</f>
        <v>Dead</v>
      </c>
      <c r="S4" s="1151" t="str">
        <f>P4</f>
        <v>Cured</v>
      </c>
      <c r="T4" s="1151" t="str">
        <f>Q4</f>
        <v>Sick</v>
      </c>
      <c r="U4" s="1151" t="s">
        <v>1982</v>
      </c>
      <c r="V4" s="1151" t="s">
        <v>1981</v>
      </c>
      <c r="X4" t="s">
        <v>3032</v>
      </c>
      <c r="AA4" t="s">
        <v>3029</v>
      </c>
      <c r="AD4" t="s">
        <v>2887</v>
      </c>
      <c r="AG4" t="s">
        <v>3031</v>
      </c>
    </row>
    <row r="5" spans="1:34">
      <c r="A5" s="1122">
        <v>20</v>
      </c>
      <c r="B5" s="1146">
        <v>0</v>
      </c>
      <c r="C5" s="1129">
        <v>13</v>
      </c>
      <c r="D5" s="1147">
        <v>0</v>
      </c>
      <c r="E5" s="1148">
        <v>8</v>
      </c>
      <c r="G5">
        <f>A5</f>
        <v>20</v>
      </c>
      <c r="H5">
        <f t="shared" si="0"/>
        <v>0</v>
      </c>
      <c r="I5" s="1067">
        <f t="shared" si="0"/>
        <v>13</v>
      </c>
      <c r="J5" s="1068">
        <f t="shared" si="0"/>
        <v>0</v>
      </c>
      <c r="K5" s="1068">
        <f t="shared" si="0"/>
        <v>8</v>
      </c>
      <c r="L5" s="1071">
        <f>SUM(I5:K5)</f>
        <v>21</v>
      </c>
      <c r="M5" s="1067">
        <f>EXP(X$6+MMULT($G5:$H5,X$7:X$8))</f>
        <v>6.2373521108151975E-2</v>
      </c>
      <c r="N5" s="1071">
        <f>EXP(Y$6+MMULT($G5:$H5,Y$7:Y$8))</f>
        <v>0.2901684801631994</v>
      </c>
      <c r="O5" s="1067">
        <f>1/(1+$M5+$N5)</f>
        <v>0.73934857406278565</v>
      </c>
      <c r="P5" s="1068">
        <f>M5*O5</f>
        <v>4.6115773890587221E-2</v>
      </c>
      <c r="Q5" s="1071">
        <f>N5*O5</f>
        <v>0.2145356520466272</v>
      </c>
      <c r="R5" s="1067">
        <f>O5*$L5</f>
        <v>15.526320055318498</v>
      </c>
      <c r="S5" s="1068">
        <f t="shared" ref="S5:T16" si="1">P5*$L5</f>
        <v>0.96843125170233169</v>
      </c>
      <c r="T5" s="1071">
        <f t="shared" si="1"/>
        <v>4.5052486929791709</v>
      </c>
      <c r="U5" s="8">
        <f t="shared" ref="U5:U16" si="2">I5*LN(O5)+J5*LN(P5)+K5*LN(Q5)+GAMMALN(L5+1)-GAMMALN(I5+1)-GAMMALN(J5+1)-GAMMALN(K5+1)</f>
        <v>-4.0166778281442319</v>
      </c>
      <c r="V5">
        <f>GAMMALN(L5+1)-GAMMALN(I5+1)-GAMMALN(J5+1)-GAMMALN(K5+1)</f>
        <v>12.223372142608234</v>
      </c>
    </row>
    <row r="6" spans="1:34">
      <c r="A6" s="941">
        <v>21</v>
      </c>
      <c r="B6" s="942">
        <v>0</v>
      </c>
      <c r="C6" s="734">
        <v>60</v>
      </c>
      <c r="D6" s="174">
        <v>6</v>
      </c>
      <c r="E6" s="1149">
        <v>30</v>
      </c>
      <c r="G6">
        <f t="shared" ref="G6:G16" si="3">A6</f>
        <v>21</v>
      </c>
      <c r="H6">
        <f t="shared" si="0"/>
        <v>0</v>
      </c>
      <c r="I6" s="656">
        <f t="shared" si="0"/>
        <v>60</v>
      </c>
      <c r="J6" s="8">
        <f t="shared" si="0"/>
        <v>6</v>
      </c>
      <c r="K6" s="8">
        <f t="shared" si="0"/>
        <v>30</v>
      </c>
      <c r="L6" s="657">
        <f t="shared" ref="L6:L16" si="4">SUM(I6:K6)</f>
        <v>96</v>
      </c>
      <c r="M6" s="656">
        <f t="shared" ref="M6:N16" si="5">EXP(X$6+MMULT($G6:$H6,X$7:X$8))</f>
        <v>0.15635308518308863</v>
      </c>
      <c r="N6" s="657">
        <f t="shared" si="5"/>
        <v>0.41915888099907195</v>
      </c>
      <c r="O6" s="656">
        <f t="shared" ref="O6:O16" si="6">1/(1+$M6+$N6)</f>
        <v>0.63471431602213557</v>
      </c>
      <c r="P6" s="8">
        <f t="shared" ref="P6:P16" si="7">M6*O6</f>
        <v>9.9239541519934804E-2</v>
      </c>
      <c r="Q6" s="657">
        <f t="shared" ref="Q6:Q16" si="8">N6*O6</f>
        <v>0.26604614245792968</v>
      </c>
      <c r="R6" s="656">
        <f t="shared" ref="R6:R16" si="9">O6*$L6</f>
        <v>60.932574338125015</v>
      </c>
      <c r="S6" s="8">
        <f t="shared" si="1"/>
        <v>9.5269959859137412</v>
      </c>
      <c r="T6" s="657">
        <f t="shared" si="1"/>
        <v>25.540429675961249</v>
      </c>
      <c r="U6" s="8">
        <f t="shared" si="2"/>
        <v>-5.3449485245207882</v>
      </c>
      <c r="V6">
        <f t="shared" ref="V6:V16" si="10">GAMMALN(L6+1)-GAMMALN(I6+1)-GAMMALN(J6+1)-GAMMALN(K6+1)</f>
        <v>75.513746077754988</v>
      </c>
      <c r="X6" s="1067">
        <f>'MLogit 2'!X6</f>
        <v>-21.154133877889475</v>
      </c>
      <c r="Y6" s="1156">
        <f>'MLogit 2'!Y6</f>
        <v>-8.5930599308358797</v>
      </c>
      <c r="AA6" s="1067" t="e">
        <f t="array" aca="1" ref="AA6:AA8" ca="1">MMULT(TRANSPOSE([1]!DESIGN($G5:$H16)),J5:J16-S5:S16)</f>
        <v>#NAME?</v>
      </c>
      <c r="AB6" s="1156" t="e">
        <f t="array" aca="1" ref="AB6:AB8" ca="1">MMULT(TRANSPOSE([1]!DESIGN($G5:$H16)),K5:K16-T5:T16)</f>
        <v>#NAME?</v>
      </c>
      <c r="AD6" s="1067" t="e">
        <f ca="1">AD10</f>
        <v>#NAME?</v>
      </c>
      <c r="AE6" s="1156" t="e">
        <f ca="1">AD13</f>
        <v>#NAME?</v>
      </c>
      <c r="AG6" s="1067" t="e">
        <f ca="1">AG10</f>
        <v>#NAME?</v>
      </c>
      <c r="AH6" s="1156" t="e">
        <f ca="1">AG13</f>
        <v>#NAME?</v>
      </c>
    </row>
    <row r="7" spans="1:34">
      <c r="A7" s="941">
        <v>22</v>
      </c>
      <c r="B7" s="942">
        <v>0</v>
      </c>
      <c r="C7" s="734">
        <v>61</v>
      </c>
      <c r="D7" s="174">
        <v>13</v>
      </c>
      <c r="E7" s="1149">
        <v>40</v>
      </c>
      <c r="G7">
        <f t="shared" si="3"/>
        <v>22</v>
      </c>
      <c r="H7">
        <f t="shared" si="0"/>
        <v>0</v>
      </c>
      <c r="I7" s="656">
        <f t="shared" si="0"/>
        <v>61</v>
      </c>
      <c r="J7" s="8">
        <f t="shared" si="0"/>
        <v>13</v>
      </c>
      <c r="K7" s="8">
        <f t="shared" si="0"/>
        <v>40</v>
      </c>
      <c r="L7" s="657">
        <f t="shared" si="4"/>
        <v>114</v>
      </c>
      <c r="M7" s="656">
        <f t="shared" si="5"/>
        <v>0.39193373745698534</v>
      </c>
      <c r="N7" s="657">
        <f t="shared" si="5"/>
        <v>0.60549018770604723</v>
      </c>
      <c r="O7" s="656">
        <f t="shared" si="6"/>
        <v>0.50064484929926856</v>
      </c>
      <c r="P7" s="8">
        <f t="shared" si="7"/>
        <v>0.19621960692445151</v>
      </c>
      <c r="Q7" s="657">
        <f t="shared" si="8"/>
        <v>0.30313554377627983</v>
      </c>
      <c r="R7" s="656">
        <f t="shared" si="9"/>
        <v>57.073512820116619</v>
      </c>
      <c r="S7" s="8">
        <f t="shared" si="1"/>
        <v>22.369035189387471</v>
      </c>
      <c r="T7" s="657">
        <f t="shared" si="1"/>
        <v>34.557451990495899</v>
      </c>
      <c r="U7" s="8">
        <f t="shared" si="2"/>
        <v>-7.5145958939600774</v>
      </c>
      <c r="V7">
        <f t="shared" si="10"/>
        <v>103.60254101092582</v>
      </c>
      <c r="X7" s="656">
        <f>'MLogit 2'!X7</f>
        <v>0.91897597215044968</v>
      </c>
      <c r="Y7" s="627">
        <f>'MLogit 2'!Y7</f>
        <v>0.36778831861094008</v>
      </c>
      <c r="AA7" s="656" t="e">
        <f ca="1"/>
        <v>#NAME?</v>
      </c>
      <c r="AB7" s="627" t="e">
        <f ca="1"/>
        <v>#NAME?</v>
      </c>
      <c r="AD7" s="656" t="e">
        <f ca="1">AD11</f>
        <v>#NAME?</v>
      </c>
      <c r="AE7" s="627" t="e">
        <f ca="1">AD14</f>
        <v>#NAME?</v>
      </c>
      <c r="AG7" s="656" t="e">
        <f ca="1">AG11</f>
        <v>#NAME?</v>
      </c>
      <c r="AH7" s="627" t="e">
        <f ca="1">AG14</f>
        <v>#NAME?</v>
      </c>
    </row>
    <row r="8" spans="1:34">
      <c r="A8" s="941">
        <v>23</v>
      </c>
      <c r="B8" s="943">
        <v>0</v>
      </c>
      <c r="C8" s="734">
        <v>49</v>
      </c>
      <c r="D8" s="174">
        <v>60</v>
      </c>
      <c r="E8" s="1149">
        <v>25</v>
      </c>
      <c r="G8">
        <f t="shared" si="3"/>
        <v>23</v>
      </c>
      <c r="H8">
        <f t="shared" si="0"/>
        <v>0</v>
      </c>
      <c r="I8" s="656">
        <f t="shared" si="0"/>
        <v>49</v>
      </c>
      <c r="J8" s="8">
        <f t="shared" si="0"/>
        <v>60</v>
      </c>
      <c r="K8" s="8">
        <f t="shared" si="0"/>
        <v>25</v>
      </c>
      <c r="L8" s="657">
        <f t="shared" si="4"/>
        <v>134</v>
      </c>
      <c r="M8" s="656">
        <f t="shared" si="5"/>
        <v>0.98246897000543498</v>
      </c>
      <c r="N8" s="657">
        <f t="shared" si="5"/>
        <v>0.87465251012805478</v>
      </c>
      <c r="O8" s="656">
        <f t="shared" si="6"/>
        <v>0.35000261870324051</v>
      </c>
      <c r="P8" s="8">
        <f t="shared" si="7"/>
        <v>0.34386671229657767</v>
      </c>
      <c r="Q8" s="657">
        <f t="shared" si="8"/>
        <v>0.30613066900018177</v>
      </c>
      <c r="R8" s="656">
        <f t="shared" si="9"/>
        <v>46.90035090623423</v>
      </c>
      <c r="S8" s="8">
        <f t="shared" si="1"/>
        <v>46.078139447741407</v>
      </c>
      <c r="T8" s="657">
        <f t="shared" si="1"/>
        <v>41.021509646024356</v>
      </c>
      <c r="U8" s="8">
        <f t="shared" si="2"/>
        <v>-10.603077349689151</v>
      </c>
      <c r="V8">
        <f t="shared" si="10"/>
        <v>134.48149092299815</v>
      </c>
      <c r="X8" s="533">
        <f>'MLogit 2'!X8</f>
        <v>-1.3033935322250792E-2</v>
      </c>
      <c r="Y8" s="544">
        <f>'MLogit 2'!Y8</f>
        <v>-0.75029470261389919</v>
      </c>
      <c r="AA8" s="533" t="e">
        <f ca="1"/>
        <v>#NAME?</v>
      </c>
      <c r="AB8" s="544" t="e">
        <f ca="1"/>
        <v>#NAME?</v>
      </c>
      <c r="AD8" s="533" t="e">
        <f ca="1">AD12</f>
        <v>#NAME?</v>
      </c>
      <c r="AE8" s="544" t="e">
        <f ca="1">AD15</f>
        <v>#NAME?</v>
      </c>
      <c r="AG8" s="533" t="e">
        <f ca="1">AG12</f>
        <v>#NAME?</v>
      </c>
      <c r="AH8" s="544" t="e">
        <f ca="1">AG15</f>
        <v>#NAME?</v>
      </c>
    </row>
    <row r="9" spans="1:34">
      <c r="A9" s="941">
        <v>24</v>
      </c>
      <c r="B9" s="943">
        <v>0</v>
      </c>
      <c r="C9" s="734">
        <v>8</v>
      </c>
      <c r="D9" s="174">
        <v>29</v>
      </c>
      <c r="E9" s="1149">
        <v>15</v>
      </c>
      <c r="G9">
        <f t="shared" si="3"/>
        <v>24</v>
      </c>
      <c r="H9">
        <f t="shared" si="0"/>
        <v>0</v>
      </c>
      <c r="I9" s="656">
        <f t="shared" si="0"/>
        <v>8</v>
      </c>
      <c r="J9" s="8">
        <f t="shared" si="0"/>
        <v>29</v>
      </c>
      <c r="K9" s="8">
        <f t="shared" si="0"/>
        <v>15</v>
      </c>
      <c r="L9" s="657">
        <f t="shared" si="4"/>
        <v>52</v>
      </c>
      <c r="M9" s="656">
        <f t="shared" si="5"/>
        <v>2.4627767012006188</v>
      </c>
      <c r="N9" s="657">
        <f t="shared" si="5"/>
        <v>1.2634672353182796</v>
      </c>
      <c r="O9" s="656">
        <f t="shared" si="6"/>
        <v>0.21158450842394463</v>
      </c>
      <c r="P9" s="8">
        <f t="shared" si="7"/>
        <v>0.52108539768147688</v>
      </c>
      <c r="Q9" s="657">
        <f t="shared" si="8"/>
        <v>0.26733009389457857</v>
      </c>
      <c r="R9" s="656">
        <f t="shared" si="9"/>
        <v>11.002394438045121</v>
      </c>
      <c r="S9" s="8">
        <f t="shared" si="1"/>
        <v>27.096440679436796</v>
      </c>
      <c r="T9" s="657">
        <f t="shared" si="1"/>
        <v>13.901164882518085</v>
      </c>
      <c r="U9" s="8">
        <f t="shared" si="2"/>
        <v>-4.517588306185214</v>
      </c>
      <c r="V9">
        <f t="shared" si="10"/>
        <v>46.599923049324644</v>
      </c>
    </row>
    <row r="10" spans="1:34">
      <c r="A10" s="941">
        <v>25</v>
      </c>
      <c r="B10" s="943">
        <v>0</v>
      </c>
      <c r="C10" s="656">
        <v>4</v>
      </c>
      <c r="D10" s="8">
        <v>20</v>
      </c>
      <c r="E10" s="1149">
        <v>8</v>
      </c>
      <c r="G10">
        <f t="shared" si="3"/>
        <v>25</v>
      </c>
      <c r="H10">
        <f t="shared" si="0"/>
        <v>0</v>
      </c>
      <c r="I10" s="656">
        <f t="shared" si="0"/>
        <v>4</v>
      </c>
      <c r="J10" s="8">
        <f t="shared" si="0"/>
        <v>20</v>
      </c>
      <c r="K10" s="8">
        <f t="shared" si="0"/>
        <v>8</v>
      </c>
      <c r="L10" s="657">
        <f t="shared" si="4"/>
        <v>32</v>
      </c>
      <c r="M10" s="656">
        <f t="shared" si="5"/>
        <v>6.1734968382187443</v>
      </c>
      <c r="N10" s="657">
        <f t="shared" si="5"/>
        <v>1.8251241907361599</v>
      </c>
      <c r="O10" s="656">
        <f t="shared" si="6"/>
        <v>0.11112813805385241</v>
      </c>
      <c r="P10" s="8">
        <f t="shared" si="7"/>
        <v>0.68604920891259402</v>
      </c>
      <c r="Q10" s="657">
        <f t="shared" si="8"/>
        <v>0.20282265303355365</v>
      </c>
      <c r="R10" s="656">
        <f t="shared" si="9"/>
        <v>3.5561004177232771</v>
      </c>
      <c r="S10" s="8">
        <f t="shared" si="1"/>
        <v>21.953574685203009</v>
      </c>
      <c r="T10" s="657">
        <f t="shared" si="1"/>
        <v>6.4903248970737168</v>
      </c>
      <c r="U10" s="8">
        <f t="shared" si="2"/>
        <v>-3.6481040357386298</v>
      </c>
      <c r="V10">
        <f t="shared" si="10"/>
        <v>25.439686262268342</v>
      </c>
      <c r="X10" s="1156">
        <f>X6</f>
        <v>-21.154133877889475</v>
      </c>
      <c r="AA10" s="1156" t="e">
        <f ca="1">AA6</f>
        <v>#NAME?</v>
      </c>
      <c r="AD10" s="1156" t="e">
        <f t="array" aca="1" ref="AD10:AD15" ca="1">MMULT(AE20:AJ25,AA10:AA15)</f>
        <v>#NAME?</v>
      </c>
      <c r="AG10" s="1156" t="e">
        <f t="array" ref="AG10:AG15" ca="1">X10:X15+AD10:AD15</f>
        <v>#NAME?</v>
      </c>
    </row>
    <row r="11" spans="1:34">
      <c r="A11" s="941">
        <v>20</v>
      </c>
      <c r="B11" s="943">
        <v>1</v>
      </c>
      <c r="C11" s="734">
        <v>16</v>
      </c>
      <c r="D11" s="174">
        <v>4</v>
      </c>
      <c r="E11" s="1149">
        <v>2</v>
      </c>
      <c r="G11">
        <f t="shared" si="3"/>
        <v>20</v>
      </c>
      <c r="H11">
        <f t="shared" si="0"/>
        <v>1</v>
      </c>
      <c r="I11" s="656">
        <f t="shared" si="0"/>
        <v>16</v>
      </c>
      <c r="J11" s="8">
        <f t="shared" si="0"/>
        <v>4</v>
      </c>
      <c r="K11" s="8">
        <f t="shared" si="0"/>
        <v>2</v>
      </c>
      <c r="L11" s="657">
        <f t="shared" si="4"/>
        <v>22</v>
      </c>
      <c r="M11" s="656">
        <f t="shared" si="5"/>
        <v>6.1565823839687957E-2</v>
      </c>
      <c r="N11" s="657">
        <f t="shared" si="5"/>
        <v>0.13702549696577193</v>
      </c>
      <c r="O11" s="656">
        <f t="shared" si="6"/>
        <v>0.83431273248999882</v>
      </c>
      <c r="P11" s="8">
        <f t="shared" si="7"/>
        <v>5.1365150715687972E-2</v>
      </c>
      <c r="Q11" s="657">
        <f t="shared" si="8"/>
        <v>0.11432211679431323</v>
      </c>
      <c r="R11" s="656">
        <f t="shared" si="9"/>
        <v>18.354880114779974</v>
      </c>
      <c r="S11" s="8">
        <f t="shared" si="1"/>
        <v>1.1300333157451354</v>
      </c>
      <c r="T11" s="657">
        <f t="shared" si="1"/>
        <v>2.515086569474891</v>
      </c>
      <c r="U11" s="8">
        <f t="shared" si="2"/>
        <v>-5.1828830623505677</v>
      </c>
      <c r="V11">
        <f t="shared" si="10"/>
        <v>13.928120234846661</v>
      </c>
      <c r="X11" s="627">
        <f>X7</f>
        <v>0.91897597215044968</v>
      </c>
      <c r="AA11" s="627" t="e">
        <f ca="1">AA7</f>
        <v>#NAME?</v>
      </c>
      <c r="AD11" s="627" t="e">
        <f ca="1"/>
        <v>#NAME?</v>
      </c>
      <c r="AG11" s="627" t="e">
        <f ca="1"/>
        <v>#NAME?</v>
      </c>
    </row>
    <row r="12" spans="1:34">
      <c r="A12" s="941">
        <v>21</v>
      </c>
      <c r="B12" s="943">
        <v>1</v>
      </c>
      <c r="C12" s="734">
        <v>67</v>
      </c>
      <c r="D12" s="174">
        <v>9</v>
      </c>
      <c r="E12" s="1149">
        <v>8</v>
      </c>
      <c r="G12">
        <f t="shared" si="3"/>
        <v>21</v>
      </c>
      <c r="H12">
        <f t="shared" si="0"/>
        <v>1</v>
      </c>
      <c r="I12" s="656">
        <f t="shared" si="0"/>
        <v>67</v>
      </c>
      <c r="J12" s="8">
        <f t="shared" si="0"/>
        <v>9</v>
      </c>
      <c r="K12" s="8">
        <f t="shared" si="0"/>
        <v>8</v>
      </c>
      <c r="L12" s="657">
        <f t="shared" si="4"/>
        <v>84</v>
      </c>
      <c r="M12" s="656">
        <f t="shared" si="5"/>
        <v>0.15432841257242536</v>
      </c>
      <c r="N12" s="657">
        <f t="shared" si="5"/>
        <v>0.19793829413936098</v>
      </c>
      <c r="O12" s="656">
        <f t="shared" si="6"/>
        <v>0.7394990907020339</v>
      </c>
      <c r="P12" s="8">
        <f t="shared" si="7"/>
        <v>0.11412572076679689</v>
      </c>
      <c r="Q12" s="657">
        <f t="shared" si="8"/>
        <v>0.14637518853116918</v>
      </c>
      <c r="R12" s="656">
        <f t="shared" si="9"/>
        <v>62.117923618970849</v>
      </c>
      <c r="S12" s="8">
        <f t="shared" si="1"/>
        <v>9.5865605444109381</v>
      </c>
      <c r="T12" s="657">
        <f t="shared" si="1"/>
        <v>12.295515836618211</v>
      </c>
      <c r="U12" s="8">
        <f t="shared" si="2"/>
        <v>-4.9455725472284904</v>
      </c>
      <c r="V12">
        <f t="shared" si="10"/>
        <v>50.180585597489312</v>
      </c>
      <c r="X12" s="544">
        <f>X8</f>
        <v>-1.3033935322250792E-2</v>
      </c>
      <c r="AA12" s="544" t="e">
        <f ca="1">AA8</f>
        <v>#NAME?</v>
      </c>
      <c r="AD12" s="544" t="e">
        <f ca="1"/>
        <v>#NAME?</v>
      </c>
      <c r="AG12" s="544" t="e">
        <f ca="1"/>
        <v>#NAME?</v>
      </c>
    </row>
    <row r="13" spans="1:34">
      <c r="A13" s="941">
        <v>22</v>
      </c>
      <c r="B13" s="943">
        <v>1</v>
      </c>
      <c r="C13" s="734">
        <v>55</v>
      </c>
      <c r="D13" s="174">
        <v>20</v>
      </c>
      <c r="E13" s="1149">
        <v>14</v>
      </c>
      <c r="G13">
        <f t="shared" si="3"/>
        <v>22</v>
      </c>
      <c r="H13">
        <f t="shared" si="0"/>
        <v>1</v>
      </c>
      <c r="I13" s="656">
        <f t="shared" si="0"/>
        <v>55</v>
      </c>
      <c r="J13" s="8">
        <f t="shared" si="0"/>
        <v>20</v>
      </c>
      <c r="K13" s="8">
        <f t="shared" si="0"/>
        <v>14</v>
      </c>
      <c r="L13" s="657">
        <f t="shared" si="4"/>
        <v>89</v>
      </c>
      <c r="M13" s="656">
        <f t="shared" si="5"/>
        <v>0.38685844583421491</v>
      </c>
      <c r="N13" s="657">
        <f t="shared" si="5"/>
        <v>0.28592903623321253</v>
      </c>
      <c r="O13" s="656">
        <f t="shared" si="6"/>
        <v>0.59780456915189395</v>
      </c>
      <c r="P13" s="8">
        <f t="shared" si="7"/>
        <v>0.23126574653469414</v>
      </c>
      <c r="Q13" s="657">
        <f t="shared" si="8"/>
        <v>0.17092968431341188</v>
      </c>
      <c r="R13" s="656">
        <f t="shared" si="9"/>
        <v>53.204606654518564</v>
      </c>
      <c r="S13" s="8">
        <f t="shared" si="1"/>
        <v>20.582651441587778</v>
      </c>
      <c r="T13" s="657">
        <f t="shared" si="1"/>
        <v>15.212741903893658</v>
      </c>
      <c r="U13" s="8">
        <f t="shared" si="2"/>
        <v>-4.5132777397917287</v>
      </c>
      <c r="V13">
        <f t="shared" si="10"/>
        <v>77.798546857959138</v>
      </c>
      <c r="X13" s="627">
        <f>Y6</f>
        <v>-8.5930599308358797</v>
      </c>
      <c r="AA13" s="627" t="e">
        <f ca="1">AB6</f>
        <v>#NAME?</v>
      </c>
      <c r="AD13" s="627" t="e">
        <f ca="1"/>
        <v>#NAME?</v>
      </c>
      <c r="AG13" s="627" t="e">
        <f ca="1"/>
        <v>#NAME?</v>
      </c>
    </row>
    <row r="14" spans="1:34">
      <c r="A14" s="941">
        <v>23</v>
      </c>
      <c r="B14" s="943">
        <v>1</v>
      </c>
      <c r="C14" s="734">
        <v>49</v>
      </c>
      <c r="D14" s="174">
        <v>55</v>
      </c>
      <c r="E14" s="1149">
        <v>20</v>
      </c>
      <c r="G14">
        <f t="shared" si="3"/>
        <v>23</v>
      </c>
      <c r="H14">
        <f t="shared" si="0"/>
        <v>1</v>
      </c>
      <c r="I14" s="656">
        <f t="shared" si="0"/>
        <v>49</v>
      </c>
      <c r="J14" s="8">
        <f t="shared" si="0"/>
        <v>55</v>
      </c>
      <c r="K14" s="8">
        <f t="shared" si="0"/>
        <v>20</v>
      </c>
      <c r="L14" s="657">
        <f t="shared" si="4"/>
        <v>124</v>
      </c>
      <c r="M14" s="656">
        <f t="shared" si="5"/>
        <v>0.96974662421950286</v>
      </c>
      <c r="N14" s="657">
        <f t="shared" si="5"/>
        <v>0.41303485066761747</v>
      </c>
      <c r="O14" s="656">
        <f t="shared" si="6"/>
        <v>0.41967759550731487</v>
      </c>
      <c r="P14" s="8">
        <f t="shared" si="7"/>
        <v>0.40698093150377662</v>
      </c>
      <c r="Q14" s="657">
        <f t="shared" si="8"/>
        <v>0.17334147298890856</v>
      </c>
      <c r="R14" s="656">
        <f t="shared" si="9"/>
        <v>52.040021842907045</v>
      </c>
      <c r="S14" s="8">
        <f t="shared" si="1"/>
        <v>50.465635506468303</v>
      </c>
      <c r="T14" s="657">
        <f t="shared" si="1"/>
        <v>21.494342650624663</v>
      </c>
      <c r="U14" s="8">
        <f t="shared" si="2"/>
        <v>-5.2235244634753002</v>
      </c>
      <c r="V14">
        <f t="shared" si="10"/>
        <v>121.81585963705966</v>
      </c>
      <c r="X14" s="627">
        <f>Y7</f>
        <v>0.36778831861094008</v>
      </c>
      <c r="AA14" s="627" t="e">
        <f ca="1">AB7</f>
        <v>#NAME?</v>
      </c>
      <c r="AD14" s="627" t="e">
        <f ca="1"/>
        <v>#NAME?</v>
      </c>
      <c r="AG14" s="627" t="e">
        <f ca="1"/>
        <v>#NAME?</v>
      </c>
    </row>
    <row r="15" spans="1:34">
      <c r="A15" s="941">
        <v>24</v>
      </c>
      <c r="B15" s="943">
        <v>1</v>
      </c>
      <c r="C15" s="734">
        <v>12</v>
      </c>
      <c r="D15" s="174">
        <v>36</v>
      </c>
      <c r="E15" s="1149">
        <v>15</v>
      </c>
      <c r="G15">
        <f t="shared" si="3"/>
        <v>24</v>
      </c>
      <c r="H15">
        <f t="shared" si="0"/>
        <v>1</v>
      </c>
      <c r="I15" s="656">
        <f t="shared" si="0"/>
        <v>12</v>
      </c>
      <c r="J15" s="8">
        <f t="shared" si="0"/>
        <v>36</v>
      </c>
      <c r="K15" s="8">
        <f t="shared" si="0"/>
        <v>15</v>
      </c>
      <c r="L15" s="657">
        <f t="shared" si="4"/>
        <v>63</v>
      </c>
      <c r="M15" s="656">
        <f t="shared" si="5"/>
        <v>2.4308853155764618</v>
      </c>
      <c r="N15" s="657">
        <f t="shared" si="5"/>
        <v>0.59664380404820372</v>
      </c>
      <c r="O15" s="656">
        <f t="shared" si="6"/>
        <v>0.24829119052854728</v>
      </c>
      <c r="P15" s="8">
        <f t="shared" si="7"/>
        <v>0.60356740904284312</v>
      </c>
      <c r="Q15" s="657">
        <f t="shared" si="8"/>
        <v>0.14814140042860979</v>
      </c>
      <c r="R15" s="656">
        <f t="shared" si="9"/>
        <v>15.642345003298479</v>
      </c>
      <c r="S15" s="8">
        <f t="shared" si="1"/>
        <v>38.024746769699114</v>
      </c>
      <c r="T15" s="657">
        <f t="shared" si="1"/>
        <v>9.3329082270024166</v>
      </c>
      <c r="U15" s="8">
        <f t="shared" si="2"/>
        <v>-6.1348333350148714</v>
      </c>
      <c r="V15">
        <f t="shared" si="10"/>
        <v>57.403135977635543</v>
      </c>
      <c r="X15" s="544">
        <f>Y8</f>
        <v>-0.75029470261389919</v>
      </c>
      <c r="AA15" s="544" t="e">
        <f ca="1">AB8</f>
        <v>#NAME?</v>
      </c>
      <c r="AD15" s="544" t="e">
        <f ca="1"/>
        <v>#NAME?</v>
      </c>
      <c r="AG15" s="544" t="e">
        <f ca="1"/>
        <v>#NAME?</v>
      </c>
    </row>
    <row r="16" spans="1:34">
      <c r="A16" s="944">
        <v>25</v>
      </c>
      <c r="B16" s="945">
        <v>1</v>
      </c>
      <c r="C16" s="533">
        <v>6</v>
      </c>
      <c r="D16" s="1078">
        <v>18</v>
      </c>
      <c r="E16" s="1150">
        <v>5</v>
      </c>
      <c r="G16">
        <f t="shared" si="3"/>
        <v>25</v>
      </c>
      <c r="H16">
        <f t="shared" si="0"/>
        <v>1</v>
      </c>
      <c r="I16" s="533">
        <f t="shared" si="0"/>
        <v>6</v>
      </c>
      <c r="J16" s="1078">
        <f t="shared" si="0"/>
        <v>18</v>
      </c>
      <c r="K16" s="1078">
        <f t="shared" si="0"/>
        <v>5</v>
      </c>
      <c r="L16" s="541">
        <f t="shared" si="4"/>
        <v>29</v>
      </c>
      <c r="M16" s="533">
        <f t="shared" si="5"/>
        <v>6.0935539963763778</v>
      </c>
      <c r="N16" s="541">
        <f t="shared" si="5"/>
        <v>0.86187358847252182</v>
      </c>
      <c r="O16" s="533">
        <f t="shared" si="6"/>
        <v>0.12570034600082322</v>
      </c>
      <c r="P16" s="1078">
        <f t="shared" si="7"/>
        <v>0.76596184571920978</v>
      </c>
      <c r="Q16" s="541">
        <f t="shared" si="8"/>
        <v>0.10833780827996711</v>
      </c>
      <c r="R16" s="533">
        <f t="shared" si="9"/>
        <v>3.6453100340238733</v>
      </c>
      <c r="S16" s="1078">
        <f t="shared" si="1"/>
        <v>22.212893525857083</v>
      </c>
      <c r="T16" s="541">
        <f t="shared" si="1"/>
        <v>3.1417964401190464</v>
      </c>
      <c r="U16" s="8">
        <f t="shared" si="2"/>
        <v>-4.859993619779261</v>
      </c>
      <c r="V16">
        <f t="shared" si="10"/>
        <v>23.494850804342796</v>
      </c>
    </row>
    <row r="17" spans="3:36">
      <c r="C17">
        <f>SUM(C5:C16)</f>
        <v>400</v>
      </c>
      <c r="D17">
        <f>SUM(D5:D16)</f>
        <v>270</v>
      </c>
      <c r="E17">
        <f>SUM(E5:E16)</f>
        <v>190</v>
      </c>
      <c r="G17" s="1117"/>
      <c r="H17" s="1117"/>
      <c r="I17" s="1117">
        <f>SUM(I5:I16)</f>
        <v>400</v>
      </c>
      <c r="J17" s="1117">
        <f>SUM(J5:J16)</f>
        <v>270</v>
      </c>
      <c r="K17" s="1152">
        <f>SUM(K5:K16)</f>
        <v>190</v>
      </c>
      <c r="L17" s="1152">
        <f>SUM(L5:L16)</f>
        <v>860</v>
      </c>
      <c r="O17" s="1152"/>
      <c r="R17" s="1117">
        <f>SUM(R5:R16)</f>
        <v>399.99634024406151</v>
      </c>
      <c r="S17" s="1117">
        <f>SUM(S5:S16)</f>
        <v>269.99513834315314</v>
      </c>
      <c r="T17" s="1117">
        <f>SUM(T5:T16)</f>
        <v>190.00852141278537</v>
      </c>
      <c r="U17" s="1117">
        <f>SUM(U5:U16)</f>
        <v>-66.505076705878324</v>
      </c>
      <c r="V17" s="1117">
        <f>I17*LN(I17/L17)+J17*LN(J17/L17)+K17*LN(K17/L17)+SUM(V5:V16)</f>
        <v>-163.38567469443615</v>
      </c>
      <c r="W17" s="8"/>
    </row>
    <row r="18" spans="3:36">
      <c r="X18" t="s">
        <v>3030</v>
      </c>
      <c r="AE18" t="s">
        <v>2602</v>
      </c>
    </row>
    <row r="19" spans="3:36">
      <c r="G19" t="s">
        <v>2993</v>
      </c>
    </row>
    <row r="20" spans="3:36" ht="15" thickBot="1">
      <c r="X20" s="1067" t="e">
        <f t="array" aca="1" ref="X20:Z22" ca="1">MMULT(TRANSPOSE([1]!DESIGN(G5:H16)),P5:P16*(1-P5:P16)*L5:L16*[1]!DESIGN(G5:H16))</f>
        <v>#NAME?</v>
      </c>
      <c r="Y20" s="1068" t="e">
        <f ca="1"/>
        <v>#NAME?</v>
      </c>
      <c r="Z20" s="1071" t="e">
        <f ca="1"/>
        <v>#NAME?</v>
      </c>
      <c r="AA20" s="1067" t="e">
        <f t="array" aca="1" ref="AA20:AC22" ca="1">-MMULT(TRANSPOSE([1]!DESIGN(G5:H16)),P5:P16*Q5:Q16*L5:L16*[1]!DESIGN(G5:H16))</f>
        <v>#NAME?</v>
      </c>
      <c r="AB20" s="1068" t="e">
        <f ca="1"/>
        <v>#NAME?</v>
      </c>
      <c r="AC20" s="1071" t="e">
        <f ca="1"/>
        <v>#NAME?</v>
      </c>
      <c r="AE20" s="1067" t="e">
        <f t="array" aca="1" ref="AE20:AJ25" ca="1">MINVERSE(X20:AC25)</f>
        <v>#NAME?</v>
      </c>
      <c r="AF20" s="1068" t="e">
        <f ca="1"/>
        <v>#NAME?</v>
      </c>
      <c r="AG20" s="1068" t="e">
        <f ca="1"/>
        <v>#NAME?</v>
      </c>
      <c r="AH20" s="1068" t="e">
        <f ca="1"/>
        <v>#NAME?</v>
      </c>
      <c r="AI20" s="1068" t="e">
        <f ca="1"/>
        <v>#NAME?</v>
      </c>
      <c r="AJ20" s="1071" t="e">
        <f ca="1"/>
        <v>#NAME?</v>
      </c>
    </row>
    <row r="21" spans="3:36" ht="15" thickTop="1">
      <c r="G21" s="1116"/>
      <c r="H21" s="1116" t="s">
        <v>2603</v>
      </c>
      <c r="I21" s="1116" t="s">
        <v>826</v>
      </c>
      <c r="J21" s="1116" t="s">
        <v>2604</v>
      </c>
      <c r="K21" s="1116" t="s">
        <v>200</v>
      </c>
      <c r="L21" s="1116" t="s">
        <v>2605</v>
      </c>
      <c r="M21" s="1116" t="s">
        <v>103</v>
      </c>
      <c r="N21" s="1116" t="s">
        <v>104</v>
      </c>
      <c r="X21" s="656" t="e">
        <f ca="1"/>
        <v>#NAME?</v>
      </c>
      <c r="Y21" s="8" t="e">
        <f ca="1"/>
        <v>#NAME?</v>
      </c>
      <c r="Z21" s="657" t="e">
        <f ca="1"/>
        <v>#NAME?</v>
      </c>
      <c r="AA21" s="656" t="e">
        <f ca="1"/>
        <v>#NAME?</v>
      </c>
      <c r="AB21" s="8" t="e">
        <f ca="1"/>
        <v>#NAME?</v>
      </c>
      <c r="AC21" s="657" t="e">
        <f ca="1"/>
        <v>#NAME?</v>
      </c>
      <c r="AE21" s="656" t="e">
        <f ca="1"/>
        <v>#NAME?</v>
      </c>
      <c r="AF21" s="8" t="e">
        <f ca="1"/>
        <v>#NAME?</v>
      </c>
      <c r="AG21" s="8" t="e">
        <f ca="1"/>
        <v>#NAME?</v>
      </c>
      <c r="AH21" s="8" t="e">
        <f ca="1"/>
        <v>#NAME?</v>
      </c>
      <c r="AI21" s="8" t="e">
        <f ca="1"/>
        <v>#NAME?</v>
      </c>
      <c r="AJ21" s="657" t="e">
        <f ca="1"/>
        <v>#NAME?</v>
      </c>
    </row>
    <row r="22" spans="3:36">
      <c r="G22" t="s">
        <v>697</v>
      </c>
      <c r="H22">
        <f t="array" ref="H22:H24">X6:X8</f>
        <v>-21.154133877889475</v>
      </c>
      <c r="I22" t="e">
        <f t="array" aca="1" ref="I22:I24" ca="1">SQRT([1]!DIAG(AE20:AG22))</f>
        <v>#NAME?</v>
      </c>
      <c r="J22" t="e">
        <f ca="1">(H22/I22)^2</f>
        <v>#NAME?</v>
      </c>
      <c r="K22" t="e">
        <f ca="1">CHIDIST(J22,1)</f>
        <v>#NAME?</v>
      </c>
      <c r="L22">
        <f>EXP(H22)</f>
        <v>6.4994467120206512E-10</v>
      </c>
      <c r="X22" s="533" t="e">
        <f ca="1"/>
        <v>#NAME?</v>
      </c>
      <c r="Y22" s="1078" t="e">
        <f ca="1"/>
        <v>#NAME?</v>
      </c>
      <c r="Z22" s="541" t="e">
        <f ca="1"/>
        <v>#NAME?</v>
      </c>
      <c r="AA22" s="533" t="e">
        <f ca="1"/>
        <v>#NAME?</v>
      </c>
      <c r="AB22" s="1078" t="e">
        <f ca="1"/>
        <v>#NAME?</v>
      </c>
      <c r="AC22" s="541" t="e">
        <f ca="1"/>
        <v>#NAME?</v>
      </c>
      <c r="AE22" s="656" t="e">
        <f ca="1"/>
        <v>#NAME?</v>
      </c>
      <c r="AF22" s="8" t="e">
        <f ca="1"/>
        <v>#NAME?</v>
      </c>
      <c r="AG22" s="8" t="e">
        <f ca="1"/>
        <v>#NAME?</v>
      </c>
      <c r="AH22" s="8" t="e">
        <f ca="1"/>
        <v>#NAME?</v>
      </c>
      <c r="AI22" s="8" t="e">
        <f ca="1"/>
        <v>#NAME?</v>
      </c>
      <c r="AJ22" s="657" t="e">
        <f ca="1"/>
        <v>#NAME?</v>
      </c>
    </row>
    <row r="23" spans="3:36">
      <c r="G23" t="str">
        <f t="array" ref="G23:G24">TRANSPOSE(G4:H4)</f>
        <v>Dosage</v>
      </c>
      <c r="H23">
        <v>0.91897597215044968</v>
      </c>
      <c r="I23" t="e">
        <f ca="1"/>
        <v>#NAME?</v>
      </c>
      <c r="J23" t="e">
        <f ca="1">(H23/I23)^2</f>
        <v>#NAME?</v>
      </c>
      <c r="K23" t="e">
        <f ca="1">CHIDIST(J23,1)</f>
        <v>#NAME?</v>
      </c>
      <c r="L23">
        <f>EXP(H23)</f>
        <v>2.506722121907818</v>
      </c>
      <c r="M23" t="e">
        <f ca="1">EXP(H23-I23*NORMSINV(1-0.05/2))</f>
        <v>#NAME?</v>
      </c>
      <c r="N23" t="e">
        <f ca="1">EXP(H23+I23*NORMSINV(1-0.05/2))</f>
        <v>#NAME?</v>
      </c>
      <c r="X23" s="1067" t="e">
        <f t="array" ref="X23:Z25" ca="1">AA20:AC22</f>
        <v>#NAME?</v>
      </c>
      <c r="Y23" s="1068" t="e">
        <f ca="1"/>
        <v>#NAME?</v>
      </c>
      <c r="Z23" s="1071" t="e">
        <f ca="1"/>
        <v>#NAME?</v>
      </c>
      <c r="AA23" s="1067" t="e">
        <f t="array" aca="1" ref="AA23:AC25" ca="1">MMULT(TRANSPOSE([1]!DESIGN(G5:H16)),Q5:Q16*(1-Q5:Q16)*L5:L16*[1]!DESIGN(G5:H16))</f>
        <v>#NAME?</v>
      </c>
      <c r="AB23" s="1068" t="e">
        <f ca="1"/>
        <v>#NAME?</v>
      </c>
      <c r="AC23" s="1071" t="e">
        <f ca="1"/>
        <v>#NAME?</v>
      </c>
      <c r="AE23" s="656" t="e">
        <f ca="1"/>
        <v>#NAME?</v>
      </c>
      <c r="AF23" s="8" t="e">
        <f ca="1"/>
        <v>#NAME?</v>
      </c>
      <c r="AG23" s="8" t="e">
        <f ca="1"/>
        <v>#NAME?</v>
      </c>
      <c r="AH23" s="8" t="e">
        <f ca="1"/>
        <v>#NAME?</v>
      </c>
      <c r="AI23" s="8" t="e">
        <f ca="1"/>
        <v>#NAME?</v>
      </c>
      <c r="AJ23" s="657" t="e">
        <f ca="1"/>
        <v>#NAME?</v>
      </c>
    </row>
    <row r="24" spans="3:36">
      <c r="G24" s="1078" t="str">
        <v>Gender</v>
      </c>
      <c r="H24" s="1078">
        <v>-1.3033935322250792E-2</v>
      </c>
      <c r="I24" s="1078" t="e">
        <f ca="1"/>
        <v>#NAME?</v>
      </c>
      <c r="J24" s="1078" t="e">
        <f ca="1">(H24/I24)^2</f>
        <v>#NAME?</v>
      </c>
      <c r="K24" s="1078" t="e">
        <f ca="1">CHIDIST(J24,1)</f>
        <v>#NAME?</v>
      </c>
      <c r="L24" s="1078">
        <f>EXP(H24)</f>
        <v>0.98705063857043662</v>
      </c>
      <c r="M24" s="1078" t="e">
        <f ca="1">EXP(H24-I24*NORMSINV(1-0.05/2))</f>
        <v>#NAME?</v>
      </c>
      <c r="N24" s="1078" t="e">
        <f ca="1">EXP(H24+I24*NORMSINV(1-0.05/2))</f>
        <v>#NAME?</v>
      </c>
      <c r="X24" s="656" t="e">
        <f ca="1"/>
        <v>#NAME?</v>
      </c>
      <c r="Y24" s="8" t="e">
        <f ca="1"/>
        <v>#NAME?</v>
      </c>
      <c r="Z24" s="657" t="e">
        <f ca="1"/>
        <v>#NAME?</v>
      </c>
      <c r="AA24" s="656" t="e">
        <f ca="1"/>
        <v>#NAME?</v>
      </c>
      <c r="AB24" s="8" t="e">
        <f ca="1"/>
        <v>#NAME?</v>
      </c>
      <c r="AC24" s="657" t="e">
        <f ca="1"/>
        <v>#NAME?</v>
      </c>
      <c r="AE24" s="656" t="e">
        <f ca="1"/>
        <v>#NAME?</v>
      </c>
      <c r="AF24" s="8" t="e">
        <f ca="1"/>
        <v>#NAME?</v>
      </c>
      <c r="AG24" s="8" t="e">
        <f ca="1"/>
        <v>#NAME?</v>
      </c>
      <c r="AH24" s="8" t="e">
        <f ca="1"/>
        <v>#NAME?</v>
      </c>
      <c r="AI24" s="8" t="e">
        <f ca="1"/>
        <v>#NAME?</v>
      </c>
      <c r="AJ24" s="657" t="e">
        <f ca="1"/>
        <v>#NAME?</v>
      </c>
    </row>
    <row r="25" spans="3:36">
      <c r="X25" s="533" t="e">
        <f ca="1"/>
        <v>#NAME?</v>
      </c>
      <c r="Y25" s="1078" t="e">
        <f ca="1"/>
        <v>#NAME?</v>
      </c>
      <c r="Z25" s="541" t="e">
        <f ca="1"/>
        <v>#NAME?</v>
      </c>
      <c r="AA25" s="533" t="e">
        <f ca="1"/>
        <v>#NAME?</v>
      </c>
      <c r="AB25" s="1078" t="e">
        <f ca="1"/>
        <v>#NAME?</v>
      </c>
      <c r="AC25" s="541" t="e">
        <f ca="1"/>
        <v>#NAME?</v>
      </c>
      <c r="AE25" s="533" t="e">
        <f ca="1"/>
        <v>#NAME?</v>
      </c>
      <c r="AF25" s="1078" t="e">
        <f ca="1"/>
        <v>#NAME?</v>
      </c>
      <c r="AG25" s="1078" t="e">
        <f ca="1"/>
        <v>#NAME?</v>
      </c>
      <c r="AH25" s="1078" t="e">
        <f ca="1"/>
        <v>#NAME?</v>
      </c>
      <c r="AI25" s="1078" t="e">
        <f ca="1"/>
        <v>#NAME?</v>
      </c>
      <c r="AJ25" s="541" t="e">
        <f ca="1"/>
        <v>#NAME?</v>
      </c>
    </row>
    <row r="27" spans="3:36">
      <c r="G27" t="s">
        <v>3015</v>
      </c>
    </row>
    <row r="28" spans="3:36" ht="15" thickBot="1"/>
    <row r="29" spans="3:36" ht="15" thickTop="1">
      <c r="G29" s="1116"/>
      <c r="H29" s="1116" t="s">
        <v>2603</v>
      </c>
      <c r="I29" s="1116" t="s">
        <v>826</v>
      </c>
      <c r="J29" s="1116" t="s">
        <v>2604</v>
      </c>
      <c r="K29" s="1116" t="s">
        <v>200</v>
      </c>
      <c r="L29" s="1116" t="s">
        <v>2605</v>
      </c>
      <c r="M29" s="1116" t="s">
        <v>103</v>
      </c>
      <c r="N29" s="1116" t="s">
        <v>104</v>
      </c>
    </row>
    <row r="30" spans="3:36">
      <c r="G30" t="s">
        <v>697</v>
      </c>
      <c r="H30">
        <f t="array" ref="H30:H32">Y6:Y8</f>
        <v>-8.5930599308358797</v>
      </c>
      <c r="I30" t="e">
        <f t="array" aca="1" ref="I30:I32" ca="1">SQRT([1]!DIAG(AH23:AJ25))</f>
        <v>#NAME?</v>
      </c>
      <c r="J30" t="e">
        <f ca="1">(H30/I30)^2</f>
        <v>#NAME?</v>
      </c>
      <c r="K30" t="e">
        <f ca="1">CHIDIST(J30,1)</f>
        <v>#NAME?</v>
      </c>
      <c r="L30">
        <f>EXP(H30)</f>
        <v>1.8538794457093942E-4</v>
      </c>
    </row>
    <row r="31" spans="3:36">
      <c r="G31" t="str">
        <f t="array" ref="G31:G32">TRANSPOSE(G4:H4)</f>
        <v>Dosage</v>
      </c>
      <c r="H31">
        <v>0.36778831861094008</v>
      </c>
      <c r="I31" t="e">
        <f ca="1"/>
        <v>#NAME?</v>
      </c>
      <c r="J31" t="e">
        <f ca="1">(H31/I31)^2</f>
        <v>#NAME?</v>
      </c>
      <c r="K31" t="e">
        <f ca="1">CHIDIST(J31,1)</f>
        <v>#NAME?</v>
      </c>
      <c r="L31">
        <f>EXP(H31)</f>
        <v>1.444536225172784</v>
      </c>
      <c r="M31" t="e">
        <f ca="1">EXP(H31-I31*NORMSINV(1-0.05/2))</f>
        <v>#NAME?</v>
      </c>
      <c r="N31" t="e">
        <f ca="1">EXP(H31+I31*NORMSINV(1-0.05/2))</f>
        <v>#NAME?</v>
      </c>
    </row>
    <row r="32" spans="3:36">
      <c r="G32" s="1078" t="str">
        <v>Gender</v>
      </c>
      <c r="H32" s="1078">
        <v>-0.75029470261389919</v>
      </c>
      <c r="I32" s="1078" t="e">
        <f ca="1"/>
        <v>#NAME?</v>
      </c>
      <c r="J32" s="1078" t="e">
        <f ca="1">(H32/I32)^2</f>
        <v>#NAME?</v>
      </c>
      <c r="K32" s="1078" t="e">
        <f ca="1">CHIDIST(J32,1)</f>
        <v>#NAME?</v>
      </c>
      <c r="L32" s="1078">
        <f>EXP(H32)</f>
        <v>0.47222736559361883</v>
      </c>
      <c r="M32" s="1078" t="e">
        <f ca="1">EXP(H32-I32*NORMSINV(1-0.05/2))</f>
        <v>#NAME?</v>
      </c>
      <c r="N32" s="1078" t="e">
        <f ca="1">EXP(H32+I32*NORMSINV(1-0.05/2))</f>
        <v>#NAME?</v>
      </c>
    </row>
  </sheetData>
  <mergeCells count="6">
    <mergeCell ref="G3:H3"/>
    <mergeCell ref="U3:V3"/>
    <mergeCell ref="I3:L3"/>
    <mergeCell ref="O3:Q3"/>
    <mergeCell ref="R3:T3"/>
    <mergeCell ref="M3:N3"/>
  </mergeCell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sheetPr codeName="Sheet276"/>
  <dimension ref="A1:AJ32"/>
  <sheetViews>
    <sheetView workbookViewId="0"/>
  </sheetViews>
  <sheetFormatPr defaultRowHeight="14.4"/>
  <cols>
    <col min="1" max="5" width="7.5546875" customWidth="1"/>
    <col min="6" max="6" width="5.6640625" customWidth="1"/>
    <col min="13" max="13" width="9.109375" customWidth="1"/>
    <col min="32" max="32" width="9.109375" customWidth="1"/>
  </cols>
  <sheetData>
    <row r="1" spans="1:34">
      <c r="A1" s="1" t="s">
        <v>2963</v>
      </c>
    </row>
    <row r="2" spans="1:34">
      <c r="A2" t="s">
        <v>2982</v>
      </c>
    </row>
    <row r="3" spans="1:34" ht="15" thickBot="1">
      <c r="G3" s="1587" t="s">
        <v>3012</v>
      </c>
      <c r="H3" s="1587"/>
      <c r="I3" s="1587" t="s">
        <v>357</v>
      </c>
      <c r="J3" s="1587"/>
      <c r="K3" s="1587"/>
      <c r="L3" s="1587"/>
      <c r="M3" s="1587" t="s">
        <v>381</v>
      </c>
      <c r="N3" s="1587"/>
      <c r="O3" s="1587" t="s">
        <v>3014</v>
      </c>
      <c r="P3" s="1587"/>
      <c r="Q3" s="1587"/>
      <c r="R3" s="1587" t="s">
        <v>3013</v>
      </c>
      <c r="S3" s="1587"/>
      <c r="T3" s="1587"/>
      <c r="U3" s="1587" t="s">
        <v>3011</v>
      </c>
      <c r="V3" s="1587"/>
    </row>
    <row r="4" spans="1:34" ht="16.8" thickTop="1">
      <c r="A4" s="912" t="s">
        <v>2977</v>
      </c>
      <c r="B4" s="912" t="s">
        <v>1041</v>
      </c>
      <c r="C4" s="912" t="s">
        <v>2979</v>
      </c>
      <c r="D4" s="912" t="s">
        <v>362</v>
      </c>
      <c r="E4" s="912" t="s">
        <v>2978</v>
      </c>
      <c r="G4" s="1151" t="str">
        <f>A4</f>
        <v>Dosage</v>
      </c>
      <c r="H4" s="1151" t="str">
        <f t="shared" ref="H4:K16" si="0">B4</f>
        <v>Gender</v>
      </c>
      <c r="I4" s="1151" t="str">
        <f t="shared" si="0"/>
        <v>Dead</v>
      </c>
      <c r="J4" s="1151" t="str">
        <f t="shared" si="0"/>
        <v>Cured</v>
      </c>
      <c r="K4" s="1151" t="str">
        <f t="shared" si="0"/>
        <v>Sick</v>
      </c>
      <c r="L4" s="1151" t="s">
        <v>12</v>
      </c>
      <c r="M4" s="1151" t="str">
        <f>J4</f>
        <v>Cured</v>
      </c>
      <c r="N4" s="1151" t="str">
        <f>K4</f>
        <v>Sick</v>
      </c>
      <c r="O4" s="1151" t="str">
        <f>I4</f>
        <v>Dead</v>
      </c>
      <c r="P4" s="1151" t="str">
        <f>J4</f>
        <v>Cured</v>
      </c>
      <c r="Q4" s="1151" t="str">
        <f>K4</f>
        <v>Sick</v>
      </c>
      <c r="R4" s="1151" t="str">
        <f>O4</f>
        <v>Dead</v>
      </c>
      <c r="S4" s="1151" t="str">
        <f>P4</f>
        <v>Cured</v>
      </c>
      <c r="T4" s="1151" t="str">
        <f>Q4</f>
        <v>Sick</v>
      </c>
      <c r="U4" s="1151" t="s">
        <v>1982</v>
      </c>
      <c r="V4" s="1151" t="s">
        <v>3033</v>
      </c>
      <c r="X4" t="s">
        <v>699</v>
      </c>
      <c r="AA4" t="s">
        <v>1981</v>
      </c>
      <c r="AB4" s="1138">
        <f>I17*LN(I17/L17)+J17*LN(J17/L17)+K17*LN(K17/L17)+V17</f>
        <v>-163.38567469443615</v>
      </c>
      <c r="AD4" t="s">
        <v>3029</v>
      </c>
      <c r="AG4" t="s">
        <v>2887</v>
      </c>
    </row>
    <row r="5" spans="1:34">
      <c r="A5" s="1122">
        <v>20</v>
      </c>
      <c r="B5" s="1146">
        <v>0</v>
      </c>
      <c r="C5" s="1129">
        <v>13</v>
      </c>
      <c r="D5" s="1147">
        <v>0</v>
      </c>
      <c r="E5" s="1148">
        <v>8</v>
      </c>
      <c r="G5">
        <f>A5</f>
        <v>20</v>
      </c>
      <c r="H5">
        <f t="shared" si="0"/>
        <v>0</v>
      </c>
      <c r="I5" s="1067">
        <f t="shared" si="0"/>
        <v>13</v>
      </c>
      <c r="J5" s="1068">
        <f t="shared" si="0"/>
        <v>0</v>
      </c>
      <c r="K5" s="1068">
        <f t="shared" si="0"/>
        <v>8</v>
      </c>
      <c r="L5" s="1071">
        <f>SUM(I5:K5)</f>
        <v>21</v>
      </c>
      <c r="M5" s="1067" t="e">
        <f ca="1">EXP(X$6+MMULT($G5:$H5,X$7:X$8))</f>
        <v>#NAME?</v>
      </c>
      <c r="N5" s="1071" t="e">
        <f ca="1">EXP(Y$6+MMULT($G5:$H5,Y$7:Y$8))</f>
        <v>#NAME?</v>
      </c>
      <c r="O5" s="1067" t="e">
        <f ca="1">1/(1+$M5+$N5)</f>
        <v>#NAME?</v>
      </c>
      <c r="P5" s="1068" t="e">
        <f ca="1">M5*O5</f>
        <v>#NAME?</v>
      </c>
      <c r="Q5" s="1071" t="e">
        <f ca="1">N5*O5</f>
        <v>#NAME?</v>
      </c>
      <c r="R5" s="1067" t="e">
        <f ca="1">O5*$L5</f>
        <v>#NAME?</v>
      </c>
      <c r="S5" s="1068" t="e">
        <f t="shared" ref="S5:T16" ca="1" si="1">P5*$L5</f>
        <v>#NAME?</v>
      </c>
      <c r="T5" s="1071" t="e">
        <f t="shared" ca="1" si="1"/>
        <v>#NAME?</v>
      </c>
      <c r="U5" s="8" t="e">
        <f ca="1">I5*LN(O5)+J5*LN(P5)+K5*LN(Q5)</f>
        <v>#NAME?</v>
      </c>
      <c r="V5">
        <f>GAMMALN(L5+1)-GAMMALN(I5+1)-GAMMALN(J5+1)-GAMMALN(K5+1)</f>
        <v>12.223372142608234</v>
      </c>
      <c r="AA5" t="s">
        <v>2084</v>
      </c>
      <c r="AB5" s="1073" t="e">
        <f ca="1">U17+V17</f>
        <v>#NAME?</v>
      </c>
    </row>
    <row r="6" spans="1:34">
      <c r="A6" s="941">
        <v>21</v>
      </c>
      <c r="B6" s="942">
        <v>0</v>
      </c>
      <c r="C6" s="734">
        <v>60</v>
      </c>
      <c r="D6" s="174">
        <v>6</v>
      </c>
      <c r="E6" s="1149">
        <v>30</v>
      </c>
      <c r="G6">
        <f t="shared" ref="G6:G16" si="2">A6</f>
        <v>21</v>
      </c>
      <c r="H6">
        <f t="shared" si="0"/>
        <v>0</v>
      </c>
      <c r="I6" s="656">
        <f t="shared" si="0"/>
        <v>60</v>
      </c>
      <c r="J6" s="8">
        <f t="shared" si="0"/>
        <v>6</v>
      </c>
      <c r="K6" s="8">
        <f t="shared" si="0"/>
        <v>30</v>
      </c>
      <c r="L6" s="657">
        <f t="shared" ref="L6:L16" si="3">SUM(I6:K6)</f>
        <v>96</v>
      </c>
      <c r="M6" s="656" t="e">
        <f t="shared" ref="M6:N16" ca="1" si="4">EXP(X$6+MMULT($G6:$H6,X$7:X$8))</f>
        <v>#NAME?</v>
      </c>
      <c r="N6" s="657" t="e">
        <f t="shared" ca="1" si="4"/>
        <v>#NAME?</v>
      </c>
      <c r="O6" s="656" t="e">
        <f t="shared" ref="O6:O16" ca="1" si="5">1/(1+$M6+$N6)</f>
        <v>#NAME?</v>
      </c>
      <c r="P6" s="8" t="e">
        <f t="shared" ref="P6:P16" ca="1" si="6">M6*O6</f>
        <v>#NAME?</v>
      </c>
      <c r="Q6" s="657" t="e">
        <f t="shared" ref="Q6:Q16" ca="1" si="7">N6*O6</f>
        <v>#NAME?</v>
      </c>
      <c r="R6" s="656" t="e">
        <f t="shared" ref="R6:R16" ca="1" si="8">O6*$L6</f>
        <v>#NAME?</v>
      </c>
      <c r="S6" s="8" t="e">
        <f t="shared" ca="1" si="1"/>
        <v>#NAME?</v>
      </c>
      <c r="T6" s="657" t="e">
        <f t="shared" ca="1" si="1"/>
        <v>#NAME?</v>
      </c>
      <c r="U6" s="8" t="e">
        <f t="shared" ref="U6:U16" ca="1" si="9">I6*LN(O6)+J6*LN(P6)+K6*LN(Q6)</f>
        <v>#NAME?</v>
      </c>
      <c r="V6">
        <f t="shared" ref="V6:V16" si="10">GAMMALN(L6+1)-GAMMALN(I6+1)-GAMMALN(J6+1)-GAMMALN(K6+1)</f>
        <v>75.513746077754988</v>
      </c>
      <c r="X6" s="1118" t="e">
        <f t="array" aca="1" ref="X6:Y8" ca="1">[1]!MLogitCoeff(A5:E16,2)</f>
        <v>#NAME?</v>
      </c>
      <c r="Y6" s="1156" t="e">
        <f ca="1"/>
        <v>#NAME?</v>
      </c>
      <c r="AD6" s="1067" t="e">
        <f t="array" aca="1" ref="AD6:AD8" ca="1">MMULT(TRANSPOSE([1]!DESIGN($G5:$H16)),J5:J16-S5:S16)</f>
        <v>#NAME?</v>
      </c>
      <c r="AE6" s="1156" t="e">
        <f t="array" aca="1" ref="AE6:AE8" ca="1">MMULT(TRANSPOSE([1]!DESIGN($G5:$H16)),K5:K16-T5:T16)</f>
        <v>#NAME?</v>
      </c>
      <c r="AG6" s="1067" t="e">
        <f ca="1">AG10</f>
        <v>#NAME?</v>
      </c>
      <c r="AH6" s="1156" t="e">
        <f ca="1">AG13</f>
        <v>#NAME?</v>
      </c>
    </row>
    <row r="7" spans="1:34">
      <c r="A7" s="941">
        <v>22</v>
      </c>
      <c r="B7" s="942">
        <v>0</v>
      </c>
      <c r="C7" s="734">
        <v>61</v>
      </c>
      <c r="D7" s="174">
        <v>13</v>
      </c>
      <c r="E7" s="1149">
        <v>40</v>
      </c>
      <c r="G7">
        <f t="shared" si="2"/>
        <v>22</v>
      </c>
      <c r="H7">
        <f t="shared" si="0"/>
        <v>0</v>
      </c>
      <c r="I7" s="656">
        <f t="shared" si="0"/>
        <v>61</v>
      </c>
      <c r="J7" s="8">
        <f t="shared" si="0"/>
        <v>13</v>
      </c>
      <c r="K7" s="8">
        <f t="shared" si="0"/>
        <v>40</v>
      </c>
      <c r="L7" s="657">
        <f t="shared" si="3"/>
        <v>114</v>
      </c>
      <c r="M7" s="656" t="e">
        <f t="shared" ca="1" si="4"/>
        <v>#NAME?</v>
      </c>
      <c r="N7" s="657" t="e">
        <f t="shared" ca="1" si="4"/>
        <v>#NAME?</v>
      </c>
      <c r="O7" s="656" t="e">
        <f t="shared" ca="1" si="5"/>
        <v>#NAME?</v>
      </c>
      <c r="P7" s="8" t="e">
        <f t="shared" ca="1" si="6"/>
        <v>#NAME?</v>
      </c>
      <c r="Q7" s="657" t="e">
        <f t="shared" ca="1" si="7"/>
        <v>#NAME?</v>
      </c>
      <c r="R7" s="656" t="e">
        <f t="shared" ca="1" si="8"/>
        <v>#NAME?</v>
      </c>
      <c r="S7" s="8" t="e">
        <f t="shared" ca="1" si="1"/>
        <v>#NAME?</v>
      </c>
      <c r="T7" s="657" t="e">
        <f t="shared" ca="1" si="1"/>
        <v>#NAME?</v>
      </c>
      <c r="U7" s="8" t="e">
        <f t="shared" ca="1" si="9"/>
        <v>#NAME?</v>
      </c>
      <c r="V7">
        <f t="shared" si="10"/>
        <v>103.60254101092582</v>
      </c>
      <c r="X7" s="946" t="e">
        <f ca="1"/>
        <v>#NAME?</v>
      </c>
      <c r="Y7" s="627" t="e">
        <f ca="1"/>
        <v>#NAME?</v>
      </c>
      <c r="AA7" t="s">
        <v>2099</v>
      </c>
      <c r="AB7" s="1138" t="e">
        <f ca="1">2*(AB5-AB4)</f>
        <v>#NAME?</v>
      </c>
      <c r="AD7" s="656" t="e">
        <f ca="1"/>
        <v>#NAME?</v>
      </c>
      <c r="AE7" s="627" t="e">
        <f ca="1"/>
        <v>#NAME?</v>
      </c>
      <c r="AG7" s="656" t="e">
        <f ca="1">AG11</f>
        <v>#NAME?</v>
      </c>
      <c r="AH7" s="627" t="e">
        <f ca="1">AG14</f>
        <v>#NAME?</v>
      </c>
    </row>
    <row r="8" spans="1:34">
      <c r="A8" s="941">
        <v>23</v>
      </c>
      <c r="B8" s="943">
        <v>0</v>
      </c>
      <c r="C8" s="734">
        <v>49</v>
      </c>
      <c r="D8" s="174">
        <v>60</v>
      </c>
      <c r="E8" s="1149">
        <v>25</v>
      </c>
      <c r="G8">
        <f t="shared" si="2"/>
        <v>23</v>
      </c>
      <c r="H8">
        <f t="shared" si="0"/>
        <v>0</v>
      </c>
      <c r="I8" s="656">
        <f t="shared" si="0"/>
        <v>49</v>
      </c>
      <c r="J8" s="8">
        <f t="shared" si="0"/>
        <v>60</v>
      </c>
      <c r="K8" s="8">
        <f t="shared" si="0"/>
        <v>25</v>
      </c>
      <c r="L8" s="657">
        <f t="shared" si="3"/>
        <v>134</v>
      </c>
      <c r="M8" s="656" t="e">
        <f t="shared" ca="1" si="4"/>
        <v>#NAME?</v>
      </c>
      <c r="N8" s="657" t="e">
        <f t="shared" ca="1" si="4"/>
        <v>#NAME?</v>
      </c>
      <c r="O8" s="656" t="e">
        <f t="shared" ca="1" si="5"/>
        <v>#NAME?</v>
      </c>
      <c r="P8" s="8" t="e">
        <f t="shared" ca="1" si="6"/>
        <v>#NAME?</v>
      </c>
      <c r="Q8" s="657" t="e">
        <f t="shared" ca="1" si="7"/>
        <v>#NAME?</v>
      </c>
      <c r="R8" s="656" t="e">
        <f t="shared" ca="1" si="8"/>
        <v>#NAME?</v>
      </c>
      <c r="S8" s="8" t="e">
        <f t="shared" ca="1" si="1"/>
        <v>#NAME?</v>
      </c>
      <c r="T8" s="657" t="e">
        <f t="shared" ca="1" si="1"/>
        <v>#NAME?</v>
      </c>
      <c r="U8" s="8" t="e">
        <f t="shared" ca="1" si="9"/>
        <v>#NAME?</v>
      </c>
      <c r="V8">
        <f t="shared" si="10"/>
        <v>134.48149092299815</v>
      </c>
      <c r="X8" s="1073" t="e">
        <f ca="1"/>
        <v>#NAME?</v>
      </c>
      <c r="Y8" s="544" t="e">
        <f ca="1"/>
        <v>#NAME?</v>
      </c>
      <c r="AA8" t="s">
        <v>186</v>
      </c>
      <c r="AB8" s="946">
        <f>COUNT(I5:J5)</f>
        <v>2</v>
      </c>
      <c r="AD8" s="533" t="e">
        <f ca="1"/>
        <v>#NAME?</v>
      </c>
      <c r="AE8" s="544" t="e">
        <f ca="1"/>
        <v>#NAME?</v>
      </c>
      <c r="AG8" s="533" t="e">
        <f ca="1">AG12</f>
        <v>#NAME?</v>
      </c>
      <c r="AH8" s="544" t="e">
        <f ca="1">AG15</f>
        <v>#NAME?</v>
      </c>
    </row>
    <row r="9" spans="1:34">
      <c r="A9" s="941">
        <v>24</v>
      </c>
      <c r="B9" s="943">
        <v>0</v>
      </c>
      <c r="C9" s="734">
        <v>8</v>
      </c>
      <c r="D9" s="174">
        <v>29</v>
      </c>
      <c r="E9" s="1149">
        <v>15</v>
      </c>
      <c r="G9">
        <f t="shared" si="2"/>
        <v>24</v>
      </c>
      <c r="H9">
        <f t="shared" si="0"/>
        <v>0</v>
      </c>
      <c r="I9" s="656">
        <f t="shared" si="0"/>
        <v>8</v>
      </c>
      <c r="J9" s="8">
        <f t="shared" si="0"/>
        <v>29</v>
      </c>
      <c r="K9" s="8">
        <f t="shared" si="0"/>
        <v>15</v>
      </c>
      <c r="L9" s="657">
        <f t="shared" si="3"/>
        <v>52</v>
      </c>
      <c r="M9" s="656" t="e">
        <f t="shared" ca="1" si="4"/>
        <v>#NAME?</v>
      </c>
      <c r="N9" s="657" t="e">
        <f t="shared" ca="1" si="4"/>
        <v>#NAME?</v>
      </c>
      <c r="O9" s="656" t="e">
        <f t="shared" ca="1" si="5"/>
        <v>#NAME?</v>
      </c>
      <c r="P9" s="8" t="e">
        <f t="shared" ca="1" si="6"/>
        <v>#NAME?</v>
      </c>
      <c r="Q9" s="657" t="e">
        <f t="shared" ca="1" si="7"/>
        <v>#NAME?</v>
      </c>
      <c r="R9" s="656" t="e">
        <f t="shared" ca="1" si="8"/>
        <v>#NAME?</v>
      </c>
      <c r="S9" s="8" t="e">
        <f t="shared" ca="1" si="1"/>
        <v>#NAME?</v>
      </c>
      <c r="T9" s="657" t="e">
        <f t="shared" ca="1" si="1"/>
        <v>#NAME?</v>
      </c>
      <c r="U9" s="8" t="e">
        <f t="shared" ca="1" si="9"/>
        <v>#NAME?</v>
      </c>
      <c r="V9">
        <f t="shared" si="10"/>
        <v>46.599923049324644</v>
      </c>
      <c r="AA9" t="s">
        <v>200</v>
      </c>
      <c r="AB9" s="946" t="e">
        <f ca="1">CHIDIST(AB7,AB8)</f>
        <v>#NAME?</v>
      </c>
    </row>
    <row r="10" spans="1:34">
      <c r="A10" s="941">
        <v>25</v>
      </c>
      <c r="B10" s="943">
        <v>0</v>
      </c>
      <c r="C10" s="656">
        <v>4</v>
      </c>
      <c r="D10" s="8">
        <v>20</v>
      </c>
      <c r="E10" s="1149">
        <v>8</v>
      </c>
      <c r="G10">
        <f t="shared" si="2"/>
        <v>25</v>
      </c>
      <c r="H10">
        <f t="shared" si="0"/>
        <v>0</v>
      </c>
      <c r="I10" s="656">
        <f t="shared" si="0"/>
        <v>4</v>
      </c>
      <c r="J10" s="8">
        <f t="shared" si="0"/>
        <v>20</v>
      </c>
      <c r="K10" s="8">
        <f t="shared" si="0"/>
        <v>8</v>
      </c>
      <c r="L10" s="657">
        <f t="shared" si="3"/>
        <v>32</v>
      </c>
      <c r="M10" s="656" t="e">
        <f t="shared" ca="1" si="4"/>
        <v>#NAME?</v>
      </c>
      <c r="N10" s="657" t="e">
        <f t="shared" ca="1" si="4"/>
        <v>#NAME?</v>
      </c>
      <c r="O10" s="656" t="e">
        <f t="shared" ca="1" si="5"/>
        <v>#NAME?</v>
      </c>
      <c r="P10" s="8" t="e">
        <f t="shared" ca="1" si="6"/>
        <v>#NAME?</v>
      </c>
      <c r="Q10" s="657" t="e">
        <f t="shared" ca="1" si="7"/>
        <v>#NAME?</v>
      </c>
      <c r="R10" s="656" t="e">
        <f t="shared" ca="1" si="8"/>
        <v>#NAME?</v>
      </c>
      <c r="S10" s="8" t="e">
        <f t="shared" ca="1" si="1"/>
        <v>#NAME?</v>
      </c>
      <c r="T10" s="657" t="e">
        <f t="shared" ca="1" si="1"/>
        <v>#NAME?</v>
      </c>
      <c r="U10" s="8" t="e">
        <f t="shared" ca="1" si="9"/>
        <v>#NAME?</v>
      </c>
      <c r="V10">
        <f t="shared" si="10"/>
        <v>25.439686262268342</v>
      </c>
      <c r="X10" s="1156" t="e">
        <f ca="1">X6</f>
        <v>#NAME?</v>
      </c>
      <c r="AA10" t="s">
        <v>337</v>
      </c>
      <c r="AB10" s="946">
        <v>0.05</v>
      </c>
      <c r="AD10" s="1156" t="e">
        <f ca="1">AD6</f>
        <v>#NAME?</v>
      </c>
      <c r="AG10" s="1156" t="e">
        <f t="array" aca="1" ref="AG10:AG15" ca="1">MMULT(AE20:AJ25,AD10:AD15)</f>
        <v>#NAME?</v>
      </c>
    </row>
    <row r="11" spans="1:34">
      <c r="A11" s="941">
        <v>20</v>
      </c>
      <c r="B11" s="943">
        <v>1</v>
      </c>
      <c r="C11" s="734">
        <v>16</v>
      </c>
      <c r="D11" s="174">
        <v>4</v>
      </c>
      <c r="E11" s="1149">
        <v>2</v>
      </c>
      <c r="G11">
        <f t="shared" si="2"/>
        <v>20</v>
      </c>
      <c r="H11">
        <f t="shared" si="0"/>
        <v>1</v>
      </c>
      <c r="I11" s="656">
        <f t="shared" si="0"/>
        <v>16</v>
      </c>
      <c r="J11" s="8">
        <f t="shared" si="0"/>
        <v>4</v>
      </c>
      <c r="K11" s="8">
        <f t="shared" si="0"/>
        <v>2</v>
      </c>
      <c r="L11" s="657">
        <f t="shared" si="3"/>
        <v>22</v>
      </c>
      <c r="M11" s="656" t="e">
        <f t="shared" ca="1" si="4"/>
        <v>#NAME?</v>
      </c>
      <c r="N11" s="657" t="e">
        <f t="shared" ca="1" si="4"/>
        <v>#NAME?</v>
      </c>
      <c r="O11" s="656" t="e">
        <f t="shared" ca="1" si="5"/>
        <v>#NAME?</v>
      </c>
      <c r="P11" s="8" t="e">
        <f t="shared" ca="1" si="6"/>
        <v>#NAME?</v>
      </c>
      <c r="Q11" s="657" t="e">
        <f t="shared" ca="1" si="7"/>
        <v>#NAME?</v>
      </c>
      <c r="R11" s="656" t="e">
        <f t="shared" ca="1" si="8"/>
        <v>#NAME?</v>
      </c>
      <c r="S11" s="8" t="e">
        <f t="shared" ca="1" si="1"/>
        <v>#NAME?</v>
      </c>
      <c r="T11" s="657" t="e">
        <f t="shared" ca="1" si="1"/>
        <v>#NAME?</v>
      </c>
      <c r="U11" s="8" t="e">
        <f t="shared" ca="1" si="9"/>
        <v>#NAME?</v>
      </c>
      <c r="V11">
        <f t="shared" si="10"/>
        <v>13.928120234846661</v>
      </c>
      <c r="X11" s="627" t="e">
        <f ca="1">X7</f>
        <v>#NAME?</v>
      </c>
      <c r="AA11" t="s">
        <v>948</v>
      </c>
      <c r="AB11" s="1074" t="e">
        <f ca="1">IF(AB9&lt;AB10,"yes","no")</f>
        <v>#NAME?</v>
      </c>
      <c r="AD11" s="627" t="e">
        <f ca="1">AD7</f>
        <v>#NAME?</v>
      </c>
      <c r="AG11" s="627" t="e">
        <f ca="1"/>
        <v>#NAME?</v>
      </c>
    </row>
    <row r="12" spans="1:34">
      <c r="A12" s="941">
        <v>21</v>
      </c>
      <c r="B12" s="943">
        <v>1</v>
      </c>
      <c r="C12" s="734">
        <v>67</v>
      </c>
      <c r="D12" s="174">
        <v>9</v>
      </c>
      <c r="E12" s="1149">
        <v>8</v>
      </c>
      <c r="G12">
        <f t="shared" si="2"/>
        <v>21</v>
      </c>
      <c r="H12">
        <f t="shared" si="0"/>
        <v>1</v>
      </c>
      <c r="I12" s="656">
        <f t="shared" si="0"/>
        <v>67</v>
      </c>
      <c r="J12" s="8">
        <f t="shared" si="0"/>
        <v>9</v>
      </c>
      <c r="K12" s="8">
        <f t="shared" si="0"/>
        <v>8</v>
      </c>
      <c r="L12" s="657">
        <f t="shared" si="3"/>
        <v>84</v>
      </c>
      <c r="M12" s="656" t="e">
        <f t="shared" ca="1" si="4"/>
        <v>#NAME?</v>
      </c>
      <c r="N12" s="657" t="e">
        <f t="shared" ca="1" si="4"/>
        <v>#NAME?</v>
      </c>
      <c r="O12" s="656" t="e">
        <f t="shared" ca="1" si="5"/>
        <v>#NAME?</v>
      </c>
      <c r="P12" s="8" t="e">
        <f t="shared" ca="1" si="6"/>
        <v>#NAME?</v>
      </c>
      <c r="Q12" s="657" t="e">
        <f t="shared" ca="1" si="7"/>
        <v>#NAME?</v>
      </c>
      <c r="R12" s="656" t="e">
        <f t="shared" ca="1" si="8"/>
        <v>#NAME?</v>
      </c>
      <c r="S12" s="8" t="e">
        <f t="shared" ca="1" si="1"/>
        <v>#NAME?</v>
      </c>
      <c r="T12" s="657" t="e">
        <f t="shared" ca="1" si="1"/>
        <v>#NAME?</v>
      </c>
      <c r="U12" s="8" t="e">
        <f t="shared" ca="1" si="9"/>
        <v>#NAME?</v>
      </c>
      <c r="V12">
        <f t="shared" si="10"/>
        <v>50.180585597489312</v>
      </c>
      <c r="X12" s="544" t="e">
        <f ca="1">X8</f>
        <v>#NAME?</v>
      </c>
      <c r="AD12" s="544" t="e">
        <f ca="1">AD8</f>
        <v>#NAME?</v>
      </c>
      <c r="AG12" s="544" t="e">
        <f ca="1"/>
        <v>#NAME?</v>
      </c>
    </row>
    <row r="13" spans="1:34">
      <c r="A13" s="941">
        <v>22</v>
      </c>
      <c r="B13" s="943">
        <v>1</v>
      </c>
      <c r="C13" s="734">
        <v>55</v>
      </c>
      <c r="D13" s="174">
        <v>20</v>
      </c>
      <c r="E13" s="1149">
        <v>14</v>
      </c>
      <c r="G13">
        <f t="shared" si="2"/>
        <v>22</v>
      </c>
      <c r="H13">
        <f t="shared" si="0"/>
        <v>1</v>
      </c>
      <c r="I13" s="656">
        <f t="shared" si="0"/>
        <v>55</v>
      </c>
      <c r="J13" s="8">
        <f t="shared" si="0"/>
        <v>20</v>
      </c>
      <c r="K13" s="8">
        <f t="shared" si="0"/>
        <v>14</v>
      </c>
      <c r="L13" s="657">
        <f t="shared" si="3"/>
        <v>89</v>
      </c>
      <c r="M13" s="656" t="e">
        <f t="shared" ca="1" si="4"/>
        <v>#NAME?</v>
      </c>
      <c r="N13" s="657" t="e">
        <f t="shared" ca="1" si="4"/>
        <v>#NAME?</v>
      </c>
      <c r="O13" s="656" t="e">
        <f t="shared" ca="1" si="5"/>
        <v>#NAME?</v>
      </c>
      <c r="P13" s="8" t="e">
        <f t="shared" ca="1" si="6"/>
        <v>#NAME?</v>
      </c>
      <c r="Q13" s="657" t="e">
        <f t="shared" ca="1" si="7"/>
        <v>#NAME?</v>
      </c>
      <c r="R13" s="656" t="e">
        <f t="shared" ca="1" si="8"/>
        <v>#NAME?</v>
      </c>
      <c r="S13" s="8" t="e">
        <f t="shared" ca="1" si="1"/>
        <v>#NAME?</v>
      </c>
      <c r="T13" s="657" t="e">
        <f t="shared" ca="1" si="1"/>
        <v>#NAME?</v>
      </c>
      <c r="U13" s="8" t="e">
        <f t="shared" ca="1" si="9"/>
        <v>#NAME?</v>
      </c>
      <c r="V13">
        <f t="shared" si="10"/>
        <v>77.798546857959138</v>
      </c>
      <c r="X13" s="627" t="e">
        <f ca="1">Y6</f>
        <v>#NAME?</v>
      </c>
      <c r="AA13" t="s">
        <v>2096</v>
      </c>
      <c r="AB13" s="1138" t="e">
        <f ca="1">1-(AB5-V17)/(AB4-V17)</f>
        <v>#NAME?</v>
      </c>
      <c r="AD13" s="627" t="e">
        <f ca="1">AE6</f>
        <v>#NAME?</v>
      </c>
      <c r="AG13" s="627" t="e">
        <f ca="1"/>
        <v>#NAME?</v>
      </c>
    </row>
    <row r="14" spans="1:34">
      <c r="A14" s="941">
        <v>23</v>
      </c>
      <c r="B14" s="943">
        <v>1</v>
      </c>
      <c r="C14" s="734">
        <v>49</v>
      </c>
      <c r="D14" s="174">
        <v>55</v>
      </c>
      <c r="E14" s="1149">
        <v>20</v>
      </c>
      <c r="G14">
        <f t="shared" si="2"/>
        <v>23</v>
      </c>
      <c r="H14">
        <f t="shared" si="0"/>
        <v>1</v>
      </c>
      <c r="I14" s="656">
        <f t="shared" si="0"/>
        <v>49</v>
      </c>
      <c r="J14" s="8">
        <f t="shared" si="0"/>
        <v>55</v>
      </c>
      <c r="K14" s="8">
        <f t="shared" si="0"/>
        <v>20</v>
      </c>
      <c r="L14" s="657">
        <f t="shared" si="3"/>
        <v>124</v>
      </c>
      <c r="M14" s="656" t="e">
        <f t="shared" ca="1" si="4"/>
        <v>#NAME?</v>
      </c>
      <c r="N14" s="657" t="e">
        <f t="shared" ca="1" si="4"/>
        <v>#NAME?</v>
      </c>
      <c r="O14" s="656" t="e">
        <f t="shared" ca="1" si="5"/>
        <v>#NAME?</v>
      </c>
      <c r="P14" s="8" t="e">
        <f t="shared" ca="1" si="6"/>
        <v>#NAME?</v>
      </c>
      <c r="Q14" s="657" t="e">
        <f t="shared" ca="1" si="7"/>
        <v>#NAME?</v>
      </c>
      <c r="R14" s="656" t="e">
        <f t="shared" ca="1" si="8"/>
        <v>#NAME?</v>
      </c>
      <c r="S14" s="8" t="e">
        <f t="shared" ca="1" si="1"/>
        <v>#NAME?</v>
      </c>
      <c r="T14" s="657" t="e">
        <f t="shared" ca="1" si="1"/>
        <v>#NAME?</v>
      </c>
      <c r="U14" s="8" t="e">
        <f t="shared" ca="1" si="9"/>
        <v>#NAME?</v>
      </c>
      <c r="V14">
        <f t="shared" si="10"/>
        <v>121.81585963705966</v>
      </c>
      <c r="X14" s="627" t="e">
        <f ca="1">Y7</f>
        <v>#NAME?</v>
      </c>
      <c r="AA14" t="s">
        <v>2097</v>
      </c>
      <c r="AB14" s="946" t="e">
        <f ca="1">1-EXP((-2/L17)*(AB5-AB4))</f>
        <v>#NAME?</v>
      </c>
      <c r="AD14" s="627" t="e">
        <f ca="1">AE7</f>
        <v>#NAME?</v>
      </c>
      <c r="AG14" s="627" t="e">
        <f ca="1"/>
        <v>#NAME?</v>
      </c>
    </row>
    <row r="15" spans="1:34">
      <c r="A15" s="941">
        <v>24</v>
      </c>
      <c r="B15" s="943">
        <v>1</v>
      </c>
      <c r="C15" s="734">
        <v>12</v>
      </c>
      <c r="D15" s="174">
        <v>36</v>
      </c>
      <c r="E15" s="1149">
        <v>15</v>
      </c>
      <c r="G15">
        <f t="shared" si="2"/>
        <v>24</v>
      </c>
      <c r="H15">
        <f t="shared" si="0"/>
        <v>1</v>
      </c>
      <c r="I15" s="656">
        <f t="shared" si="0"/>
        <v>12</v>
      </c>
      <c r="J15" s="8">
        <f t="shared" si="0"/>
        <v>36</v>
      </c>
      <c r="K15" s="8">
        <f t="shared" si="0"/>
        <v>15</v>
      </c>
      <c r="L15" s="657">
        <f t="shared" si="3"/>
        <v>63</v>
      </c>
      <c r="M15" s="656" t="e">
        <f t="shared" ca="1" si="4"/>
        <v>#NAME?</v>
      </c>
      <c r="N15" s="657" t="e">
        <f t="shared" ca="1" si="4"/>
        <v>#NAME?</v>
      </c>
      <c r="O15" s="656" t="e">
        <f t="shared" ca="1" si="5"/>
        <v>#NAME?</v>
      </c>
      <c r="P15" s="8" t="e">
        <f t="shared" ca="1" si="6"/>
        <v>#NAME?</v>
      </c>
      <c r="Q15" s="657" t="e">
        <f t="shared" ca="1" si="7"/>
        <v>#NAME?</v>
      </c>
      <c r="R15" s="656" t="e">
        <f t="shared" ca="1" si="8"/>
        <v>#NAME?</v>
      </c>
      <c r="S15" s="8" t="e">
        <f t="shared" ca="1" si="1"/>
        <v>#NAME?</v>
      </c>
      <c r="T15" s="657" t="e">
        <f t="shared" ca="1" si="1"/>
        <v>#NAME?</v>
      </c>
      <c r="U15" s="8" t="e">
        <f t="shared" ca="1" si="9"/>
        <v>#NAME?</v>
      </c>
      <c r="V15">
        <f t="shared" si="10"/>
        <v>57.403135977635543</v>
      </c>
      <c r="X15" s="544" t="e">
        <f ca="1">Y8</f>
        <v>#NAME?</v>
      </c>
      <c r="AA15" t="s">
        <v>2098</v>
      </c>
      <c r="AB15" s="1073" t="e">
        <f ca="1">AB14/(1-EXP(2*(AB4-V17)/L17))</f>
        <v>#NAME?</v>
      </c>
      <c r="AD15" s="544" t="e">
        <f ca="1">AE8</f>
        <v>#NAME?</v>
      </c>
      <c r="AG15" s="544" t="e">
        <f ca="1"/>
        <v>#NAME?</v>
      </c>
    </row>
    <row r="16" spans="1:34">
      <c r="A16" s="944">
        <v>25</v>
      </c>
      <c r="B16" s="945">
        <v>1</v>
      </c>
      <c r="C16" s="533">
        <v>6</v>
      </c>
      <c r="D16" s="1078">
        <v>18</v>
      </c>
      <c r="E16" s="1150">
        <v>5</v>
      </c>
      <c r="G16">
        <f t="shared" si="2"/>
        <v>25</v>
      </c>
      <c r="H16">
        <f t="shared" si="0"/>
        <v>1</v>
      </c>
      <c r="I16" s="533">
        <f t="shared" si="0"/>
        <v>6</v>
      </c>
      <c r="J16" s="1078">
        <f t="shared" si="0"/>
        <v>18</v>
      </c>
      <c r="K16" s="1078">
        <f t="shared" si="0"/>
        <v>5</v>
      </c>
      <c r="L16" s="541">
        <f t="shared" si="3"/>
        <v>29</v>
      </c>
      <c r="M16" s="533" t="e">
        <f t="shared" ca="1" si="4"/>
        <v>#NAME?</v>
      </c>
      <c r="N16" s="541" t="e">
        <f t="shared" ca="1" si="4"/>
        <v>#NAME?</v>
      </c>
      <c r="O16" s="533" t="e">
        <f t="shared" ca="1" si="5"/>
        <v>#NAME?</v>
      </c>
      <c r="P16" s="1078" t="e">
        <f t="shared" ca="1" si="6"/>
        <v>#NAME?</v>
      </c>
      <c r="Q16" s="541" t="e">
        <f t="shared" ca="1" si="7"/>
        <v>#NAME?</v>
      </c>
      <c r="R16" s="533" t="e">
        <f t="shared" ca="1" si="8"/>
        <v>#NAME?</v>
      </c>
      <c r="S16" s="1078" t="e">
        <f t="shared" ca="1" si="1"/>
        <v>#NAME?</v>
      </c>
      <c r="T16" s="541" t="e">
        <f t="shared" ca="1" si="1"/>
        <v>#NAME?</v>
      </c>
      <c r="U16" s="8" t="e">
        <f t="shared" ca="1" si="9"/>
        <v>#NAME?</v>
      </c>
      <c r="V16">
        <f t="shared" si="10"/>
        <v>23.494850804342796</v>
      </c>
    </row>
    <row r="17" spans="3:36">
      <c r="C17">
        <f>SUM(C5:C16)</f>
        <v>400</v>
      </c>
      <c r="D17">
        <f>SUM(D5:D16)</f>
        <v>270</v>
      </c>
      <c r="E17">
        <f>SUM(E5:E16)</f>
        <v>190</v>
      </c>
      <c r="G17" s="1117"/>
      <c r="H17" s="1117"/>
      <c r="I17" s="1117">
        <f>SUM(I5:I16)</f>
        <v>400</v>
      </c>
      <c r="J17" s="1117">
        <f>SUM(J5:J16)</f>
        <v>270</v>
      </c>
      <c r="K17" s="1152">
        <f>SUM(K5:K16)</f>
        <v>190</v>
      </c>
      <c r="L17" s="1152">
        <f>SUM(L5:L16)</f>
        <v>860</v>
      </c>
      <c r="O17" s="1152"/>
      <c r="R17" s="1117" t="e">
        <f ca="1">SUM(R5:R16)</f>
        <v>#NAME?</v>
      </c>
      <c r="S17" s="1117" t="e">
        <f ca="1">SUM(S5:S16)</f>
        <v>#NAME?</v>
      </c>
      <c r="T17" s="1117" t="e">
        <f ca="1">SUM(T5:T16)</f>
        <v>#NAME?</v>
      </c>
      <c r="U17" s="1117" t="e">
        <f ca="1">SUM(U5:U16)</f>
        <v>#NAME?</v>
      </c>
      <c r="V17" s="1117">
        <f>SUM(V5:V16)</f>
        <v>742.48185857521344</v>
      </c>
      <c r="W17" s="8"/>
    </row>
    <row r="18" spans="3:36">
      <c r="X18" t="s">
        <v>3028</v>
      </c>
      <c r="AE18" t="s">
        <v>2602</v>
      </c>
    </row>
    <row r="19" spans="3:36">
      <c r="G19" t="s">
        <v>2993</v>
      </c>
    </row>
    <row r="20" spans="3:36" ht="15" thickBot="1">
      <c r="X20" s="1067" t="e">
        <f t="array" aca="1" ref="X20:Z22" ca="1">MMULT(TRANSPOSE([1]!DESIGN(G5:H16)),P5:P16*(1-P5:P16)*L5:L16*[1]!DESIGN(G5:H16))</f>
        <v>#NAME?</v>
      </c>
      <c r="Y20" s="1068" t="e">
        <f ca="1"/>
        <v>#NAME?</v>
      </c>
      <c r="Z20" s="1071" t="e">
        <f ca="1"/>
        <v>#NAME?</v>
      </c>
      <c r="AA20" s="1067" t="e">
        <f t="array" aca="1" ref="AA20:AC22" ca="1">-MMULT(TRANSPOSE([1]!DESIGN(G5:H16)),P5:P16*Q5:Q16*L5:L16*[1]!DESIGN(G5:H16))</f>
        <v>#NAME?</v>
      </c>
      <c r="AB20" s="1068" t="e">
        <f ca="1"/>
        <v>#NAME?</v>
      </c>
      <c r="AC20" s="1071" t="e">
        <f ca="1"/>
        <v>#NAME?</v>
      </c>
      <c r="AE20" s="1067" t="e">
        <f t="array" aca="1" ref="AE20:AJ25" ca="1">MINVERSE(X20:AC25)</f>
        <v>#NAME?</v>
      </c>
      <c r="AF20" s="1068" t="e">
        <f ca="1"/>
        <v>#NAME?</v>
      </c>
      <c r="AG20" s="1068" t="e">
        <f ca="1"/>
        <v>#NAME?</v>
      </c>
      <c r="AH20" s="1068" t="e">
        <f ca="1"/>
        <v>#NAME?</v>
      </c>
      <c r="AI20" s="1068" t="e">
        <f ca="1"/>
        <v>#NAME?</v>
      </c>
      <c r="AJ20" s="1071" t="e">
        <f ca="1"/>
        <v>#NAME?</v>
      </c>
    </row>
    <row r="21" spans="3:36" ht="15" thickTop="1">
      <c r="G21" s="1116"/>
      <c r="H21" s="1116" t="s">
        <v>2603</v>
      </c>
      <c r="I21" s="1116" t="s">
        <v>826</v>
      </c>
      <c r="J21" s="1116" t="s">
        <v>2604</v>
      </c>
      <c r="K21" s="1116" t="s">
        <v>200</v>
      </c>
      <c r="L21" s="1116" t="s">
        <v>2605</v>
      </c>
      <c r="M21" s="1116" t="s">
        <v>103</v>
      </c>
      <c r="N21" s="1116" t="s">
        <v>104</v>
      </c>
      <c r="X21" s="656" t="e">
        <f ca="1"/>
        <v>#NAME?</v>
      </c>
      <c r="Y21" s="8" t="e">
        <f ca="1"/>
        <v>#NAME?</v>
      </c>
      <c r="Z21" s="657" t="e">
        <f ca="1"/>
        <v>#NAME?</v>
      </c>
      <c r="AA21" s="656" t="e">
        <f ca="1"/>
        <v>#NAME?</v>
      </c>
      <c r="AB21" s="8" t="e">
        <f ca="1"/>
        <v>#NAME?</v>
      </c>
      <c r="AC21" s="657" t="e">
        <f ca="1"/>
        <v>#NAME?</v>
      </c>
      <c r="AE21" s="656" t="e">
        <f ca="1"/>
        <v>#NAME?</v>
      </c>
      <c r="AF21" s="8" t="e">
        <f ca="1"/>
        <v>#NAME?</v>
      </c>
      <c r="AG21" s="8" t="e">
        <f ca="1"/>
        <v>#NAME?</v>
      </c>
      <c r="AH21" s="8" t="e">
        <f ca="1"/>
        <v>#NAME?</v>
      </c>
      <c r="AI21" s="8" t="e">
        <f ca="1"/>
        <v>#NAME?</v>
      </c>
      <c r="AJ21" s="657" t="e">
        <f ca="1"/>
        <v>#NAME?</v>
      </c>
    </row>
    <row r="22" spans="3:36">
      <c r="G22" t="s">
        <v>697</v>
      </c>
      <c r="H22" t="e">
        <f t="array" ref="H22:H24" ca="1">X6:X8</f>
        <v>#NAME?</v>
      </c>
      <c r="I22" t="e">
        <f t="array" aca="1" ref="I22:I24" ca="1">SQRT([1]!DIAG(AE20:AG22))</f>
        <v>#NAME?</v>
      </c>
      <c r="J22" t="e">
        <f ca="1">(H22/I22)^2</f>
        <v>#NAME?</v>
      </c>
      <c r="K22" t="e">
        <f ca="1">CHIDIST(J22,1)</f>
        <v>#NAME?</v>
      </c>
      <c r="L22" t="e">
        <f ca="1">EXP(H22)</f>
        <v>#NAME?</v>
      </c>
      <c r="X22" s="533" t="e">
        <f ca="1"/>
        <v>#NAME?</v>
      </c>
      <c r="Y22" s="1078" t="e">
        <f ca="1"/>
        <v>#NAME?</v>
      </c>
      <c r="Z22" s="541" t="e">
        <f ca="1"/>
        <v>#NAME?</v>
      </c>
      <c r="AA22" s="533" t="e">
        <f ca="1"/>
        <v>#NAME?</v>
      </c>
      <c r="AB22" s="1078" t="e">
        <f ca="1"/>
        <v>#NAME?</v>
      </c>
      <c r="AC22" s="541" t="e">
        <f ca="1"/>
        <v>#NAME?</v>
      </c>
      <c r="AE22" s="656" t="e">
        <f ca="1"/>
        <v>#NAME?</v>
      </c>
      <c r="AF22" s="8" t="e">
        <f ca="1"/>
        <v>#NAME?</v>
      </c>
      <c r="AG22" s="8" t="e">
        <f ca="1"/>
        <v>#NAME?</v>
      </c>
      <c r="AH22" s="8" t="e">
        <f ca="1"/>
        <v>#NAME?</v>
      </c>
      <c r="AI22" s="8" t="e">
        <f ca="1"/>
        <v>#NAME?</v>
      </c>
      <c r="AJ22" s="657" t="e">
        <f ca="1"/>
        <v>#NAME?</v>
      </c>
    </row>
    <row r="23" spans="3:36">
      <c r="G23" t="str">
        <f t="array" ref="G23:G24">TRANSPOSE(G4:H4)</f>
        <v>Dosage</v>
      </c>
      <c r="H23" t="e">
        <f ca="1"/>
        <v>#NAME?</v>
      </c>
      <c r="I23" t="e">
        <f ca="1"/>
        <v>#NAME?</v>
      </c>
      <c r="J23" t="e">
        <f ca="1">(H23/I23)^2</f>
        <v>#NAME?</v>
      </c>
      <c r="K23" t="e">
        <f ca="1">CHIDIST(J23,1)</f>
        <v>#NAME?</v>
      </c>
      <c r="L23" t="e">
        <f ca="1">EXP(H23)</f>
        <v>#NAME?</v>
      </c>
      <c r="M23" t="e">
        <f ca="1">EXP(H23-I23*NORMSINV(1-0.05/2))</f>
        <v>#NAME?</v>
      </c>
      <c r="N23" t="e">
        <f ca="1">EXP(H23+I23*NORMSINV(1-0.05/2))</f>
        <v>#NAME?</v>
      </c>
      <c r="X23" s="1067" t="e">
        <f t="array" ref="X23:Z25" ca="1">AA20:AC22</f>
        <v>#NAME?</v>
      </c>
      <c r="Y23" s="1068" t="e">
        <f ca="1"/>
        <v>#NAME?</v>
      </c>
      <c r="Z23" s="1071" t="e">
        <f ca="1"/>
        <v>#NAME?</v>
      </c>
      <c r="AA23" s="1067" t="e">
        <f t="array" aca="1" ref="AA23:AC25" ca="1">MMULT(TRANSPOSE([1]!DESIGN(G5:H16)),Q5:Q16*(1-Q5:Q16)*L5:L16*[1]!DESIGN(G5:H16))</f>
        <v>#NAME?</v>
      </c>
      <c r="AB23" s="1068" t="e">
        <f ca="1"/>
        <v>#NAME?</v>
      </c>
      <c r="AC23" s="1071" t="e">
        <f ca="1"/>
        <v>#NAME?</v>
      </c>
      <c r="AE23" s="656" t="e">
        <f ca="1"/>
        <v>#NAME?</v>
      </c>
      <c r="AF23" s="8" t="e">
        <f ca="1"/>
        <v>#NAME?</v>
      </c>
      <c r="AG23" s="8" t="e">
        <f ca="1"/>
        <v>#NAME?</v>
      </c>
      <c r="AH23" s="8" t="e">
        <f ca="1"/>
        <v>#NAME?</v>
      </c>
      <c r="AI23" s="8" t="e">
        <f ca="1"/>
        <v>#NAME?</v>
      </c>
      <c r="AJ23" s="657" t="e">
        <f ca="1"/>
        <v>#NAME?</v>
      </c>
    </row>
    <row r="24" spans="3:36">
      <c r="G24" s="1078" t="str">
        <v>Gender</v>
      </c>
      <c r="H24" s="1078" t="e">
        <f ca="1"/>
        <v>#NAME?</v>
      </c>
      <c r="I24" s="1078" t="e">
        <f ca="1"/>
        <v>#NAME?</v>
      </c>
      <c r="J24" s="1078" t="e">
        <f ca="1">(H24/I24)^2</f>
        <v>#NAME?</v>
      </c>
      <c r="K24" s="1078" t="e">
        <f ca="1">CHIDIST(J24,1)</f>
        <v>#NAME?</v>
      </c>
      <c r="L24" s="1078" t="e">
        <f ca="1">EXP(H24)</f>
        <v>#NAME?</v>
      </c>
      <c r="M24" s="1078" t="e">
        <f ca="1">EXP(H24-I24*NORMSINV(1-0.05/2))</f>
        <v>#NAME?</v>
      </c>
      <c r="N24" s="1078" t="e">
        <f ca="1">EXP(H24+I24*NORMSINV(1-0.05/2))</f>
        <v>#NAME?</v>
      </c>
      <c r="X24" s="656" t="e">
        <f ca="1"/>
        <v>#NAME?</v>
      </c>
      <c r="Y24" s="8" t="e">
        <f ca="1"/>
        <v>#NAME?</v>
      </c>
      <c r="Z24" s="657" t="e">
        <f ca="1"/>
        <v>#NAME?</v>
      </c>
      <c r="AA24" s="656" t="e">
        <f ca="1"/>
        <v>#NAME?</v>
      </c>
      <c r="AB24" s="8" t="e">
        <f ca="1"/>
        <v>#NAME?</v>
      </c>
      <c r="AC24" s="657" t="e">
        <f ca="1"/>
        <v>#NAME?</v>
      </c>
      <c r="AE24" s="656" t="e">
        <f ca="1"/>
        <v>#NAME?</v>
      </c>
      <c r="AF24" s="8" t="e">
        <f ca="1"/>
        <v>#NAME?</v>
      </c>
      <c r="AG24" s="8" t="e">
        <f ca="1"/>
        <v>#NAME?</v>
      </c>
      <c r="AH24" s="8" t="e">
        <f ca="1"/>
        <v>#NAME?</v>
      </c>
      <c r="AI24" s="8" t="e">
        <f ca="1"/>
        <v>#NAME?</v>
      </c>
      <c r="AJ24" s="657" t="e">
        <f ca="1"/>
        <v>#NAME?</v>
      </c>
    </row>
    <row r="25" spans="3:36">
      <c r="X25" s="533" t="e">
        <f ca="1"/>
        <v>#NAME?</v>
      </c>
      <c r="Y25" s="1078" t="e">
        <f ca="1"/>
        <v>#NAME?</v>
      </c>
      <c r="Z25" s="541" t="e">
        <f ca="1"/>
        <v>#NAME?</v>
      </c>
      <c r="AA25" s="533" t="e">
        <f ca="1"/>
        <v>#NAME?</v>
      </c>
      <c r="AB25" s="1078" t="e">
        <f ca="1"/>
        <v>#NAME?</v>
      </c>
      <c r="AC25" s="541" t="e">
        <f ca="1"/>
        <v>#NAME?</v>
      </c>
      <c r="AE25" s="533" t="e">
        <f ca="1"/>
        <v>#NAME?</v>
      </c>
      <c r="AF25" s="1078" t="e">
        <f ca="1"/>
        <v>#NAME?</v>
      </c>
      <c r="AG25" s="1078" t="e">
        <f ca="1"/>
        <v>#NAME?</v>
      </c>
      <c r="AH25" s="1078" t="e">
        <f ca="1"/>
        <v>#NAME?</v>
      </c>
      <c r="AI25" s="1078" t="e">
        <f ca="1"/>
        <v>#NAME?</v>
      </c>
      <c r="AJ25" s="541" t="e">
        <f ca="1"/>
        <v>#NAME?</v>
      </c>
    </row>
    <row r="27" spans="3:36">
      <c r="G27" t="s">
        <v>3015</v>
      </c>
    </row>
    <row r="28" spans="3:36" ht="15" thickBot="1"/>
    <row r="29" spans="3:36" ht="15" thickTop="1">
      <c r="G29" s="1116"/>
      <c r="H29" s="1116" t="s">
        <v>2603</v>
      </c>
      <c r="I29" s="1116" t="s">
        <v>826</v>
      </c>
      <c r="J29" s="1116" t="s">
        <v>2604</v>
      </c>
      <c r="K29" s="1116" t="s">
        <v>200</v>
      </c>
      <c r="L29" s="1116" t="s">
        <v>2605</v>
      </c>
      <c r="M29" s="1116" t="s">
        <v>103</v>
      </c>
      <c r="N29" s="1116" t="s">
        <v>104</v>
      </c>
    </row>
    <row r="30" spans="3:36">
      <c r="G30" t="s">
        <v>697</v>
      </c>
      <c r="H30" t="e">
        <f t="array" ref="H30:H32" ca="1">Y6:Y8</f>
        <v>#NAME?</v>
      </c>
      <c r="I30" t="e">
        <f t="array" aca="1" ref="I30:I32" ca="1">SQRT([1]!DIAG(AH23:AJ25))</f>
        <v>#NAME?</v>
      </c>
      <c r="J30" t="e">
        <f ca="1">(H30/I30)^2</f>
        <v>#NAME?</v>
      </c>
      <c r="K30" t="e">
        <f ca="1">CHIDIST(J30,1)</f>
        <v>#NAME?</v>
      </c>
      <c r="L30" t="e">
        <f ca="1">EXP(H30)</f>
        <v>#NAME?</v>
      </c>
    </row>
    <row r="31" spans="3:36">
      <c r="G31" t="str">
        <f t="array" ref="G31:G32">TRANSPOSE(G4:H4)</f>
        <v>Dosage</v>
      </c>
      <c r="H31" t="e">
        <f ca="1"/>
        <v>#NAME?</v>
      </c>
      <c r="I31" t="e">
        <f ca="1"/>
        <v>#NAME?</v>
      </c>
      <c r="J31" t="e">
        <f ca="1">(H31/I31)^2</f>
        <v>#NAME?</v>
      </c>
      <c r="K31" t="e">
        <f ca="1">CHIDIST(J31,1)</f>
        <v>#NAME?</v>
      </c>
      <c r="L31" t="e">
        <f ca="1">EXP(H31)</f>
        <v>#NAME?</v>
      </c>
      <c r="M31" t="e">
        <f ca="1">EXP(H31-I31*NORMSINV(1-0.05/2))</f>
        <v>#NAME?</v>
      </c>
      <c r="N31" t="e">
        <f ca="1">EXP(H31+I31*NORMSINV(1-0.05/2))</f>
        <v>#NAME?</v>
      </c>
    </row>
    <row r="32" spans="3:36">
      <c r="G32" s="1078" t="str">
        <v>Gender</v>
      </c>
      <c r="H32" s="1078" t="e">
        <f ca="1"/>
        <v>#NAME?</v>
      </c>
      <c r="I32" s="1078" t="e">
        <f ca="1"/>
        <v>#NAME?</v>
      </c>
      <c r="J32" s="1078" t="e">
        <f ca="1">(H32/I32)^2</f>
        <v>#NAME?</v>
      </c>
      <c r="K32" s="1078" t="e">
        <f ca="1">CHIDIST(J32,1)</f>
        <v>#NAME?</v>
      </c>
      <c r="L32" s="1078" t="e">
        <f ca="1">EXP(H32)</f>
        <v>#NAME?</v>
      </c>
      <c r="M32" s="1078" t="e">
        <f ca="1">EXP(H32-I32*NORMSINV(1-0.05/2))</f>
        <v>#NAME?</v>
      </c>
      <c r="N32" s="1078" t="e">
        <f ca="1">EXP(H32+I32*NORMSINV(1-0.05/2))</f>
        <v>#NAME?</v>
      </c>
    </row>
  </sheetData>
  <mergeCells count="6">
    <mergeCell ref="G3:H3"/>
    <mergeCell ref="U3:V3"/>
    <mergeCell ref="I3:L3"/>
    <mergeCell ref="O3:Q3"/>
    <mergeCell ref="R3:T3"/>
    <mergeCell ref="M3:N3"/>
  </mergeCells>
  <pageMargins left="0.7" right="0.7" top="0.75" bottom="0.75" header="0.3" footer="0.3"/>
  <pageSetup paperSize="9" orientation="portrait" r:id="rId1"/>
</worksheet>
</file>

<file path=xl/worksheets/sheet253.xml><?xml version="1.0" encoding="utf-8"?>
<worksheet xmlns="http://schemas.openxmlformats.org/spreadsheetml/2006/main" xmlns:r="http://schemas.openxmlformats.org/officeDocument/2006/relationships">
  <sheetPr codeName="Sheet272"/>
  <dimension ref="A1:AC45"/>
  <sheetViews>
    <sheetView workbookViewId="0">
      <selection activeCell="P21" sqref="P21"/>
    </sheetView>
  </sheetViews>
  <sheetFormatPr defaultRowHeight="14.4"/>
  <cols>
    <col min="1" max="5" width="7.5546875" customWidth="1"/>
    <col min="6" max="6" width="5.6640625" customWidth="1"/>
    <col min="8" max="10" width="9.33203125" bestFit="1" customWidth="1"/>
    <col min="11" max="11" width="9.33203125" customWidth="1"/>
    <col min="12" max="12" width="9.33203125" bestFit="1" customWidth="1"/>
    <col min="13" max="13" width="9.109375" customWidth="1"/>
    <col min="14" max="16" width="9.44140625" bestFit="1" customWidth="1"/>
    <col min="17" max="18" width="9.44140625" customWidth="1"/>
    <col min="19" max="20" width="9.44140625" bestFit="1" customWidth="1"/>
    <col min="21" max="21" width="9.33203125" bestFit="1" customWidth="1"/>
  </cols>
  <sheetData>
    <row r="1" spans="1:29">
      <c r="A1" s="1" t="s">
        <v>2963</v>
      </c>
    </row>
    <row r="2" spans="1:29">
      <c r="A2" t="s">
        <v>2985</v>
      </c>
      <c r="G2" s="1158" t="s">
        <v>699</v>
      </c>
      <c r="H2" s="1158"/>
      <c r="J2" t="s">
        <v>2986</v>
      </c>
      <c r="M2" t="s">
        <v>2987</v>
      </c>
      <c r="P2" t="s">
        <v>3034</v>
      </c>
      <c r="V2" s="23" t="s">
        <v>3018</v>
      </c>
      <c r="AA2" s="23" t="s">
        <v>3052</v>
      </c>
    </row>
    <row r="4" spans="1:29">
      <c r="A4" s="912" t="s">
        <v>2977</v>
      </c>
      <c r="B4" s="912" t="s">
        <v>1041</v>
      </c>
      <c r="C4" s="912" t="s">
        <v>2979</v>
      </c>
      <c r="D4" s="912" t="s">
        <v>362</v>
      </c>
      <c r="E4" s="912" t="s">
        <v>2978</v>
      </c>
      <c r="G4" s="1154" t="s">
        <v>2978</v>
      </c>
      <c r="H4" s="1154" t="s">
        <v>2979</v>
      </c>
      <c r="J4" t="e">
        <f t="array" aca="1" ref="J4:K10" ca="1">[1]!MLogitRSquare(A5:E16,2,TRUE)</f>
        <v>#NAME?</v>
      </c>
      <c r="K4" s="1156" t="e">
        <f ca="1"/>
        <v>#NAME?</v>
      </c>
      <c r="M4" s="8" t="e">
        <f t="array" aca="1" ref="M4:N8" ca="1">[1]!MLogitTest(A5:E16,2,TRUE)</f>
        <v>#NAME?</v>
      </c>
      <c r="N4" s="1156" t="e">
        <f ca="1"/>
        <v>#NAME?</v>
      </c>
      <c r="P4" s="399" t="s">
        <v>2977</v>
      </c>
      <c r="Q4" s="399" t="s">
        <v>1041</v>
      </c>
      <c r="R4" s="399" t="s">
        <v>2979</v>
      </c>
      <c r="S4" s="399" t="s">
        <v>362</v>
      </c>
      <c r="T4" s="399" t="s">
        <v>2978</v>
      </c>
      <c r="V4" s="912" t="e">
        <f t="array" aca="1" ref="V4:Y16" ca="1">[1]!MLogitExtract(A4:E16,2,"2,0")</f>
        <v>#NAME?</v>
      </c>
      <c r="W4" s="912" t="e">
        <f ca="1"/>
        <v>#NAME?</v>
      </c>
      <c r="X4" s="912" t="e">
        <f ca="1"/>
        <v>#NAME?</v>
      </c>
      <c r="Y4" s="912" t="e">
        <f ca="1"/>
        <v>#NAME?</v>
      </c>
      <c r="AA4" t="e">
        <f t="array" aca="1" ref="AA4:AC7" ca="1">[1]!MLogitCoeff(A5:E16,2,TRUE)</f>
        <v>#NAME?</v>
      </c>
      <c r="AB4" t="e">
        <f ca="1"/>
        <v>#NAME?</v>
      </c>
      <c r="AC4" t="e">
        <f ca="1"/>
        <v>#NAME?</v>
      </c>
    </row>
    <row r="5" spans="1:29">
      <c r="A5" s="1122">
        <v>20</v>
      </c>
      <c r="B5" s="1146">
        <v>0</v>
      </c>
      <c r="C5" s="1129">
        <v>13</v>
      </c>
      <c r="D5" s="1147">
        <v>0</v>
      </c>
      <c r="E5" s="1148">
        <v>8</v>
      </c>
      <c r="G5" s="1067" t="e">
        <f t="array" aca="1" ref="G5:H7" ca="1">[1]!MLogitCoeff(A5:E16,2)</f>
        <v>#NAME?</v>
      </c>
      <c r="H5" s="1156" t="e">
        <f ca="1"/>
        <v>#NAME?</v>
      </c>
      <c r="J5" t="e">
        <f ca="1"/>
        <v>#NAME?</v>
      </c>
      <c r="K5" s="627" t="e">
        <f ca="1"/>
        <v>#NAME?</v>
      </c>
      <c r="M5" s="8" t="e">
        <f ca="1"/>
        <v>#NAME?</v>
      </c>
      <c r="N5" s="627" t="e">
        <f ca="1"/>
        <v>#NAME?</v>
      </c>
      <c r="P5" s="1067">
        <v>24</v>
      </c>
      <c r="Q5" s="1068">
        <v>1</v>
      </c>
      <c r="R5" s="1067" t="e">
        <f t="array" aca="1" ref="R5:T5" ca="1">[1]!MLogitPred(P5:Q5,$A$5:$E$16,2)</f>
        <v>#NAME?</v>
      </c>
      <c r="S5" s="1068" t="e">
        <f ca="1"/>
        <v>#NAME?</v>
      </c>
      <c r="T5" s="1071" t="e">
        <f ca="1"/>
        <v>#NAME?</v>
      </c>
      <c r="V5" s="1122" t="e">
        <f ca="1"/>
        <v>#NAME?</v>
      </c>
      <c r="W5" s="1146" t="e">
        <f ca="1"/>
        <v>#NAME?</v>
      </c>
      <c r="X5" s="1129" t="e">
        <f ca="1"/>
        <v>#NAME?</v>
      </c>
      <c r="Y5" s="1124" t="e">
        <f ca="1"/>
        <v>#NAME?</v>
      </c>
      <c r="AA5" t="e">
        <f ca="1"/>
        <v>#NAME?</v>
      </c>
      <c r="AB5" s="4" t="e">
        <f ca="1"/>
        <v>#NAME?</v>
      </c>
      <c r="AC5" s="6" t="e">
        <f ca="1"/>
        <v>#NAME?</v>
      </c>
    </row>
    <row r="6" spans="1:29">
      <c r="A6" s="941">
        <v>21</v>
      </c>
      <c r="B6" s="942">
        <v>0</v>
      </c>
      <c r="C6" s="734">
        <v>60</v>
      </c>
      <c r="D6" s="174">
        <v>6</v>
      </c>
      <c r="E6" s="1149">
        <v>30</v>
      </c>
      <c r="G6" s="656" t="e">
        <f ca="1"/>
        <v>#NAME?</v>
      </c>
      <c r="H6" s="627" t="e">
        <f ca="1"/>
        <v>#NAME?</v>
      </c>
      <c r="J6" t="e">
        <f ca="1"/>
        <v>#NAME?</v>
      </c>
      <c r="K6" s="627" t="e">
        <f ca="1"/>
        <v>#NAME?</v>
      </c>
      <c r="M6" s="8" t="e">
        <f ca="1"/>
        <v>#NAME?</v>
      </c>
      <c r="N6" s="627" t="e">
        <f ca="1"/>
        <v>#NAME?</v>
      </c>
      <c r="P6" s="656">
        <v>24</v>
      </c>
      <c r="Q6" s="8">
        <v>0</v>
      </c>
      <c r="R6" s="656" t="e">
        <f t="array" aca="1" ref="R6:T6" ca="1">[1]!MLogitPred(P6:Q6,$A$5:$E$16,2)</f>
        <v>#NAME?</v>
      </c>
      <c r="S6" s="8" t="e">
        <f ca="1"/>
        <v>#NAME?</v>
      </c>
      <c r="T6" s="657" t="e">
        <f ca="1"/>
        <v>#NAME?</v>
      </c>
      <c r="V6" s="941" t="e">
        <f ca="1"/>
        <v>#NAME?</v>
      </c>
      <c r="W6" s="942" t="e">
        <f ca="1"/>
        <v>#NAME?</v>
      </c>
      <c r="X6" s="734" t="e">
        <f ca="1"/>
        <v>#NAME?</v>
      </c>
      <c r="Y6" s="619" t="e">
        <f ca="1"/>
        <v>#NAME?</v>
      </c>
      <c r="AA6" t="e">
        <f ca="1"/>
        <v>#NAME?</v>
      </c>
      <c r="AB6" s="656" t="e">
        <f ca="1"/>
        <v>#NAME?</v>
      </c>
      <c r="AC6" s="657" t="e">
        <f ca="1"/>
        <v>#NAME?</v>
      </c>
    </row>
    <row r="7" spans="1:29">
      <c r="A7" s="941">
        <v>22</v>
      </c>
      <c r="B7" s="942">
        <v>0</v>
      </c>
      <c r="C7" s="734">
        <v>61</v>
      </c>
      <c r="D7" s="174">
        <v>13</v>
      </c>
      <c r="E7" s="1149">
        <v>40</v>
      </c>
      <c r="G7" s="533" t="e">
        <f ca="1"/>
        <v>#NAME?</v>
      </c>
      <c r="H7" s="544" t="e">
        <f ca="1"/>
        <v>#NAME?</v>
      </c>
      <c r="J7" t="e">
        <f ca="1"/>
        <v>#NAME?</v>
      </c>
      <c r="K7" s="627" t="e">
        <f ca="1"/>
        <v>#NAME?</v>
      </c>
      <c r="M7" s="8" t="e">
        <f ca="1"/>
        <v>#NAME?</v>
      </c>
      <c r="N7" s="627" t="e">
        <f ca="1"/>
        <v>#NAME?</v>
      </c>
      <c r="P7" s="872">
        <v>24.5</v>
      </c>
      <c r="Q7" s="8">
        <v>1</v>
      </c>
      <c r="R7" s="656" t="e">
        <f t="array" aca="1" ref="R7:T7" ca="1">[1]!MLogitPred(P7:Q7,$A$5:$E$16,2)</f>
        <v>#NAME?</v>
      </c>
      <c r="S7" s="8" t="e">
        <f ca="1"/>
        <v>#NAME?</v>
      </c>
      <c r="T7" s="657" t="e">
        <f ca="1"/>
        <v>#NAME?</v>
      </c>
      <c r="V7" s="941" t="e">
        <f ca="1"/>
        <v>#NAME?</v>
      </c>
      <c r="W7" s="942" t="e">
        <f ca="1"/>
        <v>#NAME?</v>
      </c>
      <c r="X7" s="734" t="e">
        <f ca="1"/>
        <v>#NAME?</v>
      </c>
      <c r="Y7" s="619" t="e">
        <f ca="1"/>
        <v>#NAME?</v>
      </c>
      <c r="AA7" t="e">
        <f ca="1"/>
        <v>#NAME?</v>
      </c>
      <c r="AB7" s="533" t="e">
        <f ca="1"/>
        <v>#NAME?</v>
      </c>
      <c r="AC7" s="541" t="e">
        <f ca="1"/>
        <v>#NAME?</v>
      </c>
    </row>
    <row r="8" spans="1:29">
      <c r="A8" s="941">
        <v>23</v>
      </c>
      <c r="B8" s="943">
        <v>0</v>
      </c>
      <c r="C8" s="734">
        <v>49</v>
      </c>
      <c r="D8" s="174">
        <v>60</v>
      </c>
      <c r="E8" s="1149">
        <v>25</v>
      </c>
      <c r="J8" t="e">
        <f ca="1"/>
        <v>#NAME?</v>
      </c>
      <c r="K8" s="627" t="e">
        <f ca="1"/>
        <v>#NAME?</v>
      </c>
      <c r="M8" s="8" t="e">
        <f ca="1"/>
        <v>#NAME?</v>
      </c>
      <c r="N8" s="544" t="e">
        <f ca="1"/>
        <v>#NAME?</v>
      </c>
      <c r="P8" s="1137">
        <v>24.5</v>
      </c>
      <c r="Q8" s="1078">
        <v>0</v>
      </c>
      <c r="R8" s="533" t="e">
        <f t="array" aca="1" ref="R8:T8" ca="1">[1]!MLogitPred(P8:Q8,$A$5:$E$16,2)</f>
        <v>#NAME?</v>
      </c>
      <c r="S8" s="1078" t="e">
        <f ca="1"/>
        <v>#NAME?</v>
      </c>
      <c r="T8" s="541" t="e">
        <f ca="1"/>
        <v>#NAME?</v>
      </c>
      <c r="V8" s="941" t="e">
        <f ca="1"/>
        <v>#NAME?</v>
      </c>
      <c r="W8" s="943" t="e">
        <f ca="1"/>
        <v>#NAME?</v>
      </c>
      <c r="X8" s="734" t="e">
        <f ca="1"/>
        <v>#NAME?</v>
      </c>
      <c r="Y8" s="619" t="e">
        <f ca="1"/>
        <v>#NAME?</v>
      </c>
    </row>
    <row r="9" spans="1:29">
      <c r="A9" s="941">
        <v>24</v>
      </c>
      <c r="B9" s="943">
        <v>0</v>
      </c>
      <c r="C9" s="734">
        <v>8</v>
      </c>
      <c r="D9" s="174">
        <v>29</v>
      </c>
      <c r="E9" s="1149">
        <v>15</v>
      </c>
      <c r="J9" t="e">
        <f ca="1"/>
        <v>#NAME?</v>
      </c>
      <c r="K9" s="627" t="e">
        <f ca="1"/>
        <v>#NAME?</v>
      </c>
      <c r="V9" s="941" t="e">
        <f ca="1"/>
        <v>#NAME?</v>
      </c>
      <c r="W9" s="943" t="e">
        <f ca="1"/>
        <v>#NAME?</v>
      </c>
      <c r="X9" s="734" t="e">
        <f ca="1"/>
        <v>#NAME?</v>
      </c>
      <c r="Y9" s="619" t="e">
        <f ca="1"/>
        <v>#NAME?</v>
      </c>
      <c r="AA9" s="23" t="s">
        <v>3054</v>
      </c>
    </row>
    <row r="10" spans="1:29">
      <c r="A10" s="941">
        <v>25</v>
      </c>
      <c r="B10" s="943">
        <v>0</v>
      </c>
      <c r="C10" s="656">
        <v>4</v>
      </c>
      <c r="D10" s="8">
        <v>20</v>
      </c>
      <c r="E10" s="1149">
        <v>8</v>
      </c>
      <c r="J10" t="e">
        <f ca="1"/>
        <v>#NAME?</v>
      </c>
      <c r="K10" s="544" t="e">
        <f ca="1"/>
        <v>#NAME?</v>
      </c>
      <c r="P10" t="s">
        <v>3035</v>
      </c>
      <c r="V10" s="941" t="e">
        <f ca="1"/>
        <v>#NAME?</v>
      </c>
      <c r="W10" s="943" t="e">
        <f ca="1"/>
        <v>#NAME?</v>
      </c>
      <c r="X10" s="656" t="e">
        <f ca="1"/>
        <v>#NAME?</v>
      </c>
      <c r="Y10" s="657" t="e">
        <f ca="1"/>
        <v>#NAME?</v>
      </c>
    </row>
    <row r="11" spans="1:29">
      <c r="A11" s="941">
        <v>20</v>
      </c>
      <c r="B11" s="943">
        <v>1</v>
      </c>
      <c r="C11" s="734">
        <v>16</v>
      </c>
      <c r="D11" s="174">
        <v>4</v>
      </c>
      <c r="E11" s="1149">
        <v>2</v>
      </c>
      <c r="V11" s="941" t="e">
        <f ca="1"/>
        <v>#NAME?</v>
      </c>
      <c r="W11" s="943" t="e">
        <f ca="1"/>
        <v>#NAME?</v>
      </c>
      <c r="X11" s="734" t="e">
        <f ca="1"/>
        <v>#NAME?</v>
      </c>
      <c r="Y11" s="619" t="e">
        <f ca="1"/>
        <v>#NAME?</v>
      </c>
      <c r="AA11" t="e">
        <f t="array" aca="1" ref="AA11:AC14" ca="1">[1]!MLogitCoeff(A4:E16,2,TRUE,TRUE)</f>
        <v>#NAME?</v>
      </c>
      <c r="AB11" t="e">
        <f ca="1"/>
        <v>#NAME?</v>
      </c>
      <c r="AC11" t="e">
        <f ca="1"/>
        <v>#NAME?</v>
      </c>
    </row>
    <row r="12" spans="1:29">
      <c r="A12" s="941">
        <v>21</v>
      </c>
      <c r="B12" s="943">
        <v>1</v>
      </c>
      <c r="C12" s="734">
        <v>67</v>
      </c>
      <c r="D12" s="174">
        <v>9</v>
      </c>
      <c r="E12" s="1149">
        <v>8</v>
      </c>
      <c r="G12" t="s">
        <v>3036</v>
      </c>
      <c r="P12" s="399" t="s">
        <v>2977</v>
      </c>
      <c r="Q12" s="399" t="s">
        <v>1041</v>
      </c>
      <c r="R12" s="399" t="s">
        <v>2979</v>
      </c>
      <c r="S12" s="399" t="s">
        <v>362</v>
      </c>
      <c r="T12" s="399" t="s">
        <v>2978</v>
      </c>
      <c r="V12" s="941" t="e">
        <f ca="1"/>
        <v>#NAME?</v>
      </c>
      <c r="W12" s="943" t="e">
        <f ca="1"/>
        <v>#NAME?</v>
      </c>
      <c r="X12" s="734" t="e">
        <f ca="1"/>
        <v>#NAME?</v>
      </c>
      <c r="Y12" s="619" t="e">
        <f ca="1"/>
        <v>#NAME?</v>
      </c>
      <c r="AA12" t="e">
        <f ca="1"/>
        <v>#NAME?</v>
      </c>
      <c r="AB12" s="4" t="e">
        <f ca="1"/>
        <v>#NAME?</v>
      </c>
      <c r="AC12" s="6" t="e">
        <f ca="1"/>
        <v>#NAME?</v>
      </c>
    </row>
    <row r="13" spans="1:29" ht="15" thickBot="1">
      <c r="A13" s="941">
        <v>22</v>
      </c>
      <c r="B13" s="943">
        <v>1</v>
      </c>
      <c r="C13" s="734">
        <v>55</v>
      </c>
      <c r="D13" s="174">
        <v>20</v>
      </c>
      <c r="E13" s="1149">
        <v>14</v>
      </c>
      <c r="P13" s="1067">
        <v>24</v>
      </c>
      <c r="Q13" s="1068">
        <v>1</v>
      </c>
      <c r="R13" s="1067" t="e">
        <f t="array" aca="1" ref="R13:T13" ca="1">[1]!MLogitPredC(P13:Q13,$G$5:$H$7)</f>
        <v>#NAME?</v>
      </c>
      <c r="S13" s="1068" t="e">
        <f ca="1"/>
        <v>#NAME?</v>
      </c>
      <c r="T13" s="1071" t="e">
        <f ca="1"/>
        <v>#NAME?</v>
      </c>
      <c r="V13" s="941" t="e">
        <f ca="1"/>
        <v>#NAME?</v>
      </c>
      <c r="W13" s="943" t="e">
        <f ca="1"/>
        <v>#NAME?</v>
      </c>
      <c r="X13" s="734" t="e">
        <f ca="1"/>
        <v>#NAME?</v>
      </c>
      <c r="Y13" s="619" t="e">
        <f ca="1"/>
        <v>#NAME?</v>
      </c>
      <c r="AA13" t="e">
        <f ca="1"/>
        <v>#NAME?</v>
      </c>
      <c r="AB13" s="656" t="e">
        <f ca="1"/>
        <v>#NAME?</v>
      </c>
      <c r="AC13" s="657" t="e">
        <f ca="1"/>
        <v>#NAME?</v>
      </c>
    </row>
    <row r="14" spans="1:29" ht="15" thickTop="1">
      <c r="A14" s="941">
        <v>23</v>
      </c>
      <c r="B14" s="943">
        <v>1</v>
      </c>
      <c r="C14" s="734">
        <v>49</v>
      </c>
      <c r="D14" s="174">
        <v>55</v>
      </c>
      <c r="E14" s="1149">
        <v>20</v>
      </c>
      <c r="G14" s="1116"/>
      <c r="H14" s="1116" t="s">
        <v>2603</v>
      </c>
      <c r="I14" s="1116" t="s">
        <v>826</v>
      </c>
      <c r="J14" s="1116" t="s">
        <v>2604</v>
      </c>
      <c r="K14" s="1116" t="s">
        <v>200</v>
      </c>
      <c r="L14" s="1116" t="s">
        <v>2605</v>
      </c>
      <c r="M14" s="1116" t="s">
        <v>103</v>
      </c>
      <c r="N14" s="1116" t="s">
        <v>104</v>
      </c>
      <c r="P14" s="656">
        <v>24</v>
      </c>
      <c r="Q14" s="8">
        <v>0</v>
      </c>
      <c r="R14" s="656" t="e">
        <f t="array" aca="1" ref="R14:T14" ca="1">[1]!MLogitPredC(P14:Q14,$G$5:$H$7)</f>
        <v>#NAME?</v>
      </c>
      <c r="S14" s="8" t="e">
        <f ca="1"/>
        <v>#NAME?</v>
      </c>
      <c r="T14" s="657" t="e">
        <f ca="1"/>
        <v>#NAME?</v>
      </c>
      <c r="V14" s="941" t="e">
        <f ca="1"/>
        <v>#NAME?</v>
      </c>
      <c r="W14" s="943" t="e">
        <f ca="1"/>
        <v>#NAME?</v>
      </c>
      <c r="X14" s="734" t="e">
        <f ca="1"/>
        <v>#NAME?</v>
      </c>
      <c r="Y14" s="619" t="e">
        <f ca="1"/>
        <v>#NAME?</v>
      </c>
      <c r="AA14" t="e">
        <f ca="1"/>
        <v>#NAME?</v>
      </c>
      <c r="AB14" s="533" t="e">
        <f ca="1"/>
        <v>#NAME?</v>
      </c>
      <c r="AC14" s="541" t="e">
        <f ca="1"/>
        <v>#NAME?</v>
      </c>
    </row>
    <row r="15" spans="1:29">
      <c r="A15" s="941">
        <v>24</v>
      </c>
      <c r="B15" s="943">
        <v>1</v>
      </c>
      <c r="C15" s="734">
        <v>12</v>
      </c>
      <c r="D15" s="174">
        <v>36</v>
      </c>
      <c r="E15" s="1149">
        <v>15</v>
      </c>
      <c r="G15" t="s">
        <v>697</v>
      </c>
      <c r="H15" t="e">
        <f t="array" aca="1" ref="H15:N17" ca="1">[1]!MLogitParam(A5:E16,2,1)</f>
        <v>#NAME?</v>
      </c>
      <c r="I15" t="e">
        <f ca="1"/>
        <v>#NAME?</v>
      </c>
      <c r="J15" t="e">
        <f ca="1"/>
        <v>#NAME?</v>
      </c>
      <c r="K15" t="e">
        <f ca="1"/>
        <v>#NAME?</v>
      </c>
      <c r="L15" t="e">
        <f ca="1"/>
        <v>#NAME?</v>
      </c>
      <c r="M15" t="e">
        <f ca="1"/>
        <v>#NAME?</v>
      </c>
      <c r="N15" t="e">
        <f ca="1"/>
        <v>#NAME?</v>
      </c>
      <c r="P15" s="872">
        <v>24.5</v>
      </c>
      <c r="Q15" s="8">
        <v>1</v>
      </c>
      <c r="R15" s="656" t="e">
        <f t="array" aca="1" ref="R15:T15" ca="1">[1]!MLogitPredC(P15:Q15,$G$5:$H$7)</f>
        <v>#NAME?</v>
      </c>
      <c r="S15" s="8" t="e">
        <f ca="1"/>
        <v>#NAME?</v>
      </c>
      <c r="T15" s="657" t="e">
        <f ca="1"/>
        <v>#NAME?</v>
      </c>
      <c r="V15" s="941" t="e">
        <f ca="1"/>
        <v>#NAME?</v>
      </c>
      <c r="W15" s="943" t="e">
        <f ca="1"/>
        <v>#NAME?</v>
      </c>
      <c r="X15" s="734" t="e">
        <f ca="1"/>
        <v>#NAME?</v>
      </c>
      <c r="Y15" s="619" t="e">
        <f ca="1"/>
        <v>#NAME?</v>
      </c>
    </row>
    <row r="16" spans="1:29">
      <c r="A16" s="944">
        <v>25</v>
      </c>
      <c r="B16" s="945">
        <v>1</v>
      </c>
      <c r="C16" s="533">
        <v>6</v>
      </c>
      <c r="D16" s="1078">
        <v>18</v>
      </c>
      <c r="E16" s="1150">
        <v>5</v>
      </c>
      <c r="G16" t="str">
        <f>A4</f>
        <v>Dosage</v>
      </c>
      <c r="H16" t="e">
        <f ca="1"/>
        <v>#NAME?</v>
      </c>
      <c r="I16" t="e">
        <f ca="1"/>
        <v>#NAME?</v>
      </c>
      <c r="J16" t="e">
        <f ca="1"/>
        <v>#NAME?</v>
      </c>
      <c r="K16" t="e">
        <f ca="1"/>
        <v>#NAME?</v>
      </c>
      <c r="L16" t="e">
        <f ca="1"/>
        <v>#NAME?</v>
      </c>
      <c r="M16" t="e">
        <f ca="1"/>
        <v>#NAME?</v>
      </c>
      <c r="N16" t="e">
        <f ca="1"/>
        <v>#NAME?</v>
      </c>
      <c r="P16" s="1137">
        <v>24.5</v>
      </c>
      <c r="Q16" s="1078">
        <v>0</v>
      </c>
      <c r="R16" s="533" t="e">
        <f t="array" aca="1" ref="R16:T16" ca="1">[1]!MLogitPredC(P16:Q16,$G$5:$H$7)</f>
        <v>#NAME?</v>
      </c>
      <c r="S16" s="1078" t="e">
        <f ca="1"/>
        <v>#NAME?</v>
      </c>
      <c r="T16" s="541" t="e">
        <f ca="1"/>
        <v>#NAME?</v>
      </c>
      <c r="V16" s="944" t="e">
        <f ca="1"/>
        <v>#NAME?</v>
      </c>
      <c r="W16" s="945" t="e">
        <f ca="1"/>
        <v>#NAME?</v>
      </c>
      <c r="X16" s="533" t="e">
        <f ca="1"/>
        <v>#NAME?</v>
      </c>
      <c r="Y16" s="541" t="e">
        <f ca="1"/>
        <v>#NAME?</v>
      </c>
      <c r="AA16" s="23" t="s">
        <v>3053</v>
      </c>
    </row>
    <row r="17" spans="3:29">
      <c r="C17">
        <f>SUM(C5:C16)</f>
        <v>400</v>
      </c>
      <c r="D17">
        <f>SUM(D5:D16)</f>
        <v>270</v>
      </c>
      <c r="E17">
        <f>SUM(E5:E16)</f>
        <v>190</v>
      </c>
      <c r="G17" s="1078" t="str">
        <f>B4</f>
        <v>Gender</v>
      </c>
      <c r="H17" s="1078" t="e">
        <f ca="1"/>
        <v>#NAME?</v>
      </c>
      <c r="I17" s="1078" t="e">
        <f ca="1"/>
        <v>#NAME?</v>
      </c>
      <c r="J17" s="1078" t="e">
        <f ca="1"/>
        <v>#NAME?</v>
      </c>
      <c r="K17" s="1078" t="e">
        <f ca="1"/>
        <v>#NAME?</v>
      </c>
      <c r="L17" s="1078" t="e">
        <f ca="1"/>
        <v>#NAME?</v>
      </c>
      <c r="M17" s="1078" t="e">
        <f ca="1"/>
        <v>#NAME?</v>
      </c>
      <c r="N17" s="1078" t="e">
        <f ca="1"/>
        <v>#NAME?</v>
      </c>
    </row>
    <row r="18" spans="3:29">
      <c r="AB18" s="4" t="e">
        <f t="array" aca="1" ref="AB18:AC20" ca="1">[1]!MLogitCoeff(A4:E16,2,,TRUE)</f>
        <v>#NAME?</v>
      </c>
      <c r="AC18" s="6" t="e">
        <f ca="1"/>
        <v>#NAME?</v>
      </c>
    </row>
    <row r="19" spans="3:29">
      <c r="G19" t="s">
        <v>3037</v>
      </c>
      <c r="AB19" s="656" t="e">
        <f ca="1"/>
        <v>#NAME?</v>
      </c>
      <c r="AC19" s="657" t="e">
        <f ca="1"/>
        <v>#NAME?</v>
      </c>
    </row>
    <row r="20" spans="3:29" ht="15" thickBot="1">
      <c r="AB20" s="533" t="e">
        <f ca="1"/>
        <v>#NAME?</v>
      </c>
      <c r="AC20" s="541" t="e">
        <f ca="1"/>
        <v>#NAME?</v>
      </c>
    </row>
    <row r="21" spans="3:29" ht="15" thickTop="1">
      <c r="G21" s="1116"/>
      <c r="H21" s="1116" t="s">
        <v>2603</v>
      </c>
      <c r="I21" s="1116" t="s">
        <v>826</v>
      </c>
      <c r="J21" s="1116" t="s">
        <v>2604</v>
      </c>
      <c r="K21" s="1116" t="s">
        <v>200</v>
      </c>
      <c r="L21" s="1116" t="s">
        <v>2605</v>
      </c>
      <c r="M21" s="1116" t="s">
        <v>103</v>
      </c>
      <c r="N21" s="1116" t="s">
        <v>104</v>
      </c>
    </row>
    <row r="22" spans="3:29">
      <c r="G22" t="s">
        <v>697</v>
      </c>
      <c r="H22" t="e">
        <f t="array" aca="1" ref="H22:N24" ca="1">[1]!MLogitParam(A5:E16,2,2)</f>
        <v>#NAME?</v>
      </c>
      <c r="I22" t="e">
        <f ca="1"/>
        <v>#NAME?</v>
      </c>
      <c r="J22" t="e">
        <f ca="1"/>
        <v>#NAME?</v>
      </c>
      <c r="K22" t="e">
        <f ca="1"/>
        <v>#NAME?</v>
      </c>
      <c r="L22" t="e">
        <f ca="1"/>
        <v>#NAME?</v>
      </c>
      <c r="M22" t="e">
        <f ca="1"/>
        <v>#NAME?</v>
      </c>
      <c r="N22" t="e">
        <f ca="1"/>
        <v>#NAME?</v>
      </c>
    </row>
    <row r="23" spans="3:29">
      <c r="G23" t="s">
        <v>2977</v>
      </c>
      <c r="H23" t="e">
        <f ca="1"/>
        <v>#NAME?</v>
      </c>
      <c r="I23" t="e">
        <f ca="1"/>
        <v>#NAME?</v>
      </c>
      <c r="J23" t="e">
        <f ca="1"/>
        <v>#NAME?</v>
      </c>
      <c r="K23" t="e">
        <f ca="1"/>
        <v>#NAME?</v>
      </c>
      <c r="L23" t="e">
        <f ca="1"/>
        <v>#NAME?</v>
      </c>
      <c r="M23" t="e">
        <f ca="1"/>
        <v>#NAME?</v>
      </c>
      <c r="N23" t="e">
        <f ca="1"/>
        <v>#NAME?</v>
      </c>
    </row>
    <row r="24" spans="3:29">
      <c r="G24" s="1078" t="s">
        <v>1041</v>
      </c>
      <c r="H24" s="1078" t="e">
        <f ca="1"/>
        <v>#NAME?</v>
      </c>
      <c r="I24" s="1078" t="e">
        <f ca="1"/>
        <v>#NAME?</v>
      </c>
      <c r="J24" s="1078" t="e">
        <f ca="1"/>
        <v>#NAME?</v>
      </c>
      <c r="K24" s="1078" t="e">
        <f ca="1"/>
        <v>#NAME?</v>
      </c>
      <c r="L24" s="1078" t="e">
        <f ca="1"/>
        <v>#NAME?</v>
      </c>
      <c r="M24" s="1078" t="e">
        <f ca="1"/>
        <v>#NAME?</v>
      </c>
      <c r="N24" s="1078" t="e">
        <f ca="1"/>
        <v>#NAME?</v>
      </c>
    </row>
    <row r="26" spans="3:29">
      <c r="G26" t="s">
        <v>3064</v>
      </c>
    </row>
    <row r="27" spans="3:29" ht="15" thickBot="1"/>
    <row r="28" spans="3:29" ht="15" thickTop="1">
      <c r="G28" s="1116" t="e">
        <f t="array" aca="1" ref="G28:N31" ca="1">[1]!MLogitParam(A4:E16,2,2,TRUE,TRUE)</f>
        <v>#NAME?</v>
      </c>
      <c r="H28" s="1116" t="e">
        <f ca="1"/>
        <v>#NAME?</v>
      </c>
      <c r="I28" s="1116" t="e">
        <f ca="1"/>
        <v>#NAME?</v>
      </c>
      <c r="J28" s="1116" t="e">
        <f ca="1"/>
        <v>#NAME?</v>
      </c>
      <c r="K28" s="1116" t="e">
        <f ca="1"/>
        <v>#NAME?</v>
      </c>
      <c r="L28" s="1116" t="e">
        <f ca="1"/>
        <v>#NAME?</v>
      </c>
      <c r="M28" s="1116" t="e">
        <f ca="1"/>
        <v>#NAME?</v>
      </c>
      <c r="N28" s="1116" t="e">
        <f ca="1"/>
        <v>#NAME?</v>
      </c>
    </row>
    <row r="29" spans="3:29">
      <c r="G29" t="e">
        <f ca="1"/>
        <v>#NAME?</v>
      </c>
      <c r="H29" t="e">
        <f ca="1"/>
        <v>#NAME?</v>
      </c>
      <c r="I29" t="e">
        <f ca="1"/>
        <v>#NAME?</v>
      </c>
      <c r="J29" t="e">
        <f ca="1"/>
        <v>#NAME?</v>
      </c>
      <c r="K29" t="e">
        <f ca="1"/>
        <v>#NAME?</v>
      </c>
      <c r="L29" t="e">
        <f ca="1"/>
        <v>#NAME?</v>
      </c>
      <c r="M29" t="e">
        <f ca="1"/>
        <v>#NAME?</v>
      </c>
      <c r="N29" t="e">
        <f ca="1"/>
        <v>#NAME?</v>
      </c>
    </row>
    <row r="30" spans="3:29">
      <c r="G30" t="e">
        <f ca="1"/>
        <v>#NAME?</v>
      </c>
      <c r="H30" t="e">
        <f ca="1"/>
        <v>#NAME?</v>
      </c>
      <c r="I30" t="e">
        <f ca="1"/>
        <v>#NAME?</v>
      </c>
      <c r="J30" t="e">
        <f ca="1"/>
        <v>#NAME?</v>
      </c>
      <c r="K30" t="e">
        <f ca="1"/>
        <v>#NAME?</v>
      </c>
      <c r="L30" t="e">
        <f ca="1"/>
        <v>#NAME?</v>
      </c>
      <c r="M30" t="e">
        <f ca="1"/>
        <v>#NAME?</v>
      </c>
      <c r="N30" t="e">
        <f ca="1"/>
        <v>#NAME?</v>
      </c>
    </row>
    <row r="31" spans="3:29">
      <c r="G31" s="1078" t="e">
        <f ca="1"/>
        <v>#NAME?</v>
      </c>
      <c r="H31" s="1078" t="e">
        <f ca="1"/>
        <v>#NAME?</v>
      </c>
      <c r="I31" s="1078" t="e">
        <f ca="1"/>
        <v>#NAME?</v>
      </c>
      <c r="J31" s="1078" t="e">
        <f ca="1"/>
        <v>#NAME?</v>
      </c>
      <c r="K31" s="1078" t="e">
        <f ca="1"/>
        <v>#NAME?</v>
      </c>
      <c r="L31" s="1078" t="e">
        <f ca="1"/>
        <v>#NAME?</v>
      </c>
      <c r="M31" s="1078" t="e">
        <f ca="1"/>
        <v>#NAME?</v>
      </c>
      <c r="N31" s="1078" t="e">
        <f ca="1"/>
        <v>#NAME?</v>
      </c>
    </row>
    <row r="33" spans="7:14">
      <c r="G33" t="s">
        <v>3064</v>
      </c>
    </row>
    <row r="34" spans="7:14" ht="15" thickBot="1"/>
    <row r="35" spans="7:14" ht="15" thickTop="1">
      <c r="G35" s="1116" t="e">
        <f t="array" aca="1" ref="G35:N38" ca="1">[1]!MLogitParam(A5:E16,2,2,TRUE)</f>
        <v>#NAME?</v>
      </c>
      <c r="H35" s="1116" t="e">
        <f ca="1"/>
        <v>#NAME?</v>
      </c>
      <c r="I35" s="1116" t="e">
        <f ca="1"/>
        <v>#NAME?</v>
      </c>
      <c r="J35" s="1116" t="e">
        <f ca="1"/>
        <v>#NAME?</v>
      </c>
      <c r="K35" s="1116" t="e">
        <f ca="1"/>
        <v>#NAME?</v>
      </c>
      <c r="L35" s="1116" t="e">
        <f ca="1"/>
        <v>#NAME?</v>
      </c>
      <c r="M35" s="1116" t="e">
        <f ca="1"/>
        <v>#NAME?</v>
      </c>
      <c r="N35" s="1116" t="e">
        <f ca="1"/>
        <v>#NAME?</v>
      </c>
    </row>
    <row r="36" spans="7:14">
      <c r="G36" t="e">
        <f ca="1"/>
        <v>#NAME?</v>
      </c>
      <c r="H36" t="e">
        <f ca="1"/>
        <v>#NAME?</v>
      </c>
      <c r="I36" t="e">
        <f ca="1"/>
        <v>#NAME?</v>
      </c>
      <c r="J36" t="e">
        <f ca="1"/>
        <v>#NAME?</v>
      </c>
      <c r="K36" t="e">
        <f ca="1"/>
        <v>#NAME?</v>
      </c>
      <c r="L36" t="e">
        <f ca="1"/>
        <v>#NAME?</v>
      </c>
      <c r="M36" t="e">
        <f ca="1"/>
        <v>#NAME?</v>
      </c>
      <c r="N36" t="e">
        <f ca="1"/>
        <v>#NAME?</v>
      </c>
    </row>
    <row r="37" spans="7:14">
      <c r="G37" t="e">
        <f ca="1"/>
        <v>#NAME?</v>
      </c>
      <c r="H37" t="e">
        <f ca="1"/>
        <v>#NAME?</v>
      </c>
      <c r="I37" t="e">
        <f ca="1"/>
        <v>#NAME?</v>
      </c>
      <c r="J37" t="e">
        <f ca="1"/>
        <v>#NAME?</v>
      </c>
      <c r="K37" t="e">
        <f ca="1"/>
        <v>#NAME?</v>
      </c>
      <c r="L37" t="e">
        <f ca="1"/>
        <v>#NAME?</v>
      </c>
      <c r="M37" t="e">
        <f ca="1"/>
        <v>#NAME?</v>
      </c>
      <c r="N37" t="e">
        <f ca="1"/>
        <v>#NAME?</v>
      </c>
    </row>
    <row r="38" spans="7:14">
      <c r="G38" s="1078" t="e">
        <f ca="1"/>
        <v>#NAME?</v>
      </c>
      <c r="H38" s="1078" t="e">
        <f ca="1"/>
        <v>#NAME?</v>
      </c>
      <c r="I38" s="1078" t="e">
        <f ca="1"/>
        <v>#NAME?</v>
      </c>
      <c r="J38" s="1078" t="e">
        <f ca="1"/>
        <v>#NAME?</v>
      </c>
      <c r="K38" s="1078" t="e">
        <f ca="1"/>
        <v>#NAME?</v>
      </c>
      <c r="L38" s="1078" t="e">
        <f ca="1"/>
        <v>#NAME?</v>
      </c>
      <c r="M38" s="1078" t="e">
        <f ca="1"/>
        <v>#NAME?</v>
      </c>
      <c r="N38" s="1078" t="e">
        <f ca="1"/>
        <v>#NAME?</v>
      </c>
    </row>
    <row r="40" spans="7:14">
      <c r="G40" t="s">
        <v>3037</v>
      </c>
    </row>
    <row r="41" spans="7:14" ht="15" thickBot="1"/>
    <row r="42" spans="7:14" ht="15" thickTop="1">
      <c r="G42" s="1116"/>
      <c r="H42" s="1116" t="s">
        <v>2603</v>
      </c>
      <c r="I42" s="1116" t="s">
        <v>826</v>
      </c>
      <c r="J42" s="1116" t="s">
        <v>2604</v>
      </c>
      <c r="K42" s="1116" t="s">
        <v>200</v>
      </c>
      <c r="L42" s="1116" t="s">
        <v>2605</v>
      </c>
      <c r="M42" s="1116" t="s">
        <v>103</v>
      </c>
      <c r="N42" s="1116" t="s">
        <v>104</v>
      </c>
    </row>
    <row r="43" spans="7:14">
      <c r="G43" t="s">
        <v>697</v>
      </c>
      <c r="H43" t="e">
        <f t="array" aca="1" ref="H43:N45" ca="1">[1]!MLogitParam(A4:E16,2,2,,TRUE)</f>
        <v>#NAME?</v>
      </c>
      <c r="I43" t="e">
        <f ca="1"/>
        <v>#NAME?</v>
      </c>
      <c r="J43" t="e">
        <f ca="1"/>
        <v>#NAME?</v>
      </c>
      <c r="K43" t="e">
        <f ca="1"/>
        <v>#NAME?</v>
      </c>
      <c r="L43" t="e">
        <f ca="1"/>
        <v>#NAME?</v>
      </c>
      <c r="M43" t="e">
        <f ca="1"/>
        <v>#NAME?</v>
      </c>
      <c r="N43" t="e">
        <f ca="1"/>
        <v>#NAME?</v>
      </c>
    </row>
    <row r="44" spans="7:14">
      <c r="G44" t="s">
        <v>2977</v>
      </c>
      <c r="H44" t="e">
        <f ca="1"/>
        <v>#NAME?</v>
      </c>
      <c r="I44" t="e">
        <f ca="1"/>
        <v>#NAME?</v>
      </c>
      <c r="J44" t="e">
        <f ca="1"/>
        <v>#NAME?</v>
      </c>
      <c r="K44" t="e">
        <f ca="1"/>
        <v>#NAME?</v>
      </c>
      <c r="L44" t="e">
        <f ca="1"/>
        <v>#NAME?</v>
      </c>
      <c r="M44" t="e">
        <f ca="1"/>
        <v>#NAME?</v>
      </c>
      <c r="N44" t="e">
        <f ca="1"/>
        <v>#NAME?</v>
      </c>
    </row>
    <row r="45" spans="7:14">
      <c r="G45" s="1078" t="s">
        <v>1041</v>
      </c>
      <c r="H45" s="1078" t="e">
        <f ca="1"/>
        <v>#NAME?</v>
      </c>
      <c r="I45" s="1078" t="e">
        <f ca="1"/>
        <v>#NAME?</v>
      </c>
      <c r="J45" s="1078" t="e">
        <f ca="1"/>
        <v>#NAME?</v>
      </c>
      <c r="K45" s="1078" t="e">
        <f ca="1"/>
        <v>#NAME?</v>
      </c>
      <c r="L45" s="1078" t="e">
        <f ca="1"/>
        <v>#NAME?</v>
      </c>
      <c r="M45" s="1078" t="e">
        <f ca="1"/>
        <v>#NAME?</v>
      </c>
      <c r="N45" s="1078" t="e">
        <f ca="1"/>
        <v>#NAME?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sheetPr codeName="Sheet275"/>
  <dimension ref="A1:O53"/>
  <sheetViews>
    <sheetView workbookViewId="0"/>
  </sheetViews>
  <sheetFormatPr defaultRowHeight="14.4"/>
  <cols>
    <col min="5" max="5" width="10.109375" customWidth="1"/>
    <col min="6" max="9" width="9.88671875" customWidth="1"/>
  </cols>
  <sheetData>
    <row r="1" spans="1:15">
      <c r="A1" s="1" t="s">
        <v>2963</v>
      </c>
    </row>
    <row r="2" spans="1:15">
      <c r="A2" t="s">
        <v>137</v>
      </c>
      <c r="E2" t="s">
        <v>3050</v>
      </c>
      <c r="K2" t="s">
        <v>3051</v>
      </c>
    </row>
    <row r="4" spans="1:15">
      <c r="A4" s="912" t="s">
        <v>2091</v>
      </c>
      <c r="B4" s="912" t="s">
        <v>2092</v>
      </c>
      <c r="C4" s="19" t="s">
        <v>1269</v>
      </c>
      <c r="E4" s="19" t="s">
        <v>2091</v>
      </c>
      <c r="F4" s="19" t="s">
        <v>2092</v>
      </c>
      <c r="G4">
        <v>0</v>
      </c>
      <c r="H4">
        <v>1</v>
      </c>
      <c r="I4">
        <v>2</v>
      </c>
      <c r="K4" t="e">
        <f t="array" aca="1" ref="K4:O10" ca="1">[1]!MLogitSummary(A4:C53,TRUE)</f>
        <v>#NAME?</v>
      </c>
      <c r="L4" t="e">
        <f ca="1"/>
        <v>#NAME?</v>
      </c>
      <c r="M4" t="e">
        <f ca="1"/>
        <v>#NAME?</v>
      </c>
      <c r="N4" t="e">
        <f ca="1"/>
        <v>#NAME?</v>
      </c>
      <c r="O4" t="e">
        <f ca="1"/>
        <v>#NAME?</v>
      </c>
    </row>
    <row r="5" spans="1:15">
      <c r="A5" s="1122">
        <v>20</v>
      </c>
      <c r="B5" s="1157">
        <v>0</v>
      </c>
      <c r="C5" s="1156">
        <v>1</v>
      </c>
      <c r="E5" s="1067" t="e">
        <f t="array" aca="1" ref="E5:I10" ca="1">[1]!MLogitSummary(A5:C53)</f>
        <v>#NAME?</v>
      </c>
      <c r="F5" s="1068" t="e">
        <f ca="1"/>
        <v>#NAME?</v>
      </c>
      <c r="G5" s="1068" t="e">
        <f ca="1"/>
        <v>#NAME?</v>
      </c>
      <c r="H5" s="1068" t="e">
        <f ca="1"/>
        <v>#NAME?</v>
      </c>
      <c r="I5" s="1071" t="e">
        <f ca="1"/>
        <v>#NAME?</v>
      </c>
      <c r="K5" s="4" t="e">
        <f ca="1"/>
        <v>#NAME?</v>
      </c>
      <c r="L5" s="1152" t="e">
        <f ca="1"/>
        <v>#NAME?</v>
      </c>
      <c r="M5" s="1152" t="e">
        <f ca="1"/>
        <v>#NAME?</v>
      </c>
      <c r="N5" s="1152" t="e">
        <f ca="1"/>
        <v>#NAME?</v>
      </c>
      <c r="O5" s="6" t="e">
        <f ca="1"/>
        <v>#NAME?</v>
      </c>
    </row>
    <row r="6" spans="1:15">
      <c r="A6" s="941">
        <v>22</v>
      </c>
      <c r="B6" s="976">
        <v>1</v>
      </c>
      <c r="C6" s="627">
        <v>2</v>
      </c>
      <c r="E6" s="656" t="e">
        <f ca="1"/>
        <v>#NAME?</v>
      </c>
      <c r="F6" s="8" t="e">
        <f ca="1"/>
        <v>#NAME?</v>
      </c>
      <c r="G6" s="8" t="e">
        <f ca="1"/>
        <v>#NAME?</v>
      </c>
      <c r="H6" s="8" t="e">
        <f ca="1"/>
        <v>#NAME?</v>
      </c>
      <c r="I6" s="657" t="e">
        <f ca="1"/>
        <v>#NAME?</v>
      </c>
      <c r="K6" s="656" t="e">
        <f ca="1"/>
        <v>#NAME?</v>
      </c>
      <c r="L6" s="8" t="e">
        <f ca="1"/>
        <v>#NAME?</v>
      </c>
      <c r="M6" s="8" t="e">
        <f ca="1"/>
        <v>#NAME?</v>
      </c>
      <c r="N6" s="8" t="e">
        <f ca="1"/>
        <v>#NAME?</v>
      </c>
      <c r="O6" s="657" t="e">
        <f ca="1"/>
        <v>#NAME?</v>
      </c>
    </row>
    <row r="7" spans="1:15">
      <c r="A7" s="941">
        <v>22</v>
      </c>
      <c r="B7" s="976">
        <v>1</v>
      </c>
      <c r="C7" s="627">
        <v>2</v>
      </c>
      <c r="E7" s="656" t="e">
        <f ca="1"/>
        <v>#NAME?</v>
      </c>
      <c r="F7" s="8" t="e">
        <f ca="1"/>
        <v>#NAME?</v>
      </c>
      <c r="G7" s="8" t="e">
        <f ca="1"/>
        <v>#NAME?</v>
      </c>
      <c r="H7" s="8" t="e">
        <f ca="1"/>
        <v>#NAME?</v>
      </c>
      <c r="I7" s="657" t="e">
        <f ca="1"/>
        <v>#NAME?</v>
      </c>
      <c r="K7" s="656" t="e">
        <f ca="1"/>
        <v>#NAME?</v>
      </c>
      <c r="L7" s="8" t="e">
        <f ca="1"/>
        <v>#NAME?</v>
      </c>
      <c r="M7" s="8" t="e">
        <f ca="1"/>
        <v>#NAME?</v>
      </c>
      <c r="N7" s="8" t="e">
        <f ca="1"/>
        <v>#NAME?</v>
      </c>
      <c r="O7" s="657" t="e">
        <f ca="1"/>
        <v>#NAME?</v>
      </c>
    </row>
    <row r="8" spans="1:15">
      <c r="A8" s="941">
        <v>24</v>
      </c>
      <c r="B8" s="977">
        <v>0</v>
      </c>
      <c r="C8" s="627">
        <v>0</v>
      </c>
      <c r="E8" s="656" t="e">
        <f ca="1"/>
        <v>#NAME?</v>
      </c>
      <c r="F8" s="8" t="e">
        <f ca="1"/>
        <v>#NAME?</v>
      </c>
      <c r="G8" s="8" t="e">
        <f ca="1"/>
        <v>#NAME?</v>
      </c>
      <c r="H8" s="8" t="e">
        <f ca="1"/>
        <v>#NAME?</v>
      </c>
      <c r="I8" s="657" t="e">
        <f ca="1"/>
        <v>#NAME?</v>
      </c>
      <c r="K8" s="656" t="e">
        <f ca="1"/>
        <v>#NAME?</v>
      </c>
      <c r="L8" s="8" t="e">
        <f ca="1"/>
        <v>#NAME?</v>
      </c>
      <c r="M8" s="8" t="e">
        <f ca="1"/>
        <v>#NAME?</v>
      </c>
      <c r="N8" s="8" t="e">
        <f ca="1"/>
        <v>#NAME?</v>
      </c>
      <c r="O8" s="657" t="e">
        <f ca="1"/>
        <v>#NAME?</v>
      </c>
    </row>
    <row r="9" spans="1:15">
      <c r="A9" s="941">
        <v>22</v>
      </c>
      <c r="B9" s="976">
        <v>0</v>
      </c>
      <c r="C9" s="627">
        <v>1</v>
      </c>
      <c r="E9" s="656" t="e">
        <f ca="1"/>
        <v>#NAME?</v>
      </c>
      <c r="F9" s="8" t="e">
        <f ca="1"/>
        <v>#NAME?</v>
      </c>
      <c r="G9" s="8" t="e">
        <f ca="1"/>
        <v>#NAME?</v>
      </c>
      <c r="H9" s="8" t="e">
        <f ca="1"/>
        <v>#NAME?</v>
      </c>
      <c r="I9" s="657" t="e">
        <f ca="1"/>
        <v>#NAME?</v>
      </c>
      <c r="K9" s="656" t="e">
        <f ca="1"/>
        <v>#NAME?</v>
      </c>
      <c r="L9" s="8" t="e">
        <f ca="1"/>
        <v>#NAME?</v>
      </c>
      <c r="M9" s="8" t="e">
        <f ca="1"/>
        <v>#NAME?</v>
      </c>
      <c r="N9" s="8" t="e">
        <f ca="1"/>
        <v>#NAME?</v>
      </c>
      <c r="O9" s="657" t="e">
        <f ca="1"/>
        <v>#NAME?</v>
      </c>
    </row>
    <row r="10" spans="1:15">
      <c r="A10" s="941">
        <v>22</v>
      </c>
      <c r="B10" s="976">
        <v>1</v>
      </c>
      <c r="C10" s="627">
        <v>0</v>
      </c>
      <c r="E10" s="533" t="e">
        <f ca="1"/>
        <v>#NAME?</v>
      </c>
      <c r="F10" s="1078" t="e">
        <f ca="1"/>
        <v>#NAME?</v>
      </c>
      <c r="G10" s="1078" t="e">
        <f ca="1"/>
        <v>#NAME?</v>
      </c>
      <c r="H10" s="1078" t="e">
        <f ca="1"/>
        <v>#NAME?</v>
      </c>
      <c r="I10" s="541" t="e">
        <f ca="1"/>
        <v>#NAME?</v>
      </c>
      <c r="K10" s="533" t="e">
        <f ca="1"/>
        <v>#NAME?</v>
      </c>
      <c r="L10" s="1078" t="e">
        <f ca="1"/>
        <v>#NAME?</v>
      </c>
      <c r="M10" s="1078" t="e">
        <f ca="1"/>
        <v>#NAME?</v>
      </c>
      <c r="N10" s="1078" t="e">
        <f ca="1"/>
        <v>#NAME?</v>
      </c>
      <c r="O10" s="541" t="e">
        <f ca="1"/>
        <v>#NAME?</v>
      </c>
    </row>
    <row r="11" spans="1:15">
      <c r="A11" s="941">
        <v>20</v>
      </c>
      <c r="B11" s="976">
        <v>1</v>
      </c>
      <c r="C11" s="627">
        <v>0</v>
      </c>
    </row>
    <row r="12" spans="1:15">
      <c r="A12" s="941">
        <v>24</v>
      </c>
      <c r="B12" s="976">
        <v>1</v>
      </c>
      <c r="C12" s="627">
        <v>2</v>
      </c>
      <c r="E12" t="s">
        <v>2984</v>
      </c>
      <c r="H12" t="s">
        <v>2983</v>
      </c>
      <c r="K12" s="23" t="s">
        <v>3059</v>
      </c>
    </row>
    <row r="13" spans="1:15">
      <c r="A13" s="941">
        <v>24</v>
      </c>
      <c r="B13" s="977">
        <v>0</v>
      </c>
      <c r="C13" s="627">
        <v>0</v>
      </c>
    </row>
    <row r="14" spans="1:15">
      <c r="A14" s="941">
        <v>20</v>
      </c>
      <c r="B14" s="976">
        <v>0</v>
      </c>
      <c r="C14" s="627">
        <v>1</v>
      </c>
      <c r="E14" s="8" t="e">
        <f t="array" aca="1" ref="E14:F18" ca="1">[1]!MLogitTest(A5:C53,0,TRUE)</f>
        <v>#NAME?</v>
      </c>
      <c r="F14" s="1156" t="e">
        <f ca="1"/>
        <v>#NAME?</v>
      </c>
      <c r="H14" s="8" t="e">
        <f t="array" aca="1" ref="H14:I18" ca="1">[1]!MLogitTest(E5:I10,2,TRUE)</f>
        <v>#NAME?</v>
      </c>
      <c r="I14" s="1156" t="e">
        <f ca="1"/>
        <v>#NAME?</v>
      </c>
      <c r="K14" t="e">
        <f t="array" aca="1" ref="K14:M17" ca="1">[1]!MLogitCoeff(A4:C53,0,TRUE,TRUE)</f>
        <v>#NAME?</v>
      </c>
      <c r="L14" t="e">
        <f ca="1"/>
        <v>#NAME?</v>
      </c>
      <c r="M14" t="e">
        <f ca="1"/>
        <v>#NAME?</v>
      </c>
    </row>
    <row r="15" spans="1:15">
      <c r="A15" s="941">
        <v>20</v>
      </c>
      <c r="B15" s="976">
        <v>0</v>
      </c>
      <c r="C15" s="627">
        <v>2</v>
      </c>
      <c r="E15" s="8" t="e">
        <f ca="1"/>
        <v>#NAME?</v>
      </c>
      <c r="F15" s="627" t="e">
        <f ca="1"/>
        <v>#NAME?</v>
      </c>
      <c r="H15" s="8" t="e">
        <f ca="1"/>
        <v>#NAME?</v>
      </c>
      <c r="I15" s="627" t="e">
        <f ca="1"/>
        <v>#NAME?</v>
      </c>
      <c r="K15" t="e">
        <f ca="1"/>
        <v>#NAME?</v>
      </c>
      <c r="L15" s="4" t="e">
        <f ca="1"/>
        <v>#NAME?</v>
      </c>
      <c r="M15" s="6" t="e">
        <f ca="1"/>
        <v>#NAME?</v>
      </c>
    </row>
    <row r="16" spans="1:15">
      <c r="A16" s="941">
        <v>22</v>
      </c>
      <c r="B16" s="976">
        <v>1</v>
      </c>
      <c r="C16" s="627">
        <v>0</v>
      </c>
      <c r="E16" s="8" t="e">
        <f ca="1"/>
        <v>#NAME?</v>
      </c>
      <c r="F16" s="627" t="e">
        <f ca="1"/>
        <v>#NAME?</v>
      </c>
      <c r="H16" s="8" t="e">
        <f ca="1"/>
        <v>#NAME?</v>
      </c>
      <c r="I16" s="627" t="e">
        <f ca="1"/>
        <v>#NAME?</v>
      </c>
      <c r="K16" t="e">
        <f ca="1"/>
        <v>#NAME?</v>
      </c>
      <c r="L16" s="656" t="e">
        <f ca="1"/>
        <v>#NAME?</v>
      </c>
      <c r="M16" s="657" t="e">
        <f ca="1"/>
        <v>#NAME?</v>
      </c>
    </row>
    <row r="17" spans="1:13">
      <c r="A17" s="941">
        <v>20</v>
      </c>
      <c r="B17" s="976">
        <v>1</v>
      </c>
      <c r="C17" s="627">
        <v>1</v>
      </c>
      <c r="E17" s="8" t="e">
        <f ca="1"/>
        <v>#NAME?</v>
      </c>
      <c r="F17" s="627" t="e">
        <f ca="1"/>
        <v>#NAME?</v>
      </c>
      <c r="H17" s="8" t="e">
        <f ca="1"/>
        <v>#NAME?</v>
      </c>
      <c r="I17" s="627" t="e">
        <f ca="1"/>
        <v>#NAME?</v>
      </c>
      <c r="K17" t="e">
        <f ca="1"/>
        <v>#NAME?</v>
      </c>
      <c r="L17" s="533" t="e">
        <f ca="1"/>
        <v>#NAME?</v>
      </c>
      <c r="M17" s="541" t="e">
        <f ca="1"/>
        <v>#NAME?</v>
      </c>
    </row>
    <row r="18" spans="1:13">
      <c r="A18" s="941">
        <v>22</v>
      </c>
      <c r="B18" s="977">
        <v>0</v>
      </c>
      <c r="C18" s="627">
        <v>0</v>
      </c>
      <c r="E18" s="8" t="e">
        <f ca="1"/>
        <v>#NAME?</v>
      </c>
      <c r="F18" s="544" t="e">
        <f ca="1"/>
        <v>#NAME?</v>
      </c>
      <c r="H18" s="8" t="e">
        <f ca="1"/>
        <v>#NAME?</v>
      </c>
      <c r="I18" s="544" t="e">
        <f ca="1"/>
        <v>#NAME?</v>
      </c>
    </row>
    <row r="19" spans="1:13">
      <c r="A19" s="941">
        <v>22</v>
      </c>
      <c r="B19" s="976">
        <v>0</v>
      </c>
      <c r="C19" s="627">
        <v>1</v>
      </c>
      <c r="K19" s="23" t="s">
        <v>3060</v>
      </c>
    </row>
    <row r="20" spans="1:13">
      <c r="A20" s="941">
        <v>24</v>
      </c>
      <c r="B20" s="976">
        <v>1</v>
      </c>
      <c r="C20" s="627">
        <v>2</v>
      </c>
    </row>
    <row r="21" spans="1:13">
      <c r="A21" s="941">
        <v>24</v>
      </c>
      <c r="B21" s="977">
        <v>0</v>
      </c>
      <c r="C21" s="627">
        <v>0</v>
      </c>
      <c r="K21" t="e">
        <f t="array" aca="1" ref="K21:M24" ca="1">[1]!MLogitCoeff(A5:C53,0,TRUE)</f>
        <v>#NAME?</v>
      </c>
      <c r="L21" t="e">
        <f ca="1"/>
        <v>#NAME?</v>
      </c>
      <c r="M21" t="e">
        <f ca="1"/>
        <v>#NAME?</v>
      </c>
    </row>
    <row r="22" spans="1:13">
      <c r="A22" s="941">
        <v>22</v>
      </c>
      <c r="B22" s="976">
        <v>1</v>
      </c>
      <c r="C22" s="627">
        <v>2</v>
      </c>
      <c r="K22" t="e">
        <f ca="1"/>
        <v>#NAME?</v>
      </c>
      <c r="L22" s="4" t="e">
        <f ca="1"/>
        <v>#NAME?</v>
      </c>
      <c r="M22" s="6" t="e">
        <f ca="1"/>
        <v>#NAME?</v>
      </c>
    </row>
    <row r="23" spans="1:13">
      <c r="A23" s="941">
        <v>24</v>
      </c>
      <c r="B23" s="976">
        <v>1</v>
      </c>
      <c r="C23" s="627">
        <v>2</v>
      </c>
      <c r="K23" t="e">
        <f ca="1"/>
        <v>#NAME?</v>
      </c>
      <c r="L23" s="656" t="e">
        <f ca="1"/>
        <v>#NAME?</v>
      </c>
      <c r="M23" s="657" t="e">
        <f ca="1"/>
        <v>#NAME?</v>
      </c>
    </row>
    <row r="24" spans="1:13">
      <c r="A24" s="941">
        <v>20</v>
      </c>
      <c r="B24" s="977">
        <v>0</v>
      </c>
      <c r="C24" s="627">
        <v>0</v>
      </c>
      <c r="K24" t="e">
        <f ca="1"/>
        <v>#NAME?</v>
      </c>
      <c r="L24" s="533" t="e">
        <f ca="1"/>
        <v>#NAME?</v>
      </c>
      <c r="M24" s="541" t="e">
        <f ca="1"/>
        <v>#NAME?</v>
      </c>
    </row>
    <row r="25" spans="1:13">
      <c r="A25" s="941">
        <v>20</v>
      </c>
      <c r="B25" s="976">
        <v>1</v>
      </c>
      <c r="C25" s="627">
        <v>0</v>
      </c>
    </row>
    <row r="26" spans="1:13">
      <c r="A26" s="941">
        <v>20</v>
      </c>
      <c r="B26" s="976">
        <v>0</v>
      </c>
      <c r="C26" s="627">
        <v>2</v>
      </c>
    </row>
    <row r="27" spans="1:13">
      <c r="A27" s="941">
        <v>20</v>
      </c>
      <c r="B27" s="976">
        <v>1</v>
      </c>
      <c r="C27" s="627">
        <v>1</v>
      </c>
    </row>
    <row r="28" spans="1:13">
      <c r="A28" s="941">
        <v>20</v>
      </c>
      <c r="B28" s="976">
        <v>1</v>
      </c>
      <c r="C28" s="627">
        <v>1</v>
      </c>
    </row>
    <row r="29" spans="1:13">
      <c r="A29" s="941">
        <v>20</v>
      </c>
      <c r="B29" s="977">
        <v>0</v>
      </c>
      <c r="C29" s="627">
        <v>1</v>
      </c>
    </row>
    <row r="30" spans="1:13">
      <c r="A30" s="941">
        <v>24</v>
      </c>
      <c r="B30" s="977">
        <v>0</v>
      </c>
      <c r="C30" s="627">
        <v>0</v>
      </c>
    </row>
    <row r="31" spans="1:13">
      <c r="A31" s="941">
        <v>22</v>
      </c>
      <c r="B31" s="977">
        <v>0</v>
      </c>
      <c r="C31" s="627">
        <v>2</v>
      </c>
    </row>
    <row r="32" spans="1:13">
      <c r="A32" s="941">
        <v>24</v>
      </c>
      <c r="B32" s="976">
        <v>1</v>
      </c>
      <c r="C32" s="627">
        <v>1</v>
      </c>
    </row>
    <row r="33" spans="1:3">
      <c r="A33" s="941">
        <v>24</v>
      </c>
      <c r="B33" s="977">
        <v>0</v>
      </c>
      <c r="C33" s="627">
        <v>1</v>
      </c>
    </row>
    <row r="34" spans="1:3">
      <c r="A34" s="941">
        <v>22</v>
      </c>
      <c r="B34" s="976">
        <v>1</v>
      </c>
      <c r="C34" s="627">
        <v>2</v>
      </c>
    </row>
    <row r="35" spans="1:3">
      <c r="A35" s="941">
        <v>22</v>
      </c>
      <c r="B35" s="977">
        <v>0</v>
      </c>
      <c r="C35" s="627">
        <v>2</v>
      </c>
    </row>
    <row r="36" spans="1:3">
      <c r="A36" s="941">
        <v>22</v>
      </c>
      <c r="B36" s="977">
        <v>0</v>
      </c>
      <c r="C36" s="627">
        <v>1</v>
      </c>
    </row>
    <row r="37" spans="1:3">
      <c r="A37" s="941">
        <v>20</v>
      </c>
      <c r="B37" s="976">
        <v>1</v>
      </c>
      <c r="C37" s="627">
        <v>0</v>
      </c>
    </row>
    <row r="38" spans="1:3">
      <c r="A38" s="941">
        <v>24</v>
      </c>
      <c r="B38" s="976">
        <v>1</v>
      </c>
      <c r="C38" s="627">
        <v>2</v>
      </c>
    </row>
    <row r="39" spans="1:3">
      <c r="A39" s="941">
        <v>24</v>
      </c>
      <c r="B39" s="977">
        <v>0</v>
      </c>
      <c r="C39" s="627">
        <v>0</v>
      </c>
    </row>
    <row r="40" spans="1:3">
      <c r="A40" s="941">
        <v>22</v>
      </c>
      <c r="B40" s="976">
        <v>1</v>
      </c>
      <c r="C40" s="627">
        <v>1</v>
      </c>
    </row>
    <row r="41" spans="1:3">
      <c r="A41" s="941">
        <v>20</v>
      </c>
      <c r="B41" s="977">
        <v>0</v>
      </c>
      <c r="C41" s="627">
        <v>1</v>
      </c>
    </row>
    <row r="42" spans="1:3">
      <c r="A42" s="941">
        <v>22</v>
      </c>
      <c r="B42" s="976">
        <v>0</v>
      </c>
      <c r="C42" s="627">
        <v>2</v>
      </c>
    </row>
    <row r="43" spans="1:3">
      <c r="A43" s="941">
        <v>22</v>
      </c>
      <c r="B43" s="976">
        <v>1</v>
      </c>
      <c r="C43" s="627">
        <v>0</v>
      </c>
    </row>
    <row r="44" spans="1:3">
      <c r="A44" s="941">
        <v>20</v>
      </c>
      <c r="B44" s="976">
        <v>1</v>
      </c>
      <c r="C44" s="627">
        <v>1</v>
      </c>
    </row>
    <row r="45" spans="1:3">
      <c r="A45" s="941">
        <v>20</v>
      </c>
      <c r="B45" s="976">
        <v>1</v>
      </c>
      <c r="C45" s="627">
        <v>2</v>
      </c>
    </row>
    <row r="46" spans="1:3">
      <c r="A46" s="941">
        <v>22</v>
      </c>
      <c r="B46" s="976">
        <v>1</v>
      </c>
      <c r="C46" s="627">
        <v>1</v>
      </c>
    </row>
    <row r="47" spans="1:3">
      <c r="A47" s="941">
        <v>24</v>
      </c>
      <c r="B47" s="977">
        <v>0</v>
      </c>
      <c r="C47" s="627">
        <v>1</v>
      </c>
    </row>
    <row r="48" spans="1:3">
      <c r="A48" s="941">
        <v>20</v>
      </c>
      <c r="B48" s="976">
        <v>1</v>
      </c>
      <c r="C48" s="627">
        <v>1</v>
      </c>
    </row>
    <row r="49" spans="1:3">
      <c r="A49" s="941">
        <v>20</v>
      </c>
      <c r="B49" s="976">
        <v>0</v>
      </c>
      <c r="C49" s="627">
        <v>1</v>
      </c>
    </row>
    <row r="50" spans="1:3">
      <c r="A50" s="941">
        <v>24</v>
      </c>
      <c r="B50" s="976">
        <v>1</v>
      </c>
      <c r="C50" s="627">
        <v>0</v>
      </c>
    </row>
    <row r="51" spans="1:3">
      <c r="A51" s="941">
        <v>24</v>
      </c>
      <c r="B51" s="976">
        <v>1</v>
      </c>
      <c r="C51" s="627">
        <v>0</v>
      </c>
    </row>
    <row r="52" spans="1:3">
      <c r="A52" s="941">
        <v>22</v>
      </c>
      <c r="B52" s="976">
        <v>0</v>
      </c>
      <c r="C52" s="627">
        <v>1</v>
      </c>
    </row>
    <row r="53" spans="1:3">
      <c r="A53" s="944">
        <v>24</v>
      </c>
      <c r="B53" s="1128">
        <v>1</v>
      </c>
      <c r="C53" s="544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sheetPr codeName="Sheet278"/>
  <dimension ref="A1:P30"/>
  <sheetViews>
    <sheetView workbookViewId="0"/>
  </sheetViews>
  <sheetFormatPr defaultRowHeight="14.4"/>
  <sheetData>
    <row r="1" spans="1:16">
      <c r="A1" s="1" t="s">
        <v>2963</v>
      </c>
    </row>
    <row r="2" spans="1:16">
      <c r="A2" t="s">
        <v>3047</v>
      </c>
      <c r="N2" s="23" t="s">
        <v>3055</v>
      </c>
    </row>
    <row r="4" spans="1:16">
      <c r="A4" s="912" t="s">
        <v>3048</v>
      </c>
      <c r="B4" s="912" t="s">
        <v>3049</v>
      </c>
      <c r="C4" s="912" t="s">
        <v>2979</v>
      </c>
      <c r="D4" s="912" t="s">
        <v>362</v>
      </c>
      <c r="E4" s="912" t="s">
        <v>2978</v>
      </c>
      <c r="G4" s="19" t="e">
        <f t="array" aca="1" ref="G4:L16" ca="1">[1]!MLogitSelect(A4:E16,2,"1,2,1*2",TRUE)</f>
        <v>#NAME?</v>
      </c>
      <c r="H4" s="19" t="e">
        <f ca="1"/>
        <v>#NAME?</v>
      </c>
      <c r="I4" s="19" t="e">
        <f ca="1"/>
        <v>#NAME?</v>
      </c>
      <c r="J4" s="19" t="e">
        <f ca="1"/>
        <v>#NAME?</v>
      </c>
      <c r="K4" s="19" t="e">
        <f ca="1"/>
        <v>#NAME?</v>
      </c>
      <c r="L4" s="19" t="e">
        <f ca="1"/>
        <v>#NAME?</v>
      </c>
      <c r="N4" t="e">
        <f t="array" aca="1" ref="N4:P8" ca="1">[1]!MLogitCoeff([1]!MLogitSelect(A4:E16,2,"1,2,1*2",TRUE),2,TRUE,TRUE)</f>
        <v>#NAME?</v>
      </c>
      <c r="O4" t="e">
        <f ca="1"/>
        <v>#NAME?</v>
      </c>
      <c r="P4" t="e">
        <f ca="1"/>
        <v>#NAME?</v>
      </c>
    </row>
    <row r="5" spans="1:16">
      <c r="A5" s="1122">
        <v>20</v>
      </c>
      <c r="B5" s="1146">
        <v>0</v>
      </c>
      <c r="C5" s="1129">
        <v>13</v>
      </c>
      <c r="D5" s="1147">
        <v>0</v>
      </c>
      <c r="E5" s="1148">
        <v>8</v>
      </c>
      <c r="G5" s="4" t="e">
        <f ca="1"/>
        <v>#NAME?</v>
      </c>
      <c r="H5" s="1152" t="e">
        <f ca="1"/>
        <v>#NAME?</v>
      </c>
      <c r="I5" s="1152" t="e">
        <f ca="1"/>
        <v>#NAME?</v>
      </c>
      <c r="J5" s="1152" t="e">
        <f ca="1"/>
        <v>#NAME?</v>
      </c>
      <c r="K5" s="1152" t="e">
        <f ca="1"/>
        <v>#NAME?</v>
      </c>
      <c r="L5" s="6" t="e">
        <f ca="1"/>
        <v>#NAME?</v>
      </c>
      <c r="N5" t="e">
        <f ca="1"/>
        <v>#NAME?</v>
      </c>
      <c r="O5" s="4" t="e">
        <f ca="1"/>
        <v>#NAME?</v>
      </c>
      <c r="P5" s="6" t="e">
        <f ca="1"/>
        <v>#NAME?</v>
      </c>
    </row>
    <row r="6" spans="1:16">
      <c r="A6" s="941">
        <v>21</v>
      </c>
      <c r="B6" s="942">
        <v>0</v>
      </c>
      <c r="C6" s="734">
        <v>60</v>
      </c>
      <c r="D6" s="174">
        <v>6</v>
      </c>
      <c r="E6" s="1149">
        <v>30</v>
      </c>
      <c r="G6" s="656" t="e">
        <f ca="1"/>
        <v>#NAME?</v>
      </c>
      <c r="H6" s="8" t="e">
        <f ca="1"/>
        <v>#NAME?</v>
      </c>
      <c r="I6" s="8" t="e">
        <f ca="1"/>
        <v>#NAME?</v>
      </c>
      <c r="J6" s="8" t="e">
        <f ca="1"/>
        <v>#NAME?</v>
      </c>
      <c r="K6" s="8" t="e">
        <f ca="1"/>
        <v>#NAME?</v>
      </c>
      <c r="L6" s="657" t="e">
        <f ca="1"/>
        <v>#NAME?</v>
      </c>
      <c r="N6" t="e">
        <f ca="1"/>
        <v>#NAME?</v>
      </c>
      <c r="O6" s="656" t="e">
        <f ca="1"/>
        <v>#NAME?</v>
      </c>
      <c r="P6" s="657" t="e">
        <f ca="1"/>
        <v>#NAME?</v>
      </c>
    </row>
    <row r="7" spans="1:16">
      <c r="A7" s="941">
        <v>22</v>
      </c>
      <c r="B7" s="942">
        <v>0</v>
      </c>
      <c r="C7" s="734">
        <v>61</v>
      </c>
      <c r="D7" s="174">
        <v>13</v>
      </c>
      <c r="E7" s="1149">
        <v>40</v>
      </c>
      <c r="G7" s="656" t="e">
        <f ca="1"/>
        <v>#NAME?</v>
      </c>
      <c r="H7" s="8" t="e">
        <f ca="1"/>
        <v>#NAME?</v>
      </c>
      <c r="I7" s="8" t="e">
        <f ca="1"/>
        <v>#NAME?</v>
      </c>
      <c r="J7" s="8" t="e">
        <f ca="1"/>
        <v>#NAME?</v>
      </c>
      <c r="K7" s="8" t="e">
        <f ca="1"/>
        <v>#NAME?</v>
      </c>
      <c r="L7" s="657" t="e">
        <f ca="1"/>
        <v>#NAME?</v>
      </c>
      <c r="N7" t="e">
        <f ca="1"/>
        <v>#NAME?</v>
      </c>
      <c r="O7" s="656" t="e">
        <f ca="1"/>
        <v>#NAME?</v>
      </c>
      <c r="P7" s="657" t="e">
        <f ca="1"/>
        <v>#NAME?</v>
      </c>
    </row>
    <row r="8" spans="1:16">
      <c r="A8" s="941">
        <v>23</v>
      </c>
      <c r="B8" s="943">
        <v>0</v>
      </c>
      <c r="C8" s="734">
        <v>49</v>
      </c>
      <c r="D8" s="174">
        <v>60</v>
      </c>
      <c r="E8" s="1149">
        <v>25</v>
      </c>
      <c r="G8" s="656" t="e">
        <f ca="1"/>
        <v>#NAME?</v>
      </c>
      <c r="H8" s="8" t="e">
        <f ca="1"/>
        <v>#NAME?</v>
      </c>
      <c r="I8" s="8" t="e">
        <f ca="1"/>
        <v>#NAME?</v>
      </c>
      <c r="J8" s="8" t="e">
        <f ca="1"/>
        <v>#NAME?</v>
      </c>
      <c r="K8" s="8" t="e">
        <f ca="1"/>
        <v>#NAME?</v>
      </c>
      <c r="L8" s="657" t="e">
        <f ca="1"/>
        <v>#NAME?</v>
      </c>
      <c r="N8" t="e">
        <f ca="1"/>
        <v>#NAME?</v>
      </c>
      <c r="O8" s="533" t="e">
        <f ca="1"/>
        <v>#NAME?</v>
      </c>
      <c r="P8" s="541" t="e">
        <f ca="1"/>
        <v>#NAME?</v>
      </c>
    </row>
    <row r="9" spans="1:16">
      <c r="A9" s="941">
        <v>24</v>
      </c>
      <c r="B9" s="943">
        <v>0</v>
      </c>
      <c r="C9" s="734">
        <v>8</v>
      </c>
      <c r="D9" s="174">
        <v>29</v>
      </c>
      <c r="E9" s="1149">
        <v>15</v>
      </c>
      <c r="G9" s="656" t="e">
        <f ca="1"/>
        <v>#NAME?</v>
      </c>
      <c r="H9" s="8" t="e">
        <f ca="1"/>
        <v>#NAME?</v>
      </c>
      <c r="I9" s="8" t="e">
        <f ca="1"/>
        <v>#NAME?</v>
      </c>
      <c r="J9" s="8" t="e">
        <f ca="1"/>
        <v>#NAME?</v>
      </c>
      <c r="K9" s="8" t="e">
        <f ca="1"/>
        <v>#NAME?</v>
      </c>
      <c r="L9" s="657" t="e">
        <f ca="1"/>
        <v>#NAME?</v>
      </c>
    </row>
    <row r="10" spans="1:16">
      <c r="A10" s="941">
        <v>25</v>
      </c>
      <c r="B10" s="943">
        <v>0</v>
      </c>
      <c r="C10" s="656">
        <v>4</v>
      </c>
      <c r="D10" s="8">
        <v>20</v>
      </c>
      <c r="E10" s="1149">
        <v>8</v>
      </c>
      <c r="G10" s="656" t="e">
        <f ca="1"/>
        <v>#NAME?</v>
      </c>
      <c r="H10" s="8" t="e">
        <f ca="1"/>
        <v>#NAME?</v>
      </c>
      <c r="I10" s="8" t="e">
        <f ca="1"/>
        <v>#NAME?</v>
      </c>
      <c r="J10" s="8" t="e">
        <f ca="1"/>
        <v>#NAME?</v>
      </c>
      <c r="K10" s="8" t="e">
        <f ca="1"/>
        <v>#NAME?</v>
      </c>
      <c r="L10" s="657" t="e">
        <f ca="1"/>
        <v>#NAME?</v>
      </c>
      <c r="N10" s="23" t="s">
        <v>3058</v>
      </c>
    </row>
    <row r="11" spans="1:16">
      <c r="A11" s="941">
        <v>20</v>
      </c>
      <c r="B11" s="943">
        <v>1</v>
      </c>
      <c r="C11" s="734">
        <v>16</v>
      </c>
      <c r="D11" s="174">
        <v>4</v>
      </c>
      <c r="E11" s="1149">
        <v>2</v>
      </c>
      <c r="G11" s="656" t="e">
        <f ca="1"/>
        <v>#NAME?</v>
      </c>
      <c r="H11" s="8" t="e">
        <f ca="1"/>
        <v>#NAME?</v>
      </c>
      <c r="I11" s="8" t="e">
        <f ca="1"/>
        <v>#NAME?</v>
      </c>
      <c r="J11" s="8" t="e">
        <f ca="1"/>
        <v>#NAME?</v>
      </c>
      <c r="K11" s="8" t="e">
        <f ca="1"/>
        <v>#NAME?</v>
      </c>
      <c r="L11" s="657" t="e">
        <f ca="1"/>
        <v>#NAME?</v>
      </c>
    </row>
    <row r="12" spans="1:16">
      <c r="A12" s="941">
        <v>21</v>
      </c>
      <c r="B12" s="943">
        <v>1</v>
      </c>
      <c r="C12" s="734">
        <v>67</v>
      </c>
      <c r="D12" s="174">
        <v>9</v>
      </c>
      <c r="E12" s="1149">
        <v>8</v>
      </c>
      <c r="G12" s="656" t="e">
        <f ca="1"/>
        <v>#NAME?</v>
      </c>
      <c r="H12" s="8" t="e">
        <f ca="1"/>
        <v>#NAME?</v>
      </c>
      <c r="I12" s="8" t="e">
        <f ca="1"/>
        <v>#NAME?</v>
      </c>
      <c r="J12" s="8" t="e">
        <f ca="1"/>
        <v>#NAME?</v>
      </c>
      <c r="K12" s="8" t="e">
        <f ca="1"/>
        <v>#NAME?</v>
      </c>
      <c r="L12" s="657" t="e">
        <f ca="1"/>
        <v>#NAME?</v>
      </c>
      <c r="O12" s="1165" t="e">
        <f t="array" aca="1" ref="O12:P15" ca="1">[1]!MLogitCoeff([1]!MLogitSelect(A4:E16,2,"1,2,1*2",TRUE),2,,TRUE)</f>
        <v>#NAME?</v>
      </c>
      <c r="P12" s="1166" t="e">
        <f ca="1"/>
        <v>#NAME?</v>
      </c>
    </row>
    <row r="13" spans="1:16">
      <c r="A13" s="941">
        <v>22</v>
      </c>
      <c r="B13" s="943">
        <v>1</v>
      </c>
      <c r="C13" s="734">
        <v>55</v>
      </c>
      <c r="D13" s="174">
        <v>20</v>
      </c>
      <c r="E13" s="1149">
        <v>14</v>
      </c>
      <c r="G13" s="656" t="e">
        <f ca="1"/>
        <v>#NAME?</v>
      </c>
      <c r="H13" s="8" t="e">
        <f ca="1"/>
        <v>#NAME?</v>
      </c>
      <c r="I13" s="8" t="e">
        <f ca="1"/>
        <v>#NAME?</v>
      </c>
      <c r="J13" s="8" t="e">
        <f ca="1"/>
        <v>#NAME?</v>
      </c>
      <c r="K13" s="8" t="e">
        <f ca="1"/>
        <v>#NAME?</v>
      </c>
      <c r="L13" s="657" t="e">
        <f ca="1"/>
        <v>#NAME?</v>
      </c>
      <c r="O13" s="1167" t="e">
        <f ca="1"/>
        <v>#NAME?</v>
      </c>
      <c r="P13" s="1168" t="e">
        <f ca="1"/>
        <v>#NAME?</v>
      </c>
    </row>
    <row r="14" spans="1:16">
      <c r="A14" s="941">
        <v>23</v>
      </c>
      <c r="B14" s="943">
        <v>1</v>
      </c>
      <c r="C14" s="734">
        <v>49</v>
      </c>
      <c r="D14" s="174">
        <v>55</v>
      </c>
      <c r="E14" s="1149">
        <v>20</v>
      </c>
      <c r="G14" s="656" t="e">
        <f ca="1"/>
        <v>#NAME?</v>
      </c>
      <c r="H14" s="8" t="e">
        <f ca="1"/>
        <v>#NAME?</v>
      </c>
      <c r="I14" s="8" t="e">
        <f ca="1"/>
        <v>#NAME?</v>
      </c>
      <c r="J14" s="8" t="e">
        <f ca="1"/>
        <v>#NAME?</v>
      </c>
      <c r="K14" s="8" t="e">
        <f ca="1"/>
        <v>#NAME?</v>
      </c>
      <c r="L14" s="657" t="e">
        <f ca="1"/>
        <v>#NAME?</v>
      </c>
      <c r="O14" s="1167" t="e">
        <f ca="1"/>
        <v>#NAME?</v>
      </c>
      <c r="P14" s="1168" t="e">
        <f ca="1"/>
        <v>#NAME?</v>
      </c>
    </row>
    <row r="15" spans="1:16">
      <c r="A15" s="941">
        <v>24</v>
      </c>
      <c r="B15" s="943">
        <v>1</v>
      </c>
      <c r="C15" s="734">
        <v>12</v>
      </c>
      <c r="D15" s="174">
        <v>36</v>
      </c>
      <c r="E15" s="1149">
        <v>15</v>
      </c>
      <c r="G15" s="656" t="e">
        <f ca="1"/>
        <v>#NAME?</v>
      </c>
      <c r="H15" s="8" t="e">
        <f ca="1"/>
        <v>#NAME?</v>
      </c>
      <c r="I15" s="8" t="e">
        <f ca="1"/>
        <v>#NAME?</v>
      </c>
      <c r="J15" s="8" t="e">
        <f ca="1"/>
        <v>#NAME?</v>
      </c>
      <c r="K15" s="8" t="e">
        <f ca="1"/>
        <v>#NAME?</v>
      </c>
      <c r="L15" s="657" t="e">
        <f ca="1"/>
        <v>#NAME?</v>
      </c>
      <c r="O15" s="1169" t="e">
        <f ca="1"/>
        <v>#NAME?</v>
      </c>
      <c r="P15" s="1170" t="e">
        <f ca="1"/>
        <v>#NAME?</v>
      </c>
    </row>
    <row r="16" spans="1:16">
      <c r="A16" s="944">
        <v>25</v>
      </c>
      <c r="B16" s="945">
        <v>1</v>
      </c>
      <c r="C16" s="533">
        <v>6</v>
      </c>
      <c r="D16" s="1078">
        <v>18</v>
      </c>
      <c r="E16" s="1150">
        <v>5</v>
      </c>
      <c r="G16" s="533" t="e">
        <f ca="1"/>
        <v>#NAME?</v>
      </c>
      <c r="H16" s="1078" t="e">
        <f ca="1"/>
        <v>#NAME?</v>
      </c>
      <c r="I16" s="1078" t="e">
        <f ca="1"/>
        <v>#NAME?</v>
      </c>
      <c r="J16" s="1078" t="e">
        <f ca="1"/>
        <v>#NAME?</v>
      </c>
      <c r="K16" s="1078" t="e">
        <f ca="1"/>
        <v>#NAME?</v>
      </c>
      <c r="L16" s="541" t="e">
        <f ca="1"/>
        <v>#NAME?</v>
      </c>
    </row>
    <row r="17" spans="3:16">
      <c r="C17">
        <f>SUM(C5:C16)</f>
        <v>400</v>
      </c>
      <c r="D17">
        <f>SUM(D5:D16)</f>
        <v>270</v>
      </c>
      <c r="E17">
        <f>SUM(E5:E16)</f>
        <v>190</v>
      </c>
      <c r="N17" s="23" t="s">
        <v>3056</v>
      </c>
    </row>
    <row r="19" spans="3:16">
      <c r="N19" t="e">
        <f t="array" aca="1" ref="N19:P23" ca="1">[1]!MLogitCoeff([1]!MLogitSelect(A5:E16,2,"1,2,1*2"),2,TRUE)</f>
        <v>#NAME?</v>
      </c>
      <c r="O19" t="e">
        <f ca="1"/>
        <v>#NAME?</v>
      </c>
      <c r="P19" t="e">
        <f ca="1"/>
        <v>#NAME?</v>
      </c>
    </row>
    <row r="20" spans="3:16">
      <c r="N20" t="e">
        <f ca="1"/>
        <v>#NAME?</v>
      </c>
      <c r="O20" s="4" t="e">
        <f ca="1"/>
        <v>#NAME?</v>
      </c>
      <c r="P20" s="6" t="e">
        <f ca="1"/>
        <v>#NAME?</v>
      </c>
    </row>
    <row r="21" spans="3:16">
      <c r="N21" t="e">
        <f ca="1"/>
        <v>#NAME?</v>
      </c>
      <c r="O21" s="656" t="e">
        <f ca="1"/>
        <v>#NAME?</v>
      </c>
      <c r="P21" s="657" t="e">
        <f ca="1"/>
        <v>#NAME?</v>
      </c>
    </row>
    <row r="22" spans="3:16">
      <c r="N22" t="e">
        <f ca="1"/>
        <v>#NAME?</v>
      </c>
      <c r="O22" s="656" t="e">
        <f ca="1"/>
        <v>#NAME?</v>
      </c>
      <c r="P22" s="657" t="e">
        <f ca="1"/>
        <v>#NAME?</v>
      </c>
    </row>
    <row r="23" spans="3:16">
      <c r="N23" t="e">
        <f ca="1"/>
        <v>#NAME?</v>
      </c>
      <c r="O23" s="533" t="e">
        <f ca="1"/>
        <v>#NAME?</v>
      </c>
      <c r="P23" s="541" t="e">
        <f ca="1"/>
        <v>#NAME?</v>
      </c>
    </row>
    <row r="25" spans="3:16">
      <c r="N25" s="23" t="s">
        <v>3057</v>
      </c>
    </row>
    <row r="27" spans="3:16">
      <c r="O27" s="4" t="e">
        <f t="array" aca="1" ref="O27:P30" ca="1">[1]!MLogitCoeff([1]!MLogitSelect(A5:E16,2,"1,2,1*2"),2)</f>
        <v>#NAME?</v>
      </c>
      <c r="P27" s="6" t="e">
        <f ca="1"/>
        <v>#NAME?</v>
      </c>
    </row>
    <row r="28" spans="3:16">
      <c r="O28" s="656" t="e">
        <f ca="1"/>
        <v>#NAME?</v>
      </c>
      <c r="P28" s="657" t="e">
        <f ca="1"/>
        <v>#NAME?</v>
      </c>
    </row>
    <row r="29" spans="3:16">
      <c r="O29" s="656" t="e">
        <f ca="1"/>
        <v>#NAME?</v>
      </c>
      <c r="P29" s="657" t="e">
        <f ca="1"/>
        <v>#NAME?</v>
      </c>
    </row>
    <row r="30" spans="3:16">
      <c r="O30" s="533" t="e">
        <f ca="1"/>
        <v>#NAME?</v>
      </c>
      <c r="P30" s="541" t="e">
        <f ca="1"/>
        <v>#NAME?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sheetPr codeName="Sheet281"/>
  <dimension ref="A1:AL35"/>
  <sheetViews>
    <sheetView zoomScale="99" zoomScaleNormal="99" workbookViewId="0"/>
  </sheetViews>
  <sheetFormatPr defaultRowHeight="14.4"/>
  <cols>
    <col min="1" max="4" width="9.109375" customWidth="1"/>
    <col min="7" max="7" width="9.109375" customWidth="1"/>
    <col min="9" max="15" width="9.109375" customWidth="1"/>
    <col min="32" max="32" width="4.109375" customWidth="1"/>
  </cols>
  <sheetData>
    <row r="1" spans="1:38">
      <c r="A1" s="1" t="s">
        <v>3065</v>
      </c>
    </row>
    <row r="2" spans="1:38">
      <c r="A2" s="25" t="s">
        <v>3072</v>
      </c>
    </row>
    <row r="3" spans="1:38" ht="15" thickBot="1">
      <c r="I3" s="1587" t="s">
        <v>3012</v>
      </c>
      <c r="J3" s="1587"/>
      <c r="K3" s="1587" t="s">
        <v>357</v>
      </c>
      <c r="L3" s="1587"/>
      <c r="M3" s="1587"/>
      <c r="N3" s="1587"/>
      <c r="O3" s="1587"/>
      <c r="P3" s="1587" t="s">
        <v>381</v>
      </c>
      <c r="Q3" s="1587"/>
      <c r="R3" s="1587"/>
      <c r="S3" s="1587" t="s">
        <v>3066</v>
      </c>
      <c r="T3" s="1587"/>
      <c r="U3" s="1587"/>
      <c r="V3" s="1587" t="s">
        <v>3014</v>
      </c>
      <c r="W3" s="1587"/>
      <c r="X3" s="1587"/>
      <c r="Y3" s="1587"/>
      <c r="Z3" s="1587" t="s">
        <v>3013</v>
      </c>
      <c r="AA3" s="1587"/>
      <c r="AB3" s="1587"/>
      <c r="AC3" s="1587"/>
      <c r="AD3" s="1587" t="s">
        <v>3011</v>
      </c>
      <c r="AE3" s="1587"/>
      <c r="AG3" s="1552" t="s">
        <v>699</v>
      </c>
      <c r="AH3" s="1552"/>
      <c r="AI3" s="1552"/>
    </row>
    <row r="4" spans="1:38" ht="15" thickTop="1">
      <c r="A4" s="19" t="s">
        <v>3067</v>
      </c>
      <c r="B4" s="19" t="s">
        <v>3068</v>
      </c>
      <c r="C4">
        <v>1</v>
      </c>
      <c r="D4">
        <v>2</v>
      </c>
      <c r="E4">
        <v>3</v>
      </c>
      <c r="F4">
        <v>4</v>
      </c>
      <c r="G4" s="19" t="s">
        <v>3069</v>
      </c>
      <c r="I4" s="1151" t="str">
        <f t="shared" ref="I4:N12" si="0">A4</f>
        <v>gender</v>
      </c>
      <c r="J4" s="1151" t="str">
        <f t="shared" si="0"/>
        <v>age</v>
      </c>
      <c r="K4" s="1151">
        <f t="shared" si="0"/>
        <v>1</v>
      </c>
      <c r="L4" s="1151">
        <f t="shared" si="0"/>
        <v>2</v>
      </c>
      <c r="M4" s="1151">
        <f t="shared" si="0"/>
        <v>3</v>
      </c>
      <c r="N4" s="1151">
        <f t="shared" si="0"/>
        <v>4</v>
      </c>
      <c r="O4" s="1151" t="s">
        <v>12</v>
      </c>
      <c r="P4" s="1151">
        <f>K4</f>
        <v>1</v>
      </c>
      <c r="Q4" s="1151">
        <f>L4</f>
        <v>2</v>
      </c>
      <c r="R4" s="1151">
        <f>M4</f>
        <v>3</v>
      </c>
      <c r="S4" s="1151">
        <f>K4</f>
        <v>1</v>
      </c>
      <c r="T4" s="1151">
        <f>L4</f>
        <v>2</v>
      </c>
      <c r="U4" s="1151">
        <f>M4</f>
        <v>3</v>
      </c>
      <c r="V4" s="1151">
        <f>K4</f>
        <v>1</v>
      </c>
      <c r="W4" s="1151">
        <f>L4</f>
        <v>2</v>
      </c>
      <c r="X4" s="1151">
        <f>M4</f>
        <v>3</v>
      </c>
      <c r="Y4" s="1151">
        <f>N4</f>
        <v>4</v>
      </c>
      <c r="Z4" s="1151">
        <f>V4</f>
        <v>1</v>
      </c>
      <c r="AA4" s="1151">
        <f>W4</f>
        <v>2</v>
      </c>
      <c r="AB4" s="1151">
        <f>X4</f>
        <v>3</v>
      </c>
      <c r="AC4" s="1151">
        <f>Y4</f>
        <v>4</v>
      </c>
      <c r="AD4" s="1151" t="s">
        <v>1982</v>
      </c>
      <c r="AE4" s="1151" t="s">
        <v>2972</v>
      </c>
    </row>
    <row r="5" spans="1:38">
      <c r="A5" s="1067">
        <v>0</v>
      </c>
      <c r="B5" s="1152">
        <v>0</v>
      </c>
      <c r="C5" s="1067">
        <v>3</v>
      </c>
      <c r="D5" s="1152">
        <v>9</v>
      </c>
      <c r="E5" s="1152">
        <v>18</v>
      </c>
      <c r="F5" s="1071">
        <v>24</v>
      </c>
      <c r="G5" s="1156">
        <f>SUM(C5:F5)</f>
        <v>54</v>
      </c>
      <c r="I5">
        <f>A5</f>
        <v>0</v>
      </c>
      <c r="J5">
        <f>B5</f>
        <v>0</v>
      </c>
      <c r="K5" s="1067">
        <f t="shared" si="0"/>
        <v>3</v>
      </c>
      <c r="L5" s="1152">
        <f t="shared" si="0"/>
        <v>9</v>
      </c>
      <c r="M5" s="1152">
        <f t="shared" si="0"/>
        <v>18</v>
      </c>
      <c r="N5" s="1152">
        <f t="shared" si="0"/>
        <v>24</v>
      </c>
      <c r="O5" s="1156">
        <f>SUM(K5:N5)</f>
        <v>54</v>
      </c>
      <c r="P5" s="1067" t="e">
        <f ca="1">EXP(AG$5+MMULT($I5:$J5,AG$6:AG$7))</f>
        <v>#NAME?</v>
      </c>
      <c r="Q5" s="1152" t="e">
        <f t="shared" ref="Q5:R12" ca="1" si="1">EXP(AH$5+MMULT($I5:$J5,AH$6:AH$7))</f>
        <v>#NAME?</v>
      </c>
      <c r="R5" s="1071" t="e">
        <f t="shared" ca="1" si="1"/>
        <v>#NAME?</v>
      </c>
      <c r="S5" s="1067" t="e">
        <f t="shared" ref="S5:U12" ca="1" si="2">P5/(1+P5)</f>
        <v>#NAME?</v>
      </c>
      <c r="T5" s="1152" t="e">
        <f ca="1">Q5/(1+Q5)</f>
        <v>#NAME?</v>
      </c>
      <c r="U5" s="1071" t="e">
        <f t="shared" ca="1" si="2"/>
        <v>#NAME?</v>
      </c>
      <c r="V5" s="1067" t="e">
        <f t="shared" ref="V5:V12" ca="1" si="3">S5</f>
        <v>#NAME?</v>
      </c>
      <c r="W5" s="1152" t="e">
        <f ca="1">T5-S5</f>
        <v>#NAME?</v>
      </c>
      <c r="X5" s="1152" t="e">
        <f ca="1">U5-T5</f>
        <v>#NAME?</v>
      </c>
      <c r="Y5" s="1071" t="e">
        <f t="shared" ref="Y5:Y12" ca="1" si="4">1-U5</f>
        <v>#NAME?</v>
      </c>
      <c r="Z5" s="1067" t="e">
        <f ca="1">V5*$O5</f>
        <v>#NAME?</v>
      </c>
      <c r="AA5" s="1152" t="e">
        <f t="shared" ref="AA5:AC12" ca="1" si="5">W5*$O5</f>
        <v>#NAME?</v>
      </c>
      <c r="AB5" s="1152" t="e">
        <f t="shared" ca="1" si="5"/>
        <v>#NAME?</v>
      </c>
      <c r="AC5" s="1071" t="e">
        <f t="shared" ca="1" si="5"/>
        <v>#NAME?</v>
      </c>
      <c r="AD5" s="8" t="e">
        <f ca="1">SUMPRODUCT(K5:N5,LN(V5:Y5))</f>
        <v>#NAME?</v>
      </c>
      <c r="AE5">
        <f>GAMMALN(O5+1)-SUMPRODUCT(GAMMALN(K5:N5+1))</f>
        <v>58.546350707740302</v>
      </c>
      <c r="AG5" s="1067" t="e">
        <f ca="1">F16</f>
        <v>#NAME?</v>
      </c>
      <c r="AH5" s="1156" t="e">
        <f ca="1">M16</f>
        <v>#NAME?</v>
      </c>
      <c r="AI5" s="1071" t="e">
        <f ca="1">T16</f>
        <v>#NAME?</v>
      </c>
      <c r="AK5" t="s">
        <v>1981</v>
      </c>
      <c r="AL5" s="1138">
        <f>SUMPRODUCT(K13:N13,LN(K13:N13/O13))+AE13</f>
        <v>-58.714364607210314</v>
      </c>
    </row>
    <row r="6" spans="1:38">
      <c r="A6" s="656">
        <v>0</v>
      </c>
      <c r="B6" s="8">
        <v>1</v>
      </c>
      <c r="C6" s="656">
        <v>6</v>
      </c>
      <c r="D6" s="8">
        <v>13</v>
      </c>
      <c r="E6" s="8">
        <v>16</v>
      </c>
      <c r="F6" s="657">
        <v>28</v>
      </c>
      <c r="G6" s="627">
        <f t="shared" ref="G6:G13" si="6">SUM(C6:F6)</f>
        <v>63</v>
      </c>
      <c r="I6">
        <f t="shared" ref="I6:J12" si="7">A6</f>
        <v>0</v>
      </c>
      <c r="J6">
        <f t="shared" si="7"/>
        <v>1</v>
      </c>
      <c r="K6" s="656">
        <f t="shared" si="0"/>
        <v>6</v>
      </c>
      <c r="L6" s="8">
        <f t="shared" si="0"/>
        <v>13</v>
      </c>
      <c r="M6" s="8">
        <f t="shared" si="0"/>
        <v>16</v>
      </c>
      <c r="N6" s="8">
        <f t="shared" si="0"/>
        <v>28</v>
      </c>
      <c r="O6" s="627">
        <f t="shared" ref="O6:O12" si="8">SUM(K6:N6)</f>
        <v>63</v>
      </c>
      <c r="P6" s="656" t="e">
        <f t="shared" ref="P6:P12" ca="1" si="9">EXP(AG$5+MMULT($I6:$J6,AG$6:AG$7))</f>
        <v>#NAME?</v>
      </c>
      <c r="Q6" s="8" t="e">
        <f t="shared" ca="1" si="1"/>
        <v>#NAME?</v>
      </c>
      <c r="R6" s="657" t="e">
        <f t="shared" ca="1" si="1"/>
        <v>#NAME?</v>
      </c>
      <c r="S6" s="656" t="e">
        <f t="shared" ca="1" si="2"/>
        <v>#NAME?</v>
      </c>
      <c r="T6" s="8" t="e">
        <f t="shared" ca="1" si="2"/>
        <v>#NAME?</v>
      </c>
      <c r="U6" s="657" t="e">
        <f t="shared" ca="1" si="2"/>
        <v>#NAME?</v>
      </c>
      <c r="V6" s="656" t="e">
        <f t="shared" ca="1" si="3"/>
        <v>#NAME?</v>
      </c>
      <c r="W6" s="8" t="e">
        <f t="shared" ref="W6:X12" ca="1" si="10">T6-S6</f>
        <v>#NAME?</v>
      </c>
      <c r="X6" s="8" t="e">
        <f t="shared" ca="1" si="10"/>
        <v>#NAME?</v>
      </c>
      <c r="Y6" s="657" t="e">
        <f t="shared" ca="1" si="4"/>
        <v>#NAME?</v>
      </c>
      <c r="Z6" s="656" t="e">
        <f t="shared" ref="Z6:Z12" ca="1" si="11">V6*$O6</f>
        <v>#NAME?</v>
      </c>
      <c r="AA6" s="8" t="e">
        <f t="shared" ca="1" si="5"/>
        <v>#NAME?</v>
      </c>
      <c r="AB6" s="8" t="e">
        <f t="shared" ca="1" si="5"/>
        <v>#NAME?</v>
      </c>
      <c r="AC6" s="657" t="e">
        <f t="shared" ca="1" si="5"/>
        <v>#NAME?</v>
      </c>
      <c r="AD6" s="8" t="e">
        <f t="shared" ref="AD6:AD12" ca="1" si="12">SUMPRODUCT(K6:N6,LN(V6:Y6))</f>
        <v>#NAME?</v>
      </c>
      <c r="AE6">
        <f t="shared" ref="AE6:AE12" si="13">GAMMALN(O6+1)-SUMPRODUCT(GAMMALN(K6:N6+1))</f>
        <v>73.31629809088578</v>
      </c>
      <c r="AG6" s="656" t="e">
        <f ca="1">F17</f>
        <v>#NAME?</v>
      </c>
      <c r="AH6" s="627" t="e">
        <f ca="1">M17</f>
        <v>#NAME?</v>
      </c>
      <c r="AI6" s="657" t="e">
        <f ca="1">T17</f>
        <v>#NAME?</v>
      </c>
      <c r="AK6" t="s">
        <v>2084</v>
      </c>
      <c r="AL6" s="1073" t="e">
        <f ca="1">AD13+AE13</f>
        <v>#NAME?</v>
      </c>
    </row>
    <row r="7" spans="1:38">
      <c r="A7" s="656">
        <v>0</v>
      </c>
      <c r="B7" s="8">
        <v>2</v>
      </c>
      <c r="C7" s="656">
        <v>9</v>
      </c>
      <c r="D7" s="66">
        <v>13</v>
      </c>
      <c r="E7" s="66">
        <v>17</v>
      </c>
      <c r="F7" s="657">
        <v>20</v>
      </c>
      <c r="G7" s="627">
        <f t="shared" si="6"/>
        <v>59</v>
      </c>
      <c r="I7">
        <f t="shared" si="7"/>
        <v>0</v>
      </c>
      <c r="J7">
        <f t="shared" si="7"/>
        <v>2</v>
      </c>
      <c r="K7" s="656">
        <f t="shared" si="0"/>
        <v>9</v>
      </c>
      <c r="L7" s="8">
        <f t="shared" si="0"/>
        <v>13</v>
      </c>
      <c r="M7" s="8">
        <f t="shared" si="0"/>
        <v>17</v>
      </c>
      <c r="N7" s="8">
        <f t="shared" si="0"/>
        <v>20</v>
      </c>
      <c r="O7" s="627">
        <f t="shared" si="8"/>
        <v>59</v>
      </c>
      <c r="P7" s="656" t="e">
        <f t="shared" ca="1" si="9"/>
        <v>#NAME?</v>
      </c>
      <c r="Q7" s="8" t="e">
        <f t="shared" ca="1" si="1"/>
        <v>#NAME?</v>
      </c>
      <c r="R7" s="657" t="e">
        <f t="shared" ca="1" si="1"/>
        <v>#NAME?</v>
      </c>
      <c r="S7" s="656" t="e">
        <f t="shared" ca="1" si="2"/>
        <v>#NAME?</v>
      </c>
      <c r="T7" s="8" t="e">
        <f t="shared" ca="1" si="2"/>
        <v>#NAME?</v>
      </c>
      <c r="U7" s="657" t="e">
        <f t="shared" ca="1" si="2"/>
        <v>#NAME?</v>
      </c>
      <c r="V7" s="656" t="e">
        <f t="shared" ca="1" si="3"/>
        <v>#NAME?</v>
      </c>
      <c r="W7" s="8" t="e">
        <f t="shared" ca="1" si="10"/>
        <v>#NAME?</v>
      </c>
      <c r="X7" s="8" t="e">
        <f t="shared" ca="1" si="10"/>
        <v>#NAME?</v>
      </c>
      <c r="Y7" s="657" t="e">
        <f t="shared" ca="1" si="4"/>
        <v>#NAME?</v>
      </c>
      <c r="Z7" s="656" t="e">
        <f t="shared" ca="1" si="11"/>
        <v>#NAME?</v>
      </c>
      <c r="AA7" s="8" t="e">
        <f t="shared" ca="1" si="5"/>
        <v>#NAME?</v>
      </c>
      <c r="AB7" s="8" t="e">
        <f t="shared" ca="1" si="5"/>
        <v>#NAME?</v>
      </c>
      <c r="AC7" s="657" t="e">
        <f t="shared" ca="1" si="5"/>
        <v>#NAME?</v>
      </c>
      <c r="AD7" s="8" t="e">
        <f t="shared" ca="1" si="12"/>
        <v>#NAME?</v>
      </c>
      <c r="AE7">
        <f t="shared" si="13"/>
        <v>73.339147617354215</v>
      </c>
      <c r="AG7" s="533" t="e">
        <f ca="1">F18</f>
        <v>#NAME?</v>
      </c>
      <c r="AH7" s="544" t="e">
        <f ca="1">M18</f>
        <v>#NAME?</v>
      </c>
      <c r="AI7" s="541" t="e">
        <f ca="1">T18</f>
        <v>#NAME?</v>
      </c>
    </row>
    <row r="8" spans="1:38">
      <c r="A8" s="533">
        <v>0</v>
      </c>
      <c r="B8" s="1078">
        <v>3</v>
      </c>
      <c r="C8" s="533">
        <v>5</v>
      </c>
      <c r="D8" s="1171">
        <v>7</v>
      </c>
      <c r="E8" s="1171">
        <v>16</v>
      </c>
      <c r="F8" s="541">
        <v>16</v>
      </c>
      <c r="G8" s="544">
        <f t="shared" si="6"/>
        <v>44</v>
      </c>
      <c r="I8">
        <f t="shared" si="7"/>
        <v>0</v>
      </c>
      <c r="J8">
        <f t="shared" si="7"/>
        <v>3</v>
      </c>
      <c r="K8" s="656">
        <f t="shared" si="0"/>
        <v>5</v>
      </c>
      <c r="L8" s="8">
        <f t="shared" si="0"/>
        <v>7</v>
      </c>
      <c r="M8" s="8">
        <f t="shared" si="0"/>
        <v>16</v>
      </c>
      <c r="N8" s="8">
        <f t="shared" si="0"/>
        <v>16</v>
      </c>
      <c r="O8" s="627">
        <f t="shared" si="8"/>
        <v>44</v>
      </c>
      <c r="P8" s="656" t="e">
        <f t="shared" ca="1" si="9"/>
        <v>#NAME?</v>
      </c>
      <c r="Q8" s="8" t="e">
        <f t="shared" ca="1" si="1"/>
        <v>#NAME?</v>
      </c>
      <c r="R8" s="657" t="e">
        <f t="shared" ca="1" si="1"/>
        <v>#NAME?</v>
      </c>
      <c r="S8" s="656" t="e">
        <f t="shared" ca="1" si="2"/>
        <v>#NAME?</v>
      </c>
      <c r="T8" s="8" t="e">
        <f t="shared" ca="1" si="2"/>
        <v>#NAME?</v>
      </c>
      <c r="U8" s="657" t="e">
        <f t="shared" ca="1" si="2"/>
        <v>#NAME?</v>
      </c>
      <c r="V8" s="656" t="e">
        <f t="shared" ca="1" si="3"/>
        <v>#NAME?</v>
      </c>
      <c r="W8" s="8" t="e">
        <f t="shared" ca="1" si="10"/>
        <v>#NAME?</v>
      </c>
      <c r="X8" s="8" t="e">
        <f t="shared" ca="1" si="10"/>
        <v>#NAME?</v>
      </c>
      <c r="Y8" s="657" t="e">
        <f t="shared" ca="1" si="4"/>
        <v>#NAME?</v>
      </c>
      <c r="Z8" s="656" t="e">
        <f t="shared" ca="1" si="11"/>
        <v>#NAME?</v>
      </c>
      <c r="AA8" s="8" t="e">
        <f t="shared" ca="1" si="5"/>
        <v>#NAME?</v>
      </c>
      <c r="AB8" s="8" t="e">
        <f t="shared" ca="1" si="5"/>
        <v>#NAME?</v>
      </c>
      <c r="AC8" s="657" t="e">
        <f t="shared" ca="1" si="5"/>
        <v>#NAME?</v>
      </c>
      <c r="AD8" s="8" t="e">
        <f t="shared" ca="1" si="12"/>
        <v>#NAME?</v>
      </c>
      <c r="AE8">
        <f t="shared" si="13"/>
        <v>50.660897833348074</v>
      </c>
      <c r="AK8" t="s">
        <v>2099</v>
      </c>
      <c r="AL8" s="1138" t="e">
        <f ca="1">2*(AL6-AL5)</f>
        <v>#NAME?</v>
      </c>
    </row>
    <row r="9" spans="1:38">
      <c r="A9" s="656">
        <v>1</v>
      </c>
      <c r="B9" s="8">
        <v>0</v>
      </c>
      <c r="C9" s="656">
        <v>4</v>
      </c>
      <c r="D9" s="8">
        <v>8</v>
      </c>
      <c r="E9" s="8">
        <v>11</v>
      </c>
      <c r="F9" s="657">
        <v>25</v>
      </c>
      <c r="G9" s="627">
        <f t="shared" si="6"/>
        <v>48</v>
      </c>
      <c r="I9">
        <f t="shared" si="7"/>
        <v>1</v>
      </c>
      <c r="J9">
        <f t="shared" si="7"/>
        <v>0</v>
      </c>
      <c r="K9" s="656">
        <f t="shared" si="0"/>
        <v>4</v>
      </c>
      <c r="L9" s="8">
        <f t="shared" si="0"/>
        <v>8</v>
      </c>
      <c r="M9" s="8">
        <f t="shared" si="0"/>
        <v>11</v>
      </c>
      <c r="N9" s="8">
        <f t="shared" si="0"/>
        <v>25</v>
      </c>
      <c r="O9" s="627">
        <f t="shared" si="8"/>
        <v>48</v>
      </c>
      <c r="P9" s="656" t="e">
        <f t="shared" ca="1" si="9"/>
        <v>#NAME?</v>
      </c>
      <c r="Q9" s="8" t="e">
        <f t="shared" ca="1" si="1"/>
        <v>#NAME?</v>
      </c>
      <c r="R9" s="657" t="e">
        <f t="shared" ca="1" si="1"/>
        <v>#NAME?</v>
      </c>
      <c r="S9" s="656" t="e">
        <f t="shared" ca="1" si="2"/>
        <v>#NAME?</v>
      </c>
      <c r="T9" s="8" t="e">
        <f t="shared" ca="1" si="2"/>
        <v>#NAME?</v>
      </c>
      <c r="U9" s="657" t="e">
        <f t="shared" ca="1" si="2"/>
        <v>#NAME?</v>
      </c>
      <c r="V9" s="656" t="e">
        <f t="shared" ca="1" si="3"/>
        <v>#NAME?</v>
      </c>
      <c r="W9" s="8" t="e">
        <f t="shared" ca="1" si="10"/>
        <v>#NAME?</v>
      </c>
      <c r="X9" s="8" t="e">
        <f t="shared" ca="1" si="10"/>
        <v>#NAME?</v>
      </c>
      <c r="Y9" s="657" t="e">
        <f t="shared" ca="1" si="4"/>
        <v>#NAME?</v>
      </c>
      <c r="Z9" s="656" t="e">
        <f t="shared" ca="1" si="11"/>
        <v>#NAME?</v>
      </c>
      <c r="AA9" s="8" t="e">
        <f t="shared" ca="1" si="5"/>
        <v>#NAME?</v>
      </c>
      <c r="AB9" s="8" t="e">
        <f t="shared" ca="1" si="5"/>
        <v>#NAME?</v>
      </c>
      <c r="AC9" s="657" t="e">
        <f t="shared" ca="1" si="5"/>
        <v>#NAME?</v>
      </c>
      <c r="AD9" s="8" t="e">
        <f t="shared" ca="1" si="12"/>
        <v>#NAME?</v>
      </c>
      <c r="AE9">
        <f t="shared" si="13"/>
        <v>51.385353846286648</v>
      </c>
      <c r="AK9" t="s">
        <v>186</v>
      </c>
      <c r="AL9" s="946">
        <f>COUNT(M5:O5)</f>
        <v>3</v>
      </c>
    </row>
    <row r="10" spans="1:38">
      <c r="A10" s="656">
        <v>1</v>
      </c>
      <c r="B10" s="8">
        <v>1</v>
      </c>
      <c r="C10" s="656">
        <v>8</v>
      </c>
      <c r="D10" s="66">
        <v>14</v>
      </c>
      <c r="E10" s="66">
        <v>20</v>
      </c>
      <c r="F10" s="657">
        <v>18</v>
      </c>
      <c r="G10" s="627">
        <f t="shared" si="6"/>
        <v>60</v>
      </c>
      <c r="I10">
        <f t="shared" si="7"/>
        <v>1</v>
      </c>
      <c r="J10">
        <f t="shared" si="7"/>
        <v>1</v>
      </c>
      <c r="K10" s="656">
        <f t="shared" si="0"/>
        <v>8</v>
      </c>
      <c r="L10" s="8">
        <f t="shared" si="0"/>
        <v>14</v>
      </c>
      <c r="M10" s="8">
        <f t="shared" si="0"/>
        <v>20</v>
      </c>
      <c r="N10" s="8">
        <f t="shared" si="0"/>
        <v>18</v>
      </c>
      <c r="O10" s="627">
        <f t="shared" si="8"/>
        <v>60</v>
      </c>
      <c r="P10" s="656" t="e">
        <f t="shared" ca="1" si="9"/>
        <v>#NAME?</v>
      </c>
      <c r="Q10" s="8" t="e">
        <f t="shared" ca="1" si="1"/>
        <v>#NAME?</v>
      </c>
      <c r="R10" s="657" t="e">
        <f t="shared" ca="1" si="1"/>
        <v>#NAME?</v>
      </c>
      <c r="S10" s="656" t="e">
        <f t="shared" ca="1" si="2"/>
        <v>#NAME?</v>
      </c>
      <c r="T10" s="8" t="e">
        <f t="shared" ca="1" si="2"/>
        <v>#NAME?</v>
      </c>
      <c r="U10" s="657" t="e">
        <f t="shared" ca="1" si="2"/>
        <v>#NAME?</v>
      </c>
      <c r="V10" s="656" t="e">
        <f t="shared" ca="1" si="3"/>
        <v>#NAME?</v>
      </c>
      <c r="W10" s="8" t="e">
        <f t="shared" ca="1" si="10"/>
        <v>#NAME?</v>
      </c>
      <c r="X10" s="8" t="e">
        <f t="shared" ca="1" si="10"/>
        <v>#NAME?</v>
      </c>
      <c r="Y10" s="657" t="e">
        <f t="shared" ca="1" si="4"/>
        <v>#NAME?</v>
      </c>
      <c r="Z10" s="656" t="e">
        <f t="shared" ca="1" si="11"/>
        <v>#NAME?</v>
      </c>
      <c r="AA10" s="8" t="e">
        <f t="shared" ca="1" si="5"/>
        <v>#NAME?</v>
      </c>
      <c r="AB10" s="8" t="e">
        <f t="shared" ca="1" si="5"/>
        <v>#NAME?</v>
      </c>
      <c r="AC10" s="657" t="e">
        <f t="shared" ca="1" si="5"/>
        <v>#NAME?</v>
      </c>
      <c r="AD10" s="8" t="e">
        <f t="shared" ca="1" si="12"/>
        <v>#NAME?</v>
      </c>
      <c r="AE10">
        <f t="shared" si="13"/>
        <v>74.101287669401145</v>
      </c>
      <c r="AK10" t="s">
        <v>200</v>
      </c>
      <c r="AL10" s="946" t="e">
        <f ca="1">CHIDIST(AL8,AL9)</f>
        <v>#NAME?</v>
      </c>
    </row>
    <row r="11" spans="1:38">
      <c r="A11" s="656">
        <v>1</v>
      </c>
      <c r="B11" s="8">
        <v>2</v>
      </c>
      <c r="C11" s="656">
        <v>10</v>
      </c>
      <c r="D11" s="66">
        <v>15</v>
      </c>
      <c r="E11" s="66">
        <v>16</v>
      </c>
      <c r="F11" s="657">
        <v>12</v>
      </c>
      <c r="G11" s="627">
        <f t="shared" si="6"/>
        <v>53</v>
      </c>
      <c r="I11">
        <f t="shared" si="7"/>
        <v>1</v>
      </c>
      <c r="J11">
        <f t="shared" si="7"/>
        <v>2</v>
      </c>
      <c r="K11" s="656">
        <f t="shared" si="0"/>
        <v>10</v>
      </c>
      <c r="L11" s="8">
        <f t="shared" si="0"/>
        <v>15</v>
      </c>
      <c r="M11" s="8">
        <f t="shared" si="0"/>
        <v>16</v>
      </c>
      <c r="N11" s="8">
        <f t="shared" si="0"/>
        <v>12</v>
      </c>
      <c r="O11" s="627">
        <f t="shared" si="8"/>
        <v>53</v>
      </c>
      <c r="P11" s="656" t="e">
        <f t="shared" ca="1" si="9"/>
        <v>#NAME?</v>
      </c>
      <c r="Q11" s="8" t="e">
        <f t="shared" ca="1" si="1"/>
        <v>#NAME?</v>
      </c>
      <c r="R11" s="657" t="e">
        <f t="shared" ca="1" si="1"/>
        <v>#NAME?</v>
      </c>
      <c r="S11" s="656" t="e">
        <f t="shared" ca="1" si="2"/>
        <v>#NAME?</v>
      </c>
      <c r="T11" s="8" t="e">
        <f t="shared" ca="1" si="2"/>
        <v>#NAME?</v>
      </c>
      <c r="U11" s="657" t="e">
        <f t="shared" ca="1" si="2"/>
        <v>#NAME?</v>
      </c>
      <c r="V11" s="656" t="e">
        <f t="shared" ca="1" si="3"/>
        <v>#NAME?</v>
      </c>
      <c r="W11" s="8" t="e">
        <f t="shared" ca="1" si="10"/>
        <v>#NAME?</v>
      </c>
      <c r="X11" s="8" t="e">
        <f t="shared" ca="1" si="10"/>
        <v>#NAME?</v>
      </c>
      <c r="Y11" s="657" t="e">
        <f t="shared" ca="1" si="4"/>
        <v>#NAME?</v>
      </c>
      <c r="Z11" s="656" t="e">
        <f t="shared" ca="1" si="11"/>
        <v>#NAME?</v>
      </c>
      <c r="AA11" s="8" t="e">
        <f t="shared" ca="1" si="5"/>
        <v>#NAME?</v>
      </c>
      <c r="AB11" s="8" t="e">
        <f t="shared" ca="1" si="5"/>
        <v>#NAME?</v>
      </c>
      <c r="AC11" s="657" t="e">
        <f t="shared" ca="1" si="5"/>
        <v>#NAME?</v>
      </c>
      <c r="AD11" s="8" t="e">
        <f t="shared" ca="1" si="12"/>
        <v>#NAME?</v>
      </c>
      <c r="AE11">
        <f t="shared" si="13"/>
        <v>66.668369657971951</v>
      </c>
      <c r="AK11" t="s">
        <v>337</v>
      </c>
      <c r="AL11" s="946">
        <v>0.05</v>
      </c>
    </row>
    <row r="12" spans="1:38">
      <c r="A12" s="533">
        <v>1</v>
      </c>
      <c r="B12" s="1078">
        <v>3</v>
      </c>
      <c r="C12" s="533">
        <v>5</v>
      </c>
      <c r="D12" s="1078">
        <v>14</v>
      </c>
      <c r="E12" s="1078">
        <v>12</v>
      </c>
      <c r="F12" s="541">
        <v>8</v>
      </c>
      <c r="G12" s="544">
        <f t="shared" si="6"/>
        <v>39</v>
      </c>
      <c r="I12">
        <f>A11</f>
        <v>1</v>
      </c>
      <c r="J12">
        <f t="shared" si="7"/>
        <v>3</v>
      </c>
      <c r="K12" s="533">
        <f t="shared" si="0"/>
        <v>5</v>
      </c>
      <c r="L12" s="1078">
        <f t="shared" si="0"/>
        <v>14</v>
      </c>
      <c r="M12" s="1078">
        <f t="shared" si="0"/>
        <v>12</v>
      </c>
      <c r="N12" s="1078">
        <f t="shared" si="0"/>
        <v>8</v>
      </c>
      <c r="O12" s="544">
        <f t="shared" si="8"/>
        <v>39</v>
      </c>
      <c r="P12" s="533" t="e">
        <f t="shared" ca="1" si="9"/>
        <v>#NAME?</v>
      </c>
      <c r="Q12" s="1078" t="e">
        <f t="shared" ca="1" si="1"/>
        <v>#NAME?</v>
      </c>
      <c r="R12" s="541" t="e">
        <f t="shared" ca="1" si="1"/>
        <v>#NAME?</v>
      </c>
      <c r="S12" s="533" t="e">
        <f t="shared" ca="1" si="2"/>
        <v>#NAME?</v>
      </c>
      <c r="T12" s="1078" t="e">
        <f t="shared" ca="1" si="2"/>
        <v>#NAME?</v>
      </c>
      <c r="U12" s="541" t="e">
        <f t="shared" ca="1" si="2"/>
        <v>#NAME?</v>
      </c>
      <c r="V12" s="533" t="e">
        <f t="shared" ca="1" si="3"/>
        <v>#NAME?</v>
      </c>
      <c r="W12" s="1078" t="e">
        <f t="shared" ca="1" si="10"/>
        <v>#NAME?</v>
      </c>
      <c r="X12" s="1078" t="e">
        <f t="shared" ca="1" si="10"/>
        <v>#NAME?</v>
      </c>
      <c r="Y12" s="541" t="e">
        <f t="shared" ca="1" si="4"/>
        <v>#NAME?</v>
      </c>
      <c r="Z12" s="533" t="e">
        <f t="shared" ca="1" si="11"/>
        <v>#NAME?</v>
      </c>
      <c r="AA12" s="1078" t="e">
        <f t="shared" ca="1" si="5"/>
        <v>#NAME?</v>
      </c>
      <c r="AB12" s="1078" t="e">
        <f t="shared" ca="1" si="5"/>
        <v>#NAME?</v>
      </c>
      <c r="AC12" s="541" t="e">
        <f t="shared" ca="1" si="5"/>
        <v>#NAME?</v>
      </c>
      <c r="AD12" s="8" t="e">
        <f t="shared" ca="1" si="12"/>
        <v>#NAME?</v>
      </c>
      <c r="AE12">
        <f t="shared" si="13"/>
        <v>46.061229936715577</v>
      </c>
      <c r="AK12" t="s">
        <v>948</v>
      </c>
      <c r="AL12" s="1074" t="e">
        <f ca="1">IF(AL10&lt;AL11,"yes","no")</f>
        <v>#NAME?</v>
      </c>
    </row>
    <row r="13" spans="1:38">
      <c r="C13">
        <f>SUM(C5:C12)</f>
        <v>50</v>
      </c>
      <c r="D13">
        <f>SUM(D5:D12)</f>
        <v>93</v>
      </c>
      <c r="E13">
        <f>SUM(E5:E12)</f>
        <v>126</v>
      </c>
      <c r="F13">
        <f>SUM(F5:F12)</f>
        <v>151</v>
      </c>
      <c r="G13">
        <f t="shared" si="6"/>
        <v>420</v>
      </c>
      <c r="I13" s="1152"/>
      <c r="J13" s="1152"/>
      <c r="K13" s="1152">
        <f>SUM(K5:K12)</f>
        <v>50</v>
      </c>
      <c r="L13" s="1152">
        <f>SUM(L5:L12)</f>
        <v>93</v>
      </c>
      <c r="M13" s="1152">
        <f>SUM(M5:M12)</f>
        <v>126</v>
      </c>
      <c r="N13" s="1152">
        <f>SUM(N5:N12)</f>
        <v>151</v>
      </c>
      <c r="O13" s="1152">
        <f>SUM(O5:O12)</f>
        <v>420</v>
      </c>
      <c r="S13" s="1152"/>
      <c r="T13" s="8"/>
      <c r="Z13" s="1152" t="e">
        <f t="shared" ref="Z13:AE13" ca="1" si="14">SUM(Z5:Z12)</f>
        <v>#NAME?</v>
      </c>
      <c r="AA13" s="1152" t="e">
        <f t="shared" ca="1" si="14"/>
        <v>#NAME?</v>
      </c>
      <c r="AB13" s="1152" t="e">
        <f t="shared" ca="1" si="14"/>
        <v>#NAME?</v>
      </c>
      <c r="AC13" s="1152" t="e">
        <f t="shared" ca="1" si="14"/>
        <v>#NAME?</v>
      </c>
      <c r="AD13" s="1152" t="e">
        <f t="shared" ca="1" si="14"/>
        <v>#NAME?</v>
      </c>
      <c r="AE13" s="1152">
        <f t="shared" si="14"/>
        <v>494.07893535970368</v>
      </c>
    </row>
    <row r="14" spans="1:38">
      <c r="AK14" t="s">
        <v>2096</v>
      </c>
      <c r="AL14" s="1138" t="e">
        <f ca="1">1-(AL6-AE13)/(AL5-AE13)</f>
        <v>#NAME?</v>
      </c>
    </row>
    <row r="15" spans="1:38">
      <c r="A15" s="19" t="s">
        <v>3067</v>
      </c>
      <c r="B15" s="19" t="s">
        <v>3068</v>
      </c>
      <c r="C15" s="19">
        <f t="shared" ref="C15:C23" si="15">C4</f>
        <v>1</v>
      </c>
      <c r="D15" s="19" t="s">
        <v>3080</v>
      </c>
      <c r="H15" s="19" t="s">
        <v>3067</v>
      </c>
      <c r="I15" s="19" t="s">
        <v>3068</v>
      </c>
      <c r="J15" s="19" t="s">
        <v>3081</v>
      </c>
      <c r="K15" s="19" t="s">
        <v>3082</v>
      </c>
      <c r="O15" s="19" t="s">
        <v>3067</v>
      </c>
      <c r="P15" s="19" t="s">
        <v>3068</v>
      </c>
      <c r="Q15" s="19" t="s">
        <v>3070</v>
      </c>
      <c r="R15" s="19">
        <v>4</v>
      </c>
      <c r="AK15" t="s">
        <v>2097</v>
      </c>
      <c r="AL15" s="946" t="e">
        <f ca="1">1-EXP((-2/O13)*(AL6-AL5))</f>
        <v>#NAME?</v>
      </c>
    </row>
    <row r="16" spans="1:38">
      <c r="A16" s="1067">
        <v>0</v>
      </c>
      <c r="B16" s="1068">
        <v>0</v>
      </c>
      <c r="C16" s="1067">
        <f t="shared" si="15"/>
        <v>3</v>
      </c>
      <c r="D16" s="1071">
        <f>G5-C16</f>
        <v>51</v>
      </c>
      <c r="F16" s="1156" t="e">
        <f t="array" aca="1" ref="F16:F18" ca="1">[1]!LogitCoeff(A16:D23)</f>
        <v>#NAME?</v>
      </c>
      <c r="H16" s="1067">
        <v>0</v>
      </c>
      <c r="I16" s="1152">
        <v>0</v>
      </c>
      <c r="J16" s="1067">
        <f>C5+D5</f>
        <v>12</v>
      </c>
      <c r="K16" s="1071">
        <f>G5-J16</f>
        <v>42</v>
      </c>
      <c r="M16" s="1156" t="e">
        <f t="array" aca="1" ref="M16:M18" ca="1">[1]!LogitCoeff(H16:K23)</f>
        <v>#NAME?</v>
      </c>
      <c r="O16" s="1067">
        <v>0</v>
      </c>
      <c r="P16" s="1152">
        <v>0</v>
      </c>
      <c r="Q16" s="1067">
        <f>G5-R16</f>
        <v>30</v>
      </c>
      <c r="R16" s="1071">
        <f>F5</f>
        <v>24</v>
      </c>
      <c r="T16" s="1156" t="e">
        <f t="array" aca="1" ref="T16:T18" ca="1">[1]!LogitCoeff(O16:R23)</f>
        <v>#NAME?</v>
      </c>
      <c r="AK16" t="s">
        <v>2098</v>
      </c>
      <c r="AL16" s="1073" t="e">
        <f ca="1">AL15/(1-EXP(2*(AL5-AE13)/O13))</f>
        <v>#NAME?</v>
      </c>
    </row>
    <row r="17" spans="1:20">
      <c r="A17" s="656">
        <v>0</v>
      </c>
      <c r="B17" s="8">
        <v>1</v>
      </c>
      <c r="C17" s="656">
        <f t="shared" si="15"/>
        <v>6</v>
      </c>
      <c r="D17" s="657">
        <f t="shared" ref="D17:D23" si="16">G6-C17</f>
        <v>57</v>
      </c>
      <c r="F17" s="627" t="e">
        <f ca="1"/>
        <v>#NAME?</v>
      </c>
      <c r="H17" s="656">
        <v>0</v>
      </c>
      <c r="I17" s="8">
        <v>1</v>
      </c>
      <c r="J17" s="656">
        <f t="shared" ref="J17:J23" si="17">C6+D6</f>
        <v>19</v>
      </c>
      <c r="K17" s="657">
        <f t="shared" ref="K17:K23" si="18">G6-J17</f>
        <v>44</v>
      </c>
      <c r="M17" s="627" t="e">
        <f ca="1"/>
        <v>#NAME?</v>
      </c>
      <c r="O17" s="656">
        <v>0</v>
      </c>
      <c r="P17" s="8">
        <v>1</v>
      </c>
      <c r="Q17" s="656">
        <f t="shared" ref="Q17:Q23" si="19">G6-R17</f>
        <v>35</v>
      </c>
      <c r="R17" s="657">
        <f t="shared" ref="R17:R23" si="20">F6</f>
        <v>28</v>
      </c>
      <c r="T17" s="627" t="e">
        <f ca="1"/>
        <v>#NAME?</v>
      </c>
    </row>
    <row r="18" spans="1:20">
      <c r="A18" s="656">
        <v>0</v>
      </c>
      <c r="B18" s="8">
        <v>2</v>
      </c>
      <c r="C18" s="656">
        <f t="shared" si="15"/>
        <v>9</v>
      </c>
      <c r="D18" s="657">
        <f t="shared" si="16"/>
        <v>50</v>
      </c>
      <c r="F18" s="544" t="e">
        <f ca="1"/>
        <v>#NAME?</v>
      </c>
      <c r="H18" s="656">
        <v>0</v>
      </c>
      <c r="I18" s="8">
        <v>2</v>
      </c>
      <c r="J18" s="656">
        <f t="shared" si="17"/>
        <v>22</v>
      </c>
      <c r="K18" s="657">
        <f t="shared" si="18"/>
        <v>37</v>
      </c>
      <c r="M18" s="544" t="e">
        <f ca="1"/>
        <v>#NAME?</v>
      </c>
      <c r="O18" s="656">
        <v>0</v>
      </c>
      <c r="P18" s="8">
        <v>2</v>
      </c>
      <c r="Q18" s="656">
        <f t="shared" si="19"/>
        <v>39</v>
      </c>
      <c r="R18" s="657">
        <f t="shared" si="20"/>
        <v>20</v>
      </c>
      <c r="T18" s="544" t="e">
        <f ca="1"/>
        <v>#NAME?</v>
      </c>
    </row>
    <row r="19" spans="1:20">
      <c r="A19" s="533">
        <v>0</v>
      </c>
      <c r="B19" s="1078">
        <v>3</v>
      </c>
      <c r="C19" s="533">
        <f t="shared" si="15"/>
        <v>5</v>
      </c>
      <c r="D19" s="541">
        <f t="shared" si="16"/>
        <v>39</v>
      </c>
      <c r="H19" s="533">
        <v>0</v>
      </c>
      <c r="I19" s="1078">
        <v>3</v>
      </c>
      <c r="J19" s="533">
        <f t="shared" si="17"/>
        <v>12</v>
      </c>
      <c r="K19" s="541">
        <f t="shared" si="18"/>
        <v>32</v>
      </c>
      <c r="O19" s="533">
        <v>0</v>
      </c>
      <c r="P19" s="1078">
        <v>3</v>
      </c>
      <c r="Q19" s="656">
        <f t="shared" si="19"/>
        <v>28</v>
      </c>
      <c r="R19" s="657">
        <f t="shared" si="20"/>
        <v>16</v>
      </c>
    </row>
    <row r="20" spans="1:20">
      <c r="A20" s="656">
        <v>1</v>
      </c>
      <c r="B20" s="8">
        <v>0</v>
      </c>
      <c r="C20" s="656">
        <f t="shared" si="15"/>
        <v>4</v>
      </c>
      <c r="D20" s="657">
        <f t="shared" si="16"/>
        <v>44</v>
      </c>
      <c r="H20" s="656">
        <v>1</v>
      </c>
      <c r="I20" s="8">
        <v>0</v>
      </c>
      <c r="J20" s="656">
        <f t="shared" si="17"/>
        <v>12</v>
      </c>
      <c r="K20" s="657">
        <f t="shared" si="18"/>
        <v>36</v>
      </c>
      <c r="O20" s="656">
        <v>1</v>
      </c>
      <c r="P20" s="8">
        <v>0</v>
      </c>
      <c r="Q20" s="1067">
        <f t="shared" si="19"/>
        <v>23</v>
      </c>
      <c r="R20" s="1071">
        <f t="shared" si="20"/>
        <v>25</v>
      </c>
    </row>
    <row r="21" spans="1:20">
      <c r="A21" s="656">
        <v>1</v>
      </c>
      <c r="B21" s="8">
        <v>1</v>
      </c>
      <c r="C21" s="656">
        <f t="shared" si="15"/>
        <v>8</v>
      </c>
      <c r="D21" s="657">
        <f t="shared" si="16"/>
        <v>52</v>
      </c>
      <c r="H21" s="656">
        <v>1</v>
      </c>
      <c r="I21" s="8">
        <v>1</v>
      </c>
      <c r="J21" s="656">
        <f t="shared" si="17"/>
        <v>22</v>
      </c>
      <c r="K21" s="657">
        <f t="shared" si="18"/>
        <v>38</v>
      </c>
      <c r="O21" s="656">
        <v>1</v>
      </c>
      <c r="P21" s="8">
        <v>1</v>
      </c>
      <c r="Q21" s="656">
        <f t="shared" si="19"/>
        <v>42</v>
      </c>
      <c r="R21" s="657">
        <f t="shared" si="20"/>
        <v>18</v>
      </c>
    </row>
    <row r="22" spans="1:20">
      <c r="A22" s="656">
        <v>1</v>
      </c>
      <c r="B22" s="8">
        <v>2</v>
      </c>
      <c r="C22" s="656">
        <f t="shared" si="15"/>
        <v>10</v>
      </c>
      <c r="D22" s="657">
        <f t="shared" si="16"/>
        <v>43</v>
      </c>
      <c r="H22" s="656">
        <v>1</v>
      </c>
      <c r="I22" s="8">
        <v>2</v>
      </c>
      <c r="J22" s="656">
        <f t="shared" si="17"/>
        <v>25</v>
      </c>
      <c r="K22" s="657">
        <f t="shared" si="18"/>
        <v>28</v>
      </c>
      <c r="O22" s="656">
        <v>1</v>
      </c>
      <c r="P22" s="8">
        <v>2</v>
      </c>
      <c r="Q22" s="656">
        <f t="shared" si="19"/>
        <v>41</v>
      </c>
      <c r="R22" s="657">
        <f t="shared" si="20"/>
        <v>12</v>
      </c>
    </row>
    <row r="23" spans="1:20">
      <c r="A23" s="533">
        <v>1</v>
      </c>
      <c r="B23" s="1078">
        <v>3</v>
      </c>
      <c r="C23" s="533">
        <f t="shared" si="15"/>
        <v>5</v>
      </c>
      <c r="D23" s="541">
        <f t="shared" si="16"/>
        <v>34</v>
      </c>
      <c r="H23" s="533">
        <v>1</v>
      </c>
      <c r="I23" s="1078">
        <v>3</v>
      </c>
      <c r="J23" s="533">
        <f t="shared" si="17"/>
        <v>19</v>
      </c>
      <c r="K23" s="541">
        <f t="shared" si="18"/>
        <v>20</v>
      </c>
      <c r="O23" s="533">
        <v>1</v>
      </c>
      <c r="P23" s="1078">
        <v>3</v>
      </c>
      <c r="Q23" s="533">
        <f t="shared" si="19"/>
        <v>31</v>
      </c>
      <c r="R23" s="541">
        <f t="shared" si="20"/>
        <v>8</v>
      </c>
    </row>
    <row r="25" spans="1:20">
      <c r="A25" t="s">
        <v>3071</v>
      </c>
    </row>
    <row r="27" spans="1:20">
      <c r="C27" s="19">
        <f>C15</f>
        <v>1</v>
      </c>
      <c r="D27" s="19" t="str">
        <f>D15</f>
        <v>2+3+4</v>
      </c>
      <c r="J27" s="19" t="str">
        <f>J15</f>
        <v>1+2</v>
      </c>
      <c r="K27" s="19" t="str">
        <f>K15</f>
        <v>3+4</v>
      </c>
      <c r="Q27" s="19" t="str">
        <f>Q15</f>
        <v>1+2+3</v>
      </c>
      <c r="R27" s="19">
        <f>R15</f>
        <v>4</v>
      </c>
    </row>
    <row r="28" spans="1:20">
      <c r="C28" s="1067" t="e">
        <f t="array" aca="1" ref="C28:D35" ca="1">[1]!QSORTRows(C16:D23)</f>
        <v>#NAME?</v>
      </c>
      <c r="D28" s="1071" t="e">
        <f ca="1"/>
        <v>#NAME?</v>
      </c>
      <c r="J28" s="1067" t="e">
        <f t="array" aca="1" ref="J28:K35" ca="1">[1]!QSORTRows(J16:K23)</f>
        <v>#NAME?</v>
      </c>
      <c r="K28" s="1071" t="e">
        <f ca="1"/>
        <v>#NAME?</v>
      </c>
      <c r="Q28" s="1067" t="e">
        <f t="array" aca="1" ref="Q28:R35" ca="1">[1]!QSORTRows(Q16:R23)</f>
        <v>#NAME?</v>
      </c>
      <c r="R28" s="1071" t="e">
        <f ca="1"/>
        <v>#NAME?</v>
      </c>
    </row>
    <row r="29" spans="1:20">
      <c r="C29" s="656" t="e">
        <f ca="1"/>
        <v>#NAME?</v>
      </c>
      <c r="D29" s="657" t="e">
        <f ca="1"/>
        <v>#NAME?</v>
      </c>
      <c r="J29" s="656" t="e">
        <f ca="1"/>
        <v>#NAME?</v>
      </c>
      <c r="K29" s="657" t="e">
        <f ca="1"/>
        <v>#NAME?</v>
      </c>
      <c r="Q29" s="656" t="e">
        <f ca="1"/>
        <v>#NAME?</v>
      </c>
      <c r="R29" s="657" t="e">
        <f ca="1"/>
        <v>#NAME?</v>
      </c>
    </row>
    <row r="30" spans="1:20">
      <c r="C30" s="656" t="e">
        <f ca="1"/>
        <v>#NAME?</v>
      </c>
      <c r="D30" s="657" t="e">
        <f ca="1"/>
        <v>#NAME?</v>
      </c>
      <c r="J30" s="656" t="e">
        <f ca="1"/>
        <v>#NAME?</v>
      </c>
      <c r="K30" s="657" t="e">
        <f ca="1"/>
        <v>#NAME?</v>
      </c>
      <c r="Q30" s="656" t="e">
        <f ca="1"/>
        <v>#NAME?</v>
      </c>
      <c r="R30" s="657" t="e">
        <f ca="1"/>
        <v>#NAME?</v>
      </c>
    </row>
    <row r="31" spans="1:20">
      <c r="C31" s="533" t="e">
        <f ca="1"/>
        <v>#NAME?</v>
      </c>
      <c r="D31" s="541" t="e">
        <f ca="1"/>
        <v>#NAME?</v>
      </c>
      <c r="J31" s="533" t="e">
        <f ca="1"/>
        <v>#NAME?</v>
      </c>
      <c r="K31" s="541" t="e">
        <f ca="1"/>
        <v>#NAME?</v>
      </c>
      <c r="Q31" s="533" t="e">
        <f ca="1"/>
        <v>#NAME?</v>
      </c>
      <c r="R31" s="541" t="e">
        <f ca="1"/>
        <v>#NAME?</v>
      </c>
    </row>
    <row r="32" spans="1:20">
      <c r="C32" s="656" t="e">
        <f ca="1"/>
        <v>#NAME?</v>
      </c>
      <c r="D32" s="657" t="e">
        <f ca="1"/>
        <v>#NAME?</v>
      </c>
      <c r="J32" s="656" t="e">
        <f ca="1"/>
        <v>#NAME?</v>
      </c>
      <c r="K32" s="657" t="e">
        <f ca="1"/>
        <v>#NAME?</v>
      </c>
      <c r="Q32" s="656" t="e">
        <f ca="1"/>
        <v>#NAME?</v>
      </c>
      <c r="R32" s="657" t="e">
        <f ca="1"/>
        <v>#NAME?</v>
      </c>
    </row>
    <row r="33" spans="3:18">
      <c r="C33" s="656" t="e">
        <f ca="1"/>
        <v>#NAME?</v>
      </c>
      <c r="D33" s="657" t="e">
        <f ca="1"/>
        <v>#NAME?</v>
      </c>
      <c r="J33" s="656" t="e">
        <f ca="1"/>
        <v>#NAME?</v>
      </c>
      <c r="K33" s="657" t="e">
        <f ca="1"/>
        <v>#NAME?</v>
      </c>
      <c r="Q33" s="656" t="e">
        <f ca="1"/>
        <v>#NAME?</v>
      </c>
      <c r="R33" s="657" t="e">
        <f ca="1"/>
        <v>#NAME?</v>
      </c>
    </row>
    <row r="34" spans="3:18">
      <c r="C34" s="656" t="e">
        <f ca="1"/>
        <v>#NAME?</v>
      </c>
      <c r="D34" s="657" t="e">
        <f ca="1"/>
        <v>#NAME?</v>
      </c>
      <c r="J34" s="656" t="e">
        <f ca="1"/>
        <v>#NAME?</v>
      </c>
      <c r="K34" s="657" t="e">
        <f ca="1"/>
        <v>#NAME?</v>
      </c>
      <c r="Q34" s="656" t="e">
        <f ca="1"/>
        <v>#NAME?</v>
      </c>
      <c r="R34" s="657" t="e">
        <f ca="1"/>
        <v>#NAME?</v>
      </c>
    </row>
    <row r="35" spans="3:18">
      <c r="C35" s="533" t="e">
        <f ca="1"/>
        <v>#NAME?</v>
      </c>
      <c r="D35" s="541" t="e">
        <f ca="1"/>
        <v>#NAME?</v>
      </c>
      <c r="J35" s="533" t="e">
        <f ca="1"/>
        <v>#NAME?</v>
      </c>
      <c r="K35" s="541" t="e">
        <f ca="1"/>
        <v>#NAME?</v>
      </c>
      <c r="Q35" s="533" t="e">
        <f ca="1"/>
        <v>#NAME?</v>
      </c>
      <c r="R35" s="541" t="e">
        <f ca="1"/>
        <v>#NAME?</v>
      </c>
    </row>
  </sheetData>
  <mergeCells count="8">
    <mergeCell ref="AG3:AI3"/>
    <mergeCell ref="AD3:AE3"/>
    <mergeCell ref="I3:J3"/>
    <mergeCell ref="K3:O3"/>
    <mergeCell ref="P3:R3"/>
    <mergeCell ref="S3:U3"/>
    <mergeCell ref="V3:Y3"/>
    <mergeCell ref="Z3:AC3"/>
  </mergeCells>
  <pageMargins left="0.7" right="0.7" top="0.75" bottom="0.75" header="0.3" footer="0.3"/>
  <ignoredErrors>
    <ignoredError sqref="C13:F13 G5:G12" formulaRange="1"/>
  </ignoredErrors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sheetPr codeName="Sheet280"/>
  <dimension ref="A1:AL34"/>
  <sheetViews>
    <sheetView workbookViewId="0"/>
  </sheetViews>
  <sheetFormatPr defaultRowHeight="14.4"/>
  <sheetData>
    <row r="1" spans="1:38">
      <c r="A1" s="1" t="s">
        <v>3065</v>
      </c>
    </row>
    <row r="2" spans="1:38">
      <c r="A2" s="25" t="s">
        <v>2981</v>
      </c>
    </row>
    <row r="3" spans="1:38" ht="15" thickBot="1">
      <c r="I3" s="1587" t="s">
        <v>3012</v>
      </c>
      <c r="J3" s="1587"/>
      <c r="K3" s="1587" t="s">
        <v>357</v>
      </c>
      <c r="L3" s="1587"/>
      <c r="M3" s="1587"/>
      <c r="N3" s="1587"/>
      <c r="O3" s="1587"/>
      <c r="P3" s="1587" t="s">
        <v>381</v>
      </c>
      <c r="Q3" s="1587"/>
      <c r="R3" s="1587"/>
      <c r="S3" s="1587" t="s">
        <v>3066</v>
      </c>
      <c r="T3" s="1587"/>
      <c r="U3" s="1587"/>
      <c r="V3" s="1587" t="s">
        <v>3014</v>
      </c>
      <c r="W3" s="1587"/>
      <c r="X3" s="1587"/>
      <c r="Y3" s="1587"/>
      <c r="Z3" s="1587" t="s">
        <v>3013</v>
      </c>
      <c r="AA3" s="1587"/>
      <c r="AB3" s="1587"/>
      <c r="AC3" s="1587"/>
      <c r="AD3" s="1587" t="s">
        <v>3011</v>
      </c>
      <c r="AE3" s="1587"/>
      <c r="AG3" s="1552" t="s">
        <v>699</v>
      </c>
      <c r="AH3" s="1552"/>
      <c r="AI3" s="1552"/>
    </row>
    <row r="4" spans="1:38" ht="15" thickTop="1">
      <c r="A4" s="19" t="s">
        <v>3067</v>
      </c>
      <c r="B4" s="19" t="s">
        <v>3068</v>
      </c>
      <c r="C4">
        <v>1</v>
      </c>
      <c r="D4">
        <v>2</v>
      </c>
      <c r="E4">
        <v>3</v>
      </c>
      <c r="F4">
        <v>4</v>
      </c>
      <c r="G4" s="19" t="s">
        <v>3069</v>
      </c>
      <c r="I4" s="1151" t="str">
        <f t="shared" ref="I4:N12" si="0">A4</f>
        <v>gender</v>
      </c>
      <c r="J4" s="1151" t="str">
        <f t="shared" si="0"/>
        <v>age</v>
      </c>
      <c r="K4" s="1151">
        <f t="shared" si="0"/>
        <v>1</v>
      </c>
      <c r="L4" s="1151">
        <f t="shared" si="0"/>
        <v>2</v>
      </c>
      <c r="M4" s="1151">
        <f t="shared" si="0"/>
        <v>3</v>
      </c>
      <c r="N4" s="1151">
        <f t="shared" si="0"/>
        <v>4</v>
      </c>
      <c r="O4" s="1151" t="s">
        <v>12</v>
      </c>
      <c r="P4" s="1151">
        <f>K4</f>
        <v>1</v>
      </c>
      <c r="Q4" s="1151">
        <f>L4</f>
        <v>2</v>
      </c>
      <c r="R4" s="1151">
        <f>M4</f>
        <v>3</v>
      </c>
      <c r="S4" s="1151">
        <f>K4</f>
        <v>1</v>
      </c>
      <c r="T4" s="1151">
        <f>L4</f>
        <v>2</v>
      </c>
      <c r="U4" s="1151">
        <f>M4</f>
        <v>3</v>
      </c>
      <c r="V4" s="1151">
        <f>K4</f>
        <v>1</v>
      </c>
      <c r="W4" s="1151">
        <f>L4</f>
        <v>2</v>
      </c>
      <c r="X4" s="1151">
        <f>M4</f>
        <v>3</v>
      </c>
      <c r="Y4" s="1151">
        <f>N4</f>
        <v>4</v>
      </c>
      <c r="Z4" s="1151">
        <f>V4</f>
        <v>1</v>
      </c>
      <c r="AA4" s="1151">
        <f>W4</f>
        <v>2</v>
      </c>
      <c r="AB4" s="1151">
        <f>X4</f>
        <v>3</v>
      </c>
      <c r="AC4" s="1151">
        <f>Y4</f>
        <v>4</v>
      </c>
      <c r="AD4" s="1151" t="s">
        <v>1982</v>
      </c>
      <c r="AE4" s="1151" t="s">
        <v>2972</v>
      </c>
    </row>
    <row r="5" spans="1:38">
      <c r="A5" s="1067">
        <v>0</v>
      </c>
      <c r="B5" s="1152">
        <v>0</v>
      </c>
      <c r="C5" s="1067">
        <v>3</v>
      </c>
      <c r="D5" s="1152">
        <v>9</v>
      </c>
      <c r="E5" s="1152">
        <v>18</v>
      </c>
      <c r="F5" s="1071">
        <v>24</v>
      </c>
      <c r="G5" s="1156">
        <f>SUM(C5:F5)</f>
        <v>54</v>
      </c>
      <c r="I5">
        <f>A5</f>
        <v>0</v>
      </c>
      <c r="J5">
        <f>B5</f>
        <v>0</v>
      </c>
      <c r="K5" s="1067">
        <f t="shared" si="0"/>
        <v>3</v>
      </c>
      <c r="L5" s="1152">
        <f t="shared" si="0"/>
        <v>9</v>
      </c>
      <c r="M5" s="1152">
        <f t="shared" si="0"/>
        <v>18</v>
      </c>
      <c r="N5" s="1152">
        <f t="shared" si="0"/>
        <v>24</v>
      </c>
      <c r="O5" s="1156">
        <f>SUM(K5:N5)</f>
        <v>54</v>
      </c>
      <c r="P5" s="1067">
        <f>EXP(AG$5+MMULT($I5:$J5,AG$6:AG$7))</f>
        <v>8.1195529609107753E-2</v>
      </c>
      <c r="Q5" s="1152">
        <f t="shared" ref="Q5:R12" si="1">EXP(AH$5+MMULT($I5:$J5,AH$6:AH$7))</f>
        <v>0.30972745127533041</v>
      </c>
      <c r="R5" s="1071">
        <f t="shared" si="1"/>
        <v>1.0113383519283055</v>
      </c>
      <c r="S5" s="1067">
        <f t="shared" ref="S5:U12" si="2">P5/(1+P5)</f>
        <v>7.5097914656068673E-2</v>
      </c>
      <c r="T5" s="1152">
        <f t="shared" si="2"/>
        <v>0.23648236965159219</v>
      </c>
      <c r="U5" s="1071">
        <f t="shared" si="2"/>
        <v>0.50281860879285556</v>
      </c>
      <c r="V5" s="1067">
        <f t="shared" ref="V5:V12" si="3">S5</f>
        <v>7.5097914656068673E-2</v>
      </c>
      <c r="W5" s="1152">
        <f>T5-S5</f>
        <v>0.16138445499552351</v>
      </c>
      <c r="X5" s="1152">
        <f>U5-T5</f>
        <v>0.26633623914126336</v>
      </c>
      <c r="Y5" s="1071">
        <f t="shared" ref="Y5:Y12" si="4">1-U5</f>
        <v>0.49718139120714444</v>
      </c>
      <c r="Z5" s="1067">
        <f>V5*$O5</f>
        <v>4.0552873914277088</v>
      </c>
      <c r="AA5" s="1152">
        <f t="shared" ref="AA5:AC12" si="5">W5*$O5</f>
        <v>8.7147605697582691</v>
      </c>
      <c r="AB5" s="1152">
        <f t="shared" si="5"/>
        <v>14.382156913628222</v>
      </c>
      <c r="AC5" s="1071">
        <f t="shared" si="5"/>
        <v>26.847795125185801</v>
      </c>
      <c r="AD5" s="8">
        <f>SUMPRODUCT(K5:N5,LN(V5:Y5))</f>
        <v>-64.767711177190108</v>
      </c>
      <c r="AE5">
        <f>GAMMALN(O5+1)-SUMPRODUCT(GAMMALN(K5:N5+1))</f>
        <v>58.546350707740302</v>
      </c>
      <c r="AG5" s="1067">
        <v>-2.5108950874050637</v>
      </c>
      <c r="AH5" s="1156">
        <v>-1.1720625576510737</v>
      </c>
      <c r="AI5" s="1071">
        <v>1.127455460086773E-2</v>
      </c>
      <c r="AK5" t="s">
        <v>1981</v>
      </c>
      <c r="AL5" s="1138">
        <f>SUMPRODUCT(K13:N13,LN(K13:N13/O13))+AE13</f>
        <v>-57.376375275960925</v>
      </c>
    </row>
    <row r="6" spans="1:38">
      <c r="A6" s="656">
        <v>0</v>
      </c>
      <c r="B6" s="8">
        <v>1</v>
      </c>
      <c r="C6" s="656">
        <v>6</v>
      </c>
      <c r="D6" s="8">
        <v>13</v>
      </c>
      <c r="E6" s="8">
        <v>16</v>
      </c>
      <c r="F6" s="657">
        <v>28</v>
      </c>
      <c r="G6" s="627">
        <f t="shared" ref="G6:G13" si="6">SUM(C6:F6)</f>
        <v>63</v>
      </c>
      <c r="I6">
        <f t="shared" ref="I6:J12" si="7">A6</f>
        <v>0</v>
      </c>
      <c r="J6">
        <f t="shared" si="7"/>
        <v>1</v>
      </c>
      <c r="K6" s="656">
        <f t="shared" si="0"/>
        <v>6</v>
      </c>
      <c r="L6" s="8">
        <f t="shared" si="0"/>
        <v>13</v>
      </c>
      <c r="M6" s="8">
        <f t="shared" si="0"/>
        <v>16</v>
      </c>
      <c r="N6" s="8">
        <f t="shared" si="0"/>
        <v>28</v>
      </c>
      <c r="O6" s="627">
        <f t="shared" ref="O6:O12" si="8">SUM(K6:N6)</f>
        <v>63</v>
      </c>
      <c r="P6" s="656">
        <f t="shared" ref="P6:P12" si="9">EXP(AG$5+MMULT($I6:$J6,AG$6:AG$7))</f>
        <v>0.10366717111126474</v>
      </c>
      <c r="Q6" s="8">
        <f t="shared" si="1"/>
        <v>0.38178381974595665</v>
      </c>
      <c r="R6" s="657">
        <f t="shared" si="1"/>
        <v>1.3435680157214522</v>
      </c>
      <c r="S6" s="656">
        <f t="shared" si="2"/>
        <v>9.3929740618164739E-2</v>
      </c>
      <c r="T6" s="8">
        <f t="shared" si="2"/>
        <v>0.27629779296167201</v>
      </c>
      <c r="U6" s="657">
        <f t="shared" si="2"/>
        <v>0.57330020153387506</v>
      </c>
      <c r="V6" s="656">
        <f t="shared" si="3"/>
        <v>9.3929740618164739E-2</v>
      </c>
      <c r="W6" s="8">
        <f t="shared" ref="W6:X12" si="10">T6-S6</f>
        <v>0.18236805234350728</v>
      </c>
      <c r="X6" s="8">
        <f t="shared" si="10"/>
        <v>0.29700240857220306</v>
      </c>
      <c r="Y6" s="657">
        <f t="shared" si="4"/>
        <v>0.42669979846612494</v>
      </c>
      <c r="Z6" s="656">
        <f t="shared" ref="Z6:Z12" si="11">V6*$O6</f>
        <v>5.9175736589443781</v>
      </c>
      <c r="AA6" s="8">
        <f t="shared" si="5"/>
        <v>11.489187297640958</v>
      </c>
      <c r="AB6" s="8">
        <f t="shared" si="5"/>
        <v>18.711151740048791</v>
      </c>
      <c r="AC6" s="657">
        <f t="shared" si="5"/>
        <v>26.882087303365871</v>
      </c>
      <c r="AD6" s="8">
        <f t="shared" ref="AD6:AD12" si="12">SUMPRODUCT(K6:N6,LN(V6:Y6))</f>
        <v>-79.584846285875386</v>
      </c>
      <c r="AE6">
        <f t="shared" ref="AE6:AE12" si="13">GAMMALN(O6+1)-SUMPRODUCT(GAMMALN(K6:N6+1))</f>
        <v>73.31629809088578</v>
      </c>
      <c r="AG6" s="656">
        <v>0.29615585671546801</v>
      </c>
      <c r="AH6" s="627">
        <v>0.3832069624016291</v>
      </c>
      <c r="AI6" s="657">
        <v>0.36417400883494988</v>
      </c>
      <c r="AK6" t="s">
        <v>2084</v>
      </c>
      <c r="AL6" s="1073">
        <f>AD13+AE13</f>
        <v>-50.532294582280826</v>
      </c>
    </row>
    <row r="7" spans="1:38">
      <c r="A7" s="656">
        <v>0</v>
      </c>
      <c r="B7" s="8">
        <v>2</v>
      </c>
      <c r="C7" s="656">
        <v>9</v>
      </c>
      <c r="D7" s="66">
        <v>13</v>
      </c>
      <c r="E7" s="66">
        <v>17</v>
      </c>
      <c r="F7" s="657">
        <v>20</v>
      </c>
      <c r="G7" s="627">
        <f t="shared" si="6"/>
        <v>59</v>
      </c>
      <c r="I7">
        <f t="shared" si="7"/>
        <v>0</v>
      </c>
      <c r="J7">
        <f t="shared" si="7"/>
        <v>2</v>
      </c>
      <c r="K7" s="656">
        <f t="shared" si="0"/>
        <v>9</v>
      </c>
      <c r="L7" s="8">
        <f t="shared" si="0"/>
        <v>13</v>
      </c>
      <c r="M7" s="8">
        <f t="shared" si="0"/>
        <v>17</v>
      </c>
      <c r="N7" s="8">
        <f t="shared" si="0"/>
        <v>20</v>
      </c>
      <c r="O7" s="627">
        <f t="shared" si="8"/>
        <v>59</v>
      </c>
      <c r="P7" s="656">
        <f t="shared" si="9"/>
        <v>0.13235805490708635</v>
      </c>
      <c r="Q7" s="8">
        <f t="shared" si="1"/>
        <v>0.47060370147895486</v>
      </c>
      <c r="R7" s="657">
        <f t="shared" si="1"/>
        <v>1.784936771583691</v>
      </c>
      <c r="S7" s="656">
        <f t="shared" si="2"/>
        <v>0.1168871050402399</v>
      </c>
      <c r="T7" s="8">
        <f t="shared" si="2"/>
        <v>0.32000715148865649</v>
      </c>
      <c r="U7" s="657">
        <f t="shared" si="2"/>
        <v>0.64092542056840418</v>
      </c>
      <c r="V7" s="656">
        <f t="shared" si="3"/>
        <v>0.1168871050402399</v>
      </c>
      <c r="W7" s="8">
        <f t="shared" si="10"/>
        <v>0.20312004644841658</v>
      </c>
      <c r="X7" s="8">
        <f t="shared" si="10"/>
        <v>0.32091826907974769</v>
      </c>
      <c r="Y7" s="657">
        <f t="shared" si="4"/>
        <v>0.35907457943159582</v>
      </c>
      <c r="Z7" s="656">
        <f t="shared" si="11"/>
        <v>6.8963391973741537</v>
      </c>
      <c r="AA7" s="8">
        <f t="shared" si="5"/>
        <v>11.984082740456579</v>
      </c>
      <c r="AB7" s="8">
        <f t="shared" si="5"/>
        <v>18.934177875705114</v>
      </c>
      <c r="AC7" s="657">
        <f t="shared" si="5"/>
        <v>21.185400186464154</v>
      </c>
      <c r="AD7" s="8">
        <f t="shared" si="12"/>
        <v>-79.846549013456126</v>
      </c>
      <c r="AE7">
        <f t="shared" si="13"/>
        <v>73.339147617354215</v>
      </c>
      <c r="AG7" s="533">
        <v>0.2443252979472737</v>
      </c>
      <c r="AH7" s="544">
        <v>0.20916181018870461</v>
      </c>
      <c r="AI7" s="541">
        <v>0.28405421896069605</v>
      </c>
    </row>
    <row r="8" spans="1:38">
      <c r="A8" s="533">
        <v>0</v>
      </c>
      <c r="B8" s="1078">
        <v>3</v>
      </c>
      <c r="C8" s="533">
        <v>5</v>
      </c>
      <c r="D8" s="1171">
        <v>7</v>
      </c>
      <c r="E8" s="1171">
        <v>16</v>
      </c>
      <c r="F8" s="541">
        <v>16</v>
      </c>
      <c r="G8" s="544">
        <f t="shared" si="6"/>
        <v>44</v>
      </c>
      <c r="I8">
        <f t="shared" si="7"/>
        <v>0</v>
      </c>
      <c r="J8">
        <f t="shared" si="7"/>
        <v>3</v>
      </c>
      <c r="K8" s="656">
        <f t="shared" si="0"/>
        <v>5</v>
      </c>
      <c r="L8" s="8">
        <f t="shared" si="0"/>
        <v>7</v>
      </c>
      <c r="M8" s="8">
        <f t="shared" si="0"/>
        <v>16</v>
      </c>
      <c r="N8" s="8">
        <f t="shared" si="0"/>
        <v>16</v>
      </c>
      <c r="O8" s="627">
        <f t="shared" si="8"/>
        <v>44</v>
      </c>
      <c r="P8" s="656">
        <f t="shared" si="9"/>
        <v>0.16898941594523426</v>
      </c>
      <c r="Q8" s="8">
        <f t="shared" si="1"/>
        <v>0.5800870345764273</v>
      </c>
      <c r="R8" s="657">
        <f t="shared" si="1"/>
        <v>2.3712973524759233</v>
      </c>
      <c r="S8" s="656">
        <f t="shared" si="2"/>
        <v>0.1445602617441929</v>
      </c>
      <c r="T8" s="8">
        <f t="shared" si="2"/>
        <v>0.36712346970933202</v>
      </c>
      <c r="U8" s="657">
        <f t="shared" si="2"/>
        <v>0.70337828573157823</v>
      </c>
      <c r="V8" s="656">
        <f t="shared" si="3"/>
        <v>0.1445602617441929</v>
      </c>
      <c r="W8" s="8">
        <f t="shared" si="10"/>
        <v>0.22256320796513912</v>
      </c>
      <c r="X8" s="8">
        <f t="shared" si="10"/>
        <v>0.33625481602224622</v>
      </c>
      <c r="Y8" s="657">
        <f t="shared" si="4"/>
        <v>0.29662171426842177</v>
      </c>
      <c r="Z8" s="656">
        <f t="shared" si="11"/>
        <v>6.3606515167444879</v>
      </c>
      <c r="AA8" s="8">
        <f t="shared" si="5"/>
        <v>9.7927811504661211</v>
      </c>
      <c r="AB8" s="8">
        <f t="shared" si="5"/>
        <v>14.795211904978833</v>
      </c>
      <c r="AC8" s="657">
        <f t="shared" si="5"/>
        <v>13.051355427810558</v>
      </c>
      <c r="AD8" s="8">
        <f t="shared" si="12"/>
        <v>-57.071041737507322</v>
      </c>
      <c r="AE8">
        <f t="shared" si="13"/>
        <v>50.660897833348074</v>
      </c>
      <c r="AK8" t="s">
        <v>2099</v>
      </c>
      <c r="AL8" s="1138">
        <f>2*(AL6-AL5)</f>
        <v>13.688161387360196</v>
      </c>
    </row>
    <row r="9" spans="1:38">
      <c r="A9" s="656">
        <v>1</v>
      </c>
      <c r="B9" s="8">
        <v>0</v>
      </c>
      <c r="C9" s="656">
        <v>4</v>
      </c>
      <c r="D9" s="8">
        <v>8</v>
      </c>
      <c r="E9" s="8">
        <v>11</v>
      </c>
      <c r="F9" s="657">
        <v>25</v>
      </c>
      <c r="G9" s="627">
        <f t="shared" si="6"/>
        <v>48</v>
      </c>
      <c r="I9">
        <f t="shared" si="7"/>
        <v>1</v>
      </c>
      <c r="J9">
        <f t="shared" si="7"/>
        <v>0</v>
      </c>
      <c r="K9" s="656">
        <f t="shared" si="0"/>
        <v>4</v>
      </c>
      <c r="L9" s="8">
        <f t="shared" si="0"/>
        <v>8</v>
      </c>
      <c r="M9" s="8">
        <f t="shared" si="0"/>
        <v>11</v>
      </c>
      <c r="N9" s="8">
        <f t="shared" si="0"/>
        <v>25</v>
      </c>
      <c r="O9" s="627">
        <f t="shared" si="8"/>
        <v>48</v>
      </c>
      <c r="P9" s="656">
        <f t="shared" si="9"/>
        <v>0.10918198184667949</v>
      </c>
      <c r="Q9" s="8">
        <f t="shared" si="1"/>
        <v>0.45436447472718744</v>
      </c>
      <c r="R9" s="657">
        <f t="shared" si="1"/>
        <v>1.4556442169669139</v>
      </c>
      <c r="S9" s="656">
        <f t="shared" si="2"/>
        <v>9.8434687574803698E-2</v>
      </c>
      <c r="T9" s="8">
        <f t="shared" si="2"/>
        <v>0.31241444811309632</v>
      </c>
      <c r="U9" s="657">
        <f t="shared" si="2"/>
        <v>0.5927748844516455</v>
      </c>
      <c r="V9" s="656">
        <f t="shared" si="3"/>
        <v>9.8434687574803698E-2</v>
      </c>
      <c r="W9" s="8">
        <f t="shared" si="10"/>
        <v>0.21397976053829262</v>
      </c>
      <c r="X9" s="8">
        <f t="shared" si="10"/>
        <v>0.28036043633854918</v>
      </c>
      <c r="Y9" s="657">
        <f t="shared" si="4"/>
        <v>0.4072251155483545</v>
      </c>
      <c r="Z9" s="656">
        <f t="shared" si="11"/>
        <v>4.7248650035905779</v>
      </c>
      <c r="AA9" s="8">
        <f t="shared" si="5"/>
        <v>10.271028505838046</v>
      </c>
      <c r="AB9" s="8">
        <f t="shared" si="5"/>
        <v>13.45730094425036</v>
      </c>
      <c r="AC9" s="657">
        <f t="shared" si="5"/>
        <v>19.546805546321018</v>
      </c>
      <c r="AD9" s="8">
        <f t="shared" si="12"/>
        <v>-58.056638812833256</v>
      </c>
      <c r="AE9">
        <f t="shared" si="13"/>
        <v>51.385353846286648</v>
      </c>
      <c r="AK9" t="s">
        <v>186</v>
      </c>
      <c r="AL9" s="946">
        <f>COUNT(M5:O5)</f>
        <v>3</v>
      </c>
    </row>
    <row r="10" spans="1:38">
      <c r="A10" s="656">
        <v>1</v>
      </c>
      <c r="B10" s="8">
        <v>1</v>
      </c>
      <c r="C10" s="656">
        <v>8</v>
      </c>
      <c r="D10" s="66">
        <v>14</v>
      </c>
      <c r="E10" s="66">
        <v>20</v>
      </c>
      <c r="F10" s="657">
        <v>18</v>
      </c>
      <c r="G10" s="627">
        <f t="shared" si="6"/>
        <v>60</v>
      </c>
      <c r="I10">
        <f t="shared" si="7"/>
        <v>1</v>
      </c>
      <c r="J10">
        <f t="shared" si="7"/>
        <v>1</v>
      </c>
      <c r="K10" s="656">
        <f t="shared" si="0"/>
        <v>8</v>
      </c>
      <c r="L10" s="8">
        <f t="shared" si="0"/>
        <v>14</v>
      </c>
      <c r="M10" s="8">
        <f t="shared" si="0"/>
        <v>20</v>
      </c>
      <c r="N10" s="8">
        <f t="shared" si="0"/>
        <v>18</v>
      </c>
      <c r="O10" s="627">
        <f t="shared" si="8"/>
        <v>60</v>
      </c>
      <c r="P10" s="656">
        <f t="shared" si="9"/>
        <v>0.13939914240176479</v>
      </c>
      <c r="Q10" s="8">
        <f t="shared" si="1"/>
        <v>0.56006984206255117</v>
      </c>
      <c r="R10" s="657">
        <f t="shared" si="1"/>
        <v>1.9338305607194937</v>
      </c>
      <c r="S10" s="656">
        <f t="shared" si="2"/>
        <v>0.12234443331940924</v>
      </c>
      <c r="T10" s="8">
        <f t="shared" si="2"/>
        <v>0.35900305676192612</v>
      </c>
      <c r="U10" s="657">
        <f t="shared" si="2"/>
        <v>0.6591486865707884</v>
      </c>
      <c r="V10" s="656">
        <f t="shared" si="3"/>
        <v>0.12234443331940924</v>
      </c>
      <c r="W10" s="8">
        <f t="shared" si="10"/>
        <v>0.23665862344251687</v>
      </c>
      <c r="X10" s="8">
        <f t="shared" si="10"/>
        <v>0.30014562980886228</v>
      </c>
      <c r="Y10" s="657">
        <f t="shared" si="4"/>
        <v>0.3408513134292116</v>
      </c>
      <c r="Z10" s="656">
        <f t="shared" si="11"/>
        <v>7.3406659991645542</v>
      </c>
      <c r="AA10" s="8">
        <f t="shared" si="5"/>
        <v>14.199517406551012</v>
      </c>
      <c r="AB10" s="8">
        <f t="shared" si="5"/>
        <v>18.008737788531736</v>
      </c>
      <c r="AC10" s="657">
        <f t="shared" si="5"/>
        <v>20.451078805752697</v>
      </c>
      <c r="AD10" s="8">
        <f t="shared" si="12"/>
        <v>-80.426542564549123</v>
      </c>
      <c r="AE10">
        <f t="shared" si="13"/>
        <v>74.101287669401145</v>
      </c>
      <c r="AK10" t="s">
        <v>200</v>
      </c>
      <c r="AL10" s="946">
        <f>CHIDIST(AL8,AL9)</f>
        <v>3.3618644242074279E-3</v>
      </c>
    </row>
    <row r="11" spans="1:38">
      <c r="A11" s="656">
        <v>1</v>
      </c>
      <c r="B11" s="8">
        <v>2</v>
      </c>
      <c r="C11" s="656">
        <v>10</v>
      </c>
      <c r="D11" s="66">
        <v>15</v>
      </c>
      <c r="E11" s="66">
        <v>16</v>
      </c>
      <c r="F11" s="657">
        <v>12</v>
      </c>
      <c r="G11" s="627">
        <f t="shared" si="6"/>
        <v>53</v>
      </c>
      <c r="I11">
        <f t="shared" si="7"/>
        <v>1</v>
      </c>
      <c r="J11">
        <f t="shared" si="7"/>
        <v>2</v>
      </c>
      <c r="K11" s="656">
        <f t="shared" si="0"/>
        <v>10</v>
      </c>
      <c r="L11" s="8">
        <f t="shared" si="0"/>
        <v>15</v>
      </c>
      <c r="M11" s="8">
        <f t="shared" si="0"/>
        <v>16</v>
      </c>
      <c r="N11" s="8">
        <f t="shared" si="0"/>
        <v>12</v>
      </c>
      <c r="O11" s="627">
        <f t="shared" si="8"/>
        <v>53</v>
      </c>
      <c r="P11" s="656">
        <f t="shared" si="9"/>
        <v>0.17797919192962955</v>
      </c>
      <c r="Q11" s="8">
        <f t="shared" si="1"/>
        <v>0.69036697505083733</v>
      </c>
      <c r="R11" s="657">
        <f t="shared" si="1"/>
        <v>2.5691034897009266</v>
      </c>
      <c r="S11" s="656">
        <f t="shared" si="2"/>
        <v>0.15108857028118178</v>
      </c>
      <c r="T11" s="8">
        <f t="shared" si="2"/>
        <v>0.40841248394010699</v>
      </c>
      <c r="U11" s="657">
        <f t="shared" si="2"/>
        <v>0.71981759484262109</v>
      </c>
      <c r="V11" s="656">
        <f t="shared" si="3"/>
        <v>0.15108857028118178</v>
      </c>
      <c r="W11" s="8">
        <f t="shared" si="10"/>
        <v>0.25732391365892521</v>
      </c>
      <c r="X11" s="8">
        <f t="shared" si="10"/>
        <v>0.3114051109025141</v>
      </c>
      <c r="Y11" s="657">
        <f t="shared" si="4"/>
        <v>0.28018240515737891</v>
      </c>
      <c r="Z11" s="656">
        <f t="shared" si="11"/>
        <v>8.0076942249026342</v>
      </c>
      <c r="AA11" s="8">
        <f t="shared" si="5"/>
        <v>13.638167423923036</v>
      </c>
      <c r="AB11" s="8">
        <f t="shared" si="5"/>
        <v>16.504470877833249</v>
      </c>
      <c r="AC11" s="657">
        <f t="shared" si="5"/>
        <v>14.849667473341082</v>
      </c>
      <c r="AD11" s="8">
        <f t="shared" si="12"/>
        <v>-73.194527912395827</v>
      </c>
      <c r="AE11">
        <f t="shared" si="13"/>
        <v>66.668369657971951</v>
      </c>
      <c r="AK11" t="s">
        <v>337</v>
      </c>
      <c r="AL11" s="946">
        <v>0.05</v>
      </c>
    </row>
    <row r="12" spans="1:38">
      <c r="A12" s="533">
        <v>1</v>
      </c>
      <c r="B12" s="1078">
        <v>3</v>
      </c>
      <c r="C12" s="533">
        <v>5</v>
      </c>
      <c r="D12" s="1078">
        <v>14</v>
      </c>
      <c r="E12" s="1078">
        <v>12</v>
      </c>
      <c r="F12" s="541">
        <v>8</v>
      </c>
      <c r="G12" s="544">
        <f t="shared" si="6"/>
        <v>39</v>
      </c>
      <c r="I12">
        <f>A11</f>
        <v>1</v>
      </c>
      <c r="J12">
        <f t="shared" si="7"/>
        <v>3</v>
      </c>
      <c r="K12" s="533">
        <f t="shared" si="0"/>
        <v>5</v>
      </c>
      <c r="L12" s="1078">
        <v>11</v>
      </c>
      <c r="M12" s="1078">
        <f t="shared" si="0"/>
        <v>12</v>
      </c>
      <c r="N12" s="1078">
        <f t="shared" si="0"/>
        <v>8</v>
      </c>
      <c r="O12" s="544">
        <f t="shared" si="8"/>
        <v>36</v>
      </c>
      <c r="P12" s="533">
        <f t="shared" si="9"/>
        <v>0.22723664015541961</v>
      </c>
      <c r="Q12" s="1078">
        <f t="shared" si="1"/>
        <v>0.85097701116285751</v>
      </c>
      <c r="R12" s="541">
        <f t="shared" si="1"/>
        <v>3.4130667261447138</v>
      </c>
      <c r="S12" s="533">
        <f t="shared" si="2"/>
        <v>0.1851612254068962</v>
      </c>
      <c r="T12" s="1078">
        <f t="shared" si="2"/>
        <v>0.45974477588365065</v>
      </c>
      <c r="U12" s="541">
        <f t="shared" si="2"/>
        <v>0.7734002085045274</v>
      </c>
      <c r="V12" s="533">
        <f t="shared" si="3"/>
        <v>0.1851612254068962</v>
      </c>
      <c r="W12" s="1078">
        <f t="shared" si="10"/>
        <v>0.27458355047675442</v>
      </c>
      <c r="X12" s="1078">
        <f t="shared" si="10"/>
        <v>0.31365543262087675</v>
      </c>
      <c r="Y12" s="541">
        <f t="shared" si="4"/>
        <v>0.2265997914954726</v>
      </c>
      <c r="Z12" s="533">
        <f t="shared" si="11"/>
        <v>6.6658041146482629</v>
      </c>
      <c r="AA12" s="1078">
        <f t="shared" si="5"/>
        <v>9.8850078171631601</v>
      </c>
      <c r="AB12" s="1078">
        <f t="shared" si="5"/>
        <v>11.291595574351563</v>
      </c>
      <c r="AC12" s="541">
        <f t="shared" si="5"/>
        <v>8.1575924938370132</v>
      </c>
      <c r="AD12" s="8">
        <f t="shared" si="12"/>
        <v>-48.440220056541897</v>
      </c>
      <c r="AE12">
        <f t="shared" si="13"/>
        <v>42.838077555080133</v>
      </c>
      <c r="AK12" t="s">
        <v>948</v>
      </c>
      <c r="AL12" s="1074" t="str">
        <f>IF(AL10&lt;AL11,"yes","no")</f>
        <v>yes</v>
      </c>
    </row>
    <row r="13" spans="1:38">
      <c r="C13">
        <f>SUM(C5:C12)</f>
        <v>50</v>
      </c>
      <c r="D13">
        <f>SUM(D5:D12)</f>
        <v>93</v>
      </c>
      <c r="E13">
        <f>SUM(E5:E12)</f>
        <v>126</v>
      </c>
      <c r="F13">
        <f>SUM(F5:F12)</f>
        <v>151</v>
      </c>
      <c r="G13">
        <f t="shared" si="6"/>
        <v>420</v>
      </c>
      <c r="I13" s="1152"/>
      <c r="J13" s="1152"/>
      <c r="K13" s="1152">
        <f>SUM(K5:K12)</f>
        <v>50</v>
      </c>
      <c r="L13" s="1152">
        <f>SUM(L5:L12)</f>
        <v>90</v>
      </c>
      <c r="M13" s="1152">
        <f>SUM(M5:M12)</f>
        <v>126</v>
      </c>
      <c r="N13" s="1152">
        <f>SUM(N5:N12)</f>
        <v>151</v>
      </c>
      <c r="O13" s="1152">
        <f>SUM(O5:O12)</f>
        <v>417</v>
      </c>
      <c r="S13" s="1152"/>
      <c r="T13" s="8"/>
      <c r="Z13" s="1152">
        <f t="shared" ref="Z13:AE13" si="14">SUM(Z5:Z12)</f>
        <v>49.968881106796765</v>
      </c>
      <c r="AA13" s="1152">
        <f t="shared" si="14"/>
        <v>89.974532911797183</v>
      </c>
      <c r="AB13" s="1152">
        <f t="shared" si="14"/>
        <v>126.08480361932786</v>
      </c>
      <c r="AC13" s="1152">
        <f t="shared" si="14"/>
        <v>150.97178236207819</v>
      </c>
      <c r="AD13" s="1152">
        <f t="shared" si="14"/>
        <v>-541.38807756034907</v>
      </c>
      <c r="AE13" s="1152">
        <f t="shared" si="14"/>
        <v>490.85578297806825</v>
      </c>
    </row>
    <row r="14" spans="1:38">
      <c r="AK14" t="s">
        <v>2096</v>
      </c>
      <c r="AL14" s="1138">
        <f>1-(AL6-AE13)/(AL5-AE13)</f>
        <v>1.248390958216794E-2</v>
      </c>
    </row>
    <row r="15" spans="1:38">
      <c r="AK15" t="s">
        <v>2097</v>
      </c>
      <c r="AL15" s="946">
        <f>1-EXP((-2/O13)*(AL6-AL5))</f>
        <v>3.2292422852984837E-2</v>
      </c>
    </row>
    <row r="16" spans="1:38">
      <c r="A16" t="s">
        <v>2964</v>
      </c>
      <c r="AK16" t="s">
        <v>2098</v>
      </c>
      <c r="AL16" s="1073">
        <f>AL15/(1-EXP(2*(AL5-AE13)/O13))</f>
        <v>3.4802405060209256E-2</v>
      </c>
    </row>
    <row r="18" spans="1:15">
      <c r="A18" s="19" t="s">
        <v>3067</v>
      </c>
      <c r="B18" s="19" t="s">
        <v>3068</v>
      </c>
      <c r="C18">
        <v>1</v>
      </c>
      <c r="D18">
        <v>2</v>
      </c>
      <c r="E18">
        <v>3</v>
      </c>
      <c r="F18">
        <v>4</v>
      </c>
    </row>
    <row r="19" spans="1:15">
      <c r="A19" s="1067">
        <v>1</v>
      </c>
      <c r="B19" s="1068">
        <v>2</v>
      </c>
      <c r="C19" s="1067" t="e">
        <f t="array" aca="1" ref="C19:F19" ca="1">[1]!OLogitPredC(A19:B19,$AG$5:$AI$7)</f>
        <v>#NAME?</v>
      </c>
      <c r="D19" s="1068" t="e">
        <f ca="1"/>
        <v>#NAME?</v>
      </c>
      <c r="E19" s="1068" t="e">
        <f ca="1"/>
        <v>#NAME?</v>
      </c>
      <c r="F19" s="1071" t="e">
        <f ca="1"/>
        <v>#NAME?</v>
      </c>
    </row>
    <row r="20" spans="1:15">
      <c r="A20" s="533">
        <v>1</v>
      </c>
      <c r="B20" s="1078">
        <v>2.5</v>
      </c>
      <c r="C20" s="533" t="e">
        <f t="array" aca="1" ref="C20:F20" ca="1">[1]!OLogitPredC(A20:B20,$AG$5:$AI$7)</f>
        <v>#NAME?</v>
      </c>
      <c r="D20" s="1078" t="e">
        <f ca="1"/>
        <v>#NAME?</v>
      </c>
      <c r="E20" s="1078" t="e">
        <f ca="1"/>
        <v>#NAME?</v>
      </c>
      <c r="F20" s="541" t="e">
        <f ca="1"/>
        <v>#NAME?</v>
      </c>
    </row>
    <row r="23" spans="1:15">
      <c r="A23" t="s">
        <v>3083</v>
      </c>
    </row>
    <row r="25" spans="1:15">
      <c r="A25" s="19" t="s">
        <v>3067</v>
      </c>
      <c r="B25" s="19" t="s">
        <v>3068</v>
      </c>
      <c r="C25">
        <v>1</v>
      </c>
      <c r="D25">
        <v>2</v>
      </c>
      <c r="E25">
        <v>3</v>
      </c>
      <c r="F25">
        <v>4</v>
      </c>
      <c r="G25" s="19" t="s">
        <v>3069</v>
      </c>
      <c r="I25" t="e">
        <f t="array" aca="1" ref="I25:L28" ca="1">[1]!MLogitCoeff(A25:F33,3,TRUE,TRUE)</f>
        <v>#NAME?</v>
      </c>
      <c r="J25" t="e">
        <f ca="1"/>
        <v>#NAME?</v>
      </c>
      <c r="K25" t="e">
        <f ca="1"/>
        <v>#NAME?</v>
      </c>
      <c r="L25" t="e">
        <f ca="1"/>
        <v>#NAME?</v>
      </c>
      <c r="N25" t="e">
        <f t="array" aca="1" ref="N25:O29" ca="1">[1]!MLogitTest(A26:F33,3,TRUE)</f>
        <v>#NAME?</v>
      </c>
      <c r="O25" s="1156" t="e">
        <f ca="1"/>
        <v>#NAME?</v>
      </c>
    </row>
    <row r="26" spans="1:15">
      <c r="A26" s="1067">
        <v>0</v>
      </c>
      <c r="B26" s="1152">
        <v>0</v>
      </c>
      <c r="C26" s="1067">
        <v>3</v>
      </c>
      <c r="D26" s="1152">
        <v>9</v>
      </c>
      <c r="E26" s="1152">
        <v>18</v>
      </c>
      <c r="F26" s="1071">
        <v>24</v>
      </c>
      <c r="G26" s="1156">
        <f>SUM(C26:F26)</f>
        <v>54</v>
      </c>
      <c r="I26" t="e">
        <f ca="1"/>
        <v>#NAME?</v>
      </c>
      <c r="J26" s="1067" t="e">
        <f ca="1"/>
        <v>#NAME?</v>
      </c>
      <c r="K26" s="1068" t="e">
        <f ca="1"/>
        <v>#NAME?</v>
      </c>
      <c r="L26" s="1071" t="e">
        <f ca="1"/>
        <v>#NAME?</v>
      </c>
      <c r="N26" t="e">
        <f ca="1"/>
        <v>#NAME?</v>
      </c>
      <c r="O26" s="627" t="e">
        <f ca="1"/>
        <v>#NAME?</v>
      </c>
    </row>
    <row r="27" spans="1:15">
      <c r="A27" s="656">
        <v>0</v>
      </c>
      <c r="B27" s="8">
        <v>1</v>
      </c>
      <c r="C27" s="656">
        <v>6</v>
      </c>
      <c r="D27" s="8">
        <v>13</v>
      </c>
      <c r="E27" s="8">
        <v>16</v>
      </c>
      <c r="F27" s="657">
        <v>28</v>
      </c>
      <c r="G27" s="627">
        <f t="shared" ref="G27:G34" si="15">SUM(C27:F27)</f>
        <v>63</v>
      </c>
      <c r="I27" t="e">
        <f ca="1"/>
        <v>#NAME?</v>
      </c>
      <c r="J27" s="656" t="e">
        <f ca="1"/>
        <v>#NAME?</v>
      </c>
      <c r="K27" s="8" t="e">
        <f ca="1"/>
        <v>#NAME?</v>
      </c>
      <c r="L27" s="657" t="e">
        <f ca="1"/>
        <v>#NAME?</v>
      </c>
      <c r="N27" t="e">
        <f ca="1"/>
        <v>#NAME?</v>
      </c>
      <c r="O27" s="627" t="e">
        <f ca="1"/>
        <v>#NAME?</v>
      </c>
    </row>
    <row r="28" spans="1:15">
      <c r="A28" s="656">
        <v>0</v>
      </c>
      <c r="B28" s="8">
        <v>2</v>
      </c>
      <c r="C28" s="656">
        <v>9</v>
      </c>
      <c r="D28" s="66">
        <v>13</v>
      </c>
      <c r="E28" s="66">
        <v>17</v>
      </c>
      <c r="F28" s="657">
        <v>20</v>
      </c>
      <c r="G28" s="627">
        <f t="shared" si="15"/>
        <v>59</v>
      </c>
      <c r="I28" t="e">
        <f ca="1"/>
        <v>#NAME?</v>
      </c>
      <c r="J28" s="533" t="e">
        <f ca="1"/>
        <v>#NAME?</v>
      </c>
      <c r="K28" s="1078" t="e">
        <f ca="1"/>
        <v>#NAME?</v>
      </c>
      <c r="L28" s="541" t="e">
        <f ca="1"/>
        <v>#NAME?</v>
      </c>
      <c r="N28" t="e">
        <f ca="1"/>
        <v>#NAME?</v>
      </c>
      <c r="O28" s="627" t="e">
        <f ca="1"/>
        <v>#NAME?</v>
      </c>
    </row>
    <row r="29" spans="1:15">
      <c r="A29" s="533">
        <v>0</v>
      </c>
      <c r="B29" s="1078">
        <v>3</v>
      </c>
      <c r="C29" s="533">
        <v>5</v>
      </c>
      <c r="D29" s="1171">
        <v>7</v>
      </c>
      <c r="E29" s="1171">
        <v>16</v>
      </c>
      <c r="F29" s="541">
        <v>16</v>
      </c>
      <c r="G29" s="544">
        <f t="shared" si="15"/>
        <v>44</v>
      </c>
      <c r="N29" t="e">
        <f ca="1"/>
        <v>#NAME?</v>
      </c>
      <c r="O29" s="544" t="e">
        <f ca="1"/>
        <v>#NAME?</v>
      </c>
    </row>
    <row r="30" spans="1:15">
      <c r="A30" s="656">
        <v>1</v>
      </c>
      <c r="B30" s="8">
        <v>0</v>
      </c>
      <c r="C30" s="656">
        <v>4</v>
      </c>
      <c r="D30" s="8">
        <v>8</v>
      </c>
      <c r="E30" s="8">
        <v>11</v>
      </c>
      <c r="F30" s="657">
        <v>25</v>
      </c>
      <c r="G30" s="627">
        <f t="shared" si="15"/>
        <v>48</v>
      </c>
    </row>
    <row r="31" spans="1:15">
      <c r="A31" s="656">
        <v>1</v>
      </c>
      <c r="B31" s="8">
        <v>1</v>
      </c>
      <c r="C31" s="656">
        <v>8</v>
      </c>
      <c r="D31" s="66">
        <v>14</v>
      </c>
      <c r="E31" s="66">
        <v>20</v>
      </c>
      <c r="F31" s="657">
        <v>18</v>
      </c>
      <c r="G31" s="627">
        <f t="shared" si="15"/>
        <v>60</v>
      </c>
      <c r="I31" s="19" t="s">
        <v>3067</v>
      </c>
      <c r="J31" s="19" t="s">
        <v>3068</v>
      </c>
      <c r="K31">
        <v>1</v>
      </c>
      <c r="L31">
        <v>2</v>
      </c>
      <c r="M31">
        <v>3</v>
      </c>
      <c r="N31">
        <v>4</v>
      </c>
    </row>
    <row r="32" spans="1:15">
      <c r="A32" s="656">
        <v>1</v>
      </c>
      <c r="B32" s="8">
        <v>2</v>
      </c>
      <c r="C32" s="656">
        <v>10</v>
      </c>
      <c r="D32" s="66">
        <v>15</v>
      </c>
      <c r="E32" s="66">
        <v>16</v>
      </c>
      <c r="F32" s="657">
        <v>12</v>
      </c>
      <c r="G32" s="627">
        <f t="shared" si="15"/>
        <v>53</v>
      </c>
      <c r="I32" s="1067">
        <v>1</v>
      </c>
      <c r="J32" s="1068">
        <v>2</v>
      </c>
      <c r="K32" s="1067" t="e">
        <f t="array" aca="1" ref="K32:N32" ca="1">[1]!MLogitPredC(I32:J32,$J$26:$L$28)</f>
        <v>#NAME?</v>
      </c>
      <c r="L32" s="1068" t="e">
        <f ca="1"/>
        <v>#NAME?</v>
      </c>
      <c r="M32" s="1068" t="e">
        <f ca="1"/>
        <v>#NAME?</v>
      </c>
      <c r="N32" s="1071" t="e">
        <f ca="1"/>
        <v>#NAME?</v>
      </c>
    </row>
    <row r="33" spans="1:14">
      <c r="A33" s="533">
        <v>1</v>
      </c>
      <c r="B33" s="1078">
        <v>3</v>
      </c>
      <c r="C33" s="533">
        <v>5</v>
      </c>
      <c r="D33" s="1078">
        <v>14</v>
      </c>
      <c r="E33" s="1078">
        <v>12</v>
      </c>
      <c r="F33" s="541">
        <v>8</v>
      </c>
      <c r="G33" s="544">
        <f t="shared" si="15"/>
        <v>39</v>
      </c>
      <c r="I33" s="533">
        <v>1</v>
      </c>
      <c r="J33" s="1078">
        <v>2.5</v>
      </c>
      <c r="K33" s="533" t="e">
        <f t="array" aca="1" ref="K33:N33" ca="1">[1]!MLogitPredC(I33:J33,$J$26:$L$28)</f>
        <v>#NAME?</v>
      </c>
      <c r="L33" s="1078" t="e">
        <f ca="1"/>
        <v>#NAME?</v>
      </c>
      <c r="M33" s="1078" t="e">
        <f ca="1"/>
        <v>#NAME?</v>
      </c>
      <c r="N33" s="541" t="e">
        <f ca="1"/>
        <v>#NAME?</v>
      </c>
    </row>
    <row r="34" spans="1:14">
      <c r="C34">
        <f>SUM(C26:C33)</f>
        <v>50</v>
      </c>
      <c r="D34">
        <f>SUM(D26:D33)</f>
        <v>93</v>
      </c>
      <c r="E34">
        <f>SUM(E26:E33)</f>
        <v>126</v>
      </c>
      <c r="F34">
        <f>SUM(F26:F33)</f>
        <v>151</v>
      </c>
      <c r="G34">
        <f t="shared" si="15"/>
        <v>420</v>
      </c>
    </row>
  </sheetData>
  <mergeCells count="8">
    <mergeCell ref="AG3:AI3"/>
    <mergeCell ref="AD3:AE3"/>
    <mergeCell ref="I3:J3"/>
    <mergeCell ref="K3:O3"/>
    <mergeCell ref="P3:R3"/>
    <mergeCell ref="S3:U3"/>
    <mergeCell ref="V3:Y3"/>
    <mergeCell ref="Z3:AC3"/>
  </mergeCells>
  <pageMargins left="0.7" right="0.7" top="0.75" bottom="0.75" header="0.3" footer="0.3"/>
  <ignoredErrors>
    <ignoredError sqref="G5:G12 C13:F13 G26 C34:F34 G27:G33" formulaRange="1"/>
  </ignoredErrors>
</worksheet>
</file>

<file path=xl/worksheets/sheet258.xml><?xml version="1.0" encoding="utf-8"?>
<worksheet xmlns="http://schemas.openxmlformats.org/spreadsheetml/2006/main" xmlns:r="http://schemas.openxmlformats.org/officeDocument/2006/relationships">
  <sheetPr codeName="Sheet279"/>
  <dimension ref="A1:AL16"/>
  <sheetViews>
    <sheetView workbookViewId="0"/>
  </sheetViews>
  <sheetFormatPr defaultRowHeight="14.4"/>
  <sheetData>
    <row r="1" spans="1:38">
      <c r="A1" s="1" t="s">
        <v>3065</v>
      </c>
    </row>
    <row r="2" spans="1:38">
      <c r="A2" s="25" t="s">
        <v>3073</v>
      </c>
    </row>
    <row r="3" spans="1:38" ht="15" thickBot="1">
      <c r="I3" s="1587" t="s">
        <v>3012</v>
      </c>
      <c r="J3" s="1587"/>
      <c r="K3" s="1587" t="s">
        <v>357</v>
      </c>
      <c r="L3" s="1587"/>
      <c r="M3" s="1587"/>
      <c r="N3" s="1587"/>
      <c r="O3" s="1587"/>
      <c r="P3" s="1587" t="s">
        <v>381</v>
      </c>
      <c r="Q3" s="1587"/>
      <c r="R3" s="1587"/>
      <c r="S3" s="1587" t="s">
        <v>3066</v>
      </c>
      <c r="T3" s="1587"/>
      <c r="U3" s="1587"/>
      <c r="V3" s="1587" t="s">
        <v>3014</v>
      </c>
      <c r="W3" s="1587"/>
      <c r="X3" s="1587"/>
      <c r="Y3" s="1587"/>
      <c r="Z3" s="1587" t="s">
        <v>3013</v>
      </c>
      <c r="AA3" s="1587"/>
      <c r="AB3" s="1587"/>
      <c r="AC3" s="1587"/>
      <c r="AD3" s="1587" t="s">
        <v>3011</v>
      </c>
      <c r="AE3" s="1587"/>
      <c r="AG3" s="1552" t="s">
        <v>699</v>
      </c>
      <c r="AH3" s="1552"/>
      <c r="AI3" s="1552"/>
    </row>
    <row r="4" spans="1:38" ht="15" thickTop="1">
      <c r="A4" s="19" t="s">
        <v>3067</v>
      </c>
      <c r="B4" s="19" t="s">
        <v>3068</v>
      </c>
      <c r="C4">
        <v>1</v>
      </c>
      <c r="D4">
        <v>2</v>
      </c>
      <c r="E4">
        <v>3</v>
      </c>
      <c r="F4">
        <v>4</v>
      </c>
      <c r="G4" s="19" t="s">
        <v>3069</v>
      </c>
      <c r="I4" s="1151" t="str">
        <f t="shared" ref="I4:N12" si="0">A4</f>
        <v>gender</v>
      </c>
      <c r="J4" s="1151" t="str">
        <f t="shared" si="0"/>
        <v>age</v>
      </c>
      <c r="K4" s="1151">
        <f t="shared" si="0"/>
        <v>1</v>
      </c>
      <c r="L4" s="1151">
        <f t="shared" si="0"/>
        <v>2</v>
      </c>
      <c r="M4" s="1151">
        <f t="shared" si="0"/>
        <v>3</v>
      </c>
      <c r="N4" s="1151">
        <f t="shared" si="0"/>
        <v>4</v>
      </c>
      <c r="O4" s="1151" t="s">
        <v>12</v>
      </c>
      <c r="P4" s="1151">
        <f>K4</f>
        <v>1</v>
      </c>
      <c r="Q4" s="1151">
        <f>L4</f>
        <v>2</v>
      </c>
      <c r="R4" s="1151">
        <f>M4</f>
        <v>3</v>
      </c>
      <c r="S4" s="1151">
        <f>K4</f>
        <v>1</v>
      </c>
      <c r="T4" s="1151">
        <f>L4</f>
        <v>2</v>
      </c>
      <c r="U4" s="1151">
        <f>M4</f>
        <v>3</v>
      </c>
      <c r="V4" s="1151">
        <f>K4</f>
        <v>1</v>
      </c>
      <c r="W4" s="1151">
        <f>L4</f>
        <v>2</v>
      </c>
      <c r="X4" s="1151">
        <f>M4</f>
        <v>3</v>
      </c>
      <c r="Y4" s="1151">
        <f>N4</f>
        <v>4</v>
      </c>
      <c r="Z4" s="1151">
        <f>V4</f>
        <v>1</v>
      </c>
      <c r="AA4" s="1151">
        <f>W4</f>
        <v>2</v>
      </c>
      <c r="AB4" s="1151">
        <f>X4</f>
        <v>3</v>
      </c>
      <c r="AC4" s="1151">
        <f>Y4</f>
        <v>4</v>
      </c>
      <c r="AD4" s="1151" t="s">
        <v>1982</v>
      </c>
      <c r="AE4" s="1151" t="s">
        <v>2972</v>
      </c>
    </row>
    <row r="5" spans="1:38">
      <c r="A5" s="1067">
        <v>0</v>
      </c>
      <c r="B5" s="1152">
        <v>0</v>
      </c>
      <c r="C5" s="1067">
        <v>3</v>
      </c>
      <c r="D5" s="1152">
        <v>9</v>
      </c>
      <c r="E5" s="1152">
        <v>18</v>
      </c>
      <c r="F5" s="1071">
        <v>24</v>
      </c>
      <c r="G5" s="1156">
        <f>SUM(C5:F5)</f>
        <v>54</v>
      </c>
      <c r="I5">
        <f>A5</f>
        <v>0</v>
      </c>
      <c r="J5">
        <f>B5</f>
        <v>0</v>
      </c>
      <c r="K5" s="1067">
        <f t="shared" si="0"/>
        <v>3</v>
      </c>
      <c r="L5" s="1152">
        <f t="shared" si="0"/>
        <v>9</v>
      </c>
      <c r="M5" s="1152">
        <f t="shared" si="0"/>
        <v>18</v>
      </c>
      <c r="N5" s="1152">
        <f t="shared" si="0"/>
        <v>24</v>
      </c>
      <c r="O5" s="1156">
        <f>SUM(K5:N5)</f>
        <v>54</v>
      </c>
      <c r="P5" s="1067">
        <f>EXP(AG$5+MMULT($I5:$J5,AG$6:AG$7))</f>
        <v>7.7513721963037768E-2</v>
      </c>
      <c r="Q5" s="1152">
        <f t="shared" ref="Q5:R12" si="1">EXP(AH$5+MMULT($I5:$J5,AH$6:AH$7))</f>
        <v>0.29326995641695919</v>
      </c>
      <c r="R5" s="1071">
        <f t="shared" si="1"/>
        <v>1.0546743743487434</v>
      </c>
      <c r="S5" s="1067">
        <f t="shared" ref="S5:U12" si="2">P5/(1+P5)</f>
        <v>7.1937572935796681E-2</v>
      </c>
      <c r="T5" s="1152">
        <f t="shared" si="2"/>
        <v>0.2267662331146019</v>
      </c>
      <c r="U5" s="1071">
        <f t="shared" si="2"/>
        <v>0.51330487570958128</v>
      </c>
      <c r="V5" s="1067">
        <f t="shared" ref="V5:V12" si="3">S5</f>
        <v>7.1937572935796681E-2</v>
      </c>
      <c r="W5" s="1152">
        <f>T5-S5</f>
        <v>0.1548286601788052</v>
      </c>
      <c r="X5" s="1152">
        <f>U5-T5</f>
        <v>0.28653864259497941</v>
      </c>
      <c r="Y5" s="1071">
        <f t="shared" ref="Y5:Y12" si="4">1-U5</f>
        <v>0.48669512429041872</v>
      </c>
      <c r="Z5" s="1067">
        <f>V5*$O5</f>
        <v>3.8846289385330208</v>
      </c>
      <c r="AA5" s="1152">
        <f t="shared" ref="AA5:AC12" si="5">W5*$O5</f>
        <v>8.3607476496554813</v>
      </c>
      <c r="AB5" s="1152">
        <f t="shared" si="5"/>
        <v>15.473086700128889</v>
      </c>
      <c r="AC5" s="1071">
        <f t="shared" si="5"/>
        <v>26.281536711682612</v>
      </c>
      <c r="AD5" s="8">
        <f>SUMPRODUCT(K5:N5,LN(V5:Y5))</f>
        <v>-64.465486310781188</v>
      </c>
      <c r="AE5">
        <f>GAMMALN(O5+1)-SUMPRODUCT(GAMMALN(K5:N5+1))</f>
        <v>58.546350707740302</v>
      </c>
      <c r="AG5" s="1067">
        <f>AG9</f>
        <v>-2.5573003007080963</v>
      </c>
      <c r="AH5" s="1156">
        <f>AG10</f>
        <v>-1.2266617411912726</v>
      </c>
      <c r="AI5" s="1071">
        <f>AG11</f>
        <v>5.3232069379439778E-2</v>
      </c>
      <c r="AK5" t="s">
        <v>1981</v>
      </c>
      <c r="AL5" s="1138">
        <f>SUMPRODUCT(K13:N13,LN(K13:N13/O13))+AE13</f>
        <v>-57.376375275960925</v>
      </c>
    </row>
    <row r="6" spans="1:38">
      <c r="A6" s="656">
        <v>0</v>
      </c>
      <c r="B6" s="8">
        <v>1</v>
      </c>
      <c r="C6" s="656">
        <v>6</v>
      </c>
      <c r="D6" s="8">
        <v>13</v>
      </c>
      <c r="E6" s="8">
        <v>16</v>
      </c>
      <c r="F6" s="657">
        <v>28</v>
      </c>
      <c r="G6" s="627">
        <f t="shared" ref="G6:G13" si="6">SUM(C6:F6)</f>
        <v>63</v>
      </c>
      <c r="I6">
        <f t="shared" ref="I6:J12" si="7">A6</f>
        <v>0</v>
      </c>
      <c r="J6">
        <f t="shared" si="7"/>
        <v>1</v>
      </c>
      <c r="K6" s="656">
        <f t="shared" si="0"/>
        <v>6</v>
      </c>
      <c r="L6" s="8">
        <f t="shared" si="0"/>
        <v>13</v>
      </c>
      <c r="M6" s="8">
        <f t="shared" si="0"/>
        <v>16</v>
      </c>
      <c r="N6" s="8">
        <f t="shared" si="0"/>
        <v>28</v>
      </c>
      <c r="O6" s="627">
        <f t="shared" ref="O6:O12" si="8">SUM(K6:N6)</f>
        <v>63</v>
      </c>
      <c r="P6" s="656">
        <f t="shared" ref="P6:P12" si="9">EXP(AG$5+MMULT($I6:$J6,AG$6:AG$7))</f>
        <v>9.9664477531013942E-2</v>
      </c>
      <c r="Q6" s="8">
        <f t="shared" si="1"/>
        <v>0.37707642262072066</v>
      </c>
      <c r="R6" s="657">
        <f t="shared" si="1"/>
        <v>1.3560640338615102</v>
      </c>
      <c r="S6" s="656">
        <f t="shared" si="2"/>
        <v>9.0631715007092328E-2</v>
      </c>
      <c r="T6" s="8">
        <f t="shared" si="2"/>
        <v>0.27382388981949507</v>
      </c>
      <c r="U6" s="657">
        <f t="shared" si="2"/>
        <v>0.57556331847185271</v>
      </c>
      <c r="V6" s="656">
        <f t="shared" si="3"/>
        <v>9.0631715007092328E-2</v>
      </c>
      <c r="W6" s="8">
        <f t="shared" ref="W6:X12" si="10">T6-S6</f>
        <v>0.18319217481240274</v>
      </c>
      <c r="X6" s="8">
        <f t="shared" si="10"/>
        <v>0.30173942865235764</v>
      </c>
      <c r="Y6" s="657">
        <f t="shared" si="4"/>
        <v>0.42443668152814729</v>
      </c>
      <c r="Z6" s="656">
        <f t="shared" ref="Z6:Z12" si="11">V6*$O6</f>
        <v>5.7097980454468171</v>
      </c>
      <c r="AA6" s="8">
        <f t="shared" si="5"/>
        <v>11.541107013181373</v>
      </c>
      <c r="AB6" s="8">
        <f t="shared" si="5"/>
        <v>19.009584005098532</v>
      </c>
      <c r="AC6" s="657">
        <f t="shared" si="5"/>
        <v>26.73951093627328</v>
      </c>
      <c r="AD6" s="8">
        <f t="shared" ref="AD6:AD12" si="12">SUMPRODUCT(K6:N6,LN(V6:Y6))</f>
        <v>-79.636412166522845</v>
      </c>
      <c r="AE6">
        <f t="shared" ref="AE6:AE12" si="13">GAMMALN(O6+1)-SUMPRODUCT(GAMMALN(K6:N6+1))</f>
        <v>73.31629809088578</v>
      </c>
      <c r="AG6" s="656">
        <f>AG12</f>
        <v>0.359829201031168</v>
      </c>
      <c r="AH6" s="627">
        <f>AG6</f>
        <v>0.359829201031168</v>
      </c>
      <c r="AI6" s="657">
        <f>AG6</f>
        <v>0.359829201031168</v>
      </c>
      <c r="AK6" t="s">
        <v>2084</v>
      </c>
      <c r="AL6" s="1073">
        <f>AD13+AE13</f>
        <v>-50.90825410028134</v>
      </c>
    </row>
    <row r="7" spans="1:38">
      <c r="A7" s="656">
        <v>0</v>
      </c>
      <c r="B7" s="8">
        <v>2</v>
      </c>
      <c r="C7" s="656">
        <v>9</v>
      </c>
      <c r="D7" s="66">
        <v>13</v>
      </c>
      <c r="E7" s="66">
        <v>17</v>
      </c>
      <c r="F7" s="657">
        <v>20</v>
      </c>
      <c r="G7" s="627">
        <f t="shared" si="6"/>
        <v>59</v>
      </c>
      <c r="I7">
        <f t="shared" si="7"/>
        <v>0</v>
      </c>
      <c r="J7">
        <f t="shared" si="7"/>
        <v>2</v>
      </c>
      <c r="K7" s="656">
        <f t="shared" si="0"/>
        <v>9</v>
      </c>
      <c r="L7" s="8">
        <f t="shared" si="0"/>
        <v>13</v>
      </c>
      <c r="M7" s="8">
        <f t="shared" si="0"/>
        <v>17</v>
      </c>
      <c r="N7" s="8">
        <f t="shared" si="0"/>
        <v>20</v>
      </c>
      <c r="O7" s="627">
        <f t="shared" si="8"/>
        <v>59</v>
      </c>
      <c r="P7" s="656">
        <f t="shared" si="9"/>
        <v>0.12814515714090616</v>
      </c>
      <c r="Q7" s="8">
        <f t="shared" si="1"/>
        <v>0.48483189425065149</v>
      </c>
      <c r="R7" s="657">
        <f t="shared" si="1"/>
        <v>1.7435804914367705</v>
      </c>
      <c r="S7" s="656">
        <f t="shared" si="2"/>
        <v>0.11358924543510736</v>
      </c>
      <c r="T7" s="8">
        <f t="shared" si="2"/>
        <v>0.32652308731240653</v>
      </c>
      <c r="U7" s="657">
        <f t="shared" si="2"/>
        <v>0.63551278953863843</v>
      </c>
      <c r="V7" s="656">
        <f t="shared" si="3"/>
        <v>0.11358924543510736</v>
      </c>
      <c r="W7" s="8">
        <f t="shared" si="10"/>
        <v>0.21293384187729919</v>
      </c>
      <c r="X7" s="8">
        <f t="shared" si="10"/>
        <v>0.3089897022262319</v>
      </c>
      <c r="Y7" s="657">
        <f t="shared" si="4"/>
        <v>0.36448721046136157</v>
      </c>
      <c r="Z7" s="656">
        <f t="shared" si="11"/>
        <v>6.7017654806713338</v>
      </c>
      <c r="AA7" s="8">
        <f t="shared" si="5"/>
        <v>12.563096670760652</v>
      </c>
      <c r="AB7" s="8">
        <f t="shared" si="5"/>
        <v>18.230392431347681</v>
      </c>
      <c r="AC7" s="657">
        <f t="shared" si="5"/>
        <v>21.504745417220331</v>
      </c>
      <c r="AD7" s="8">
        <f t="shared" si="12"/>
        <v>-79.835437858220416</v>
      </c>
      <c r="AE7">
        <f t="shared" si="13"/>
        <v>73.339147617354215</v>
      </c>
      <c r="AG7" s="533">
        <f>AG13</f>
        <v>0.25135434163554471</v>
      </c>
      <c r="AH7" s="544">
        <f>AG7</f>
        <v>0.25135434163554471</v>
      </c>
      <c r="AI7" s="541">
        <f>AG7</f>
        <v>0.25135434163554471</v>
      </c>
    </row>
    <row r="8" spans="1:38">
      <c r="A8" s="533">
        <v>0</v>
      </c>
      <c r="B8" s="1078">
        <v>3</v>
      </c>
      <c r="C8" s="533">
        <v>5</v>
      </c>
      <c r="D8" s="1171">
        <v>7</v>
      </c>
      <c r="E8" s="1171">
        <v>16</v>
      </c>
      <c r="F8" s="541">
        <v>16</v>
      </c>
      <c r="G8" s="544">
        <f t="shared" si="6"/>
        <v>44</v>
      </c>
      <c r="I8">
        <f t="shared" si="7"/>
        <v>0</v>
      </c>
      <c r="J8">
        <f t="shared" si="7"/>
        <v>3</v>
      </c>
      <c r="K8" s="656">
        <f t="shared" si="0"/>
        <v>5</v>
      </c>
      <c r="L8" s="8">
        <f t="shared" si="0"/>
        <v>7</v>
      </c>
      <c r="M8" s="8">
        <f t="shared" si="0"/>
        <v>16</v>
      </c>
      <c r="N8" s="8">
        <f t="shared" si="0"/>
        <v>16</v>
      </c>
      <c r="O8" s="627">
        <f t="shared" si="8"/>
        <v>44</v>
      </c>
      <c r="P8" s="656">
        <f t="shared" si="9"/>
        <v>0.16476463535924846</v>
      </c>
      <c r="Q8" s="8">
        <f t="shared" si="1"/>
        <v>0.62338017330537299</v>
      </c>
      <c r="R8" s="657">
        <f t="shared" si="1"/>
        <v>2.2418358235355735</v>
      </c>
      <c r="S8" s="656">
        <f t="shared" si="2"/>
        <v>0.14145745016410985</v>
      </c>
      <c r="T8" s="8">
        <f t="shared" si="2"/>
        <v>0.38400134703881794</v>
      </c>
      <c r="U8" s="657">
        <f t="shared" si="2"/>
        <v>0.69153280596751765</v>
      </c>
      <c r="V8" s="656">
        <f t="shared" si="3"/>
        <v>0.14145745016410985</v>
      </c>
      <c r="W8" s="8">
        <f t="shared" si="10"/>
        <v>0.24254389687470809</v>
      </c>
      <c r="X8" s="8">
        <f t="shared" si="10"/>
        <v>0.30753145892869971</v>
      </c>
      <c r="Y8" s="657">
        <f t="shared" si="4"/>
        <v>0.30846719403248235</v>
      </c>
      <c r="Z8" s="656">
        <f t="shared" si="11"/>
        <v>6.2241278072208335</v>
      </c>
      <c r="AA8" s="8">
        <f t="shared" si="5"/>
        <v>10.671931462487157</v>
      </c>
      <c r="AB8" s="8">
        <f t="shared" si="5"/>
        <v>13.531384192862788</v>
      </c>
      <c r="AC8" s="657">
        <f t="shared" si="5"/>
        <v>13.572556537429223</v>
      </c>
      <c r="AD8" s="8">
        <f t="shared" si="12"/>
        <v>-57.379872300821063</v>
      </c>
      <c r="AE8">
        <f t="shared" si="13"/>
        <v>50.660897833348074</v>
      </c>
      <c r="AK8" t="s">
        <v>2099</v>
      </c>
      <c r="AL8" s="1138">
        <f>2*(AL6-AL5)</f>
        <v>12.936242351359169</v>
      </c>
    </row>
    <row r="9" spans="1:38">
      <c r="A9" s="656">
        <v>1</v>
      </c>
      <c r="B9" s="8">
        <v>0</v>
      </c>
      <c r="C9" s="656">
        <v>4</v>
      </c>
      <c r="D9" s="8">
        <v>8</v>
      </c>
      <c r="E9" s="8">
        <v>11</v>
      </c>
      <c r="F9" s="657">
        <v>25</v>
      </c>
      <c r="G9" s="627">
        <f t="shared" si="6"/>
        <v>48</v>
      </c>
      <c r="I9">
        <f t="shared" si="7"/>
        <v>1</v>
      </c>
      <c r="J9">
        <f t="shared" si="7"/>
        <v>0</v>
      </c>
      <c r="K9" s="656">
        <f t="shared" si="0"/>
        <v>4</v>
      </c>
      <c r="L9" s="8">
        <f t="shared" si="0"/>
        <v>8</v>
      </c>
      <c r="M9" s="8">
        <f t="shared" si="0"/>
        <v>11</v>
      </c>
      <c r="N9" s="8">
        <f t="shared" si="0"/>
        <v>25</v>
      </c>
      <c r="O9" s="627">
        <f t="shared" si="8"/>
        <v>48</v>
      </c>
      <c r="P9" s="656">
        <f t="shared" si="9"/>
        <v>0.11108372311593628</v>
      </c>
      <c r="Q9" s="8">
        <f t="shared" si="1"/>
        <v>0.42028066530437935</v>
      </c>
      <c r="R9" s="657">
        <f t="shared" si="1"/>
        <v>1.5114376295012031</v>
      </c>
      <c r="S9" s="656">
        <f t="shared" si="2"/>
        <v>9.9977815177070342E-2</v>
      </c>
      <c r="T9" s="8">
        <f t="shared" si="2"/>
        <v>0.2959138116650411</v>
      </c>
      <c r="U9" s="657">
        <f t="shared" si="2"/>
        <v>0.60182168641050027</v>
      </c>
      <c r="V9" s="656">
        <f t="shared" si="3"/>
        <v>9.9977815177070342E-2</v>
      </c>
      <c r="W9" s="8">
        <f t="shared" si="10"/>
        <v>0.19593599648797078</v>
      </c>
      <c r="X9" s="8">
        <f t="shared" si="10"/>
        <v>0.30590787474545916</v>
      </c>
      <c r="Y9" s="657">
        <f t="shared" si="4"/>
        <v>0.39817831358949973</v>
      </c>
      <c r="Z9" s="656">
        <f t="shared" si="11"/>
        <v>4.7989351284993766</v>
      </c>
      <c r="AA9" s="8">
        <f t="shared" si="5"/>
        <v>9.4049278314225973</v>
      </c>
      <c r="AB9" s="8">
        <f t="shared" si="5"/>
        <v>14.683577987782041</v>
      </c>
      <c r="AC9" s="657">
        <f t="shared" si="5"/>
        <v>19.112559052295985</v>
      </c>
      <c r="AD9" s="8">
        <f t="shared" si="12"/>
        <v>-58.30153352273453</v>
      </c>
      <c r="AE9">
        <f t="shared" si="13"/>
        <v>51.385353846286648</v>
      </c>
      <c r="AG9" s="1156">
        <v>-2.5573003007080963</v>
      </c>
      <c r="AH9" t="s">
        <v>302</v>
      </c>
      <c r="AK9" t="s">
        <v>186</v>
      </c>
      <c r="AL9" s="946">
        <f>COUNT(M5:O5)</f>
        <v>3</v>
      </c>
    </row>
    <row r="10" spans="1:38">
      <c r="A10" s="656">
        <v>1</v>
      </c>
      <c r="B10" s="8">
        <v>1</v>
      </c>
      <c r="C10" s="656">
        <v>8</v>
      </c>
      <c r="D10" s="66">
        <v>14</v>
      </c>
      <c r="E10" s="66">
        <v>20</v>
      </c>
      <c r="F10" s="657">
        <v>18</v>
      </c>
      <c r="G10" s="627">
        <f t="shared" si="6"/>
        <v>60</v>
      </c>
      <c r="I10">
        <f t="shared" si="7"/>
        <v>1</v>
      </c>
      <c r="J10">
        <f t="shared" si="7"/>
        <v>1</v>
      </c>
      <c r="K10" s="656">
        <f t="shared" si="0"/>
        <v>8</v>
      </c>
      <c r="L10" s="8">
        <f t="shared" si="0"/>
        <v>14</v>
      </c>
      <c r="M10" s="8">
        <f t="shared" si="0"/>
        <v>20</v>
      </c>
      <c r="N10" s="8">
        <f t="shared" si="0"/>
        <v>18</v>
      </c>
      <c r="O10" s="627">
        <f t="shared" si="8"/>
        <v>60</v>
      </c>
      <c r="P10" s="656">
        <f t="shared" si="9"/>
        <v>0.14282763033658519</v>
      </c>
      <c r="Q10" s="8">
        <f t="shared" si="1"/>
        <v>0.54038242343622256</v>
      </c>
      <c r="R10" s="657">
        <f t="shared" si="1"/>
        <v>1.9433545164659018</v>
      </c>
      <c r="S10" s="656">
        <f t="shared" si="2"/>
        <v>0.12497740389293847</v>
      </c>
      <c r="T10" s="8">
        <f t="shared" si="2"/>
        <v>0.35081056185434739</v>
      </c>
      <c r="U10" s="657">
        <f t="shared" si="2"/>
        <v>0.660251595787821</v>
      </c>
      <c r="V10" s="656">
        <f t="shared" si="3"/>
        <v>0.12497740389293847</v>
      </c>
      <c r="W10" s="8">
        <f t="shared" si="10"/>
        <v>0.2258331579614089</v>
      </c>
      <c r="X10" s="8">
        <f t="shared" si="10"/>
        <v>0.30944103393347361</v>
      </c>
      <c r="Y10" s="657">
        <f t="shared" si="4"/>
        <v>0.339748404212179</v>
      </c>
      <c r="Z10" s="656">
        <f t="shared" si="11"/>
        <v>7.4986442335763082</v>
      </c>
      <c r="AA10" s="8">
        <f t="shared" si="5"/>
        <v>13.549989477684534</v>
      </c>
      <c r="AB10" s="8">
        <f t="shared" si="5"/>
        <v>18.566462036008417</v>
      </c>
      <c r="AC10" s="657">
        <f t="shared" si="5"/>
        <v>20.384904252730742</v>
      </c>
      <c r="AD10" s="8">
        <f t="shared" si="12"/>
        <v>-80.360054816051502</v>
      </c>
      <c r="AE10">
        <f t="shared" si="13"/>
        <v>74.101287669401145</v>
      </c>
      <c r="AG10" s="627">
        <v>-1.2266617411912726</v>
      </c>
      <c r="AH10" t="s">
        <v>303</v>
      </c>
      <c r="AK10" t="s">
        <v>200</v>
      </c>
      <c r="AL10" s="946">
        <f>CHIDIST(AL8,AL9)</f>
        <v>4.7765334289079329E-3</v>
      </c>
    </row>
    <row r="11" spans="1:38">
      <c r="A11" s="656">
        <v>1</v>
      </c>
      <c r="B11" s="8">
        <v>2</v>
      </c>
      <c r="C11" s="656">
        <v>10</v>
      </c>
      <c r="D11" s="66">
        <v>15</v>
      </c>
      <c r="E11" s="66">
        <v>16</v>
      </c>
      <c r="F11" s="657">
        <v>12</v>
      </c>
      <c r="G11" s="627">
        <f t="shared" si="6"/>
        <v>53</v>
      </c>
      <c r="I11">
        <f t="shared" si="7"/>
        <v>1</v>
      </c>
      <c r="J11">
        <f t="shared" si="7"/>
        <v>2</v>
      </c>
      <c r="K11" s="656">
        <f t="shared" si="0"/>
        <v>10</v>
      </c>
      <c r="L11" s="8">
        <f t="shared" si="0"/>
        <v>15</v>
      </c>
      <c r="M11" s="8">
        <f t="shared" si="0"/>
        <v>16</v>
      </c>
      <c r="N11" s="8">
        <f t="shared" si="0"/>
        <v>12</v>
      </c>
      <c r="O11" s="627">
        <f t="shared" si="8"/>
        <v>53</v>
      </c>
      <c r="P11" s="656">
        <f t="shared" si="9"/>
        <v>0.18364285437456362</v>
      </c>
      <c r="Q11" s="8">
        <f t="shared" si="1"/>
        <v>0.69480513301110491</v>
      </c>
      <c r="R11" s="657">
        <f t="shared" si="1"/>
        <v>2.4986983934724201</v>
      </c>
      <c r="S11" s="656">
        <f t="shared" si="2"/>
        <v>0.15515056226280385</v>
      </c>
      <c r="T11" s="8">
        <f t="shared" si="2"/>
        <v>0.40996166431043746</v>
      </c>
      <c r="U11" s="657">
        <f t="shared" si="2"/>
        <v>0.71417942116253386</v>
      </c>
      <c r="V11" s="656">
        <f t="shared" si="3"/>
        <v>0.15515056226280385</v>
      </c>
      <c r="W11" s="8">
        <f t="shared" si="10"/>
        <v>0.25481110204763358</v>
      </c>
      <c r="X11" s="8">
        <f t="shared" si="10"/>
        <v>0.3042177568520964</v>
      </c>
      <c r="Y11" s="657">
        <f t="shared" si="4"/>
        <v>0.28582057883746614</v>
      </c>
      <c r="Z11" s="656">
        <f t="shared" si="11"/>
        <v>8.2229797999286038</v>
      </c>
      <c r="AA11" s="8">
        <f t="shared" si="5"/>
        <v>13.504988408524579</v>
      </c>
      <c r="AB11" s="8">
        <f t="shared" si="5"/>
        <v>16.12354111316111</v>
      </c>
      <c r="AC11" s="657">
        <f t="shared" si="5"/>
        <v>15.148490678385706</v>
      </c>
      <c r="AD11" s="8">
        <f t="shared" si="12"/>
        <v>-73.21096100829746</v>
      </c>
      <c r="AE11">
        <f t="shared" si="13"/>
        <v>66.668369657971951</v>
      </c>
      <c r="AG11" s="544">
        <v>5.3232069379439778E-2</v>
      </c>
      <c r="AH11" t="s">
        <v>304</v>
      </c>
      <c r="AK11" t="s">
        <v>337</v>
      </c>
      <c r="AL11" s="946">
        <v>0.05</v>
      </c>
    </row>
    <row r="12" spans="1:38">
      <c r="A12" s="533">
        <v>1</v>
      </c>
      <c r="B12" s="1078">
        <v>3</v>
      </c>
      <c r="C12" s="533">
        <v>5</v>
      </c>
      <c r="D12" s="1078">
        <v>14</v>
      </c>
      <c r="E12" s="1078">
        <v>12</v>
      </c>
      <c r="F12" s="541">
        <v>8</v>
      </c>
      <c r="G12" s="544">
        <f t="shared" si="6"/>
        <v>39</v>
      </c>
      <c r="I12">
        <f>A11</f>
        <v>1</v>
      </c>
      <c r="J12">
        <f t="shared" si="7"/>
        <v>3</v>
      </c>
      <c r="K12" s="533">
        <f t="shared" si="0"/>
        <v>5</v>
      </c>
      <c r="L12" s="1078">
        <v>11</v>
      </c>
      <c r="M12" s="1078">
        <f t="shared" si="0"/>
        <v>12</v>
      </c>
      <c r="N12" s="1078">
        <f t="shared" si="0"/>
        <v>8</v>
      </c>
      <c r="O12" s="544">
        <f t="shared" si="8"/>
        <v>36</v>
      </c>
      <c r="P12" s="533">
        <f t="shared" si="9"/>
        <v>0.23612166555842259</v>
      </c>
      <c r="Q12" s="1078">
        <f t="shared" si="1"/>
        <v>0.89335654144486654</v>
      </c>
      <c r="R12" s="541">
        <f t="shared" si="1"/>
        <v>3.2127404488686877</v>
      </c>
      <c r="S12" s="533">
        <f t="shared" si="2"/>
        <v>0.19101814338943227</v>
      </c>
      <c r="T12" s="1078">
        <f t="shared" si="2"/>
        <v>0.47183746002912075</v>
      </c>
      <c r="U12" s="541">
        <f t="shared" si="2"/>
        <v>0.76262482530378872</v>
      </c>
      <c r="V12" s="533">
        <f t="shared" si="3"/>
        <v>0.19101814338943227</v>
      </c>
      <c r="W12" s="1078">
        <f t="shared" si="10"/>
        <v>0.28081931663968851</v>
      </c>
      <c r="X12" s="1078">
        <f t="shared" si="10"/>
        <v>0.29078736527466797</v>
      </c>
      <c r="Y12" s="541">
        <f t="shared" si="4"/>
        <v>0.23737517469621128</v>
      </c>
      <c r="Z12" s="533">
        <f t="shared" si="11"/>
        <v>6.8766531620195614</v>
      </c>
      <c r="AA12" s="1078">
        <f t="shared" si="5"/>
        <v>10.109495399028786</v>
      </c>
      <c r="AB12" s="1078">
        <f t="shared" si="5"/>
        <v>10.468345149888048</v>
      </c>
      <c r="AC12" s="541">
        <f t="shared" si="5"/>
        <v>8.5455062890636064</v>
      </c>
      <c r="AD12" s="8">
        <f t="shared" si="12"/>
        <v>-48.574279094920605</v>
      </c>
      <c r="AE12">
        <f t="shared" si="13"/>
        <v>42.838077555080133</v>
      </c>
      <c r="AG12" s="1156">
        <v>0.359829201031168</v>
      </c>
      <c r="AH12" t="s">
        <v>788</v>
      </c>
      <c r="AK12" t="s">
        <v>948</v>
      </c>
      <c r="AL12" s="1074" t="str">
        <f>IF(AL10&lt;AL11,"yes","no")</f>
        <v>yes</v>
      </c>
    </row>
    <row r="13" spans="1:38">
      <c r="C13">
        <f>SUM(C5:C12)</f>
        <v>50</v>
      </c>
      <c r="D13">
        <f>SUM(D5:D12)</f>
        <v>93</v>
      </c>
      <c r="E13">
        <f>SUM(E5:E12)</f>
        <v>126</v>
      </c>
      <c r="F13">
        <f>SUM(F5:F12)</f>
        <v>151</v>
      </c>
      <c r="G13">
        <f t="shared" si="6"/>
        <v>420</v>
      </c>
      <c r="I13" s="1152"/>
      <c r="J13" s="1152"/>
      <c r="K13" s="1152">
        <f>SUM(K5:K12)</f>
        <v>50</v>
      </c>
      <c r="L13" s="1152">
        <f>SUM(L5:L12)</f>
        <v>90</v>
      </c>
      <c r="M13" s="1152">
        <f>SUM(M5:M12)</f>
        <v>126</v>
      </c>
      <c r="N13" s="1152">
        <f>SUM(N5:N12)</f>
        <v>151</v>
      </c>
      <c r="O13" s="1152">
        <f>SUM(O5:O12)</f>
        <v>417</v>
      </c>
      <c r="S13" s="1152"/>
      <c r="T13" s="8"/>
      <c r="Z13" s="1152">
        <f t="shared" ref="Z13:AE13" si="14">SUM(Z5:Z12)</f>
        <v>49.91753259589585</v>
      </c>
      <c r="AA13" s="1152">
        <f t="shared" si="14"/>
        <v>89.706283912745164</v>
      </c>
      <c r="AB13" s="1152">
        <f t="shared" si="14"/>
        <v>126.08637361627751</v>
      </c>
      <c r="AC13" s="1152">
        <f t="shared" si="14"/>
        <v>151.28980987508149</v>
      </c>
      <c r="AD13" s="1152">
        <f t="shared" si="14"/>
        <v>-541.76403707834959</v>
      </c>
      <c r="AE13" s="1152">
        <f t="shared" si="14"/>
        <v>490.85578297806825</v>
      </c>
      <c r="AG13" s="544">
        <v>0.25135434163554471</v>
      </c>
      <c r="AH13" t="s">
        <v>789</v>
      </c>
    </row>
    <row r="14" spans="1:38">
      <c r="AK14" t="s">
        <v>2096</v>
      </c>
      <c r="AL14" s="1138">
        <f>1-(AL6-AE13)/(AL5-AE13)</f>
        <v>1.1798142590319416E-2</v>
      </c>
    </row>
    <row r="15" spans="1:38">
      <c r="AK15" t="s">
        <v>2097</v>
      </c>
      <c r="AL15" s="946">
        <f>1-EXP((-2/O13)*(AL6-AL5))</f>
        <v>3.0545914057269807E-2</v>
      </c>
    </row>
    <row r="16" spans="1:38">
      <c r="AK16" t="s">
        <v>2098</v>
      </c>
      <c r="AL16" s="1073">
        <f>AL15/(1-EXP(2*(AL5-AE13)/O13))</f>
        <v>3.2920145967219754E-2</v>
      </c>
    </row>
  </sheetData>
  <mergeCells count="8">
    <mergeCell ref="Z3:AC3"/>
    <mergeCell ref="AD3:AE3"/>
    <mergeCell ref="AG3:AI3"/>
    <mergeCell ref="I3:J3"/>
    <mergeCell ref="K3:O3"/>
    <mergeCell ref="P3:R3"/>
    <mergeCell ref="S3:U3"/>
    <mergeCell ref="V3:Y3"/>
  </mergeCells>
  <pageMargins left="0.7" right="0.7" top="0.75" bottom="0.75" header="0.3" footer="0.3"/>
  <ignoredErrors>
    <ignoredError sqref="G5:G12 C13:F13" formulaRange="1"/>
  </ignoredErrors>
</worksheet>
</file>

<file path=xl/worksheets/sheet259.xml><?xml version="1.0" encoding="utf-8"?>
<worksheet xmlns="http://schemas.openxmlformats.org/spreadsheetml/2006/main" xmlns:r="http://schemas.openxmlformats.org/officeDocument/2006/relationships">
  <sheetPr codeName="Sheet132"/>
  <dimension ref="A1:U37"/>
  <sheetViews>
    <sheetView workbookViewId="0">
      <selection activeCell="R3" sqref="R3"/>
    </sheetView>
  </sheetViews>
  <sheetFormatPr defaultRowHeight="14.4"/>
  <cols>
    <col min="1" max="1" width="11.109375" customWidth="1"/>
    <col min="5" max="5" width="6.5546875" customWidth="1"/>
    <col min="6" max="6" width="10.44140625" customWidth="1"/>
    <col min="12" max="12" width="8.88671875" customWidth="1"/>
    <col min="18" max="18" width="10" customWidth="1"/>
  </cols>
  <sheetData>
    <row r="1" spans="1:21">
      <c r="A1" s="1" t="s">
        <v>1271</v>
      </c>
    </row>
    <row r="3" spans="1:21">
      <c r="A3" t="s">
        <v>1370</v>
      </c>
      <c r="R3" t="s">
        <v>1266</v>
      </c>
    </row>
    <row r="5" spans="1:21">
      <c r="B5" s="19" t="s">
        <v>360</v>
      </c>
      <c r="C5" s="19" t="s">
        <v>361</v>
      </c>
      <c r="D5" s="19" t="s">
        <v>12</v>
      </c>
      <c r="F5" s="477" t="s">
        <v>965</v>
      </c>
      <c r="G5" s="477" t="s">
        <v>989</v>
      </c>
      <c r="H5" s="477" t="s">
        <v>990</v>
      </c>
      <c r="I5" s="477" t="s">
        <v>1227</v>
      </c>
      <c r="J5" s="477" t="s">
        <v>1228</v>
      </c>
      <c r="K5" s="477" t="s">
        <v>759</v>
      </c>
      <c r="S5" s="19" t="s">
        <v>360</v>
      </c>
      <c r="T5" s="19" t="s">
        <v>361</v>
      </c>
      <c r="U5" s="19" t="s">
        <v>1246</v>
      </c>
    </row>
    <row r="6" spans="1:21">
      <c r="A6" t="s">
        <v>362</v>
      </c>
      <c r="B6" s="4">
        <v>31</v>
      </c>
      <c r="C6" s="6">
        <v>57</v>
      </c>
      <c r="D6">
        <f>SUM(B6:C6)</f>
        <v>88</v>
      </c>
      <c r="F6" s="486">
        <v>1</v>
      </c>
      <c r="G6" s="486">
        <v>1</v>
      </c>
      <c r="H6" s="486">
        <v>1</v>
      </c>
      <c r="I6" s="486">
        <f>G6*H6</f>
        <v>1</v>
      </c>
      <c r="J6">
        <f>B6</f>
        <v>31</v>
      </c>
      <c r="K6">
        <f>LN(J6)</f>
        <v>3.4339872044851463</v>
      </c>
      <c r="M6" s="19" t="s">
        <v>790</v>
      </c>
      <c r="N6" s="479">
        <f>K10/4</f>
        <v>3.4516898444605983</v>
      </c>
      <c r="P6" s="479">
        <f>EXP(N6)</f>
        <v>31.553668073397692</v>
      </c>
      <c r="R6" t="s">
        <v>362</v>
      </c>
      <c r="S6" s="4">
        <v>31</v>
      </c>
      <c r="T6" s="6">
        <v>57</v>
      </c>
      <c r="U6">
        <f>GEOMEAN(S6:T6)</f>
        <v>42.035699113967404</v>
      </c>
    </row>
    <row r="7" spans="1:21">
      <c r="A7" t="s">
        <v>363</v>
      </c>
      <c r="B7" s="10">
        <v>11</v>
      </c>
      <c r="C7" s="12">
        <v>51</v>
      </c>
      <c r="D7">
        <f>SUM(B7:C7)</f>
        <v>62</v>
      </c>
      <c r="F7" s="486">
        <f>F6+1</f>
        <v>2</v>
      </c>
      <c r="G7" s="486">
        <v>1</v>
      </c>
      <c r="H7" s="486">
        <v>-1</v>
      </c>
      <c r="I7" s="486">
        <f>G7*H7</f>
        <v>-1</v>
      </c>
      <c r="J7">
        <f>B7</f>
        <v>11</v>
      </c>
      <c r="K7">
        <f>LN(J7)</f>
        <v>2.3978952727983707</v>
      </c>
      <c r="M7" s="19" t="s">
        <v>788</v>
      </c>
      <c r="N7" s="376">
        <f>(K6+K7)/2-N6</f>
        <v>-0.53574860581883987</v>
      </c>
      <c r="P7" s="376">
        <f>EXP(N7)</f>
        <v>0.58523101877299288</v>
      </c>
      <c r="R7" t="s">
        <v>363</v>
      </c>
      <c r="S7" s="10">
        <v>11</v>
      </c>
      <c r="T7" s="12">
        <v>51</v>
      </c>
      <c r="U7">
        <f>GEOMEAN(S7:T7)</f>
        <v>23.685438564654024</v>
      </c>
    </row>
    <row r="8" spans="1:21">
      <c r="A8" t="s">
        <v>12</v>
      </c>
      <c r="B8">
        <f>SUM(B6:B7)</f>
        <v>42</v>
      </c>
      <c r="C8">
        <f>SUM(C6:C7)</f>
        <v>108</v>
      </c>
      <c r="D8">
        <f>SUM(D6:D7)</f>
        <v>150</v>
      </c>
      <c r="F8" s="486">
        <f>F7+1</f>
        <v>3</v>
      </c>
      <c r="G8" s="486">
        <v>-1</v>
      </c>
      <c r="H8" s="486">
        <v>1</v>
      </c>
      <c r="I8" s="486">
        <f>G8*H8</f>
        <v>-1</v>
      </c>
      <c r="J8">
        <f>C6</f>
        <v>57</v>
      </c>
      <c r="K8">
        <f>LN(J8)</f>
        <v>4.0430512678345503</v>
      </c>
      <c r="M8" s="19" t="s">
        <v>789</v>
      </c>
      <c r="N8" s="376">
        <f>(K6+K8)/2-N6</f>
        <v>0.28682939169924992</v>
      </c>
      <c r="P8" s="376">
        <f>EXP(N8)</f>
        <v>1.3321969102351976</v>
      </c>
      <c r="R8" t="s">
        <v>1246</v>
      </c>
      <c r="S8">
        <f>GEOMEAN(S6:S7)</f>
        <v>18.466185312619388</v>
      </c>
      <c r="T8">
        <f>GEOMEAN(T6:T7)</f>
        <v>53.916602266834289</v>
      </c>
      <c r="U8">
        <f>GEOMEAN(S6:T7)</f>
        <v>31.553668073397688</v>
      </c>
    </row>
    <row r="9" spans="1:21">
      <c r="F9" s="487">
        <f>F8+1</f>
        <v>4</v>
      </c>
      <c r="G9" s="487">
        <v>-1</v>
      </c>
      <c r="H9" s="487">
        <v>-1</v>
      </c>
      <c r="I9" s="487">
        <f>G9*H9</f>
        <v>1</v>
      </c>
      <c r="J9" s="11">
        <f>C7</f>
        <v>51</v>
      </c>
      <c r="K9" s="11">
        <f>LN(J9)</f>
        <v>3.9318256327243257</v>
      </c>
      <c r="M9" s="19" t="s">
        <v>802</v>
      </c>
      <c r="N9" s="268">
        <f>(K6+K9)/2-N6</f>
        <v>0.23121657414413743</v>
      </c>
      <c r="P9" s="268">
        <f>EXP(N9)</f>
        <v>1.2601321219343276</v>
      </c>
    </row>
    <row r="10" spans="1:21">
      <c r="A10" t="s">
        <v>1371</v>
      </c>
      <c r="F10" s="117"/>
      <c r="G10" s="117"/>
      <c r="H10" s="117"/>
      <c r="I10" s="117"/>
      <c r="J10" s="8"/>
      <c r="K10" s="66">
        <f>SUM(K6:K9)</f>
        <v>13.806759377842393</v>
      </c>
      <c r="M10" s="19"/>
      <c r="N10" s="8"/>
      <c r="P10" s="8"/>
      <c r="R10" t="s">
        <v>1267</v>
      </c>
    </row>
    <row r="12" spans="1:21">
      <c r="B12" s="19" t="s">
        <v>360</v>
      </c>
      <c r="C12" s="19" t="s">
        <v>361</v>
      </c>
      <c r="D12" s="19" t="s">
        <v>12</v>
      </c>
      <c r="F12" s="117"/>
      <c r="G12" s="117"/>
      <c r="H12" s="117"/>
      <c r="I12" s="117"/>
      <c r="J12" s="8"/>
      <c r="K12" s="8"/>
      <c r="M12" s="19"/>
      <c r="N12" s="8"/>
      <c r="P12" s="8"/>
      <c r="S12" s="19" t="s">
        <v>360</v>
      </c>
      <c r="T12" s="19" t="s">
        <v>361</v>
      </c>
      <c r="U12" s="19" t="s">
        <v>1246</v>
      </c>
    </row>
    <row r="13" spans="1:21">
      <c r="A13" t="s">
        <v>362</v>
      </c>
      <c r="B13" s="4">
        <f>LN(B6)</f>
        <v>3.4339872044851463</v>
      </c>
      <c r="C13" s="6">
        <f>LN(C6)</f>
        <v>4.0430512678345503</v>
      </c>
      <c r="D13">
        <f>SUM(B13:C13)</f>
        <v>7.4770384723196965</v>
      </c>
      <c r="F13" s="117"/>
      <c r="G13" s="117"/>
      <c r="H13" s="117"/>
      <c r="I13" s="117"/>
      <c r="J13" s="8"/>
      <c r="K13" s="8"/>
      <c r="M13" s="19"/>
      <c r="N13" s="8"/>
      <c r="P13" s="8"/>
      <c r="R13" t="s">
        <v>362</v>
      </c>
      <c r="S13" s="4">
        <f>LN(S6)</f>
        <v>3.4339872044851463</v>
      </c>
      <c r="T13" s="6">
        <f>LN(T6)</f>
        <v>4.0430512678345503</v>
      </c>
      <c r="U13">
        <f>AVERAGE(S13:T13)</f>
        <v>3.7385192361598483</v>
      </c>
    </row>
    <row r="14" spans="1:21">
      <c r="A14" t="s">
        <v>363</v>
      </c>
      <c r="B14" s="10">
        <f>LN(B7)</f>
        <v>2.3978952727983707</v>
      </c>
      <c r="C14" s="12">
        <f>LN(C7)</f>
        <v>3.9318256327243257</v>
      </c>
      <c r="D14">
        <f>SUM(B14:C14)</f>
        <v>6.3297209055226968</v>
      </c>
      <c r="F14" s="117"/>
      <c r="G14" s="117"/>
      <c r="H14" s="117"/>
      <c r="I14" s="117"/>
      <c r="J14" s="8"/>
      <c r="K14" s="8"/>
      <c r="M14" s="19"/>
      <c r="N14" s="8"/>
      <c r="P14" s="8"/>
      <c r="R14" t="s">
        <v>363</v>
      </c>
      <c r="S14" s="10">
        <f>LN(S7)</f>
        <v>2.3978952727983707</v>
      </c>
      <c r="T14" s="12">
        <f>LN(T7)</f>
        <v>3.9318256327243257</v>
      </c>
      <c r="U14">
        <f>AVERAGE(S14:T14)</f>
        <v>3.1648604527613484</v>
      </c>
    </row>
    <row r="15" spans="1:21">
      <c r="A15" t="s">
        <v>12</v>
      </c>
      <c r="B15">
        <f>SUM(B13:B14)</f>
        <v>5.8318824772835169</v>
      </c>
      <c r="C15">
        <f>SUM(C13:C14)</f>
        <v>7.9748769005588755</v>
      </c>
      <c r="D15">
        <f>SUM(D13:D14)</f>
        <v>13.806759377842393</v>
      </c>
      <c r="F15" s="117"/>
      <c r="G15" s="117"/>
      <c r="H15" s="117"/>
      <c r="I15" s="117"/>
      <c r="J15" s="8"/>
      <c r="K15" s="8"/>
      <c r="M15" s="19"/>
      <c r="N15" s="8"/>
      <c r="P15" s="8"/>
      <c r="R15" t="s">
        <v>1246</v>
      </c>
      <c r="S15">
        <f>AVERAGE(S13:S14)</f>
        <v>2.9159412386417585</v>
      </c>
      <c r="T15">
        <f>AVERAGE(T13:T14)</f>
        <v>3.9874384502794378</v>
      </c>
      <c r="U15">
        <f>AVERAGE(S13:T14)</f>
        <v>3.4516898444605983</v>
      </c>
    </row>
    <row r="16" spans="1:21">
      <c r="G16" s="117"/>
      <c r="H16" s="117"/>
      <c r="I16" s="117"/>
    </row>
    <row r="17" spans="1:19">
      <c r="A17" t="s">
        <v>1369</v>
      </c>
      <c r="F17" s="19"/>
    </row>
    <row r="19" spans="1:19">
      <c r="B19" s="19" t="s">
        <v>360</v>
      </c>
      <c r="C19" s="19" t="s">
        <v>361</v>
      </c>
      <c r="D19" s="19" t="s">
        <v>12</v>
      </c>
      <c r="F19" s="477" t="s">
        <v>965</v>
      </c>
      <c r="G19" s="477" t="s">
        <v>989</v>
      </c>
      <c r="H19" s="477" t="s">
        <v>990</v>
      </c>
      <c r="I19" s="477" t="s">
        <v>1227</v>
      </c>
      <c r="J19" s="477" t="s">
        <v>1228</v>
      </c>
      <c r="K19" s="477" t="s">
        <v>759</v>
      </c>
    </row>
    <row r="20" spans="1:19">
      <c r="A20" t="s">
        <v>362</v>
      </c>
      <c r="B20" s="474">
        <f>B8*D6/D8</f>
        <v>24.64</v>
      </c>
      <c r="C20" s="475">
        <f>C8*D6/D8</f>
        <v>63.36</v>
      </c>
      <c r="D20">
        <f>B20+C20</f>
        <v>88</v>
      </c>
      <c r="F20" s="539">
        <v>1</v>
      </c>
      <c r="G20" s="539">
        <v>1</v>
      </c>
      <c r="H20" s="539">
        <v>1</v>
      </c>
      <c r="I20" s="539">
        <f>G20*H20</f>
        <v>1</v>
      </c>
      <c r="J20">
        <f>B20</f>
        <v>24.64</v>
      </c>
      <c r="K20">
        <f>LN(J20)</f>
        <v>3.2043711386653189</v>
      </c>
      <c r="M20" s="19" t="s">
        <v>790</v>
      </c>
      <c r="N20" s="479">
        <f>K24/4</f>
        <v>3.5015007283691872</v>
      </c>
      <c r="P20" s="479">
        <f>EXP(N20)</f>
        <v>33.16518656663942</v>
      </c>
    </row>
    <row r="21" spans="1:19">
      <c r="A21" t="s">
        <v>363</v>
      </c>
      <c r="B21" s="10">
        <f>B8*D7/D8</f>
        <v>17.36</v>
      </c>
      <c r="C21" s="12">
        <f>C8*D7/D8</f>
        <v>44.64</v>
      </c>
      <c r="D21">
        <f>SUM(B21:C21)</f>
        <v>62</v>
      </c>
      <c r="F21" s="539">
        <f>F20+1</f>
        <v>2</v>
      </c>
      <c r="G21" s="539">
        <v>1</v>
      </c>
      <c r="H21" s="539">
        <v>-1</v>
      </c>
      <c r="I21" s="539">
        <f>G21*H21</f>
        <v>-1</v>
      </c>
      <c r="J21">
        <f>B21</f>
        <v>17.36</v>
      </c>
      <c r="K21">
        <f>LN(J21)</f>
        <v>2.8541687092322041</v>
      </c>
      <c r="M21" s="19" t="s">
        <v>788</v>
      </c>
      <c r="N21" s="376">
        <f>(K20+K21)/2-N20</f>
        <v>-0.47223080442042598</v>
      </c>
      <c r="P21" s="376">
        <f>EXP(N21)</f>
        <v>0.62360956446232341</v>
      </c>
    </row>
    <row r="22" spans="1:19">
      <c r="A22" t="s">
        <v>12</v>
      </c>
      <c r="B22">
        <f>SUM(B20:B21)</f>
        <v>42</v>
      </c>
      <c r="C22">
        <f>SUM(C20:C21)</f>
        <v>108</v>
      </c>
      <c r="D22">
        <f>SUM(D20:D21)</f>
        <v>150</v>
      </c>
      <c r="F22" s="539">
        <f>F21+1</f>
        <v>3</v>
      </c>
      <c r="G22" s="539">
        <v>-1</v>
      </c>
      <c r="H22" s="539">
        <v>1</v>
      </c>
      <c r="I22" s="539">
        <f>G22*H22</f>
        <v>-1</v>
      </c>
      <c r="J22">
        <f>C20</f>
        <v>63.36</v>
      </c>
      <c r="K22">
        <f>LN(J22)</f>
        <v>4.1488327475061704</v>
      </c>
      <c r="M22" s="19" t="s">
        <v>789</v>
      </c>
      <c r="N22" s="376">
        <f>(K20+K22)/2-N20</f>
        <v>0.17510121471655715</v>
      </c>
      <c r="P22" s="376">
        <f>EXP(N22)</f>
        <v>1.1913667943625408</v>
      </c>
    </row>
    <row r="23" spans="1:19">
      <c r="F23" s="540">
        <f>F22+1</f>
        <v>4</v>
      </c>
      <c r="G23" s="540">
        <v>-1</v>
      </c>
      <c r="H23" s="540">
        <v>-1</v>
      </c>
      <c r="I23" s="540">
        <f>G23*H23</f>
        <v>1</v>
      </c>
      <c r="J23" s="11">
        <f>C21</f>
        <v>44.64</v>
      </c>
      <c r="K23" s="11">
        <f>LN(J23)</f>
        <v>3.7986303180730556</v>
      </c>
      <c r="M23" s="19" t="s">
        <v>802</v>
      </c>
      <c r="N23" s="268">
        <f>(K20+K23)/2-N20</f>
        <v>0</v>
      </c>
      <c r="P23" s="268">
        <f>EXP(N23)</f>
        <v>1</v>
      </c>
    </row>
    <row r="24" spans="1:19">
      <c r="F24" s="539"/>
      <c r="G24" s="539"/>
      <c r="H24" s="539"/>
      <c r="I24" s="539"/>
      <c r="K24" s="66">
        <f>SUM(K20:K23)</f>
        <v>14.006002913476749</v>
      </c>
    </row>
    <row r="25" spans="1:19">
      <c r="F25" s="539"/>
      <c r="G25" s="539"/>
      <c r="H25" s="539"/>
      <c r="I25" s="539"/>
      <c r="K25" s="66"/>
    </row>
    <row r="26" spans="1:19">
      <c r="F26" s="126" t="s">
        <v>1372</v>
      </c>
      <c r="G26" s="539"/>
      <c r="H26" s="539"/>
      <c r="I26" s="539"/>
      <c r="K26" s="66"/>
    </row>
    <row r="28" spans="1:19">
      <c r="H28" s="1588" t="s">
        <v>703</v>
      </c>
      <c r="I28" s="1589"/>
      <c r="J28" s="1590"/>
      <c r="K28" s="1588" t="s">
        <v>1261</v>
      </c>
      <c r="L28" s="1589"/>
      <c r="M28" s="1590"/>
      <c r="N28" s="1588" t="s">
        <v>704</v>
      </c>
      <c r="O28" s="1590"/>
      <c r="R28" s="175" t="s">
        <v>346</v>
      </c>
      <c r="S28" s="523">
        <f>P34</f>
        <v>5.7250138911498212</v>
      </c>
    </row>
    <row r="29" spans="1:19">
      <c r="F29" s="516" t="s">
        <v>1269</v>
      </c>
      <c r="G29" s="529" t="s">
        <v>1268</v>
      </c>
      <c r="H29" s="505" t="s">
        <v>1259</v>
      </c>
      <c r="I29" s="506" t="s">
        <v>1258</v>
      </c>
      <c r="J29" s="507" t="s">
        <v>759</v>
      </c>
      <c r="K29" s="505" t="s">
        <v>1260</v>
      </c>
      <c r="L29" s="506" t="s">
        <v>1258</v>
      </c>
      <c r="M29" s="507" t="s">
        <v>1251</v>
      </c>
      <c r="N29" s="526" t="s">
        <v>704</v>
      </c>
      <c r="O29" s="527" t="s">
        <v>1270</v>
      </c>
      <c r="P29" s="511" t="s">
        <v>346</v>
      </c>
      <c r="R29" t="s">
        <v>186</v>
      </c>
      <c r="S29" s="376">
        <f>(COUNTA(A20:A21)-1)*(COUNTA(B19:C19)-1)</f>
        <v>1</v>
      </c>
    </row>
    <row r="30" spans="1:19">
      <c r="F30" s="522" t="s">
        <v>362</v>
      </c>
      <c r="G30" s="523" t="s">
        <v>360</v>
      </c>
      <c r="H30" s="522">
        <f>J6</f>
        <v>31</v>
      </c>
      <c r="I30" s="525">
        <f>H30/$H$34</f>
        <v>0.20666666666666667</v>
      </c>
      <c r="J30" s="524">
        <f>LN(H30)</f>
        <v>3.4339872044851463</v>
      </c>
      <c r="K30" s="522">
        <f>J20</f>
        <v>24.64</v>
      </c>
      <c r="L30" s="525">
        <f>K30/$H$34</f>
        <v>0.16426666666666667</v>
      </c>
      <c r="M30" s="524">
        <f>LN(K30)</f>
        <v>3.2043711386653189</v>
      </c>
      <c r="N30" s="522">
        <f>H30-K30</f>
        <v>6.3599999999999994</v>
      </c>
      <c r="O30" s="524">
        <f>N30/SQRT(K30)</f>
        <v>1.2812585128003544</v>
      </c>
      <c r="P30" s="376">
        <f>2*H30*(J30-M30)</f>
        <v>14.236196080829298</v>
      </c>
      <c r="R30" s="65" t="s">
        <v>157</v>
      </c>
      <c r="S30" s="376">
        <v>0.05</v>
      </c>
    </row>
    <row r="31" spans="1:19">
      <c r="F31" s="7" t="s">
        <v>363</v>
      </c>
      <c r="G31" s="376" t="s">
        <v>360</v>
      </c>
      <c r="H31" s="7">
        <f>J7</f>
        <v>11</v>
      </c>
      <c r="I31" s="508">
        <f>H31/$H$34</f>
        <v>7.3333333333333334E-2</v>
      </c>
      <c r="J31" s="9">
        <f>LN(H31)</f>
        <v>2.3978952727983707</v>
      </c>
      <c r="K31" s="7">
        <f>J21</f>
        <v>17.36</v>
      </c>
      <c r="L31" s="508">
        <f>K31/$H$34</f>
        <v>0.11573333333333333</v>
      </c>
      <c r="M31" s="9">
        <f>LN(K31)</f>
        <v>2.8541687092322041</v>
      </c>
      <c r="N31" s="7">
        <f>H31-K31</f>
        <v>-6.3599999999999994</v>
      </c>
      <c r="O31" s="9">
        <f>N31/SQRT(K31)</f>
        <v>-1.5264488471446753</v>
      </c>
      <c r="P31" s="376">
        <f>2*H31*(J31-M31)</f>
        <v>-10.038015601544336</v>
      </c>
      <c r="R31" s="175" t="s">
        <v>347</v>
      </c>
      <c r="S31" s="376">
        <f>CHIINV(S30,S29)</f>
        <v>3.8414588206941236</v>
      </c>
    </row>
    <row r="32" spans="1:19">
      <c r="F32" s="7" t="s">
        <v>362</v>
      </c>
      <c r="G32" s="376" t="s">
        <v>361</v>
      </c>
      <c r="H32" s="7">
        <f>J8</f>
        <v>57</v>
      </c>
      <c r="I32" s="508">
        <f>H32/$H$34</f>
        <v>0.38</v>
      </c>
      <c r="J32" s="9">
        <f>LN(H32)</f>
        <v>4.0430512678345503</v>
      </c>
      <c r="K32" s="7">
        <f>J22</f>
        <v>63.36</v>
      </c>
      <c r="L32" s="508">
        <f>K32/$H$34</f>
        <v>0.4224</v>
      </c>
      <c r="M32" s="9">
        <f>LN(K32)</f>
        <v>4.1488327475061704</v>
      </c>
      <c r="N32" s="7">
        <f>H32-K32</f>
        <v>-6.3599999999999994</v>
      </c>
      <c r="O32" s="9">
        <f>N32/SQRT(K32)</f>
        <v>-0.79900506313107356</v>
      </c>
      <c r="P32" s="376">
        <f>2*H32*(J32-M32)</f>
        <v>-12.059088682564692</v>
      </c>
      <c r="R32" s="493" t="s">
        <v>200</v>
      </c>
      <c r="S32" s="376">
        <f>CHIDIST(S28,S29)</f>
        <v>1.6724904294501547E-2</v>
      </c>
    </row>
    <row r="33" spans="6:19">
      <c r="F33" s="10" t="s">
        <v>363</v>
      </c>
      <c r="G33" s="268" t="s">
        <v>361</v>
      </c>
      <c r="H33" s="10">
        <f>J9</f>
        <v>51</v>
      </c>
      <c r="I33" s="509">
        <f>H33/$H$34</f>
        <v>0.34</v>
      </c>
      <c r="J33" s="12">
        <f>LN(H33)</f>
        <v>3.9318256327243257</v>
      </c>
      <c r="K33" s="10">
        <f>J23</f>
        <v>44.64</v>
      </c>
      <c r="L33" s="509">
        <f>K33/$H$34</f>
        <v>0.29760000000000003</v>
      </c>
      <c r="M33" s="12">
        <f>LN(K33)</f>
        <v>3.7986303180730556</v>
      </c>
      <c r="N33" s="10">
        <f>H33-K33</f>
        <v>6.3599999999999994</v>
      </c>
      <c r="O33" s="12">
        <f>N33/SQRT(K33)</f>
        <v>0.9519081007419069</v>
      </c>
      <c r="P33" s="268">
        <f>2*H33*(J33-M33)</f>
        <v>13.58592209442955</v>
      </c>
      <c r="R33" s="493" t="s">
        <v>948</v>
      </c>
      <c r="S33" s="266" t="str">
        <f>IF(S32&lt;S30,"yes","no")</f>
        <v>yes</v>
      </c>
    </row>
    <row r="34" spans="6:19">
      <c r="G34" s="521"/>
      <c r="H34" s="66">
        <f>SUM(H30:H33)</f>
        <v>150</v>
      </c>
      <c r="I34" s="518"/>
      <c r="J34" s="528"/>
      <c r="O34" s="8"/>
      <c r="P34" s="528">
        <f>SUM(P30:P33)</f>
        <v>5.7250138911498212</v>
      </c>
    </row>
    <row r="36" spans="6:19">
      <c r="H36" s="8"/>
      <c r="I36" s="8"/>
      <c r="K36" s="8"/>
      <c r="L36" s="530"/>
    </row>
    <row r="37" spans="6:19">
      <c r="H37" s="8"/>
      <c r="I37" s="8"/>
    </row>
  </sheetData>
  <mergeCells count="3">
    <mergeCell ref="H28:J28"/>
    <mergeCell ref="K28:M28"/>
    <mergeCell ref="N28:O28"/>
  </mergeCell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sheetPr codeName="Sheet40"/>
  <dimension ref="A1:P24"/>
  <sheetViews>
    <sheetView workbookViewId="0">
      <selection activeCell="P21" sqref="P21"/>
    </sheetView>
  </sheetViews>
  <sheetFormatPr defaultRowHeight="14.4"/>
  <cols>
    <col min="1" max="1" width="11.109375" customWidth="1"/>
    <col min="5" max="5" width="6.33203125" customWidth="1"/>
    <col min="12" max="12" width="8.88671875" customWidth="1"/>
  </cols>
  <sheetData>
    <row r="1" spans="1:16">
      <c r="A1" s="1" t="s">
        <v>1272</v>
      </c>
    </row>
    <row r="3" spans="1:16">
      <c r="A3" t="s">
        <v>1370</v>
      </c>
    </row>
    <row r="5" spans="1:16">
      <c r="B5" s="19" t="s">
        <v>360</v>
      </c>
      <c r="C5" s="19" t="s">
        <v>361</v>
      </c>
      <c r="D5" s="19" t="s">
        <v>12</v>
      </c>
      <c r="F5" s="477" t="s">
        <v>965</v>
      </c>
      <c r="G5" s="477" t="s">
        <v>989</v>
      </c>
      <c r="H5" s="477" t="s">
        <v>990</v>
      </c>
      <c r="I5" s="477" t="s">
        <v>1227</v>
      </c>
      <c r="J5" s="477" t="s">
        <v>1228</v>
      </c>
      <c r="K5" s="477" t="s">
        <v>759</v>
      </c>
    </row>
    <row r="6" spans="1:16">
      <c r="A6" t="s">
        <v>362</v>
      </c>
      <c r="B6" s="4">
        <v>31</v>
      </c>
      <c r="C6" s="6">
        <v>57</v>
      </c>
      <c r="D6">
        <f>SUM(B6:C6)</f>
        <v>88</v>
      </c>
      <c r="F6" s="471">
        <v>1</v>
      </c>
      <c r="G6" s="471">
        <v>0</v>
      </c>
      <c r="H6" s="471">
        <v>1</v>
      </c>
      <c r="I6" s="471">
        <f>G6*H6</f>
        <v>0</v>
      </c>
      <c r="J6">
        <f>B6</f>
        <v>31</v>
      </c>
      <c r="K6">
        <f>LN(J6)</f>
        <v>3.4339872044851463</v>
      </c>
      <c r="M6" s="19" t="s">
        <v>790</v>
      </c>
      <c r="N6" s="479">
        <f>K7</f>
        <v>2.3978952727983707</v>
      </c>
      <c r="P6" s="479">
        <f>EXP(N6)</f>
        <v>11.000000000000002</v>
      </c>
    </row>
    <row r="7" spans="1:16">
      <c r="A7" t="s">
        <v>363</v>
      </c>
      <c r="B7" s="10">
        <v>11</v>
      </c>
      <c r="C7" s="12">
        <v>51</v>
      </c>
      <c r="D7">
        <f>SUM(B7:C7)</f>
        <v>62</v>
      </c>
      <c r="F7" s="471">
        <f>F6+1</f>
        <v>2</v>
      </c>
      <c r="G7" s="471">
        <v>0</v>
      </c>
      <c r="H7" s="471">
        <v>0</v>
      </c>
      <c r="I7" s="471">
        <f>G7*H7</f>
        <v>0</v>
      </c>
      <c r="J7">
        <f>B7</f>
        <v>11</v>
      </c>
      <c r="K7">
        <f>LN(J7)</f>
        <v>2.3978952727983707</v>
      </c>
      <c r="M7" s="19" t="s">
        <v>788</v>
      </c>
      <c r="N7" s="376">
        <f>K9-N6</f>
        <v>1.5339303599259551</v>
      </c>
      <c r="P7" s="376">
        <f>EXP(N7)</f>
        <v>4.6363636363636358</v>
      </c>
    </row>
    <row r="8" spans="1:16">
      <c r="A8" t="s">
        <v>12</v>
      </c>
      <c r="B8">
        <f>SUM(B6:B7)</f>
        <v>42</v>
      </c>
      <c r="C8">
        <f>SUM(C6:C7)</f>
        <v>108</v>
      </c>
      <c r="D8">
        <f>SUM(D6:D7)</f>
        <v>150</v>
      </c>
      <c r="F8" s="471">
        <f>F7+1</f>
        <v>3</v>
      </c>
      <c r="G8" s="471">
        <v>1</v>
      </c>
      <c r="H8" s="471">
        <v>1</v>
      </c>
      <c r="I8" s="471">
        <f>G8*H8</f>
        <v>1</v>
      </c>
      <c r="J8">
        <f>C6</f>
        <v>57</v>
      </c>
      <c r="K8">
        <f>LN(J8)</f>
        <v>4.0430512678345503</v>
      </c>
      <c r="M8" s="19" t="s">
        <v>789</v>
      </c>
      <c r="N8" s="376">
        <f>K6-N6</f>
        <v>1.0360919316867756</v>
      </c>
      <c r="P8" s="376">
        <f>EXP(N8)</f>
        <v>2.8181818181818179</v>
      </c>
    </row>
    <row r="9" spans="1:16">
      <c r="F9" s="472">
        <f>F8+1</f>
        <v>4</v>
      </c>
      <c r="G9" s="472">
        <v>1</v>
      </c>
      <c r="H9" s="472">
        <v>0</v>
      </c>
      <c r="I9" s="472">
        <f>G9*H9</f>
        <v>0</v>
      </c>
      <c r="J9" s="11">
        <f>C7</f>
        <v>51</v>
      </c>
      <c r="K9" s="11">
        <f>LN(J9)</f>
        <v>3.9318256327243257</v>
      </c>
      <c r="M9" s="19" t="s">
        <v>802</v>
      </c>
      <c r="N9" s="268">
        <f>K8-N6-N7-N8</f>
        <v>-0.92486629657655106</v>
      </c>
      <c r="P9" s="268">
        <f>EXP(N9)</f>
        <v>0.39658444022770412</v>
      </c>
    </row>
    <row r="11" spans="1:16">
      <c r="A11" t="s">
        <v>1369</v>
      </c>
      <c r="F11" s="19"/>
    </row>
    <row r="13" spans="1:16">
      <c r="B13" s="19" t="s">
        <v>360</v>
      </c>
      <c r="C13" s="19" t="s">
        <v>361</v>
      </c>
      <c r="D13" s="19" t="s">
        <v>12</v>
      </c>
      <c r="F13" s="477" t="s">
        <v>965</v>
      </c>
      <c r="G13" s="477" t="s">
        <v>989</v>
      </c>
      <c r="H13" s="477" t="s">
        <v>990</v>
      </c>
      <c r="I13" s="477" t="s">
        <v>1227</v>
      </c>
      <c r="J13" s="477" t="s">
        <v>1228</v>
      </c>
      <c r="K13" s="477" t="s">
        <v>759</v>
      </c>
    </row>
    <row r="14" spans="1:16">
      <c r="A14" t="s">
        <v>362</v>
      </c>
      <c r="B14" s="474">
        <f>B8*D6/D8</f>
        <v>24.64</v>
      </c>
      <c r="C14" s="475">
        <f>C8*D6/D8</f>
        <v>63.36</v>
      </c>
      <c r="D14">
        <f>B14+C14</f>
        <v>88</v>
      </c>
      <c r="F14" s="471">
        <v>1</v>
      </c>
      <c r="G14" s="471">
        <v>0</v>
      </c>
      <c r="H14" s="471">
        <v>1</v>
      </c>
      <c r="I14" s="471">
        <f>G14*H14</f>
        <v>0</v>
      </c>
      <c r="J14">
        <f>B14</f>
        <v>24.64</v>
      </c>
      <c r="K14">
        <f>LN(J14)</f>
        <v>3.2043711386653189</v>
      </c>
      <c r="M14" s="19" t="s">
        <v>790</v>
      </c>
      <c r="N14" s="479">
        <f>K15</f>
        <v>2.8541687092322041</v>
      </c>
      <c r="P14" s="479">
        <f>EXP(N14)</f>
        <v>17.36</v>
      </c>
    </row>
    <row r="15" spans="1:16">
      <c r="A15" t="s">
        <v>363</v>
      </c>
      <c r="B15" s="10">
        <f>B8*D7/D8</f>
        <v>17.36</v>
      </c>
      <c r="C15" s="12">
        <f>C8*D7/D8</f>
        <v>44.64</v>
      </c>
      <c r="D15">
        <f>SUM(B15:C15)</f>
        <v>62</v>
      </c>
      <c r="F15" s="471">
        <f>F14+1</f>
        <v>2</v>
      </c>
      <c r="G15" s="471">
        <v>0</v>
      </c>
      <c r="H15" s="471">
        <v>0</v>
      </c>
      <c r="I15" s="471">
        <f>G15*H15</f>
        <v>0</v>
      </c>
      <c r="J15">
        <f>B15</f>
        <v>17.36</v>
      </c>
      <c r="K15">
        <f>LN(J15)</f>
        <v>2.8541687092322041</v>
      </c>
      <c r="M15" s="19" t="s">
        <v>788</v>
      </c>
      <c r="N15" s="376">
        <f>K17-N14</f>
        <v>0.94446160884085151</v>
      </c>
      <c r="P15" s="376">
        <f>EXP(N15)</f>
        <v>2.5714285714285716</v>
      </c>
    </row>
    <row r="16" spans="1:16">
      <c r="A16" t="s">
        <v>12</v>
      </c>
      <c r="B16">
        <f>SUM(B14:B15)</f>
        <v>42</v>
      </c>
      <c r="C16">
        <f>SUM(C14:C15)</f>
        <v>108</v>
      </c>
      <c r="D16">
        <f>SUM(D14:D15)</f>
        <v>150</v>
      </c>
      <c r="F16" s="471">
        <f>F15+1</f>
        <v>3</v>
      </c>
      <c r="G16" s="471">
        <v>1</v>
      </c>
      <c r="H16" s="471">
        <v>1</v>
      </c>
      <c r="I16" s="471">
        <f>G16*H16</f>
        <v>1</v>
      </c>
      <c r="J16">
        <f>C14</f>
        <v>63.36</v>
      </c>
      <c r="K16">
        <f>LN(J16)</f>
        <v>4.1488327475061704</v>
      </c>
      <c r="M16" s="19" t="s">
        <v>789</v>
      </c>
      <c r="N16" s="376">
        <f>K14-N14</f>
        <v>0.35020242943311475</v>
      </c>
      <c r="P16" s="376">
        <f>EXP(N16)</f>
        <v>1.4193548387096773</v>
      </c>
    </row>
    <row r="17" spans="6:16">
      <c r="F17" s="472">
        <f>F16+1</f>
        <v>4</v>
      </c>
      <c r="G17" s="472">
        <v>1</v>
      </c>
      <c r="H17" s="472">
        <v>0</v>
      </c>
      <c r="I17" s="472">
        <f>G17*H17</f>
        <v>0</v>
      </c>
      <c r="J17" s="11">
        <f>C15</f>
        <v>44.64</v>
      </c>
      <c r="K17" s="11">
        <f>LN(J17)</f>
        <v>3.7986303180730556</v>
      </c>
      <c r="M17" s="19" t="s">
        <v>802</v>
      </c>
      <c r="N17" s="268">
        <f>K16-N14-N15-N16</f>
        <v>0</v>
      </c>
      <c r="P17" s="268">
        <f>EXP(N17)</f>
        <v>1</v>
      </c>
    </row>
    <row r="18" spans="6:16">
      <c r="F18" s="471"/>
      <c r="G18" s="471"/>
      <c r="H18" s="471"/>
      <c r="I18" s="471"/>
    </row>
    <row r="19" spans="6:16">
      <c r="F19" s="539"/>
      <c r="G19" s="539"/>
      <c r="H19" s="539"/>
      <c r="I19" s="539"/>
    </row>
    <row r="20" spans="6:16">
      <c r="F20" s="539"/>
      <c r="G20" s="539"/>
      <c r="H20" s="539"/>
      <c r="I20" s="539"/>
    </row>
    <row r="21" spans="6:16">
      <c r="F21" s="539"/>
      <c r="G21" s="539"/>
      <c r="H21" s="539"/>
      <c r="I21" s="539"/>
    </row>
    <row r="22" spans="6:16">
      <c r="F22" s="539"/>
      <c r="G22" s="539"/>
      <c r="H22" s="539"/>
      <c r="I22" s="539"/>
    </row>
    <row r="23" spans="6:16">
      <c r="F23" s="539"/>
      <c r="G23" s="539"/>
      <c r="H23" s="539"/>
      <c r="I23" s="539"/>
    </row>
    <row r="24" spans="6:16">
      <c r="F24" s="539"/>
      <c r="G24" s="539"/>
      <c r="H24" s="539"/>
      <c r="I24" s="539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sheetPr codeName="Sheet135"/>
  <dimension ref="A1:O22"/>
  <sheetViews>
    <sheetView workbookViewId="0"/>
  </sheetViews>
  <sheetFormatPr defaultRowHeight="14.4"/>
  <cols>
    <col min="7" max="7" width="20.33203125" customWidth="1"/>
    <col min="8" max="8" width="12.6640625" customWidth="1"/>
    <col min="9" max="9" width="14.44140625" customWidth="1"/>
    <col min="12" max="13" width="12.109375" customWidth="1"/>
  </cols>
  <sheetData>
    <row r="1" spans="1:12">
      <c r="A1" s="1" t="s">
        <v>1273</v>
      </c>
    </row>
    <row r="3" spans="1:12">
      <c r="A3" s="477" t="s">
        <v>989</v>
      </c>
      <c r="B3" s="477" t="s">
        <v>990</v>
      </c>
      <c r="C3" s="477" t="s">
        <v>1227</v>
      </c>
      <c r="D3" s="477" t="s">
        <v>1228</v>
      </c>
      <c r="E3" s="477" t="s">
        <v>759</v>
      </c>
      <c r="G3" t="s">
        <v>691</v>
      </c>
    </row>
    <row r="4" spans="1:12" ht="15" thickBot="1">
      <c r="A4" s="512">
        <v>1</v>
      </c>
      <c r="B4" s="512">
        <v>1</v>
      </c>
      <c r="C4" s="512">
        <v>1</v>
      </c>
      <c r="D4">
        <v>24.64</v>
      </c>
      <c r="E4">
        <f>LN(D4)</f>
        <v>3.2043711386653189</v>
      </c>
    </row>
    <row r="5" spans="1:12">
      <c r="A5" s="512">
        <v>1</v>
      </c>
      <c r="B5" s="512">
        <v>-1</v>
      </c>
      <c r="C5" s="512">
        <v>-1</v>
      </c>
      <c r="D5">
        <v>17.36</v>
      </c>
      <c r="E5">
        <f>LN(D5)</f>
        <v>2.8541687092322041</v>
      </c>
      <c r="G5" s="35" t="s">
        <v>692</v>
      </c>
      <c r="H5" s="35"/>
    </row>
    <row r="6" spans="1:12">
      <c r="A6" s="512">
        <v>-1</v>
      </c>
      <c r="B6" s="512">
        <v>1</v>
      </c>
      <c r="C6" s="512">
        <v>-1</v>
      </c>
      <c r="D6">
        <v>63.36</v>
      </c>
      <c r="E6">
        <f>LN(D6)</f>
        <v>4.1488327475061704</v>
      </c>
      <c r="G6" s="28" t="s">
        <v>693</v>
      </c>
      <c r="H6" s="28">
        <v>1</v>
      </c>
    </row>
    <row r="7" spans="1:12">
      <c r="A7" s="514">
        <v>-1</v>
      </c>
      <c r="B7" s="514">
        <v>-1</v>
      </c>
      <c r="C7" s="514">
        <v>1</v>
      </c>
      <c r="D7" s="11">
        <v>44.64</v>
      </c>
      <c r="E7" s="11">
        <f>LN(D7)</f>
        <v>3.7986303180730556</v>
      </c>
      <c r="G7" s="28" t="s">
        <v>686</v>
      </c>
      <c r="H7" s="28">
        <v>1</v>
      </c>
    </row>
    <row r="8" spans="1:12">
      <c r="G8" s="28" t="s">
        <v>694</v>
      </c>
      <c r="H8" s="28">
        <v>65535</v>
      </c>
    </row>
    <row r="9" spans="1:12">
      <c r="G9" s="28" t="s">
        <v>77</v>
      </c>
      <c r="H9" s="28">
        <v>0</v>
      </c>
    </row>
    <row r="10" spans="1:12" ht="15" thickBot="1">
      <c r="G10" s="31" t="s">
        <v>224</v>
      </c>
      <c r="H10" s="31">
        <v>4</v>
      </c>
    </row>
    <row r="12" spans="1:12" ht="15" thickBot="1">
      <c r="G12" t="s">
        <v>695</v>
      </c>
    </row>
    <row r="13" spans="1:12">
      <c r="G13" s="513"/>
      <c r="H13" s="513" t="s">
        <v>186</v>
      </c>
      <c r="I13" s="513" t="s">
        <v>578</v>
      </c>
      <c r="J13" s="513" t="s">
        <v>641</v>
      </c>
      <c r="K13" s="513" t="s">
        <v>388</v>
      </c>
      <c r="L13" s="513" t="s">
        <v>698</v>
      </c>
    </row>
    <row r="14" spans="1:12">
      <c r="G14" s="28" t="s">
        <v>623</v>
      </c>
      <c r="H14" s="28">
        <v>3</v>
      </c>
      <c r="I14" s="28">
        <v>1.0146494721551051</v>
      </c>
      <c r="J14" s="28">
        <v>0.3382164907183684</v>
      </c>
      <c r="K14" s="28" t="e">
        <v>#NUM!</v>
      </c>
      <c r="L14" s="28" t="e">
        <v>#NUM!</v>
      </c>
    </row>
    <row r="15" spans="1:12">
      <c r="G15" s="28" t="s">
        <v>696</v>
      </c>
      <c r="H15" s="28">
        <v>0</v>
      </c>
      <c r="I15" s="28">
        <v>0</v>
      </c>
      <c r="J15" s="28">
        <v>65535</v>
      </c>
      <c r="K15" s="28"/>
      <c r="L15" s="28"/>
    </row>
    <row r="16" spans="1:12" ht="15" thickBot="1">
      <c r="G16" s="31" t="s">
        <v>12</v>
      </c>
      <c r="H16" s="31">
        <v>3</v>
      </c>
      <c r="I16" s="31">
        <v>1.0146494721551051</v>
      </c>
      <c r="J16" s="31"/>
      <c r="K16" s="31"/>
      <c r="L16" s="31"/>
    </row>
    <row r="17" spans="7:15" ht="15" thickBot="1"/>
    <row r="18" spans="7:15">
      <c r="G18" s="513"/>
      <c r="H18" s="513" t="s">
        <v>699</v>
      </c>
      <c r="I18" s="513" t="s">
        <v>77</v>
      </c>
      <c r="J18" s="513" t="s">
        <v>229</v>
      </c>
      <c r="K18" s="513" t="s">
        <v>367</v>
      </c>
      <c r="L18" s="513" t="s">
        <v>700</v>
      </c>
      <c r="M18" s="513" t="s">
        <v>701</v>
      </c>
      <c r="N18" s="513" t="s">
        <v>810</v>
      </c>
      <c r="O18" s="513" t="s">
        <v>811</v>
      </c>
    </row>
    <row r="19" spans="7:15">
      <c r="G19" s="28" t="s">
        <v>697</v>
      </c>
      <c r="H19" s="28">
        <v>3.5015007283691872</v>
      </c>
      <c r="I19" s="28">
        <v>0</v>
      </c>
      <c r="J19" s="28">
        <v>65535</v>
      </c>
      <c r="K19" s="28" t="e">
        <v>#NUM!</v>
      </c>
      <c r="L19" s="28">
        <v>3.5015007283691872</v>
      </c>
      <c r="M19" s="28">
        <v>3.5015007283691872</v>
      </c>
      <c r="N19" s="28">
        <v>3.5015007283691872</v>
      </c>
      <c r="O19" s="28">
        <v>3.5015007283691872</v>
      </c>
    </row>
    <row r="20" spans="7:15">
      <c r="G20" s="28" t="s">
        <v>989</v>
      </c>
      <c r="H20" s="28">
        <v>-0.47223080442042575</v>
      </c>
      <c r="I20" s="28">
        <v>0</v>
      </c>
      <c r="J20" s="28">
        <v>65535</v>
      </c>
      <c r="K20" s="28" t="e">
        <v>#NUM!</v>
      </c>
      <c r="L20" s="28">
        <v>-0.47223080442042575</v>
      </c>
      <c r="M20" s="28">
        <v>-0.47223080442042575</v>
      </c>
      <c r="N20" s="28">
        <v>-0.47223080442042575</v>
      </c>
      <c r="O20" s="28">
        <v>-0.47223080442042575</v>
      </c>
    </row>
    <row r="21" spans="7:15">
      <c r="G21" s="28" t="s">
        <v>990</v>
      </c>
      <c r="H21" s="28">
        <v>0.17510121471655743</v>
      </c>
      <c r="I21" s="28">
        <v>0</v>
      </c>
      <c r="J21" s="28">
        <v>65535</v>
      </c>
      <c r="K21" s="28" t="e">
        <v>#NUM!</v>
      </c>
      <c r="L21" s="28">
        <v>0.17510121471655743</v>
      </c>
      <c r="M21" s="28">
        <v>0.17510121471655743</v>
      </c>
      <c r="N21" s="28">
        <v>0.17510121471655743</v>
      </c>
      <c r="O21" s="28">
        <v>0.17510121471655743</v>
      </c>
    </row>
    <row r="22" spans="7:15" ht="15" thickBot="1">
      <c r="G22" s="31" t="s">
        <v>1227</v>
      </c>
      <c r="H22" s="31">
        <v>3.0830000307762447E-18</v>
      </c>
      <c r="I22" s="31">
        <v>0</v>
      </c>
      <c r="J22" s="31">
        <v>65535</v>
      </c>
      <c r="K22" s="31" t="e">
        <v>#NUM!</v>
      </c>
      <c r="L22" s="31">
        <v>3.0830000307762447E-18</v>
      </c>
      <c r="M22" s="31">
        <v>3.0830000307762447E-18</v>
      </c>
      <c r="N22" s="31">
        <v>3.0830000307762447E-18</v>
      </c>
      <c r="O22" s="31">
        <v>3.0830000307762447E-18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sheetPr codeName="Sheet134"/>
  <dimension ref="A1:AP95"/>
  <sheetViews>
    <sheetView workbookViewId="0"/>
  </sheetViews>
  <sheetFormatPr defaultRowHeight="14.4"/>
  <cols>
    <col min="1" max="1" width="10.109375" customWidth="1"/>
    <col min="3" max="3" width="10.109375" customWidth="1"/>
    <col min="5" max="5" width="8.88671875" customWidth="1"/>
    <col min="6" max="6" width="10.33203125" customWidth="1"/>
    <col min="9" max="9" width="9.44140625" customWidth="1"/>
    <col min="10" max="10" width="5.33203125" customWidth="1"/>
    <col min="11" max="11" width="10.109375" customWidth="1"/>
    <col min="14" max="14" width="9.109375" customWidth="1"/>
    <col min="17" max="17" width="10.33203125" customWidth="1"/>
    <col min="21" max="21" width="5.33203125" customWidth="1"/>
    <col min="22" max="22" width="14.33203125" customWidth="1"/>
    <col min="29" max="29" width="10.44140625" customWidth="1"/>
    <col min="34" max="34" width="10.109375" customWidth="1"/>
    <col min="39" max="39" width="10.33203125" customWidth="1"/>
  </cols>
  <sheetData>
    <row r="1" spans="1:42">
      <c r="A1" s="1" t="s">
        <v>1274</v>
      </c>
    </row>
    <row r="2" spans="1:42">
      <c r="A2" s="1"/>
    </row>
    <row r="3" spans="1:42" s="1" customFormat="1">
      <c r="A3" s="1" t="s">
        <v>1275</v>
      </c>
      <c r="F3" s="499"/>
      <c r="G3" s="499"/>
      <c r="H3" s="499"/>
      <c r="I3" s="499"/>
      <c r="J3" s="500"/>
      <c r="K3" s="500"/>
      <c r="AC3" s="1" t="s">
        <v>1281</v>
      </c>
      <c r="AD3"/>
      <c r="AE3"/>
      <c r="AF3"/>
      <c r="AG3"/>
      <c r="AH3" s="1" t="s">
        <v>1284</v>
      </c>
      <c r="AI3"/>
      <c r="AJ3"/>
      <c r="AK3"/>
      <c r="AL3"/>
      <c r="AM3" s="1" t="s">
        <v>1277</v>
      </c>
      <c r="AN3"/>
      <c r="AO3"/>
      <c r="AP3"/>
    </row>
    <row r="4" spans="1:42">
      <c r="F4" s="117"/>
      <c r="G4" s="117"/>
      <c r="H4" s="117"/>
      <c r="I4" s="117"/>
      <c r="J4" s="8"/>
      <c r="K4" s="8"/>
    </row>
    <row r="5" spans="1:42">
      <c r="A5" t="s">
        <v>1226</v>
      </c>
      <c r="F5" t="s">
        <v>1247</v>
      </c>
      <c r="G5" s="117"/>
      <c r="H5" s="117"/>
      <c r="I5" t="s">
        <v>1248</v>
      </c>
      <c r="J5" s="8"/>
      <c r="K5" s="8"/>
      <c r="AD5" s="19" t="s">
        <v>360</v>
      </c>
      <c r="AE5" s="19" t="s">
        <v>361</v>
      </c>
      <c r="AF5" s="19" t="s">
        <v>12</v>
      </c>
      <c r="AI5" s="19" t="s">
        <v>360</v>
      </c>
      <c r="AJ5" s="19" t="s">
        <v>361</v>
      </c>
      <c r="AK5" s="19" t="s">
        <v>12</v>
      </c>
      <c r="AN5" s="19" t="s">
        <v>360</v>
      </c>
      <c r="AO5" s="19" t="s">
        <v>361</v>
      </c>
      <c r="AP5" s="19" t="s">
        <v>12</v>
      </c>
    </row>
    <row r="6" spans="1:42">
      <c r="Q6" t="s">
        <v>358</v>
      </c>
      <c r="V6" t="s">
        <v>331</v>
      </c>
      <c r="AC6" t="s">
        <v>362</v>
      </c>
      <c r="AD6" s="4">
        <v>21</v>
      </c>
      <c r="AE6" s="6">
        <v>54</v>
      </c>
      <c r="AF6">
        <v>75</v>
      </c>
      <c r="AH6" t="s">
        <v>362</v>
      </c>
      <c r="AI6" s="4">
        <v>44</v>
      </c>
      <c r="AJ6" s="6">
        <v>44</v>
      </c>
      <c r="AK6">
        <v>88</v>
      </c>
      <c r="AM6" t="s">
        <v>362</v>
      </c>
      <c r="AN6" s="474">
        <v>37.5</v>
      </c>
      <c r="AO6" s="475">
        <v>37.5</v>
      </c>
      <c r="AP6">
        <v>75</v>
      </c>
    </row>
    <row r="7" spans="1:42">
      <c r="B7" s="19" t="s">
        <v>360</v>
      </c>
      <c r="C7" s="19" t="s">
        <v>361</v>
      </c>
      <c r="D7" s="19" t="s">
        <v>12</v>
      </c>
      <c r="F7" s="477" t="s">
        <v>965</v>
      </c>
      <c r="G7" s="477" t="s">
        <v>989</v>
      </c>
      <c r="H7" s="477" t="s">
        <v>990</v>
      </c>
      <c r="I7" s="477" t="s">
        <v>1227</v>
      </c>
      <c r="J7" s="477" t="s">
        <v>1250</v>
      </c>
      <c r="K7" s="477" t="s">
        <v>1251</v>
      </c>
      <c r="AC7" t="s">
        <v>363</v>
      </c>
      <c r="AD7" s="10">
        <v>21</v>
      </c>
      <c r="AE7" s="12">
        <v>54</v>
      </c>
      <c r="AF7">
        <v>75</v>
      </c>
      <c r="AH7" t="s">
        <v>363</v>
      </c>
      <c r="AI7" s="10">
        <v>31</v>
      </c>
      <c r="AJ7" s="12">
        <v>31</v>
      </c>
      <c r="AK7">
        <v>62</v>
      </c>
      <c r="AM7" t="s">
        <v>363</v>
      </c>
      <c r="AN7" s="10">
        <v>37.5</v>
      </c>
      <c r="AO7" s="12">
        <v>37.5</v>
      </c>
      <c r="AP7">
        <v>75</v>
      </c>
    </row>
    <row r="8" spans="1:42" ht="15" thickBot="1">
      <c r="A8" t="s">
        <v>362</v>
      </c>
      <c r="B8" s="4">
        <v>31</v>
      </c>
      <c r="C8" s="6">
        <v>57</v>
      </c>
      <c r="D8">
        <f>SUM(B8:C8)</f>
        <v>88</v>
      </c>
      <c r="F8" s="471">
        <v>1</v>
      </c>
      <c r="G8" s="471">
        <v>1</v>
      </c>
      <c r="H8" s="471">
        <v>1</v>
      </c>
      <c r="I8" s="471">
        <f>G8*H8</f>
        <v>1</v>
      </c>
      <c r="J8">
        <f>B16</f>
        <v>24.64</v>
      </c>
      <c r="K8">
        <f>LN(J8)</f>
        <v>3.2043711386653189</v>
      </c>
      <c r="L8" s="19" t="s">
        <v>790</v>
      </c>
      <c r="M8" s="479">
        <f>AVERAGE(K8:K11)</f>
        <v>3.5015007283691872</v>
      </c>
      <c r="O8" s="479">
        <f>EXP(M8)</f>
        <v>33.16518656663942</v>
      </c>
      <c r="R8" t="str">
        <f>B7</f>
        <v>Therapy 1</v>
      </c>
      <c r="S8" t="str">
        <f>C7</f>
        <v>Therapy 2</v>
      </c>
      <c r="T8" t="s">
        <v>12</v>
      </c>
      <c r="V8" t="s">
        <v>194</v>
      </c>
      <c r="X8" t="s">
        <v>116</v>
      </c>
      <c r="Y8">
        <v>0.05</v>
      </c>
      <c r="AC8" t="s">
        <v>12</v>
      </c>
      <c r="AD8">
        <v>42</v>
      </c>
      <c r="AE8">
        <v>108</v>
      </c>
      <c r="AF8">
        <v>150</v>
      </c>
      <c r="AH8" t="s">
        <v>12</v>
      </c>
      <c r="AI8">
        <v>75</v>
      </c>
      <c r="AJ8">
        <v>75</v>
      </c>
      <c r="AK8">
        <v>150</v>
      </c>
      <c r="AM8" t="s">
        <v>12</v>
      </c>
      <c r="AN8">
        <v>75</v>
      </c>
      <c r="AO8">
        <v>75</v>
      </c>
      <c r="AP8">
        <v>150</v>
      </c>
    </row>
    <row r="9" spans="1:42" ht="15" thickTop="1">
      <c r="A9" t="s">
        <v>363</v>
      </c>
      <c r="B9" s="10">
        <v>11</v>
      </c>
      <c r="C9" s="12">
        <v>51</v>
      </c>
      <c r="D9">
        <f>SUM(B9:C9)</f>
        <v>62</v>
      </c>
      <c r="F9" s="471">
        <f>F8+1</f>
        <v>2</v>
      </c>
      <c r="G9" s="471">
        <v>-1</v>
      </c>
      <c r="H9" s="471">
        <v>1</v>
      </c>
      <c r="I9" s="471">
        <f>G9*H9</f>
        <v>-1</v>
      </c>
      <c r="J9">
        <f>B17</f>
        <v>17.36</v>
      </c>
      <c r="K9">
        <f>LN(J9)</f>
        <v>2.8541687092322041</v>
      </c>
      <c r="L9" s="19" t="s">
        <v>788</v>
      </c>
      <c r="M9" s="376">
        <f>(K8+K10)/2-M8</f>
        <v>0.17510121471655715</v>
      </c>
      <c r="O9" s="376">
        <f>EXP(M9)</f>
        <v>1.1913667943625408</v>
      </c>
      <c r="Q9" t="str">
        <f>A8</f>
        <v>Cured</v>
      </c>
      <c r="R9" s="128">
        <f t="array" ref="R9:S10">MMULT(T9:T10,R11:S11)/T11</f>
        <v>24.64</v>
      </c>
      <c r="S9" s="130">
        <v>63.36</v>
      </c>
      <c r="T9">
        <f>SUM(A8:C8)</f>
        <v>88</v>
      </c>
      <c r="V9" s="76" t="s">
        <v>88</v>
      </c>
      <c r="W9" s="76" t="s">
        <v>390</v>
      </c>
      <c r="X9" s="76" t="s">
        <v>391</v>
      </c>
      <c r="Y9" s="76" t="s">
        <v>186</v>
      </c>
    </row>
    <row r="10" spans="1:42">
      <c r="A10" t="s">
        <v>12</v>
      </c>
      <c r="B10">
        <f>SUM(B8:B9)</f>
        <v>42</v>
      </c>
      <c r="C10">
        <f>SUM(C8:C9)</f>
        <v>108</v>
      </c>
      <c r="D10">
        <f>SUM(D8:D9)</f>
        <v>150</v>
      </c>
      <c r="F10" s="471">
        <f>F9+1</f>
        <v>3</v>
      </c>
      <c r="G10" s="471">
        <v>1</v>
      </c>
      <c r="H10" s="471">
        <v>-1</v>
      </c>
      <c r="I10" s="471">
        <f>G10*H10</f>
        <v>-1</v>
      </c>
      <c r="J10">
        <f>C16</f>
        <v>63.36</v>
      </c>
      <c r="K10">
        <f>LN(J10)</f>
        <v>4.1488327475061704</v>
      </c>
      <c r="L10" s="19" t="s">
        <v>789</v>
      </c>
      <c r="M10" s="376">
        <f>(K8+K9)/2-M8</f>
        <v>-0.47223080442042598</v>
      </c>
      <c r="O10" s="376">
        <f>EXP(M10)</f>
        <v>0.62360956446232341</v>
      </c>
      <c r="Q10" t="str">
        <f>A9</f>
        <v>Not Cured</v>
      </c>
      <c r="R10" s="497">
        <v>17.36</v>
      </c>
      <c r="S10" s="498">
        <v>44.64</v>
      </c>
      <c r="T10">
        <f>SUM(A9:C9)</f>
        <v>62</v>
      </c>
      <c r="V10">
        <f>T11</f>
        <v>150</v>
      </c>
      <c r="W10">
        <f>COUNT(B8:B9)</f>
        <v>2</v>
      </c>
      <c r="X10">
        <f>COUNT(B8:C8)</f>
        <v>2</v>
      </c>
      <c r="Y10">
        <f>(W10-1)*(X10-1)</f>
        <v>1</v>
      </c>
      <c r="AC10" s="175" t="s">
        <v>346</v>
      </c>
      <c r="AD10" s="523" t="e">
        <f ca="1">[1]!CHI_MAX2($B$8:$C$9,AD6:AE7)</f>
        <v>#NAME?</v>
      </c>
      <c r="AH10" s="175" t="s">
        <v>346</v>
      </c>
      <c r="AI10" s="523" t="e">
        <f ca="1">[1]!CHI_MAX2($B$8:$C$9,AI6:AJ7)</f>
        <v>#NAME?</v>
      </c>
      <c r="AM10" s="175" t="s">
        <v>346</v>
      </c>
      <c r="AN10" s="523" t="e">
        <f ca="1">[1]!CHI_MAX2($B$8:$C$9,AN6:AO7)</f>
        <v>#NAME?</v>
      </c>
    </row>
    <row r="11" spans="1:42">
      <c r="F11" s="472">
        <f>F10+1</f>
        <v>4</v>
      </c>
      <c r="G11" s="472">
        <v>-1</v>
      </c>
      <c r="H11" s="472">
        <v>-1</v>
      </c>
      <c r="I11" s="472">
        <f>G11*H11</f>
        <v>1</v>
      </c>
      <c r="J11" s="11">
        <f>C17</f>
        <v>44.64</v>
      </c>
      <c r="K11" s="11">
        <f>LN(J11)</f>
        <v>3.7986303180730556</v>
      </c>
      <c r="L11" s="19" t="s">
        <v>802</v>
      </c>
      <c r="M11" s="268">
        <f>(K8+K11)/2-M8</f>
        <v>0</v>
      </c>
      <c r="O11" s="268">
        <f>EXP(M11)</f>
        <v>1</v>
      </c>
      <c r="Q11" t="s">
        <v>12</v>
      </c>
      <c r="R11">
        <f>SUM(B7:B9)</f>
        <v>42</v>
      </c>
      <c r="S11">
        <f>SUM(C7:C9)</f>
        <v>108</v>
      </c>
      <c r="T11">
        <f>SUM(T9:T10)</f>
        <v>150</v>
      </c>
      <c r="AC11" s="8" t="s">
        <v>186</v>
      </c>
      <c r="AD11" s="376">
        <v>2</v>
      </c>
      <c r="AH11" s="8" t="s">
        <v>186</v>
      </c>
      <c r="AI11" s="376">
        <v>2</v>
      </c>
      <c r="AM11" s="8" t="s">
        <v>186</v>
      </c>
      <c r="AN11" s="376">
        <v>3</v>
      </c>
    </row>
    <row r="12" spans="1:42" ht="15" thickBot="1">
      <c r="F12" s="471"/>
      <c r="G12" s="471"/>
      <c r="H12" s="471"/>
      <c r="I12" s="471"/>
      <c r="V12" t="s">
        <v>392</v>
      </c>
      <c r="AC12" s="537" t="s">
        <v>157</v>
      </c>
      <c r="AD12" s="376">
        <v>0.05</v>
      </c>
      <c r="AH12" s="8" t="s">
        <v>157</v>
      </c>
      <c r="AI12" s="376">
        <v>0.05</v>
      </c>
      <c r="AM12" s="8" t="s">
        <v>157</v>
      </c>
      <c r="AN12" s="376">
        <v>0.05</v>
      </c>
    </row>
    <row r="13" spans="1:42" ht="15" thickTop="1">
      <c r="A13" t="s">
        <v>1229</v>
      </c>
      <c r="F13" s="471"/>
      <c r="G13" s="471"/>
      <c r="H13" s="471"/>
      <c r="I13" s="471"/>
      <c r="V13" s="76" t="s">
        <v>199</v>
      </c>
      <c r="W13" s="76" t="s">
        <v>339</v>
      </c>
      <c r="X13" s="76" t="s">
        <v>200</v>
      </c>
      <c r="Y13" s="76" t="s">
        <v>351</v>
      </c>
      <c r="Z13" s="76" t="s">
        <v>202</v>
      </c>
      <c r="AA13" s="76" t="s">
        <v>394</v>
      </c>
      <c r="AC13" s="493" t="s">
        <v>200</v>
      </c>
      <c r="AD13" s="376" t="e">
        <f ca="1">CHIDIST(AD10,AD11)</f>
        <v>#NAME?</v>
      </c>
      <c r="AH13" s="493" t="s">
        <v>200</v>
      </c>
      <c r="AI13" s="376" t="e">
        <f ca="1">CHIDIST(AI10,AI11)</f>
        <v>#NAME?</v>
      </c>
      <c r="AM13" s="493" t="s">
        <v>200</v>
      </c>
      <c r="AN13" s="376" t="e">
        <f ca="1">CHIDIST(AN10,AN11)</f>
        <v>#NAME?</v>
      </c>
    </row>
    <row r="14" spans="1:42">
      <c r="F14" s="512"/>
      <c r="G14" s="512"/>
      <c r="H14" s="512"/>
      <c r="I14" s="512"/>
      <c r="V14" t="s">
        <v>393</v>
      </c>
      <c r="W14" t="e">
        <f ca="1">[1]!CHI_STAT2(B8:C9,R9:S10)</f>
        <v>#NAME?</v>
      </c>
      <c r="X14" t="e">
        <f ca="1">CHIDIST(W14,Y10)</f>
        <v>#NAME?</v>
      </c>
      <c r="Y14">
        <f>CHIINV(Y8,Y10)</f>
        <v>3.8414588206941236</v>
      </c>
      <c r="Z14" t="e">
        <f ca="1">IF(Y14&lt;W14,"Yes","No")</f>
        <v>#NAME?</v>
      </c>
      <c r="AA14" t="e">
        <f ca="1">SQRT(W14/(V10*(MIN(W10,X10)-1)))</f>
        <v>#NAME?</v>
      </c>
      <c r="AC14" s="493" t="s">
        <v>948</v>
      </c>
      <c r="AD14" s="538" t="e">
        <f ca="1">IF(AD13&lt;AD12,"yes","no")</f>
        <v>#NAME?</v>
      </c>
      <c r="AH14" s="493" t="s">
        <v>948</v>
      </c>
      <c r="AI14" s="538" t="e">
        <f ca="1">IF(AI13&lt;AI12,"yes","no")</f>
        <v>#NAME?</v>
      </c>
      <c r="AM14" s="493" t="s">
        <v>948</v>
      </c>
      <c r="AN14" s="538" t="e">
        <f ca="1">IF(AN13&lt;AN12,"yes","no")</f>
        <v>#NAME?</v>
      </c>
    </row>
    <row r="15" spans="1:42">
      <c r="B15" s="19" t="s">
        <v>360</v>
      </c>
      <c r="C15" s="19" t="s">
        <v>361</v>
      </c>
      <c r="D15" s="19" t="s">
        <v>12</v>
      </c>
      <c r="F15" s="512"/>
      <c r="G15" s="512"/>
      <c r="H15" s="512"/>
      <c r="I15" s="512"/>
      <c r="V15" t="s">
        <v>395</v>
      </c>
      <c r="W15" t="e">
        <f ca="1">[1]!CHI_MAX2(B8:C9,R9:S10)</f>
        <v>#NAME?</v>
      </c>
      <c r="X15" t="e">
        <f ca="1">CHIDIST(W15,Y10)</f>
        <v>#NAME?</v>
      </c>
      <c r="Y15">
        <f>CHIINV(Y8,Y10)</f>
        <v>3.8414588206941236</v>
      </c>
      <c r="Z15" t="e">
        <f ca="1">IF(Y15&lt;W15,"Yes","No")</f>
        <v>#NAME?</v>
      </c>
      <c r="AA15" t="e">
        <f ca="1">SQRT(W15/(V10*(MIN(W10,X10)-1)))</f>
        <v>#NAME?</v>
      </c>
    </row>
    <row r="16" spans="1:42">
      <c r="A16" t="s">
        <v>1244</v>
      </c>
      <c r="B16" s="474">
        <f>B10*D8/D10</f>
        <v>24.64</v>
      </c>
      <c r="C16" s="475">
        <f>C10*D8/D10</f>
        <v>63.36</v>
      </c>
      <c r="D16">
        <f>B16+C16</f>
        <v>88</v>
      </c>
      <c r="F16" s="512"/>
      <c r="G16" s="512"/>
      <c r="H16" s="512"/>
      <c r="I16" s="512"/>
    </row>
    <row r="17" spans="1:27">
      <c r="A17" t="s">
        <v>1245</v>
      </c>
      <c r="B17" s="10">
        <f>B10*D9/D10</f>
        <v>17.36</v>
      </c>
      <c r="C17" s="12">
        <f>C10*D9/D10</f>
        <v>44.64</v>
      </c>
      <c r="D17">
        <f>SUM(B17:C17)</f>
        <v>62</v>
      </c>
      <c r="F17" s="512"/>
      <c r="G17" s="512"/>
      <c r="H17" s="512"/>
      <c r="I17" s="512"/>
    </row>
    <row r="18" spans="1:27">
      <c r="A18" t="s">
        <v>12</v>
      </c>
      <c r="B18">
        <f>SUM(B16:B17)</f>
        <v>42</v>
      </c>
      <c r="C18">
        <f>SUM(C16:C17)</f>
        <v>108</v>
      </c>
      <c r="D18">
        <f>SUM(D16:D17)</f>
        <v>150</v>
      </c>
      <c r="F18" s="512"/>
      <c r="G18" s="512"/>
      <c r="H18" s="512"/>
      <c r="I18" s="512"/>
    </row>
    <row r="19" spans="1:27">
      <c r="F19" s="512"/>
      <c r="G19" s="512"/>
      <c r="H19" s="512"/>
      <c r="I19" s="512"/>
    </row>
    <row r="21" spans="1:27">
      <c r="A21" s="1" t="s">
        <v>1283</v>
      </c>
    </row>
    <row r="23" spans="1:27">
      <c r="A23" t="s">
        <v>1226</v>
      </c>
      <c r="F23" t="s">
        <v>1247</v>
      </c>
      <c r="G23" s="117"/>
      <c r="H23" s="117"/>
      <c r="I23" t="s">
        <v>1248</v>
      </c>
      <c r="J23" s="8"/>
      <c r="K23" s="8"/>
    </row>
    <row r="24" spans="1:27">
      <c r="Q24" t="s">
        <v>358</v>
      </c>
      <c r="V24" t="s">
        <v>331</v>
      </c>
    </row>
    <row r="25" spans="1:27">
      <c r="B25" s="19" t="s">
        <v>360</v>
      </c>
      <c r="C25" s="19" t="s">
        <v>361</v>
      </c>
      <c r="D25" s="19" t="s">
        <v>12</v>
      </c>
      <c r="F25" s="477" t="s">
        <v>965</v>
      </c>
      <c r="G25" s="477" t="s">
        <v>989</v>
      </c>
      <c r="H25" s="477" t="s">
        <v>990</v>
      </c>
      <c r="I25" s="477" t="s">
        <v>1227</v>
      </c>
      <c r="J25" s="477" t="s">
        <v>1250</v>
      </c>
      <c r="K25" s="477" t="s">
        <v>1251</v>
      </c>
    </row>
    <row r="26" spans="1:27" ht="15" thickBot="1">
      <c r="A26" t="s">
        <v>362</v>
      </c>
      <c r="B26" s="4">
        <v>31</v>
      </c>
      <c r="C26" s="6">
        <v>57</v>
      </c>
      <c r="D26">
        <f>SUM(B26:C26)</f>
        <v>88</v>
      </c>
      <c r="F26" s="471">
        <v>1</v>
      </c>
      <c r="G26" s="471">
        <v>1</v>
      </c>
      <c r="H26" s="471">
        <v>1</v>
      </c>
      <c r="I26" s="471">
        <f>G26*H26</f>
        <v>1</v>
      </c>
      <c r="J26">
        <f>B34</f>
        <v>21</v>
      </c>
      <c r="K26">
        <f>LN(J26)</f>
        <v>3.044522437723423</v>
      </c>
      <c r="L26" s="19" t="s">
        <v>790</v>
      </c>
      <c r="M26" s="479">
        <f>AVERAGE(K26:K29)</f>
        <v>3.516753242143849</v>
      </c>
      <c r="O26" s="479">
        <f>EXP(M26)</f>
        <v>33.674916480965486</v>
      </c>
      <c r="R26" t="str">
        <f>B25</f>
        <v>Therapy 1</v>
      </c>
      <c r="S26" t="str">
        <f>C25</f>
        <v>Therapy 2</v>
      </c>
      <c r="T26" t="s">
        <v>12</v>
      </c>
      <c r="V26" t="s">
        <v>194</v>
      </c>
      <c r="X26" t="s">
        <v>116</v>
      </c>
      <c r="Y26">
        <v>0.05</v>
      </c>
    </row>
    <row r="27" spans="1:27" ht="15" thickTop="1">
      <c r="A27" t="s">
        <v>363</v>
      </c>
      <c r="B27" s="10">
        <v>11</v>
      </c>
      <c r="C27" s="12">
        <v>51</v>
      </c>
      <c r="D27">
        <f>SUM(B27:C27)</f>
        <v>62</v>
      </c>
      <c r="F27" s="471">
        <f>F26+1</f>
        <v>2</v>
      </c>
      <c r="G27" s="471">
        <v>-1</v>
      </c>
      <c r="H27" s="471">
        <v>1</v>
      </c>
      <c r="I27" s="471">
        <f>G27*H27</f>
        <v>-1</v>
      </c>
      <c r="J27">
        <f>B35</f>
        <v>21</v>
      </c>
      <c r="K27">
        <f>LN(J27)</f>
        <v>3.044522437723423</v>
      </c>
      <c r="L27" s="19" t="s">
        <v>788</v>
      </c>
      <c r="M27" s="376">
        <f>(K26+K28)/2-M26</f>
        <v>0</v>
      </c>
      <c r="O27" s="376">
        <f>EXP(M27)</f>
        <v>1</v>
      </c>
      <c r="Q27" t="str">
        <f>A26</f>
        <v>Cured</v>
      </c>
      <c r="R27" s="128">
        <f t="array" ref="R27:S28">B34:C35</f>
        <v>21</v>
      </c>
      <c r="S27" s="130">
        <v>54</v>
      </c>
      <c r="T27">
        <f>SUM(A26:C26)</f>
        <v>88</v>
      </c>
      <c r="V27" s="76" t="s">
        <v>88</v>
      </c>
      <c r="W27" s="76" t="s">
        <v>390</v>
      </c>
      <c r="X27" s="76" t="s">
        <v>391</v>
      </c>
      <c r="Y27" s="76" t="s">
        <v>186</v>
      </c>
    </row>
    <row r="28" spans="1:27">
      <c r="A28" t="s">
        <v>12</v>
      </c>
      <c r="B28">
        <f>SUM(B26:B27)</f>
        <v>42</v>
      </c>
      <c r="C28">
        <f>SUM(C26:C27)</f>
        <v>108</v>
      </c>
      <c r="D28">
        <f>SUM(D26:D27)</f>
        <v>150</v>
      </c>
      <c r="F28" s="471">
        <f>F27+1</f>
        <v>3</v>
      </c>
      <c r="G28" s="471">
        <v>1</v>
      </c>
      <c r="H28" s="471">
        <v>-1</v>
      </c>
      <c r="I28" s="471">
        <f>G28*H28</f>
        <v>-1</v>
      </c>
      <c r="J28">
        <f>C34</f>
        <v>54</v>
      </c>
      <c r="K28">
        <f>LN(J28)</f>
        <v>3.9889840465642745</v>
      </c>
      <c r="L28" s="19" t="s">
        <v>789</v>
      </c>
      <c r="M28" s="376">
        <f>(K26+K27)/2-M26</f>
        <v>-0.47223080442042598</v>
      </c>
      <c r="O28" s="376">
        <f>EXP(M28)</f>
        <v>0.62360956446232341</v>
      </c>
      <c r="Q28" t="str">
        <f>A27</f>
        <v>Not Cured</v>
      </c>
      <c r="R28" s="497">
        <v>21</v>
      </c>
      <c r="S28" s="498">
        <v>54</v>
      </c>
      <c r="T28">
        <f>SUM(A27:C27)</f>
        <v>62</v>
      </c>
      <c r="V28">
        <f>T29</f>
        <v>150</v>
      </c>
      <c r="W28">
        <f>COUNT(B26:B27)</f>
        <v>2</v>
      </c>
      <c r="X28">
        <f>COUNT(B26:C26)</f>
        <v>2</v>
      </c>
      <c r="Y28">
        <f>2</f>
        <v>2</v>
      </c>
    </row>
    <row r="29" spans="1:27">
      <c r="F29" s="472">
        <f>F28+1</f>
        <v>4</v>
      </c>
      <c r="G29" s="472">
        <v>-1</v>
      </c>
      <c r="H29" s="472">
        <v>-1</v>
      </c>
      <c r="I29" s="472">
        <f>G29*H29</f>
        <v>1</v>
      </c>
      <c r="J29" s="11">
        <f>C35</f>
        <v>54</v>
      </c>
      <c r="K29" s="11">
        <f>LN(J29)</f>
        <v>3.9889840465642745</v>
      </c>
      <c r="L29" s="19" t="s">
        <v>802</v>
      </c>
      <c r="M29" s="268">
        <f>(K26+K29)/2-M26</f>
        <v>0</v>
      </c>
      <c r="O29" s="268">
        <f>EXP(M29)</f>
        <v>1</v>
      </c>
      <c r="Q29" t="s">
        <v>12</v>
      </c>
      <c r="R29">
        <f>SUM(B25:B27)</f>
        <v>42</v>
      </c>
      <c r="S29">
        <f>SUM(C25:C27)</f>
        <v>108</v>
      </c>
      <c r="T29">
        <f>SUM(T27:T28)</f>
        <v>150</v>
      </c>
    </row>
    <row r="30" spans="1:27" ht="15" thickBot="1">
      <c r="F30" s="471"/>
      <c r="G30" s="471"/>
      <c r="H30" s="471"/>
      <c r="I30" s="471"/>
      <c r="V30" t="s">
        <v>392</v>
      </c>
    </row>
    <row r="31" spans="1:27" ht="15" thickTop="1">
      <c r="A31" t="s">
        <v>1229</v>
      </c>
      <c r="F31" s="471"/>
      <c r="G31" s="471"/>
      <c r="H31" s="471"/>
      <c r="I31" s="471"/>
      <c r="V31" s="76" t="s">
        <v>199</v>
      </c>
      <c r="W31" s="76" t="s">
        <v>339</v>
      </c>
      <c r="X31" s="76" t="s">
        <v>200</v>
      </c>
      <c r="Y31" s="76" t="s">
        <v>351</v>
      </c>
      <c r="Z31" s="76" t="s">
        <v>202</v>
      </c>
      <c r="AA31" s="76" t="s">
        <v>394</v>
      </c>
    </row>
    <row r="32" spans="1:27">
      <c r="F32" s="512"/>
      <c r="G32" s="512"/>
      <c r="H32" s="512"/>
      <c r="I32" s="512"/>
      <c r="V32" t="s">
        <v>393</v>
      </c>
      <c r="W32" t="e">
        <f ca="1">[1]!CHI_STAT2(B26:C27,R27:S28)</f>
        <v>#NAME?</v>
      </c>
      <c r="X32" t="e">
        <f ca="1">CHIDIST(W32,Y28)</f>
        <v>#NAME?</v>
      </c>
      <c r="Y32">
        <f>CHIINV(Y26,Y28)</f>
        <v>5.9914645471079817</v>
      </c>
      <c r="Z32" t="e">
        <f ca="1">IF(Y32&lt;W32,"Yes","No")</f>
        <v>#NAME?</v>
      </c>
      <c r="AA32" t="e">
        <f ca="1">SQRT(W32/(V28*(MIN(W28,X28)-1)))</f>
        <v>#NAME?</v>
      </c>
    </row>
    <row r="33" spans="1:27">
      <c r="B33" s="19" t="s">
        <v>360</v>
      </c>
      <c r="C33" s="19" t="s">
        <v>361</v>
      </c>
      <c r="D33" s="19" t="s">
        <v>12</v>
      </c>
      <c r="F33" s="512"/>
      <c r="G33" s="512"/>
      <c r="H33" s="512"/>
      <c r="I33" s="512"/>
      <c r="V33" t="s">
        <v>395</v>
      </c>
      <c r="W33" t="e">
        <f ca="1">[1]!CHI_MAX2(B26:C27,R27:S28)</f>
        <v>#NAME?</v>
      </c>
      <c r="X33" t="e">
        <f ca="1">CHIDIST(W33,Y28)</f>
        <v>#NAME?</v>
      </c>
      <c r="Y33">
        <f>CHIINV(Y26,Y28)</f>
        <v>5.9914645471079817</v>
      </c>
      <c r="Z33" t="e">
        <f ca="1">IF(Y33&lt;W33,"Yes","No")</f>
        <v>#NAME?</v>
      </c>
      <c r="AA33" t="e">
        <f ca="1">SQRT(W33/(V28*(MIN(W28,X28)-1)))</f>
        <v>#NAME?</v>
      </c>
    </row>
    <row r="34" spans="1:27">
      <c r="A34" t="s">
        <v>362</v>
      </c>
      <c r="B34" s="474">
        <f>B28/2</f>
        <v>21</v>
      </c>
      <c r="C34" s="475">
        <f>C28/2</f>
        <v>54</v>
      </c>
      <c r="D34">
        <f>B34+C34</f>
        <v>75</v>
      </c>
      <c r="F34" s="512"/>
      <c r="G34" s="512"/>
      <c r="H34" s="512"/>
      <c r="I34" s="512"/>
    </row>
    <row r="35" spans="1:27">
      <c r="A35" t="s">
        <v>363</v>
      </c>
      <c r="B35" s="10">
        <f>B28/2</f>
        <v>21</v>
      </c>
      <c r="C35" s="12">
        <f>C28/2</f>
        <v>54</v>
      </c>
      <c r="D35">
        <f>SUM(B35:C35)</f>
        <v>75</v>
      </c>
      <c r="F35" s="512"/>
      <c r="G35" s="512"/>
      <c r="H35" s="512"/>
      <c r="I35" s="512"/>
    </row>
    <row r="36" spans="1:27">
      <c r="A36" t="s">
        <v>12</v>
      </c>
      <c r="B36">
        <f>SUM(B34:B35)</f>
        <v>42</v>
      </c>
      <c r="C36">
        <f>SUM(C34:C35)</f>
        <v>108</v>
      </c>
      <c r="D36">
        <f>SUM(D34:D35)</f>
        <v>150</v>
      </c>
      <c r="F36" s="512"/>
      <c r="G36" s="512"/>
      <c r="H36" s="512"/>
      <c r="I36" s="512"/>
    </row>
    <row r="38" spans="1:27">
      <c r="A38" s="1" t="s">
        <v>1282</v>
      </c>
    </row>
    <row r="40" spans="1:27">
      <c r="A40" t="s">
        <v>1226</v>
      </c>
      <c r="F40" t="s">
        <v>1247</v>
      </c>
      <c r="G40" s="117"/>
      <c r="H40" s="117"/>
      <c r="I40" t="s">
        <v>1248</v>
      </c>
      <c r="J40" s="8"/>
      <c r="K40" s="8"/>
    </row>
    <row r="41" spans="1:27">
      <c r="Q41" t="s">
        <v>358</v>
      </c>
      <c r="V41" t="s">
        <v>331</v>
      </c>
    </row>
    <row r="42" spans="1:27">
      <c r="B42" s="19" t="s">
        <v>360</v>
      </c>
      <c r="C42" s="19" t="s">
        <v>361</v>
      </c>
      <c r="D42" s="19" t="s">
        <v>12</v>
      </c>
      <c r="F42" s="477" t="s">
        <v>965</v>
      </c>
      <c r="G42" s="477" t="s">
        <v>989</v>
      </c>
      <c r="H42" s="477" t="s">
        <v>990</v>
      </c>
      <c r="I42" s="477" t="s">
        <v>1227</v>
      </c>
      <c r="J42" s="477" t="s">
        <v>1250</v>
      </c>
      <c r="K42" s="477" t="s">
        <v>1251</v>
      </c>
    </row>
    <row r="43" spans="1:27" ht="15" thickBot="1">
      <c r="A43" t="s">
        <v>362</v>
      </c>
      <c r="B43" s="4">
        <v>31</v>
      </c>
      <c r="C43" s="6">
        <v>57</v>
      </c>
      <c r="D43">
        <f>SUM(B43:C43)</f>
        <v>88</v>
      </c>
      <c r="F43" s="471">
        <v>1</v>
      </c>
      <c r="G43" s="471">
        <v>1</v>
      </c>
      <c r="H43" s="471">
        <v>1</v>
      </c>
      <c r="I43" s="471">
        <f>G43*H43</f>
        <v>1</v>
      </c>
      <c r="J43">
        <f>B51</f>
        <v>44</v>
      </c>
      <c r="K43">
        <f>LN(J43)</f>
        <v>3.784189633918261</v>
      </c>
      <c r="L43" s="19" t="s">
        <v>790</v>
      </c>
      <c r="M43" s="479">
        <f>AVERAGE(K43:K46)</f>
        <v>3.6090884192017034</v>
      </c>
      <c r="O43" s="479">
        <f>EXP(M43)</f>
        <v>36.932370625238768</v>
      </c>
      <c r="R43" t="str">
        <f>B42</f>
        <v>Therapy 1</v>
      </c>
      <c r="S43" t="str">
        <f>C42</f>
        <v>Therapy 2</v>
      </c>
      <c r="T43" t="s">
        <v>12</v>
      </c>
      <c r="V43" t="s">
        <v>194</v>
      </c>
      <c r="X43" t="s">
        <v>116</v>
      </c>
      <c r="Y43">
        <v>0.05</v>
      </c>
    </row>
    <row r="44" spans="1:27" ht="15" thickTop="1">
      <c r="A44" t="s">
        <v>363</v>
      </c>
      <c r="B44" s="10">
        <v>11</v>
      </c>
      <c r="C44" s="12">
        <v>51</v>
      </c>
      <c r="D44">
        <f>SUM(B44:C44)</f>
        <v>62</v>
      </c>
      <c r="F44" s="471">
        <f>F43+1</f>
        <v>2</v>
      </c>
      <c r="G44" s="471">
        <v>-1</v>
      </c>
      <c r="H44" s="471">
        <v>1</v>
      </c>
      <c r="I44" s="471">
        <f>G44*H44</f>
        <v>-1</v>
      </c>
      <c r="J44">
        <f>B52</f>
        <v>31</v>
      </c>
      <c r="K44">
        <f>LN(J44)</f>
        <v>3.4339872044851463</v>
      </c>
      <c r="L44" s="19" t="s">
        <v>788</v>
      </c>
      <c r="M44" s="376">
        <f>(K43+K45)/2-M43</f>
        <v>0.1751012147165576</v>
      </c>
      <c r="O44" s="376">
        <f>EXP(M44)</f>
        <v>1.1913667943625412</v>
      </c>
      <c r="Q44" t="str">
        <f>A43</f>
        <v>Cured</v>
      </c>
      <c r="R44" s="128">
        <f t="array" ref="R44:S45">B51:C52</f>
        <v>44</v>
      </c>
      <c r="S44" s="130">
        <v>44</v>
      </c>
      <c r="T44">
        <f>SUM(A43:C43)</f>
        <v>88</v>
      </c>
      <c r="V44" s="76" t="s">
        <v>88</v>
      </c>
      <c r="W44" s="76" t="s">
        <v>390</v>
      </c>
      <c r="X44" s="76" t="s">
        <v>391</v>
      </c>
      <c r="Y44" s="76" t="s">
        <v>186</v>
      </c>
    </row>
    <row r="45" spans="1:27">
      <c r="A45" t="s">
        <v>12</v>
      </c>
      <c r="B45">
        <f>SUM(B43:B44)</f>
        <v>42</v>
      </c>
      <c r="C45">
        <f>SUM(C43:C44)</f>
        <v>108</v>
      </c>
      <c r="D45">
        <f>SUM(D43:D44)</f>
        <v>150</v>
      </c>
      <c r="F45" s="471">
        <f>F44+1</f>
        <v>3</v>
      </c>
      <c r="G45" s="471">
        <v>1</v>
      </c>
      <c r="H45" s="471">
        <v>-1</v>
      </c>
      <c r="I45" s="471">
        <f>G45*H45</f>
        <v>-1</v>
      </c>
      <c r="J45">
        <f>C51</f>
        <v>44</v>
      </c>
      <c r="K45">
        <f>LN(J45)</f>
        <v>3.784189633918261</v>
      </c>
      <c r="L45" s="19" t="s">
        <v>789</v>
      </c>
      <c r="M45" s="376">
        <f>(K43+K44)/2-M43</f>
        <v>0</v>
      </c>
      <c r="O45" s="376">
        <f>EXP(M45)</f>
        <v>1</v>
      </c>
      <c r="Q45" t="str">
        <f>A44</f>
        <v>Not Cured</v>
      </c>
      <c r="R45" s="497">
        <v>31</v>
      </c>
      <c r="S45" s="498">
        <v>31</v>
      </c>
      <c r="T45">
        <f>SUM(A44:C44)</f>
        <v>62</v>
      </c>
      <c r="V45">
        <f>T46</f>
        <v>150</v>
      </c>
      <c r="W45">
        <f>COUNT(B43:B44)</f>
        <v>2</v>
      </c>
      <c r="X45">
        <f>COUNT(B43:C43)</f>
        <v>2</v>
      </c>
      <c r="Y45">
        <f>2</f>
        <v>2</v>
      </c>
    </row>
    <row r="46" spans="1:27">
      <c r="F46" s="472">
        <f>F45+1</f>
        <v>4</v>
      </c>
      <c r="G46" s="472">
        <v>-1</v>
      </c>
      <c r="H46" s="472">
        <v>-1</v>
      </c>
      <c r="I46" s="472">
        <f>G46*H46</f>
        <v>1</v>
      </c>
      <c r="J46" s="11">
        <f>C52</f>
        <v>31</v>
      </c>
      <c r="K46" s="11">
        <f>LN(J46)</f>
        <v>3.4339872044851463</v>
      </c>
      <c r="L46" s="19" t="s">
        <v>802</v>
      </c>
      <c r="M46" s="268">
        <f>(K43+K46)/2-M43</f>
        <v>0</v>
      </c>
      <c r="O46" s="268">
        <f>EXP(M46)</f>
        <v>1</v>
      </c>
      <c r="Q46" t="s">
        <v>12</v>
      </c>
      <c r="R46">
        <f>SUM(B42:B44)</f>
        <v>42</v>
      </c>
      <c r="S46">
        <f>SUM(C42:C44)</f>
        <v>108</v>
      </c>
      <c r="T46">
        <f>SUM(T44:T45)</f>
        <v>150</v>
      </c>
    </row>
    <row r="47" spans="1:27" ht="15" thickBot="1">
      <c r="F47" s="471"/>
      <c r="G47" s="471"/>
      <c r="H47" s="471"/>
      <c r="I47" s="471"/>
      <c r="V47" t="s">
        <v>392</v>
      </c>
    </row>
    <row r="48" spans="1:27" ht="15" thickTop="1">
      <c r="A48" t="s">
        <v>1229</v>
      </c>
      <c r="F48" s="471"/>
      <c r="G48" s="471"/>
      <c r="H48" s="471"/>
      <c r="I48" s="471"/>
      <c r="V48" s="76" t="s">
        <v>199</v>
      </c>
      <c r="W48" s="76" t="s">
        <v>339</v>
      </c>
      <c r="X48" s="76" t="s">
        <v>200</v>
      </c>
      <c r="Y48" s="76" t="s">
        <v>351</v>
      </c>
      <c r="Z48" s="76" t="s">
        <v>202</v>
      </c>
      <c r="AA48" s="76" t="s">
        <v>394</v>
      </c>
    </row>
    <row r="49" spans="1:27">
      <c r="F49" s="512"/>
      <c r="G49" s="512"/>
      <c r="H49" s="512"/>
      <c r="I49" s="512"/>
      <c r="V49" t="s">
        <v>393</v>
      </c>
      <c r="W49" t="e">
        <f ca="1">[1]!CHI_STAT2(B43:C44,R44:S45)</f>
        <v>#NAME?</v>
      </c>
      <c r="X49" t="e">
        <f ca="1">CHIDIST(W49,Y45)</f>
        <v>#NAME?</v>
      </c>
      <c r="Y49">
        <f>CHIINV(Y43,Y45)</f>
        <v>5.9914645471079817</v>
      </c>
      <c r="Z49" t="e">
        <f ca="1">IF(Y49&lt;W49,"Yes","No")</f>
        <v>#NAME?</v>
      </c>
      <c r="AA49" t="e">
        <f ca="1">SQRT(W49/(V45*(MIN(W45,X45)-1)))</f>
        <v>#NAME?</v>
      </c>
    </row>
    <row r="50" spans="1:27">
      <c r="B50" s="19" t="s">
        <v>360</v>
      </c>
      <c r="C50" s="19" t="s">
        <v>361</v>
      </c>
      <c r="D50" s="19" t="s">
        <v>12</v>
      </c>
      <c r="F50" s="512"/>
      <c r="G50" s="512"/>
      <c r="H50" s="512"/>
      <c r="I50" s="512"/>
      <c r="V50" t="s">
        <v>395</v>
      </c>
      <c r="W50" t="e">
        <f ca="1">[1]!CHI_MAX2(B43:C44,R44:S45)</f>
        <v>#NAME?</v>
      </c>
      <c r="X50" t="e">
        <f ca="1">CHIDIST(W50,Y45)</f>
        <v>#NAME?</v>
      </c>
      <c r="Y50">
        <f>CHIINV(Y43,Y45)</f>
        <v>5.9914645471079817</v>
      </c>
      <c r="Z50" t="e">
        <f ca="1">IF(Y50&lt;W50,"Yes","No")</f>
        <v>#NAME?</v>
      </c>
      <c r="AA50" t="e">
        <f ca="1">SQRT(W50/(V45*(MIN(W45,X45)-1)))</f>
        <v>#NAME?</v>
      </c>
    </row>
    <row r="51" spans="1:27">
      <c r="A51" t="s">
        <v>1244</v>
      </c>
      <c r="B51" s="474">
        <f>D43/2</f>
        <v>44</v>
      </c>
      <c r="C51" s="475">
        <f>D43/2</f>
        <v>44</v>
      </c>
      <c r="D51">
        <f>B51+C51</f>
        <v>88</v>
      </c>
      <c r="F51" s="512"/>
      <c r="G51" s="512"/>
      <c r="H51" s="512"/>
      <c r="I51" s="512"/>
    </row>
    <row r="52" spans="1:27">
      <c r="A52" t="s">
        <v>1245</v>
      </c>
      <c r="B52" s="10">
        <f>D44/2</f>
        <v>31</v>
      </c>
      <c r="C52" s="12">
        <f>D44/2</f>
        <v>31</v>
      </c>
      <c r="D52">
        <f>SUM(B52:C52)</f>
        <v>62</v>
      </c>
      <c r="F52" s="512"/>
      <c r="G52" s="512"/>
      <c r="H52" s="512"/>
      <c r="I52" s="512"/>
    </row>
    <row r="53" spans="1:27">
      <c r="A53" t="s">
        <v>12</v>
      </c>
      <c r="B53">
        <f>SUM(B51:B52)</f>
        <v>75</v>
      </c>
      <c r="C53">
        <f>SUM(C51:C52)</f>
        <v>75</v>
      </c>
      <c r="D53">
        <f>SUM(D51:D52)</f>
        <v>150</v>
      </c>
      <c r="F53" s="512"/>
      <c r="G53" s="512"/>
      <c r="H53" s="512"/>
      <c r="I53" s="512"/>
    </row>
    <row r="54" spans="1:27">
      <c r="F54" s="512"/>
      <c r="G54" s="512"/>
      <c r="H54" s="512"/>
      <c r="I54" s="512"/>
    </row>
    <row r="55" spans="1:27">
      <c r="A55" s="1" t="s">
        <v>1277</v>
      </c>
    </row>
    <row r="57" spans="1:27">
      <c r="A57" t="s">
        <v>1226</v>
      </c>
      <c r="F57" t="s">
        <v>1247</v>
      </c>
      <c r="G57" s="117"/>
      <c r="H57" s="117"/>
      <c r="I57" t="s">
        <v>1248</v>
      </c>
      <c r="J57" s="8"/>
      <c r="K57" s="8"/>
    </row>
    <row r="58" spans="1:27">
      <c r="Q58" t="s">
        <v>358</v>
      </c>
      <c r="V58" t="s">
        <v>331</v>
      </c>
    </row>
    <row r="59" spans="1:27">
      <c r="B59" s="19" t="s">
        <v>360</v>
      </c>
      <c r="C59" s="19" t="s">
        <v>361</v>
      </c>
      <c r="D59" s="19" t="s">
        <v>12</v>
      </c>
      <c r="F59" s="477" t="s">
        <v>965</v>
      </c>
      <c r="G59" s="477" t="s">
        <v>989</v>
      </c>
      <c r="H59" s="477" t="s">
        <v>990</v>
      </c>
      <c r="I59" s="477" t="s">
        <v>1227</v>
      </c>
      <c r="J59" s="477" t="s">
        <v>1250</v>
      </c>
      <c r="K59" s="477" t="s">
        <v>1251</v>
      </c>
    </row>
    <row r="60" spans="1:27" ht="15" thickBot="1">
      <c r="A60" t="s">
        <v>362</v>
      </c>
      <c r="B60" s="4">
        <v>31</v>
      </c>
      <c r="C60" s="6">
        <v>57</v>
      </c>
      <c r="D60">
        <f>SUM(B60:C60)</f>
        <v>88</v>
      </c>
      <c r="F60" s="471">
        <v>1</v>
      </c>
      <c r="G60" s="471">
        <v>1</v>
      </c>
      <c r="H60" s="471">
        <v>1</v>
      </c>
      <c r="I60" s="471">
        <f>G60*H60</f>
        <v>1</v>
      </c>
      <c r="J60">
        <f>B68</f>
        <v>37.5</v>
      </c>
      <c r="K60">
        <f>LN(J60)</f>
        <v>3.6243409329763652</v>
      </c>
      <c r="L60" s="19" t="s">
        <v>790</v>
      </c>
      <c r="M60" s="479">
        <f>AVERAGE(K60:K63)</f>
        <v>3.6243409329763652</v>
      </c>
      <c r="O60" s="479">
        <f>EXP(M60)</f>
        <v>37.5</v>
      </c>
      <c r="R60" t="str">
        <f>B59</f>
        <v>Therapy 1</v>
      </c>
      <c r="S60" t="str">
        <f>C59</f>
        <v>Therapy 2</v>
      </c>
      <c r="T60" t="s">
        <v>12</v>
      </c>
      <c r="V60" t="s">
        <v>194</v>
      </c>
      <c r="X60" t="s">
        <v>116</v>
      </c>
      <c r="Y60">
        <v>0.05</v>
      </c>
    </row>
    <row r="61" spans="1:27" ht="15" thickTop="1">
      <c r="A61" t="s">
        <v>363</v>
      </c>
      <c r="B61" s="10">
        <v>11</v>
      </c>
      <c r="C61" s="12">
        <v>51</v>
      </c>
      <c r="D61">
        <f>SUM(B61:C61)</f>
        <v>62</v>
      </c>
      <c r="F61" s="471">
        <f>F60+1</f>
        <v>2</v>
      </c>
      <c r="G61" s="471">
        <v>-1</v>
      </c>
      <c r="H61" s="471">
        <v>1</v>
      </c>
      <c r="I61" s="471">
        <f>G61*H61</f>
        <v>-1</v>
      </c>
      <c r="J61">
        <f>B69</f>
        <v>37.5</v>
      </c>
      <c r="K61">
        <f>LN(J61)</f>
        <v>3.6243409329763652</v>
      </c>
      <c r="L61" s="19" t="s">
        <v>788</v>
      </c>
      <c r="M61" s="376">
        <f>(K60+K62)/2-M60</f>
        <v>0</v>
      </c>
      <c r="O61" s="376">
        <f>EXP(M61)</f>
        <v>1</v>
      </c>
      <c r="Q61" t="str">
        <f>A60</f>
        <v>Cured</v>
      </c>
      <c r="R61" s="128">
        <f t="array" ref="R61:S62">B68:C69</f>
        <v>37.5</v>
      </c>
      <c r="S61" s="130">
        <v>37.5</v>
      </c>
      <c r="T61">
        <f>SUM(A60:C60)</f>
        <v>88</v>
      </c>
      <c r="V61" s="76" t="s">
        <v>88</v>
      </c>
      <c r="W61" s="76" t="s">
        <v>390</v>
      </c>
      <c r="X61" s="76" t="s">
        <v>391</v>
      </c>
      <c r="Y61" s="76" t="s">
        <v>186</v>
      </c>
    </row>
    <row r="62" spans="1:27">
      <c r="A62" t="s">
        <v>12</v>
      </c>
      <c r="B62">
        <f>SUM(B60:B61)</f>
        <v>42</v>
      </c>
      <c r="C62">
        <f>SUM(C60:C61)</f>
        <v>108</v>
      </c>
      <c r="D62">
        <f>SUM(D60:D61)</f>
        <v>150</v>
      </c>
      <c r="F62" s="471">
        <f>F61+1</f>
        <v>3</v>
      </c>
      <c r="G62" s="471">
        <v>1</v>
      </c>
      <c r="H62" s="471">
        <v>-1</v>
      </c>
      <c r="I62" s="471">
        <f>G62*H62</f>
        <v>-1</v>
      </c>
      <c r="J62">
        <f>C68</f>
        <v>37.5</v>
      </c>
      <c r="K62">
        <f>LN(J62)</f>
        <v>3.6243409329763652</v>
      </c>
      <c r="L62" s="19" t="s">
        <v>789</v>
      </c>
      <c r="M62" s="376">
        <f>(K60+K61)/2-M60</f>
        <v>0</v>
      </c>
      <c r="O62" s="376">
        <f>EXP(M62)</f>
        <v>1</v>
      </c>
      <c r="Q62" t="str">
        <f>A61</f>
        <v>Not Cured</v>
      </c>
      <c r="R62" s="497">
        <v>37.5</v>
      </c>
      <c r="S62" s="498">
        <v>37.5</v>
      </c>
      <c r="T62">
        <f>SUM(A61:C61)</f>
        <v>62</v>
      </c>
      <c r="V62">
        <f>T63</f>
        <v>150</v>
      </c>
      <c r="W62">
        <f>COUNT(B60:B61)</f>
        <v>2</v>
      </c>
      <c r="X62">
        <f>COUNT(B60:C60)</f>
        <v>2</v>
      </c>
      <c r="Y62">
        <v>3</v>
      </c>
    </row>
    <row r="63" spans="1:27">
      <c r="F63" s="472">
        <f>F62+1</f>
        <v>4</v>
      </c>
      <c r="G63" s="472">
        <v>-1</v>
      </c>
      <c r="H63" s="472">
        <v>-1</v>
      </c>
      <c r="I63" s="472">
        <f>G63*H63</f>
        <v>1</v>
      </c>
      <c r="J63" s="11">
        <f>C69</f>
        <v>37.5</v>
      </c>
      <c r="K63" s="11">
        <f>LN(J63)</f>
        <v>3.6243409329763652</v>
      </c>
      <c r="L63" s="19" t="s">
        <v>802</v>
      </c>
      <c r="M63" s="268">
        <f>(K60+K63)/2-M60</f>
        <v>0</v>
      </c>
      <c r="O63" s="268">
        <f>EXP(M63)</f>
        <v>1</v>
      </c>
      <c r="Q63" t="s">
        <v>12</v>
      </c>
      <c r="R63">
        <f>SUM(B59:B61)</f>
        <v>42</v>
      </c>
      <c r="S63">
        <f>SUM(C59:C61)</f>
        <v>108</v>
      </c>
      <c r="T63">
        <f>SUM(T61:T62)</f>
        <v>150</v>
      </c>
    </row>
    <row r="64" spans="1:27" ht="15" thickBot="1">
      <c r="F64" s="471"/>
      <c r="G64" s="471"/>
      <c r="H64" s="471"/>
      <c r="I64" s="471"/>
      <c r="V64" t="s">
        <v>392</v>
      </c>
    </row>
    <row r="65" spans="1:27" ht="15" thickTop="1">
      <c r="A65" t="s">
        <v>1229</v>
      </c>
      <c r="F65" s="471"/>
      <c r="G65" s="471"/>
      <c r="H65" s="471"/>
      <c r="I65" s="471"/>
      <c r="V65" s="76" t="s">
        <v>199</v>
      </c>
      <c r="W65" s="76" t="s">
        <v>339</v>
      </c>
      <c r="X65" s="76" t="s">
        <v>200</v>
      </c>
      <c r="Y65" s="76" t="s">
        <v>351</v>
      </c>
      <c r="Z65" s="76" t="s">
        <v>202</v>
      </c>
      <c r="AA65" s="76" t="s">
        <v>394</v>
      </c>
    </row>
    <row r="66" spans="1:27">
      <c r="F66" s="512"/>
      <c r="G66" s="512"/>
      <c r="H66" s="512"/>
      <c r="I66" s="512"/>
      <c r="V66" t="s">
        <v>393</v>
      </c>
      <c r="W66" t="e">
        <f ca="1">[1]!CHI_STAT2(B60:C61,R61:S62)</f>
        <v>#NAME?</v>
      </c>
      <c r="X66" t="e">
        <f ca="1">CHIDIST(W66,Y62)</f>
        <v>#NAME?</v>
      </c>
      <c r="Y66">
        <f>CHIINV(Y60,Y62)</f>
        <v>7.8147279032511792</v>
      </c>
      <c r="Z66" t="e">
        <f ca="1">IF(Y66&lt;W66,"Yes","No")</f>
        <v>#NAME?</v>
      </c>
      <c r="AA66" t="e">
        <f ca="1">SQRT(W66/(V62*(MIN(W62,X62)-1)))</f>
        <v>#NAME?</v>
      </c>
    </row>
    <row r="67" spans="1:27">
      <c r="B67" s="19" t="s">
        <v>360</v>
      </c>
      <c r="C67" s="19" t="s">
        <v>361</v>
      </c>
      <c r="D67" s="19" t="s">
        <v>12</v>
      </c>
      <c r="F67" s="512"/>
      <c r="G67" s="512"/>
      <c r="H67" s="512"/>
      <c r="I67" s="512"/>
      <c r="V67" t="s">
        <v>395</v>
      </c>
      <c r="W67" t="e">
        <f ca="1">[1]!CHI_MAX2(B60:C61,R61:S62)</f>
        <v>#NAME?</v>
      </c>
      <c r="X67" t="e">
        <f ca="1">CHIDIST(W67,Y62)</f>
        <v>#NAME?</v>
      </c>
      <c r="Y67">
        <f>CHIINV(Y60,Y62)</f>
        <v>7.8147279032511792</v>
      </c>
      <c r="Z67" t="e">
        <f ca="1">IF(Y67&lt;W67,"Yes","No")</f>
        <v>#NAME?</v>
      </c>
      <c r="AA67" t="e">
        <f ca="1">SQRT(W67/(V62*(MIN(W62,X62)-1)))</f>
        <v>#NAME?</v>
      </c>
    </row>
    <row r="68" spans="1:27">
      <c r="A68" t="s">
        <v>1244</v>
      </c>
      <c r="B68" s="474">
        <f>D62/4</f>
        <v>37.5</v>
      </c>
      <c r="C68" s="475">
        <f>D62/4</f>
        <v>37.5</v>
      </c>
      <c r="D68">
        <f>B68+C68</f>
        <v>75</v>
      </c>
      <c r="F68" s="512"/>
      <c r="G68" s="512"/>
      <c r="H68" s="512"/>
      <c r="I68" s="512"/>
    </row>
    <row r="69" spans="1:27">
      <c r="A69" t="s">
        <v>1245</v>
      </c>
      <c r="B69" s="10">
        <f>D62/4</f>
        <v>37.5</v>
      </c>
      <c r="C69" s="12">
        <f>D62/4</f>
        <v>37.5</v>
      </c>
      <c r="D69">
        <f>SUM(B69:C69)</f>
        <v>75</v>
      </c>
      <c r="F69" s="512"/>
      <c r="G69" s="512"/>
      <c r="H69" s="512"/>
      <c r="I69" s="512"/>
    </row>
    <row r="70" spans="1:27">
      <c r="A70" t="s">
        <v>12</v>
      </c>
      <c r="B70">
        <f>SUM(B68:B69)</f>
        <v>75</v>
      </c>
      <c r="C70">
        <f>SUM(C68:C69)</f>
        <v>75</v>
      </c>
      <c r="D70">
        <f>SUM(D68:D69)</f>
        <v>150</v>
      </c>
      <c r="F70" s="512"/>
      <c r="G70" s="512"/>
      <c r="H70" s="512"/>
      <c r="I70" s="512"/>
    </row>
    <row r="71" spans="1:27">
      <c r="F71" s="512"/>
      <c r="G71" s="512"/>
      <c r="H71" s="512"/>
      <c r="I71" s="512"/>
    </row>
    <row r="72" spans="1:27" s="1" customFormat="1">
      <c r="A72" s="1" t="s">
        <v>1276</v>
      </c>
      <c r="F72" s="499"/>
      <c r="G72" s="499"/>
      <c r="H72" s="499"/>
      <c r="I72" s="499"/>
      <c r="J72" s="500"/>
      <c r="K72" s="500"/>
    </row>
    <row r="73" spans="1:27">
      <c r="F73" s="117"/>
      <c r="G73" s="117"/>
      <c r="H73" s="117"/>
      <c r="I73" s="117"/>
      <c r="J73" s="8"/>
      <c r="K73" s="8"/>
    </row>
    <row r="74" spans="1:27">
      <c r="A74" t="s">
        <v>1226</v>
      </c>
      <c r="F74" t="s">
        <v>1247</v>
      </c>
      <c r="G74" s="117"/>
      <c r="H74" s="117"/>
      <c r="I74" t="s">
        <v>1248</v>
      </c>
      <c r="J74" s="8"/>
      <c r="K74" s="8"/>
    </row>
    <row r="75" spans="1:27">
      <c r="Q75" t="s">
        <v>358</v>
      </c>
      <c r="V75" t="s">
        <v>331</v>
      </c>
    </row>
    <row r="76" spans="1:27">
      <c r="B76" s="19" t="s">
        <v>360</v>
      </c>
      <c r="C76" s="19" t="s">
        <v>361</v>
      </c>
      <c r="D76" s="19" t="s">
        <v>12</v>
      </c>
      <c r="F76" s="477" t="s">
        <v>965</v>
      </c>
      <c r="G76" s="477" t="s">
        <v>989</v>
      </c>
      <c r="H76" s="477" t="s">
        <v>990</v>
      </c>
      <c r="I76" s="477" t="s">
        <v>1227</v>
      </c>
      <c r="J76" s="477" t="s">
        <v>1249</v>
      </c>
      <c r="K76" s="477" t="s">
        <v>759</v>
      </c>
    </row>
    <row r="77" spans="1:27" ht="15" thickBot="1">
      <c r="A77" t="s">
        <v>362</v>
      </c>
      <c r="B77" s="4">
        <v>31</v>
      </c>
      <c r="C77" s="6">
        <v>57</v>
      </c>
      <c r="D77">
        <f>SUM(B77:C77)</f>
        <v>88</v>
      </c>
      <c r="F77" s="471">
        <v>1</v>
      </c>
      <c r="G77" s="471">
        <v>1</v>
      </c>
      <c r="H77" s="471">
        <v>1</v>
      </c>
      <c r="I77" s="471">
        <f>G77*H77</f>
        <v>1</v>
      </c>
      <c r="J77">
        <f>B77</f>
        <v>31</v>
      </c>
      <c r="K77">
        <f>LN(J77)</f>
        <v>3.4339872044851463</v>
      </c>
      <c r="L77" s="19" t="s">
        <v>790</v>
      </c>
      <c r="M77" s="479">
        <f>AVERAGE(K77:K80)</f>
        <v>3.4516898444605983</v>
      </c>
      <c r="O77" s="479">
        <f>EXP(M77)</f>
        <v>31.553668073397692</v>
      </c>
      <c r="R77" t="str">
        <f>B76</f>
        <v>Therapy 1</v>
      </c>
      <c r="S77" t="str">
        <f>C76</f>
        <v>Therapy 2</v>
      </c>
      <c r="T77" t="s">
        <v>12</v>
      </c>
      <c r="V77" t="s">
        <v>194</v>
      </c>
      <c r="X77" t="s">
        <v>116</v>
      </c>
      <c r="Y77">
        <v>0.05</v>
      </c>
    </row>
    <row r="78" spans="1:27" ht="15" thickTop="1">
      <c r="A78" t="s">
        <v>363</v>
      </c>
      <c r="B78" s="10">
        <v>11</v>
      </c>
      <c r="C78" s="12">
        <v>51</v>
      </c>
      <c r="D78">
        <f>SUM(B78:C78)</f>
        <v>62</v>
      </c>
      <c r="F78" s="471">
        <f>F77+1</f>
        <v>2</v>
      </c>
      <c r="G78" s="471">
        <v>-1</v>
      </c>
      <c r="H78" s="471">
        <v>1</v>
      </c>
      <c r="I78" s="471">
        <f>G78*H78</f>
        <v>-1</v>
      </c>
      <c r="J78">
        <f>B78</f>
        <v>11</v>
      </c>
      <c r="K78">
        <f>LN(J78)</f>
        <v>2.3978952727983707</v>
      </c>
      <c r="L78" s="19" t="s">
        <v>788</v>
      </c>
      <c r="M78" s="376">
        <f>(K77+K79)/2-M77</f>
        <v>0.28682939169924992</v>
      </c>
      <c r="O78" s="376">
        <f>EXP(M78)</f>
        <v>1.3321969102351976</v>
      </c>
      <c r="Q78" t="str">
        <f>A77</f>
        <v>Cured</v>
      </c>
      <c r="R78" s="128">
        <f t="array" ref="R78:S79">B85:C86</f>
        <v>31</v>
      </c>
      <c r="S78" s="130">
        <v>57</v>
      </c>
      <c r="T78">
        <f>SUM(A77:C77)</f>
        <v>88</v>
      </c>
      <c r="V78" s="76" t="s">
        <v>88</v>
      </c>
      <c r="W78" s="76" t="s">
        <v>390</v>
      </c>
      <c r="X78" s="76" t="s">
        <v>391</v>
      </c>
      <c r="Y78" s="76" t="s">
        <v>186</v>
      </c>
    </row>
    <row r="79" spans="1:27">
      <c r="A79" t="s">
        <v>12</v>
      </c>
      <c r="B79">
        <f>SUM(B77:B78)</f>
        <v>42</v>
      </c>
      <c r="C79">
        <f>SUM(C77:C78)</f>
        <v>108</v>
      </c>
      <c r="D79">
        <f>SUM(D77:D78)</f>
        <v>150</v>
      </c>
      <c r="F79" s="471">
        <f>F78+1</f>
        <v>3</v>
      </c>
      <c r="G79" s="471">
        <v>1</v>
      </c>
      <c r="H79" s="471">
        <v>-1</v>
      </c>
      <c r="I79" s="471">
        <f>G79*H79</f>
        <v>-1</v>
      </c>
      <c r="J79">
        <f>C77</f>
        <v>57</v>
      </c>
      <c r="K79">
        <f>LN(J79)</f>
        <v>4.0430512678345503</v>
      </c>
      <c r="L79" s="19" t="s">
        <v>789</v>
      </c>
      <c r="M79" s="376">
        <f>(K77+K78)/2-M77</f>
        <v>-0.53574860581883987</v>
      </c>
      <c r="O79" s="376">
        <f>EXP(M79)</f>
        <v>0.58523101877299288</v>
      </c>
      <c r="Q79" t="str">
        <f>A78</f>
        <v>Not Cured</v>
      </c>
      <c r="R79" s="497">
        <v>11</v>
      </c>
      <c r="S79" s="498">
        <v>51</v>
      </c>
      <c r="T79">
        <f>SUM(A78:C78)</f>
        <v>62</v>
      </c>
      <c r="V79">
        <f>T80</f>
        <v>150</v>
      </c>
      <c r="W79">
        <f>COUNT(B77:B78)</f>
        <v>2</v>
      </c>
      <c r="X79">
        <f>COUNT(B77:C77)</f>
        <v>2</v>
      </c>
      <c r="Y79">
        <v>0</v>
      </c>
    </row>
    <row r="80" spans="1:27">
      <c r="F80" s="472">
        <f>F79+1</f>
        <v>4</v>
      </c>
      <c r="G80" s="472">
        <v>-1</v>
      </c>
      <c r="H80" s="472">
        <v>-1</v>
      </c>
      <c r="I80" s="472">
        <f>G80*H80</f>
        <v>1</v>
      </c>
      <c r="J80" s="11">
        <f>C78</f>
        <v>51</v>
      </c>
      <c r="K80" s="11">
        <f>LN(J80)</f>
        <v>3.9318256327243257</v>
      </c>
      <c r="L80" s="19" t="s">
        <v>802</v>
      </c>
      <c r="M80" s="268">
        <f>(K77+K80)/2-M77</f>
        <v>0.23121657414413743</v>
      </c>
      <c r="O80" s="268">
        <f>EXP(M80)</f>
        <v>1.2601321219343276</v>
      </c>
      <c r="Q80" t="s">
        <v>12</v>
      </c>
      <c r="R80">
        <f>SUM(B76:B78)</f>
        <v>42</v>
      </c>
      <c r="S80">
        <f>SUM(C76:C78)</f>
        <v>108</v>
      </c>
      <c r="T80">
        <f>SUM(T78:T79)</f>
        <v>150</v>
      </c>
    </row>
    <row r="81" spans="1:27" ht="15" thickBot="1">
      <c r="F81" s="471"/>
      <c r="G81" s="471"/>
      <c r="H81" s="471"/>
      <c r="I81" s="471"/>
      <c r="V81" t="s">
        <v>392</v>
      </c>
    </row>
    <row r="82" spans="1:27" ht="15" thickTop="1">
      <c r="A82" t="s">
        <v>1229</v>
      </c>
      <c r="F82" s="471"/>
      <c r="G82" s="471"/>
      <c r="H82" s="471"/>
      <c r="I82" s="471"/>
      <c r="V82" s="76" t="s">
        <v>199</v>
      </c>
      <c r="W82" s="76" t="s">
        <v>339</v>
      </c>
      <c r="X82" s="76" t="s">
        <v>200</v>
      </c>
      <c r="Y82" s="76" t="s">
        <v>351</v>
      </c>
      <c r="Z82" s="76" t="s">
        <v>202</v>
      </c>
      <c r="AA82" s="76" t="s">
        <v>394</v>
      </c>
    </row>
    <row r="83" spans="1:27">
      <c r="F83" s="512"/>
      <c r="G83" s="512"/>
      <c r="H83" s="512"/>
      <c r="I83" s="512"/>
      <c r="V83" t="s">
        <v>393</v>
      </c>
      <c r="W83" t="e">
        <f ca="1">[1]!CHI_STAT2(B77:C78,R78:S79)</f>
        <v>#NAME?</v>
      </c>
      <c r="X83" t="e">
        <f ca="1">CHIDIST(W83,Y79)</f>
        <v>#NAME?</v>
      </c>
      <c r="Y83" t="e">
        <f>CHIINV(Y77,Y79)</f>
        <v>#NUM!</v>
      </c>
      <c r="Z83" t="e">
        <f ca="1">IF(Y83&lt;W83,"Yes","No")</f>
        <v>#NUM!</v>
      </c>
      <c r="AA83" t="e">
        <f ca="1">SQRT(W83/(V79*(MIN(W79,X79)-1)))</f>
        <v>#NAME?</v>
      </c>
    </row>
    <row r="84" spans="1:27">
      <c r="B84" s="19" t="s">
        <v>360</v>
      </c>
      <c r="C84" s="19" t="s">
        <v>361</v>
      </c>
      <c r="D84" s="19" t="s">
        <v>12</v>
      </c>
      <c r="F84" s="512"/>
      <c r="G84" s="512"/>
      <c r="H84" s="512"/>
      <c r="I84" s="512"/>
      <c r="V84" t="s">
        <v>395</v>
      </c>
      <c r="W84" t="e">
        <f ca="1">[1]!CHI_MAX2(B77:C78,R78:S79)</f>
        <v>#NAME?</v>
      </c>
      <c r="X84" t="e">
        <f ca="1">CHIDIST(W84,Y79)</f>
        <v>#NAME?</v>
      </c>
      <c r="Y84" t="e">
        <f>CHIINV(Y77,Y79)</f>
        <v>#NUM!</v>
      </c>
      <c r="Z84" t="e">
        <f ca="1">IF(Y84&lt;W84,"Yes","No")</f>
        <v>#NUM!</v>
      </c>
      <c r="AA84" t="e">
        <f ca="1">SQRT(W84/(V79*(MIN(W79,X79)-1)))</f>
        <v>#NAME?</v>
      </c>
    </row>
    <row r="85" spans="1:27">
      <c r="A85" t="s">
        <v>1244</v>
      </c>
      <c r="B85" s="474">
        <f t="array" ref="B85:C86">B77:C78</f>
        <v>31</v>
      </c>
      <c r="C85" s="475">
        <v>57</v>
      </c>
      <c r="D85">
        <f>B85+C85</f>
        <v>88</v>
      </c>
      <c r="F85" s="512"/>
      <c r="G85" s="512"/>
      <c r="H85" s="512"/>
      <c r="I85" s="512"/>
    </row>
    <row r="86" spans="1:27">
      <c r="A86" t="s">
        <v>1245</v>
      </c>
      <c r="B86" s="10">
        <v>11</v>
      </c>
      <c r="C86" s="12">
        <v>51</v>
      </c>
      <c r="D86">
        <f>SUM(B86:C86)</f>
        <v>62</v>
      </c>
      <c r="F86" s="512"/>
      <c r="G86" s="512"/>
      <c r="H86" s="512"/>
      <c r="I86" s="512"/>
    </row>
    <row r="87" spans="1:27">
      <c r="A87" t="s">
        <v>12</v>
      </c>
      <c r="B87">
        <f>SUM(B85:B86)</f>
        <v>42</v>
      </c>
      <c r="C87">
        <f>SUM(C85:C86)</f>
        <v>108</v>
      </c>
      <c r="D87">
        <f>SUM(D85:D86)</f>
        <v>150</v>
      </c>
      <c r="F87" s="512"/>
      <c r="G87" s="512"/>
      <c r="H87" s="512"/>
      <c r="I87" s="512"/>
    </row>
    <row r="88" spans="1:27">
      <c r="F88" s="512"/>
      <c r="G88" s="512"/>
      <c r="H88" s="512"/>
      <c r="I88" s="512"/>
    </row>
    <row r="89" spans="1:27">
      <c r="A89" s="1" t="s">
        <v>1122</v>
      </c>
      <c r="F89" s="512"/>
      <c r="G89" s="512"/>
    </row>
    <row r="90" spans="1:27">
      <c r="B90" s="93" t="s">
        <v>346</v>
      </c>
      <c r="C90" s="19" t="s">
        <v>186</v>
      </c>
      <c r="D90" s="19" t="s">
        <v>200</v>
      </c>
      <c r="E90" s="512" t="s">
        <v>948</v>
      </c>
      <c r="G90" s="512"/>
    </row>
    <row r="91" spans="1:27">
      <c r="A91" t="s">
        <v>1252</v>
      </c>
      <c r="B91" s="522" t="e">
        <f ca="1">W67</f>
        <v>#NAME?</v>
      </c>
      <c r="C91" s="521">
        <f>Y62</f>
        <v>3</v>
      </c>
      <c r="D91" s="521" t="e">
        <f ca="1">X67</f>
        <v>#NAME?</v>
      </c>
      <c r="E91" s="535" t="e">
        <f ca="1">Z67</f>
        <v>#NAME?</v>
      </c>
    </row>
    <row r="92" spans="1:27">
      <c r="A92" t="s">
        <v>1278</v>
      </c>
      <c r="B92" s="7" t="e">
        <f ca="1">W33</f>
        <v>#NAME?</v>
      </c>
      <c r="C92" s="8">
        <f>Y28</f>
        <v>2</v>
      </c>
      <c r="D92" s="8" t="e">
        <f ca="1">X33</f>
        <v>#NAME?</v>
      </c>
      <c r="E92" s="88" t="e">
        <f ca="1">Z33</f>
        <v>#NAME?</v>
      </c>
    </row>
    <row r="93" spans="1:27">
      <c r="A93" t="s">
        <v>1279</v>
      </c>
      <c r="B93" s="7" t="e">
        <f ca="1">W50</f>
        <v>#NAME?</v>
      </c>
      <c r="C93" s="8">
        <f>Y45</f>
        <v>2</v>
      </c>
      <c r="D93" s="8" t="e">
        <f ca="1">X50</f>
        <v>#NAME?</v>
      </c>
      <c r="E93" s="88" t="e">
        <f ca="1">Z50</f>
        <v>#NAME?</v>
      </c>
    </row>
    <row r="94" spans="1:27">
      <c r="A94" t="s">
        <v>1280</v>
      </c>
      <c r="B94" s="7" t="e">
        <f ca="1">W15</f>
        <v>#NAME?</v>
      </c>
      <c r="C94" s="8">
        <f>Y10</f>
        <v>1</v>
      </c>
      <c r="D94" s="8" t="e">
        <f ca="1">X15</f>
        <v>#NAME?</v>
      </c>
      <c r="E94" s="88" t="e">
        <f ca="1">Z15</f>
        <v>#NAME?</v>
      </c>
    </row>
    <row r="95" spans="1:27">
      <c r="A95" t="s">
        <v>1253</v>
      </c>
      <c r="B95" s="533" t="e">
        <f ca="1">W84</f>
        <v>#NAME?</v>
      </c>
      <c r="C95" s="534">
        <f>Y79</f>
        <v>0</v>
      </c>
      <c r="D95" s="534"/>
      <c r="E95" s="536" t="s">
        <v>1265</v>
      </c>
      <c r="F95" s="8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sheetPr codeName="Sheet136"/>
  <dimension ref="A1:L27"/>
  <sheetViews>
    <sheetView workbookViewId="0"/>
  </sheetViews>
  <sheetFormatPr defaultRowHeight="14.4"/>
  <sheetData>
    <row r="1" spans="1:12">
      <c r="A1" s="1" t="s">
        <v>1285</v>
      </c>
    </row>
    <row r="3" spans="1:12">
      <c r="C3" s="19" t="s">
        <v>360</v>
      </c>
      <c r="D3" s="19" t="s">
        <v>361</v>
      </c>
      <c r="E3" s="19" t="s">
        <v>1286</v>
      </c>
      <c r="I3" s="503" t="s">
        <v>1287</v>
      </c>
      <c r="J3" s="503" t="s">
        <v>1041</v>
      </c>
      <c r="K3" s="503" t="s">
        <v>1268</v>
      </c>
      <c r="L3" s="504" t="s">
        <v>354</v>
      </c>
    </row>
    <row r="4" spans="1:12">
      <c r="A4" t="s">
        <v>1288</v>
      </c>
      <c r="B4" t="s">
        <v>383</v>
      </c>
      <c r="C4" s="522">
        <v>59</v>
      </c>
      <c r="D4" s="548">
        <v>55</v>
      </c>
      <c r="E4" s="543">
        <v>107</v>
      </c>
      <c r="F4">
        <f>SUM(C4:E4)</f>
        <v>221</v>
      </c>
      <c r="I4" t="s">
        <v>1288</v>
      </c>
      <c r="J4" t="s">
        <v>383</v>
      </c>
      <c r="K4" t="s">
        <v>360</v>
      </c>
      <c r="L4">
        <f>C4</f>
        <v>59</v>
      </c>
    </row>
    <row r="5" spans="1:12">
      <c r="A5" t="s">
        <v>1288</v>
      </c>
      <c r="B5" t="s">
        <v>342</v>
      </c>
      <c r="C5" s="7">
        <v>32</v>
      </c>
      <c r="D5" s="8">
        <v>24</v>
      </c>
      <c r="E5" s="9">
        <v>80</v>
      </c>
      <c r="F5">
        <f t="shared" ref="F5:F14" si="0">SUM(C5:E5)</f>
        <v>136</v>
      </c>
      <c r="I5" t="s">
        <v>1288</v>
      </c>
      <c r="J5" t="s">
        <v>383</v>
      </c>
      <c r="K5" t="s">
        <v>361</v>
      </c>
      <c r="L5">
        <f>D4</f>
        <v>55</v>
      </c>
    </row>
    <row r="6" spans="1:12">
      <c r="A6" t="s">
        <v>1289</v>
      </c>
      <c r="B6" t="s">
        <v>383</v>
      </c>
      <c r="C6" s="7">
        <v>9</v>
      </c>
      <c r="D6" s="8">
        <v>12</v>
      </c>
      <c r="E6" s="9">
        <v>17</v>
      </c>
      <c r="F6">
        <f t="shared" si="0"/>
        <v>38</v>
      </c>
      <c r="I6" t="s">
        <v>1288</v>
      </c>
      <c r="J6" t="s">
        <v>383</v>
      </c>
      <c r="K6" t="s">
        <v>1286</v>
      </c>
      <c r="L6">
        <f>E4</f>
        <v>107</v>
      </c>
    </row>
    <row r="7" spans="1:12">
      <c r="A7" t="s">
        <v>1289</v>
      </c>
      <c r="B7" t="s">
        <v>342</v>
      </c>
      <c r="C7" s="533">
        <v>16</v>
      </c>
      <c r="D7" s="11">
        <v>33</v>
      </c>
      <c r="E7" s="541">
        <v>56</v>
      </c>
      <c r="F7">
        <f t="shared" si="0"/>
        <v>105</v>
      </c>
      <c r="I7" t="s">
        <v>1288</v>
      </c>
      <c r="J7" t="s">
        <v>342</v>
      </c>
      <c r="K7" t="s">
        <v>360</v>
      </c>
      <c r="L7">
        <f>C5</f>
        <v>32</v>
      </c>
    </row>
    <row r="8" spans="1:12">
      <c r="C8">
        <f>SUM(C4:C7)</f>
        <v>116</v>
      </c>
      <c r="D8">
        <f>SUM(D4:D7)</f>
        <v>124</v>
      </c>
      <c r="E8">
        <f>SUM(E4:E7)</f>
        <v>260</v>
      </c>
      <c r="F8">
        <f t="shared" si="0"/>
        <v>500</v>
      </c>
      <c r="I8" t="s">
        <v>1288</v>
      </c>
      <c r="J8" t="s">
        <v>342</v>
      </c>
      <c r="K8" t="s">
        <v>361</v>
      </c>
      <c r="L8">
        <f>D5</f>
        <v>24</v>
      </c>
    </row>
    <row r="9" spans="1:12">
      <c r="I9" t="s">
        <v>1288</v>
      </c>
      <c r="J9" t="s">
        <v>342</v>
      </c>
      <c r="K9" t="s">
        <v>1286</v>
      </c>
      <c r="L9">
        <f>E5</f>
        <v>80</v>
      </c>
    </row>
    <row r="10" spans="1:12">
      <c r="A10" t="s">
        <v>1288</v>
      </c>
      <c r="C10" s="517">
        <f>SUM(C4:C5)</f>
        <v>91</v>
      </c>
      <c r="D10" s="519">
        <f>SUM(D4:D5)</f>
        <v>79</v>
      </c>
      <c r="E10" s="520">
        <f>SUM(E4:E5)</f>
        <v>187</v>
      </c>
      <c r="F10">
        <f t="shared" si="0"/>
        <v>357</v>
      </c>
      <c r="I10" t="s">
        <v>1289</v>
      </c>
      <c r="J10" t="s">
        <v>383</v>
      </c>
      <c r="K10" t="s">
        <v>360</v>
      </c>
      <c r="L10">
        <f>C6</f>
        <v>9</v>
      </c>
    </row>
    <row r="11" spans="1:12">
      <c r="A11" t="s">
        <v>1289</v>
      </c>
      <c r="C11" s="10">
        <f>SUM(C6:C7)</f>
        <v>25</v>
      </c>
      <c r="D11" s="11">
        <f>SUM(D6:D7)</f>
        <v>45</v>
      </c>
      <c r="E11" s="12">
        <f>SUM(E6:E7)</f>
        <v>73</v>
      </c>
      <c r="F11">
        <f t="shared" si="0"/>
        <v>143</v>
      </c>
      <c r="I11" t="s">
        <v>1289</v>
      </c>
      <c r="J11" t="s">
        <v>383</v>
      </c>
      <c r="K11" t="s">
        <v>361</v>
      </c>
      <c r="L11">
        <f>D6</f>
        <v>12</v>
      </c>
    </row>
    <row r="12" spans="1:12">
      <c r="I12" t="s">
        <v>1289</v>
      </c>
      <c r="J12" t="s">
        <v>383</v>
      </c>
      <c r="K12" t="s">
        <v>1286</v>
      </c>
      <c r="L12">
        <f>E6</f>
        <v>17</v>
      </c>
    </row>
    <row r="13" spans="1:12">
      <c r="B13" t="s">
        <v>383</v>
      </c>
      <c r="C13" s="517">
        <f t="shared" ref="C13:E14" si="1">C4+C6</f>
        <v>68</v>
      </c>
      <c r="D13" s="519">
        <f t="shared" si="1"/>
        <v>67</v>
      </c>
      <c r="E13" s="520">
        <f t="shared" si="1"/>
        <v>124</v>
      </c>
      <c r="F13">
        <f t="shared" si="0"/>
        <v>259</v>
      </c>
      <c r="I13" t="s">
        <v>1289</v>
      </c>
      <c r="J13" t="s">
        <v>342</v>
      </c>
      <c r="K13" t="s">
        <v>360</v>
      </c>
      <c r="L13">
        <f>C7</f>
        <v>16</v>
      </c>
    </row>
    <row r="14" spans="1:12">
      <c r="B14" t="s">
        <v>342</v>
      </c>
      <c r="C14" s="10">
        <f t="shared" si="1"/>
        <v>48</v>
      </c>
      <c r="D14" s="11">
        <f t="shared" si="1"/>
        <v>57</v>
      </c>
      <c r="E14" s="12">
        <f t="shared" si="1"/>
        <v>136</v>
      </c>
      <c r="F14">
        <f t="shared" si="0"/>
        <v>241</v>
      </c>
      <c r="I14" t="s">
        <v>1289</v>
      </c>
      <c r="J14" t="s">
        <v>342</v>
      </c>
      <c r="K14" t="s">
        <v>361</v>
      </c>
      <c r="L14">
        <f>D7</f>
        <v>33</v>
      </c>
    </row>
    <row r="15" spans="1:12">
      <c r="I15" s="11" t="s">
        <v>1289</v>
      </c>
      <c r="J15" s="11" t="s">
        <v>342</v>
      </c>
      <c r="K15" s="11" t="s">
        <v>1286</v>
      </c>
      <c r="L15" s="11">
        <f>E7</f>
        <v>56</v>
      </c>
    </row>
    <row r="16" spans="1:12">
      <c r="I16" s="8"/>
      <c r="J16" s="8"/>
      <c r="K16" s="8"/>
      <c r="L16" s="8">
        <f>SUM(L4:L15)</f>
        <v>500</v>
      </c>
    </row>
    <row r="18" spans="1:11">
      <c r="A18" t="s">
        <v>1365</v>
      </c>
    </row>
    <row r="19" spans="1:11">
      <c r="C19" s="19" t="s">
        <v>360</v>
      </c>
      <c r="D19" s="19" t="s">
        <v>361</v>
      </c>
      <c r="E19" s="19" t="s">
        <v>1286</v>
      </c>
    </row>
    <row r="20" spans="1:11">
      <c r="A20" t="s">
        <v>1288</v>
      </c>
      <c r="C20" s="553">
        <f t="shared" ref="C20:E21" si="2">C10</f>
        <v>91</v>
      </c>
      <c r="D20" s="557">
        <f t="shared" si="2"/>
        <v>79</v>
      </c>
      <c r="E20" s="552">
        <f t="shared" si="2"/>
        <v>187</v>
      </c>
      <c r="G20" t="s">
        <v>1366</v>
      </c>
      <c r="K20">
        <f>C22/D22</f>
        <v>2.0734177215189873</v>
      </c>
    </row>
    <row r="21" spans="1:11">
      <c r="A21" t="s">
        <v>1289</v>
      </c>
      <c r="C21" s="533">
        <f t="shared" si="2"/>
        <v>25</v>
      </c>
      <c r="D21" s="11">
        <f t="shared" si="2"/>
        <v>45</v>
      </c>
      <c r="E21" s="12">
        <f t="shared" si="2"/>
        <v>73</v>
      </c>
      <c r="G21" t="s">
        <v>1367</v>
      </c>
      <c r="K21">
        <f>LN(K20)</f>
        <v>0.72919831895194753</v>
      </c>
    </row>
    <row r="22" spans="1:11">
      <c r="A22" t="s">
        <v>381</v>
      </c>
      <c r="C22">
        <f>C20/C21</f>
        <v>3.64</v>
      </c>
      <c r="D22">
        <f>D20/D21</f>
        <v>1.7555555555555555</v>
      </c>
      <c r="E22">
        <f>E20/E21</f>
        <v>2.5616438356164384</v>
      </c>
    </row>
    <row r="24" spans="1:11">
      <c r="C24" s="19" t="s">
        <v>383</v>
      </c>
      <c r="D24" s="19" t="s">
        <v>342</v>
      </c>
    </row>
    <row r="25" spans="1:11">
      <c r="A25" t="s">
        <v>1288</v>
      </c>
      <c r="C25" s="553">
        <f>F4</f>
        <v>221</v>
      </c>
      <c r="D25" s="552">
        <f>F5</f>
        <v>136</v>
      </c>
      <c r="G25" t="s">
        <v>1368</v>
      </c>
      <c r="K25">
        <f>C27/D27</f>
        <v>4.4901315789473681</v>
      </c>
    </row>
    <row r="26" spans="1:11">
      <c r="A26" t="s">
        <v>1289</v>
      </c>
      <c r="C26" s="533">
        <f>F6</f>
        <v>38</v>
      </c>
      <c r="D26" s="12">
        <f>F7</f>
        <v>105</v>
      </c>
      <c r="G26" t="s">
        <v>1367</v>
      </c>
      <c r="K26">
        <f>LN(K25)</f>
        <v>1.5018820062128384</v>
      </c>
    </row>
    <row r="27" spans="1:11">
      <c r="A27" t="s">
        <v>381</v>
      </c>
      <c r="C27">
        <f>C25/C26</f>
        <v>5.8157894736842106</v>
      </c>
      <c r="D27">
        <f>D25/D26</f>
        <v>1.2952380952380953</v>
      </c>
    </row>
  </sheetData>
  <pageMargins left="0.7" right="0.7" top="0.75" bottom="0.75" header="0.3" footer="0.3"/>
  <ignoredErrors>
    <ignoredError sqref="C10:E11" formulaRange="1"/>
  </ignoredErrors>
</worksheet>
</file>

<file path=xl/worksheets/sheet264.xml><?xml version="1.0" encoding="utf-8"?>
<worksheet xmlns="http://schemas.openxmlformats.org/spreadsheetml/2006/main" xmlns:r="http://schemas.openxmlformats.org/officeDocument/2006/relationships">
  <sheetPr codeName="Sheet137"/>
  <dimension ref="A1:Y341"/>
  <sheetViews>
    <sheetView workbookViewId="0"/>
  </sheetViews>
  <sheetFormatPr defaultRowHeight="14.4"/>
  <cols>
    <col min="1" max="1" width="11.44140625" customWidth="1"/>
    <col min="3" max="3" width="9.33203125" customWidth="1"/>
    <col min="6" max="6" width="6" customWidth="1"/>
    <col min="13" max="13" width="9.109375" customWidth="1"/>
  </cols>
  <sheetData>
    <row r="1" spans="1:21">
      <c r="A1" s="1" t="s">
        <v>1285</v>
      </c>
    </row>
    <row r="3" spans="1:21">
      <c r="A3" t="s">
        <v>224</v>
      </c>
    </row>
    <row r="5" spans="1:21">
      <c r="A5" s="503" t="s">
        <v>1287</v>
      </c>
      <c r="B5" s="503" t="s">
        <v>1041</v>
      </c>
      <c r="C5" s="503" t="s">
        <v>1268</v>
      </c>
      <c r="D5" s="504" t="s">
        <v>354</v>
      </c>
      <c r="G5" s="1" t="s">
        <v>1290</v>
      </c>
    </row>
    <row r="6" spans="1:21">
      <c r="A6" t="s">
        <v>1288</v>
      </c>
      <c r="B6" t="s">
        <v>383</v>
      </c>
      <c r="C6" t="s">
        <v>360</v>
      </c>
      <c r="D6">
        <f>'Log Lin 2.1'!L4</f>
        <v>59</v>
      </c>
      <c r="J6" s="1591" t="s">
        <v>703</v>
      </c>
      <c r="K6" s="1592"/>
      <c r="L6" s="1593"/>
      <c r="M6" s="1591" t="s">
        <v>1261</v>
      </c>
      <c r="N6" s="1592"/>
      <c r="O6" s="1593"/>
      <c r="P6" s="1588" t="s">
        <v>704</v>
      </c>
      <c r="Q6" s="1594"/>
    </row>
    <row r="7" spans="1:21">
      <c r="A7" t="s">
        <v>1288</v>
      </c>
      <c r="B7" t="s">
        <v>383</v>
      </c>
      <c r="C7" t="s">
        <v>361</v>
      </c>
      <c r="D7">
        <f>'Log Lin 2.1'!L5</f>
        <v>55</v>
      </c>
      <c r="G7" s="516" t="str">
        <f>$A$5</f>
        <v>Cure</v>
      </c>
      <c r="H7" s="503" t="str">
        <f>$B$5</f>
        <v>Gender</v>
      </c>
      <c r="I7" s="503" t="str">
        <f>$C$5</f>
        <v>Therapy</v>
      </c>
      <c r="J7" s="505" t="s">
        <v>1259</v>
      </c>
      <c r="K7" s="506" t="s">
        <v>1258</v>
      </c>
      <c r="L7" s="507" t="s">
        <v>759</v>
      </c>
      <c r="M7" s="505" t="s">
        <v>1260</v>
      </c>
      <c r="N7" s="506" t="s">
        <v>1258</v>
      </c>
      <c r="O7" s="507" t="s">
        <v>1251</v>
      </c>
      <c r="P7" s="554" t="s">
        <v>644</v>
      </c>
      <c r="Q7" s="556" t="s">
        <v>1270</v>
      </c>
      <c r="R7" s="510" t="s">
        <v>346</v>
      </c>
      <c r="T7" s="175" t="s">
        <v>346</v>
      </c>
      <c r="U7" s="515">
        <f>R20</f>
        <v>0</v>
      </c>
    </row>
    <row r="8" spans="1:21">
      <c r="A8" t="s">
        <v>1288</v>
      </c>
      <c r="B8" t="s">
        <v>383</v>
      </c>
      <c r="C8" t="s">
        <v>1286</v>
      </c>
      <c r="D8">
        <f>'Log Lin 2.1'!L6</f>
        <v>107</v>
      </c>
      <c r="G8" s="7" t="str">
        <f>$A$6</f>
        <v>Positive</v>
      </c>
      <c r="H8" t="str">
        <f>$B$6</f>
        <v>Male</v>
      </c>
      <c r="I8" t="str">
        <f>$C$6</f>
        <v>Therapy 1</v>
      </c>
      <c r="J8" s="7">
        <f>$D$6</f>
        <v>59</v>
      </c>
      <c r="K8" s="508">
        <f>J8/$D$18</f>
        <v>0.11799999999999999</v>
      </c>
      <c r="L8" s="9">
        <f>LN(J8)</f>
        <v>4.0775374439057197</v>
      </c>
      <c r="M8" s="7">
        <f>J8</f>
        <v>59</v>
      </c>
      <c r="N8" s="508">
        <f>M8/$D$18</f>
        <v>0.11799999999999999</v>
      </c>
      <c r="O8" s="9">
        <f>LN(M8)</f>
        <v>4.0775374439057197</v>
      </c>
      <c r="P8" s="553">
        <f>J8-M8</f>
        <v>0</v>
      </c>
      <c r="Q8" s="552">
        <f>P8/SQRT(M8)</f>
        <v>0</v>
      </c>
      <c r="R8" s="376">
        <f>2*J8*(L8-O8)</f>
        <v>0</v>
      </c>
      <c r="T8" t="s">
        <v>186</v>
      </c>
      <c r="U8" s="376">
        <v>0</v>
      </c>
    </row>
    <row r="9" spans="1:21">
      <c r="A9" t="s">
        <v>1288</v>
      </c>
      <c r="B9" t="s">
        <v>342</v>
      </c>
      <c r="C9" t="s">
        <v>360</v>
      </c>
      <c r="D9">
        <f>'Log Lin 2.1'!L7</f>
        <v>32</v>
      </c>
      <c r="G9" s="7" t="str">
        <f>$A$7</f>
        <v>Positive</v>
      </c>
      <c r="H9" t="str">
        <f>$B$7</f>
        <v>Male</v>
      </c>
      <c r="I9" t="str">
        <f>$C$7</f>
        <v>Therapy 2</v>
      </c>
      <c r="J9" s="7">
        <f>$D$7</f>
        <v>55</v>
      </c>
      <c r="K9" s="508">
        <f t="shared" ref="K9:K19" si="0">J9/$D$18</f>
        <v>0.11</v>
      </c>
      <c r="L9" s="9">
        <f t="shared" ref="L9:L19" si="1">LN(J9)</f>
        <v>4.0073331852324712</v>
      </c>
      <c r="M9" s="7">
        <f t="shared" ref="M9:M19" si="2">J9</f>
        <v>55</v>
      </c>
      <c r="N9" s="508">
        <f t="shared" ref="N9:N19" si="3">M9/$D$18</f>
        <v>0.11</v>
      </c>
      <c r="O9" s="9">
        <f t="shared" ref="O9:O19" si="4">LN(M9)</f>
        <v>4.0073331852324712</v>
      </c>
      <c r="P9" s="7">
        <f t="shared" ref="P9:P19" si="5">J9-M9</f>
        <v>0</v>
      </c>
      <c r="Q9" s="9">
        <f t="shared" ref="Q9:Q19" si="6">P9/SQRT(M9)</f>
        <v>0</v>
      </c>
      <c r="R9" s="376">
        <f t="shared" ref="R9:R19" si="7">2*J9*(L9-O9)</f>
        <v>0</v>
      </c>
      <c r="T9" s="65" t="s">
        <v>157</v>
      </c>
      <c r="U9" s="376">
        <v>0.05</v>
      </c>
    </row>
    <row r="10" spans="1:21">
      <c r="A10" t="s">
        <v>1288</v>
      </c>
      <c r="B10" t="s">
        <v>342</v>
      </c>
      <c r="C10" t="s">
        <v>361</v>
      </c>
      <c r="D10">
        <f>'Log Lin 2.1'!L8</f>
        <v>24</v>
      </c>
      <c r="G10" s="7" t="str">
        <f>$A$8</f>
        <v>Positive</v>
      </c>
      <c r="H10" t="str">
        <f>$B$8</f>
        <v>Male</v>
      </c>
      <c r="I10" t="str">
        <f>$C$8</f>
        <v>Therapy 3</v>
      </c>
      <c r="J10" s="7">
        <f>$D$8</f>
        <v>107</v>
      </c>
      <c r="K10" s="508">
        <f t="shared" si="0"/>
        <v>0.214</v>
      </c>
      <c r="L10" s="9">
        <f t="shared" si="1"/>
        <v>4.6728288344619058</v>
      </c>
      <c r="M10" s="7">
        <f t="shared" si="2"/>
        <v>107</v>
      </c>
      <c r="N10" s="508">
        <f t="shared" si="3"/>
        <v>0.214</v>
      </c>
      <c r="O10" s="9">
        <f t="shared" si="4"/>
        <v>4.6728288344619058</v>
      </c>
      <c r="P10" s="7">
        <f t="shared" si="5"/>
        <v>0</v>
      </c>
      <c r="Q10" s="9">
        <f t="shared" si="6"/>
        <v>0</v>
      </c>
      <c r="R10" s="376">
        <f t="shared" si="7"/>
        <v>0</v>
      </c>
      <c r="T10" s="493" t="s">
        <v>200</v>
      </c>
      <c r="U10" s="376"/>
    </row>
    <row r="11" spans="1:21">
      <c r="A11" t="s">
        <v>1288</v>
      </c>
      <c r="B11" t="s">
        <v>342</v>
      </c>
      <c r="C11" t="s">
        <v>1286</v>
      </c>
      <c r="D11">
        <f>'Log Lin 2.1'!L9</f>
        <v>80</v>
      </c>
      <c r="G11" s="7" t="str">
        <f>$A$9</f>
        <v>Positive</v>
      </c>
      <c r="H11" t="str">
        <f>$B$9</f>
        <v>Female</v>
      </c>
      <c r="I11" t="str">
        <f>$C$9</f>
        <v>Therapy 1</v>
      </c>
      <c r="J11" s="7">
        <f>$D$9</f>
        <v>32</v>
      </c>
      <c r="K11" s="508">
        <f t="shared" si="0"/>
        <v>6.4000000000000001E-2</v>
      </c>
      <c r="L11" s="9">
        <f t="shared" si="1"/>
        <v>3.4657359027997265</v>
      </c>
      <c r="M11" s="7">
        <f t="shared" si="2"/>
        <v>32</v>
      </c>
      <c r="N11" s="508">
        <f t="shared" si="3"/>
        <v>6.4000000000000001E-2</v>
      </c>
      <c r="O11" s="9">
        <f t="shared" si="4"/>
        <v>3.4657359027997265</v>
      </c>
      <c r="P11" s="7">
        <f t="shared" si="5"/>
        <v>0</v>
      </c>
      <c r="Q11" s="9">
        <f t="shared" si="6"/>
        <v>0</v>
      </c>
      <c r="R11" s="376">
        <f t="shared" si="7"/>
        <v>0</v>
      </c>
      <c r="T11" s="175" t="s">
        <v>347</v>
      </c>
      <c r="U11" s="376"/>
    </row>
    <row r="12" spans="1:21">
      <c r="A12" t="s">
        <v>1289</v>
      </c>
      <c r="B12" t="s">
        <v>383</v>
      </c>
      <c r="C12" t="s">
        <v>360</v>
      </c>
      <c r="D12">
        <f>'Log Lin 2.1'!L10</f>
        <v>9</v>
      </c>
      <c r="G12" s="7" t="str">
        <f>$A$10</f>
        <v>Positive</v>
      </c>
      <c r="H12" t="str">
        <f>$B$10</f>
        <v>Female</v>
      </c>
      <c r="I12" t="str">
        <f>$C$10</f>
        <v>Therapy 2</v>
      </c>
      <c r="J12" s="7">
        <f>$D$10</f>
        <v>24</v>
      </c>
      <c r="K12" s="508">
        <f t="shared" si="0"/>
        <v>4.8000000000000001E-2</v>
      </c>
      <c r="L12" s="9">
        <f t="shared" si="1"/>
        <v>3.1780538303479458</v>
      </c>
      <c r="M12" s="7">
        <f t="shared" si="2"/>
        <v>24</v>
      </c>
      <c r="N12" s="508">
        <f t="shared" si="3"/>
        <v>4.8000000000000001E-2</v>
      </c>
      <c r="O12" s="9">
        <f t="shared" si="4"/>
        <v>3.1780538303479458</v>
      </c>
      <c r="P12" s="7">
        <f t="shared" si="5"/>
        <v>0</v>
      </c>
      <c r="Q12" s="9">
        <f t="shared" si="6"/>
        <v>0</v>
      </c>
      <c r="R12" s="376">
        <f t="shared" si="7"/>
        <v>0</v>
      </c>
      <c r="T12" s="493" t="s">
        <v>948</v>
      </c>
      <c r="U12" s="266" t="s">
        <v>1264</v>
      </c>
    </row>
    <row r="13" spans="1:21">
      <c r="A13" t="s">
        <v>1289</v>
      </c>
      <c r="B13" t="s">
        <v>383</v>
      </c>
      <c r="C13" t="s">
        <v>361</v>
      </c>
      <c r="D13">
        <f>'Log Lin 2.1'!L11</f>
        <v>12</v>
      </c>
      <c r="G13" s="7" t="str">
        <f>$A$11</f>
        <v>Positive</v>
      </c>
      <c r="H13" t="str">
        <f>$B$11</f>
        <v>Female</v>
      </c>
      <c r="I13" t="str">
        <f>$C$11</f>
        <v>Therapy 3</v>
      </c>
      <c r="J13" s="7">
        <f>$D$11</f>
        <v>80</v>
      </c>
      <c r="K13" s="508">
        <f t="shared" si="0"/>
        <v>0.16</v>
      </c>
      <c r="L13" s="9">
        <f t="shared" si="1"/>
        <v>4.3820266346738812</v>
      </c>
      <c r="M13" s="7">
        <f t="shared" si="2"/>
        <v>80</v>
      </c>
      <c r="N13" s="508">
        <f t="shared" si="3"/>
        <v>0.16</v>
      </c>
      <c r="O13" s="9">
        <f t="shared" si="4"/>
        <v>4.3820266346738812</v>
      </c>
      <c r="P13" s="7">
        <f t="shared" si="5"/>
        <v>0</v>
      </c>
      <c r="Q13" s="9">
        <f t="shared" si="6"/>
        <v>0</v>
      </c>
      <c r="R13" s="376">
        <f t="shared" si="7"/>
        <v>0</v>
      </c>
    </row>
    <row r="14" spans="1:21">
      <c r="A14" t="s">
        <v>1289</v>
      </c>
      <c r="B14" t="s">
        <v>383</v>
      </c>
      <c r="C14" t="s">
        <v>1286</v>
      </c>
      <c r="D14">
        <f>'Log Lin 2.1'!L12</f>
        <v>17</v>
      </c>
      <c r="G14" s="7" t="str">
        <f>$A$12</f>
        <v>Negative</v>
      </c>
      <c r="H14" t="str">
        <f>$B$12</f>
        <v>Male</v>
      </c>
      <c r="I14" t="str">
        <f>$C$12</f>
        <v>Therapy 1</v>
      </c>
      <c r="J14" s="7">
        <f>$D$12</f>
        <v>9</v>
      </c>
      <c r="K14" s="508">
        <f t="shared" si="0"/>
        <v>1.7999999999999999E-2</v>
      </c>
      <c r="L14" s="9">
        <f t="shared" si="1"/>
        <v>2.1972245773362196</v>
      </c>
      <c r="M14" s="7">
        <f t="shared" si="2"/>
        <v>9</v>
      </c>
      <c r="N14" s="508">
        <f t="shared" si="3"/>
        <v>1.7999999999999999E-2</v>
      </c>
      <c r="O14" s="9">
        <f t="shared" si="4"/>
        <v>2.1972245773362196</v>
      </c>
      <c r="P14" s="7">
        <f t="shared" si="5"/>
        <v>0</v>
      </c>
      <c r="Q14" s="9">
        <f t="shared" si="6"/>
        <v>0</v>
      </c>
      <c r="R14" s="376">
        <f t="shared" si="7"/>
        <v>0</v>
      </c>
    </row>
    <row r="15" spans="1:21">
      <c r="A15" t="s">
        <v>1289</v>
      </c>
      <c r="B15" t="s">
        <v>342</v>
      </c>
      <c r="C15" t="s">
        <v>360</v>
      </c>
      <c r="D15">
        <f>'Log Lin 2.1'!L13</f>
        <v>16</v>
      </c>
      <c r="G15" s="7" t="str">
        <f>$A$13</f>
        <v>Negative</v>
      </c>
      <c r="H15" t="str">
        <f>$B$13</f>
        <v>Male</v>
      </c>
      <c r="I15" t="str">
        <f>$C$13</f>
        <v>Therapy 2</v>
      </c>
      <c r="J15" s="7">
        <f>$D$13</f>
        <v>12</v>
      </c>
      <c r="K15" s="508">
        <f t="shared" si="0"/>
        <v>2.4E-2</v>
      </c>
      <c r="L15" s="9">
        <f t="shared" si="1"/>
        <v>2.4849066497880004</v>
      </c>
      <c r="M15" s="7">
        <f t="shared" si="2"/>
        <v>12</v>
      </c>
      <c r="N15" s="508">
        <f t="shared" si="3"/>
        <v>2.4E-2</v>
      </c>
      <c r="O15" s="9">
        <f t="shared" si="4"/>
        <v>2.4849066497880004</v>
      </c>
      <c r="P15" s="7">
        <f t="shared" si="5"/>
        <v>0</v>
      </c>
      <c r="Q15" s="9">
        <f t="shared" si="6"/>
        <v>0</v>
      </c>
      <c r="R15" s="376">
        <f t="shared" si="7"/>
        <v>0</v>
      </c>
    </row>
    <row r="16" spans="1:21">
      <c r="A16" t="s">
        <v>1289</v>
      </c>
      <c r="B16" t="s">
        <v>342</v>
      </c>
      <c r="C16" t="s">
        <v>361</v>
      </c>
      <c r="D16">
        <f>'Log Lin 2.1'!L14</f>
        <v>33</v>
      </c>
      <c r="G16" s="7" t="str">
        <f>$A$14</f>
        <v>Negative</v>
      </c>
      <c r="H16" t="str">
        <f>$B$14</f>
        <v>Male</v>
      </c>
      <c r="I16" t="str">
        <f>$C$14</f>
        <v>Therapy 3</v>
      </c>
      <c r="J16" s="7">
        <f>$D$14</f>
        <v>17</v>
      </c>
      <c r="K16" s="508">
        <f t="shared" si="0"/>
        <v>3.4000000000000002E-2</v>
      </c>
      <c r="L16" s="9">
        <f t="shared" si="1"/>
        <v>2.8332133440562162</v>
      </c>
      <c r="M16" s="7">
        <f t="shared" si="2"/>
        <v>17</v>
      </c>
      <c r="N16" s="508">
        <f t="shared" si="3"/>
        <v>3.4000000000000002E-2</v>
      </c>
      <c r="O16" s="9">
        <f t="shared" si="4"/>
        <v>2.8332133440562162</v>
      </c>
      <c r="P16" s="7">
        <f t="shared" si="5"/>
        <v>0</v>
      </c>
      <c r="Q16" s="9">
        <f t="shared" si="6"/>
        <v>0</v>
      </c>
      <c r="R16" s="376">
        <f t="shared" si="7"/>
        <v>0</v>
      </c>
    </row>
    <row r="17" spans="1:21">
      <c r="A17" s="11" t="s">
        <v>1289</v>
      </c>
      <c r="B17" s="11" t="s">
        <v>342</v>
      </c>
      <c r="C17" s="11" t="s">
        <v>1286</v>
      </c>
      <c r="D17" s="11">
        <f>'Log Lin 2.1'!L15</f>
        <v>56</v>
      </c>
      <c r="G17" s="7" t="str">
        <f>$A$15</f>
        <v>Negative</v>
      </c>
      <c r="H17" t="str">
        <f>$B$15</f>
        <v>Female</v>
      </c>
      <c r="I17" t="str">
        <f>$C$15</f>
        <v>Therapy 1</v>
      </c>
      <c r="J17" s="7">
        <f>$D$15</f>
        <v>16</v>
      </c>
      <c r="K17" s="508">
        <f t="shared" si="0"/>
        <v>3.2000000000000001E-2</v>
      </c>
      <c r="L17" s="9">
        <f t="shared" si="1"/>
        <v>2.7725887222397811</v>
      </c>
      <c r="M17" s="7">
        <f t="shared" si="2"/>
        <v>16</v>
      </c>
      <c r="N17" s="508">
        <f t="shared" si="3"/>
        <v>3.2000000000000001E-2</v>
      </c>
      <c r="O17" s="9">
        <f t="shared" si="4"/>
        <v>2.7725887222397811</v>
      </c>
      <c r="P17" s="7">
        <f t="shared" si="5"/>
        <v>0</v>
      </c>
      <c r="Q17" s="9">
        <f t="shared" si="6"/>
        <v>0</v>
      </c>
      <c r="R17" s="376">
        <f t="shared" si="7"/>
        <v>0</v>
      </c>
    </row>
    <row r="18" spans="1:21">
      <c r="A18" s="8"/>
      <c r="B18" s="8"/>
      <c r="C18" s="8"/>
      <c r="D18" s="8">
        <f>SUM(D6:D17)</f>
        <v>500</v>
      </c>
      <c r="G18" s="7" t="str">
        <f>$A$16</f>
        <v>Negative</v>
      </c>
      <c r="H18" t="str">
        <f>$B$16</f>
        <v>Female</v>
      </c>
      <c r="I18" t="str">
        <f>$C$16</f>
        <v>Therapy 2</v>
      </c>
      <c r="J18" s="7">
        <f>$D$16</f>
        <v>33</v>
      </c>
      <c r="K18" s="508">
        <f t="shared" si="0"/>
        <v>6.6000000000000003E-2</v>
      </c>
      <c r="L18" s="9">
        <f t="shared" si="1"/>
        <v>3.4965075614664802</v>
      </c>
      <c r="M18" s="7">
        <f t="shared" si="2"/>
        <v>33</v>
      </c>
      <c r="N18" s="508">
        <f t="shared" si="3"/>
        <v>6.6000000000000003E-2</v>
      </c>
      <c r="O18" s="9">
        <f t="shared" si="4"/>
        <v>3.4965075614664802</v>
      </c>
      <c r="P18" s="7">
        <f t="shared" si="5"/>
        <v>0</v>
      </c>
      <c r="Q18" s="9">
        <f t="shared" si="6"/>
        <v>0</v>
      </c>
      <c r="R18" s="376">
        <f t="shared" si="7"/>
        <v>0</v>
      </c>
    </row>
    <row r="19" spans="1:21">
      <c r="A19" t="s">
        <v>1254</v>
      </c>
      <c r="G19" s="10" t="str">
        <f>$A$17</f>
        <v>Negative</v>
      </c>
      <c r="H19" s="11" t="str">
        <f>$B$17</f>
        <v>Female</v>
      </c>
      <c r="I19" s="11" t="str">
        <f>$C$17</f>
        <v>Therapy 3</v>
      </c>
      <c r="J19" s="10">
        <f>$D$17</f>
        <v>56</v>
      </c>
      <c r="K19" s="509">
        <f t="shared" si="0"/>
        <v>0.112</v>
      </c>
      <c r="L19" s="12">
        <f t="shared" si="1"/>
        <v>4.0253516907351496</v>
      </c>
      <c r="M19" s="10">
        <f t="shared" si="2"/>
        <v>56</v>
      </c>
      <c r="N19" s="509">
        <f t="shared" si="3"/>
        <v>0.112</v>
      </c>
      <c r="O19" s="12">
        <f t="shared" si="4"/>
        <v>4.0253516907351496</v>
      </c>
      <c r="P19" s="533">
        <f t="shared" si="5"/>
        <v>0</v>
      </c>
      <c r="Q19" s="12">
        <f t="shared" si="6"/>
        <v>0</v>
      </c>
      <c r="R19" s="268">
        <f t="shared" si="7"/>
        <v>0</v>
      </c>
    </row>
    <row r="20" spans="1:21">
      <c r="A20" t="s">
        <v>1255</v>
      </c>
      <c r="R20">
        <f>SUM(R8:R19)</f>
        <v>0</v>
      </c>
    </row>
    <row r="21" spans="1:21">
      <c r="A21" t="s">
        <v>1256</v>
      </c>
    </row>
    <row r="22" spans="1:21">
      <c r="A22" t="s">
        <v>1257</v>
      </c>
      <c r="G22" s="1" t="s">
        <v>1321</v>
      </c>
    </row>
    <row r="23" spans="1:21">
      <c r="J23" s="1591" t="s">
        <v>703</v>
      </c>
      <c r="K23" s="1592"/>
      <c r="L23" s="1593"/>
      <c r="M23" s="1591" t="s">
        <v>1261</v>
      </c>
      <c r="N23" s="1592"/>
      <c r="O23" s="1593"/>
      <c r="P23" s="1588" t="s">
        <v>704</v>
      </c>
      <c r="Q23" s="1594"/>
    </row>
    <row r="24" spans="1:21">
      <c r="A24" t="s">
        <v>1073</v>
      </c>
      <c r="G24" s="516" t="str">
        <f>$A$5</f>
        <v>Cure</v>
      </c>
      <c r="H24" s="503" t="str">
        <f>$B$5</f>
        <v>Gender</v>
      </c>
      <c r="I24" s="503" t="str">
        <f>$C$5</f>
        <v>Therapy</v>
      </c>
      <c r="J24" s="505" t="s">
        <v>1259</v>
      </c>
      <c r="K24" s="506" t="s">
        <v>1258</v>
      </c>
      <c r="L24" s="507" t="s">
        <v>759</v>
      </c>
      <c r="M24" s="505" t="s">
        <v>1260</v>
      </c>
      <c r="N24" s="506" t="s">
        <v>1258</v>
      </c>
      <c r="O24" s="507" t="s">
        <v>1251</v>
      </c>
      <c r="P24" s="554" t="s">
        <v>644</v>
      </c>
      <c r="Q24" s="556" t="s">
        <v>1270</v>
      </c>
      <c r="R24" s="511" t="s">
        <v>346</v>
      </c>
      <c r="T24" s="175" t="s">
        <v>346</v>
      </c>
      <c r="U24" s="515">
        <f>R37</f>
        <v>58.032898940132199</v>
      </c>
    </row>
    <row r="25" spans="1:21">
      <c r="G25" s="7" t="str">
        <f>$A$6</f>
        <v>Positive</v>
      </c>
      <c r="H25" t="str">
        <f>$B$6</f>
        <v>Male</v>
      </c>
      <c r="I25" t="str">
        <f>$C$6</f>
        <v>Therapy 1</v>
      </c>
      <c r="J25" s="7">
        <f>$D$6</f>
        <v>59</v>
      </c>
      <c r="K25" s="508">
        <f>J25/$D$18</f>
        <v>0.11799999999999999</v>
      </c>
      <c r="L25" s="9">
        <f>LN(J25)</f>
        <v>4.0775374439057197</v>
      </c>
      <c r="M25" s="517">
        <f>D54*D77/D18</f>
        <v>47.137999999999998</v>
      </c>
      <c r="N25" s="551">
        <f>M25/$D$18</f>
        <v>9.4275999999999999E-2</v>
      </c>
      <c r="O25" s="552">
        <f>LN(M25)</f>
        <v>3.8530794697941961</v>
      </c>
      <c r="P25" s="553">
        <f>J25-M25</f>
        <v>11.862000000000002</v>
      </c>
      <c r="Q25" s="552">
        <f>P25/SQRT(M25)</f>
        <v>1.7277159542097742</v>
      </c>
      <c r="R25" s="376">
        <f>2*J25*(L25-O25)</f>
        <v>26.486040945159782</v>
      </c>
      <c r="T25" t="s">
        <v>186</v>
      </c>
      <c r="U25" s="376">
        <f>(B27-1)*(A27*C27-1)</f>
        <v>5</v>
      </c>
    </row>
    <row r="26" spans="1:21">
      <c r="A26" s="547" t="str">
        <f>A5</f>
        <v>Cure</v>
      </c>
      <c r="B26" s="547" t="str">
        <f>B5</f>
        <v>Gender</v>
      </c>
      <c r="C26" s="547" t="str">
        <f>C5</f>
        <v>Therapy</v>
      </c>
      <c r="G26" s="7" t="str">
        <f>$A$7</f>
        <v>Positive</v>
      </c>
      <c r="H26" t="str">
        <f>$B$7</f>
        <v>Male</v>
      </c>
      <c r="I26" t="str">
        <f>$C$7</f>
        <v>Therapy 2</v>
      </c>
      <c r="J26" s="7">
        <f>$D$7</f>
        <v>55</v>
      </c>
      <c r="K26" s="508">
        <f t="shared" ref="K26:K36" si="8">J26/$D$18</f>
        <v>0.11</v>
      </c>
      <c r="L26" s="9">
        <f t="shared" ref="L26:L36" si="9">LN(J26)</f>
        <v>4.0073331852324712</v>
      </c>
      <c r="M26" s="7">
        <f>D55*D77/D18</f>
        <v>40.921999999999997</v>
      </c>
      <c r="N26" s="508">
        <f t="shared" ref="N26:N36" si="10">M26/$D$18</f>
        <v>8.1844E-2</v>
      </c>
      <c r="O26" s="9">
        <f t="shared" ref="O26:O36" si="11">LN(M26)</f>
        <v>3.7116678157443674</v>
      </c>
      <c r="P26" s="7">
        <f t="shared" ref="P26:P36" si="12">J26-M26</f>
        <v>14.078000000000003</v>
      </c>
      <c r="Q26" s="9">
        <f t="shared" ref="Q26:Q36" si="13">P26/SQRT(M26)</f>
        <v>2.2007085733726068</v>
      </c>
      <c r="R26" s="376">
        <f t="shared" ref="R26:R36" si="14">2*J26*(L26-O26)</f>
        <v>32.523190643691407</v>
      </c>
      <c r="T26" s="65" t="s">
        <v>157</v>
      </c>
      <c r="U26" s="376">
        <v>0.05</v>
      </c>
    </row>
    <row r="27" spans="1:21">
      <c r="A27" s="11">
        <v>2</v>
      </c>
      <c r="B27" s="11">
        <v>2</v>
      </c>
      <c r="C27" s="11">
        <v>3</v>
      </c>
      <c r="G27" s="7" t="str">
        <f>$A$8</f>
        <v>Positive</v>
      </c>
      <c r="H27" t="str">
        <f>$B$8</f>
        <v>Male</v>
      </c>
      <c r="I27" t="str">
        <f>$C$8</f>
        <v>Therapy 3</v>
      </c>
      <c r="J27" s="7">
        <f>$D$8</f>
        <v>107</v>
      </c>
      <c r="K27" s="508">
        <f t="shared" si="8"/>
        <v>0.214</v>
      </c>
      <c r="L27" s="9">
        <f t="shared" si="9"/>
        <v>4.6728288344619058</v>
      </c>
      <c r="M27" s="7">
        <f>D56*D77/D18</f>
        <v>96.866</v>
      </c>
      <c r="N27" s="508">
        <f t="shared" si="10"/>
        <v>0.19373199999999999</v>
      </c>
      <c r="O27" s="9">
        <f t="shared" si="11"/>
        <v>4.5733285801319328</v>
      </c>
      <c r="P27" s="7">
        <f t="shared" si="12"/>
        <v>10.134</v>
      </c>
      <c r="Q27" s="9">
        <f t="shared" si="13"/>
        <v>1.0296632602460609</v>
      </c>
      <c r="R27" s="376">
        <f t="shared" si="14"/>
        <v>21.293054426614223</v>
      </c>
      <c r="T27" s="493" t="s">
        <v>200</v>
      </c>
      <c r="U27" s="376">
        <f>CHIDIST(U24,U25)</f>
        <v>3.0966898390729441E-11</v>
      </c>
    </row>
    <row r="28" spans="1:21">
      <c r="G28" s="7" t="str">
        <f>$A$9</f>
        <v>Positive</v>
      </c>
      <c r="H28" t="str">
        <f>$B$9</f>
        <v>Female</v>
      </c>
      <c r="I28" t="str">
        <f>$C$9</f>
        <v>Therapy 1</v>
      </c>
      <c r="J28" s="7">
        <f>$D$9</f>
        <v>32</v>
      </c>
      <c r="K28" s="508">
        <f t="shared" si="8"/>
        <v>6.4000000000000001E-2</v>
      </c>
      <c r="L28" s="9">
        <f t="shared" si="9"/>
        <v>3.4657359027997265</v>
      </c>
      <c r="M28" s="7">
        <f>D54*D78/D18</f>
        <v>43.862000000000002</v>
      </c>
      <c r="N28" s="508">
        <f t="shared" si="10"/>
        <v>8.772400000000001E-2</v>
      </c>
      <c r="O28" s="9">
        <f t="shared" si="11"/>
        <v>3.7810483415853136</v>
      </c>
      <c r="P28" s="7">
        <f t="shared" si="12"/>
        <v>-11.862000000000002</v>
      </c>
      <c r="Q28" s="9">
        <f t="shared" si="13"/>
        <v>-1.7910747212642966</v>
      </c>
      <c r="R28" s="376">
        <f t="shared" si="14"/>
        <v>-20.179996082277569</v>
      </c>
      <c r="T28" s="175" t="s">
        <v>347</v>
      </c>
      <c r="U28" s="376">
        <f>CHIINV(U26,U25)</f>
        <v>11.070497693516353</v>
      </c>
    </row>
    <row r="29" spans="1:21">
      <c r="A29" t="s">
        <v>224</v>
      </c>
      <c r="G29" s="7" t="str">
        <f>$A$10</f>
        <v>Positive</v>
      </c>
      <c r="H29" t="str">
        <f>$B$10</f>
        <v>Female</v>
      </c>
      <c r="I29" t="str">
        <f>$C$10</f>
        <v>Therapy 2</v>
      </c>
      <c r="J29" s="7">
        <f>$D$10</f>
        <v>24</v>
      </c>
      <c r="K29" s="508">
        <f t="shared" si="8"/>
        <v>4.8000000000000001E-2</v>
      </c>
      <c r="L29" s="9">
        <f t="shared" si="9"/>
        <v>3.1780538303479458</v>
      </c>
      <c r="M29" s="7">
        <f>D55*D78/D18</f>
        <v>38.078000000000003</v>
      </c>
      <c r="N29" s="508">
        <f t="shared" si="10"/>
        <v>7.6156000000000001E-2</v>
      </c>
      <c r="O29" s="9">
        <f t="shared" si="11"/>
        <v>3.6396366875354849</v>
      </c>
      <c r="P29" s="7">
        <f t="shared" si="12"/>
        <v>-14.078000000000003</v>
      </c>
      <c r="Q29" s="9">
        <f t="shared" si="13"/>
        <v>-2.2814129168820001</v>
      </c>
      <c r="R29" s="376">
        <f t="shared" si="14"/>
        <v>-22.155977145001877</v>
      </c>
      <c r="T29" s="493" t="s">
        <v>948</v>
      </c>
      <c r="U29" s="266" t="str">
        <f>IF(U27&lt;U26,"yes","no")</f>
        <v>yes</v>
      </c>
    </row>
    <row r="30" spans="1:21">
      <c r="G30" s="7" t="str">
        <f>$A$11</f>
        <v>Positive</v>
      </c>
      <c r="H30" t="str">
        <f>$B$11</f>
        <v>Female</v>
      </c>
      <c r="I30" t="str">
        <f>$C$11</f>
        <v>Therapy 3</v>
      </c>
      <c r="J30" s="7">
        <f>$D$11</f>
        <v>80</v>
      </c>
      <c r="K30" s="508">
        <f t="shared" si="8"/>
        <v>0.16</v>
      </c>
      <c r="L30" s="9">
        <f t="shared" si="9"/>
        <v>4.3820266346738812</v>
      </c>
      <c r="M30" s="7">
        <f>D56*D78/D18</f>
        <v>90.134</v>
      </c>
      <c r="N30" s="508">
        <f t="shared" si="10"/>
        <v>0.18026800000000001</v>
      </c>
      <c r="O30" s="9">
        <f t="shared" si="11"/>
        <v>4.5012974519230502</v>
      </c>
      <c r="P30" s="7">
        <f t="shared" si="12"/>
        <v>-10.134</v>
      </c>
      <c r="Q30" s="9">
        <f t="shared" si="13"/>
        <v>-1.0674230520055628</v>
      </c>
      <c r="R30" s="376">
        <f t="shared" si="14"/>
        <v>-19.083330759867039</v>
      </c>
    </row>
    <row r="31" spans="1:21">
      <c r="A31" s="516" t="str">
        <f>$A$5</f>
        <v>Cure</v>
      </c>
      <c r="B31" s="503" t="str">
        <f>$B$5</f>
        <v>Gender</v>
      </c>
      <c r="C31" s="503" t="str">
        <f>$C$5</f>
        <v>Therapy</v>
      </c>
      <c r="D31" s="504" t="str">
        <f>$D$5</f>
        <v>Obs</v>
      </c>
      <c r="G31" s="7" t="str">
        <f>$A$12</f>
        <v>Negative</v>
      </c>
      <c r="H31" t="str">
        <f>$B$12</f>
        <v>Male</v>
      </c>
      <c r="I31" t="str">
        <f>$C$12</f>
        <v>Therapy 1</v>
      </c>
      <c r="J31" s="7">
        <f>$D$12</f>
        <v>9</v>
      </c>
      <c r="K31" s="508">
        <f t="shared" si="8"/>
        <v>1.7999999999999999E-2</v>
      </c>
      <c r="L31" s="9">
        <f t="shared" si="9"/>
        <v>2.1972245773362196</v>
      </c>
      <c r="M31" s="7">
        <f>D57*D77/D18</f>
        <v>12.95</v>
      </c>
      <c r="N31" s="508">
        <f t="shared" si="10"/>
        <v>2.5899999999999999E-2</v>
      </c>
      <c r="O31" s="9">
        <f t="shared" si="11"/>
        <v>2.5610957881455465</v>
      </c>
      <c r="P31" s="7">
        <f t="shared" si="12"/>
        <v>-3.9499999999999993</v>
      </c>
      <c r="Q31" s="9">
        <f t="shared" si="13"/>
        <v>-1.0976457783940385</v>
      </c>
      <c r="R31" s="376">
        <f t="shared" si="14"/>
        <v>-6.5496817945678849</v>
      </c>
    </row>
    <row r="32" spans="1:21">
      <c r="A32" s="7" t="str">
        <f>$A$6</f>
        <v>Positive</v>
      </c>
      <c r="B32" t="str">
        <f>$B$6</f>
        <v>Male</v>
      </c>
      <c r="C32" t="str">
        <f>$C$6</f>
        <v>Therapy 1</v>
      </c>
      <c r="D32" s="548">
        <f>$D$6</f>
        <v>59</v>
      </c>
      <c r="G32" s="7" t="str">
        <f>$A$13</f>
        <v>Negative</v>
      </c>
      <c r="H32" t="str">
        <f>$B$13</f>
        <v>Male</v>
      </c>
      <c r="I32" t="str">
        <f>$C$13</f>
        <v>Therapy 2</v>
      </c>
      <c r="J32" s="7">
        <f>$D$13</f>
        <v>12</v>
      </c>
      <c r="K32" s="508">
        <f t="shared" si="8"/>
        <v>2.4E-2</v>
      </c>
      <c r="L32" s="9">
        <f t="shared" si="9"/>
        <v>2.4849066497880004</v>
      </c>
      <c r="M32" s="7">
        <f>D58*D77/D18</f>
        <v>23.31</v>
      </c>
      <c r="N32" s="508">
        <f t="shared" si="10"/>
        <v>4.6619999999999995E-2</v>
      </c>
      <c r="O32" s="9">
        <f t="shared" si="11"/>
        <v>3.1488824530476656</v>
      </c>
      <c r="P32" s="7">
        <f t="shared" si="12"/>
        <v>-11.309999999999999</v>
      </c>
      <c r="Q32" s="9">
        <f t="shared" si="13"/>
        <v>-2.3425640178245239</v>
      </c>
      <c r="R32" s="376">
        <f t="shared" si="14"/>
        <v>-15.935419278231965</v>
      </c>
    </row>
    <row r="33" spans="1:21">
      <c r="A33" s="7" t="str">
        <f>$A$7</f>
        <v>Positive</v>
      </c>
      <c r="B33" t="str">
        <f>$B$7</f>
        <v>Male</v>
      </c>
      <c r="C33" t="str">
        <f>$C$7</f>
        <v>Therapy 2</v>
      </c>
      <c r="D33" s="8">
        <f>$D$7</f>
        <v>55</v>
      </c>
      <c r="G33" s="7" t="str">
        <f>$A$14</f>
        <v>Negative</v>
      </c>
      <c r="H33" t="str">
        <f>$B$14</f>
        <v>Male</v>
      </c>
      <c r="I33" t="str">
        <f>$C$14</f>
        <v>Therapy 3</v>
      </c>
      <c r="J33" s="7">
        <f>$D$14</f>
        <v>17</v>
      </c>
      <c r="K33" s="508">
        <f t="shared" si="8"/>
        <v>3.4000000000000002E-2</v>
      </c>
      <c r="L33" s="9">
        <f t="shared" si="9"/>
        <v>2.8332133440562162</v>
      </c>
      <c r="M33" s="7">
        <f>D59*D77/D18</f>
        <v>37.814</v>
      </c>
      <c r="N33" s="508">
        <f t="shared" si="10"/>
        <v>7.5628000000000001E-2</v>
      </c>
      <c r="O33" s="9">
        <f t="shared" si="11"/>
        <v>3.6326794044257373</v>
      </c>
      <c r="P33" s="7">
        <f t="shared" si="12"/>
        <v>-20.814</v>
      </c>
      <c r="Q33" s="9">
        <f t="shared" si="13"/>
        <v>-3.384770601714933</v>
      </c>
      <c r="R33" s="376">
        <f t="shared" si="14"/>
        <v>-27.181846052563721</v>
      </c>
    </row>
    <row r="34" spans="1:21">
      <c r="A34" s="7" t="str">
        <f>$A$8</f>
        <v>Positive</v>
      </c>
      <c r="B34" t="str">
        <f>$B$8</f>
        <v>Male</v>
      </c>
      <c r="C34" t="str">
        <f>$C$8</f>
        <v>Therapy 3</v>
      </c>
      <c r="D34" s="8">
        <f>$D$8</f>
        <v>107</v>
      </c>
      <c r="G34" s="7" t="str">
        <f>$A$15</f>
        <v>Negative</v>
      </c>
      <c r="H34" t="str">
        <f>$B$15</f>
        <v>Female</v>
      </c>
      <c r="I34" t="str">
        <f>$C$15</f>
        <v>Therapy 1</v>
      </c>
      <c r="J34" s="7">
        <f>$D$15</f>
        <v>16</v>
      </c>
      <c r="K34" s="508">
        <f t="shared" si="8"/>
        <v>3.2000000000000001E-2</v>
      </c>
      <c r="L34" s="9">
        <f t="shared" si="9"/>
        <v>2.7725887222397811</v>
      </c>
      <c r="M34" s="7">
        <f>D57*D78/D18</f>
        <v>12.05</v>
      </c>
      <c r="N34" s="508">
        <f t="shared" si="10"/>
        <v>2.41E-2</v>
      </c>
      <c r="O34" s="9">
        <f t="shared" si="11"/>
        <v>2.4890646599366639</v>
      </c>
      <c r="P34" s="7">
        <f t="shared" si="12"/>
        <v>3.9499999999999993</v>
      </c>
      <c r="Q34" s="9">
        <f t="shared" si="13"/>
        <v>1.1378986237834625</v>
      </c>
      <c r="R34" s="376">
        <f t="shared" si="14"/>
        <v>9.072769993699751</v>
      </c>
    </row>
    <row r="35" spans="1:21">
      <c r="A35" s="7" t="str">
        <f>$A$9</f>
        <v>Positive</v>
      </c>
      <c r="B35" t="str">
        <f>$B$9</f>
        <v>Female</v>
      </c>
      <c r="C35" t="str">
        <f>$C$9</f>
        <v>Therapy 1</v>
      </c>
      <c r="D35" s="8">
        <f>$D$9</f>
        <v>32</v>
      </c>
      <c r="G35" s="7" t="str">
        <f>$A$16</f>
        <v>Negative</v>
      </c>
      <c r="H35" t="str">
        <f>$B$16</f>
        <v>Female</v>
      </c>
      <c r="I35" t="str">
        <f>$C$16</f>
        <v>Therapy 2</v>
      </c>
      <c r="J35" s="7">
        <f>$D$16</f>
        <v>33</v>
      </c>
      <c r="K35" s="508">
        <f t="shared" si="8"/>
        <v>6.6000000000000003E-2</v>
      </c>
      <c r="L35" s="9">
        <f t="shared" si="9"/>
        <v>3.4965075614664802</v>
      </c>
      <c r="M35" s="7">
        <f>D58*D78/D18</f>
        <v>21.69</v>
      </c>
      <c r="N35" s="508">
        <f t="shared" si="10"/>
        <v>4.3380000000000002E-2</v>
      </c>
      <c r="O35" s="9">
        <f t="shared" si="11"/>
        <v>3.076851324838783</v>
      </c>
      <c r="P35" s="7">
        <f t="shared" si="12"/>
        <v>11.309999999999999</v>
      </c>
      <c r="Q35" s="9">
        <f t="shared" si="13"/>
        <v>2.4284704815311318</v>
      </c>
      <c r="R35" s="376">
        <f t="shared" si="14"/>
        <v>27.697311617428017</v>
      </c>
    </row>
    <row r="36" spans="1:21">
      <c r="A36" s="7" t="str">
        <f>$A$10</f>
        <v>Positive</v>
      </c>
      <c r="B36" t="str">
        <f>$B$10</f>
        <v>Female</v>
      </c>
      <c r="C36" t="str">
        <f>$C$10</f>
        <v>Therapy 2</v>
      </c>
      <c r="D36" s="8">
        <f>$D$10</f>
        <v>24</v>
      </c>
      <c r="G36" s="10" t="str">
        <f>$A$17</f>
        <v>Negative</v>
      </c>
      <c r="H36" s="11" t="str">
        <f>$B$17</f>
        <v>Female</v>
      </c>
      <c r="I36" s="11" t="str">
        <f>$C$17</f>
        <v>Therapy 3</v>
      </c>
      <c r="J36" s="10">
        <f>$D$17</f>
        <v>56</v>
      </c>
      <c r="K36" s="509">
        <f t="shared" si="8"/>
        <v>0.112</v>
      </c>
      <c r="L36" s="12">
        <f t="shared" si="9"/>
        <v>4.0253516907351496</v>
      </c>
      <c r="M36" s="10">
        <f>D59*D78/D18</f>
        <v>35.186</v>
      </c>
      <c r="N36" s="509">
        <f t="shared" si="10"/>
        <v>7.0372000000000004E-2</v>
      </c>
      <c r="O36" s="12">
        <f t="shared" si="11"/>
        <v>3.5606482762168543</v>
      </c>
      <c r="P36" s="533">
        <f t="shared" si="12"/>
        <v>20.814</v>
      </c>
      <c r="Q36" s="12">
        <f t="shared" si="13"/>
        <v>3.5088968457103702</v>
      </c>
      <c r="R36" s="268">
        <f t="shared" si="14"/>
        <v>52.046782426049077</v>
      </c>
    </row>
    <row r="37" spans="1:21">
      <c r="A37" s="7" t="str">
        <f>$A$11</f>
        <v>Positive</v>
      </c>
      <c r="B37" t="str">
        <f>$B$11</f>
        <v>Female</v>
      </c>
      <c r="C37" t="str">
        <f>$C$11</f>
        <v>Therapy 3</v>
      </c>
      <c r="D37" s="8">
        <f>$D$11</f>
        <v>80</v>
      </c>
      <c r="R37">
        <f>SUM(R25:R36)</f>
        <v>58.032898940132199</v>
      </c>
    </row>
    <row r="38" spans="1:21">
      <c r="A38" s="7" t="str">
        <f>$A$12</f>
        <v>Negative</v>
      </c>
      <c r="B38" t="str">
        <f>$B$12</f>
        <v>Male</v>
      </c>
      <c r="C38" t="str">
        <f>$C$12</f>
        <v>Therapy 1</v>
      </c>
      <c r="D38" s="8">
        <f>$D$12</f>
        <v>9</v>
      </c>
    </row>
    <row r="39" spans="1:21">
      <c r="A39" s="7" t="str">
        <f>$A$13</f>
        <v>Negative</v>
      </c>
      <c r="B39" t="str">
        <f>$B$13</f>
        <v>Male</v>
      </c>
      <c r="C39" t="str">
        <f>$C$13</f>
        <v>Therapy 2</v>
      </c>
      <c r="D39" s="8">
        <f>$D$13</f>
        <v>12</v>
      </c>
      <c r="G39" s="1" t="s">
        <v>1322</v>
      </c>
    </row>
    <row r="40" spans="1:21">
      <c r="A40" s="7" t="str">
        <f>$A$14</f>
        <v>Negative</v>
      </c>
      <c r="B40" t="str">
        <f>$B$14</f>
        <v>Male</v>
      </c>
      <c r="C40" t="str">
        <f>$C$14</f>
        <v>Therapy 3</v>
      </c>
      <c r="D40" s="8">
        <f>$D$14</f>
        <v>17</v>
      </c>
      <c r="J40" s="1591" t="s">
        <v>703</v>
      </c>
      <c r="K40" s="1592"/>
      <c r="L40" s="1593"/>
      <c r="M40" s="1591" t="s">
        <v>1261</v>
      </c>
      <c r="N40" s="1592"/>
      <c r="O40" s="1593"/>
      <c r="P40" s="1588" t="s">
        <v>704</v>
      </c>
      <c r="Q40" s="1594"/>
    </row>
    <row r="41" spans="1:21">
      <c r="A41" s="7" t="str">
        <f>$A$15</f>
        <v>Negative</v>
      </c>
      <c r="B41" t="str">
        <f>$B$15</f>
        <v>Female</v>
      </c>
      <c r="C41" t="str">
        <f>$C$15</f>
        <v>Therapy 1</v>
      </c>
      <c r="D41" s="8">
        <f>$D$15</f>
        <v>16</v>
      </c>
      <c r="G41" s="516" t="str">
        <f>$A$5</f>
        <v>Cure</v>
      </c>
      <c r="H41" s="503" t="str">
        <f>$B$5</f>
        <v>Gender</v>
      </c>
      <c r="I41" s="503" t="str">
        <f>$C$5</f>
        <v>Therapy</v>
      </c>
      <c r="J41" s="505" t="s">
        <v>1259</v>
      </c>
      <c r="K41" s="506" t="s">
        <v>1258</v>
      </c>
      <c r="L41" s="507" t="s">
        <v>759</v>
      </c>
      <c r="M41" s="505" t="s">
        <v>1260</v>
      </c>
      <c r="N41" s="506" t="s">
        <v>1258</v>
      </c>
      <c r="O41" s="507" t="s">
        <v>1251</v>
      </c>
      <c r="P41" s="554" t="s">
        <v>644</v>
      </c>
      <c r="Q41" s="556" t="s">
        <v>1270</v>
      </c>
      <c r="R41" s="511" t="s">
        <v>346</v>
      </c>
      <c r="T41" s="175" t="s">
        <v>346</v>
      </c>
      <c r="U41" s="515">
        <f>R54</f>
        <v>60.302394034976658</v>
      </c>
    </row>
    <row r="42" spans="1:21">
      <c r="A42" s="7" t="str">
        <f>$A$16</f>
        <v>Negative</v>
      </c>
      <c r="B42" t="str">
        <f>$B$16</f>
        <v>Female</v>
      </c>
      <c r="C42" t="str">
        <f>$C$16</f>
        <v>Therapy 2</v>
      </c>
      <c r="D42" s="8">
        <f>$D$16</f>
        <v>33</v>
      </c>
      <c r="G42" s="7" t="str">
        <f>$A$6</f>
        <v>Positive</v>
      </c>
      <c r="H42" t="str">
        <f>$B$6</f>
        <v>Male</v>
      </c>
      <c r="I42" t="str">
        <f>$C$6</f>
        <v>Therapy 1</v>
      </c>
      <c r="J42" s="7">
        <f>$D$6</f>
        <v>59</v>
      </c>
      <c r="K42" s="508">
        <f>J42/$D$18</f>
        <v>0.11799999999999999</v>
      </c>
      <c r="L42" s="9">
        <f>LN(J42)</f>
        <v>4.0775374439057197</v>
      </c>
      <c r="M42" s="517">
        <f>D63*D72/$D$18</f>
        <v>48.552</v>
      </c>
      <c r="N42" s="551">
        <f>M42/$D$18</f>
        <v>9.7103999999999996E-2</v>
      </c>
      <c r="O42" s="552">
        <f>LN(M42)</f>
        <v>3.8826353885335538</v>
      </c>
      <c r="P42" s="553">
        <f>J42-M42</f>
        <v>10.448</v>
      </c>
      <c r="Q42" s="552">
        <f>P42/SQRT(M42)</f>
        <v>1.4994417591420992</v>
      </c>
      <c r="R42" s="376">
        <f>2*J42*(L42-O42)</f>
        <v>22.998442533915572</v>
      </c>
      <c r="T42" t="s">
        <v>186</v>
      </c>
      <c r="U42" s="376">
        <f>(A27-1)*(B27*C27-1)</f>
        <v>5</v>
      </c>
    </row>
    <row r="43" spans="1:21">
      <c r="A43" s="10" t="str">
        <f>$A$17</f>
        <v>Negative</v>
      </c>
      <c r="B43" s="11" t="str">
        <f>$B$17</f>
        <v>Female</v>
      </c>
      <c r="C43" s="11" t="str">
        <f>$C$17</f>
        <v>Therapy 3</v>
      </c>
      <c r="D43" s="11">
        <f>$D$17</f>
        <v>56</v>
      </c>
      <c r="G43" s="7" t="str">
        <f>$A$7</f>
        <v>Positive</v>
      </c>
      <c r="H43" t="str">
        <f>$B$7</f>
        <v>Male</v>
      </c>
      <c r="I43" t="str">
        <f>$C$7</f>
        <v>Therapy 2</v>
      </c>
      <c r="J43" s="7">
        <f>$D$7</f>
        <v>55</v>
      </c>
      <c r="K43" s="508">
        <f t="shared" ref="K43:K53" si="15">J43/$D$18</f>
        <v>0.11</v>
      </c>
      <c r="L43" s="9">
        <f t="shared" ref="L43:L53" si="16">LN(J43)</f>
        <v>4.0073331852324712</v>
      </c>
      <c r="M43" s="7">
        <f>D64*D72/$D$18</f>
        <v>47.838000000000001</v>
      </c>
      <c r="N43" s="508">
        <f t="shared" ref="N43:N53" si="17">M43/$D$18</f>
        <v>9.5675999999999997E-2</v>
      </c>
      <c r="O43" s="9">
        <f t="shared" ref="O43:O53" si="18">LN(M43)</f>
        <v>3.8678203027484135</v>
      </c>
      <c r="P43" s="7">
        <f t="shared" ref="P43:P53" si="19">J43-M43</f>
        <v>7.161999999999999</v>
      </c>
      <c r="Q43" s="9">
        <f t="shared" ref="Q43:Q53" si="20">P43/SQRT(M43)</f>
        <v>1.0354945308643482</v>
      </c>
      <c r="R43" s="376">
        <f t="shared" ref="R43:R53" si="21">2*J43*(L43-O43)</f>
        <v>15.346417073246347</v>
      </c>
      <c r="T43" s="65" t="s">
        <v>157</v>
      </c>
      <c r="U43" s="376">
        <v>0.05</v>
      </c>
    </row>
    <row r="44" spans="1:21">
      <c r="A44" s="8"/>
      <c r="B44" s="8"/>
      <c r="C44" s="8"/>
      <c r="D44" s="8">
        <f>SUM(D32:D43)</f>
        <v>500</v>
      </c>
      <c r="G44" s="7" t="str">
        <f>$A$8</f>
        <v>Positive</v>
      </c>
      <c r="H44" t="str">
        <f>$B$8</f>
        <v>Male</v>
      </c>
      <c r="I44" t="str">
        <f>$C$8</f>
        <v>Therapy 3</v>
      </c>
      <c r="J44" s="7">
        <f>$D$8</f>
        <v>107</v>
      </c>
      <c r="K44" s="508">
        <f t="shared" si="15"/>
        <v>0.214</v>
      </c>
      <c r="L44" s="9">
        <f t="shared" si="16"/>
        <v>4.6728288344619058</v>
      </c>
      <c r="M44" s="7">
        <f>D65*D72/$D$18</f>
        <v>88.536000000000001</v>
      </c>
      <c r="N44" s="508">
        <f t="shared" si="17"/>
        <v>0.17707200000000001</v>
      </c>
      <c r="O44" s="9">
        <f t="shared" si="18"/>
        <v>4.4834092489624844</v>
      </c>
      <c r="P44" s="7">
        <f t="shared" si="19"/>
        <v>18.463999999999999</v>
      </c>
      <c r="Q44" s="9">
        <f t="shared" si="20"/>
        <v>1.9623019842617053</v>
      </c>
      <c r="R44" s="376">
        <f t="shared" si="21"/>
        <v>40.535791296876177</v>
      </c>
      <c r="T44" s="493" t="s">
        <v>200</v>
      </c>
      <c r="U44" s="376">
        <f>CHIDIST(U41,U42)</f>
        <v>1.0525518854310249E-11</v>
      </c>
    </row>
    <row r="45" spans="1:21">
      <c r="G45" s="7" t="str">
        <f>$A$9</f>
        <v>Positive</v>
      </c>
      <c r="H45" t="str">
        <f>$B$9</f>
        <v>Female</v>
      </c>
      <c r="I45" t="str">
        <f>$C$9</f>
        <v>Therapy 1</v>
      </c>
      <c r="J45" s="7">
        <f>$D$9</f>
        <v>32</v>
      </c>
      <c r="K45" s="508">
        <f t="shared" si="15"/>
        <v>6.4000000000000001E-2</v>
      </c>
      <c r="L45" s="9">
        <f t="shared" si="16"/>
        <v>3.4657359027997265</v>
      </c>
      <c r="M45" s="7">
        <f>D66*D72/$D$18</f>
        <v>34.271999999999998</v>
      </c>
      <c r="N45" s="508">
        <f t="shared" si="17"/>
        <v>6.8543999999999994E-2</v>
      </c>
      <c r="O45" s="9">
        <f t="shared" si="18"/>
        <v>3.534328694265338</v>
      </c>
      <c r="P45" s="7">
        <f t="shared" si="19"/>
        <v>-2.2719999999999985</v>
      </c>
      <c r="Q45" s="9">
        <f t="shared" si="20"/>
        <v>-0.38809549586697262</v>
      </c>
      <c r="R45" s="376">
        <f t="shared" si="21"/>
        <v>-4.3899386537991347</v>
      </c>
      <c r="T45" s="175" t="s">
        <v>347</v>
      </c>
      <c r="U45" s="376">
        <f>CHIINV(U43,U42)</f>
        <v>11.070497693516353</v>
      </c>
    </row>
    <row r="46" spans="1:21">
      <c r="A46" s="516" t="str">
        <f>$A$5</f>
        <v>Cure</v>
      </c>
      <c r="B46" s="503" t="str">
        <f>$B$5</f>
        <v>Gender</v>
      </c>
      <c r="C46" s="503" t="str">
        <f>$C$5</f>
        <v>Therapy</v>
      </c>
      <c r="D46" s="504" t="str">
        <f>$D$5</f>
        <v>Obs</v>
      </c>
      <c r="E46" s="504" t="s">
        <v>1262</v>
      </c>
      <c r="G46" s="7" t="str">
        <f>$A$10</f>
        <v>Positive</v>
      </c>
      <c r="H46" t="str">
        <f>$B$10</f>
        <v>Female</v>
      </c>
      <c r="I46" t="str">
        <f>$C$10</f>
        <v>Therapy 2</v>
      </c>
      <c r="J46" s="7">
        <f>$D$10</f>
        <v>24</v>
      </c>
      <c r="K46" s="508">
        <f t="shared" si="15"/>
        <v>4.8000000000000001E-2</v>
      </c>
      <c r="L46" s="9">
        <f t="shared" si="16"/>
        <v>3.1780538303479458</v>
      </c>
      <c r="M46" s="7">
        <f>D67*D72/$D$18</f>
        <v>40.698</v>
      </c>
      <c r="N46" s="508">
        <f t="shared" si="17"/>
        <v>8.1395999999999996E-2</v>
      </c>
      <c r="O46" s="9">
        <f t="shared" si="18"/>
        <v>3.7061789511919976</v>
      </c>
      <c r="P46" s="7">
        <f t="shared" si="19"/>
        <v>-16.698</v>
      </c>
      <c r="Q46" s="9">
        <f t="shared" si="20"/>
        <v>-2.6174471595250579</v>
      </c>
      <c r="R46" s="376">
        <f t="shared" si="21"/>
        <v>-25.350005800514488</v>
      </c>
      <c r="T46" s="493" t="s">
        <v>948</v>
      </c>
      <c r="U46" s="266" t="str">
        <f>IF(U44&lt;U43,"yes","no")</f>
        <v>yes</v>
      </c>
    </row>
    <row r="47" spans="1:21">
      <c r="A47" t="str">
        <f>A6</f>
        <v>Positive</v>
      </c>
      <c r="B47" t="str">
        <f>B6</f>
        <v>Male</v>
      </c>
      <c r="D47">
        <f>SUMIFS($D$32:$D$43,$A$32:$A$43,A47,$B$32:$B$43,B47)</f>
        <v>221</v>
      </c>
      <c r="E47" s="127">
        <f>D47/$D$51</f>
        <v>0.442</v>
      </c>
      <c r="G47" s="7" t="str">
        <f>$A$11</f>
        <v>Positive</v>
      </c>
      <c r="H47" t="str">
        <f>$B$11</f>
        <v>Female</v>
      </c>
      <c r="I47" t="str">
        <f>$C$11</f>
        <v>Therapy 3</v>
      </c>
      <c r="J47" s="7">
        <f>$D$11</f>
        <v>80</v>
      </c>
      <c r="K47" s="508">
        <f t="shared" si="15"/>
        <v>0.16</v>
      </c>
      <c r="L47" s="9">
        <f t="shared" si="16"/>
        <v>4.3820266346738812</v>
      </c>
      <c r="M47" s="7">
        <f>D68*D72/$D$18</f>
        <v>97.103999999999999</v>
      </c>
      <c r="N47" s="508">
        <f t="shared" si="17"/>
        <v>0.19420799999999999</v>
      </c>
      <c r="O47" s="9">
        <f t="shared" si="18"/>
        <v>4.5757825690934997</v>
      </c>
      <c r="P47" s="7">
        <f t="shared" si="19"/>
        <v>-17.103999999999999</v>
      </c>
      <c r="Q47" s="9">
        <f t="shared" si="20"/>
        <v>-1.7357178422046509</v>
      </c>
      <c r="R47" s="376">
        <f t="shared" si="21"/>
        <v>-31.000949507138955</v>
      </c>
    </row>
    <row r="48" spans="1:21">
      <c r="A48" t="str">
        <f>A47</f>
        <v>Positive</v>
      </c>
      <c r="B48" t="str">
        <f>B9</f>
        <v>Female</v>
      </c>
      <c r="D48">
        <f>SUMIFS($D$32:$D$43,$A$32:$A$43,A48,$B$32:$B$43,B48)</f>
        <v>136</v>
      </c>
      <c r="E48" s="127">
        <f>D48/$D$51</f>
        <v>0.27200000000000002</v>
      </c>
      <c r="G48" s="7" t="str">
        <f>$A$12</f>
        <v>Negative</v>
      </c>
      <c r="H48" t="str">
        <f>$B$12</f>
        <v>Male</v>
      </c>
      <c r="I48" t="str">
        <f>$C$12</f>
        <v>Therapy 1</v>
      </c>
      <c r="J48" s="7">
        <f>$D$12</f>
        <v>9</v>
      </c>
      <c r="K48" s="508">
        <f t="shared" si="15"/>
        <v>1.7999999999999999E-2</v>
      </c>
      <c r="L48" s="9">
        <f t="shared" si="16"/>
        <v>2.1972245773362196</v>
      </c>
      <c r="M48" s="7">
        <f>D63*D73/$D$18</f>
        <v>19.448</v>
      </c>
      <c r="N48" s="508">
        <f t="shared" si="17"/>
        <v>3.8896E-2</v>
      </c>
      <c r="O48" s="9">
        <f t="shared" si="18"/>
        <v>2.9677442370138221</v>
      </c>
      <c r="P48" s="7">
        <f t="shared" si="19"/>
        <v>-10.448</v>
      </c>
      <c r="Q48" s="9">
        <f t="shared" si="20"/>
        <v>-2.3691670887390908</v>
      </c>
      <c r="R48" s="376">
        <f t="shared" si="21"/>
        <v>-13.869353874196845</v>
      </c>
    </row>
    <row r="49" spans="1:21">
      <c r="A49" t="str">
        <f>A12</f>
        <v>Negative</v>
      </c>
      <c r="B49" t="str">
        <f>B47</f>
        <v>Male</v>
      </c>
      <c r="D49">
        <f>SUMIFS($D$32:$D$43,$A$32:$A$43,A49,$B$32:$B$43,B49)</f>
        <v>38</v>
      </c>
      <c r="E49" s="127">
        <f>D49/$D$51</f>
        <v>7.5999999999999998E-2</v>
      </c>
      <c r="G49" s="7" t="str">
        <f>$A$13</f>
        <v>Negative</v>
      </c>
      <c r="H49" t="str">
        <f>$B$13</f>
        <v>Male</v>
      </c>
      <c r="I49" t="str">
        <f>$C$13</f>
        <v>Therapy 2</v>
      </c>
      <c r="J49" s="7">
        <f>$D$13</f>
        <v>12</v>
      </c>
      <c r="K49" s="508">
        <f t="shared" si="15"/>
        <v>2.4E-2</v>
      </c>
      <c r="L49" s="9">
        <f t="shared" si="16"/>
        <v>2.4849066497880004</v>
      </c>
      <c r="M49" s="7">
        <f>D64*D73/$D$18</f>
        <v>19.161999999999999</v>
      </c>
      <c r="N49" s="508">
        <f t="shared" si="17"/>
        <v>3.8323999999999997E-2</v>
      </c>
      <c r="O49" s="9">
        <f t="shared" si="18"/>
        <v>2.9529291512286817</v>
      </c>
      <c r="P49" s="7">
        <f t="shared" si="19"/>
        <v>-7.161999999999999</v>
      </c>
      <c r="Q49" s="9">
        <f t="shared" si="20"/>
        <v>-1.6361152729911719</v>
      </c>
      <c r="R49" s="376">
        <f t="shared" si="21"/>
        <v>-11.232540034576353</v>
      </c>
    </row>
    <row r="50" spans="1:21">
      <c r="A50" s="11" t="str">
        <f>A49</f>
        <v>Negative</v>
      </c>
      <c r="B50" s="11" t="str">
        <f>B48</f>
        <v>Female</v>
      </c>
      <c r="C50" s="11"/>
      <c r="D50" s="11">
        <f>SUMIFS($D$32:$D$43,$A$32:$A$43,A50,$B$32:$B$43,B50)</f>
        <v>105</v>
      </c>
      <c r="E50" s="509">
        <f>D50/$D$51</f>
        <v>0.21</v>
      </c>
      <c r="G50" s="7" t="str">
        <f>$A$14</f>
        <v>Negative</v>
      </c>
      <c r="H50" t="str">
        <f>$B$14</f>
        <v>Male</v>
      </c>
      <c r="I50" t="str">
        <f>$C$14</f>
        <v>Therapy 3</v>
      </c>
      <c r="J50" s="7">
        <f>$D$14</f>
        <v>17</v>
      </c>
      <c r="K50" s="508">
        <f t="shared" si="15"/>
        <v>3.4000000000000002E-2</v>
      </c>
      <c r="L50" s="9">
        <f t="shared" si="16"/>
        <v>2.8332133440562162</v>
      </c>
      <c r="M50" s="7">
        <f>D65*D73/$D$18</f>
        <v>35.463999999999999</v>
      </c>
      <c r="N50" s="508">
        <f t="shared" si="17"/>
        <v>7.0927999999999991E-2</v>
      </c>
      <c r="O50" s="9">
        <f t="shared" si="18"/>
        <v>3.5685180974427522</v>
      </c>
      <c r="P50" s="7">
        <f t="shared" si="19"/>
        <v>-18.463999999999999</v>
      </c>
      <c r="Q50" s="9">
        <f t="shared" si="20"/>
        <v>-3.1005014038959193</v>
      </c>
      <c r="R50" s="376">
        <f t="shared" si="21"/>
        <v>-25.000361615142225</v>
      </c>
    </row>
    <row r="51" spans="1:21">
      <c r="A51" s="8"/>
      <c r="B51" s="8"/>
      <c r="C51" s="8"/>
      <c r="D51" s="8">
        <f>SUM(D47:D50)</f>
        <v>500</v>
      </c>
      <c r="G51" s="7" t="str">
        <f>$A$15</f>
        <v>Negative</v>
      </c>
      <c r="H51" t="str">
        <f>$B$15</f>
        <v>Female</v>
      </c>
      <c r="I51" t="str">
        <f>$C$15</f>
        <v>Therapy 1</v>
      </c>
      <c r="J51" s="7">
        <f>$D$15</f>
        <v>16</v>
      </c>
      <c r="K51" s="508">
        <f t="shared" si="15"/>
        <v>3.2000000000000001E-2</v>
      </c>
      <c r="L51" s="9">
        <f t="shared" si="16"/>
        <v>2.7725887222397811</v>
      </c>
      <c r="M51" s="7">
        <f>D66*D73/$D$18</f>
        <v>13.728</v>
      </c>
      <c r="N51" s="508">
        <f t="shared" si="17"/>
        <v>2.7456000000000001E-2</v>
      </c>
      <c r="O51" s="9">
        <f t="shared" si="18"/>
        <v>2.6194375427456063</v>
      </c>
      <c r="P51" s="7">
        <f t="shared" si="19"/>
        <v>2.2720000000000002</v>
      </c>
      <c r="Q51" s="9">
        <f t="shared" si="20"/>
        <v>0.61320359426429338</v>
      </c>
      <c r="R51" s="376">
        <f t="shared" si="21"/>
        <v>4.9008377438135966</v>
      </c>
    </row>
    <row r="52" spans="1:21">
      <c r="G52" s="7" t="str">
        <f>$A$16</f>
        <v>Negative</v>
      </c>
      <c r="H52" t="str">
        <f>$B$16</f>
        <v>Female</v>
      </c>
      <c r="I52" t="str">
        <f>$C$16</f>
        <v>Therapy 2</v>
      </c>
      <c r="J52" s="7">
        <f>$D$16</f>
        <v>33</v>
      </c>
      <c r="K52" s="508">
        <f t="shared" si="15"/>
        <v>6.6000000000000003E-2</v>
      </c>
      <c r="L52" s="9">
        <f t="shared" si="16"/>
        <v>3.4965075614664802</v>
      </c>
      <c r="M52" s="7">
        <f>D67*D73/$D$18</f>
        <v>16.302</v>
      </c>
      <c r="N52" s="508">
        <f t="shared" si="17"/>
        <v>3.2604000000000001E-2</v>
      </c>
      <c r="O52" s="9">
        <f t="shared" si="18"/>
        <v>2.7912877996722658</v>
      </c>
      <c r="P52" s="7">
        <f t="shared" si="19"/>
        <v>16.698</v>
      </c>
      <c r="Q52" s="9">
        <f t="shared" si="20"/>
        <v>4.1356522379424483</v>
      </c>
      <c r="R52" s="376">
        <f t="shared" si="21"/>
        <v>46.544504278418152</v>
      </c>
    </row>
    <row r="53" spans="1:21">
      <c r="A53" s="516" t="str">
        <f>$A$5</f>
        <v>Cure</v>
      </c>
      <c r="B53" s="503" t="str">
        <f>$B$5</f>
        <v>Gender</v>
      </c>
      <c r="C53" s="503" t="str">
        <f>$C$5</f>
        <v>Therapy</v>
      </c>
      <c r="D53" s="504" t="str">
        <f>$D$5</f>
        <v>Obs</v>
      </c>
      <c r="E53" s="504" t="str">
        <f>$E$46</f>
        <v>Prob</v>
      </c>
      <c r="G53" s="10" t="str">
        <f>$A$17</f>
        <v>Negative</v>
      </c>
      <c r="H53" s="11" t="str">
        <f>$B$17</f>
        <v>Female</v>
      </c>
      <c r="I53" s="11" t="str">
        <f>$C$17</f>
        <v>Therapy 3</v>
      </c>
      <c r="J53" s="10">
        <f>$D$17</f>
        <v>56</v>
      </c>
      <c r="K53" s="509">
        <f t="shared" si="15"/>
        <v>0.112</v>
      </c>
      <c r="L53" s="12">
        <f t="shared" si="16"/>
        <v>4.0253516907351496</v>
      </c>
      <c r="M53" s="10">
        <f>D68*D73/$D$18</f>
        <v>38.896000000000001</v>
      </c>
      <c r="N53" s="509">
        <f t="shared" si="17"/>
        <v>7.7792E-2</v>
      </c>
      <c r="O53" s="12">
        <f t="shared" si="18"/>
        <v>3.6608914175737675</v>
      </c>
      <c r="P53" s="533">
        <f t="shared" si="19"/>
        <v>17.103999999999999</v>
      </c>
      <c r="Q53" s="12">
        <f t="shared" si="20"/>
        <v>2.7424910384257104</v>
      </c>
      <c r="R53" s="268">
        <f t="shared" si="21"/>
        <v>40.819550594074805</v>
      </c>
    </row>
    <row r="54" spans="1:21">
      <c r="A54" t="str">
        <f>A6</f>
        <v>Positive</v>
      </c>
      <c r="C54" t="str">
        <f>C6</f>
        <v>Therapy 1</v>
      </c>
      <c r="D54">
        <f t="shared" ref="D54:D59" si="22">SUMIFS($D$32:$D$43,$A$32:$A$43,A54,$C$32:$C$43,C54)</f>
        <v>91</v>
      </c>
      <c r="E54" s="127">
        <f t="shared" ref="E54:E59" si="23">D54/$D$60</f>
        <v>0.182</v>
      </c>
      <c r="R54">
        <f>SUM(R42:R53)</f>
        <v>60.302394034976658</v>
      </c>
    </row>
    <row r="55" spans="1:21">
      <c r="A55" t="str">
        <f>A54</f>
        <v>Positive</v>
      </c>
      <c r="C55" t="str">
        <f>C7</f>
        <v>Therapy 2</v>
      </c>
      <c r="D55">
        <f t="shared" si="22"/>
        <v>79</v>
      </c>
      <c r="E55" s="127">
        <f t="shared" si="23"/>
        <v>0.158</v>
      </c>
    </row>
    <row r="56" spans="1:21">
      <c r="A56" t="str">
        <f>A55</f>
        <v>Positive</v>
      </c>
      <c r="C56" t="str">
        <f>C8</f>
        <v>Therapy 3</v>
      </c>
      <c r="D56">
        <f t="shared" si="22"/>
        <v>187</v>
      </c>
      <c r="E56" s="127">
        <f t="shared" si="23"/>
        <v>0.374</v>
      </c>
      <c r="G56" s="1" t="s">
        <v>1323</v>
      </c>
    </row>
    <row r="57" spans="1:21">
      <c r="A57" t="str">
        <f>A12</f>
        <v>Negative</v>
      </c>
      <c r="C57" t="str">
        <f>C54</f>
        <v>Therapy 1</v>
      </c>
      <c r="D57">
        <f t="shared" si="22"/>
        <v>25</v>
      </c>
      <c r="E57" s="127">
        <f t="shared" si="23"/>
        <v>0.05</v>
      </c>
      <c r="J57" s="1591" t="s">
        <v>703</v>
      </c>
      <c r="K57" s="1592"/>
      <c r="L57" s="1593"/>
      <c r="M57" s="1591" t="s">
        <v>1261</v>
      </c>
      <c r="N57" s="1592"/>
      <c r="O57" s="1593"/>
      <c r="P57" s="1588" t="s">
        <v>704</v>
      </c>
      <c r="Q57" s="1594"/>
    </row>
    <row r="58" spans="1:21">
      <c r="A58" t="str">
        <f>A57</f>
        <v>Negative</v>
      </c>
      <c r="C58" t="str">
        <f>C55</f>
        <v>Therapy 2</v>
      </c>
      <c r="D58">
        <f t="shared" si="22"/>
        <v>45</v>
      </c>
      <c r="E58" s="127">
        <f t="shared" si="23"/>
        <v>0.09</v>
      </c>
      <c r="G58" s="516" t="str">
        <f>$A$5</f>
        <v>Cure</v>
      </c>
      <c r="H58" s="503" t="str">
        <f>$B$5</f>
        <v>Gender</v>
      </c>
      <c r="I58" s="503" t="str">
        <f>$C$5</f>
        <v>Therapy</v>
      </c>
      <c r="J58" s="505" t="s">
        <v>1259</v>
      </c>
      <c r="K58" s="506" t="s">
        <v>1258</v>
      </c>
      <c r="L58" s="507" t="s">
        <v>759</v>
      </c>
      <c r="M58" s="505" t="s">
        <v>1260</v>
      </c>
      <c r="N58" s="506" t="s">
        <v>1258</v>
      </c>
      <c r="O58" s="507" t="s">
        <v>1251</v>
      </c>
      <c r="P58" s="554" t="s">
        <v>644</v>
      </c>
      <c r="Q58" s="556" t="s">
        <v>1270</v>
      </c>
      <c r="R58" s="511" t="s">
        <v>346</v>
      </c>
      <c r="T58" s="175" t="s">
        <v>346</v>
      </c>
      <c r="U58" s="515">
        <f>R71</f>
        <v>12.040798754725822</v>
      </c>
    </row>
    <row r="59" spans="1:21">
      <c r="A59" s="11" t="str">
        <f>A58</f>
        <v>Negative</v>
      </c>
      <c r="B59" s="11"/>
      <c r="C59" s="11" t="str">
        <f>C56</f>
        <v>Therapy 3</v>
      </c>
      <c r="D59" s="11">
        <f t="shared" si="22"/>
        <v>73</v>
      </c>
      <c r="E59" s="509">
        <f t="shared" si="23"/>
        <v>0.14599999999999999</v>
      </c>
      <c r="G59" s="7" t="str">
        <f>$A$6</f>
        <v>Positive</v>
      </c>
      <c r="H59" t="str">
        <f>$B$6</f>
        <v>Male</v>
      </c>
      <c r="I59" t="str">
        <f>$C$6</f>
        <v>Therapy 1</v>
      </c>
      <c r="J59" s="7">
        <f>$D$6</f>
        <v>59</v>
      </c>
      <c r="K59" s="508">
        <f>J59/$D$18</f>
        <v>0.11799999999999999</v>
      </c>
      <c r="L59" s="9">
        <f>LN(J59)</f>
        <v>4.0775374439057197</v>
      </c>
      <c r="M59" s="517">
        <f>D47*D82/$D$18</f>
        <v>51.271999999999998</v>
      </c>
      <c r="N59" s="551">
        <f>M59/$D$18</f>
        <v>0.102544</v>
      </c>
      <c r="O59" s="552">
        <f>LN(M59)</f>
        <v>3.9371447942019255</v>
      </c>
      <c r="P59" s="553">
        <f>J59-M59</f>
        <v>7.7280000000000015</v>
      </c>
      <c r="Q59" s="552">
        <f>P59/SQRT(M59)</f>
        <v>1.0792622434654489</v>
      </c>
      <c r="R59" s="376">
        <f>2*J59*(L59-O59)</f>
        <v>16.56633266504771</v>
      </c>
      <c r="T59" t="s">
        <v>186</v>
      </c>
      <c r="U59" s="376">
        <f>(C27-1)*(A27*B27-1)</f>
        <v>6</v>
      </c>
    </row>
    <row r="60" spans="1:21">
      <c r="A60" s="8"/>
      <c r="B60" s="8"/>
      <c r="C60" s="8"/>
      <c r="D60" s="8">
        <f>SUM(D54:D59)</f>
        <v>500</v>
      </c>
      <c r="G60" s="7" t="str">
        <f>$A$7</f>
        <v>Positive</v>
      </c>
      <c r="H60" t="str">
        <f>$B$7</f>
        <v>Male</v>
      </c>
      <c r="I60" t="str">
        <f>$C$7</f>
        <v>Therapy 2</v>
      </c>
      <c r="J60" s="7">
        <f>$D$7</f>
        <v>55</v>
      </c>
      <c r="K60" s="508">
        <f t="shared" ref="K60:K70" si="24">J60/$D$18</f>
        <v>0.11</v>
      </c>
      <c r="L60" s="9">
        <f t="shared" ref="L60:L70" si="25">LN(J60)</f>
        <v>4.0073331852324712</v>
      </c>
      <c r="M60" s="7">
        <f>D47*D83/$D$18</f>
        <v>54.808</v>
      </c>
      <c r="N60" s="508">
        <f t="shared" ref="N60:N70" si="26">M60/$D$18</f>
        <v>0.10961600000000001</v>
      </c>
      <c r="O60" s="9">
        <f t="shared" ref="O60:O70" si="27">LN(M60)</f>
        <v>4.0038361687005981</v>
      </c>
      <c r="P60" s="7">
        <f t="shared" ref="P60:P70" si="28">J60-M60</f>
        <v>0.19200000000000017</v>
      </c>
      <c r="Q60" s="9">
        <f t="shared" ref="Q60:Q70" si="29">P60/SQRT(M60)</f>
        <v>2.5934581927904998E-2</v>
      </c>
      <c r="R60" s="376">
        <f t="shared" ref="R60:R70" si="30">2*J60*(L60-O60)</f>
        <v>0.38467181850603716</v>
      </c>
      <c r="T60" s="65" t="s">
        <v>157</v>
      </c>
      <c r="U60" s="376">
        <v>0.05</v>
      </c>
    </row>
    <row r="61" spans="1:21">
      <c r="G61" s="7" t="str">
        <f>$A$8</f>
        <v>Positive</v>
      </c>
      <c r="H61" t="str">
        <f>$B$8</f>
        <v>Male</v>
      </c>
      <c r="I61" t="str">
        <f>$C$8</f>
        <v>Therapy 3</v>
      </c>
      <c r="J61" s="7">
        <f>$D$8</f>
        <v>107</v>
      </c>
      <c r="K61" s="508">
        <f t="shared" si="24"/>
        <v>0.214</v>
      </c>
      <c r="L61" s="9">
        <f t="shared" si="25"/>
        <v>4.6728288344619058</v>
      </c>
      <c r="M61" s="7">
        <f>D47*D84/$D$18</f>
        <v>114.92</v>
      </c>
      <c r="N61" s="508">
        <f t="shared" si="26"/>
        <v>0.22984000000000002</v>
      </c>
      <c r="O61" s="9">
        <f t="shared" si="27"/>
        <v>4.7442362341110886</v>
      </c>
      <c r="P61" s="7">
        <f t="shared" si="28"/>
        <v>-7.9200000000000017</v>
      </c>
      <c r="Q61" s="9">
        <f t="shared" si="29"/>
        <v>-0.73880082703375294</v>
      </c>
      <c r="R61" s="376">
        <f t="shared" si="30"/>
        <v>-15.281183524925131</v>
      </c>
      <c r="T61" s="493" t="s">
        <v>200</v>
      </c>
      <c r="U61" s="376">
        <f>CHIDIST(U58,U59)</f>
        <v>6.1064798869981202E-2</v>
      </c>
    </row>
    <row r="62" spans="1:21">
      <c r="A62" s="516" t="str">
        <f>$A$5</f>
        <v>Cure</v>
      </c>
      <c r="B62" s="503" t="str">
        <f>$B$5</f>
        <v>Gender</v>
      </c>
      <c r="C62" s="503" t="str">
        <f>$C$5</f>
        <v>Therapy</v>
      </c>
      <c r="D62" s="504" t="str">
        <f>$D$5</f>
        <v>Obs</v>
      </c>
      <c r="E62" s="504" t="str">
        <f>$E$46</f>
        <v>Prob</v>
      </c>
      <c r="G62" s="7" t="str">
        <f>$A$9</f>
        <v>Positive</v>
      </c>
      <c r="H62" t="str">
        <f>$B$9</f>
        <v>Female</v>
      </c>
      <c r="I62" t="str">
        <f>$C$9</f>
        <v>Therapy 1</v>
      </c>
      <c r="J62" s="7">
        <f>$D$9</f>
        <v>32</v>
      </c>
      <c r="K62" s="508">
        <f t="shared" si="24"/>
        <v>6.4000000000000001E-2</v>
      </c>
      <c r="L62" s="9">
        <f t="shared" si="25"/>
        <v>3.4657359027997265</v>
      </c>
      <c r="M62" s="7">
        <f>D48*D82/$D$18</f>
        <v>31.552</v>
      </c>
      <c r="N62" s="508">
        <f t="shared" si="26"/>
        <v>6.3103999999999993E-2</v>
      </c>
      <c r="O62" s="9">
        <f t="shared" si="27"/>
        <v>3.451636978420225</v>
      </c>
      <c r="P62" s="7">
        <f t="shared" si="28"/>
        <v>0.4480000000000004</v>
      </c>
      <c r="Q62" s="9">
        <f t="shared" si="29"/>
        <v>7.9756220865423971E-2</v>
      </c>
      <c r="R62" s="376">
        <f t="shared" si="30"/>
        <v>0.90233116028809945</v>
      </c>
      <c r="T62" s="175" t="s">
        <v>347</v>
      </c>
      <c r="U62" s="376">
        <f>CHIINV(U60,U59)</f>
        <v>12.591587243743978</v>
      </c>
    </row>
    <row r="63" spans="1:21">
      <c r="B63" t="str">
        <f t="shared" ref="B63:C68" si="31">B6</f>
        <v>Male</v>
      </c>
      <c r="C63" t="str">
        <f t="shared" si="31"/>
        <v>Therapy 1</v>
      </c>
      <c r="D63">
        <f t="shared" ref="D63:D68" si="32">SUMIFS($D$32:$D$43,$B$32:$B$43,B63,$C$32:$C$43,C63)</f>
        <v>68</v>
      </c>
      <c r="E63" s="127">
        <f t="shared" ref="E63:E68" si="33">D63/$D$60</f>
        <v>0.13600000000000001</v>
      </c>
      <c r="G63" s="7" t="str">
        <f>$A$10</f>
        <v>Positive</v>
      </c>
      <c r="H63" t="str">
        <f>$B$10</f>
        <v>Female</v>
      </c>
      <c r="I63" t="str">
        <f>$C$10</f>
        <v>Therapy 2</v>
      </c>
      <c r="J63" s="7">
        <f>$D$10</f>
        <v>24</v>
      </c>
      <c r="K63" s="508">
        <f t="shared" si="24"/>
        <v>4.8000000000000001E-2</v>
      </c>
      <c r="L63" s="9">
        <f t="shared" si="25"/>
        <v>3.1780538303479458</v>
      </c>
      <c r="M63" s="7">
        <f>D48*D83/$D$18</f>
        <v>33.728000000000002</v>
      </c>
      <c r="N63" s="508">
        <f t="shared" si="26"/>
        <v>6.7456000000000002E-2</v>
      </c>
      <c r="O63" s="9">
        <f t="shared" si="27"/>
        <v>3.5183283529188971</v>
      </c>
      <c r="P63" s="7">
        <f t="shared" si="28"/>
        <v>-9.7280000000000015</v>
      </c>
      <c r="Q63" s="9">
        <f t="shared" si="29"/>
        <v>-1.6750518981452713</v>
      </c>
      <c r="R63" s="376">
        <f t="shared" si="30"/>
        <v>-16.333177083405666</v>
      </c>
      <c r="T63" s="493" t="s">
        <v>948</v>
      </c>
      <c r="U63" s="266" t="str">
        <f>IF(U61&lt;U60,"yes","no")</f>
        <v>no</v>
      </c>
    </row>
    <row r="64" spans="1:21">
      <c r="B64" t="str">
        <f t="shared" si="31"/>
        <v>Male</v>
      </c>
      <c r="C64" t="str">
        <f t="shared" si="31"/>
        <v>Therapy 2</v>
      </c>
      <c r="D64">
        <f t="shared" si="32"/>
        <v>67</v>
      </c>
      <c r="E64" s="127">
        <f t="shared" si="33"/>
        <v>0.13400000000000001</v>
      </c>
      <c r="G64" s="7" t="str">
        <f>$A$11</f>
        <v>Positive</v>
      </c>
      <c r="H64" t="str">
        <f>$B$11</f>
        <v>Female</v>
      </c>
      <c r="I64" t="str">
        <f>$C$11</f>
        <v>Therapy 3</v>
      </c>
      <c r="J64" s="7">
        <f>$D$11</f>
        <v>80</v>
      </c>
      <c r="K64" s="508">
        <f t="shared" si="24"/>
        <v>0.16</v>
      </c>
      <c r="L64" s="9">
        <f t="shared" si="25"/>
        <v>4.3820266346738812</v>
      </c>
      <c r="M64" s="7">
        <f>D48*D84/$D$18</f>
        <v>70.72</v>
      </c>
      <c r="N64" s="508">
        <f t="shared" si="26"/>
        <v>0.14144000000000001</v>
      </c>
      <c r="O64" s="9">
        <f t="shared" si="27"/>
        <v>4.2587284183293876</v>
      </c>
      <c r="P64" s="7">
        <f t="shared" si="28"/>
        <v>9.2800000000000011</v>
      </c>
      <c r="Q64" s="9">
        <f t="shared" si="29"/>
        <v>1.1035114664384265</v>
      </c>
      <c r="R64" s="376">
        <f t="shared" si="30"/>
        <v>19.72771461511897</v>
      </c>
    </row>
    <row r="65" spans="1:21">
      <c r="B65" t="str">
        <f t="shared" si="31"/>
        <v>Male</v>
      </c>
      <c r="C65" t="str">
        <f t="shared" si="31"/>
        <v>Therapy 3</v>
      </c>
      <c r="D65">
        <f t="shared" si="32"/>
        <v>124</v>
      </c>
      <c r="E65" s="127">
        <f t="shared" si="33"/>
        <v>0.248</v>
      </c>
      <c r="G65" s="7" t="str">
        <f>$A$12</f>
        <v>Negative</v>
      </c>
      <c r="H65" t="str">
        <f>$B$12</f>
        <v>Male</v>
      </c>
      <c r="I65" t="str">
        <f>$C$12</f>
        <v>Therapy 1</v>
      </c>
      <c r="J65" s="7">
        <f>$D$12</f>
        <v>9</v>
      </c>
      <c r="K65" s="508">
        <f t="shared" si="24"/>
        <v>1.7999999999999999E-2</v>
      </c>
      <c r="L65" s="9">
        <f t="shared" si="25"/>
        <v>2.1972245773362196</v>
      </c>
      <c r="M65" s="7">
        <f>D49*D82/$D$18</f>
        <v>8.8160000000000007</v>
      </c>
      <c r="N65" s="508">
        <f t="shared" si="26"/>
        <v>1.7632000000000002E-2</v>
      </c>
      <c r="O65" s="9">
        <f t="shared" si="27"/>
        <v>2.1765682524105587</v>
      </c>
      <c r="P65" s="7">
        <f t="shared" si="28"/>
        <v>0.18399999999999928</v>
      </c>
      <c r="Q65" s="9">
        <f t="shared" si="29"/>
        <v>6.1970076497654868E-2</v>
      </c>
      <c r="R65" s="376">
        <f t="shared" si="30"/>
        <v>0.37181384866189493</v>
      </c>
    </row>
    <row r="66" spans="1:21">
      <c r="B66" t="str">
        <f t="shared" si="31"/>
        <v>Female</v>
      </c>
      <c r="C66" t="str">
        <f t="shared" si="31"/>
        <v>Therapy 1</v>
      </c>
      <c r="D66">
        <f t="shared" si="32"/>
        <v>48</v>
      </c>
      <c r="E66" s="127">
        <f t="shared" si="33"/>
        <v>9.6000000000000002E-2</v>
      </c>
      <c r="G66" s="7" t="str">
        <f>$A$13</f>
        <v>Negative</v>
      </c>
      <c r="H66" t="str">
        <f>$B$13</f>
        <v>Male</v>
      </c>
      <c r="I66" t="str">
        <f>$C$13</f>
        <v>Therapy 2</v>
      </c>
      <c r="J66" s="7">
        <f>$D$13</f>
        <v>12</v>
      </c>
      <c r="K66" s="508">
        <f t="shared" si="24"/>
        <v>2.4E-2</v>
      </c>
      <c r="L66" s="9">
        <f t="shared" si="25"/>
        <v>2.4849066497880004</v>
      </c>
      <c r="M66" s="7">
        <f>D49*D83/$D$18</f>
        <v>9.4239999999999995</v>
      </c>
      <c r="N66" s="508">
        <f t="shared" si="26"/>
        <v>1.8848E-2</v>
      </c>
      <c r="O66" s="9">
        <f t="shared" si="27"/>
        <v>2.2432596269092309</v>
      </c>
      <c r="P66" s="7">
        <f t="shared" si="28"/>
        <v>2.5760000000000005</v>
      </c>
      <c r="Q66" s="9">
        <f t="shared" si="29"/>
        <v>0.83912801373183932</v>
      </c>
      <c r="R66" s="376">
        <f t="shared" si="30"/>
        <v>5.7995285490904678</v>
      </c>
    </row>
    <row r="67" spans="1:21">
      <c r="B67" t="str">
        <f t="shared" si="31"/>
        <v>Female</v>
      </c>
      <c r="C67" t="str">
        <f t="shared" si="31"/>
        <v>Therapy 2</v>
      </c>
      <c r="D67">
        <f t="shared" si="32"/>
        <v>57</v>
      </c>
      <c r="E67" s="127">
        <f t="shared" si="33"/>
        <v>0.114</v>
      </c>
      <c r="G67" s="7" t="str">
        <f>$A$14</f>
        <v>Negative</v>
      </c>
      <c r="H67" t="str">
        <f>$B$14</f>
        <v>Male</v>
      </c>
      <c r="I67" t="str">
        <f>$C$14</f>
        <v>Therapy 3</v>
      </c>
      <c r="J67" s="7">
        <f>$D$14</f>
        <v>17</v>
      </c>
      <c r="K67" s="508">
        <f t="shared" si="24"/>
        <v>3.4000000000000002E-2</v>
      </c>
      <c r="L67" s="9">
        <f t="shared" si="25"/>
        <v>2.8332133440562162</v>
      </c>
      <c r="M67" s="7">
        <f>D49*D84/$D$18</f>
        <v>19.760000000000002</v>
      </c>
      <c r="N67" s="508">
        <f t="shared" si="26"/>
        <v>3.9520000000000007E-2</v>
      </c>
      <c r="O67" s="9">
        <f t="shared" si="27"/>
        <v>2.9836596923197218</v>
      </c>
      <c r="P67" s="7">
        <f t="shared" si="28"/>
        <v>-2.7600000000000016</v>
      </c>
      <c r="Q67" s="9">
        <f t="shared" si="29"/>
        <v>-0.62089135351886993</v>
      </c>
      <c r="R67" s="376">
        <f t="shared" si="30"/>
        <v>-5.1151758409591928</v>
      </c>
    </row>
    <row r="68" spans="1:21">
      <c r="A68" s="11"/>
      <c r="B68" s="11" t="str">
        <f t="shared" si="31"/>
        <v>Female</v>
      </c>
      <c r="C68" s="11" t="str">
        <f t="shared" si="31"/>
        <v>Therapy 3</v>
      </c>
      <c r="D68" s="11">
        <f t="shared" si="32"/>
        <v>136</v>
      </c>
      <c r="E68" s="509">
        <f t="shared" si="33"/>
        <v>0.27200000000000002</v>
      </c>
      <c r="G68" s="7" t="str">
        <f>$A$15</f>
        <v>Negative</v>
      </c>
      <c r="H68" t="str">
        <f>$B$15</f>
        <v>Female</v>
      </c>
      <c r="I68" t="str">
        <f>$C$15</f>
        <v>Therapy 1</v>
      </c>
      <c r="J68" s="7">
        <f>$D$15</f>
        <v>16</v>
      </c>
      <c r="K68" s="508">
        <f t="shared" si="24"/>
        <v>3.2000000000000001E-2</v>
      </c>
      <c r="L68" s="9">
        <f t="shared" si="25"/>
        <v>2.7725887222397811</v>
      </c>
      <c r="M68" s="7">
        <f>D50*D82/$D$18</f>
        <v>24.36</v>
      </c>
      <c r="N68" s="508">
        <f t="shared" si="26"/>
        <v>4.8719999999999999E-2</v>
      </c>
      <c r="O68" s="9">
        <f t="shared" si="27"/>
        <v>3.1929424428416961</v>
      </c>
      <c r="P68" s="7">
        <f t="shared" si="28"/>
        <v>-8.36</v>
      </c>
      <c r="Q68" s="9">
        <f t="shared" si="29"/>
        <v>-1.6938214778087952</v>
      </c>
      <c r="R68" s="376">
        <f t="shared" si="30"/>
        <v>-13.45131905926128</v>
      </c>
    </row>
    <row r="69" spans="1:21">
      <c r="A69" s="8"/>
      <c r="B69" s="8"/>
      <c r="C69" s="8"/>
      <c r="D69" s="8">
        <f>SUM(D63:D68)</f>
        <v>500</v>
      </c>
      <c r="G69" s="7" t="str">
        <f>$A$16</f>
        <v>Negative</v>
      </c>
      <c r="H69" t="str">
        <f>$B$16</f>
        <v>Female</v>
      </c>
      <c r="I69" t="str">
        <f>$C$16</f>
        <v>Therapy 2</v>
      </c>
      <c r="J69" s="7">
        <f>$D$16</f>
        <v>33</v>
      </c>
      <c r="K69" s="508">
        <f t="shared" si="24"/>
        <v>6.6000000000000003E-2</v>
      </c>
      <c r="L69" s="9">
        <f t="shared" si="25"/>
        <v>3.4965075614664802</v>
      </c>
      <c r="M69" s="7">
        <f>D50*D83/$D$18</f>
        <v>26.04</v>
      </c>
      <c r="N69" s="508">
        <f t="shared" si="26"/>
        <v>5.2080000000000001E-2</v>
      </c>
      <c r="O69" s="9">
        <f t="shared" si="27"/>
        <v>3.2596338173403683</v>
      </c>
      <c r="P69" s="7">
        <f t="shared" si="28"/>
        <v>6.9600000000000009</v>
      </c>
      <c r="Q69" s="9">
        <f t="shared" si="29"/>
        <v>1.3639195349051401</v>
      </c>
      <c r="R69" s="376">
        <f t="shared" si="30"/>
        <v>15.633667112323389</v>
      </c>
    </row>
    <row r="70" spans="1:21">
      <c r="G70" s="10" t="str">
        <f>$A$17</f>
        <v>Negative</v>
      </c>
      <c r="H70" s="11" t="str">
        <f>$B$17</f>
        <v>Female</v>
      </c>
      <c r="I70" s="11" t="str">
        <f>$C$17</f>
        <v>Therapy 3</v>
      </c>
      <c r="J70" s="10">
        <f>$D$17</f>
        <v>56</v>
      </c>
      <c r="K70" s="509">
        <f t="shared" si="24"/>
        <v>0.112</v>
      </c>
      <c r="L70" s="12">
        <f t="shared" si="25"/>
        <v>4.0253516907351496</v>
      </c>
      <c r="M70" s="10">
        <f>D50*D84/$D$18</f>
        <v>54.6</v>
      </c>
      <c r="N70" s="509">
        <f t="shared" si="26"/>
        <v>0.10920000000000001</v>
      </c>
      <c r="O70" s="12">
        <f t="shared" si="27"/>
        <v>4.0000338827508592</v>
      </c>
      <c r="P70" s="533">
        <f t="shared" si="28"/>
        <v>1.3999999999999986</v>
      </c>
      <c r="Q70" s="12">
        <f t="shared" si="29"/>
        <v>0.18946618668626816</v>
      </c>
      <c r="R70" s="268">
        <f t="shared" si="30"/>
        <v>2.8355944942405245</v>
      </c>
    </row>
    <row r="71" spans="1:21">
      <c r="A71" s="516" t="str">
        <f>$A$5</f>
        <v>Cure</v>
      </c>
      <c r="B71" s="503" t="str">
        <f>$B$5</f>
        <v>Gender</v>
      </c>
      <c r="C71" s="503" t="str">
        <f>$C$5</f>
        <v>Therapy</v>
      </c>
      <c r="D71" s="504" t="str">
        <f>$D$5</f>
        <v>Obs</v>
      </c>
      <c r="E71" s="504" t="str">
        <f>$E$46</f>
        <v>Prob</v>
      </c>
      <c r="R71">
        <f>SUM(R59:R70)</f>
        <v>12.040798754725822</v>
      </c>
    </row>
    <row r="72" spans="1:21">
      <c r="A72" t="str">
        <f>A6</f>
        <v>Positive</v>
      </c>
      <c r="D72">
        <f>SUMIF($A$32:$A$43,A72,$D$32:$D$43)</f>
        <v>357</v>
      </c>
      <c r="E72" s="127">
        <f>D72/$D$60</f>
        <v>0.71399999999999997</v>
      </c>
    </row>
    <row r="73" spans="1:21">
      <c r="A73" s="11" t="str">
        <f>A12</f>
        <v>Negative</v>
      </c>
      <c r="B73" s="11"/>
      <c r="C73" s="11"/>
      <c r="D73" s="11">
        <f>SUMIF($A$32:$A$43,A73,$D$32:$D$43)</f>
        <v>143</v>
      </c>
      <c r="E73" s="509">
        <f>D73/$D$60</f>
        <v>0.28599999999999998</v>
      </c>
      <c r="G73" s="1" t="s">
        <v>1324</v>
      </c>
    </row>
    <row r="74" spans="1:21">
      <c r="D74">
        <f>SUM(D72:D73)</f>
        <v>500</v>
      </c>
    </row>
    <row r="75" spans="1:21">
      <c r="J75" s="1591" t="s">
        <v>703</v>
      </c>
      <c r="K75" s="1592"/>
      <c r="L75" s="1593"/>
      <c r="M75" s="1591" t="s">
        <v>1261</v>
      </c>
      <c r="N75" s="1592"/>
      <c r="O75" s="1593"/>
      <c r="P75" s="1588" t="s">
        <v>704</v>
      </c>
      <c r="Q75" s="1594"/>
    </row>
    <row r="76" spans="1:21">
      <c r="A76" s="516" t="str">
        <f>$A$5</f>
        <v>Cure</v>
      </c>
      <c r="B76" s="503" t="str">
        <f>$B$5</f>
        <v>Gender</v>
      </c>
      <c r="C76" s="503" t="str">
        <f>$C$5</f>
        <v>Therapy</v>
      </c>
      <c r="D76" s="504" t="str">
        <f>$D$5</f>
        <v>Obs</v>
      </c>
      <c r="E76" s="504" t="str">
        <f>$E$46</f>
        <v>Prob</v>
      </c>
      <c r="G76" s="516" t="str">
        <f>$A$5</f>
        <v>Cure</v>
      </c>
      <c r="H76" s="503" t="str">
        <f>$B$5</f>
        <v>Gender</v>
      </c>
      <c r="I76" s="503" t="str">
        <f>$C$5</f>
        <v>Therapy</v>
      </c>
      <c r="J76" s="505" t="s">
        <v>1259</v>
      </c>
      <c r="K76" s="506" t="s">
        <v>1258</v>
      </c>
      <c r="L76" s="507" t="s">
        <v>759</v>
      </c>
      <c r="M76" s="505" t="s">
        <v>1260</v>
      </c>
      <c r="N76" s="506" t="s">
        <v>1258</v>
      </c>
      <c r="O76" s="507" t="s">
        <v>1251</v>
      </c>
      <c r="P76" s="554" t="s">
        <v>644</v>
      </c>
      <c r="Q76" s="556" t="s">
        <v>1270</v>
      </c>
      <c r="R76" s="511" t="s">
        <v>346</v>
      </c>
      <c r="T76" s="175" t="s">
        <v>346</v>
      </c>
      <c r="U76" s="515">
        <f>R89</f>
        <v>7.8620012972988071</v>
      </c>
    </row>
    <row r="77" spans="1:21">
      <c r="B77" t="str">
        <f>B6</f>
        <v>Male</v>
      </c>
      <c r="D77">
        <f>SUMIF($B$32:$B$43,B77,$D$32:$D$43)</f>
        <v>259</v>
      </c>
      <c r="E77" s="127">
        <f>D77/$D$60</f>
        <v>0.51800000000000002</v>
      </c>
      <c r="G77" s="7" t="str">
        <f>$A$6</f>
        <v>Positive</v>
      </c>
      <c r="H77" t="str">
        <f>$B$6</f>
        <v>Male</v>
      </c>
      <c r="I77" t="str">
        <f>$C$6</f>
        <v>Therapy 1</v>
      </c>
      <c r="J77" s="7">
        <f>$D$6</f>
        <v>59</v>
      </c>
      <c r="K77" s="508">
        <f>J77/$D$18</f>
        <v>0.11799999999999999</v>
      </c>
      <c r="L77" s="9">
        <f>LN(J77)</f>
        <v>4.0775374439057197</v>
      </c>
      <c r="M77" s="7">
        <f>(D47*D63)/D77</f>
        <v>58.02316602316602</v>
      </c>
      <c r="N77" s="508">
        <f t="shared" ref="N77:N88" si="34">M77/D$44</f>
        <v>0.11604633204633204</v>
      </c>
      <c r="O77" s="9">
        <f>LN(M77)</f>
        <v>4.0608423449943221</v>
      </c>
      <c r="P77" s="553">
        <f>J77-M77</f>
        <v>0.97683397683397999</v>
      </c>
      <c r="Q77" s="552">
        <f>P77/SQRT(M77)</f>
        <v>0.1282389773172217</v>
      </c>
      <c r="R77" s="376">
        <f>2*J77*(L77-O77)</f>
        <v>1.9700216715449219</v>
      </c>
      <c r="T77" t="s">
        <v>186</v>
      </c>
      <c r="U77" s="376">
        <f>(A27-1)*B27*(C27-1)</f>
        <v>4</v>
      </c>
    </row>
    <row r="78" spans="1:21">
      <c r="A78" s="11"/>
      <c r="B78" s="11" t="str">
        <f>B9</f>
        <v>Female</v>
      </c>
      <c r="C78" s="11"/>
      <c r="D78" s="11">
        <f>SUMIF($B$32:$B$43,B78,$D$32:$D$43)</f>
        <v>241</v>
      </c>
      <c r="E78" s="509">
        <f>D78/$D$60</f>
        <v>0.48199999999999998</v>
      </c>
      <c r="G78" s="7" t="str">
        <f>$A$7</f>
        <v>Positive</v>
      </c>
      <c r="H78" t="str">
        <f>$B$7</f>
        <v>Male</v>
      </c>
      <c r="I78" t="str">
        <f>$C$7</f>
        <v>Therapy 2</v>
      </c>
      <c r="J78" s="7">
        <f>$D$7</f>
        <v>55</v>
      </c>
      <c r="K78" s="508">
        <f t="shared" ref="K78:K88" si="35">J78/$D$18</f>
        <v>0.11</v>
      </c>
      <c r="L78" s="9">
        <f t="shared" ref="L78:L88" si="36">LN(J78)</f>
        <v>4.0073331852324712</v>
      </c>
      <c r="M78" s="7">
        <f>(D47*D64)/D77</f>
        <v>57.16988416988417</v>
      </c>
      <c r="N78" s="508">
        <f t="shared" si="34"/>
        <v>0.11433976833976835</v>
      </c>
      <c r="O78" s="9">
        <f t="shared" ref="O78:O88" si="37">LN(M78)</f>
        <v>4.0460272592091808</v>
      </c>
      <c r="P78" s="7">
        <f t="shared" ref="P78:P88" si="38">J78-M78</f>
        <v>-2.1698841698841704</v>
      </c>
      <c r="Q78" s="9">
        <f t="shared" ref="Q78:Q88" si="39">P78/SQRT(M78)</f>
        <v>-0.28698083529996576</v>
      </c>
      <c r="R78" s="376">
        <f t="shared" ref="R78:R88" si="40">2*J78*(L78-O78)</f>
        <v>-4.2563481374380618</v>
      </c>
      <c r="T78" s="65" t="s">
        <v>157</v>
      </c>
      <c r="U78" s="376">
        <v>0.05</v>
      </c>
    </row>
    <row r="79" spans="1:21">
      <c r="D79">
        <f>SUM(D77:D78)</f>
        <v>500</v>
      </c>
      <c r="G79" s="7" t="str">
        <f>$A$8</f>
        <v>Positive</v>
      </c>
      <c r="H79" t="str">
        <f>$B$8</f>
        <v>Male</v>
      </c>
      <c r="I79" t="str">
        <f>$C$8</f>
        <v>Therapy 3</v>
      </c>
      <c r="J79" s="7">
        <f>$D$8</f>
        <v>107</v>
      </c>
      <c r="K79" s="508">
        <f t="shared" si="35"/>
        <v>0.214</v>
      </c>
      <c r="L79" s="9">
        <f t="shared" si="36"/>
        <v>4.6728288344619058</v>
      </c>
      <c r="M79" s="7">
        <f>(D47*D65)/D77</f>
        <v>105.8069498069498</v>
      </c>
      <c r="N79" s="508">
        <f t="shared" si="34"/>
        <v>0.21161389961389959</v>
      </c>
      <c r="O79" s="9">
        <f t="shared" si="37"/>
        <v>4.6616162054232522</v>
      </c>
      <c r="P79" s="7">
        <f t="shared" si="38"/>
        <v>1.1930501930501975</v>
      </c>
      <c r="Q79" s="9">
        <f t="shared" si="39"/>
        <v>0.1159849442191721</v>
      </c>
      <c r="R79" s="376">
        <f t="shared" si="40"/>
        <v>2.3995026142718725</v>
      </c>
      <c r="T79" s="493" t="s">
        <v>200</v>
      </c>
      <c r="U79" s="376">
        <f>CHIDIST(U76,U77)</f>
        <v>9.6766084786978152E-2</v>
      </c>
    </row>
    <row r="80" spans="1:21">
      <c r="G80" s="7" t="str">
        <f>$A$9</f>
        <v>Positive</v>
      </c>
      <c r="H80" t="str">
        <f>$B$9</f>
        <v>Female</v>
      </c>
      <c r="I80" t="str">
        <f>$C$9</f>
        <v>Therapy 1</v>
      </c>
      <c r="J80" s="7">
        <f>$D$9</f>
        <v>32</v>
      </c>
      <c r="K80" s="508">
        <f t="shared" si="35"/>
        <v>6.4000000000000001E-2</v>
      </c>
      <c r="L80" s="9">
        <f t="shared" si="36"/>
        <v>3.4657359027997265</v>
      </c>
      <c r="M80" s="7">
        <f>(D48*D66)/D78</f>
        <v>27.087136929460581</v>
      </c>
      <c r="N80" s="508">
        <f t="shared" si="34"/>
        <v>5.4174273858921158E-2</v>
      </c>
      <c r="O80" s="9">
        <f t="shared" si="37"/>
        <v>3.2990589631532878</v>
      </c>
      <c r="P80" s="7">
        <f t="shared" si="38"/>
        <v>4.9128630705394194</v>
      </c>
      <c r="Q80" s="9">
        <f t="shared" si="39"/>
        <v>0.94395894936593083</v>
      </c>
      <c r="R80" s="376">
        <f t="shared" si="40"/>
        <v>10.667324137372077</v>
      </c>
      <c r="T80" s="175" t="s">
        <v>347</v>
      </c>
      <c r="U80" s="376">
        <f>CHIINV(U78,U77)</f>
        <v>9.4877290367811575</v>
      </c>
    </row>
    <row r="81" spans="1:21">
      <c r="A81" s="516" t="str">
        <f>$A$5</f>
        <v>Cure</v>
      </c>
      <c r="B81" s="503" t="str">
        <f>$B$5</f>
        <v>Gender</v>
      </c>
      <c r="C81" s="503" t="str">
        <f>$C$5</f>
        <v>Therapy</v>
      </c>
      <c r="D81" s="504" t="str">
        <f>$D$5</f>
        <v>Obs</v>
      </c>
      <c r="E81" s="504" t="str">
        <f>$E$46</f>
        <v>Prob</v>
      </c>
      <c r="G81" s="7" t="str">
        <f>$A$10</f>
        <v>Positive</v>
      </c>
      <c r="H81" t="str">
        <f>$B$10</f>
        <v>Female</v>
      </c>
      <c r="I81" t="str">
        <f>$C$10</f>
        <v>Therapy 2</v>
      </c>
      <c r="J81" s="7">
        <f>$D$10</f>
        <v>24</v>
      </c>
      <c r="K81" s="508">
        <f t="shared" si="35"/>
        <v>4.8000000000000001E-2</v>
      </c>
      <c r="L81" s="9">
        <f t="shared" si="36"/>
        <v>3.1780538303479458</v>
      </c>
      <c r="M81" s="7">
        <f>(D48*D67)/D78</f>
        <v>32.165975103734439</v>
      </c>
      <c r="N81" s="508">
        <f t="shared" si="34"/>
        <v>6.4331950207468874E-2</v>
      </c>
      <c r="O81" s="9">
        <f t="shared" si="37"/>
        <v>3.470909220079947</v>
      </c>
      <c r="P81" s="7">
        <f t="shared" si="38"/>
        <v>-8.1659751037344392</v>
      </c>
      <c r="Q81" s="9">
        <f t="shared" si="39"/>
        <v>-1.4398249361531752</v>
      </c>
      <c r="R81" s="376">
        <f t="shared" si="40"/>
        <v>-14.057058707136058</v>
      </c>
      <c r="T81" s="493" t="s">
        <v>948</v>
      </c>
      <c r="U81" s="266" t="str">
        <f>IF(U79&lt;U78,"yes","no")</f>
        <v>no</v>
      </c>
    </row>
    <row r="82" spans="1:21">
      <c r="C82" t="str">
        <f>C6</f>
        <v>Therapy 1</v>
      </c>
      <c r="D82">
        <f>SUMIF($C$32:$C$43,C82,$D$32:$D$43)</f>
        <v>116</v>
      </c>
      <c r="E82" s="127">
        <f>D82/$D$60</f>
        <v>0.23200000000000001</v>
      </c>
      <c r="G82" s="7" t="str">
        <f>$A$11</f>
        <v>Positive</v>
      </c>
      <c r="H82" t="str">
        <f>$B$11</f>
        <v>Female</v>
      </c>
      <c r="I82" t="str">
        <f>$C$11</f>
        <v>Therapy 3</v>
      </c>
      <c r="J82" s="7">
        <f>$D$11</f>
        <v>80</v>
      </c>
      <c r="K82" s="508">
        <f t="shared" si="35"/>
        <v>0.16</v>
      </c>
      <c r="L82" s="9">
        <f t="shared" si="36"/>
        <v>4.3820266346738812</v>
      </c>
      <c r="M82" s="7">
        <f>(D48*D68)/D78</f>
        <v>76.746887966804977</v>
      </c>
      <c r="N82" s="508">
        <f t="shared" si="34"/>
        <v>0.15349377593360997</v>
      </c>
      <c r="O82" s="9">
        <f t="shared" si="37"/>
        <v>4.340512837981449</v>
      </c>
      <c r="P82" s="7">
        <f t="shared" si="38"/>
        <v>3.2531120331950234</v>
      </c>
      <c r="Q82" s="9">
        <f t="shared" si="39"/>
        <v>0.37133734933694984</v>
      </c>
      <c r="R82" s="376">
        <f t="shared" si="40"/>
        <v>6.6422074707891454</v>
      </c>
    </row>
    <row r="83" spans="1:21">
      <c r="C83" t="str">
        <f>C7</f>
        <v>Therapy 2</v>
      </c>
      <c r="D83">
        <f>SUMIF($C$32:$C$43,C83,$D$32:$D$43)</f>
        <v>124</v>
      </c>
      <c r="E83" s="127">
        <f>D83/$D$60</f>
        <v>0.248</v>
      </c>
      <c r="G83" s="7" t="str">
        <f>$A$12</f>
        <v>Negative</v>
      </c>
      <c r="H83" t="str">
        <f>$B$12</f>
        <v>Male</v>
      </c>
      <c r="I83" t="str">
        <f>$C$12</f>
        <v>Therapy 1</v>
      </c>
      <c r="J83" s="7">
        <f>$D$12</f>
        <v>9</v>
      </c>
      <c r="K83" s="508">
        <f t="shared" si="35"/>
        <v>1.7999999999999999E-2</v>
      </c>
      <c r="L83" s="9">
        <f t="shared" si="36"/>
        <v>2.1972245773362196</v>
      </c>
      <c r="M83" s="7">
        <f>(D49*D63)/D77</f>
        <v>9.9768339768339764</v>
      </c>
      <c r="N83" s="508">
        <f t="shared" si="34"/>
        <v>1.9953667953667951E-2</v>
      </c>
      <c r="O83" s="9">
        <f t="shared" si="37"/>
        <v>2.3002658032029548</v>
      </c>
      <c r="P83" s="7">
        <f t="shared" si="38"/>
        <v>-0.97683397683397644</v>
      </c>
      <c r="Q83" s="9">
        <f t="shared" si="39"/>
        <v>-0.30926045070390179</v>
      </c>
      <c r="R83" s="376">
        <f t="shared" si="40"/>
        <v>-1.8547420656012346</v>
      </c>
    </row>
    <row r="84" spans="1:21">
      <c r="A84" s="11"/>
      <c r="B84" s="11"/>
      <c r="C84" s="11" t="str">
        <f>C8</f>
        <v>Therapy 3</v>
      </c>
      <c r="D84" s="11">
        <f>SUMIF($C$32:$C$43,C84,$D$32:$D$43)</f>
        <v>260</v>
      </c>
      <c r="E84" s="509">
        <f>D84/$D$60</f>
        <v>0.52</v>
      </c>
      <c r="G84" s="7" t="str">
        <f>$A$13</f>
        <v>Negative</v>
      </c>
      <c r="H84" t="str">
        <f>$B$13</f>
        <v>Male</v>
      </c>
      <c r="I84" t="str">
        <f>$C$13</f>
        <v>Therapy 2</v>
      </c>
      <c r="J84" s="7">
        <f>$D$13</f>
        <v>12</v>
      </c>
      <c r="K84" s="508">
        <f t="shared" si="35"/>
        <v>2.4E-2</v>
      </c>
      <c r="L84" s="9">
        <f t="shared" si="36"/>
        <v>2.4849066497880004</v>
      </c>
      <c r="M84" s="7">
        <f>(D49*D64)/D77</f>
        <v>9.8301158301158296</v>
      </c>
      <c r="N84" s="508">
        <f t="shared" si="34"/>
        <v>1.9660231660231658E-2</v>
      </c>
      <c r="O84" s="9">
        <f t="shared" si="37"/>
        <v>2.285450717417814</v>
      </c>
      <c r="P84" s="7">
        <f t="shared" si="38"/>
        <v>2.1698841698841704</v>
      </c>
      <c r="Q84" s="9">
        <f t="shared" si="39"/>
        <v>0.69208148976973427</v>
      </c>
      <c r="R84" s="376">
        <f t="shared" si="40"/>
        <v>4.7869423768844719</v>
      </c>
    </row>
    <row r="85" spans="1:21">
      <c r="D85">
        <f>SUM(D82:D84)</f>
        <v>500</v>
      </c>
      <c r="G85" s="7" t="str">
        <f>$A$14</f>
        <v>Negative</v>
      </c>
      <c r="H85" t="str">
        <f>$B$14</f>
        <v>Male</v>
      </c>
      <c r="I85" t="str">
        <f>$C$14</f>
        <v>Therapy 3</v>
      </c>
      <c r="J85" s="7">
        <f>$D$14</f>
        <v>17</v>
      </c>
      <c r="K85" s="508">
        <f t="shared" si="35"/>
        <v>3.4000000000000002E-2</v>
      </c>
      <c r="L85" s="9">
        <f t="shared" si="36"/>
        <v>2.8332133440562162</v>
      </c>
      <c r="M85" s="7">
        <f>(D49*D65)/D77</f>
        <v>18.193050193050194</v>
      </c>
      <c r="N85" s="508">
        <f t="shared" si="34"/>
        <v>3.6386100386100385E-2</v>
      </c>
      <c r="O85" s="9">
        <f t="shared" si="37"/>
        <v>2.9010396636318849</v>
      </c>
      <c r="P85" s="7">
        <f t="shared" si="38"/>
        <v>-1.193050193050194</v>
      </c>
      <c r="Q85" s="9">
        <f t="shared" si="39"/>
        <v>-0.27970868822010669</v>
      </c>
      <c r="R85" s="376">
        <f t="shared" si="40"/>
        <v>-2.3060948655727378</v>
      </c>
    </row>
    <row r="86" spans="1:21">
      <c r="G86" s="7" t="str">
        <f>$A$15</f>
        <v>Negative</v>
      </c>
      <c r="H86" t="str">
        <f>$B$15</f>
        <v>Female</v>
      </c>
      <c r="I86" t="str">
        <f>$C$15</f>
        <v>Therapy 1</v>
      </c>
      <c r="J86" s="7">
        <f>$D$15</f>
        <v>16</v>
      </c>
      <c r="K86" s="508">
        <f t="shared" si="35"/>
        <v>3.2000000000000001E-2</v>
      </c>
      <c r="L86" s="9">
        <f t="shared" si="36"/>
        <v>2.7725887222397811</v>
      </c>
      <c r="M86" s="7">
        <f>(D50*D66)/D78</f>
        <v>20.912863070539419</v>
      </c>
      <c r="N86" s="508">
        <f t="shared" si="34"/>
        <v>4.1825726141078837E-2</v>
      </c>
      <c r="O86" s="9">
        <f t="shared" si="37"/>
        <v>3.0403644275747594</v>
      </c>
      <c r="P86" s="7">
        <f t="shared" si="38"/>
        <v>-4.9128630705394194</v>
      </c>
      <c r="Q86" s="9">
        <f t="shared" si="39"/>
        <v>-1.0743057813347467</v>
      </c>
      <c r="R86" s="376">
        <f t="shared" si="40"/>
        <v>-8.5688225707193055</v>
      </c>
    </row>
    <row r="87" spans="1:21">
      <c r="A87" s="1" t="s">
        <v>1122</v>
      </c>
      <c r="G87" s="7" t="str">
        <f>$A$16</f>
        <v>Negative</v>
      </c>
      <c r="H87" t="str">
        <f>$B$16</f>
        <v>Female</v>
      </c>
      <c r="I87" t="str">
        <f>$C$16</f>
        <v>Therapy 2</v>
      </c>
      <c r="J87" s="7">
        <f>$D$16</f>
        <v>33</v>
      </c>
      <c r="K87" s="508">
        <f t="shared" si="35"/>
        <v>6.6000000000000003E-2</v>
      </c>
      <c r="L87" s="9">
        <f t="shared" si="36"/>
        <v>3.4965075614664802</v>
      </c>
      <c r="M87" s="7">
        <f>(D50*D67)/D78</f>
        <v>24.834024896265561</v>
      </c>
      <c r="N87" s="508">
        <f t="shared" si="34"/>
        <v>4.9668049792531123E-2</v>
      </c>
      <c r="O87" s="9">
        <f t="shared" si="37"/>
        <v>3.2122146845014186</v>
      </c>
      <c r="P87" s="7">
        <f t="shared" si="38"/>
        <v>8.1659751037344392</v>
      </c>
      <c r="Q87" s="9">
        <f t="shared" si="39"/>
        <v>1.6386435597207929</v>
      </c>
      <c r="R87" s="376">
        <f t="shared" si="40"/>
        <v>18.763329879694069</v>
      </c>
    </row>
    <row r="88" spans="1:21">
      <c r="B88" s="162" t="s">
        <v>346</v>
      </c>
      <c r="C88" s="531" t="s">
        <v>186</v>
      </c>
      <c r="D88" s="531" t="s">
        <v>200</v>
      </c>
      <c r="E88" s="531" t="s">
        <v>948</v>
      </c>
      <c r="G88" s="10" t="str">
        <f>$A$17</f>
        <v>Negative</v>
      </c>
      <c r="H88" s="11" t="str">
        <f>$B$17</f>
        <v>Female</v>
      </c>
      <c r="I88" s="11" t="str">
        <f>$C$17</f>
        <v>Therapy 3</v>
      </c>
      <c r="J88" s="10">
        <f>$D$17</f>
        <v>56</v>
      </c>
      <c r="K88" s="509">
        <f t="shared" si="35"/>
        <v>0.112</v>
      </c>
      <c r="L88" s="12">
        <f t="shared" si="36"/>
        <v>4.0253516907351496</v>
      </c>
      <c r="M88" s="10">
        <f>(D50*D68)/D78</f>
        <v>59.253112033195023</v>
      </c>
      <c r="N88" s="509">
        <f t="shared" si="34"/>
        <v>0.11850622406639005</v>
      </c>
      <c r="O88" s="12">
        <f t="shared" si="37"/>
        <v>4.0818183024029207</v>
      </c>
      <c r="P88" s="533">
        <f t="shared" si="38"/>
        <v>-3.2531120331950234</v>
      </c>
      <c r="Q88" s="12">
        <f t="shared" si="39"/>
        <v>-0.42261356967500746</v>
      </c>
      <c r="R88" s="268">
        <f t="shared" si="40"/>
        <v>-6.3242605067903526</v>
      </c>
    </row>
    <row r="89" spans="1:21">
      <c r="A89" t="s">
        <v>1252</v>
      </c>
      <c r="B89" s="501">
        <f>U310</f>
        <v>233.56671709648069</v>
      </c>
      <c r="C89" s="546">
        <f>U311</f>
        <v>11</v>
      </c>
      <c r="D89" s="502">
        <f>U313</f>
        <v>7.6366473422312161E-44</v>
      </c>
      <c r="E89" s="545" t="str">
        <f>U315</f>
        <v>yes</v>
      </c>
      <c r="R89">
        <f>SUM(R77:R88)</f>
        <v>7.8620012972988071</v>
      </c>
    </row>
    <row r="90" spans="1:21">
      <c r="A90" t="s">
        <v>385</v>
      </c>
      <c r="B90" s="7">
        <f>U148</f>
        <v>138.95072251373131</v>
      </c>
      <c r="C90" s="117">
        <f>U149</f>
        <v>10</v>
      </c>
      <c r="D90" s="8">
        <f>U151</f>
        <v>6.9136338267619402E-25</v>
      </c>
      <c r="E90" s="88" t="str">
        <f>U153</f>
        <v>yes</v>
      </c>
    </row>
    <row r="91" spans="1:21">
      <c r="A91" t="s">
        <v>1294</v>
      </c>
      <c r="B91" s="7">
        <f>U166</f>
        <v>232.91857705587103</v>
      </c>
      <c r="C91" s="117">
        <f>U167</f>
        <v>10</v>
      </c>
      <c r="D91" s="8">
        <f>U169</f>
        <v>2.0984703602669198E-44</v>
      </c>
      <c r="E91" s="88" t="str">
        <f>U171</f>
        <v>yes</v>
      </c>
      <c r="G91" s="1" t="s">
        <v>1325</v>
      </c>
    </row>
    <row r="92" spans="1:21">
      <c r="A92" t="s">
        <v>642</v>
      </c>
      <c r="B92" s="7">
        <f>U184</f>
        <v>159.74532611576285</v>
      </c>
      <c r="C92" s="117">
        <f>U185</f>
        <v>9</v>
      </c>
      <c r="D92" s="8">
        <f>U187</f>
        <v>8.3887848704672969E-30</v>
      </c>
      <c r="E92" s="88" t="str">
        <f>U189</f>
        <v>yes</v>
      </c>
    </row>
    <row r="93" spans="1:21">
      <c r="A93" t="s">
        <v>1295</v>
      </c>
      <c r="B93" s="7">
        <f>U256</f>
        <v>138.30258247312145</v>
      </c>
      <c r="C93" s="117">
        <f>U257</f>
        <v>9</v>
      </c>
      <c r="D93" s="8">
        <f>U259</f>
        <v>2.3112549398295275E-25</v>
      </c>
      <c r="E93" s="88" t="str">
        <f>U261</f>
        <v>yes</v>
      </c>
      <c r="J93" s="1591" t="s">
        <v>703</v>
      </c>
      <c r="K93" s="1592"/>
      <c r="L93" s="1593"/>
      <c r="M93" s="1591" t="s">
        <v>1261</v>
      </c>
      <c r="N93" s="1592"/>
      <c r="O93" s="1593"/>
      <c r="P93" s="1588" t="s">
        <v>704</v>
      </c>
      <c r="Q93" s="1594"/>
    </row>
    <row r="94" spans="1:21">
      <c r="A94" t="s">
        <v>1296</v>
      </c>
      <c r="B94" s="7">
        <f>U274</f>
        <v>159.09718607515288</v>
      </c>
      <c r="C94" s="117">
        <f>U275</f>
        <v>8</v>
      </c>
      <c r="D94" s="8">
        <f>U277</f>
        <v>2.4700745086544901E-30</v>
      </c>
      <c r="E94" s="88" t="str">
        <f>U279</f>
        <v>yes</v>
      </c>
      <c r="G94" s="516" t="str">
        <f>$A$5</f>
        <v>Cure</v>
      </c>
      <c r="H94" s="503" t="str">
        <f>$B$5</f>
        <v>Gender</v>
      </c>
      <c r="I94" s="503" t="str">
        <f>$C$5</f>
        <v>Therapy</v>
      </c>
      <c r="J94" s="505" t="s">
        <v>1259</v>
      </c>
      <c r="K94" s="506" t="s">
        <v>1258</v>
      </c>
      <c r="L94" s="507" t="s">
        <v>759</v>
      </c>
      <c r="M94" s="505" t="s">
        <v>1260</v>
      </c>
      <c r="N94" s="506" t="s">
        <v>1258</v>
      </c>
      <c r="O94" s="507" t="s">
        <v>1251</v>
      </c>
      <c r="P94" s="554" t="s">
        <v>644</v>
      </c>
      <c r="Q94" s="556" t="s">
        <v>1270</v>
      </c>
      <c r="R94" s="511" t="s">
        <v>346</v>
      </c>
      <c r="T94" s="175" t="s">
        <v>346</v>
      </c>
      <c r="U94" s="515">
        <f>R107</f>
        <v>5.5925062024545165</v>
      </c>
    </row>
    <row r="95" spans="1:21">
      <c r="A95" t="s">
        <v>1297</v>
      </c>
      <c r="B95" s="7">
        <f>U292</f>
        <v>65.129331533013399</v>
      </c>
      <c r="C95" s="117">
        <f>U293</f>
        <v>8</v>
      </c>
      <c r="D95" s="8">
        <f>U295</f>
        <v>4.5500790504720033E-11</v>
      </c>
      <c r="E95" s="88" t="str">
        <f>U297</f>
        <v>yes</v>
      </c>
      <c r="G95" s="7" t="str">
        <f>$A$6</f>
        <v>Positive</v>
      </c>
      <c r="H95" t="str">
        <f>$B$6</f>
        <v>Male</v>
      </c>
      <c r="I95" t="str">
        <f>$C$6</f>
        <v>Therapy 1</v>
      </c>
      <c r="J95" s="7">
        <f>$D$6</f>
        <v>59</v>
      </c>
      <c r="K95" s="508">
        <f>J95/$D$18</f>
        <v>0.11799999999999999</v>
      </c>
      <c r="L95" s="9">
        <f>LN(J95)</f>
        <v>4.0775374439057197</v>
      </c>
      <c r="M95" s="7">
        <f>(D47*D54)/D72</f>
        <v>56.333333333333336</v>
      </c>
      <c r="N95" s="508">
        <f t="shared" ref="N95:N106" si="41">M95/D$44</f>
        <v>0.11266666666666666</v>
      </c>
      <c r="O95" s="9">
        <f>LN(M95)</f>
        <v>4.0312864262549635</v>
      </c>
      <c r="P95" s="553">
        <f>J95-M95</f>
        <v>2.6666666666666643</v>
      </c>
      <c r="Q95" s="552">
        <f>P95/SQRT(M95)</f>
        <v>0.35529247334746167</v>
      </c>
      <c r="R95" s="376">
        <f>2*J95*(L95-O95)</f>
        <v>5.4576200827892354</v>
      </c>
      <c r="T95" t="s">
        <v>186</v>
      </c>
      <c r="U95" s="376">
        <f>(B27-1)*A27*(C27-1)</f>
        <v>4</v>
      </c>
    </row>
    <row r="96" spans="1:21">
      <c r="A96" t="s">
        <v>1298</v>
      </c>
      <c r="B96" s="7">
        <f>U130</f>
        <v>64.481191492403582</v>
      </c>
      <c r="C96" s="117">
        <f>U131</f>
        <v>7</v>
      </c>
      <c r="D96" s="8">
        <f>U133</f>
        <v>1.9117300324482149E-11</v>
      </c>
      <c r="E96" s="88" t="str">
        <f>U135</f>
        <v>yes</v>
      </c>
      <c r="G96" s="7" t="str">
        <f>$A$7</f>
        <v>Positive</v>
      </c>
      <c r="H96" t="str">
        <f>$B$7</f>
        <v>Male</v>
      </c>
      <c r="I96" t="str">
        <f>$C$7</f>
        <v>Therapy 2</v>
      </c>
      <c r="J96" s="7">
        <f>$D$7</f>
        <v>55</v>
      </c>
      <c r="K96" s="508">
        <f t="shared" ref="K96:K106" si="42">J96/$D$18</f>
        <v>0.11</v>
      </c>
      <c r="L96" s="9">
        <f t="shared" ref="L96:L106" si="43">LN(J96)</f>
        <v>4.0073331852324712</v>
      </c>
      <c r="M96" s="7">
        <f>D47*D55/D72</f>
        <v>48.904761904761905</v>
      </c>
      <c r="N96" s="508">
        <f t="shared" si="41"/>
        <v>9.7809523809523805E-2</v>
      </c>
      <c r="O96" s="9">
        <f t="shared" ref="O96:O106" si="44">LN(M96)</f>
        <v>3.8898747722051352</v>
      </c>
      <c r="P96" s="7">
        <f t="shared" ref="P96:P106" si="45">J96-M96</f>
        <v>6.0952380952380949</v>
      </c>
      <c r="Q96" s="9">
        <f t="shared" ref="Q96:Q106" si="46">P96/SQRT(M96)</f>
        <v>0.87159574312061372</v>
      </c>
      <c r="R96" s="376">
        <f t="shared" ref="R96:R106" si="47">2*J96*(L96-O96)</f>
        <v>12.920425433006955</v>
      </c>
      <c r="T96" s="65" t="s">
        <v>157</v>
      </c>
      <c r="U96" s="376">
        <v>0.05</v>
      </c>
    </row>
    <row r="97" spans="1:21">
      <c r="A97" t="s">
        <v>1299</v>
      </c>
      <c r="B97" s="7">
        <f>U202</f>
        <v>85.862189735443735</v>
      </c>
      <c r="C97" s="117">
        <f>U203</f>
        <v>8</v>
      </c>
      <c r="D97" s="8">
        <f>U205</f>
        <v>3.2070964562435109E-15</v>
      </c>
      <c r="E97" s="88" t="str">
        <f>U207</f>
        <v>yes</v>
      </c>
      <c r="G97" s="7" t="str">
        <f>$A$8</f>
        <v>Positive</v>
      </c>
      <c r="H97" t="str">
        <f>$B$8</f>
        <v>Male</v>
      </c>
      <c r="I97" t="str">
        <f>$C$8</f>
        <v>Therapy 3</v>
      </c>
      <c r="J97" s="7">
        <f>$D$8</f>
        <v>107</v>
      </c>
      <c r="K97" s="508">
        <f t="shared" si="42"/>
        <v>0.214</v>
      </c>
      <c r="L97" s="9">
        <f t="shared" si="43"/>
        <v>4.6728288344619058</v>
      </c>
      <c r="M97" s="7">
        <f>(D47*D56)/D72</f>
        <v>115.76190476190476</v>
      </c>
      <c r="N97" s="508">
        <f t="shared" si="41"/>
        <v>0.23152380952380952</v>
      </c>
      <c r="O97" s="9">
        <f t="shared" si="44"/>
        <v>4.7515355365927006</v>
      </c>
      <c r="P97" s="7">
        <f t="shared" si="45"/>
        <v>-8.7619047619047592</v>
      </c>
      <c r="Q97" s="9">
        <f t="shared" si="46"/>
        <v>-0.81435861713228275</v>
      </c>
      <c r="R97" s="376">
        <f t="shared" si="47"/>
        <v>-16.843234255990083</v>
      </c>
      <c r="T97" s="493" t="s">
        <v>200</v>
      </c>
      <c r="U97" s="376">
        <f>CHIDIST(U94,U95)</f>
        <v>0.23171698437442412</v>
      </c>
    </row>
    <row r="98" spans="1:21">
      <c r="A98" t="s">
        <v>1300</v>
      </c>
      <c r="B98" s="7">
        <f>U220</f>
        <v>154.9183886177259</v>
      </c>
      <c r="C98" s="117">
        <f>U221</f>
        <v>6</v>
      </c>
      <c r="D98" s="8">
        <f>U223</f>
        <v>7.0506243364130613E-31</v>
      </c>
      <c r="E98" s="88" t="str">
        <f>U225</f>
        <v>yes</v>
      </c>
      <c r="G98" s="7" t="str">
        <f>$A$9</f>
        <v>Positive</v>
      </c>
      <c r="H98" t="str">
        <f>$B$9</f>
        <v>Female</v>
      </c>
      <c r="I98" t="str">
        <f>$C$9</f>
        <v>Therapy 1</v>
      </c>
      <c r="J98" s="7">
        <f>$D$9</f>
        <v>32</v>
      </c>
      <c r="K98" s="508">
        <f t="shared" si="42"/>
        <v>6.4000000000000001E-2</v>
      </c>
      <c r="L98" s="9">
        <f t="shared" si="43"/>
        <v>3.4657359027997265</v>
      </c>
      <c r="M98" s="7">
        <f>(D48*D54)/D72</f>
        <v>34.666666666666664</v>
      </c>
      <c r="N98" s="508">
        <f t="shared" si="41"/>
        <v>6.933333333333333E-2</v>
      </c>
      <c r="O98" s="9">
        <f t="shared" si="44"/>
        <v>3.5457786104732629</v>
      </c>
      <c r="P98" s="7">
        <f t="shared" si="45"/>
        <v>-2.6666666666666643</v>
      </c>
      <c r="Q98" s="9">
        <f t="shared" si="46"/>
        <v>-0.45291081365783792</v>
      </c>
      <c r="R98" s="376">
        <f t="shared" si="47"/>
        <v>-5.1227332911063286</v>
      </c>
      <c r="T98" s="175" t="s">
        <v>347</v>
      </c>
      <c r="U98" s="376">
        <f>CHIINV(U96,U95)</f>
        <v>9.4877290367811575</v>
      </c>
    </row>
    <row r="99" spans="1:21">
      <c r="A99" t="s">
        <v>1301</v>
      </c>
      <c r="B99" s="7">
        <f>U238</f>
        <v>58.681038980742066</v>
      </c>
      <c r="C99" s="117">
        <f>U239</f>
        <v>6</v>
      </c>
      <c r="D99" s="8">
        <f>U241</f>
        <v>8.3379990458365484E-11</v>
      </c>
      <c r="E99" s="88" t="str">
        <f>U243</f>
        <v>yes</v>
      </c>
      <c r="G99" s="7" t="str">
        <f>$A$10</f>
        <v>Positive</v>
      </c>
      <c r="H99" t="str">
        <f>$B$10</f>
        <v>Female</v>
      </c>
      <c r="I99" t="str">
        <f>$C$10</f>
        <v>Therapy 2</v>
      </c>
      <c r="J99" s="7">
        <f>$D$10</f>
        <v>24</v>
      </c>
      <c r="K99" s="508">
        <f t="shared" si="42"/>
        <v>4.8000000000000001E-2</v>
      </c>
      <c r="L99" s="9">
        <f t="shared" si="43"/>
        <v>3.1780538303479458</v>
      </c>
      <c r="M99" s="7">
        <f>(D48*D55)/D72</f>
        <v>30.095238095238095</v>
      </c>
      <c r="N99" s="508">
        <f t="shared" si="41"/>
        <v>6.019047619047619E-2</v>
      </c>
      <c r="O99" s="9">
        <f t="shared" si="44"/>
        <v>3.4043669564234342</v>
      </c>
      <c r="P99" s="7">
        <f t="shared" si="45"/>
        <v>-6.0952380952380949</v>
      </c>
      <c r="Q99" s="9">
        <f t="shared" si="46"/>
        <v>-1.1110709255341034</v>
      </c>
      <c r="R99" s="376">
        <f t="shared" si="47"/>
        <v>-10.863030051623447</v>
      </c>
      <c r="T99" s="493" t="s">
        <v>948</v>
      </c>
      <c r="U99" s="266" t="str">
        <f>IF(U97&lt;U96,"yes","no")</f>
        <v>no</v>
      </c>
    </row>
    <row r="100" spans="1:21">
      <c r="A100" t="s">
        <v>1302</v>
      </c>
      <c r="B100" s="7">
        <f>U41</f>
        <v>60.302394034976658</v>
      </c>
      <c r="C100" s="117">
        <f>U42</f>
        <v>5</v>
      </c>
      <c r="D100" s="8">
        <f>U44</f>
        <v>1.0525518854310249E-11</v>
      </c>
      <c r="E100" s="88" t="str">
        <f>U46</f>
        <v>yes</v>
      </c>
      <c r="G100" s="7" t="str">
        <f>$A$11</f>
        <v>Positive</v>
      </c>
      <c r="H100" t="str">
        <f>$B$11</f>
        <v>Female</v>
      </c>
      <c r="I100" t="str">
        <f>$C$11</f>
        <v>Therapy 3</v>
      </c>
      <c r="J100" s="7">
        <f>$D$11</f>
        <v>80</v>
      </c>
      <c r="K100" s="508">
        <f t="shared" si="42"/>
        <v>0.16</v>
      </c>
      <c r="L100" s="9">
        <f t="shared" si="43"/>
        <v>4.3820266346738812</v>
      </c>
      <c r="M100" s="7">
        <f>(D48*D56)/D72</f>
        <v>71.238095238095241</v>
      </c>
      <c r="N100" s="508">
        <f t="shared" si="41"/>
        <v>0.14247619047619048</v>
      </c>
      <c r="O100" s="9">
        <f t="shared" si="44"/>
        <v>4.2660277208109996</v>
      </c>
      <c r="P100" s="7">
        <f t="shared" si="45"/>
        <v>8.7619047619047592</v>
      </c>
      <c r="Q100" s="9">
        <f t="shared" si="46"/>
        <v>1.0381076199549863</v>
      </c>
      <c r="R100" s="376">
        <f t="shared" si="47"/>
        <v>18.559826218061062</v>
      </c>
    </row>
    <row r="101" spans="1:21">
      <c r="A101" t="s">
        <v>1303</v>
      </c>
      <c r="B101" s="7">
        <f>U24</f>
        <v>58.032898940132199</v>
      </c>
      <c r="C101" s="117">
        <f>U25</f>
        <v>5</v>
      </c>
      <c r="D101" s="8">
        <f>U27</f>
        <v>3.0966898390729441E-11</v>
      </c>
      <c r="E101" s="88" t="str">
        <f>U29</f>
        <v>yes</v>
      </c>
      <c r="G101" s="7" t="str">
        <f>$A$12</f>
        <v>Negative</v>
      </c>
      <c r="H101" t="str">
        <f>$B$12</f>
        <v>Male</v>
      </c>
      <c r="I101" t="str">
        <f>$C$12</f>
        <v>Therapy 1</v>
      </c>
      <c r="J101" s="7">
        <f>$D$12</f>
        <v>9</v>
      </c>
      <c r="K101" s="508">
        <f t="shared" si="42"/>
        <v>1.7999999999999999E-2</v>
      </c>
      <c r="L101" s="9">
        <f t="shared" si="43"/>
        <v>2.1972245773362196</v>
      </c>
      <c r="M101" s="7">
        <f>(D49*D57)/D73</f>
        <v>6.6433566433566433</v>
      </c>
      <c r="N101" s="508">
        <f t="shared" si="41"/>
        <v>1.3286713286713287E-2</v>
      </c>
      <c r="O101" s="9">
        <f t="shared" si="44"/>
        <v>1.8936173543346793</v>
      </c>
      <c r="P101" s="7">
        <f t="shared" si="45"/>
        <v>2.3566433566433567</v>
      </c>
      <c r="Q101" s="9">
        <f t="shared" si="46"/>
        <v>0.91432391541729441</v>
      </c>
      <c r="R101" s="376">
        <f t="shared" si="47"/>
        <v>5.4649300140277255</v>
      </c>
    </row>
    <row r="102" spans="1:21">
      <c r="A102" t="s">
        <v>1304</v>
      </c>
      <c r="B102" s="7">
        <f>U58</f>
        <v>12.040798754725822</v>
      </c>
      <c r="C102" s="117">
        <f>U59</f>
        <v>6</v>
      </c>
      <c r="D102" s="8">
        <f>U61</f>
        <v>6.1064798869981202E-2</v>
      </c>
      <c r="E102" s="88" t="str">
        <f>U63</f>
        <v>no</v>
      </c>
      <c r="G102" s="7" t="str">
        <f>$A$13</f>
        <v>Negative</v>
      </c>
      <c r="H102" t="str">
        <f>$B$13</f>
        <v>Male</v>
      </c>
      <c r="I102" t="str">
        <f>$C$13</f>
        <v>Therapy 2</v>
      </c>
      <c r="J102" s="7">
        <f>$D$13</f>
        <v>12</v>
      </c>
      <c r="K102" s="508">
        <f t="shared" si="42"/>
        <v>2.4E-2</v>
      </c>
      <c r="L102" s="9">
        <f t="shared" si="43"/>
        <v>2.4849066497880004</v>
      </c>
      <c r="M102" s="7">
        <f>(D49*D58)/D73</f>
        <v>11.958041958041958</v>
      </c>
      <c r="N102" s="508">
        <f t="shared" si="41"/>
        <v>2.3916083916083918E-2</v>
      </c>
      <c r="O102" s="9">
        <f t="shared" si="44"/>
        <v>2.4814040192367983</v>
      </c>
      <c r="P102" s="7">
        <f t="shared" si="45"/>
        <v>4.1958041958041647E-2</v>
      </c>
      <c r="Q102" s="9">
        <f t="shared" si="46"/>
        <v>1.2133474352087972E-2</v>
      </c>
      <c r="R102" s="376">
        <f t="shared" si="47"/>
        <v>8.4063133228848841E-2</v>
      </c>
    </row>
    <row r="103" spans="1:21">
      <c r="A103" t="s">
        <v>1305</v>
      </c>
      <c r="B103" s="7">
        <f>U94</f>
        <v>5.5925062024545165</v>
      </c>
      <c r="C103" s="117">
        <f>U95</f>
        <v>4</v>
      </c>
      <c r="D103" s="8">
        <f>U97</f>
        <v>0.23171698437442412</v>
      </c>
      <c r="E103" s="88" t="str">
        <f>U99</f>
        <v>no</v>
      </c>
      <c r="G103" s="7" t="str">
        <f>$A$14</f>
        <v>Negative</v>
      </c>
      <c r="H103" t="str">
        <f>$B$14</f>
        <v>Male</v>
      </c>
      <c r="I103" t="str">
        <f>$C$14</f>
        <v>Therapy 3</v>
      </c>
      <c r="J103" s="7">
        <f>$D$14</f>
        <v>17</v>
      </c>
      <c r="K103" s="508">
        <f t="shared" si="42"/>
        <v>3.4000000000000002E-2</v>
      </c>
      <c r="L103" s="9">
        <f t="shared" si="43"/>
        <v>2.8332133440562162</v>
      </c>
      <c r="M103" s="7">
        <f>(D49*D59)/D73</f>
        <v>19.3986013986014</v>
      </c>
      <c r="N103" s="508">
        <f t="shared" si="41"/>
        <v>3.87972027972028E-2</v>
      </c>
      <c r="O103" s="9">
        <f t="shared" si="44"/>
        <v>2.9652009706148696</v>
      </c>
      <c r="P103" s="7">
        <f t="shared" si="45"/>
        <v>-2.3986013986014001</v>
      </c>
      <c r="Q103" s="9">
        <f t="shared" si="46"/>
        <v>-0.54459402595651674</v>
      </c>
      <c r="R103" s="376">
        <f t="shared" si="47"/>
        <v>-4.4875793029942184</v>
      </c>
    </row>
    <row r="104" spans="1:21">
      <c r="A104" t="s">
        <v>1306</v>
      </c>
      <c r="B104" s="7">
        <f>U76</f>
        <v>7.8620012972988071</v>
      </c>
      <c r="C104" s="117">
        <f>U77</f>
        <v>4</v>
      </c>
      <c r="D104" s="8">
        <f>U79</f>
        <v>9.6766084786978152E-2</v>
      </c>
      <c r="E104" s="88" t="str">
        <f>U81</f>
        <v>no</v>
      </c>
      <c r="G104" s="7" t="str">
        <f>$A$15</f>
        <v>Negative</v>
      </c>
      <c r="H104" t="str">
        <f>$B$15</f>
        <v>Female</v>
      </c>
      <c r="I104" t="str">
        <f>$C$15</f>
        <v>Therapy 1</v>
      </c>
      <c r="J104" s="7">
        <f>$D$15</f>
        <v>16</v>
      </c>
      <c r="K104" s="508">
        <f t="shared" si="42"/>
        <v>3.2000000000000001E-2</v>
      </c>
      <c r="L104" s="9">
        <f t="shared" si="43"/>
        <v>2.7725887222397811</v>
      </c>
      <c r="M104" s="7">
        <f>(D50*D57)/D73</f>
        <v>18.356643356643357</v>
      </c>
      <c r="N104" s="508">
        <f t="shared" si="41"/>
        <v>3.6713286713286712E-2</v>
      </c>
      <c r="O104" s="9">
        <f t="shared" si="44"/>
        <v>2.9099915447658167</v>
      </c>
      <c r="P104" s="7">
        <f t="shared" si="45"/>
        <v>-2.3566433566433567</v>
      </c>
      <c r="Q104" s="9">
        <f t="shared" si="46"/>
        <v>-0.55004374239520126</v>
      </c>
      <c r="R104" s="376">
        <f t="shared" si="47"/>
        <v>-4.3968903208331369</v>
      </c>
    </row>
    <row r="105" spans="1:21">
      <c r="A105" t="s">
        <v>1307</v>
      </c>
      <c r="B105" s="7">
        <f>U112</f>
        <v>53.854101482705588</v>
      </c>
      <c r="C105" s="117">
        <f>U113</f>
        <v>3</v>
      </c>
      <c r="D105" s="8">
        <f>U115</f>
        <v>1.2053986552579523E-11</v>
      </c>
      <c r="E105" s="88" t="str">
        <f>U117</f>
        <v>yes</v>
      </c>
      <c r="G105" s="7" t="str">
        <f>$A$16</f>
        <v>Negative</v>
      </c>
      <c r="H105" t="str">
        <f>$B$16</f>
        <v>Female</v>
      </c>
      <c r="I105" t="str">
        <f>$C$16</f>
        <v>Therapy 2</v>
      </c>
      <c r="J105" s="7">
        <f>$D$16</f>
        <v>33</v>
      </c>
      <c r="K105" s="508">
        <f t="shared" si="42"/>
        <v>6.6000000000000003E-2</v>
      </c>
      <c r="L105" s="9">
        <f t="shared" si="43"/>
        <v>3.4965075614664802</v>
      </c>
      <c r="M105" s="7">
        <f>(D50*D58)/D73</f>
        <v>33.04195804195804</v>
      </c>
      <c r="N105" s="508">
        <f t="shared" si="41"/>
        <v>6.6083916083916075E-2</v>
      </c>
      <c r="O105" s="9">
        <f t="shared" si="44"/>
        <v>3.4977782096679357</v>
      </c>
      <c r="P105" s="7">
        <f t="shared" si="45"/>
        <v>-4.1958041958039871E-2</v>
      </c>
      <c r="Q105" s="9">
        <f t="shared" si="46"/>
        <v>-7.2993186860177564E-3</v>
      </c>
      <c r="R105" s="376">
        <f t="shared" si="47"/>
        <v>-8.3862781296063282E-2</v>
      </c>
    </row>
    <row r="106" spans="1:21">
      <c r="A106" t="s">
        <v>1308</v>
      </c>
      <c r="B106" s="7">
        <f>U328</f>
        <v>1.1104339218748036</v>
      </c>
      <c r="C106" s="117">
        <f>U329</f>
        <v>2</v>
      </c>
      <c r="D106" s="8">
        <f>U331</f>
        <v>0.57394772345091205</v>
      </c>
      <c r="E106" s="88" t="str">
        <f>U333</f>
        <v>no</v>
      </c>
      <c r="G106" s="10" t="str">
        <f>$A$17</f>
        <v>Negative</v>
      </c>
      <c r="H106" s="11" t="str">
        <f>$B$17</f>
        <v>Female</v>
      </c>
      <c r="I106" s="11" t="str">
        <f>$C$17</f>
        <v>Therapy 3</v>
      </c>
      <c r="J106" s="10">
        <f>$D$17</f>
        <v>56</v>
      </c>
      <c r="K106" s="509">
        <f t="shared" si="42"/>
        <v>0.112</v>
      </c>
      <c r="L106" s="12">
        <f t="shared" si="43"/>
        <v>4.0253516907351496</v>
      </c>
      <c r="M106" s="10">
        <f>(D50*D59)/D73</f>
        <v>53.6013986013986</v>
      </c>
      <c r="N106" s="509">
        <f t="shared" si="41"/>
        <v>0.1072027972027972</v>
      </c>
      <c r="O106" s="12">
        <f t="shared" si="44"/>
        <v>3.9815751610460071</v>
      </c>
      <c r="P106" s="533">
        <f t="shared" si="45"/>
        <v>2.3986013986014001</v>
      </c>
      <c r="Q106" s="12">
        <f t="shared" si="46"/>
        <v>0.32761971011824409</v>
      </c>
      <c r="R106" s="268">
        <f t="shared" si="47"/>
        <v>4.9029713251839695</v>
      </c>
    </row>
    <row r="107" spans="1:21">
      <c r="A107" t="s">
        <v>1309</v>
      </c>
      <c r="B107" s="10">
        <f>U7</f>
        <v>0</v>
      </c>
      <c r="C107" s="532">
        <f>U8</f>
        <v>0</v>
      </c>
      <c r="D107" s="11"/>
      <c r="E107" s="90" t="str">
        <f>U12</f>
        <v>no</v>
      </c>
      <c r="R107">
        <f>SUM(R95:R106)</f>
        <v>5.5925062024545165</v>
      </c>
    </row>
    <row r="109" spans="1:21">
      <c r="G109" s="1" t="s">
        <v>1326</v>
      </c>
    </row>
    <row r="111" spans="1:21">
      <c r="A111" t="s">
        <v>1359</v>
      </c>
      <c r="J111" s="1591" t="s">
        <v>703</v>
      </c>
      <c r="K111" s="1592"/>
      <c r="L111" s="1593"/>
      <c r="M111" s="1591" t="s">
        <v>1261</v>
      </c>
      <c r="N111" s="1592"/>
      <c r="O111" s="1593"/>
      <c r="P111" s="1588" t="s">
        <v>704</v>
      </c>
      <c r="Q111" s="1594"/>
    </row>
    <row r="112" spans="1:21">
      <c r="G112" s="516" t="str">
        <f>$A$5</f>
        <v>Cure</v>
      </c>
      <c r="H112" s="503" t="str">
        <f>$B$5</f>
        <v>Gender</v>
      </c>
      <c r="I112" s="503" t="str">
        <f>$C$5</f>
        <v>Therapy</v>
      </c>
      <c r="J112" s="505" t="s">
        <v>1259</v>
      </c>
      <c r="K112" s="506" t="s">
        <v>1258</v>
      </c>
      <c r="L112" s="507" t="s">
        <v>759</v>
      </c>
      <c r="M112" s="505" t="s">
        <v>1260</v>
      </c>
      <c r="N112" s="506" t="s">
        <v>1258</v>
      </c>
      <c r="O112" s="507" t="s">
        <v>1251</v>
      </c>
      <c r="P112" s="554" t="s">
        <v>644</v>
      </c>
      <c r="Q112" s="556" t="s">
        <v>1270</v>
      </c>
      <c r="R112" s="511" t="s">
        <v>346</v>
      </c>
      <c r="T112" s="175" t="s">
        <v>346</v>
      </c>
      <c r="U112" s="515">
        <f>R125</f>
        <v>53.854101482705588</v>
      </c>
    </row>
    <row r="113" spans="1:21">
      <c r="B113" t="s">
        <v>1360</v>
      </c>
      <c r="C113" t="s">
        <v>1361</v>
      </c>
      <c r="D113" t="s">
        <v>1219</v>
      </c>
      <c r="G113" s="7" t="str">
        <f>$A$6</f>
        <v>Positive</v>
      </c>
      <c r="H113" t="str">
        <f>$B$6</f>
        <v>Male</v>
      </c>
      <c r="I113" t="str">
        <f>$C$6</f>
        <v>Therapy 1</v>
      </c>
      <c r="J113" s="7">
        <f>$D$6</f>
        <v>59</v>
      </c>
      <c r="K113" s="508">
        <f>J113/$D$18</f>
        <v>0.11799999999999999</v>
      </c>
      <c r="L113" s="9">
        <f>LN(J113)</f>
        <v>4.0775374439057197</v>
      </c>
      <c r="M113" s="7">
        <f>(D54*D63)/D82</f>
        <v>53.344827586206897</v>
      </c>
      <c r="N113" s="508">
        <f t="shared" ref="N113:N124" si="48">M113/D$44</f>
        <v>0.1066896551724138</v>
      </c>
      <c r="O113" s="9">
        <f>LN(M113)</f>
        <v>3.9767770205865922</v>
      </c>
      <c r="P113" s="553">
        <f>J113-M113</f>
        <v>5.6551724137931032</v>
      </c>
      <c r="Q113" s="9">
        <f>P113/SQRT(M113)</f>
        <v>0.77428294323684033</v>
      </c>
      <c r="R113" s="376">
        <f>2*J113*(L113-O113)</f>
        <v>11.889729951657044</v>
      </c>
      <c r="T113" t="s">
        <v>186</v>
      </c>
      <c r="U113" s="376">
        <f>(A27-1)*C27*(B27-1)</f>
        <v>3</v>
      </c>
    </row>
    <row r="114" spans="1:21">
      <c r="A114" s="175" t="s">
        <v>1362</v>
      </c>
      <c r="B114" s="553">
        <f>B106</f>
        <v>1.1104339218748036</v>
      </c>
      <c r="C114" s="557">
        <f>B104</f>
        <v>7.8620012972988071</v>
      </c>
      <c r="D114" s="542">
        <f>C114-B114</f>
        <v>6.7515673754240035</v>
      </c>
      <c r="G114" s="7" t="str">
        <f>$A$7</f>
        <v>Positive</v>
      </c>
      <c r="H114" t="str">
        <f>$B$7</f>
        <v>Male</v>
      </c>
      <c r="I114" t="str">
        <f>$C$7</f>
        <v>Therapy 2</v>
      </c>
      <c r="J114" s="7">
        <f>$D$7</f>
        <v>55</v>
      </c>
      <c r="K114" s="508">
        <f t="shared" ref="K114:K124" si="49">J114/$D$18</f>
        <v>0.11</v>
      </c>
      <c r="L114" s="9">
        <f t="shared" ref="L114:L124" si="50">LN(J114)</f>
        <v>4.0073331852324712</v>
      </c>
      <c r="M114" s="7">
        <f>(D55*D64)/D83</f>
        <v>42.685483870967744</v>
      </c>
      <c r="N114" s="508">
        <f t="shared" si="48"/>
        <v>8.5370967741935491E-2</v>
      </c>
      <c r="O114" s="9">
        <f t="shared" ref="O114:O124" si="51">LN(M114)</f>
        <v>3.7538589062529506</v>
      </c>
      <c r="P114" s="7">
        <f t="shared" ref="P114:P124" si="52">J114-M114</f>
        <v>12.314516129032256</v>
      </c>
      <c r="Q114" s="9">
        <f t="shared" ref="Q114:Q124" si="53">P114/SQRT(M114)</f>
        <v>1.8848519684446319</v>
      </c>
      <c r="R114" s="376">
        <f t="shared" ref="R114:R124" si="54">2*J114*(L114-O114)</f>
        <v>27.882170687747262</v>
      </c>
      <c r="T114" s="65" t="s">
        <v>157</v>
      </c>
      <c r="U114" s="376">
        <v>0.05</v>
      </c>
    </row>
    <row r="115" spans="1:21">
      <c r="A115" t="s">
        <v>186</v>
      </c>
      <c r="B115" s="533">
        <f>C106</f>
        <v>2</v>
      </c>
      <c r="C115" s="11">
        <f>C104</f>
        <v>4</v>
      </c>
      <c r="D115" s="544">
        <f>C115-B115</f>
        <v>2</v>
      </c>
      <c r="G115" s="7" t="str">
        <f>$A$8</f>
        <v>Positive</v>
      </c>
      <c r="H115" t="str">
        <f>$B$8</f>
        <v>Male</v>
      </c>
      <c r="I115" t="str">
        <f>$C$8</f>
        <v>Therapy 3</v>
      </c>
      <c r="J115" s="7">
        <f>$D$8</f>
        <v>107</v>
      </c>
      <c r="K115" s="508">
        <f t="shared" si="49"/>
        <v>0.214</v>
      </c>
      <c r="L115" s="9">
        <f t="shared" si="50"/>
        <v>4.6728288344619058</v>
      </c>
      <c r="M115" s="7">
        <f>(D56*D65)/D84</f>
        <v>89.184615384615384</v>
      </c>
      <c r="N115" s="508">
        <f t="shared" si="48"/>
        <v>0.17836923076923078</v>
      </c>
      <c r="O115" s="9">
        <f t="shared" si="51"/>
        <v>4.4907085514440954</v>
      </c>
      <c r="P115" s="7">
        <f t="shared" si="52"/>
        <v>17.815384615384616</v>
      </c>
      <c r="Q115" s="9">
        <f t="shared" si="53"/>
        <v>1.8864714236899325</v>
      </c>
      <c r="R115" s="376">
        <f t="shared" si="54"/>
        <v>38.973740565811418</v>
      </c>
      <c r="T115" s="493" t="s">
        <v>200</v>
      </c>
      <c r="U115" s="376">
        <f>CHIDIST(U112,U113)</f>
        <v>1.2053986552579523E-11</v>
      </c>
    </row>
    <row r="116" spans="1:21">
      <c r="A116" s="65" t="s">
        <v>157</v>
      </c>
      <c r="D116" s="376">
        <v>0.05</v>
      </c>
      <c r="G116" s="7" t="str">
        <f>$A$9</f>
        <v>Positive</v>
      </c>
      <c r="H116" t="str">
        <f>$B$9</f>
        <v>Female</v>
      </c>
      <c r="I116" t="str">
        <f>$C$9</f>
        <v>Therapy 1</v>
      </c>
      <c r="J116" s="7">
        <f>$D$9</f>
        <v>32</v>
      </c>
      <c r="K116" s="508">
        <f t="shared" si="49"/>
        <v>6.4000000000000001E-2</v>
      </c>
      <c r="L116" s="9">
        <f t="shared" si="50"/>
        <v>3.4657359027997265</v>
      </c>
      <c r="M116" s="7">
        <f>(D54*D66)/D82</f>
        <v>37.655172413793103</v>
      </c>
      <c r="N116" s="508">
        <f t="shared" si="48"/>
        <v>7.5310344827586209E-2</v>
      </c>
      <c r="O116" s="9">
        <f t="shared" si="51"/>
        <v>3.6284703263183764</v>
      </c>
      <c r="P116" s="7">
        <f t="shared" si="52"/>
        <v>-5.6551724137931032</v>
      </c>
      <c r="Q116" s="9">
        <f t="shared" si="53"/>
        <v>-0.92158103709456685</v>
      </c>
      <c r="R116" s="376">
        <f t="shared" si="54"/>
        <v>-10.415003105193591</v>
      </c>
      <c r="T116" s="175" t="s">
        <v>347</v>
      </c>
      <c r="U116" s="376">
        <f>CHIINV(U114,U113)</f>
        <v>7.8147279032511792</v>
      </c>
    </row>
    <row r="117" spans="1:21">
      <c r="A117" t="s">
        <v>200</v>
      </c>
      <c r="D117" s="376">
        <f>CHIDIST(D114,D115)</f>
        <v>3.419131249788273E-2</v>
      </c>
      <c r="G117" s="7" t="str">
        <f>$A$10</f>
        <v>Positive</v>
      </c>
      <c r="H117" t="str">
        <f>$B$10</f>
        <v>Female</v>
      </c>
      <c r="I117" t="str">
        <f>$C$10</f>
        <v>Therapy 2</v>
      </c>
      <c r="J117" s="7">
        <f>$D$10</f>
        <v>24</v>
      </c>
      <c r="K117" s="508">
        <f t="shared" si="49"/>
        <v>4.8000000000000001E-2</v>
      </c>
      <c r="L117" s="9">
        <f t="shared" si="50"/>
        <v>3.1780538303479458</v>
      </c>
      <c r="M117" s="7">
        <f>(D55*D67)/D83</f>
        <v>36.314516129032256</v>
      </c>
      <c r="N117" s="508">
        <f t="shared" si="48"/>
        <v>7.262903225806451E-2</v>
      </c>
      <c r="O117" s="9">
        <f t="shared" si="51"/>
        <v>3.5922175546965347</v>
      </c>
      <c r="P117" s="7">
        <f t="shared" si="52"/>
        <v>-12.314516129032256</v>
      </c>
      <c r="Q117" s="9">
        <f t="shared" si="53"/>
        <v>-2.043512134835872</v>
      </c>
      <c r="R117" s="376">
        <f t="shared" si="54"/>
        <v>-19.879858768732269</v>
      </c>
      <c r="T117" s="493" t="s">
        <v>948</v>
      </c>
      <c r="U117" s="266" t="str">
        <f>IF(U115&lt;U114,"yes","no")</f>
        <v>yes</v>
      </c>
    </row>
    <row r="118" spans="1:21">
      <c r="A118" t="s">
        <v>948</v>
      </c>
      <c r="D118" s="538" t="str">
        <f>IF(D116&lt;D115,"yes","no")</f>
        <v>yes</v>
      </c>
      <c r="G118" s="7" t="str">
        <f>$A$11</f>
        <v>Positive</v>
      </c>
      <c r="H118" t="str">
        <f>$B$11</f>
        <v>Female</v>
      </c>
      <c r="I118" t="str">
        <f>$C$11</f>
        <v>Therapy 3</v>
      </c>
      <c r="J118" s="7">
        <f>$D$11</f>
        <v>80</v>
      </c>
      <c r="K118" s="508">
        <f t="shared" si="49"/>
        <v>0.16</v>
      </c>
      <c r="L118" s="9">
        <f t="shared" si="50"/>
        <v>4.3820266346738812</v>
      </c>
      <c r="M118" s="7">
        <f>(D56*D68)/D84</f>
        <v>97.815384615384616</v>
      </c>
      <c r="N118" s="508">
        <f t="shared" si="48"/>
        <v>0.19563076923076922</v>
      </c>
      <c r="O118" s="9">
        <f t="shared" si="51"/>
        <v>4.5830818715751107</v>
      </c>
      <c r="P118" s="7">
        <f t="shared" si="52"/>
        <v>-17.815384615384616</v>
      </c>
      <c r="Q118" s="9">
        <f t="shared" si="53"/>
        <v>-1.8013231036262367</v>
      </c>
      <c r="R118" s="376">
        <f t="shared" si="54"/>
        <v>-32.168837904196721</v>
      </c>
    </row>
    <row r="119" spans="1:21">
      <c r="G119" s="7" t="str">
        <f>$A$12</f>
        <v>Negative</v>
      </c>
      <c r="H119" t="str">
        <f>$B$12</f>
        <v>Male</v>
      </c>
      <c r="I119" t="str">
        <f>$C$12</f>
        <v>Therapy 1</v>
      </c>
      <c r="J119" s="7">
        <f>$D$12</f>
        <v>9</v>
      </c>
      <c r="K119" s="508">
        <f t="shared" si="49"/>
        <v>1.7999999999999999E-2</v>
      </c>
      <c r="L119" s="9">
        <f t="shared" si="50"/>
        <v>2.1972245773362196</v>
      </c>
      <c r="M119" s="7">
        <f>(D57*D63)/D82</f>
        <v>14.655172413793103</v>
      </c>
      <c r="N119" s="508">
        <f t="shared" si="48"/>
        <v>2.9310344827586206E-2</v>
      </c>
      <c r="O119" s="9">
        <f t="shared" si="51"/>
        <v>2.6847933389379426</v>
      </c>
      <c r="P119" s="7">
        <f t="shared" si="52"/>
        <v>-5.6551724137931032</v>
      </c>
      <c r="Q119" s="9">
        <f t="shared" si="53"/>
        <v>-1.4772377050842276</v>
      </c>
      <c r="R119" s="376">
        <f t="shared" si="54"/>
        <v>-8.7762377088310153</v>
      </c>
    </row>
    <row r="120" spans="1:21">
      <c r="A120" t="s">
        <v>1363</v>
      </c>
      <c r="G120" s="7" t="str">
        <f>$A$13</f>
        <v>Negative</v>
      </c>
      <c r="H120" t="str">
        <f>$B$13</f>
        <v>Male</v>
      </c>
      <c r="I120" t="str">
        <f>$C$13</f>
        <v>Therapy 2</v>
      </c>
      <c r="J120" s="7">
        <f>$D$13</f>
        <v>12</v>
      </c>
      <c r="K120" s="508">
        <f t="shared" si="49"/>
        <v>2.4E-2</v>
      </c>
      <c r="L120" s="9">
        <f t="shared" si="50"/>
        <v>2.4849066497880004</v>
      </c>
      <c r="M120" s="7">
        <f>(D58*D64)/D83</f>
        <v>24.31451612903226</v>
      </c>
      <c r="N120" s="508">
        <f t="shared" si="48"/>
        <v>4.8629032258064517E-2</v>
      </c>
      <c r="O120" s="9">
        <f t="shared" si="51"/>
        <v>3.1910735435562492</v>
      </c>
      <c r="P120" s="7">
        <f t="shared" si="52"/>
        <v>-12.31451612903226</v>
      </c>
      <c r="Q120" s="9">
        <f t="shared" si="53"/>
        <v>-2.4973794643052849</v>
      </c>
      <c r="R120" s="376">
        <f t="shared" si="54"/>
        <v>-16.948005450437972</v>
      </c>
    </row>
    <row r="121" spans="1:21">
      <c r="G121" s="7" t="str">
        <f>$A$14</f>
        <v>Negative</v>
      </c>
      <c r="H121" t="str">
        <f>$B$14</f>
        <v>Male</v>
      </c>
      <c r="I121" t="str">
        <f>$C$14</f>
        <v>Therapy 3</v>
      </c>
      <c r="J121" s="7">
        <f>$D$14</f>
        <v>17</v>
      </c>
      <c r="K121" s="508">
        <f t="shared" si="49"/>
        <v>3.4000000000000002E-2</v>
      </c>
      <c r="L121" s="9">
        <f t="shared" si="50"/>
        <v>2.8332133440562162</v>
      </c>
      <c r="M121" s="7">
        <f>(D59*D65)/D84</f>
        <v>34.815384615384616</v>
      </c>
      <c r="N121" s="508">
        <f t="shared" si="48"/>
        <v>6.9630769230769232E-2</v>
      </c>
      <c r="O121" s="9">
        <f t="shared" si="51"/>
        <v>3.5500593757379004</v>
      </c>
      <c r="P121" s="7">
        <f t="shared" si="52"/>
        <v>-17.815384615384616</v>
      </c>
      <c r="Q121" s="9">
        <f t="shared" si="53"/>
        <v>-3.0193232001731074</v>
      </c>
      <c r="R121" s="376">
        <f t="shared" si="54"/>
        <v>-24.372765077177263</v>
      </c>
    </row>
    <row r="122" spans="1:21">
      <c r="B122" t="s">
        <v>1360</v>
      </c>
      <c r="C122" t="s">
        <v>1361</v>
      </c>
      <c r="D122" t="s">
        <v>1219</v>
      </c>
      <c r="G122" s="7" t="str">
        <f>$A$15</f>
        <v>Negative</v>
      </c>
      <c r="H122" t="str">
        <f>$B$15</f>
        <v>Female</v>
      </c>
      <c r="I122" t="str">
        <f>$C$15</f>
        <v>Therapy 1</v>
      </c>
      <c r="J122" s="7">
        <f>$D$15</f>
        <v>16</v>
      </c>
      <c r="K122" s="508">
        <f t="shared" si="49"/>
        <v>3.2000000000000001E-2</v>
      </c>
      <c r="L122" s="9">
        <f t="shared" si="50"/>
        <v>2.7725887222397811</v>
      </c>
      <c r="M122" s="7">
        <f>(D57*D66)/D82</f>
        <v>10.344827586206897</v>
      </c>
      <c r="N122" s="508">
        <f t="shared" si="48"/>
        <v>2.0689655172413793E-2</v>
      </c>
      <c r="O122" s="9">
        <f t="shared" si="51"/>
        <v>2.3364866446697272</v>
      </c>
      <c r="P122" s="7">
        <f t="shared" si="52"/>
        <v>5.6551724137931032</v>
      </c>
      <c r="Q122" s="9">
        <f t="shared" si="53"/>
        <v>1.7582645571339834</v>
      </c>
      <c r="R122" s="376">
        <f t="shared" si="54"/>
        <v>13.955266482241726</v>
      </c>
    </row>
    <row r="123" spans="1:21">
      <c r="A123" s="175" t="s">
        <v>1362</v>
      </c>
      <c r="B123" s="553">
        <f>B106</f>
        <v>1.1104339218748036</v>
      </c>
      <c r="C123" s="557">
        <f>B103</f>
        <v>5.5925062024545165</v>
      </c>
      <c r="D123" s="542">
        <f>C123-B123</f>
        <v>4.4820722805797129</v>
      </c>
      <c r="G123" s="7" t="str">
        <f>$A$16</f>
        <v>Negative</v>
      </c>
      <c r="H123" t="str">
        <f>$B$16</f>
        <v>Female</v>
      </c>
      <c r="I123" t="str">
        <f>$C$16</f>
        <v>Therapy 2</v>
      </c>
      <c r="J123" s="7">
        <f>$D$16</f>
        <v>33</v>
      </c>
      <c r="K123" s="508">
        <f t="shared" si="49"/>
        <v>6.6000000000000003E-2</v>
      </c>
      <c r="L123" s="9">
        <f t="shared" si="50"/>
        <v>3.4965075614664802</v>
      </c>
      <c r="M123" s="7">
        <f>(D58*D67)/D83</f>
        <v>20.68548387096774</v>
      </c>
      <c r="N123" s="508">
        <f t="shared" si="48"/>
        <v>4.137096774193548E-2</v>
      </c>
      <c r="O123" s="9">
        <f t="shared" si="51"/>
        <v>3.0294321919998328</v>
      </c>
      <c r="P123" s="7">
        <f t="shared" si="52"/>
        <v>12.31451612903226</v>
      </c>
      <c r="Q123" s="9">
        <f t="shared" si="53"/>
        <v>2.7076000269713885</v>
      </c>
      <c r="R123" s="376">
        <f t="shared" si="54"/>
        <v>30.826974384798728</v>
      </c>
    </row>
    <row r="124" spans="1:21">
      <c r="A124" t="s">
        <v>186</v>
      </c>
      <c r="B124" s="533">
        <f>C106</f>
        <v>2</v>
      </c>
      <c r="C124" s="11">
        <f>C104</f>
        <v>4</v>
      </c>
      <c r="D124" s="544">
        <f>C124-B124</f>
        <v>2</v>
      </c>
      <c r="G124" s="10" t="str">
        <f>$A$17</f>
        <v>Negative</v>
      </c>
      <c r="H124" s="11" t="str">
        <f>$B$17</f>
        <v>Female</v>
      </c>
      <c r="I124" s="11" t="str">
        <f>$C$17</f>
        <v>Therapy 3</v>
      </c>
      <c r="J124" s="10">
        <f>$D$17</f>
        <v>56</v>
      </c>
      <c r="K124" s="509">
        <f t="shared" si="49"/>
        <v>0.112</v>
      </c>
      <c r="L124" s="12">
        <f t="shared" si="50"/>
        <v>4.0253516907351496</v>
      </c>
      <c r="M124" s="10">
        <f>(D59*D68)/D84</f>
        <v>38.184615384615384</v>
      </c>
      <c r="N124" s="10">
        <f t="shared" si="48"/>
        <v>7.6369230769230773E-2</v>
      </c>
      <c r="O124" s="12">
        <f t="shared" si="51"/>
        <v>3.6424326958689153</v>
      </c>
      <c r="P124" s="533">
        <f t="shared" si="52"/>
        <v>17.815384615384616</v>
      </c>
      <c r="Q124" s="12">
        <f t="shared" si="53"/>
        <v>2.8830421545152753</v>
      </c>
      <c r="R124" s="268">
        <f t="shared" si="54"/>
        <v>42.88692742501825</v>
      </c>
    </row>
    <row r="125" spans="1:21">
      <c r="A125" s="65" t="s">
        <v>157</v>
      </c>
      <c r="D125" s="376">
        <v>0.05</v>
      </c>
      <c r="R125">
        <f>SUM(R113:R124)</f>
        <v>53.854101482705588</v>
      </c>
    </row>
    <row r="126" spans="1:21">
      <c r="A126" t="s">
        <v>200</v>
      </c>
      <c r="D126" s="376">
        <f>CHIDIST(D123,D124)</f>
        <v>0.10634825556015279</v>
      </c>
    </row>
    <row r="127" spans="1:21">
      <c r="A127" t="s">
        <v>948</v>
      </c>
      <c r="D127" s="538" t="str">
        <f>IF(D125&lt;D124,"yes","no")</f>
        <v>yes</v>
      </c>
      <c r="G127" s="1" t="s">
        <v>1320</v>
      </c>
    </row>
    <row r="129" spans="1:21">
      <c r="A129" t="s">
        <v>1364</v>
      </c>
      <c r="J129" s="1591" t="s">
        <v>703</v>
      </c>
      <c r="K129" s="1592"/>
      <c r="L129" s="1593"/>
      <c r="M129" s="1591" t="s">
        <v>1261</v>
      </c>
      <c r="N129" s="1592"/>
      <c r="O129" s="1593"/>
      <c r="P129" s="1588" t="s">
        <v>704</v>
      </c>
      <c r="Q129" s="1594"/>
    </row>
    <row r="130" spans="1:21">
      <c r="G130" s="516" t="str">
        <f>$A$5</f>
        <v>Cure</v>
      </c>
      <c r="H130" s="503" t="str">
        <f>$B$5</f>
        <v>Gender</v>
      </c>
      <c r="I130" s="503" t="str">
        <f>$C$5</f>
        <v>Therapy</v>
      </c>
      <c r="J130" s="505" t="s">
        <v>1259</v>
      </c>
      <c r="K130" s="506" t="s">
        <v>1258</v>
      </c>
      <c r="L130" s="507" t="s">
        <v>759</v>
      </c>
      <c r="M130" s="505" t="s">
        <v>1260</v>
      </c>
      <c r="N130" s="506" t="s">
        <v>1258</v>
      </c>
      <c r="O130" s="507" t="s">
        <v>1251</v>
      </c>
      <c r="P130" s="554" t="s">
        <v>644</v>
      </c>
      <c r="Q130" s="556" t="s">
        <v>1270</v>
      </c>
      <c r="R130" s="511" t="s">
        <v>346</v>
      </c>
      <c r="T130" s="175" t="s">
        <v>346</v>
      </c>
      <c r="U130" s="515">
        <f>R143</f>
        <v>64.481191492403582</v>
      </c>
    </row>
    <row r="131" spans="1:21">
      <c r="B131" t="s">
        <v>1360</v>
      </c>
      <c r="C131" t="s">
        <v>1361</v>
      </c>
      <c r="D131" t="s">
        <v>1219</v>
      </c>
      <c r="G131" s="7" t="str">
        <f>$A$6</f>
        <v>Positive</v>
      </c>
      <c r="H131" t="str">
        <f>$B$6</f>
        <v>Male</v>
      </c>
      <c r="I131" t="str">
        <f>$C$6</f>
        <v>Therapy 1</v>
      </c>
      <c r="J131" s="7">
        <f>$D$6</f>
        <v>59</v>
      </c>
      <c r="K131" s="508">
        <f>J131/$D$18</f>
        <v>0.11799999999999999</v>
      </c>
      <c r="L131" s="9">
        <f>LN(J131)</f>
        <v>4.0775374439057197</v>
      </c>
      <c r="M131" s="7">
        <f>D72*D77*D82/$D$44^2</f>
        <v>42.902831999999997</v>
      </c>
      <c r="N131" s="508">
        <f t="shared" ref="N131:N142" si="55">M131/D$44</f>
        <v>8.580566399999999E-2</v>
      </c>
      <c r="O131" s="9">
        <f>LN(M131)</f>
        <v>3.7589378377411578</v>
      </c>
      <c r="P131" s="553">
        <f>J131-M131</f>
        <v>16.097168000000003</v>
      </c>
      <c r="Q131" s="552">
        <f>P131/SQRT(M131)</f>
        <v>2.4575733918444431</v>
      </c>
      <c r="R131" s="376">
        <f>2*J131*(L131-O131)</f>
        <v>37.594753527418312</v>
      </c>
      <c r="T131" t="s">
        <v>186</v>
      </c>
      <c r="U131" s="376">
        <f>PRODUCT(A27:C27)-SUM(A27:C27)+2</f>
        <v>7</v>
      </c>
    </row>
    <row r="132" spans="1:21">
      <c r="A132" s="175" t="s">
        <v>1362</v>
      </c>
      <c r="B132" s="553">
        <f>B103</f>
        <v>5.5925062024545165</v>
      </c>
      <c r="C132" s="557">
        <f>B102</f>
        <v>12.040798754725822</v>
      </c>
      <c r="D132" s="542">
        <f>C132-B132</f>
        <v>6.4482925522713055</v>
      </c>
      <c r="G132" s="7" t="str">
        <f>$A$7</f>
        <v>Positive</v>
      </c>
      <c r="H132" t="str">
        <f>$B$7</f>
        <v>Male</v>
      </c>
      <c r="I132" t="str">
        <f>$C$7</f>
        <v>Therapy 2</v>
      </c>
      <c r="J132" s="7">
        <f>$D$7</f>
        <v>55</v>
      </c>
      <c r="K132" s="508">
        <f t="shared" ref="K132:K142" si="56">J132/$D$18</f>
        <v>0.11</v>
      </c>
      <c r="L132" s="9">
        <f t="shared" ref="L132:L142" si="57">LN(J132)</f>
        <v>4.0073331852324712</v>
      </c>
      <c r="M132" s="7">
        <f>D72*D77*D83/$D$44^2</f>
        <v>45.861648000000002</v>
      </c>
      <c r="N132" s="508">
        <f t="shared" si="55"/>
        <v>9.172329600000001E-2</v>
      </c>
      <c r="O132" s="9">
        <f t="shared" ref="O132:O142" si="58">LN(M132)</f>
        <v>3.8256292122398303</v>
      </c>
      <c r="P132" s="7">
        <f t="shared" ref="P132:P142" si="59">J132-M132</f>
        <v>9.1383519999999976</v>
      </c>
      <c r="Q132" s="9">
        <f t="shared" ref="Q132:Q142" si="60">P132/SQRT(M132)</f>
        <v>1.3494072969435165</v>
      </c>
      <c r="R132" s="376">
        <f t="shared" ref="R132:R142" si="61">2*J132*(L132-O132)</f>
        <v>19.987437029190495</v>
      </c>
      <c r="T132" s="65" t="s">
        <v>157</v>
      </c>
      <c r="U132" s="376">
        <v>0.05</v>
      </c>
    </row>
    <row r="133" spans="1:21">
      <c r="A133" t="s">
        <v>186</v>
      </c>
      <c r="B133" s="533">
        <f>C103</f>
        <v>4</v>
      </c>
      <c r="C133" s="11">
        <f>C102</f>
        <v>6</v>
      </c>
      <c r="D133" s="544">
        <f>C133-B133</f>
        <v>2</v>
      </c>
      <c r="G133" s="7" t="str">
        <f>$A$8</f>
        <v>Positive</v>
      </c>
      <c r="H133" t="str">
        <f>$B$8</f>
        <v>Male</v>
      </c>
      <c r="I133" t="str">
        <f>$C$8</f>
        <v>Therapy 3</v>
      </c>
      <c r="J133" s="7">
        <f>$D$8</f>
        <v>107</v>
      </c>
      <c r="K133" s="508">
        <f t="shared" si="56"/>
        <v>0.214</v>
      </c>
      <c r="L133" s="9">
        <f t="shared" si="57"/>
        <v>4.6728288344619058</v>
      </c>
      <c r="M133" s="7">
        <f>D72*D77*D84/$D$44^2</f>
        <v>96.161519999999996</v>
      </c>
      <c r="N133" s="508">
        <f t="shared" si="55"/>
        <v>0.19232304</v>
      </c>
      <c r="O133" s="9">
        <f t="shared" si="58"/>
        <v>4.5660292776503209</v>
      </c>
      <c r="P133" s="7">
        <f t="shared" si="59"/>
        <v>10.838480000000004</v>
      </c>
      <c r="Q133" s="9">
        <f t="shared" si="60"/>
        <v>1.1052683166067374</v>
      </c>
      <c r="R133" s="376">
        <f t="shared" si="61"/>
        <v>22.855105157679176</v>
      </c>
      <c r="T133" s="493" t="s">
        <v>200</v>
      </c>
      <c r="U133" s="376">
        <f>CHIDIST(U130,U131)</f>
        <v>1.9117300324482149E-11</v>
      </c>
    </row>
    <row r="134" spans="1:21">
      <c r="A134" s="65" t="s">
        <v>157</v>
      </c>
      <c r="D134" s="376">
        <v>0.05</v>
      </c>
      <c r="G134" s="7" t="str">
        <f>$A$9</f>
        <v>Positive</v>
      </c>
      <c r="H134" t="str">
        <f>$B$9</f>
        <v>Female</v>
      </c>
      <c r="I134" t="str">
        <f>$C$9</f>
        <v>Therapy 1</v>
      </c>
      <c r="J134" s="7">
        <f>$D$9</f>
        <v>32</v>
      </c>
      <c r="K134" s="508">
        <f t="shared" si="56"/>
        <v>6.4000000000000001E-2</v>
      </c>
      <c r="L134" s="9">
        <f t="shared" si="57"/>
        <v>3.4657359027997265</v>
      </c>
      <c r="M134" s="7">
        <f>D72*D78*D82/$D$44^2</f>
        <v>39.921168000000002</v>
      </c>
      <c r="N134" s="508">
        <f t="shared" si="55"/>
        <v>7.9842336E-2</v>
      </c>
      <c r="O134" s="9">
        <f t="shared" si="58"/>
        <v>3.6869067095322752</v>
      </c>
      <c r="P134" s="7">
        <f t="shared" si="59"/>
        <v>-7.9211680000000015</v>
      </c>
      <c r="Q134" s="9">
        <f t="shared" si="60"/>
        <v>-1.2536826185660521</v>
      </c>
      <c r="R134" s="376">
        <f t="shared" si="61"/>
        <v>-14.154931630883112</v>
      </c>
      <c r="T134" s="175" t="s">
        <v>347</v>
      </c>
      <c r="U134" s="376">
        <f>CHIINV(U132,U131)</f>
        <v>14.067140449340167</v>
      </c>
    </row>
    <row r="135" spans="1:21">
      <c r="A135" t="s">
        <v>200</v>
      </c>
      <c r="D135" s="376">
        <f>CHIDIST(D132,D133)</f>
        <v>3.9789736527712581E-2</v>
      </c>
      <c r="G135" s="7" t="str">
        <f>$A$10</f>
        <v>Positive</v>
      </c>
      <c r="H135" t="str">
        <f>$B$10</f>
        <v>Female</v>
      </c>
      <c r="I135" t="str">
        <f>$C$10</f>
        <v>Therapy 2</v>
      </c>
      <c r="J135" s="7">
        <f>$D$10</f>
        <v>24</v>
      </c>
      <c r="K135" s="508">
        <f t="shared" si="56"/>
        <v>4.8000000000000001E-2</v>
      </c>
      <c r="L135" s="9">
        <f t="shared" si="57"/>
        <v>3.1780538303479458</v>
      </c>
      <c r="M135" s="7">
        <f>D72*D78*D83/$D$44^2</f>
        <v>42.674351999999999</v>
      </c>
      <c r="N135" s="508">
        <f t="shared" si="55"/>
        <v>8.5348703999999997E-2</v>
      </c>
      <c r="O135" s="9">
        <f t="shared" si="58"/>
        <v>3.7535980840309473</v>
      </c>
      <c r="P135" s="7">
        <f t="shared" si="59"/>
        <v>-18.674351999999999</v>
      </c>
      <c r="Q135" s="9">
        <f t="shared" si="60"/>
        <v>-2.8586571586024143</v>
      </c>
      <c r="R135" s="376">
        <f t="shared" si="61"/>
        <v>-27.626124176784074</v>
      </c>
      <c r="T135" s="493" t="s">
        <v>948</v>
      </c>
      <c r="U135" s="266" t="str">
        <f>IF(U133&lt;U132,"yes","no")</f>
        <v>yes</v>
      </c>
    </row>
    <row r="136" spans="1:21">
      <c r="A136" t="s">
        <v>948</v>
      </c>
      <c r="D136" s="538" t="str">
        <f>IF(D134&lt;D133,"yes","no")</f>
        <v>yes</v>
      </c>
      <c r="G136" s="7" t="str">
        <f>$A$11</f>
        <v>Positive</v>
      </c>
      <c r="H136" t="str">
        <f>$B$11</f>
        <v>Female</v>
      </c>
      <c r="I136" t="str">
        <f>$C$11</f>
        <v>Therapy 3</v>
      </c>
      <c r="J136" s="7">
        <f>$D$11</f>
        <v>80</v>
      </c>
      <c r="K136" s="508">
        <f t="shared" si="56"/>
        <v>0.16</v>
      </c>
      <c r="L136" s="9">
        <f t="shared" si="57"/>
        <v>4.3820266346738812</v>
      </c>
      <c r="M136" s="7">
        <f>D72*D78*D84/$D$44^2</f>
        <v>89.478480000000005</v>
      </c>
      <c r="N136" s="508">
        <f t="shared" si="55"/>
        <v>0.17895696</v>
      </c>
      <c r="O136" s="9">
        <f t="shared" si="58"/>
        <v>4.4939981494414383</v>
      </c>
      <c r="P136" s="7">
        <f t="shared" si="59"/>
        <v>-9.4784800000000047</v>
      </c>
      <c r="Q136" s="9">
        <f t="shared" si="60"/>
        <v>-1.0020269426145285</v>
      </c>
      <c r="R136" s="376">
        <f t="shared" si="61"/>
        <v>-17.915442362809131</v>
      </c>
    </row>
    <row r="137" spans="1:21">
      <c r="G137" s="7" t="str">
        <f>$A$12</f>
        <v>Negative</v>
      </c>
      <c r="H137" t="str">
        <f>$B$12</f>
        <v>Male</v>
      </c>
      <c r="I137" t="str">
        <f>$C$12</f>
        <v>Therapy 1</v>
      </c>
      <c r="J137" s="7">
        <f>$D$12</f>
        <v>9</v>
      </c>
      <c r="K137" s="508">
        <f t="shared" si="56"/>
        <v>1.7999999999999999E-2</v>
      </c>
      <c r="L137" s="9">
        <f t="shared" si="57"/>
        <v>2.1972245773362196</v>
      </c>
      <c r="M137" s="7">
        <f>D73*D77*D82/$D$44^2</f>
        <v>17.185168000000001</v>
      </c>
      <c r="N137" s="508">
        <f t="shared" si="55"/>
        <v>3.4370336000000001E-2</v>
      </c>
      <c r="O137" s="9">
        <f t="shared" si="58"/>
        <v>2.8440466862214264</v>
      </c>
      <c r="P137" s="7">
        <f t="shared" si="59"/>
        <v>-8.1851680000000009</v>
      </c>
      <c r="Q137" s="9">
        <f t="shared" si="60"/>
        <v>-1.9744707600600977</v>
      </c>
      <c r="R137" s="376">
        <f t="shared" si="61"/>
        <v>-11.642797959933723</v>
      </c>
    </row>
    <row r="138" spans="1:21">
      <c r="G138" s="7" t="str">
        <f>$A$13</f>
        <v>Negative</v>
      </c>
      <c r="H138" t="str">
        <f>$B$13</f>
        <v>Male</v>
      </c>
      <c r="I138" t="str">
        <f>$C$13</f>
        <v>Therapy 2</v>
      </c>
      <c r="J138" s="7">
        <f>$D$13</f>
        <v>12</v>
      </c>
      <c r="K138" s="508">
        <f t="shared" si="56"/>
        <v>2.4E-2</v>
      </c>
      <c r="L138" s="9">
        <f t="shared" si="57"/>
        <v>2.4849066497880004</v>
      </c>
      <c r="M138" s="7">
        <f>D73*D77*D83/$D$44^2</f>
        <v>18.370352</v>
      </c>
      <c r="N138" s="508">
        <f t="shared" si="55"/>
        <v>3.6740703999999999E-2</v>
      </c>
      <c r="O138" s="9">
        <f t="shared" si="58"/>
        <v>2.9107380607200986</v>
      </c>
      <c r="P138" s="7">
        <f t="shared" si="59"/>
        <v>-6.3703520000000005</v>
      </c>
      <c r="Q138" s="9">
        <f t="shared" si="60"/>
        <v>-1.4862938861937338</v>
      </c>
      <c r="R138" s="376">
        <f t="shared" si="61"/>
        <v>-10.219953862370357</v>
      </c>
    </row>
    <row r="139" spans="1:21">
      <c r="G139" s="7" t="str">
        <f>$A$14</f>
        <v>Negative</v>
      </c>
      <c r="H139" t="str">
        <f>$B$14</f>
        <v>Male</v>
      </c>
      <c r="I139" t="str">
        <f>$C$14</f>
        <v>Therapy 3</v>
      </c>
      <c r="J139" s="7">
        <f>$D$14</f>
        <v>17</v>
      </c>
      <c r="K139" s="508">
        <f t="shared" si="56"/>
        <v>3.4000000000000002E-2</v>
      </c>
      <c r="L139" s="9">
        <f t="shared" si="57"/>
        <v>2.8332133440562162</v>
      </c>
      <c r="M139" s="7">
        <f>D73*D77*D84/$D$44^2</f>
        <v>38.518479999999997</v>
      </c>
      <c r="N139" s="508">
        <f t="shared" si="55"/>
        <v>7.7036959999999988E-2</v>
      </c>
      <c r="O139" s="9">
        <f t="shared" si="58"/>
        <v>3.6511381261305891</v>
      </c>
      <c r="P139" s="7">
        <f t="shared" si="59"/>
        <v>-21.518479999999997</v>
      </c>
      <c r="Q139" s="9">
        <f t="shared" si="60"/>
        <v>-3.4671850424049668</v>
      </c>
      <c r="R139" s="376">
        <f t="shared" si="61"/>
        <v>-27.809442590528679</v>
      </c>
    </row>
    <row r="140" spans="1:21">
      <c r="G140" s="7" t="str">
        <f>$A$15</f>
        <v>Negative</v>
      </c>
      <c r="H140" t="str">
        <f>$B$15</f>
        <v>Female</v>
      </c>
      <c r="I140" t="str">
        <f>$C$15</f>
        <v>Therapy 1</v>
      </c>
      <c r="J140" s="7">
        <f>$D$15</f>
        <v>16</v>
      </c>
      <c r="K140" s="508">
        <f t="shared" si="56"/>
        <v>3.2000000000000001E-2</v>
      </c>
      <c r="L140" s="9">
        <f t="shared" si="57"/>
        <v>2.7725887222397811</v>
      </c>
      <c r="M140" s="7">
        <f>D73*D78*D82/$D$44^2</f>
        <v>15.990831999999999</v>
      </c>
      <c r="N140" s="508">
        <f t="shared" si="55"/>
        <v>3.1981664E-2</v>
      </c>
      <c r="O140" s="9">
        <f t="shared" si="58"/>
        <v>2.7720155580125434</v>
      </c>
      <c r="P140" s="7">
        <f t="shared" si="59"/>
        <v>9.1680000000007311E-3</v>
      </c>
      <c r="Q140" s="9">
        <f t="shared" si="60"/>
        <v>2.2926569403337758E-3</v>
      </c>
      <c r="R140" s="376">
        <f t="shared" si="61"/>
        <v>1.8341255271607793E-2</v>
      </c>
    </row>
    <row r="141" spans="1:21">
      <c r="G141" s="7" t="str">
        <f>$A$16</f>
        <v>Negative</v>
      </c>
      <c r="H141" t="str">
        <f>$B$16</f>
        <v>Female</v>
      </c>
      <c r="I141" t="str">
        <f>$C$16</f>
        <v>Therapy 2</v>
      </c>
      <c r="J141" s="7">
        <f>$D$16</f>
        <v>33</v>
      </c>
      <c r="K141" s="508">
        <f t="shared" si="56"/>
        <v>6.6000000000000003E-2</v>
      </c>
      <c r="L141" s="9">
        <f t="shared" si="57"/>
        <v>3.4965075614664802</v>
      </c>
      <c r="M141" s="7">
        <f>D73*D78*D83/$D$44^2</f>
        <v>17.093648000000002</v>
      </c>
      <c r="N141" s="508">
        <f t="shared" si="55"/>
        <v>3.4187296000000006E-2</v>
      </c>
      <c r="O141" s="9">
        <f t="shared" si="58"/>
        <v>2.838706932511216</v>
      </c>
      <c r="P141" s="7">
        <f t="shared" si="59"/>
        <v>15.906351999999998</v>
      </c>
      <c r="Q141" s="9">
        <f t="shared" si="60"/>
        <v>3.847274825178145</v>
      </c>
      <c r="R141" s="376">
        <f t="shared" si="61"/>
        <v>43.414841511047442</v>
      </c>
    </row>
    <row r="142" spans="1:21">
      <c r="G142" s="10" t="str">
        <f>$A$17</f>
        <v>Negative</v>
      </c>
      <c r="H142" s="11" t="str">
        <f>$B$17</f>
        <v>Female</v>
      </c>
      <c r="I142" s="11" t="str">
        <f>$C$17</f>
        <v>Therapy 3</v>
      </c>
      <c r="J142" s="10">
        <f>$D$17</f>
        <v>56</v>
      </c>
      <c r="K142" s="509">
        <f t="shared" si="56"/>
        <v>0.112</v>
      </c>
      <c r="L142" s="12">
        <f t="shared" si="57"/>
        <v>4.0253516907351496</v>
      </c>
      <c r="M142" s="10">
        <f>D73*D78*D84/$D$44^2</f>
        <v>35.841520000000003</v>
      </c>
      <c r="N142" s="509">
        <f t="shared" si="55"/>
        <v>7.1683040000000003E-2</v>
      </c>
      <c r="O142" s="12">
        <f t="shared" si="58"/>
        <v>3.5791069979217065</v>
      </c>
      <c r="P142" s="533">
        <f t="shared" si="59"/>
        <v>20.158479999999997</v>
      </c>
      <c r="Q142" s="12">
        <f t="shared" si="60"/>
        <v>3.367166348708782</v>
      </c>
      <c r="R142" s="268">
        <f t="shared" si="61"/>
        <v>49.979405595105632</v>
      </c>
    </row>
    <row r="143" spans="1:21">
      <c r="R143">
        <f>SUM(R131:R142)</f>
        <v>64.481191492403582</v>
      </c>
    </row>
    <row r="145" spans="7:21">
      <c r="G145" s="1" t="s">
        <v>1310</v>
      </c>
    </row>
    <row r="147" spans="7:21">
      <c r="J147" s="1591" t="s">
        <v>703</v>
      </c>
      <c r="K147" s="1592"/>
      <c r="L147" s="1593"/>
      <c r="M147" s="1591" t="s">
        <v>1261</v>
      </c>
      <c r="N147" s="1592"/>
      <c r="O147" s="1593"/>
      <c r="P147" s="1588" t="s">
        <v>704</v>
      </c>
      <c r="Q147" s="1594"/>
    </row>
    <row r="148" spans="7:21">
      <c r="G148" s="516" t="str">
        <f>$A$5</f>
        <v>Cure</v>
      </c>
      <c r="H148" s="503" t="str">
        <f>$B$5</f>
        <v>Gender</v>
      </c>
      <c r="I148" s="503" t="str">
        <f>$C$5</f>
        <v>Therapy</v>
      </c>
      <c r="J148" s="505" t="s">
        <v>1259</v>
      </c>
      <c r="K148" s="506" t="s">
        <v>1258</v>
      </c>
      <c r="L148" s="507" t="s">
        <v>759</v>
      </c>
      <c r="M148" s="505" t="s">
        <v>1260</v>
      </c>
      <c r="N148" s="506" t="s">
        <v>1258</v>
      </c>
      <c r="O148" s="507" t="s">
        <v>1251</v>
      </c>
      <c r="P148" s="554" t="s">
        <v>644</v>
      </c>
      <c r="Q148" s="556" t="s">
        <v>1270</v>
      </c>
      <c r="R148" s="511" t="s">
        <v>346</v>
      </c>
      <c r="T148" s="175" t="s">
        <v>346</v>
      </c>
      <c r="U148" s="515">
        <f>R161</f>
        <v>138.95072251373131</v>
      </c>
    </row>
    <row r="149" spans="7:21">
      <c r="G149" s="7" t="str">
        <f>$A$6</f>
        <v>Positive</v>
      </c>
      <c r="H149" t="str">
        <f>$B$6</f>
        <v>Male</v>
      </c>
      <c r="I149" t="str">
        <f>$C$6</f>
        <v>Therapy 1</v>
      </c>
      <c r="J149" s="7">
        <f>$D$6</f>
        <v>59</v>
      </c>
      <c r="K149" s="508">
        <f>J149/$D$18</f>
        <v>0.11799999999999999</v>
      </c>
      <c r="L149" s="9">
        <f>LN(J149)</f>
        <v>4.0775374439057197</v>
      </c>
      <c r="M149" s="7">
        <f>D72/(B27*C27)</f>
        <v>59.5</v>
      </c>
      <c r="N149" s="508">
        <f t="shared" ref="N149:N160" si="62">M149/D$44</f>
        <v>0.11899999999999999</v>
      </c>
      <c r="O149" s="9">
        <f>LN(M149)</f>
        <v>4.0859763125515842</v>
      </c>
      <c r="P149" s="553">
        <f>J149-M149</f>
        <v>-0.5</v>
      </c>
      <c r="Q149" s="552">
        <f>P149/SQRT(M149)</f>
        <v>-6.4820372355216441E-2</v>
      </c>
      <c r="R149" s="376">
        <f>2*J149*(L149-O149)</f>
        <v>-0.99578650021201298</v>
      </c>
      <c r="T149" t="s">
        <v>186</v>
      </c>
      <c r="U149" s="376">
        <f>A27*B27*C27-A27</f>
        <v>10</v>
      </c>
    </row>
    <row r="150" spans="7:21">
      <c r="G150" s="7" t="str">
        <f>$A$7</f>
        <v>Positive</v>
      </c>
      <c r="H150" t="str">
        <f>$B$7</f>
        <v>Male</v>
      </c>
      <c r="I150" t="str">
        <f>$C$7</f>
        <v>Therapy 2</v>
      </c>
      <c r="J150" s="7">
        <f>$D$7</f>
        <v>55</v>
      </c>
      <c r="K150" s="508">
        <f t="shared" ref="K150:K160" si="63">J150/$D$18</f>
        <v>0.11</v>
      </c>
      <c r="L150" s="9">
        <f t="shared" ref="L150:L160" si="64">LN(J150)</f>
        <v>4.0073331852324712</v>
      </c>
      <c r="M150" s="7">
        <f>M149</f>
        <v>59.5</v>
      </c>
      <c r="N150" s="508">
        <f t="shared" si="62"/>
        <v>0.11899999999999999</v>
      </c>
      <c r="O150" s="9">
        <f t="shared" ref="O150:O160" si="65">LN(M150)</f>
        <v>4.0859763125515842</v>
      </c>
      <c r="P150" s="7">
        <f t="shared" ref="P150:P160" si="66">J150-M150</f>
        <v>-4.5</v>
      </c>
      <c r="Q150" s="9">
        <f t="shared" ref="Q150:Q160" si="67">P150/SQRT(M150)</f>
        <v>-0.58338335119694795</v>
      </c>
      <c r="R150" s="376">
        <f t="shared" ref="R150:R160" si="68">2*J150*(L150-O150)</f>
        <v>-8.6507440051024354</v>
      </c>
      <c r="T150" s="65" t="s">
        <v>157</v>
      </c>
      <c r="U150" s="376">
        <v>0.05</v>
      </c>
    </row>
    <row r="151" spans="7:21">
      <c r="G151" s="7" t="str">
        <f>$A$8</f>
        <v>Positive</v>
      </c>
      <c r="H151" t="str">
        <f>$B$8</f>
        <v>Male</v>
      </c>
      <c r="I151" t="str">
        <f>$C$8</f>
        <v>Therapy 3</v>
      </c>
      <c r="J151" s="7">
        <f>$D$8</f>
        <v>107</v>
      </c>
      <c r="K151" s="508">
        <f t="shared" si="63"/>
        <v>0.214</v>
      </c>
      <c r="L151" s="9">
        <f t="shared" si="64"/>
        <v>4.6728288344619058</v>
      </c>
      <c r="M151" s="7">
        <f>M150</f>
        <v>59.5</v>
      </c>
      <c r="N151" s="508">
        <f t="shared" si="62"/>
        <v>0.11899999999999999</v>
      </c>
      <c r="O151" s="9">
        <f t="shared" si="65"/>
        <v>4.0859763125515842</v>
      </c>
      <c r="P151" s="7">
        <f t="shared" si="66"/>
        <v>47.5</v>
      </c>
      <c r="Q151" s="9">
        <f t="shared" si="67"/>
        <v>6.1579353737455618</v>
      </c>
      <c r="R151" s="376">
        <f t="shared" si="68"/>
        <v>125.58643968880881</v>
      </c>
      <c r="T151" s="493" t="s">
        <v>200</v>
      </c>
      <c r="U151" s="376">
        <f>CHIDIST(U148,U149)</f>
        <v>6.9136338267619402E-25</v>
      </c>
    </row>
    <row r="152" spans="7:21">
      <c r="G152" s="7" t="str">
        <f>$A$9</f>
        <v>Positive</v>
      </c>
      <c r="H152" t="str">
        <f>$B$9</f>
        <v>Female</v>
      </c>
      <c r="I152" t="str">
        <f>$C$9</f>
        <v>Therapy 1</v>
      </c>
      <c r="J152" s="7">
        <f>$D$9</f>
        <v>32</v>
      </c>
      <c r="K152" s="508">
        <f t="shared" si="63"/>
        <v>6.4000000000000001E-2</v>
      </c>
      <c r="L152" s="9">
        <f t="shared" si="64"/>
        <v>3.4657359027997265</v>
      </c>
      <c r="M152" s="7">
        <f>M151</f>
        <v>59.5</v>
      </c>
      <c r="N152" s="508">
        <f t="shared" si="62"/>
        <v>0.11899999999999999</v>
      </c>
      <c r="O152" s="9">
        <f t="shared" si="65"/>
        <v>4.0859763125515842</v>
      </c>
      <c r="P152" s="7">
        <f t="shared" si="66"/>
        <v>-27.5</v>
      </c>
      <c r="Q152" s="9">
        <f t="shared" si="67"/>
        <v>-3.5651204795369043</v>
      </c>
      <c r="R152" s="376">
        <f t="shared" si="68"/>
        <v>-39.695386224118892</v>
      </c>
      <c r="T152" s="175" t="s">
        <v>347</v>
      </c>
      <c r="U152" s="376">
        <f>CHIINV(U150,U149)</f>
        <v>18.307038053275146</v>
      </c>
    </row>
    <row r="153" spans="7:21">
      <c r="G153" s="7" t="str">
        <f>$A$10</f>
        <v>Positive</v>
      </c>
      <c r="H153" t="str">
        <f>$B$10</f>
        <v>Female</v>
      </c>
      <c r="I153" t="str">
        <f>$C$10</f>
        <v>Therapy 2</v>
      </c>
      <c r="J153" s="7">
        <f>$D$10</f>
        <v>24</v>
      </c>
      <c r="K153" s="508">
        <f t="shared" si="63"/>
        <v>4.8000000000000001E-2</v>
      </c>
      <c r="L153" s="9">
        <f t="shared" si="64"/>
        <v>3.1780538303479458</v>
      </c>
      <c r="M153" s="7">
        <f>M152</f>
        <v>59.5</v>
      </c>
      <c r="N153" s="508">
        <f t="shared" si="62"/>
        <v>0.11899999999999999</v>
      </c>
      <c r="O153" s="9">
        <f t="shared" si="65"/>
        <v>4.0859763125515842</v>
      </c>
      <c r="P153" s="7">
        <f t="shared" si="66"/>
        <v>-35.5</v>
      </c>
      <c r="Q153" s="9">
        <f t="shared" si="67"/>
        <v>-4.6022464372203675</v>
      </c>
      <c r="R153" s="376">
        <f t="shared" si="68"/>
        <v>-43.580279145774647</v>
      </c>
      <c r="T153" s="493" t="s">
        <v>948</v>
      </c>
      <c r="U153" s="266" t="str">
        <f>IF(U151&lt;U150,"yes","no")</f>
        <v>yes</v>
      </c>
    </row>
    <row r="154" spans="7:21">
      <c r="G154" s="7" t="str">
        <f>$A$11</f>
        <v>Positive</v>
      </c>
      <c r="H154" t="str">
        <f>$B$11</f>
        <v>Female</v>
      </c>
      <c r="I154" t="str">
        <f>$C$11</f>
        <v>Therapy 3</v>
      </c>
      <c r="J154" s="7">
        <f>$D$11</f>
        <v>80</v>
      </c>
      <c r="K154" s="508">
        <f t="shared" si="63"/>
        <v>0.16</v>
      </c>
      <c r="L154" s="9">
        <f t="shared" si="64"/>
        <v>4.3820266346738812</v>
      </c>
      <c r="M154" s="7">
        <f>M153</f>
        <v>59.5</v>
      </c>
      <c r="N154" s="508">
        <f t="shared" si="62"/>
        <v>0.11899999999999999</v>
      </c>
      <c r="O154" s="9">
        <f t="shared" si="65"/>
        <v>4.0859763125515842</v>
      </c>
      <c r="P154" s="7">
        <f t="shared" si="66"/>
        <v>20.5</v>
      </c>
      <c r="Q154" s="9">
        <f t="shared" si="67"/>
        <v>2.6576352665638741</v>
      </c>
      <c r="R154" s="376">
        <f t="shared" si="68"/>
        <v>47.368051539567517</v>
      </c>
    </row>
    <row r="155" spans="7:21">
      <c r="G155" s="7" t="str">
        <f>$A$12</f>
        <v>Negative</v>
      </c>
      <c r="H155" t="str">
        <f>$B$12</f>
        <v>Male</v>
      </c>
      <c r="I155" t="str">
        <f>$C$12</f>
        <v>Therapy 1</v>
      </c>
      <c r="J155" s="7">
        <f>$D$12</f>
        <v>9</v>
      </c>
      <c r="K155" s="508">
        <f t="shared" si="63"/>
        <v>1.7999999999999999E-2</v>
      </c>
      <c r="L155" s="9">
        <f t="shared" si="64"/>
        <v>2.1972245773362196</v>
      </c>
      <c r="M155" s="7">
        <f>D73/(B27*C27)</f>
        <v>23.833333333333332</v>
      </c>
      <c r="N155" s="508">
        <f t="shared" si="62"/>
        <v>4.7666666666666663E-2</v>
      </c>
      <c r="O155" s="9">
        <f t="shared" si="65"/>
        <v>3.1710851610318525</v>
      </c>
      <c r="P155" s="7">
        <f t="shared" si="66"/>
        <v>-14.833333333333332</v>
      </c>
      <c r="Q155" s="9">
        <f t="shared" si="67"/>
        <v>-3.0384099018951889</v>
      </c>
      <c r="R155" s="376">
        <f t="shared" si="68"/>
        <v>-17.529490506521391</v>
      </c>
    </row>
    <row r="156" spans="7:21">
      <c r="G156" s="7" t="str">
        <f>$A$13</f>
        <v>Negative</v>
      </c>
      <c r="H156" t="str">
        <f>$B$13</f>
        <v>Male</v>
      </c>
      <c r="I156" t="str">
        <f>$C$13</f>
        <v>Therapy 2</v>
      </c>
      <c r="J156" s="7">
        <f>$D$13</f>
        <v>12</v>
      </c>
      <c r="K156" s="508">
        <f t="shared" si="63"/>
        <v>2.4E-2</v>
      </c>
      <c r="L156" s="9">
        <f t="shared" si="64"/>
        <v>2.4849066497880004</v>
      </c>
      <c r="M156" s="7">
        <f>M155</f>
        <v>23.833333333333332</v>
      </c>
      <c r="N156" s="508">
        <f t="shared" si="62"/>
        <v>4.7666666666666663E-2</v>
      </c>
      <c r="O156" s="9">
        <f t="shared" si="65"/>
        <v>3.1710851610318525</v>
      </c>
      <c r="P156" s="7">
        <f t="shared" si="66"/>
        <v>-11.833333333333332</v>
      </c>
      <c r="Q156" s="9">
        <f t="shared" si="67"/>
        <v>-2.4239000340961621</v>
      </c>
      <c r="R156" s="376">
        <f t="shared" si="68"/>
        <v>-16.46828426985245</v>
      </c>
    </row>
    <row r="157" spans="7:21">
      <c r="G157" s="7" t="str">
        <f>$A$14</f>
        <v>Negative</v>
      </c>
      <c r="H157" t="str">
        <f>$B$14</f>
        <v>Male</v>
      </c>
      <c r="I157" t="str">
        <f>$C$14</f>
        <v>Therapy 3</v>
      </c>
      <c r="J157" s="7">
        <f>$D$14</f>
        <v>17</v>
      </c>
      <c r="K157" s="508">
        <f t="shared" si="63"/>
        <v>3.4000000000000002E-2</v>
      </c>
      <c r="L157" s="9">
        <f t="shared" si="64"/>
        <v>2.8332133440562162</v>
      </c>
      <c r="M157" s="7">
        <f>M156</f>
        <v>23.833333333333332</v>
      </c>
      <c r="N157" s="508">
        <f t="shared" si="62"/>
        <v>4.7666666666666663E-2</v>
      </c>
      <c r="O157" s="9">
        <f t="shared" si="65"/>
        <v>3.1710851610318525</v>
      </c>
      <c r="P157" s="7">
        <f t="shared" si="66"/>
        <v>-6.8333333333333321</v>
      </c>
      <c r="Q157" s="9">
        <f t="shared" si="67"/>
        <v>-1.3997169210977836</v>
      </c>
      <c r="R157" s="376">
        <f t="shared" si="68"/>
        <v>-11.487641777171634</v>
      </c>
    </row>
    <row r="158" spans="7:21">
      <c r="G158" s="7" t="str">
        <f>$A$15</f>
        <v>Negative</v>
      </c>
      <c r="H158" t="str">
        <f>$B$15</f>
        <v>Female</v>
      </c>
      <c r="I158" t="str">
        <f>$C$15</f>
        <v>Therapy 1</v>
      </c>
      <c r="J158" s="7">
        <f>$D$15</f>
        <v>16</v>
      </c>
      <c r="K158" s="508">
        <f t="shared" si="63"/>
        <v>3.2000000000000001E-2</v>
      </c>
      <c r="L158" s="9">
        <f t="shared" si="64"/>
        <v>2.7725887222397811</v>
      </c>
      <c r="M158" s="7">
        <f>M157</f>
        <v>23.833333333333332</v>
      </c>
      <c r="N158" s="508">
        <f t="shared" si="62"/>
        <v>4.7666666666666663E-2</v>
      </c>
      <c r="O158" s="9">
        <f t="shared" si="65"/>
        <v>3.1710851610318525</v>
      </c>
      <c r="P158" s="7">
        <f t="shared" si="66"/>
        <v>-7.8333333333333321</v>
      </c>
      <c r="Q158" s="9">
        <f t="shared" si="67"/>
        <v>-1.6045535436974594</v>
      </c>
      <c r="R158" s="376">
        <f t="shared" si="68"/>
        <v>-12.751886041346282</v>
      </c>
    </row>
    <row r="159" spans="7:21">
      <c r="G159" s="7" t="str">
        <f>$A$16</f>
        <v>Negative</v>
      </c>
      <c r="H159" t="str">
        <f>$B$16</f>
        <v>Female</v>
      </c>
      <c r="I159" t="str">
        <f>$C$16</f>
        <v>Therapy 2</v>
      </c>
      <c r="J159" s="7">
        <f>$D$16</f>
        <v>33</v>
      </c>
      <c r="K159" s="508">
        <f t="shared" si="63"/>
        <v>6.6000000000000003E-2</v>
      </c>
      <c r="L159" s="9">
        <f t="shared" si="64"/>
        <v>3.4965075614664802</v>
      </c>
      <c r="M159" s="7">
        <f>M158</f>
        <v>23.833333333333332</v>
      </c>
      <c r="N159" s="508">
        <f t="shared" si="62"/>
        <v>4.7666666666666663E-2</v>
      </c>
      <c r="O159" s="9">
        <f t="shared" si="65"/>
        <v>3.1710851610318525</v>
      </c>
      <c r="P159" s="7">
        <f t="shared" si="66"/>
        <v>9.1666666666666679</v>
      </c>
      <c r="Q159" s="9">
        <f t="shared" si="67"/>
        <v>1.8776690404970273</v>
      </c>
      <c r="R159" s="376">
        <f t="shared" si="68"/>
        <v>21.477878428685433</v>
      </c>
    </row>
    <row r="160" spans="7:21">
      <c r="G160" s="10" t="str">
        <f>$A$17</f>
        <v>Negative</v>
      </c>
      <c r="H160" s="11" t="str">
        <f>$B$17</f>
        <v>Female</v>
      </c>
      <c r="I160" s="11" t="str">
        <f>$C$17</f>
        <v>Therapy 3</v>
      </c>
      <c r="J160" s="10">
        <f>$D$17</f>
        <v>56</v>
      </c>
      <c r="K160" s="509">
        <f t="shared" si="63"/>
        <v>0.112</v>
      </c>
      <c r="L160" s="12">
        <f t="shared" si="64"/>
        <v>4.0253516907351496</v>
      </c>
      <c r="M160" s="10">
        <f>M159</f>
        <v>23.833333333333332</v>
      </c>
      <c r="N160" s="509">
        <f t="shared" si="62"/>
        <v>4.7666666666666663E-2</v>
      </c>
      <c r="O160" s="12">
        <f t="shared" si="65"/>
        <v>3.1710851610318525</v>
      </c>
      <c r="P160" s="533">
        <f t="shared" si="66"/>
        <v>32.166666666666671</v>
      </c>
      <c r="Q160" s="12">
        <f t="shared" si="67"/>
        <v>6.5889113602895693</v>
      </c>
      <c r="R160" s="268">
        <f t="shared" si="68"/>
        <v>95.677851326769286</v>
      </c>
    </row>
    <row r="161" spans="7:21">
      <c r="R161">
        <f>SUM(R149:R160)</f>
        <v>138.95072251373131</v>
      </c>
    </row>
    <row r="163" spans="7:21">
      <c r="G163" s="1" t="s">
        <v>1311</v>
      </c>
    </row>
    <row r="165" spans="7:21">
      <c r="J165" s="1591" t="s">
        <v>703</v>
      </c>
      <c r="K165" s="1592"/>
      <c r="L165" s="1593"/>
      <c r="M165" s="1591" t="s">
        <v>1261</v>
      </c>
      <c r="N165" s="1592"/>
      <c r="O165" s="1593"/>
      <c r="P165" s="1588" t="s">
        <v>704</v>
      </c>
      <c r="Q165" s="1594"/>
    </row>
    <row r="166" spans="7:21">
      <c r="G166" s="516" t="str">
        <f>$A$5</f>
        <v>Cure</v>
      </c>
      <c r="H166" s="503" t="str">
        <f>$B$5</f>
        <v>Gender</v>
      </c>
      <c r="I166" s="503" t="str">
        <f>$C$5</f>
        <v>Therapy</v>
      </c>
      <c r="J166" s="505" t="s">
        <v>1259</v>
      </c>
      <c r="K166" s="506" t="s">
        <v>1258</v>
      </c>
      <c r="L166" s="507" t="s">
        <v>759</v>
      </c>
      <c r="M166" s="505" t="s">
        <v>1260</v>
      </c>
      <c r="N166" s="506" t="s">
        <v>1258</v>
      </c>
      <c r="O166" s="507" t="s">
        <v>1251</v>
      </c>
      <c r="P166" s="554" t="s">
        <v>644</v>
      </c>
      <c r="Q166" s="556" t="s">
        <v>1270</v>
      </c>
      <c r="R166" s="511" t="s">
        <v>346</v>
      </c>
      <c r="T166" s="175" t="s">
        <v>346</v>
      </c>
      <c r="U166" s="515">
        <f>R179</f>
        <v>232.91857705587103</v>
      </c>
    </row>
    <row r="167" spans="7:21">
      <c r="G167" s="7" t="str">
        <f>$A$6</f>
        <v>Positive</v>
      </c>
      <c r="H167" t="str">
        <f>$B$6</f>
        <v>Male</v>
      </c>
      <c r="I167" t="str">
        <f>$C$6</f>
        <v>Therapy 1</v>
      </c>
      <c r="J167" s="7">
        <f>$D$6</f>
        <v>59</v>
      </c>
      <c r="K167" s="508">
        <f>J167/$D$18</f>
        <v>0.11799999999999999</v>
      </c>
      <c r="L167" s="9">
        <f>LN(J167)</f>
        <v>4.0775374439057197</v>
      </c>
      <c r="M167" s="7">
        <f>D77/(A27*C27)</f>
        <v>43.166666666666664</v>
      </c>
      <c r="N167" s="508">
        <f t="shared" ref="N167:N178" si="69">M167/D$44</f>
        <v>8.6333333333333331E-2</v>
      </c>
      <c r="O167" s="9">
        <f>LN(M167)</f>
        <v>3.7650685924714828</v>
      </c>
      <c r="P167" s="553">
        <f>J167-M167</f>
        <v>15.833333333333336</v>
      </c>
      <c r="Q167" s="552">
        <f>P167/SQRT(M167)</f>
        <v>2.4098948748012452</v>
      </c>
      <c r="R167" s="376">
        <f>2*J167*(L167-O167)</f>
        <v>36.871324469239951</v>
      </c>
      <c r="T167" t="s">
        <v>186</v>
      </c>
      <c r="U167" s="376">
        <f>A27*B27*C27-B27</f>
        <v>10</v>
      </c>
    </row>
    <row r="168" spans="7:21">
      <c r="G168" s="7" t="str">
        <f>$A$7</f>
        <v>Positive</v>
      </c>
      <c r="H168" t="str">
        <f>$B$7</f>
        <v>Male</v>
      </c>
      <c r="I168" t="str">
        <f>$C$7</f>
        <v>Therapy 2</v>
      </c>
      <c r="J168" s="7">
        <f>$D$7</f>
        <v>55</v>
      </c>
      <c r="K168" s="508">
        <f t="shared" ref="K168:K178" si="70">J168/$D$18</f>
        <v>0.11</v>
      </c>
      <c r="L168" s="9">
        <f t="shared" ref="L168:L178" si="71">LN(J168)</f>
        <v>4.0073331852324712</v>
      </c>
      <c r="M168" s="7">
        <f>M167</f>
        <v>43.166666666666664</v>
      </c>
      <c r="N168" s="508">
        <f t="shared" si="69"/>
        <v>8.6333333333333331E-2</v>
      </c>
      <c r="O168" s="9">
        <f t="shared" ref="O168:O178" si="72">LN(M168)</f>
        <v>3.7650685924714828</v>
      </c>
      <c r="P168" s="7">
        <f t="shared" ref="P168:P178" si="73">J168-M168</f>
        <v>11.833333333333336</v>
      </c>
      <c r="Q168" s="9">
        <f t="shared" ref="Q168:Q178" si="74">P168/SQRT(M168)</f>
        <v>1.8010793274830359</v>
      </c>
      <c r="R168" s="376">
        <f t="shared" ref="R168:R178" si="75">2*J168*(L168-O168)</f>
        <v>26.649105203708714</v>
      </c>
      <c r="T168" s="65" t="s">
        <v>157</v>
      </c>
      <c r="U168" s="376">
        <v>0.05</v>
      </c>
    </row>
    <row r="169" spans="7:21">
      <c r="G169" s="7" t="str">
        <f>$A$8</f>
        <v>Positive</v>
      </c>
      <c r="H169" t="str">
        <f>$B$8</f>
        <v>Male</v>
      </c>
      <c r="I169" t="str">
        <f>$C$8</f>
        <v>Therapy 3</v>
      </c>
      <c r="J169" s="7">
        <f>$D$8</f>
        <v>107</v>
      </c>
      <c r="K169" s="508">
        <f t="shared" si="70"/>
        <v>0.214</v>
      </c>
      <c r="L169" s="9">
        <f t="shared" si="71"/>
        <v>4.6728288344619058</v>
      </c>
      <c r="M169" s="7">
        <f>M168</f>
        <v>43.166666666666664</v>
      </c>
      <c r="N169" s="508">
        <f t="shared" si="69"/>
        <v>8.6333333333333331E-2</v>
      </c>
      <c r="O169" s="9">
        <f t="shared" si="72"/>
        <v>3.7650685924714828</v>
      </c>
      <c r="P169" s="7">
        <f t="shared" si="73"/>
        <v>63.833333333333336</v>
      </c>
      <c r="Q169" s="9">
        <f t="shared" si="74"/>
        <v>9.715681442619756</v>
      </c>
      <c r="R169" s="376">
        <f t="shared" si="75"/>
        <v>194.26069178595051</v>
      </c>
      <c r="T169" s="493" t="s">
        <v>200</v>
      </c>
      <c r="U169" s="376">
        <f>CHIDIST(U166,U167)</f>
        <v>2.0984703602669198E-44</v>
      </c>
    </row>
    <row r="170" spans="7:21">
      <c r="G170" s="7" t="str">
        <f>$A$9</f>
        <v>Positive</v>
      </c>
      <c r="H170" t="str">
        <f>$B$9</f>
        <v>Female</v>
      </c>
      <c r="I170" t="str">
        <f>$C$9</f>
        <v>Therapy 1</v>
      </c>
      <c r="J170" s="7">
        <f>$D$9</f>
        <v>32</v>
      </c>
      <c r="K170" s="508">
        <f t="shared" si="70"/>
        <v>6.4000000000000001E-2</v>
      </c>
      <c r="L170" s="9">
        <f t="shared" si="71"/>
        <v>3.4657359027997265</v>
      </c>
      <c r="M170" s="7">
        <f>D78/(A27*C27)</f>
        <v>40.166666666666664</v>
      </c>
      <c r="N170" s="508">
        <f t="shared" si="69"/>
        <v>8.0333333333333326E-2</v>
      </c>
      <c r="O170" s="9">
        <f t="shared" si="72"/>
        <v>3.6930374642625998</v>
      </c>
      <c r="P170" s="7">
        <f t="shared" si="73"/>
        <v>-8.1666666666666643</v>
      </c>
      <c r="Q170" s="9">
        <f t="shared" si="74"/>
        <v>-1.2885816234436311</v>
      </c>
      <c r="R170" s="376">
        <f t="shared" si="75"/>
        <v>-14.54729993362389</v>
      </c>
      <c r="T170" s="175" t="s">
        <v>347</v>
      </c>
      <c r="U170" s="376">
        <f>CHIINV(U168,U167)</f>
        <v>18.307038053275146</v>
      </c>
    </row>
    <row r="171" spans="7:21">
      <c r="G171" s="7" t="str">
        <f>$A$10</f>
        <v>Positive</v>
      </c>
      <c r="H171" t="str">
        <f>$B$10</f>
        <v>Female</v>
      </c>
      <c r="I171" t="str">
        <f>$C$10</f>
        <v>Therapy 2</v>
      </c>
      <c r="J171" s="7">
        <f>$D$10</f>
        <v>24</v>
      </c>
      <c r="K171" s="508">
        <f t="shared" si="70"/>
        <v>4.8000000000000001E-2</v>
      </c>
      <c r="L171" s="9">
        <f t="shared" si="71"/>
        <v>3.1780538303479458</v>
      </c>
      <c r="M171" s="7">
        <f>M170</f>
        <v>40.166666666666664</v>
      </c>
      <c r="N171" s="508">
        <f t="shared" si="69"/>
        <v>8.0333333333333326E-2</v>
      </c>
      <c r="O171" s="9">
        <f t="shared" si="72"/>
        <v>3.6930374642625998</v>
      </c>
      <c r="P171" s="7">
        <f t="shared" si="73"/>
        <v>-16.166666666666664</v>
      </c>
      <c r="Q171" s="9">
        <f t="shared" si="74"/>
        <v>-2.5508656627353519</v>
      </c>
      <c r="R171" s="376">
        <f t="shared" si="75"/>
        <v>-24.719214427903395</v>
      </c>
      <c r="T171" s="493" t="s">
        <v>948</v>
      </c>
      <c r="U171" s="266" t="str">
        <f>IF(U169&lt;U168,"yes","no")</f>
        <v>yes</v>
      </c>
    </row>
    <row r="172" spans="7:21">
      <c r="G172" s="7" t="str">
        <f>$A$11</f>
        <v>Positive</v>
      </c>
      <c r="H172" t="str">
        <f>$B$11</f>
        <v>Female</v>
      </c>
      <c r="I172" t="str">
        <f>$C$11</f>
        <v>Therapy 3</v>
      </c>
      <c r="J172" s="7">
        <f>$D$11</f>
        <v>80</v>
      </c>
      <c r="K172" s="508">
        <f t="shared" si="70"/>
        <v>0.16</v>
      </c>
      <c r="L172" s="9">
        <f t="shared" si="71"/>
        <v>4.3820266346738812</v>
      </c>
      <c r="M172" s="7">
        <f>M171</f>
        <v>40.166666666666664</v>
      </c>
      <c r="N172" s="508">
        <f t="shared" si="69"/>
        <v>8.0333333333333326E-2</v>
      </c>
      <c r="O172" s="9">
        <f t="shared" si="72"/>
        <v>3.6930374642625998</v>
      </c>
      <c r="P172" s="7">
        <f t="shared" si="73"/>
        <v>39.833333333333336</v>
      </c>
      <c r="Q172" s="9">
        <f t="shared" si="74"/>
        <v>6.2851226123066937</v>
      </c>
      <c r="R172" s="376">
        <f t="shared" si="75"/>
        <v>110.23826726580502</v>
      </c>
    </row>
    <row r="173" spans="7:21">
      <c r="G173" s="7" t="str">
        <f>$A$12</f>
        <v>Negative</v>
      </c>
      <c r="H173" t="str">
        <f>$B$12</f>
        <v>Male</v>
      </c>
      <c r="I173" t="str">
        <f>$C$12</f>
        <v>Therapy 1</v>
      </c>
      <c r="J173" s="7">
        <f>$D$12</f>
        <v>9</v>
      </c>
      <c r="K173" s="508">
        <f t="shared" si="70"/>
        <v>1.7999999999999999E-2</v>
      </c>
      <c r="L173" s="9">
        <f t="shared" si="71"/>
        <v>2.1972245773362196</v>
      </c>
      <c r="M173" s="7">
        <f>M167</f>
        <v>43.166666666666664</v>
      </c>
      <c r="N173" s="508">
        <f t="shared" si="69"/>
        <v>8.6333333333333331E-2</v>
      </c>
      <c r="O173" s="9">
        <f t="shared" si="72"/>
        <v>3.7650685924714828</v>
      </c>
      <c r="P173" s="7">
        <f t="shared" si="73"/>
        <v>-34.166666666666664</v>
      </c>
      <c r="Q173" s="9">
        <f t="shared" si="74"/>
        <v>-5.2002994666763698</v>
      </c>
      <c r="R173" s="376">
        <f t="shared" si="75"/>
        <v>-28.221192272434738</v>
      </c>
    </row>
    <row r="174" spans="7:21">
      <c r="G174" s="7" t="str">
        <f>$A$13</f>
        <v>Negative</v>
      </c>
      <c r="H174" t="str">
        <f>$B$13</f>
        <v>Male</v>
      </c>
      <c r="I174" t="str">
        <f>$C$13</f>
        <v>Therapy 2</v>
      </c>
      <c r="J174" s="7">
        <f>$D$13</f>
        <v>12</v>
      </c>
      <c r="K174" s="508">
        <f t="shared" si="70"/>
        <v>2.4E-2</v>
      </c>
      <c r="L174" s="9">
        <f t="shared" si="71"/>
        <v>2.4849066497880004</v>
      </c>
      <c r="M174" s="7">
        <f>M173</f>
        <v>43.166666666666664</v>
      </c>
      <c r="N174" s="508">
        <f t="shared" si="69"/>
        <v>8.6333333333333331E-2</v>
      </c>
      <c r="O174" s="9">
        <f t="shared" si="72"/>
        <v>3.7650685924714828</v>
      </c>
      <c r="P174" s="7">
        <f t="shared" si="73"/>
        <v>-31.166666666666664</v>
      </c>
      <c r="Q174" s="9">
        <f t="shared" si="74"/>
        <v>-4.7436878061877135</v>
      </c>
      <c r="R174" s="376">
        <f t="shared" si="75"/>
        <v>-30.72388662440358</v>
      </c>
    </row>
    <row r="175" spans="7:21">
      <c r="G175" s="7" t="str">
        <f>$A$14</f>
        <v>Negative</v>
      </c>
      <c r="H175" t="str">
        <f>$B$14</f>
        <v>Male</v>
      </c>
      <c r="I175" t="str">
        <f>$C$14</f>
        <v>Therapy 3</v>
      </c>
      <c r="J175" s="7">
        <f>$D$14</f>
        <v>17</v>
      </c>
      <c r="K175" s="508">
        <f t="shared" si="70"/>
        <v>3.4000000000000002E-2</v>
      </c>
      <c r="L175" s="9">
        <f t="shared" si="71"/>
        <v>2.8332133440562162</v>
      </c>
      <c r="M175" s="7">
        <f>M174</f>
        <v>43.166666666666664</v>
      </c>
      <c r="N175" s="508">
        <f t="shared" si="69"/>
        <v>8.6333333333333331E-2</v>
      </c>
      <c r="O175" s="9">
        <f t="shared" si="72"/>
        <v>3.7650685924714828</v>
      </c>
      <c r="P175" s="7">
        <f t="shared" si="73"/>
        <v>-26.166666666666664</v>
      </c>
      <c r="Q175" s="9">
        <f t="shared" si="74"/>
        <v>-3.9826683720399516</v>
      </c>
      <c r="R175" s="376">
        <f t="shared" si="75"/>
        <v>-31.683078446119069</v>
      </c>
    </row>
    <row r="176" spans="7:21">
      <c r="G176" s="7" t="str">
        <f>$A$15</f>
        <v>Negative</v>
      </c>
      <c r="H176" t="str">
        <f>$B$15</f>
        <v>Female</v>
      </c>
      <c r="I176" t="str">
        <f>$C$15</f>
        <v>Therapy 1</v>
      </c>
      <c r="J176" s="7">
        <f>$D$15</f>
        <v>16</v>
      </c>
      <c r="K176" s="508">
        <f t="shared" si="70"/>
        <v>3.2000000000000001E-2</v>
      </c>
      <c r="L176" s="9">
        <f t="shared" si="71"/>
        <v>2.7725887222397811</v>
      </c>
      <c r="M176" s="7">
        <f>M170</f>
        <v>40.166666666666664</v>
      </c>
      <c r="N176" s="508">
        <f t="shared" si="69"/>
        <v>8.0333333333333326E-2</v>
      </c>
      <c r="O176" s="9">
        <f t="shared" si="72"/>
        <v>3.6930374642625998</v>
      </c>
      <c r="P176" s="7">
        <f t="shared" si="73"/>
        <v>-24.166666666666664</v>
      </c>
      <c r="Q176" s="9">
        <f t="shared" si="74"/>
        <v>-3.8131497020270726</v>
      </c>
      <c r="R176" s="376">
        <f t="shared" si="75"/>
        <v>-29.454359744730198</v>
      </c>
    </row>
    <row r="177" spans="7:21">
      <c r="G177" s="7" t="str">
        <f>$A$16</f>
        <v>Negative</v>
      </c>
      <c r="H177" t="str">
        <f>$B$16</f>
        <v>Female</v>
      </c>
      <c r="I177" t="str">
        <f>$C$16</f>
        <v>Therapy 2</v>
      </c>
      <c r="J177" s="7">
        <f>$D$16</f>
        <v>33</v>
      </c>
      <c r="K177" s="508">
        <f t="shared" si="70"/>
        <v>6.6000000000000003E-2</v>
      </c>
      <c r="L177" s="9">
        <f t="shared" si="71"/>
        <v>3.4965075614664802</v>
      </c>
      <c r="M177" s="7">
        <f>M176</f>
        <v>40.166666666666664</v>
      </c>
      <c r="N177" s="508">
        <f t="shared" si="69"/>
        <v>8.0333333333333326E-2</v>
      </c>
      <c r="O177" s="9">
        <f t="shared" si="72"/>
        <v>3.6930374642625998</v>
      </c>
      <c r="P177" s="7">
        <f t="shared" si="73"/>
        <v>-7.1666666666666643</v>
      </c>
      <c r="Q177" s="9">
        <f t="shared" si="74"/>
        <v>-1.1307961185321662</v>
      </c>
      <c r="R177" s="376">
        <f t="shared" si="75"/>
        <v>-12.970973584543893</v>
      </c>
    </row>
    <row r="178" spans="7:21">
      <c r="G178" s="10" t="str">
        <f>$A$17</f>
        <v>Negative</v>
      </c>
      <c r="H178" s="11" t="str">
        <f>$B$17</f>
        <v>Female</v>
      </c>
      <c r="I178" s="11" t="str">
        <f>$C$17</f>
        <v>Therapy 3</v>
      </c>
      <c r="J178" s="10">
        <f>$D$17</f>
        <v>56</v>
      </c>
      <c r="K178" s="509">
        <f t="shared" si="70"/>
        <v>0.112</v>
      </c>
      <c r="L178" s="12">
        <f t="shared" si="71"/>
        <v>4.0253516907351496</v>
      </c>
      <c r="M178" s="10">
        <f>M177</f>
        <v>40.166666666666664</v>
      </c>
      <c r="N178" s="509">
        <f t="shared" si="69"/>
        <v>8.0333333333333326E-2</v>
      </c>
      <c r="O178" s="12">
        <f t="shared" si="72"/>
        <v>3.6930374642625998</v>
      </c>
      <c r="P178" s="533">
        <f t="shared" si="73"/>
        <v>15.833333333333336</v>
      </c>
      <c r="Q178" s="12">
        <f t="shared" si="74"/>
        <v>2.498270494431531</v>
      </c>
      <c r="R178" s="268">
        <f t="shared" si="75"/>
        <v>37.21919336492558</v>
      </c>
    </row>
    <row r="179" spans="7:21">
      <c r="R179">
        <f>SUM(R167:R178)</f>
        <v>232.91857705587103</v>
      </c>
    </row>
    <row r="181" spans="7:21">
      <c r="G181" s="1" t="s">
        <v>1312</v>
      </c>
    </row>
    <row r="183" spans="7:21">
      <c r="J183" s="1591" t="s">
        <v>703</v>
      </c>
      <c r="K183" s="1592"/>
      <c r="L183" s="1593"/>
      <c r="M183" s="1591" t="s">
        <v>1261</v>
      </c>
      <c r="N183" s="1592"/>
      <c r="O183" s="1593"/>
      <c r="P183" s="1588" t="s">
        <v>704</v>
      </c>
      <c r="Q183" s="1594"/>
    </row>
    <row r="184" spans="7:21">
      <c r="G184" s="516" t="str">
        <f>$A$5</f>
        <v>Cure</v>
      </c>
      <c r="H184" s="503" t="str">
        <f>$B$5</f>
        <v>Gender</v>
      </c>
      <c r="I184" s="503" t="str">
        <f>$C$5</f>
        <v>Therapy</v>
      </c>
      <c r="J184" s="505" t="s">
        <v>1259</v>
      </c>
      <c r="K184" s="506" t="s">
        <v>1258</v>
      </c>
      <c r="L184" s="507" t="s">
        <v>759</v>
      </c>
      <c r="M184" s="505" t="s">
        <v>1260</v>
      </c>
      <c r="N184" s="506" t="s">
        <v>1258</v>
      </c>
      <c r="O184" s="507" t="s">
        <v>1251</v>
      </c>
      <c r="P184" s="554" t="s">
        <v>644</v>
      </c>
      <c r="Q184" s="556" t="s">
        <v>1270</v>
      </c>
      <c r="R184" s="511" t="s">
        <v>346</v>
      </c>
      <c r="T184" s="175" t="s">
        <v>346</v>
      </c>
      <c r="U184" s="515">
        <f>R197</f>
        <v>159.74532611576285</v>
      </c>
    </row>
    <row r="185" spans="7:21">
      <c r="G185" s="7" t="str">
        <f>$A$6</f>
        <v>Positive</v>
      </c>
      <c r="H185" t="str">
        <f>$B$6</f>
        <v>Male</v>
      </c>
      <c r="I185" t="str">
        <f>$C$6</f>
        <v>Therapy 1</v>
      </c>
      <c r="J185" s="7">
        <f>$D$6</f>
        <v>59</v>
      </c>
      <c r="K185" s="508">
        <f>J185/$D$18</f>
        <v>0.11799999999999999</v>
      </c>
      <c r="L185" s="9">
        <f>LN(J185)</f>
        <v>4.0775374439057197</v>
      </c>
      <c r="M185" s="7">
        <f>D82/(A27*B27)</f>
        <v>29</v>
      </c>
      <c r="N185" s="508">
        <f t="shared" ref="N185:N196" si="76">M185/D$44</f>
        <v>5.8000000000000003E-2</v>
      </c>
      <c r="O185" s="9">
        <f>LN(M185)</f>
        <v>3.3672958299864741</v>
      </c>
      <c r="P185" s="553">
        <f>J185-M185</f>
        <v>30</v>
      </c>
      <c r="Q185" s="552">
        <f>P185/SQRT(M185)</f>
        <v>5.5708601453115563</v>
      </c>
      <c r="R185" s="376">
        <f>2*J185*(L185-O185)</f>
        <v>83.808510442470975</v>
      </c>
      <c r="T185" t="s">
        <v>186</v>
      </c>
      <c r="U185" s="376">
        <f>A27*B27*C27-C27</f>
        <v>9</v>
      </c>
    </row>
    <row r="186" spans="7:21">
      <c r="G186" s="7" t="str">
        <f>$A$7</f>
        <v>Positive</v>
      </c>
      <c r="H186" t="str">
        <f>$B$7</f>
        <v>Male</v>
      </c>
      <c r="I186" t="str">
        <f>$C$7</f>
        <v>Therapy 2</v>
      </c>
      <c r="J186" s="7">
        <f>$D$7</f>
        <v>55</v>
      </c>
      <c r="K186" s="508">
        <f t="shared" ref="K186:K196" si="77">J186/$D$18</f>
        <v>0.11</v>
      </c>
      <c r="L186" s="9">
        <f t="shared" ref="L186:L196" si="78">LN(J186)</f>
        <v>4.0073331852324712</v>
      </c>
      <c r="M186" s="7">
        <f>D83/(A27*B27)</f>
        <v>31</v>
      </c>
      <c r="N186" s="508">
        <f t="shared" si="76"/>
        <v>6.2E-2</v>
      </c>
      <c r="O186" s="9">
        <f t="shared" ref="O186:O196" si="79">LN(M186)</f>
        <v>3.4339872044851463</v>
      </c>
      <c r="P186" s="7">
        <f t="shared" ref="P186:P196" si="80">J186-M186</f>
        <v>24</v>
      </c>
      <c r="Q186" s="9">
        <f t="shared" ref="Q186:Q196" si="81">P186/SQRT(M186)</f>
        <v>4.3105272486425976</v>
      </c>
      <c r="R186" s="376">
        <f t="shared" ref="R186:R196" si="82">2*J186*(L186-O186)</f>
        <v>63.068057882205736</v>
      </c>
      <c r="T186" s="65" t="s">
        <v>157</v>
      </c>
      <c r="U186" s="376">
        <v>0.05</v>
      </c>
    </row>
    <row r="187" spans="7:21">
      <c r="G187" s="7" t="str">
        <f>$A$8</f>
        <v>Positive</v>
      </c>
      <c r="H187" t="str">
        <f>$B$8</f>
        <v>Male</v>
      </c>
      <c r="I187" t="str">
        <f>$C$8</f>
        <v>Therapy 3</v>
      </c>
      <c r="J187" s="7">
        <f>$D$8</f>
        <v>107</v>
      </c>
      <c r="K187" s="508">
        <f t="shared" si="77"/>
        <v>0.214</v>
      </c>
      <c r="L187" s="9">
        <f t="shared" si="78"/>
        <v>4.6728288344619058</v>
      </c>
      <c r="M187" s="7">
        <f>D84/(A27*B27)</f>
        <v>65</v>
      </c>
      <c r="N187" s="508">
        <f t="shared" si="76"/>
        <v>0.13</v>
      </c>
      <c r="O187" s="9">
        <f t="shared" si="79"/>
        <v>4.1743872698956368</v>
      </c>
      <c r="P187" s="7">
        <f t="shared" si="80"/>
        <v>42</v>
      </c>
      <c r="Q187" s="9">
        <f t="shared" si="81"/>
        <v>5.2094588527467556</v>
      </c>
      <c r="R187" s="376">
        <f t="shared" si="82"/>
        <v>106.66649481718156</v>
      </c>
      <c r="T187" s="493" t="s">
        <v>200</v>
      </c>
      <c r="U187" s="376">
        <f>CHIDIST(U184,U185)</f>
        <v>8.3887848704672969E-30</v>
      </c>
    </row>
    <row r="188" spans="7:21">
      <c r="G188" s="7" t="str">
        <f>$A$9</f>
        <v>Positive</v>
      </c>
      <c r="H188" t="str">
        <f>$B$9</f>
        <v>Female</v>
      </c>
      <c r="I188" t="str">
        <f>$C$9</f>
        <v>Therapy 1</v>
      </c>
      <c r="J188" s="7">
        <f>$D$9</f>
        <v>32</v>
      </c>
      <c r="K188" s="508">
        <f t="shared" si="77"/>
        <v>6.4000000000000001E-2</v>
      </c>
      <c r="L188" s="9">
        <f t="shared" si="78"/>
        <v>3.4657359027997265</v>
      </c>
      <c r="M188" s="7">
        <f>M185</f>
        <v>29</v>
      </c>
      <c r="N188" s="508">
        <f t="shared" si="76"/>
        <v>5.8000000000000003E-2</v>
      </c>
      <c r="O188" s="9">
        <f t="shared" si="79"/>
        <v>3.3672958299864741</v>
      </c>
      <c r="P188" s="7">
        <f t="shared" si="80"/>
        <v>3</v>
      </c>
      <c r="Q188" s="9">
        <f t="shared" si="81"/>
        <v>0.55708601453115558</v>
      </c>
      <c r="R188" s="376">
        <f t="shared" si="82"/>
        <v>6.3001646600481536</v>
      </c>
      <c r="T188" s="175" t="s">
        <v>347</v>
      </c>
      <c r="U188" s="376">
        <f>CHIINV(U186,U185)</f>
        <v>16.918977604620451</v>
      </c>
    </row>
    <row r="189" spans="7:21">
      <c r="G189" s="7" t="str">
        <f>$A$10</f>
        <v>Positive</v>
      </c>
      <c r="H189" t="str">
        <f>$B$10</f>
        <v>Female</v>
      </c>
      <c r="I189" t="str">
        <f>$C$10</f>
        <v>Therapy 2</v>
      </c>
      <c r="J189" s="7">
        <f>$D$10</f>
        <v>24</v>
      </c>
      <c r="K189" s="508">
        <f t="shared" si="77"/>
        <v>4.8000000000000001E-2</v>
      </c>
      <c r="L189" s="9">
        <f t="shared" si="78"/>
        <v>3.1780538303479458</v>
      </c>
      <c r="M189" s="7">
        <f>M186</f>
        <v>31</v>
      </c>
      <c r="N189" s="508">
        <f t="shared" si="76"/>
        <v>6.2E-2</v>
      </c>
      <c r="O189" s="9">
        <f t="shared" si="79"/>
        <v>3.4339872044851463</v>
      </c>
      <c r="P189" s="7">
        <f t="shared" si="80"/>
        <v>-7</v>
      </c>
      <c r="Q189" s="9">
        <f t="shared" si="81"/>
        <v>-1.2572371141874243</v>
      </c>
      <c r="R189" s="376">
        <f t="shared" si="82"/>
        <v>-12.284801958585625</v>
      </c>
      <c r="T189" s="493" t="s">
        <v>948</v>
      </c>
      <c r="U189" s="266" t="str">
        <f>IF(U187&lt;U186,"yes","no")</f>
        <v>yes</v>
      </c>
    </row>
    <row r="190" spans="7:21">
      <c r="G190" s="7" t="str">
        <f>$A$11</f>
        <v>Positive</v>
      </c>
      <c r="H190" t="str">
        <f>$B$11</f>
        <v>Female</v>
      </c>
      <c r="I190" t="str">
        <f>$C$11</f>
        <v>Therapy 3</v>
      </c>
      <c r="J190" s="7">
        <f>$D$11</f>
        <v>80</v>
      </c>
      <c r="K190" s="508">
        <f t="shared" si="77"/>
        <v>0.16</v>
      </c>
      <c r="L190" s="9">
        <f t="shared" si="78"/>
        <v>4.3820266346738812</v>
      </c>
      <c r="M190" s="7">
        <f>M187</f>
        <v>65</v>
      </c>
      <c r="N190" s="508">
        <f t="shared" si="76"/>
        <v>0.13</v>
      </c>
      <c r="O190" s="9">
        <f t="shared" si="79"/>
        <v>4.1743872698956368</v>
      </c>
      <c r="P190" s="7">
        <f t="shared" si="80"/>
        <v>15</v>
      </c>
      <c r="Q190" s="9">
        <f t="shared" si="81"/>
        <v>1.8605210188381269</v>
      </c>
      <c r="R190" s="376">
        <f t="shared" si="82"/>
        <v>33.222298364519105</v>
      </c>
    </row>
    <row r="191" spans="7:21">
      <c r="G191" s="7" t="str">
        <f>$A$12</f>
        <v>Negative</v>
      </c>
      <c r="H191" t="str">
        <f>$B$12</f>
        <v>Male</v>
      </c>
      <c r="I191" t="str">
        <f>$C$12</f>
        <v>Therapy 1</v>
      </c>
      <c r="J191" s="7">
        <f>$D$12</f>
        <v>9</v>
      </c>
      <c r="K191" s="508">
        <f t="shared" si="77"/>
        <v>1.7999999999999999E-2</v>
      </c>
      <c r="L191" s="9">
        <f t="shared" si="78"/>
        <v>2.1972245773362196</v>
      </c>
      <c r="M191" s="7">
        <f>M185</f>
        <v>29</v>
      </c>
      <c r="N191" s="508">
        <f t="shared" si="76"/>
        <v>5.8000000000000003E-2</v>
      </c>
      <c r="O191" s="9">
        <f t="shared" si="79"/>
        <v>3.3672958299864741</v>
      </c>
      <c r="P191" s="7">
        <f t="shared" si="80"/>
        <v>-20</v>
      </c>
      <c r="Q191" s="9">
        <f t="shared" si="81"/>
        <v>-3.7139067635410377</v>
      </c>
      <c r="R191" s="376">
        <f t="shared" si="82"/>
        <v>-21.061282547704582</v>
      </c>
    </row>
    <row r="192" spans="7:21">
      <c r="G192" s="7" t="str">
        <f>$A$13</f>
        <v>Negative</v>
      </c>
      <c r="H192" t="str">
        <f>$B$13</f>
        <v>Male</v>
      </c>
      <c r="I192" t="str">
        <f>$C$13</f>
        <v>Therapy 2</v>
      </c>
      <c r="J192" s="7">
        <f>$D$13</f>
        <v>12</v>
      </c>
      <c r="K192" s="508">
        <f t="shared" si="77"/>
        <v>2.4E-2</v>
      </c>
      <c r="L192" s="9">
        <f t="shared" si="78"/>
        <v>2.4849066497880004</v>
      </c>
      <c r="M192" s="7">
        <f>M186</f>
        <v>31</v>
      </c>
      <c r="N192" s="508">
        <f t="shared" si="76"/>
        <v>6.2E-2</v>
      </c>
      <c r="O192" s="9">
        <f t="shared" si="79"/>
        <v>3.4339872044851463</v>
      </c>
      <c r="P192" s="7">
        <f t="shared" si="80"/>
        <v>-19</v>
      </c>
      <c r="Q192" s="9">
        <f t="shared" si="81"/>
        <v>-3.4125007385087232</v>
      </c>
      <c r="R192" s="376">
        <f t="shared" si="82"/>
        <v>-22.777933312731502</v>
      </c>
    </row>
    <row r="193" spans="7:21">
      <c r="G193" s="7" t="str">
        <f>$A$14</f>
        <v>Negative</v>
      </c>
      <c r="H193" t="str">
        <f>$B$14</f>
        <v>Male</v>
      </c>
      <c r="I193" t="str">
        <f>$C$14</f>
        <v>Therapy 3</v>
      </c>
      <c r="J193" s="7">
        <f>$D$14</f>
        <v>17</v>
      </c>
      <c r="K193" s="508">
        <f t="shared" si="77"/>
        <v>3.4000000000000002E-2</v>
      </c>
      <c r="L193" s="9">
        <f t="shared" si="78"/>
        <v>2.8332133440562162</v>
      </c>
      <c r="M193" s="7">
        <f>M187</f>
        <v>65</v>
      </c>
      <c r="N193" s="508">
        <f t="shared" si="76"/>
        <v>0.13</v>
      </c>
      <c r="O193" s="9">
        <f t="shared" si="79"/>
        <v>4.1743872698956368</v>
      </c>
      <c r="P193" s="7">
        <f t="shared" si="80"/>
        <v>-48</v>
      </c>
      <c r="Q193" s="9">
        <f t="shared" si="81"/>
        <v>-5.953667260282006</v>
      </c>
      <c r="R193" s="376">
        <f t="shared" si="82"/>
        <v>-45.599913478540302</v>
      </c>
    </row>
    <row r="194" spans="7:21">
      <c r="G194" s="7" t="str">
        <f>$A$15</f>
        <v>Negative</v>
      </c>
      <c r="H194" t="str">
        <f>$B$15</f>
        <v>Female</v>
      </c>
      <c r="I194" t="str">
        <f>$C$15</f>
        <v>Therapy 1</v>
      </c>
      <c r="J194" s="7">
        <f>$D$15</f>
        <v>16</v>
      </c>
      <c r="K194" s="508">
        <f t="shared" si="77"/>
        <v>3.2000000000000001E-2</v>
      </c>
      <c r="L194" s="9">
        <f t="shared" si="78"/>
        <v>2.7725887222397811</v>
      </c>
      <c r="M194" s="7">
        <f>M185</f>
        <v>29</v>
      </c>
      <c r="N194" s="508">
        <f t="shared" si="76"/>
        <v>5.8000000000000003E-2</v>
      </c>
      <c r="O194" s="9">
        <f t="shared" si="79"/>
        <v>3.3672958299864741</v>
      </c>
      <c r="P194" s="7">
        <f t="shared" si="80"/>
        <v>-13</v>
      </c>
      <c r="Q194" s="9">
        <f t="shared" si="81"/>
        <v>-2.4140393963016744</v>
      </c>
      <c r="R194" s="376">
        <f t="shared" si="82"/>
        <v>-19.030627447894176</v>
      </c>
    </row>
    <row r="195" spans="7:21">
      <c r="G195" s="7" t="str">
        <f>$A$16</f>
        <v>Negative</v>
      </c>
      <c r="H195" t="str">
        <f>$B$16</f>
        <v>Female</v>
      </c>
      <c r="I195" t="str">
        <f>$C$16</f>
        <v>Therapy 2</v>
      </c>
      <c r="J195" s="7">
        <f>$D$16</f>
        <v>33</v>
      </c>
      <c r="K195" s="508">
        <f t="shared" si="77"/>
        <v>6.6000000000000003E-2</v>
      </c>
      <c r="L195" s="9">
        <f t="shared" si="78"/>
        <v>3.4965075614664802</v>
      </c>
      <c r="M195" s="7">
        <f>M186</f>
        <v>31</v>
      </c>
      <c r="N195" s="508">
        <f t="shared" si="76"/>
        <v>6.2E-2</v>
      </c>
      <c r="O195" s="9">
        <f t="shared" si="79"/>
        <v>3.4339872044851463</v>
      </c>
      <c r="P195" s="7">
        <f t="shared" si="80"/>
        <v>2</v>
      </c>
      <c r="Q195" s="9">
        <f t="shared" si="81"/>
        <v>0.35921060405354982</v>
      </c>
      <c r="R195" s="376">
        <f t="shared" si="82"/>
        <v>4.1263435607680412</v>
      </c>
    </row>
    <row r="196" spans="7:21">
      <c r="G196" s="10" t="str">
        <f>$A$17</f>
        <v>Negative</v>
      </c>
      <c r="H196" s="11" t="str">
        <f>$B$17</f>
        <v>Female</v>
      </c>
      <c r="I196" s="11" t="str">
        <f>$C$17</f>
        <v>Therapy 3</v>
      </c>
      <c r="J196" s="10">
        <f>$D$17</f>
        <v>56</v>
      </c>
      <c r="K196" s="509">
        <f t="shared" si="77"/>
        <v>0.112</v>
      </c>
      <c r="L196" s="12">
        <f t="shared" si="78"/>
        <v>4.0253516907351496</v>
      </c>
      <c r="M196" s="10">
        <f>M187</f>
        <v>65</v>
      </c>
      <c r="N196" s="509">
        <f t="shared" si="76"/>
        <v>0.13</v>
      </c>
      <c r="O196" s="12">
        <f t="shared" si="79"/>
        <v>4.1743872698956368</v>
      </c>
      <c r="P196" s="533">
        <f t="shared" si="80"/>
        <v>-9</v>
      </c>
      <c r="Q196" s="12">
        <f t="shared" si="81"/>
        <v>-1.1163126113028761</v>
      </c>
      <c r="R196" s="268">
        <f t="shared" si="82"/>
        <v>-16.691984865974561</v>
      </c>
    </row>
    <row r="197" spans="7:21">
      <c r="R197">
        <f>SUM(R185:R196)</f>
        <v>159.74532611576285</v>
      </c>
    </row>
    <row r="199" spans="7:21">
      <c r="G199" s="1" t="s">
        <v>1313</v>
      </c>
    </row>
    <row r="201" spans="7:21">
      <c r="J201" s="1591" t="s">
        <v>703</v>
      </c>
      <c r="K201" s="1592"/>
      <c r="L201" s="1593"/>
      <c r="M201" s="1591" t="s">
        <v>1261</v>
      </c>
      <c r="N201" s="1592"/>
      <c r="O201" s="1593"/>
      <c r="P201" s="1588" t="s">
        <v>704</v>
      </c>
      <c r="Q201" s="1594"/>
    </row>
    <row r="202" spans="7:21">
      <c r="G202" s="516" t="str">
        <f>$A$5</f>
        <v>Cure</v>
      </c>
      <c r="H202" s="503" t="str">
        <f>$B$5</f>
        <v>Gender</v>
      </c>
      <c r="I202" s="503" t="str">
        <f>$C$5</f>
        <v>Therapy</v>
      </c>
      <c r="J202" s="505" t="s">
        <v>1259</v>
      </c>
      <c r="K202" s="506" t="s">
        <v>1258</v>
      </c>
      <c r="L202" s="507" t="s">
        <v>759</v>
      </c>
      <c r="M202" s="505" t="s">
        <v>1260</v>
      </c>
      <c r="N202" s="506" t="s">
        <v>1258</v>
      </c>
      <c r="O202" s="507" t="s">
        <v>1251</v>
      </c>
      <c r="P202" s="554" t="s">
        <v>644</v>
      </c>
      <c r="Q202" s="556" t="s">
        <v>1270</v>
      </c>
      <c r="R202" s="511" t="s">
        <v>346</v>
      </c>
      <c r="T202" s="175" t="s">
        <v>346</v>
      </c>
      <c r="U202" s="515">
        <f>R215</f>
        <v>85.862189735443735</v>
      </c>
    </row>
    <row r="203" spans="7:21">
      <c r="G203" s="7" t="str">
        <f>$A$6</f>
        <v>Positive</v>
      </c>
      <c r="H203" t="str">
        <f>$B$6</f>
        <v>Male</v>
      </c>
      <c r="I203" t="str">
        <f>$C$6</f>
        <v>Therapy 1</v>
      </c>
      <c r="J203" s="7">
        <f>$D$6</f>
        <v>59</v>
      </c>
      <c r="K203" s="508">
        <f>J203/$D$18</f>
        <v>0.11799999999999999</v>
      </c>
      <c r="L203" s="9">
        <f>LN(J203)</f>
        <v>4.0775374439057197</v>
      </c>
      <c r="M203" s="7">
        <f>D47/$C$27</f>
        <v>73.666666666666671</v>
      </c>
      <c r="N203" s="508">
        <f t="shared" ref="N203:N214" si="83">M203/D$44</f>
        <v>0.14733333333333334</v>
      </c>
      <c r="O203" s="9">
        <f>LN(M203)</f>
        <v>4.2995504128496433</v>
      </c>
      <c r="P203" s="553">
        <f>J203-M203</f>
        <v>-14.666666666666671</v>
      </c>
      <c r="Q203" s="552">
        <f>P203/SQRT(M203)</f>
        <v>-1.7088184022373585</v>
      </c>
      <c r="R203" s="376">
        <f>2*J203*(L203-O203)</f>
        <v>-26.197530335382989</v>
      </c>
      <c r="T203" t="s">
        <v>186</v>
      </c>
      <c r="U203" s="376">
        <f>(C27-1)*A27*B27</f>
        <v>8</v>
      </c>
    </row>
    <row r="204" spans="7:21">
      <c r="G204" s="7" t="str">
        <f>$A$7</f>
        <v>Positive</v>
      </c>
      <c r="H204" t="str">
        <f>$B$7</f>
        <v>Male</v>
      </c>
      <c r="I204" t="str">
        <f>$C$7</f>
        <v>Therapy 2</v>
      </c>
      <c r="J204" s="7">
        <f>$D$7</f>
        <v>55</v>
      </c>
      <c r="K204" s="508">
        <f t="shared" ref="K204:K214" si="84">J204/$D$18</f>
        <v>0.11</v>
      </c>
      <c r="L204" s="9">
        <f t="shared" ref="L204:L214" si="85">LN(J204)</f>
        <v>4.0073331852324712</v>
      </c>
      <c r="M204" s="7">
        <f>M203</f>
        <v>73.666666666666671</v>
      </c>
      <c r="N204" s="508">
        <f t="shared" si="83"/>
        <v>0.14733333333333334</v>
      </c>
      <c r="O204" s="9">
        <f t="shared" ref="O204:O214" si="86">LN(M204)</f>
        <v>4.2995504128496433</v>
      </c>
      <c r="P204" s="7">
        <f t="shared" ref="P204:P214" si="87">J204-M204</f>
        <v>-18.666666666666671</v>
      </c>
      <c r="Q204" s="9">
        <f t="shared" ref="Q204:Q214" si="88">P204/SQRT(M204)</f>
        <v>-2.1748597846657289</v>
      </c>
      <c r="R204" s="376">
        <f t="shared" ref="R204:R214" si="89">2*J204*(L204-O204)</f>
        <v>-32.143895037888939</v>
      </c>
      <c r="T204" s="65" t="s">
        <v>157</v>
      </c>
      <c r="U204" s="376">
        <v>0.05</v>
      </c>
    </row>
    <row r="205" spans="7:21">
      <c r="G205" s="7" t="str">
        <f>$A$8</f>
        <v>Positive</v>
      </c>
      <c r="H205" t="str">
        <f>$B$8</f>
        <v>Male</v>
      </c>
      <c r="I205" t="str">
        <f>$C$8</f>
        <v>Therapy 3</v>
      </c>
      <c r="J205" s="7">
        <f>$D$8</f>
        <v>107</v>
      </c>
      <c r="K205" s="508">
        <f t="shared" si="84"/>
        <v>0.214</v>
      </c>
      <c r="L205" s="9">
        <f t="shared" si="85"/>
        <v>4.6728288344619058</v>
      </c>
      <c r="M205" s="7">
        <f>M204</f>
        <v>73.666666666666671</v>
      </c>
      <c r="N205" s="508">
        <f t="shared" si="83"/>
        <v>0.14733333333333334</v>
      </c>
      <c r="O205" s="9">
        <f t="shared" si="86"/>
        <v>4.2995504128496433</v>
      </c>
      <c r="P205" s="7">
        <f t="shared" si="87"/>
        <v>33.333333333333329</v>
      </c>
      <c r="Q205" s="9">
        <f t="shared" si="88"/>
        <v>3.8836781869030861</v>
      </c>
      <c r="R205" s="376">
        <f t="shared" si="89"/>
        <v>79.881582225024161</v>
      </c>
      <c r="T205" s="493" t="s">
        <v>200</v>
      </c>
      <c r="U205" s="376">
        <f>CHIDIST(U202,U203)</f>
        <v>3.2070964562435109E-15</v>
      </c>
    </row>
    <row r="206" spans="7:21">
      <c r="G206" s="7" t="str">
        <f>$A$9</f>
        <v>Positive</v>
      </c>
      <c r="H206" t="str">
        <f>$B$9</f>
        <v>Female</v>
      </c>
      <c r="I206" t="str">
        <f>$C$9</f>
        <v>Therapy 1</v>
      </c>
      <c r="J206" s="7">
        <f>$D$9</f>
        <v>32</v>
      </c>
      <c r="K206" s="508">
        <f t="shared" si="84"/>
        <v>6.4000000000000001E-2</v>
      </c>
      <c r="L206" s="9">
        <f t="shared" si="85"/>
        <v>3.4657359027997265</v>
      </c>
      <c r="M206" s="7">
        <f>D48/$C$27</f>
        <v>45.333333333333336</v>
      </c>
      <c r="N206" s="508">
        <f t="shared" si="83"/>
        <v>9.0666666666666673E-2</v>
      </c>
      <c r="O206" s="9">
        <f t="shared" si="86"/>
        <v>3.8140425970679424</v>
      </c>
      <c r="P206" s="7">
        <f t="shared" si="87"/>
        <v>-13.333333333333336</v>
      </c>
      <c r="Q206" s="9">
        <f t="shared" si="88"/>
        <v>-1.9802950859533488</v>
      </c>
      <c r="R206" s="376">
        <f t="shared" si="89"/>
        <v>-22.291628433165812</v>
      </c>
      <c r="T206" s="175" t="s">
        <v>347</v>
      </c>
      <c r="U206" s="376">
        <f>CHIINV(U204,U203)</f>
        <v>15.507313055865453</v>
      </c>
    </row>
    <row r="207" spans="7:21">
      <c r="G207" s="7" t="str">
        <f>$A$10</f>
        <v>Positive</v>
      </c>
      <c r="H207" t="str">
        <f>$B$10</f>
        <v>Female</v>
      </c>
      <c r="I207" t="str">
        <f>$C$10</f>
        <v>Therapy 2</v>
      </c>
      <c r="J207" s="7">
        <f>$D$10</f>
        <v>24</v>
      </c>
      <c r="K207" s="508">
        <f t="shared" si="84"/>
        <v>4.8000000000000001E-2</v>
      </c>
      <c r="L207" s="9">
        <f t="shared" si="85"/>
        <v>3.1780538303479458</v>
      </c>
      <c r="M207" s="7">
        <f>M206</f>
        <v>45.333333333333336</v>
      </c>
      <c r="N207" s="508">
        <f t="shared" si="83"/>
        <v>9.0666666666666673E-2</v>
      </c>
      <c r="O207" s="9">
        <f t="shared" si="86"/>
        <v>3.8140425970679424</v>
      </c>
      <c r="P207" s="7">
        <f t="shared" si="87"/>
        <v>-21.333333333333336</v>
      </c>
      <c r="Q207" s="9">
        <f t="shared" si="88"/>
        <v>-3.1684721375253577</v>
      </c>
      <c r="R207" s="376">
        <f t="shared" si="89"/>
        <v>-30.527460802559837</v>
      </c>
      <c r="T207" s="493" t="s">
        <v>948</v>
      </c>
      <c r="U207" s="266" t="str">
        <f>IF(U205&lt;U204,"yes","no")</f>
        <v>yes</v>
      </c>
    </row>
    <row r="208" spans="7:21">
      <c r="G208" s="7" t="str">
        <f>$A$11</f>
        <v>Positive</v>
      </c>
      <c r="H208" t="str">
        <f>$B$11</f>
        <v>Female</v>
      </c>
      <c r="I208" t="str">
        <f>$C$11</f>
        <v>Therapy 3</v>
      </c>
      <c r="J208" s="7">
        <f>$D$11</f>
        <v>80</v>
      </c>
      <c r="K208" s="508">
        <f t="shared" si="84"/>
        <v>0.16</v>
      </c>
      <c r="L208" s="9">
        <f t="shared" si="85"/>
        <v>4.3820266346738812</v>
      </c>
      <c r="M208" s="7">
        <f>M207</f>
        <v>45.333333333333336</v>
      </c>
      <c r="N208" s="508">
        <f t="shared" si="83"/>
        <v>9.0666666666666673E-2</v>
      </c>
      <c r="O208" s="9">
        <f t="shared" si="86"/>
        <v>3.8140425970679424</v>
      </c>
      <c r="P208" s="7">
        <f t="shared" si="87"/>
        <v>34.666666666666664</v>
      </c>
      <c r="Q208" s="9">
        <f t="shared" si="88"/>
        <v>5.1487672234787061</v>
      </c>
      <c r="R208" s="376">
        <f t="shared" si="89"/>
        <v>90.877446016950216</v>
      </c>
    </row>
    <row r="209" spans="7:21">
      <c r="G209" s="7" t="str">
        <f>$A$12</f>
        <v>Negative</v>
      </c>
      <c r="H209" t="str">
        <f>$B$12</f>
        <v>Male</v>
      </c>
      <c r="I209" t="str">
        <f>$C$12</f>
        <v>Therapy 1</v>
      </c>
      <c r="J209" s="7">
        <f>$D$12</f>
        <v>9</v>
      </c>
      <c r="K209" s="508">
        <f t="shared" si="84"/>
        <v>1.7999999999999999E-2</v>
      </c>
      <c r="L209" s="9">
        <f t="shared" si="85"/>
        <v>2.1972245773362196</v>
      </c>
      <c r="M209" s="7">
        <f>D49/$C$27</f>
        <v>12.666666666666666</v>
      </c>
      <c r="N209" s="508">
        <f t="shared" si="83"/>
        <v>2.5333333333333333E-2</v>
      </c>
      <c r="O209" s="9">
        <f t="shared" si="86"/>
        <v>2.5389738710582761</v>
      </c>
      <c r="P209" s="7">
        <f t="shared" si="87"/>
        <v>-3.6666666666666661</v>
      </c>
      <c r="Q209" s="9">
        <f t="shared" si="88"/>
        <v>-1.0302443927398632</v>
      </c>
      <c r="R209" s="376">
        <f t="shared" si="89"/>
        <v>-6.1514872869970176</v>
      </c>
    </row>
    <row r="210" spans="7:21">
      <c r="G210" s="7" t="str">
        <f>$A$13</f>
        <v>Negative</v>
      </c>
      <c r="H210" t="str">
        <f>$B$13</f>
        <v>Male</v>
      </c>
      <c r="I210" t="str">
        <f>$C$13</f>
        <v>Therapy 2</v>
      </c>
      <c r="J210" s="7">
        <f>$D$13</f>
        <v>12</v>
      </c>
      <c r="K210" s="508">
        <f t="shared" si="84"/>
        <v>2.4E-2</v>
      </c>
      <c r="L210" s="9">
        <f t="shared" si="85"/>
        <v>2.4849066497880004</v>
      </c>
      <c r="M210" s="7">
        <f>M209</f>
        <v>12.666666666666666</v>
      </c>
      <c r="N210" s="508">
        <f t="shared" si="83"/>
        <v>2.5333333333333333E-2</v>
      </c>
      <c r="O210" s="9">
        <f t="shared" si="86"/>
        <v>2.5389738710582761</v>
      </c>
      <c r="P210" s="7">
        <f t="shared" si="87"/>
        <v>-0.66666666666666607</v>
      </c>
      <c r="Q210" s="9">
        <f t="shared" si="88"/>
        <v>-0.18731716231633863</v>
      </c>
      <c r="R210" s="376">
        <f t="shared" si="89"/>
        <v>-1.2976133104866179</v>
      </c>
    </row>
    <row r="211" spans="7:21">
      <c r="G211" s="7" t="str">
        <f>$A$14</f>
        <v>Negative</v>
      </c>
      <c r="H211" t="str">
        <f>$B$14</f>
        <v>Male</v>
      </c>
      <c r="I211" t="str">
        <f>$C$14</f>
        <v>Therapy 3</v>
      </c>
      <c r="J211" s="7">
        <f>$D$14</f>
        <v>17</v>
      </c>
      <c r="K211" s="508">
        <f t="shared" si="84"/>
        <v>3.4000000000000002E-2</v>
      </c>
      <c r="L211" s="9">
        <f t="shared" si="85"/>
        <v>2.8332133440562162</v>
      </c>
      <c r="M211" s="7">
        <f>M210</f>
        <v>12.666666666666666</v>
      </c>
      <c r="N211" s="508">
        <f t="shared" si="83"/>
        <v>2.5333333333333333E-2</v>
      </c>
      <c r="O211" s="9">
        <f t="shared" si="86"/>
        <v>2.5389738710582761</v>
      </c>
      <c r="P211" s="7">
        <f t="shared" si="87"/>
        <v>4.3333333333333339</v>
      </c>
      <c r="Q211" s="9">
        <f t="shared" si="88"/>
        <v>1.2175615550562022</v>
      </c>
      <c r="R211" s="376">
        <f t="shared" si="89"/>
        <v>10.004142081929963</v>
      </c>
    </row>
    <row r="212" spans="7:21">
      <c r="G212" s="7" t="str">
        <f>$A$15</f>
        <v>Negative</v>
      </c>
      <c r="H212" t="str">
        <f>$B$15</f>
        <v>Female</v>
      </c>
      <c r="I212" t="str">
        <f>$C$15</f>
        <v>Therapy 1</v>
      </c>
      <c r="J212" s="7">
        <f>$D$15</f>
        <v>16</v>
      </c>
      <c r="K212" s="508">
        <f t="shared" si="84"/>
        <v>3.2000000000000001E-2</v>
      </c>
      <c r="L212" s="9">
        <f t="shared" si="85"/>
        <v>2.7725887222397811</v>
      </c>
      <c r="M212" s="7">
        <f>D50/$C$27</f>
        <v>35</v>
      </c>
      <c r="N212" s="508">
        <f t="shared" si="83"/>
        <v>7.0000000000000007E-2</v>
      </c>
      <c r="O212" s="9">
        <f t="shared" si="86"/>
        <v>3.5553480614894135</v>
      </c>
      <c r="P212" s="7">
        <f t="shared" si="87"/>
        <v>-19</v>
      </c>
      <c r="Q212" s="9">
        <f t="shared" si="88"/>
        <v>-3.2115861679683628</v>
      </c>
      <c r="R212" s="376">
        <f t="shared" si="89"/>
        <v>-25.048298855988236</v>
      </c>
    </row>
    <row r="213" spans="7:21">
      <c r="G213" s="7" t="str">
        <f>$A$16</f>
        <v>Negative</v>
      </c>
      <c r="H213" t="str">
        <f>$B$16</f>
        <v>Female</v>
      </c>
      <c r="I213" t="str">
        <f>$C$16</f>
        <v>Therapy 2</v>
      </c>
      <c r="J213" s="7">
        <f>$D$16</f>
        <v>33</v>
      </c>
      <c r="K213" s="508">
        <f t="shared" si="84"/>
        <v>6.6000000000000003E-2</v>
      </c>
      <c r="L213" s="9">
        <f t="shared" si="85"/>
        <v>3.4965075614664802</v>
      </c>
      <c r="M213" s="7">
        <f>M212</f>
        <v>35</v>
      </c>
      <c r="N213" s="508">
        <f t="shared" si="83"/>
        <v>7.0000000000000007E-2</v>
      </c>
      <c r="O213" s="9">
        <f t="shared" si="86"/>
        <v>3.5553480614894135</v>
      </c>
      <c r="P213" s="7">
        <f t="shared" si="87"/>
        <v>-2</v>
      </c>
      <c r="Q213" s="9">
        <f t="shared" si="88"/>
        <v>-0.33806170189140661</v>
      </c>
      <c r="R213" s="376">
        <f t="shared" si="89"/>
        <v>-3.8834730015135968</v>
      </c>
    </row>
    <row r="214" spans="7:21">
      <c r="G214" s="10" t="str">
        <f>$A$17</f>
        <v>Negative</v>
      </c>
      <c r="H214" s="11" t="str">
        <f>$B$17</f>
        <v>Female</v>
      </c>
      <c r="I214" s="11" t="str">
        <f>$C$17</f>
        <v>Therapy 3</v>
      </c>
      <c r="J214" s="10">
        <f>$D$17</f>
        <v>56</v>
      </c>
      <c r="K214" s="509">
        <f t="shared" si="84"/>
        <v>0.112</v>
      </c>
      <c r="L214" s="12">
        <f t="shared" si="85"/>
        <v>4.0253516907351496</v>
      </c>
      <c r="M214" s="10">
        <f>M213</f>
        <v>35</v>
      </c>
      <c r="N214" s="509">
        <f t="shared" si="83"/>
        <v>7.0000000000000007E-2</v>
      </c>
      <c r="O214" s="12">
        <f t="shared" si="86"/>
        <v>3.5553480614894135</v>
      </c>
      <c r="P214" s="533">
        <f t="shared" si="87"/>
        <v>21</v>
      </c>
      <c r="Q214" s="12">
        <f t="shared" si="88"/>
        <v>3.5496478698597698</v>
      </c>
      <c r="R214" s="268">
        <f t="shared" si="89"/>
        <v>52.640406475522447</v>
      </c>
    </row>
    <row r="215" spans="7:21">
      <c r="R215">
        <f>SUM(R203:R214)</f>
        <v>85.862189735443735</v>
      </c>
    </row>
    <row r="217" spans="7:21">
      <c r="G217" s="1" t="s">
        <v>1314</v>
      </c>
    </row>
    <row r="219" spans="7:21">
      <c r="J219" s="1591" t="s">
        <v>703</v>
      </c>
      <c r="K219" s="1592"/>
      <c r="L219" s="1593"/>
      <c r="M219" s="1591" t="s">
        <v>1261</v>
      </c>
      <c r="N219" s="1592"/>
      <c r="O219" s="1593"/>
      <c r="P219" s="1588" t="s">
        <v>704</v>
      </c>
      <c r="Q219" s="1594"/>
    </row>
    <row r="220" spans="7:21">
      <c r="G220" s="516" t="str">
        <f>$A$5</f>
        <v>Cure</v>
      </c>
      <c r="H220" s="503" t="str">
        <f>$B$5</f>
        <v>Gender</v>
      </c>
      <c r="I220" s="503" t="str">
        <f>$C$5</f>
        <v>Therapy</v>
      </c>
      <c r="J220" s="505" t="s">
        <v>1259</v>
      </c>
      <c r="K220" s="506" t="s">
        <v>1258</v>
      </c>
      <c r="L220" s="507" t="s">
        <v>759</v>
      </c>
      <c r="M220" s="505" t="s">
        <v>1260</v>
      </c>
      <c r="N220" s="506" t="s">
        <v>1258</v>
      </c>
      <c r="O220" s="507" t="s">
        <v>1251</v>
      </c>
      <c r="P220" s="554" t="s">
        <v>644</v>
      </c>
      <c r="Q220" s="556" t="s">
        <v>1270</v>
      </c>
      <c r="R220" s="511" t="s">
        <v>346</v>
      </c>
      <c r="T220" s="175" t="s">
        <v>346</v>
      </c>
      <c r="U220" s="515">
        <f>R233</f>
        <v>154.9183886177259</v>
      </c>
    </row>
    <row r="221" spans="7:21">
      <c r="G221" s="7" t="str">
        <f>$A$6</f>
        <v>Positive</v>
      </c>
      <c r="H221" t="str">
        <f>$B$6</f>
        <v>Male</v>
      </c>
      <c r="I221" t="str">
        <f>$C$6</f>
        <v>Therapy 1</v>
      </c>
      <c r="J221" s="7">
        <f>$D$6</f>
        <v>59</v>
      </c>
      <c r="K221" s="508">
        <f>J221/$D$18</f>
        <v>0.11799999999999999</v>
      </c>
      <c r="L221" s="9">
        <f>LN(J221)</f>
        <v>4.0775374439057197</v>
      </c>
      <c r="M221" s="7">
        <f t="shared" ref="M221:M226" si="90">D63/$A$27</f>
        <v>34</v>
      </c>
      <c r="N221" s="508">
        <f t="shared" ref="N221:N232" si="91">M221/D$44</f>
        <v>6.8000000000000005E-2</v>
      </c>
      <c r="O221" s="9">
        <f>LN(M221)</f>
        <v>3.5263605246161616</v>
      </c>
      <c r="P221" s="553">
        <f>J221-M221</f>
        <v>25</v>
      </c>
      <c r="Q221" s="552">
        <f>P221/SQRT(M221)</f>
        <v>4.2874646285627209</v>
      </c>
      <c r="R221" s="376">
        <f>2*J221*(L221-O221)</f>
        <v>65.038876476167857</v>
      </c>
      <c r="T221" t="s">
        <v>186</v>
      </c>
      <c r="U221" s="376">
        <f>(B27-1)*A27*C27</f>
        <v>6</v>
      </c>
    </row>
    <row r="222" spans="7:21">
      <c r="G222" s="7" t="str">
        <f>$A$7</f>
        <v>Positive</v>
      </c>
      <c r="H222" t="str">
        <f>$B$7</f>
        <v>Male</v>
      </c>
      <c r="I222" t="str">
        <f>$C$7</f>
        <v>Therapy 2</v>
      </c>
      <c r="J222" s="7">
        <f>$D$7</f>
        <v>55</v>
      </c>
      <c r="K222" s="508">
        <f t="shared" ref="K222:K232" si="92">J222/$D$18</f>
        <v>0.11</v>
      </c>
      <c r="L222" s="9">
        <f t="shared" ref="L222:L232" si="93">LN(J222)</f>
        <v>4.0073331852324712</v>
      </c>
      <c r="M222" s="7">
        <f t="shared" si="90"/>
        <v>33.5</v>
      </c>
      <c r="N222" s="508">
        <f t="shared" si="91"/>
        <v>6.7000000000000004E-2</v>
      </c>
      <c r="O222" s="9">
        <f t="shared" ref="O222:O232" si="94">LN(M222)</f>
        <v>3.5115454388310208</v>
      </c>
      <c r="P222" s="7">
        <f t="shared" ref="P222:P232" si="95">J222-M222</f>
        <v>21.5</v>
      </c>
      <c r="Q222" s="9">
        <f t="shared" ref="Q222:Q232" si="96">P222/SQRT(M222)</f>
        <v>3.7146342299998483</v>
      </c>
      <c r="R222" s="376">
        <f t="shared" ref="R222:R232" si="97">2*J222*(L222-O222)</f>
        <v>54.536652104159543</v>
      </c>
      <c r="T222" s="65" t="s">
        <v>157</v>
      </c>
      <c r="U222" s="376">
        <v>0.05</v>
      </c>
    </row>
    <row r="223" spans="7:21">
      <c r="G223" s="7" t="str">
        <f>$A$8</f>
        <v>Positive</v>
      </c>
      <c r="H223" t="str">
        <f>$B$8</f>
        <v>Male</v>
      </c>
      <c r="I223" t="str">
        <f>$C$8</f>
        <v>Therapy 3</v>
      </c>
      <c r="J223" s="7">
        <f>$D$8</f>
        <v>107</v>
      </c>
      <c r="K223" s="508">
        <f t="shared" si="92"/>
        <v>0.214</v>
      </c>
      <c r="L223" s="9">
        <f t="shared" si="93"/>
        <v>4.6728288344619058</v>
      </c>
      <c r="M223" s="7">
        <f t="shared" si="90"/>
        <v>62</v>
      </c>
      <c r="N223" s="508">
        <f t="shared" si="91"/>
        <v>0.124</v>
      </c>
      <c r="O223" s="9">
        <f t="shared" si="94"/>
        <v>4.1271343850450917</v>
      </c>
      <c r="P223" s="7">
        <f t="shared" si="95"/>
        <v>45</v>
      </c>
      <c r="Q223" s="9">
        <f t="shared" si="96"/>
        <v>5.715005715008572</v>
      </c>
      <c r="R223" s="376">
        <f t="shared" si="97"/>
        <v>116.77861217519822</v>
      </c>
      <c r="T223" s="493" t="s">
        <v>200</v>
      </c>
      <c r="U223" s="376">
        <f>CHIDIST(U220,U221)</f>
        <v>7.0506243364130613E-31</v>
      </c>
    </row>
    <row r="224" spans="7:21">
      <c r="G224" s="7" t="str">
        <f>$A$9</f>
        <v>Positive</v>
      </c>
      <c r="H224" t="str">
        <f>$B$9</f>
        <v>Female</v>
      </c>
      <c r="I224" t="str">
        <f>$C$9</f>
        <v>Therapy 1</v>
      </c>
      <c r="J224" s="7">
        <f>$D$9</f>
        <v>32</v>
      </c>
      <c r="K224" s="508">
        <f t="shared" si="92"/>
        <v>6.4000000000000001E-2</v>
      </c>
      <c r="L224" s="9">
        <f t="shared" si="93"/>
        <v>3.4657359027997265</v>
      </c>
      <c r="M224" s="7">
        <f t="shared" si="90"/>
        <v>24</v>
      </c>
      <c r="N224" s="508">
        <f t="shared" si="91"/>
        <v>4.8000000000000001E-2</v>
      </c>
      <c r="O224" s="9">
        <f t="shared" si="94"/>
        <v>3.1780538303479458</v>
      </c>
      <c r="P224" s="7">
        <f t="shared" si="95"/>
        <v>8</v>
      </c>
      <c r="Q224" s="9">
        <f t="shared" si="96"/>
        <v>1.6329931618554523</v>
      </c>
      <c r="R224" s="376">
        <f t="shared" si="97"/>
        <v>18.411652636913971</v>
      </c>
      <c r="T224" s="175" t="s">
        <v>347</v>
      </c>
      <c r="U224" s="376">
        <f>CHIINV(U222,U221)</f>
        <v>12.591587243743978</v>
      </c>
    </row>
    <row r="225" spans="7:21">
      <c r="G225" s="7" t="str">
        <f>$A$10</f>
        <v>Positive</v>
      </c>
      <c r="H225" t="str">
        <f>$B$10</f>
        <v>Female</v>
      </c>
      <c r="I225" t="str">
        <f>$C$10</f>
        <v>Therapy 2</v>
      </c>
      <c r="J225" s="7">
        <f>$D$10</f>
        <v>24</v>
      </c>
      <c r="K225" s="508">
        <f t="shared" si="92"/>
        <v>4.8000000000000001E-2</v>
      </c>
      <c r="L225" s="9">
        <f t="shared" si="93"/>
        <v>3.1780538303479458</v>
      </c>
      <c r="M225" s="7">
        <f t="shared" si="90"/>
        <v>28.5</v>
      </c>
      <c r="N225" s="508">
        <f t="shared" si="91"/>
        <v>5.7000000000000002E-2</v>
      </c>
      <c r="O225" s="9">
        <f t="shared" si="94"/>
        <v>3.3499040872746049</v>
      </c>
      <c r="P225" s="7">
        <f t="shared" si="95"/>
        <v>-4.5</v>
      </c>
      <c r="Q225" s="9">
        <f t="shared" si="96"/>
        <v>-0.84292723042352458</v>
      </c>
      <c r="R225" s="376">
        <f t="shared" si="97"/>
        <v>-8.2488123324796376</v>
      </c>
      <c r="T225" s="493" t="s">
        <v>948</v>
      </c>
      <c r="U225" s="266" t="str">
        <f>IF(U223&lt;U222,"yes","no")</f>
        <v>yes</v>
      </c>
    </row>
    <row r="226" spans="7:21">
      <c r="G226" s="7" t="str">
        <f>$A$11</f>
        <v>Positive</v>
      </c>
      <c r="H226" t="str">
        <f>$B$11</f>
        <v>Female</v>
      </c>
      <c r="I226" t="str">
        <f>$C$11</f>
        <v>Therapy 3</v>
      </c>
      <c r="J226" s="7">
        <f>$D$11</f>
        <v>80</v>
      </c>
      <c r="K226" s="508">
        <f t="shared" si="92"/>
        <v>0.16</v>
      </c>
      <c r="L226" s="9">
        <f t="shared" si="93"/>
        <v>4.3820266346738812</v>
      </c>
      <c r="M226" s="7">
        <f t="shared" si="90"/>
        <v>68</v>
      </c>
      <c r="N226" s="508">
        <f t="shared" si="91"/>
        <v>0.13600000000000001</v>
      </c>
      <c r="O226" s="9">
        <f t="shared" si="94"/>
        <v>4.219507705176107</v>
      </c>
      <c r="P226" s="7">
        <f t="shared" si="95"/>
        <v>12</v>
      </c>
      <c r="Q226" s="9">
        <f t="shared" si="96"/>
        <v>1.4552137502179978</v>
      </c>
      <c r="R226" s="376">
        <f t="shared" si="97"/>
        <v>26.003028719643879</v>
      </c>
    </row>
    <row r="227" spans="7:21">
      <c r="G227" s="7" t="str">
        <f>$A$12</f>
        <v>Negative</v>
      </c>
      <c r="H227" t="str">
        <f>$B$12</f>
        <v>Male</v>
      </c>
      <c r="I227" t="str">
        <f>$C$12</f>
        <v>Therapy 1</v>
      </c>
      <c r="J227" s="7">
        <f>$D$12</f>
        <v>9</v>
      </c>
      <c r="K227" s="508">
        <f t="shared" si="92"/>
        <v>1.7999999999999999E-2</v>
      </c>
      <c r="L227" s="9">
        <f t="shared" si="93"/>
        <v>2.1972245773362196</v>
      </c>
      <c r="M227" s="7">
        <f t="shared" ref="M227:M232" si="98">M221</f>
        <v>34</v>
      </c>
      <c r="N227" s="508">
        <f t="shared" si="91"/>
        <v>6.8000000000000005E-2</v>
      </c>
      <c r="O227" s="9">
        <f t="shared" si="94"/>
        <v>3.5263605246161616</v>
      </c>
      <c r="P227" s="7">
        <f t="shared" si="95"/>
        <v>-25</v>
      </c>
      <c r="Q227" s="9">
        <f t="shared" si="96"/>
        <v>-4.2874646285627209</v>
      </c>
      <c r="R227" s="376">
        <f t="shared" si="97"/>
        <v>-23.924447051038957</v>
      </c>
    </row>
    <row r="228" spans="7:21">
      <c r="G228" s="7" t="str">
        <f>$A$13</f>
        <v>Negative</v>
      </c>
      <c r="H228" t="str">
        <f>$B$13</f>
        <v>Male</v>
      </c>
      <c r="I228" t="str">
        <f>$C$13</f>
        <v>Therapy 2</v>
      </c>
      <c r="J228" s="7">
        <f>$D$13</f>
        <v>12</v>
      </c>
      <c r="K228" s="508">
        <f t="shared" si="92"/>
        <v>2.4E-2</v>
      </c>
      <c r="L228" s="9">
        <f t="shared" si="93"/>
        <v>2.4849066497880004</v>
      </c>
      <c r="M228" s="7">
        <f t="shared" si="98"/>
        <v>33.5</v>
      </c>
      <c r="N228" s="508">
        <f t="shared" si="91"/>
        <v>6.7000000000000004E-2</v>
      </c>
      <c r="O228" s="9">
        <f t="shared" si="94"/>
        <v>3.5115454388310208</v>
      </c>
      <c r="P228" s="7">
        <f t="shared" si="95"/>
        <v>-21.5</v>
      </c>
      <c r="Q228" s="9">
        <f t="shared" si="96"/>
        <v>-3.7146342299998483</v>
      </c>
      <c r="R228" s="376">
        <f t="shared" si="97"/>
        <v>-24.63933093703249</v>
      </c>
    </row>
    <row r="229" spans="7:21">
      <c r="G229" s="7" t="str">
        <f>$A$14</f>
        <v>Negative</v>
      </c>
      <c r="H229" t="str">
        <f>$B$14</f>
        <v>Male</v>
      </c>
      <c r="I229" t="str">
        <f>$C$14</f>
        <v>Therapy 3</v>
      </c>
      <c r="J229" s="7">
        <f>$D$14</f>
        <v>17</v>
      </c>
      <c r="K229" s="508">
        <f t="shared" si="92"/>
        <v>3.4000000000000002E-2</v>
      </c>
      <c r="L229" s="9">
        <f t="shared" si="93"/>
        <v>2.8332133440562162</v>
      </c>
      <c r="M229" s="7">
        <f t="shared" si="98"/>
        <v>62</v>
      </c>
      <c r="N229" s="508">
        <f t="shared" si="91"/>
        <v>0.124</v>
      </c>
      <c r="O229" s="9">
        <f t="shared" si="94"/>
        <v>4.1271343850450917</v>
      </c>
      <c r="P229" s="7">
        <f t="shared" si="95"/>
        <v>-45</v>
      </c>
      <c r="Q229" s="9">
        <f t="shared" si="96"/>
        <v>-5.715005715008572</v>
      </c>
      <c r="R229" s="376">
        <f t="shared" si="97"/>
        <v>-43.993315393621771</v>
      </c>
    </row>
    <row r="230" spans="7:21">
      <c r="G230" s="7" t="str">
        <f>$A$15</f>
        <v>Negative</v>
      </c>
      <c r="H230" t="str">
        <f>$B$15</f>
        <v>Female</v>
      </c>
      <c r="I230" t="str">
        <f>$C$15</f>
        <v>Therapy 1</v>
      </c>
      <c r="J230" s="7">
        <f>$D$15</f>
        <v>16</v>
      </c>
      <c r="K230" s="508">
        <f t="shared" si="92"/>
        <v>3.2000000000000001E-2</v>
      </c>
      <c r="L230" s="9">
        <f t="shared" si="93"/>
        <v>2.7725887222397811</v>
      </c>
      <c r="M230" s="7">
        <f t="shared" si="98"/>
        <v>24</v>
      </c>
      <c r="N230" s="508">
        <f t="shared" si="91"/>
        <v>4.8000000000000001E-2</v>
      </c>
      <c r="O230" s="9">
        <f t="shared" si="94"/>
        <v>3.1780538303479458</v>
      </c>
      <c r="P230" s="7">
        <f t="shared" si="95"/>
        <v>-8</v>
      </c>
      <c r="Q230" s="9">
        <f t="shared" si="96"/>
        <v>-1.6329931618554523</v>
      </c>
      <c r="R230" s="376">
        <f t="shared" si="97"/>
        <v>-12.974883459461267</v>
      </c>
    </row>
    <row r="231" spans="7:21">
      <c r="G231" s="7" t="str">
        <f>$A$16</f>
        <v>Negative</v>
      </c>
      <c r="H231" t="str">
        <f>$B$16</f>
        <v>Female</v>
      </c>
      <c r="I231" t="str">
        <f>$C$16</f>
        <v>Therapy 2</v>
      </c>
      <c r="J231" s="7">
        <f>$D$16</f>
        <v>33</v>
      </c>
      <c r="K231" s="508">
        <f t="shared" si="92"/>
        <v>6.6000000000000003E-2</v>
      </c>
      <c r="L231" s="9">
        <f t="shared" si="93"/>
        <v>3.4965075614664802</v>
      </c>
      <c r="M231" s="7">
        <f t="shared" si="98"/>
        <v>28.5</v>
      </c>
      <c r="N231" s="508">
        <f t="shared" si="91"/>
        <v>5.7000000000000002E-2</v>
      </c>
      <c r="O231" s="9">
        <f t="shared" si="94"/>
        <v>3.3499040872746049</v>
      </c>
      <c r="P231" s="7">
        <f t="shared" si="95"/>
        <v>4.5</v>
      </c>
      <c r="Q231" s="9">
        <f t="shared" si="96"/>
        <v>0.84292723042352458</v>
      </c>
      <c r="R231" s="376">
        <f t="shared" si="97"/>
        <v>9.6758292966637747</v>
      </c>
    </row>
    <row r="232" spans="7:21">
      <c r="G232" s="10" t="str">
        <f>$A$17</f>
        <v>Negative</v>
      </c>
      <c r="H232" s="11" t="str">
        <f>$B$17</f>
        <v>Female</v>
      </c>
      <c r="I232" s="11" t="str">
        <f>$C$17</f>
        <v>Therapy 3</v>
      </c>
      <c r="J232" s="10">
        <f>$D$17</f>
        <v>56</v>
      </c>
      <c r="K232" s="509">
        <f t="shared" si="92"/>
        <v>0.112</v>
      </c>
      <c r="L232" s="12">
        <f t="shared" si="93"/>
        <v>4.0253516907351496</v>
      </c>
      <c r="M232" s="10">
        <f t="shared" si="98"/>
        <v>68</v>
      </c>
      <c r="N232" s="509">
        <f t="shared" si="91"/>
        <v>0.13600000000000001</v>
      </c>
      <c r="O232" s="12">
        <f t="shared" si="94"/>
        <v>4.219507705176107</v>
      </c>
      <c r="P232" s="533">
        <f t="shared" si="95"/>
        <v>-12</v>
      </c>
      <c r="Q232" s="12">
        <f t="shared" si="96"/>
        <v>-1.4552137502179978</v>
      </c>
      <c r="R232" s="268">
        <f t="shared" si="97"/>
        <v>-21.745473617387219</v>
      </c>
    </row>
    <row r="233" spans="7:21">
      <c r="R233">
        <f>SUM(R221:R232)</f>
        <v>154.9183886177259</v>
      </c>
    </row>
    <row r="235" spans="7:21">
      <c r="G235" s="1" t="s">
        <v>1315</v>
      </c>
    </row>
    <row r="237" spans="7:21">
      <c r="J237" s="1591" t="s">
        <v>703</v>
      </c>
      <c r="K237" s="1592"/>
      <c r="L237" s="1593"/>
      <c r="M237" s="1591" t="s">
        <v>1261</v>
      </c>
      <c r="N237" s="1592"/>
      <c r="O237" s="1593"/>
      <c r="P237" s="1588" t="s">
        <v>704</v>
      </c>
      <c r="Q237" s="1594"/>
    </row>
    <row r="238" spans="7:21">
      <c r="G238" s="516" t="str">
        <f>$A$5</f>
        <v>Cure</v>
      </c>
      <c r="H238" s="503" t="str">
        <f>$B$5</f>
        <v>Gender</v>
      </c>
      <c r="I238" s="503" t="str">
        <f>$C$5</f>
        <v>Therapy</v>
      </c>
      <c r="J238" s="505" t="s">
        <v>1259</v>
      </c>
      <c r="K238" s="506" t="s">
        <v>1258</v>
      </c>
      <c r="L238" s="507" t="s">
        <v>759</v>
      </c>
      <c r="M238" s="505" t="s">
        <v>1260</v>
      </c>
      <c r="N238" s="506" t="s">
        <v>1258</v>
      </c>
      <c r="O238" s="507" t="s">
        <v>1251</v>
      </c>
      <c r="P238" s="554" t="s">
        <v>644</v>
      </c>
      <c r="Q238" s="556" t="s">
        <v>1270</v>
      </c>
      <c r="R238" s="511" t="s">
        <v>346</v>
      </c>
      <c r="T238" s="175" t="s">
        <v>346</v>
      </c>
      <c r="U238" s="515">
        <f>R251</f>
        <v>58.681038980742066</v>
      </c>
    </row>
    <row r="239" spans="7:21">
      <c r="G239" s="7" t="str">
        <f>$A$6</f>
        <v>Positive</v>
      </c>
      <c r="H239" t="str">
        <f>$B$6</f>
        <v>Male</v>
      </c>
      <c r="I239" t="str">
        <f>$C$6</f>
        <v>Therapy 1</v>
      </c>
      <c r="J239" s="7">
        <f>$D$6</f>
        <v>59</v>
      </c>
      <c r="K239" s="508">
        <f>J239/$D$18</f>
        <v>0.11799999999999999</v>
      </c>
      <c r="L239" s="9">
        <f>LN(J239)</f>
        <v>4.0775374439057197</v>
      </c>
      <c r="M239" s="7">
        <f>D54/$B$27</f>
        <v>45.5</v>
      </c>
      <c r="N239" s="508">
        <f t="shared" ref="N239:N250" si="99">M239/D$44</f>
        <v>9.0999999999999998E-2</v>
      </c>
      <c r="O239" s="9">
        <f>LN(M239)</f>
        <v>3.8177123259569048</v>
      </c>
      <c r="P239" s="553">
        <f>J239-M239</f>
        <v>13.5</v>
      </c>
      <c r="Q239" s="552">
        <f>P239/SQRT(M239)</f>
        <v>2.0013731549849734</v>
      </c>
      <c r="R239" s="376">
        <f>2*J239*(L239-O239)</f>
        <v>30.65936391796016</v>
      </c>
      <c r="T239" t="s">
        <v>186</v>
      </c>
      <c r="U239" s="376">
        <f>(A27-1)*B27*C27</f>
        <v>6</v>
      </c>
    </row>
    <row r="240" spans="7:21">
      <c r="G240" s="7" t="str">
        <f>$A$7</f>
        <v>Positive</v>
      </c>
      <c r="H240" t="str">
        <f>$B$7</f>
        <v>Male</v>
      </c>
      <c r="I240" t="str">
        <f>$C$7</f>
        <v>Therapy 2</v>
      </c>
      <c r="J240" s="7">
        <f>$D$7</f>
        <v>55</v>
      </c>
      <c r="K240" s="508">
        <f t="shared" ref="K240:K250" si="100">J240/$D$18</f>
        <v>0.11</v>
      </c>
      <c r="L240" s="9">
        <f t="shared" ref="L240:L250" si="101">LN(J240)</f>
        <v>4.0073331852324712</v>
      </c>
      <c r="M240" s="7">
        <f>D55/$B$27</f>
        <v>39.5</v>
      </c>
      <c r="N240" s="508">
        <f t="shared" si="99"/>
        <v>7.9000000000000001E-2</v>
      </c>
      <c r="O240" s="9">
        <f t="shared" ref="O240:O250" si="102">LN(M240)</f>
        <v>3.6763006719070761</v>
      </c>
      <c r="P240" s="7">
        <f t="shared" ref="P240:P250" si="103">J240-M240</f>
        <v>15.5</v>
      </c>
      <c r="Q240" s="9">
        <f t="shared" ref="Q240:Q250" si="104">P240/SQRT(M240)</f>
        <v>2.4662275809447629</v>
      </c>
      <c r="R240" s="376">
        <f t="shared" ref="R240:R250" si="105">2*J240*(L240-O240)</f>
        <v>36.413576465793454</v>
      </c>
      <c r="T240" s="65" t="s">
        <v>157</v>
      </c>
      <c r="U240" s="376">
        <v>0.05</v>
      </c>
    </row>
    <row r="241" spans="7:21">
      <c r="G241" s="7" t="str">
        <f>$A$8</f>
        <v>Positive</v>
      </c>
      <c r="H241" t="str">
        <f>$B$8</f>
        <v>Male</v>
      </c>
      <c r="I241" t="str">
        <f>$C$8</f>
        <v>Therapy 3</v>
      </c>
      <c r="J241" s="7">
        <f>$D$8</f>
        <v>107</v>
      </c>
      <c r="K241" s="508">
        <f t="shared" si="100"/>
        <v>0.214</v>
      </c>
      <c r="L241" s="9">
        <f t="shared" si="101"/>
        <v>4.6728288344619058</v>
      </c>
      <c r="M241" s="7">
        <f>D56/$B$27</f>
        <v>93.5</v>
      </c>
      <c r="N241" s="508">
        <f t="shared" si="99"/>
        <v>0.187</v>
      </c>
      <c r="O241" s="9">
        <f t="shared" si="102"/>
        <v>4.5379614362946414</v>
      </c>
      <c r="P241" s="7">
        <f t="shared" si="103"/>
        <v>13.5</v>
      </c>
      <c r="Q241" s="9">
        <f t="shared" si="104"/>
        <v>1.3961367629865518</v>
      </c>
      <c r="R241" s="376">
        <f t="shared" si="105"/>
        <v>28.861623207794569</v>
      </c>
      <c r="T241" s="493" t="s">
        <v>200</v>
      </c>
      <c r="U241" s="376">
        <f>CHIDIST(U238,U239)</f>
        <v>8.3379990458365484E-11</v>
      </c>
    </row>
    <row r="242" spans="7:21">
      <c r="G242" s="7" t="str">
        <f>$A$9</f>
        <v>Positive</v>
      </c>
      <c r="H242" t="str">
        <f>$B$9</f>
        <v>Female</v>
      </c>
      <c r="I242" t="str">
        <f>$C$9</f>
        <v>Therapy 1</v>
      </c>
      <c r="J242" s="7">
        <f>$D$9</f>
        <v>32</v>
      </c>
      <c r="K242" s="508">
        <f t="shared" si="100"/>
        <v>6.4000000000000001E-2</v>
      </c>
      <c r="L242" s="9">
        <f t="shared" si="101"/>
        <v>3.4657359027997265</v>
      </c>
      <c r="M242" s="7">
        <f>M239</f>
        <v>45.5</v>
      </c>
      <c r="N242" s="508">
        <f t="shared" si="99"/>
        <v>9.0999999999999998E-2</v>
      </c>
      <c r="O242" s="9">
        <f t="shared" si="102"/>
        <v>3.8177123259569048</v>
      </c>
      <c r="P242" s="7">
        <f t="shared" si="103"/>
        <v>-13.5</v>
      </c>
      <c r="Q242" s="9">
        <f t="shared" si="104"/>
        <v>-2.0013731549849734</v>
      </c>
      <c r="R242" s="376">
        <f t="shared" si="105"/>
        <v>-22.526491082059408</v>
      </c>
      <c r="T242" s="175" t="s">
        <v>347</v>
      </c>
      <c r="U242" s="376">
        <f>CHIINV(U240,U239)</f>
        <v>12.591587243743978</v>
      </c>
    </row>
    <row r="243" spans="7:21">
      <c r="G243" s="7" t="str">
        <f>$A$10</f>
        <v>Positive</v>
      </c>
      <c r="H243" t="str">
        <f>$B$10</f>
        <v>Female</v>
      </c>
      <c r="I243" t="str">
        <f>$C$10</f>
        <v>Therapy 2</v>
      </c>
      <c r="J243" s="7">
        <f>$D$10</f>
        <v>24</v>
      </c>
      <c r="K243" s="508">
        <f t="shared" si="100"/>
        <v>4.8000000000000001E-2</v>
      </c>
      <c r="L243" s="9">
        <f t="shared" si="101"/>
        <v>3.1780538303479458</v>
      </c>
      <c r="M243" s="7">
        <f>M240</f>
        <v>39.5</v>
      </c>
      <c r="N243" s="508">
        <f t="shared" si="99"/>
        <v>7.9000000000000001E-2</v>
      </c>
      <c r="O243" s="9">
        <f t="shared" si="102"/>
        <v>3.6763006719070761</v>
      </c>
      <c r="P243" s="7">
        <f t="shared" si="103"/>
        <v>-15.5</v>
      </c>
      <c r="Q243" s="9">
        <f t="shared" si="104"/>
        <v>-2.4662275809447629</v>
      </c>
      <c r="R243" s="376">
        <f t="shared" si="105"/>
        <v>-23.915848394838257</v>
      </c>
      <c r="T243" s="493" t="s">
        <v>948</v>
      </c>
      <c r="U243" s="266" t="str">
        <f>IF(U241&lt;U240,"yes","no")</f>
        <v>yes</v>
      </c>
    </row>
    <row r="244" spans="7:21">
      <c r="G244" s="7" t="str">
        <f>$A$11</f>
        <v>Positive</v>
      </c>
      <c r="H244" t="str">
        <f>$B$11</f>
        <v>Female</v>
      </c>
      <c r="I244" t="str">
        <f>$C$11</f>
        <v>Therapy 3</v>
      </c>
      <c r="J244" s="7">
        <f>$D$11</f>
        <v>80</v>
      </c>
      <c r="K244" s="508">
        <f t="shared" si="100"/>
        <v>0.16</v>
      </c>
      <c r="L244" s="9">
        <f t="shared" si="101"/>
        <v>4.3820266346738812</v>
      </c>
      <c r="M244" s="7">
        <f>M241</f>
        <v>93.5</v>
      </c>
      <c r="N244" s="508">
        <f t="shared" si="99"/>
        <v>0.187</v>
      </c>
      <c r="O244" s="9">
        <f t="shared" si="102"/>
        <v>4.5379614362946414</v>
      </c>
      <c r="P244" s="7">
        <f t="shared" si="103"/>
        <v>-13.5</v>
      </c>
      <c r="Q244" s="9">
        <f t="shared" si="104"/>
        <v>-1.3961367629865518</v>
      </c>
      <c r="R244" s="376">
        <f t="shared" si="105"/>
        <v>-24.949568259321637</v>
      </c>
    </row>
    <row r="245" spans="7:21">
      <c r="G245" s="7" t="str">
        <f>$A$12</f>
        <v>Negative</v>
      </c>
      <c r="H245" t="str">
        <f>$B$12</f>
        <v>Male</v>
      </c>
      <c r="I245" t="str">
        <f>$C$12</f>
        <v>Therapy 1</v>
      </c>
      <c r="J245" s="7">
        <f>$D$12</f>
        <v>9</v>
      </c>
      <c r="K245" s="508">
        <f t="shared" si="100"/>
        <v>1.7999999999999999E-2</v>
      </c>
      <c r="L245" s="9">
        <f t="shared" si="101"/>
        <v>2.1972245773362196</v>
      </c>
      <c r="M245" s="7">
        <f>D57/$B$27</f>
        <v>12.5</v>
      </c>
      <c r="N245" s="508">
        <f t="shared" si="99"/>
        <v>2.5000000000000001E-2</v>
      </c>
      <c r="O245" s="9">
        <f t="shared" si="102"/>
        <v>2.5257286443082556</v>
      </c>
      <c r="P245" s="7">
        <f t="shared" si="103"/>
        <v>-3.5</v>
      </c>
      <c r="Q245" s="9">
        <f t="shared" si="104"/>
        <v>-0.98994949366116647</v>
      </c>
      <c r="R245" s="376">
        <f t="shared" si="105"/>
        <v>-5.9130732054966488</v>
      </c>
    </row>
    <row r="246" spans="7:21">
      <c r="G246" s="7" t="str">
        <f>$A$13</f>
        <v>Negative</v>
      </c>
      <c r="H246" t="str">
        <f>$B$13</f>
        <v>Male</v>
      </c>
      <c r="I246" t="str">
        <f>$C$13</f>
        <v>Therapy 2</v>
      </c>
      <c r="J246" s="7">
        <f>$D$13</f>
        <v>12</v>
      </c>
      <c r="K246" s="508">
        <f t="shared" si="100"/>
        <v>2.4E-2</v>
      </c>
      <c r="L246" s="9">
        <f t="shared" si="101"/>
        <v>2.4849066497880004</v>
      </c>
      <c r="M246" s="7">
        <f>D58/$B$27</f>
        <v>22.5</v>
      </c>
      <c r="N246" s="508">
        <f t="shared" si="99"/>
        <v>4.4999999999999998E-2</v>
      </c>
      <c r="O246" s="9">
        <f t="shared" si="102"/>
        <v>3.1135153092103742</v>
      </c>
      <c r="P246" s="7">
        <f t="shared" si="103"/>
        <v>-10.5</v>
      </c>
      <c r="Q246" s="9">
        <f t="shared" si="104"/>
        <v>-2.2135943621178655</v>
      </c>
      <c r="R246" s="376">
        <f t="shared" si="105"/>
        <v>-15.086607826136973</v>
      </c>
    </row>
    <row r="247" spans="7:21">
      <c r="G247" s="7" t="str">
        <f>$A$14</f>
        <v>Negative</v>
      </c>
      <c r="H247" t="str">
        <f>$B$14</f>
        <v>Male</v>
      </c>
      <c r="I247" t="str">
        <f>$C$14</f>
        <v>Therapy 3</v>
      </c>
      <c r="J247" s="7">
        <f>$D$14</f>
        <v>17</v>
      </c>
      <c r="K247" s="508">
        <f t="shared" si="100"/>
        <v>3.4000000000000002E-2</v>
      </c>
      <c r="L247" s="9">
        <f t="shared" si="101"/>
        <v>2.8332133440562162</v>
      </c>
      <c r="M247" s="7">
        <f>D59/$B$27</f>
        <v>36.5</v>
      </c>
      <c r="N247" s="508">
        <f t="shared" si="99"/>
        <v>7.2999999999999995E-2</v>
      </c>
      <c r="O247" s="9">
        <f t="shared" si="102"/>
        <v>3.597312260588446</v>
      </c>
      <c r="P247" s="7">
        <f t="shared" si="103"/>
        <v>-19.5</v>
      </c>
      <c r="Q247" s="9">
        <f t="shared" si="104"/>
        <v>-3.2276629655492348</v>
      </c>
      <c r="R247" s="376">
        <f t="shared" si="105"/>
        <v>-25.979363162095815</v>
      </c>
    </row>
    <row r="248" spans="7:21">
      <c r="G248" s="7" t="str">
        <f>$A$15</f>
        <v>Negative</v>
      </c>
      <c r="H248" t="str">
        <f>$B$15</f>
        <v>Female</v>
      </c>
      <c r="I248" t="str">
        <f>$C$15</f>
        <v>Therapy 1</v>
      </c>
      <c r="J248" s="7">
        <f>$D$15</f>
        <v>16</v>
      </c>
      <c r="K248" s="508">
        <f t="shared" si="100"/>
        <v>3.2000000000000001E-2</v>
      </c>
      <c r="L248" s="9">
        <f t="shared" si="101"/>
        <v>2.7725887222397811</v>
      </c>
      <c r="M248" s="7">
        <f>M245</f>
        <v>12.5</v>
      </c>
      <c r="N248" s="508">
        <f t="shared" si="99"/>
        <v>2.5000000000000001E-2</v>
      </c>
      <c r="O248" s="9">
        <f t="shared" si="102"/>
        <v>2.5257286443082556</v>
      </c>
      <c r="P248" s="7">
        <f t="shared" si="103"/>
        <v>3.5</v>
      </c>
      <c r="Q248" s="9">
        <f t="shared" si="104"/>
        <v>0.98994949366116647</v>
      </c>
      <c r="R248" s="376">
        <f t="shared" si="105"/>
        <v>7.8995224938088171</v>
      </c>
    </row>
    <row r="249" spans="7:21">
      <c r="G249" s="7" t="str">
        <f>$A$16</f>
        <v>Negative</v>
      </c>
      <c r="H249" t="str">
        <f>$B$16</f>
        <v>Female</v>
      </c>
      <c r="I249" t="str">
        <f>$C$16</f>
        <v>Therapy 2</v>
      </c>
      <c r="J249" s="7">
        <f>$D$16</f>
        <v>33</v>
      </c>
      <c r="K249" s="508">
        <f t="shared" si="100"/>
        <v>6.6000000000000003E-2</v>
      </c>
      <c r="L249" s="9">
        <f t="shared" si="101"/>
        <v>3.4965075614664802</v>
      </c>
      <c r="M249" s="7">
        <f>M246</f>
        <v>22.5</v>
      </c>
      <c r="N249" s="508">
        <f t="shared" si="99"/>
        <v>4.4999999999999998E-2</v>
      </c>
      <c r="O249" s="9">
        <f t="shared" si="102"/>
        <v>3.1135153092103742</v>
      </c>
      <c r="P249" s="7">
        <f t="shared" si="103"/>
        <v>10.5</v>
      </c>
      <c r="Q249" s="9">
        <f t="shared" si="104"/>
        <v>2.2135943621178655</v>
      </c>
      <c r="R249" s="376">
        <f t="shared" si="105"/>
        <v>25.277488648902995</v>
      </c>
    </row>
    <row r="250" spans="7:21">
      <c r="G250" s="10" t="str">
        <f>$A$17</f>
        <v>Negative</v>
      </c>
      <c r="H250" s="11" t="str">
        <f>$B$17</f>
        <v>Female</v>
      </c>
      <c r="I250" s="11" t="str">
        <f>$C$17</f>
        <v>Therapy 3</v>
      </c>
      <c r="J250" s="10">
        <f>$D$17</f>
        <v>56</v>
      </c>
      <c r="K250" s="509">
        <f t="shared" si="100"/>
        <v>0.112</v>
      </c>
      <c r="L250" s="12">
        <f t="shared" si="101"/>
        <v>4.0253516907351496</v>
      </c>
      <c r="M250" s="10">
        <f>M247</f>
        <v>36.5</v>
      </c>
      <c r="N250" s="509">
        <f t="shared" si="99"/>
        <v>7.2999999999999995E-2</v>
      </c>
      <c r="O250" s="12">
        <f t="shared" si="102"/>
        <v>3.597312260588446</v>
      </c>
      <c r="P250" s="533">
        <f t="shared" si="103"/>
        <v>19.5</v>
      </c>
      <c r="Q250" s="12">
        <f t="shared" si="104"/>
        <v>3.2276629655492348</v>
      </c>
      <c r="R250" s="268">
        <f t="shared" si="105"/>
        <v>47.940416176430809</v>
      </c>
    </row>
    <row r="251" spans="7:21">
      <c r="R251">
        <f>SUM(R239:R250)</f>
        <v>58.681038980742066</v>
      </c>
    </row>
    <row r="253" spans="7:21">
      <c r="G253" s="1" t="s">
        <v>1316</v>
      </c>
    </row>
    <row r="255" spans="7:21">
      <c r="J255" s="1591" t="s">
        <v>703</v>
      </c>
      <c r="K255" s="1592"/>
      <c r="L255" s="1593"/>
      <c r="M255" s="1591" t="s">
        <v>1261</v>
      </c>
      <c r="N255" s="1592"/>
      <c r="O255" s="1593"/>
      <c r="P255" s="1588" t="s">
        <v>704</v>
      </c>
      <c r="Q255" s="1594"/>
    </row>
    <row r="256" spans="7:21">
      <c r="G256" s="516" t="str">
        <f>$A$5</f>
        <v>Cure</v>
      </c>
      <c r="H256" s="503" t="str">
        <f>$B$5</f>
        <v>Gender</v>
      </c>
      <c r="I256" s="503" t="str">
        <f>$C$5</f>
        <v>Therapy</v>
      </c>
      <c r="J256" s="505" t="s">
        <v>1259</v>
      </c>
      <c r="K256" s="506" t="s">
        <v>1258</v>
      </c>
      <c r="L256" s="507" t="s">
        <v>759</v>
      </c>
      <c r="M256" s="505" t="s">
        <v>1260</v>
      </c>
      <c r="N256" s="506" t="s">
        <v>1258</v>
      </c>
      <c r="O256" s="507" t="s">
        <v>1251</v>
      </c>
      <c r="P256" s="554" t="s">
        <v>644</v>
      </c>
      <c r="Q256" s="556" t="s">
        <v>1270</v>
      </c>
      <c r="R256" s="511" t="s">
        <v>346</v>
      </c>
      <c r="T256" s="175" t="s">
        <v>346</v>
      </c>
      <c r="U256" s="515">
        <f>R269</f>
        <v>138.30258247312145</v>
      </c>
    </row>
    <row r="257" spans="7:21">
      <c r="G257" s="7" t="str">
        <f>$A$6</f>
        <v>Positive</v>
      </c>
      <c r="H257" t="str">
        <f>$B$6</f>
        <v>Male</v>
      </c>
      <c r="I257" t="str">
        <f>$C$6</f>
        <v>Therapy 1</v>
      </c>
      <c r="J257" s="7">
        <f>$D$6</f>
        <v>59</v>
      </c>
      <c r="K257" s="508">
        <f>J257/$D$18</f>
        <v>0.11799999999999999</v>
      </c>
      <c r="L257" s="9">
        <f>LN(J257)</f>
        <v>4.0775374439057197</v>
      </c>
      <c r="M257" s="7">
        <f>D72*D77/($D$44*$C$27)</f>
        <v>61.642000000000003</v>
      </c>
      <c r="N257" s="508">
        <f t="shared" ref="N257:N268" si="106">M257/D$44</f>
        <v>0.123284</v>
      </c>
      <c r="O257" s="9">
        <f>LN(M257)</f>
        <v>4.1213434563888756</v>
      </c>
      <c r="P257" s="553">
        <f>J257-M257</f>
        <v>-2.642000000000003</v>
      </c>
      <c r="Q257" s="552">
        <f>P257/SQRT(M257)</f>
        <v>-0.33650727110428286</v>
      </c>
      <c r="R257" s="376">
        <f>2*J257*(L257-O257)</f>
        <v>-5.1691094730123908</v>
      </c>
      <c r="T257" t="s">
        <v>186</v>
      </c>
      <c r="U257" s="376">
        <f>A27*B27*C27-A27-B27+1</f>
        <v>9</v>
      </c>
    </row>
    <row r="258" spans="7:21">
      <c r="G258" s="7" t="str">
        <f>$A$7</f>
        <v>Positive</v>
      </c>
      <c r="H258" t="str">
        <f>$B$7</f>
        <v>Male</v>
      </c>
      <c r="I258" t="str">
        <f>$C$7</f>
        <v>Therapy 2</v>
      </c>
      <c r="J258" s="7">
        <f>$D$7</f>
        <v>55</v>
      </c>
      <c r="K258" s="508">
        <f t="shared" ref="K258:K268" si="107">J258/$D$18</f>
        <v>0.11</v>
      </c>
      <c r="L258" s="9">
        <f t="shared" ref="L258:L268" si="108">LN(J258)</f>
        <v>4.0073331852324712</v>
      </c>
      <c r="M258" s="7">
        <f>M257</f>
        <v>61.642000000000003</v>
      </c>
      <c r="N258" s="508">
        <f t="shared" si="106"/>
        <v>0.123284</v>
      </c>
      <c r="O258" s="9">
        <f t="shared" ref="O258:O268" si="109">LN(M258)</f>
        <v>4.1213434563888756</v>
      </c>
      <c r="P258" s="7">
        <f t="shared" ref="P258:P268" si="110">J258-M258</f>
        <v>-6.642000000000003</v>
      </c>
      <c r="Q258" s="9">
        <f t="shared" ref="Q258:Q268" si="111">P258/SQRT(M258)</f>
        <v>-0.8459808079767771</v>
      </c>
      <c r="R258" s="376">
        <f t="shared" ref="R258:R268" si="112">2*J258*(L258-O258)</f>
        <v>-12.541129827204482</v>
      </c>
      <c r="T258" s="65" t="s">
        <v>157</v>
      </c>
      <c r="U258" s="376">
        <v>0.05</v>
      </c>
    </row>
    <row r="259" spans="7:21">
      <c r="G259" s="7" t="str">
        <f>$A$8</f>
        <v>Positive</v>
      </c>
      <c r="H259" t="str">
        <f>$B$8</f>
        <v>Male</v>
      </c>
      <c r="I259" t="str">
        <f>$C$8</f>
        <v>Therapy 3</v>
      </c>
      <c r="J259" s="7">
        <f>$D$8</f>
        <v>107</v>
      </c>
      <c r="K259" s="508">
        <f t="shared" si="107"/>
        <v>0.214</v>
      </c>
      <c r="L259" s="9">
        <f t="shared" si="108"/>
        <v>4.6728288344619058</v>
      </c>
      <c r="M259" s="7">
        <f>M258</f>
        <v>61.642000000000003</v>
      </c>
      <c r="N259" s="508">
        <f t="shared" si="106"/>
        <v>0.123284</v>
      </c>
      <c r="O259" s="9">
        <f t="shared" si="109"/>
        <v>4.1213434563888756</v>
      </c>
      <c r="P259" s="7">
        <f t="shared" si="110"/>
        <v>45.357999999999997</v>
      </c>
      <c r="Q259" s="9">
        <f t="shared" si="111"/>
        <v>5.7771751713656485</v>
      </c>
      <c r="R259" s="376">
        <f t="shared" si="112"/>
        <v>118.01787090762846</v>
      </c>
      <c r="T259" s="493" t="s">
        <v>200</v>
      </c>
      <c r="U259" s="376">
        <f>CHIDIST(U256,U257)</f>
        <v>2.3112549398295275E-25</v>
      </c>
    </row>
    <row r="260" spans="7:21">
      <c r="G260" s="7" t="str">
        <f>$A$9</f>
        <v>Positive</v>
      </c>
      <c r="H260" t="str">
        <f>$B$9</f>
        <v>Female</v>
      </c>
      <c r="I260" t="str">
        <f>$C$9</f>
        <v>Therapy 1</v>
      </c>
      <c r="J260" s="7">
        <f>$D$9</f>
        <v>32</v>
      </c>
      <c r="K260" s="508">
        <f t="shared" si="107"/>
        <v>6.4000000000000001E-2</v>
      </c>
      <c r="L260" s="9">
        <f t="shared" si="108"/>
        <v>3.4657359027997265</v>
      </c>
      <c r="M260" s="7">
        <f>D72*D78/($D$44*$C$27)</f>
        <v>57.357999999999997</v>
      </c>
      <c r="N260" s="508">
        <f t="shared" si="106"/>
        <v>0.114716</v>
      </c>
      <c r="O260" s="9">
        <f t="shared" si="109"/>
        <v>4.049312328179993</v>
      </c>
      <c r="P260" s="7">
        <f t="shared" si="110"/>
        <v>-25.357999999999997</v>
      </c>
      <c r="Q260" s="9">
        <f t="shared" si="111"/>
        <v>-3.3482509265635785</v>
      </c>
      <c r="R260" s="376">
        <f t="shared" si="112"/>
        <v>-37.348891224337052</v>
      </c>
      <c r="T260" s="175" t="s">
        <v>347</v>
      </c>
      <c r="U260" s="376">
        <f>CHIINV(U258,U257)</f>
        <v>16.918977604620451</v>
      </c>
    </row>
    <row r="261" spans="7:21">
      <c r="G261" s="7" t="str">
        <f>$A$10</f>
        <v>Positive</v>
      </c>
      <c r="H261" t="str">
        <f>$B$10</f>
        <v>Female</v>
      </c>
      <c r="I261" t="str">
        <f>$C$10</f>
        <v>Therapy 2</v>
      </c>
      <c r="J261" s="7">
        <f>$D$10</f>
        <v>24</v>
      </c>
      <c r="K261" s="508">
        <f t="shared" si="107"/>
        <v>4.8000000000000001E-2</v>
      </c>
      <c r="L261" s="9">
        <f t="shared" si="108"/>
        <v>3.1780538303479458</v>
      </c>
      <c r="M261" s="7">
        <f t="shared" ref="M261:M268" si="113">M260</f>
        <v>57.357999999999997</v>
      </c>
      <c r="N261" s="508">
        <f t="shared" si="106"/>
        <v>0.114716</v>
      </c>
      <c r="O261" s="9">
        <f t="shared" si="109"/>
        <v>4.049312328179993</v>
      </c>
      <c r="P261" s="7">
        <f t="shared" si="110"/>
        <v>-33.357999999999997</v>
      </c>
      <c r="Q261" s="9">
        <f t="shared" si="111"/>
        <v>-4.404564808277776</v>
      </c>
      <c r="R261" s="376">
        <f t="shared" si="112"/>
        <v>-41.820407895938267</v>
      </c>
      <c r="T261" s="493" t="s">
        <v>948</v>
      </c>
      <c r="U261" s="266" t="str">
        <f>IF(U259&lt;U258,"yes","no")</f>
        <v>yes</v>
      </c>
    </row>
    <row r="262" spans="7:21">
      <c r="G262" s="7" t="str">
        <f>$A$11</f>
        <v>Positive</v>
      </c>
      <c r="H262" t="str">
        <f>$B$11</f>
        <v>Female</v>
      </c>
      <c r="I262" t="str">
        <f>$C$11</f>
        <v>Therapy 3</v>
      </c>
      <c r="J262" s="7">
        <f>$D$11</f>
        <v>80</v>
      </c>
      <c r="K262" s="508">
        <f t="shared" si="107"/>
        <v>0.16</v>
      </c>
      <c r="L262" s="9">
        <f t="shared" si="108"/>
        <v>4.3820266346738812</v>
      </c>
      <c r="M262" s="7">
        <f t="shared" si="113"/>
        <v>57.357999999999997</v>
      </c>
      <c r="N262" s="508">
        <f t="shared" si="106"/>
        <v>0.114716</v>
      </c>
      <c r="O262" s="9">
        <f t="shared" si="109"/>
        <v>4.049312328179993</v>
      </c>
      <c r="P262" s="7">
        <f t="shared" si="110"/>
        <v>22.642000000000003</v>
      </c>
      <c r="Q262" s="9">
        <f t="shared" si="111"/>
        <v>2.9896323637216091</v>
      </c>
      <c r="R262" s="376">
        <f t="shared" si="112"/>
        <v>53.234289039022116</v>
      </c>
    </row>
    <row r="263" spans="7:21">
      <c r="G263" s="7" t="str">
        <f>$A$12</f>
        <v>Negative</v>
      </c>
      <c r="H263" t="str">
        <f>$B$12</f>
        <v>Male</v>
      </c>
      <c r="I263" t="str">
        <f>$C$12</f>
        <v>Therapy 1</v>
      </c>
      <c r="J263" s="7">
        <f>$D$12</f>
        <v>9</v>
      </c>
      <c r="K263" s="508">
        <f t="shared" si="107"/>
        <v>1.7999999999999999E-2</v>
      </c>
      <c r="L263" s="9">
        <f t="shared" si="108"/>
        <v>2.1972245773362196</v>
      </c>
      <c r="M263" s="7">
        <f>D73*D77/($D$44*$C$27)</f>
        <v>24.691333333333333</v>
      </c>
      <c r="N263" s="508">
        <f t="shared" si="106"/>
        <v>4.9382666666666665E-2</v>
      </c>
      <c r="O263" s="9">
        <f t="shared" si="109"/>
        <v>3.2064523048691438</v>
      </c>
      <c r="P263" s="7">
        <f t="shared" si="110"/>
        <v>-15.691333333333333</v>
      </c>
      <c r="Q263" s="9">
        <f t="shared" si="111"/>
        <v>-3.1578214980958967</v>
      </c>
      <c r="R263" s="376">
        <f t="shared" si="112"/>
        <v>-18.166099095592635</v>
      </c>
    </row>
    <row r="264" spans="7:21">
      <c r="G264" s="7" t="str">
        <f>$A$13</f>
        <v>Negative</v>
      </c>
      <c r="H264" t="str">
        <f>$B$13</f>
        <v>Male</v>
      </c>
      <c r="I264" t="str">
        <f>$C$13</f>
        <v>Therapy 2</v>
      </c>
      <c r="J264" s="7">
        <f>$D$13</f>
        <v>12</v>
      </c>
      <c r="K264" s="508">
        <f t="shared" si="107"/>
        <v>2.4E-2</v>
      </c>
      <c r="L264" s="9">
        <f t="shared" si="108"/>
        <v>2.4849066497880004</v>
      </c>
      <c r="M264" s="7">
        <f t="shared" si="113"/>
        <v>24.691333333333333</v>
      </c>
      <c r="N264" s="508">
        <f t="shared" si="106"/>
        <v>4.9382666666666665E-2</v>
      </c>
      <c r="O264" s="9">
        <f t="shared" si="109"/>
        <v>3.2064523048691438</v>
      </c>
      <c r="P264" s="7">
        <f t="shared" si="110"/>
        <v>-12.691333333333333</v>
      </c>
      <c r="Q264" s="9">
        <f t="shared" si="111"/>
        <v>-2.55408284230155</v>
      </c>
      <c r="R264" s="376">
        <f t="shared" si="112"/>
        <v>-17.317095721947442</v>
      </c>
    </row>
    <row r="265" spans="7:21">
      <c r="G265" s="7" t="str">
        <f>$A$14</f>
        <v>Negative</v>
      </c>
      <c r="H265" t="str">
        <f>$B$14</f>
        <v>Male</v>
      </c>
      <c r="I265" t="str">
        <f>$C$14</f>
        <v>Therapy 3</v>
      </c>
      <c r="J265" s="7">
        <f>$D$14</f>
        <v>17</v>
      </c>
      <c r="K265" s="508">
        <f t="shared" si="107"/>
        <v>3.4000000000000002E-2</v>
      </c>
      <c r="L265" s="9">
        <f t="shared" si="108"/>
        <v>2.8332133440562162</v>
      </c>
      <c r="M265" s="7">
        <f t="shared" si="113"/>
        <v>24.691333333333333</v>
      </c>
      <c r="N265" s="508">
        <f t="shared" si="106"/>
        <v>4.9382666666666665E-2</v>
      </c>
      <c r="O265" s="9">
        <f t="shared" si="109"/>
        <v>3.2064523048691438</v>
      </c>
      <c r="P265" s="7">
        <f t="shared" si="110"/>
        <v>-7.6913333333333327</v>
      </c>
      <c r="Q265" s="9">
        <f t="shared" si="111"/>
        <v>-1.5478517493109725</v>
      </c>
      <c r="R265" s="376">
        <f t="shared" si="112"/>
        <v>-12.690124667639539</v>
      </c>
    </row>
    <row r="266" spans="7:21">
      <c r="G266" s="7" t="str">
        <f>$A$15</f>
        <v>Negative</v>
      </c>
      <c r="H266" t="str">
        <f>$B$15</f>
        <v>Female</v>
      </c>
      <c r="I266" t="str">
        <f>$C$15</f>
        <v>Therapy 1</v>
      </c>
      <c r="J266" s="7">
        <f>$D$15</f>
        <v>16</v>
      </c>
      <c r="K266" s="508">
        <f t="shared" si="107"/>
        <v>3.2000000000000001E-2</v>
      </c>
      <c r="L266" s="9">
        <f t="shared" si="108"/>
        <v>2.7725887222397811</v>
      </c>
      <c r="M266" s="7">
        <f>D73*D78/($D$44*$C$27)</f>
        <v>22.975333333333332</v>
      </c>
      <c r="N266" s="508">
        <f t="shared" si="106"/>
        <v>4.595066666666666E-2</v>
      </c>
      <c r="O266" s="9">
        <f t="shared" si="109"/>
        <v>3.1344211766602608</v>
      </c>
      <c r="P266" s="7">
        <f t="shared" si="110"/>
        <v>-6.9753333333333316</v>
      </c>
      <c r="Q266" s="9">
        <f t="shared" si="111"/>
        <v>-1.4552380972546457</v>
      </c>
      <c r="R266" s="376">
        <f t="shared" si="112"/>
        <v>-11.578638541455348</v>
      </c>
    </row>
    <row r="267" spans="7:21">
      <c r="G267" s="7" t="str">
        <f>$A$16</f>
        <v>Negative</v>
      </c>
      <c r="H267" t="str">
        <f>$B$16</f>
        <v>Female</v>
      </c>
      <c r="I267" t="str">
        <f>$C$16</f>
        <v>Therapy 2</v>
      </c>
      <c r="J267" s="7">
        <f>$D$16</f>
        <v>33</v>
      </c>
      <c r="K267" s="508">
        <f t="shared" si="107"/>
        <v>6.6000000000000003E-2</v>
      </c>
      <c r="L267" s="9">
        <f t="shared" si="108"/>
        <v>3.4965075614664802</v>
      </c>
      <c r="M267" s="7">
        <f t="shared" si="113"/>
        <v>22.975333333333332</v>
      </c>
      <c r="N267" s="508">
        <f t="shared" si="106"/>
        <v>4.595066666666666E-2</v>
      </c>
      <c r="O267" s="9">
        <f t="shared" si="109"/>
        <v>3.1344211766602608</v>
      </c>
      <c r="P267" s="7">
        <f t="shared" si="110"/>
        <v>10.024666666666668</v>
      </c>
      <c r="Q267" s="9">
        <f t="shared" si="111"/>
        <v>2.0914092773026969</v>
      </c>
      <c r="R267" s="376">
        <f t="shared" si="112"/>
        <v>23.897701397210483</v>
      </c>
    </row>
    <row r="268" spans="7:21">
      <c r="G268" s="10" t="str">
        <f>$A$17</f>
        <v>Negative</v>
      </c>
      <c r="H268" s="11" t="str">
        <f>$B$17</f>
        <v>Female</v>
      </c>
      <c r="I268" s="11" t="str">
        <f>$C$17</f>
        <v>Therapy 3</v>
      </c>
      <c r="J268" s="10">
        <f>$D$17</f>
        <v>56</v>
      </c>
      <c r="K268" s="509">
        <f t="shared" si="107"/>
        <v>0.112</v>
      </c>
      <c r="L268" s="12">
        <f t="shared" si="108"/>
        <v>4.0253516907351496</v>
      </c>
      <c r="M268" s="10">
        <f t="shared" si="113"/>
        <v>22.975333333333332</v>
      </c>
      <c r="N268" s="509">
        <f t="shared" si="106"/>
        <v>4.595066666666666E-2</v>
      </c>
      <c r="O268" s="12">
        <f t="shared" si="109"/>
        <v>3.1344211766602608</v>
      </c>
      <c r="P268" s="533">
        <f t="shared" si="110"/>
        <v>33.024666666666668</v>
      </c>
      <c r="Q268" s="12">
        <f t="shared" si="111"/>
        <v>6.8898145487626303</v>
      </c>
      <c r="R268" s="268">
        <f t="shared" si="112"/>
        <v>99.784217576387562</v>
      </c>
    </row>
    <row r="269" spans="7:21">
      <c r="R269">
        <f>SUM(R257:R268)</f>
        <v>138.30258247312145</v>
      </c>
    </row>
    <row r="271" spans="7:21">
      <c r="G271" s="1" t="s">
        <v>1317</v>
      </c>
    </row>
    <row r="273" spans="7:21">
      <c r="J273" s="1591" t="s">
        <v>703</v>
      </c>
      <c r="K273" s="1592"/>
      <c r="L273" s="1593"/>
      <c r="M273" s="1591" t="s">
        <v>1261</v>
      </c>
      <c r="N273" s="1592"/>
      <c r="O273" s="1593"/>
      <c r="P273" s="1588" t="s">
        <v>704</v>
      </c>
      <c r="Q273" s="1594"/>
    </row>
    <row r="274" spans="7:21">
      <c r="G274" s="516" t="str">
        <f>$A$5</f>
        <v>Cure</v>
      </c>
      <c r="H274" s="503" t="str">
        <f>$B$5</f>
        <v>Gender</v>
      </c>
      <c r="I274" s="503" t="str">
        <f>$C$5</f>
        <v>Therapy</v>
      </c>
      <c r="J274" s="505" t="s">
        <v>1259</v>
      </c>
      <c r="K274" s="506" t="s">
        <v>1258</v>
      </c>
      <c r="L274" s="507" t="s">
        <v>759</v>
      </c>
      <c r="M274" s="505" t="s">
        <v>1260</v>
      </c>
      <c r="N274" s="506" t="s">
        <v>1258</v>
      </c>
      <c r="O274" s="507" t="s">
        <v>1251</v>
      </c>
      <c r="P274" s="554" t="s">
        <v>644</v>
      </c>
      <c r="Q274" s="556" t="s">
        <v>1270</v>
      </c>
      <c r="R274" s="511" t="s">
        <v>346</v>
      </c>
      <c r="T274" s="175" t="s">
        <v>346</v>
      </c>
      <c r="U274" s="515">
        <f>R287</f>
        <v>159.09718607515288</v>
      </c>
    </row>
    <row r="275" spans="7:21">
      <c r="G275" s="7" t="str">
        <f>$A$6</f>
        <v>Positive</v>
      </c>
      <c r="H275" t="str">
        <f>$B$6</f>
        <v>Male</v>
      </c>
      <c r="I275" t="str">
        <f>$C$6</f>
        <v>Therapy 1</v>
      </c>
      <c r="J275" s="7">
        <f>$D$6</f>
        <v>59</v>
      </c>
      <c r="K275" s="508">
        <f>J275/$D$18</f>
        <v>0.11799999999999999</v>
      </c>
      <c r="L275" s="9">
        <f>LN(J275)</f>
        <v>4.0775374439057197</v>
      </c>
      <c r="M275" s="7">
        <f>D77*D82/($A$27*$D$18)</f>
        <v>30.044</v>
      </c>
      <c r="N275" s="508">
        <f t="shared" ref="N275:N286" si="114">M275/D$44</f>
        <v>6.0088000000000003E-2</v>
      </c>
      <c r="O275" s="9">
        <f>LN(M275)</f>
        <v>3.4026629738237655</v>
      </c>
      <c r="P275" s="553">
        <f>J275-M275</f>
        <v>28.956</v>
      </c>
      <c r="Q275" s="552">
        <f>P275/SQRT(M275)</f>
        <v>5.2827455310812548</v>
      </c>
      <c r="R275" s="376">
        <f>2*J275*(L275-O275)</f>
        <v>79.635187469670598</v>
      </c>
      <c r="T275" t="s">
        <v>186</v>
      </c>
      <c r="U275" s="376">
        <f>A27*B27*C27-B27-C27+1</f>
        <v>8</v>
      </c>
    </row>
    <row r="276" spans="7:21">
      <c r="G276" s="7" t="str">
        <f>$A$7</f>
        <v>Positive</v>
      </c>
      <c r="H276" t="str">
        <f>$B$7</f>
        <v>Male</v>
      </c>
      <c r="I276" t="str">
        <f>$C$7</f>
        <v>Therapy 2</v>
      </c>
      <c r="J276" s="7">
        <f>$D$7</f>
        <v>55</v>
      </c>
      <c r="K276" s="508">
        <f t="shared" ref="K276:K286" si="115">J276/$D$18</f>
        <v>0.11</v>
      </c>
      <c r="L276" s="9">
        <f t="shared" ref="L276:L286" si="116">LN(J276)</f>
        <v>4.0073331852324712</v>
      </c>
      <c r="M276" s="7">
        <f>D77*D83/($A$27*$D$18)</f>
        <v>32.116</v>
      </c>
      <c r="N276" s="508">
        <f t="shared" si="114"/>
        <v>6.4231999999999997E-2</v>
      </c>
      <c r="O276" s="9">
        <f t="shared" ref="O276:O286" si="117">LN(M276)</f>
        <v>3.4693543483224376</v>
      </c>
      <c r="P276" s="7">
        <f t="shared" ref="P276:P286" si="118">J276-M276</f>
        <v>22.884</v>
      </c>
      <c r="Q276" s="9">
        <f t="shared" ref="Q276:Q286" si="119">P276/SQRT(M276)</f>
        <v>4.0380455584041419</v>
      </c>
      <c r="R276" s="376">
        <f t="shared" ref="R276:R286" si="120">2*J276*(L276-O276)</f>
        <v>59.177672060103689</v>
      </c>
      <c r="T276" s="65" t="s">
        <v>157</v>
      </c>
      <c r="U276" s="376">
        <v>0.05</v>
      </c>
    </row>
    <row r="277" spans="7:21">
      <c r="G277" s="7" t="str">
        <f>$A$8</f>
        <v>Positive</v>
      </c>
      <c r="H277" t="str">
        <f>$B$8</f>
        <v>Male</v>
      </c>
      <c r="I277" t="str">
        <f>$C$8</f>
        <v>Therapy 3</v>
      </c>
      <c r="J277" s="7">
        <f>$D$8</f>
        <v>107</v>
      </c>
      <c r="K277" s="508">
        <f t="shared" si="115"/>
        <v>0.214</v>
      </c>
      <c r="L277" s="9">
        <f t="shared" si="116"/>
        <v>4.6728288344619058</v>
      </c>
      <c r="M277" s="7">
        <f>D77*D84/($A$27*$D$18)</f>
        <v>67.34</v>
      </c>
      <c r="N277" s="508">
        <f t="shared" si="114"/>
        <v>0.13467999999999999</v>
      </c>
      <c r="O277" s="9">
        <f t="shared" si="117"/>
        <v>4.2097544137329281</v>
      </c>
      <c r="P277" s="7">
        <f t="shared" si="118"/>
        <v>39.659999999999997</v>
      </c>
      <c r="Q277" s="9">
        <f t="shared" si="119"/>
        <v>4.8329928634149688</v>
      </c>
      <c r="R277" s="376">
        <f t="shared" si="120"/>
        <v>99.097926036001212</v>
      </c>
      <c r="T277" s="493" t="s">
        <v>200</v>
      </c>
      <c r="U277" s="376">
        <f>CHIDIST(U274,U275)</f>
        <v>2.4700745086544901E-30</v>
      </c>
    </row>
    <row r="278" spans="7:21">
      <c r="G278" s="7" t="str">
        <f>$A$9</f>
        <v>Positive</v>
      </c>
      <c r="H278" t="str">
        <f>$B$9</f>
        <v>Female</v>
      </c>
      <c r="I278" t="str">
        <f>$C$9</f>
        <v>Therapy 1</v>
      </c>
      <c r="J278" s="7">
        <f>$D$9</f>
        <v>32</v>
      </c>
      <c r="K278" s="508">
        <f t="shared" si="115"/>
        <v>6.4000000000000001E-2</v>
      </c>
      <c r="L278" s="9">
        <f t="shared" si="116"/>
        <v>3.4657359027997265</v>
      </c>
      <c r="M278" s="7">
        <f>D78*D82/($A$27*$D$18)</f>
        <v>27.956</v>
      </c>
      <c r="N278" s="508">
        <f t="shared" si="114"/>
        <v>5.5911999999999996E-2</v>
      </c>
      <c r="O278" s="9">
        <f t="shared" si="117"/>
        <v>3.3306318456148825</v>
      </c>
      <c r="P278" s="7">
        <f t="shared" si="118"/>
        <v>4.0440000000000005</v>
      </c>
      <c r="Q278" s="9">
        <f t="shared" si="119"/>
        <v>0.76484535061614645</v>
      </c>
      <c r="R278" s="376">
        <f t="shared" si="120"/>
        <v>8.6466596598300214</v>
      </c>
      <c r="T278" s="175" t="s">
        <v>347</v>
      </c>
      <c r="U278" s="376">
        <f>CHIINV(U276,U275)</f>
        <v>15.507313055865453</v>
      </c>
    </row>
    <row r="279" spans="7:21">
      <c r="G279" s="7" t="str">
        <f>$A$10</f>
        <v>Positive</v>
      </c>
      <c r="H279" t="str">
        <f>$B$10</f>
        <v>Female</v>
      </c>
      <c r="I279" t="str">
        <f>$C$10</f>
        <v>Therapy 2</v>
      </c>
      <c r="J279" s="7">
        <f>$D$10</f>
        <v>24</v>
      </c>
      <c r="K279" s="508">
        <f t="shared" si="115"/>
        <v>4.8000000000000001E-2</v>
      </c>
      <c r="L279" s="9">
        <f t="shared" si="116"/>
        <v>3.1780538303479458</v>
      </c>
      <c r="M279" s="7">
        <f>D78*D83/($A$27*$D$18)</f>
        <v>29.884</v>
      </c>
      <c r="N279" s="508">
        <f t="shared" si="114"/>
        <v>5.9768000000000002E-2</v>
      </c>
      <c r="O279" s="9">
        <f t="shared" si="117"/>
        <v>3.397323220113555</v>
      </c>
      <c r="P279" s="7">
        <f t="shared" si="118"/>
        <v>-5.8840000000000003</v>
      </c>
      <c r="Q279" s="9">
        <f t="shared" si="119"/>
        <v>-1.0763494672328164</v>
      </c>
      <c r="R279" s="376">
        <f t="shared" si="120"/>
        <v>-10.524930708749245</v>
      </c>
      <c r="T279" s="493" t="s">
        <v>948</v>
      </c>
      <c r="U279" s="266" t="str">
        <f>IF(U277&lt;U276,"yes","no")</f>
        <v>yes</v>
      </c>
    </row>
    <row r="280" spans="7:21">
      <c r="G280" s="7" t="str">
        <f>$A$11</f>
        <v>Positive</v>
      </c>
      <c r="H280" t="str">
        <f>$B$11</f>
        <v>Female</v>
      </c>
      <c r="I280" t="str">
        <f>$C$11</f>
        <v>Therapy 3</v>
      </c>
      <c r="J280" s="7">
        <f>$D$11</f>
        <v>80</v>
      </c>
      <c r="K280" s="508">
        <f t="shared" si="115"/>
        <v>0.16</v>
      </c>
      <c r="L280" s="9">
        <f t="shared" si="116"/>
        <v>4.3820266346738812</v>
      </c>
      <c r="M280" s="7">
        <f>D78*D84/($A$27*$D$18)</f>
        <v>62.66</v>
      </c>
      <c r="N280" s="508">
        <f t="shared" si="114"/>
        <v>0.12531999999999999</v>
      </c>
      <c r="O280" s="9">
        <f t="shared" si="117"/>
        <v>4.1377232855240456</v>
      </c>
      <c r="P280" s="7">
        <f t="shared" si="118"/>
        <v>17.340000000000003</v>
      </c>
      <c r="Q280" s="9">
        <f t="shared" si="119"/>
        <v>2.1905536686052454</v>
      </c>
      <c r="R280" s="376">
        <f t="shared" si="120"/>
        <v>39.088535863973703</v>
      </c>
    </row>
    <row r="281" spans="7:21">
      <c r="G281" s="7" t="str">
        <f>$A$12</f>
        <v>Negative</v>
      </c>
      <c r="H281" t="str">
        <f>$B$12</f>
        <v>Male</v>
      </c>
      <c r="I281" t="str">
        <f>$C$12</f>
        <v>Therapy 1</v>
      </c>
      <c r="J281" s="7">
        <f>$D$12</f>
        <v>9</v>
      </c>
      <c r="K281" s="508">
        <f t="shared" si="115"/>
        <v>1.7999999999999999E-2</v>
      </c>
      <c r="L281" s="9">
        <f t="shared" si="116"/>
        <v>2.1972245773362196</v>
      </c>
      <c r="M281" s="7">
        <f t="shared" ref="M281:M286" si="121">M275</f>
        <v>30.044</v>
      </c>
      <c r="N281" s="508">
        <f t="shared" si="114"/>
        <v>6.0088000000000003E-2</v>
      </c>
      <c r="O281" s="9">
        <f t="shared" si="117"/>
        <v>3.4026629738237655</v>
      </c>
      <c r="P281" s="7">
        <f t="shared" si="118"/>
        <v>-21.044</v>
      </c>
      <c r="Q281" s="9">
        <f t="shared" si="119"/>
        <v>-3.8392767286943612</v>
      </c>
      <c r="R281" s="376">
        <f t="shared" si="120"/>
        <v>-21.697891136775826</v>
      </c>
    </row>
    <row r="282" spans="7:21">
      <c r="G282" s="7" t="str">
        <f>$A$13</f>
        <v>Negative</v>
      </c>
      <c r="H282" t="str">
        <f>$B$13</f>
        <v>Male</v>
      </c>
      <c r="I282" t="str">
        <f>$C$13</f>
        <v>Therapy 2</v>
      </c>
      <c r="J282" s="7">
        <f>$D$13</f>
        <v>12</v>
      </c>
      <c r="K282" s="508">
        <f t="shared" si="115"/>
        <v>2.4E-2</v>
      </c>
      <c r="L282" s="9">
        <f t="shared" si="116"/>
        <v>2.4849066497880004</v>
      </c>
      <c r="M282" s="7">
        <f t="shared" si="121"/>
        <v>32.116</v>
      </c>
      <c r="N282" s="508">
        <f t="shared" si="114"/>
        <v>6.4231999999999997E-2</v>
      </c>
      <c r="O282" s="9">
        <f t="shared" si="117"/>
        <v>3.4693543483224376</v>
      </c>
      <c r="P282" s="7">
        <f t="shared" si="118"/>
        <v>-20.116</v>
      </c>
      <c r="Q282" s="9">
        <f t="shared" si="119"/>
        <v>-3.5496121505356455</v>
      </c>
      <c r="R282" s="376">
        <f t="shared" si="120"/>
        <v>-23.626744764826494</v>
      </c>
    </row>
    <row r="283" spans="7:21">
      <c r="G283" s="7" t="str">
        <f>$A$14</f>
        <v>Negative</v>
      </c>
      <c r="H283" t="str">
        <f>$B$14</f>
        <v>Male</v>
      </c>
      <c r="I283" t="str">
        <f>$C$14</f>
        <v>Therapy 3</v>
      </c>
      <c r="J283" s="7">
        <f>$D$14</f>
        <v>17</v>
      </c>
      <c r="K283" s="508">
        <f t="shared" si="115"/>
        <v>3.4000000000000002E-2</v>
      </c>
      <c r="L283" s="9">
        <f t="shared" si="116"/>
        <v>2.8332133440562162</v>
      </c>
      <c r="M283" s="7">
        <f t="shared" si="121"/>
        <v>67.34</v>
      </c>
      <c r="N283" s="508">
        <f t="shared" si="114"/>
        <v>0.13467999999999999</v>
      </c>
      <c r="O283" s="9">
        <f t="shared" si="117"/>
        <v>4.2097544137329281</v>
      </c>
      <c r="P283" s="7">
        <f t="shared" si="118"/>
        <v>-50.34</v>
      </c>
      <c r="Q283" s="9">
        <f t="shared" si="119"/>
        <v>-6.1344644665736148</v>
      </c>
      <c r="R283" s="376">
        <f t="shared" si="120"/>
        <v>-46.802396369008207</v>
      </c>
    </row>
    <row r="284" spans="7:21">
      <c r="G284" s="7" t="str">
        <f>$A$15</f>
        <v>Negative</v>
      </c>
      <c r="H284" t="str">
        <f>$B$15</f>
        <v>Female</v>
      </c>
      <c r="I284" t="str">
        <f>$C$15</f>
        <v>Therapy 1</v>
      </c>
      <c r="J284" s="7">
        <f>$D$15</f>
        <v>16</v>
      </c>
      <c r="K284" s="508">
        <f t="shared" si="115"/>
        <v>3.2000000000000001E-2</v>
      </c>
      <c r="L284" s="9">
        <f t="shared" si="116"/>
        <v>2.7725887222397811</v>
      </c>
      <c r="M284" s="7">
        <f t="shared" si="121"/>
        <v>27.956</v>
      </c>
      <c r="N284" s="508">
        <f t="shared" si="114"/>
        <v>5.5911999999999996E-2</v>
      </c>
      <c r="O284" s="9">
        <f t="shared" si="117"/>
        <v>3.3306318456148825</v>
      </c>
      <c r="P284" s="7">
        <f t="shared" si="118"/>
        <v>-11.956</v>
      </c>
      <c r="Q284" s="9">
        <f t="shared" si="119"/>
        <v>-2.2612490138394277</v>
      </c>
      <c r="R284" s="376">
        <f t="shared" si="120"/>
        <v>-17.857379948003242</v>
      </c>
    </row>
    <row r="285" spans="7:21">
      <c r="G285" s="7" t="str">
        <f>$A$16</f>
        <v>Negative</v>
      </c>
      <c r="H285" t="str">
        <f>$B$16</f>
        <v>Female</v>
      </c>
      <c r="I285" t="str">
        <f>$C$16</f>
        <v>Therapy 2</v>
      </c>
      <c r="J285" s="7">
        <f>$D$16</f>
        <v>33</v>
      </c>
      <c r="K285" s="508">
        <f t="shared" si="115"/>
        <v>6.6000000000000003E-2</v>
      </c>
      <c r="L285" s="9">
        <f t="shared" si="116"/>
        <v>3.4965075614664802</v>
      </c>
      <c r="M285" s="7">
        <f t="shared" si="121"/>
        <v>29.884</v>
      </c>
      <c r="N285" s="508">
        <f t="shared" si="114"/>
        <v>5.9768000000000002E-2</v>
      </c>
      <c r="O285" s="9">
        <f t="shared" si="117"/>
        <v>3.397323220113555</v>
      </c>
      <c r="P285" s="7">
        <f t="shared" si="118"/>
        <v>3.1159999999999997</v>
      </c>
      <c r="Q285" s="9">
        <f t="shared" si="119"/>
        <v>0.57000423859576066</v>
      </c>
      <c r="R285" s="376">
        <f t="shared" si="120"/>
        <v>6.5461665292930631</v>
      </c>
    </row>
    <row r="286" spans="7:21">
      <c r="G286" s="10" t="str">
        <f>$A$17</f>
        <v>Negative</v>
      </c>
      <c r="H286" s="11" t="str">
        <f>$B$17</f>
        <v>Female</v>
      </c>
      <c r="I286" s="11" t="str">
        <f>$C$17</f>
        <v>Therapy 3</v>
      </c>
      <c r="J286" s="10">
        <f>$D$17</f>
        <v>56</v>
      </c>
      <c r="K286" s="509">
        <f t="shared" si="115"/>
        <v>0.112</v>
      </c>
      <c r="L286" s="12">
        <f t="shared" si="116"/>
        <v>4.0253516907351496</v>
      </c>
      <c r="M286" s="10">
        <f t="shared" si="121"/>
        <v>62.66</v>
      </c>
      <c r="N286" s="509">
        <f t="shared" si="114"/>
        <v>0.12531999999999999</v>
      </c>
      <c r="O286" s="12">
        <f t="shared" si="117"/>
        <v>4.1377232855240456</v>
      </c>
      <c r="P286" s="533">
        <f t="shared" si="118"/>
        <v>-6.6599999999999966</v>
      </c>
      <c r="Q286" s="12">
        <f t="shared" si="119"/>
        <v>-0.84135452323592419</v>
      </c>
      <c r="R286" s="268">
        <f t="shared" si="120"/>
        <v>-12.585618616356342</v>
      </c>
    </row>
    <row r="287" spans="7:21">
      <c r="R287">
        <f>SUM(R275:R286)</f>
        <v>159.09718607515288</v>
      </c>
    </row>
    <row r="289" spans="7:21">
      <c r="G289" s="1" t="s">
        <v>1318</v>
      </c>
    </row>
    <row r="291" spans="7:21">
      <c r="J291" s="1591" t="s">
        <v>703</v>
      </c>
      <c r="K291" s="1592"/>
      <c r="L291" s="1593"/>
      <c r="M291" s="1591" t="s">
        <v>1261</v>
      </c>
      <c r="N291" s="1592"/>
      <c r="O291" s="1593"/>
      <c r="P291" s="1588" t="s">
        <v>704</v>
      </c>
      <c r="Q291" s="1594"/>
    </row>
    <row r="292" spans="7:21">
      <c r="G292" s="516" t="str">
        <f>$A$5</f>
        <v>Cure</v>
      </c>
      <c r="H292" s="503" t="str">
        <f>$B$5</f>
        <v>Gender</v>
      </c>
      <c r="I292" s="503" t="str">
        <f>$C$5</f>
        <v>Therapy</v>
      </c>
      <c r="J292" s="505" t="s">
        <v>1259</v>
      </c>
      <c r="K292" s="506" t="s">
        <v>1258</v>
      </c>
      <c r="L292" s="507" t="s">
        <v>759</v>
      </c>
      <c r="M292" s="505" t="s">
        <v>1260</v>
      </c>
      <c r="N292" s="506" t="s">
        <v>1258</v>
      </c>
      <c r="O292" s="507" t="s">
        <v>1251</v>
      </c>
      <c r="P292" s="554" t="s">
        <v>644</v>
      </c>
      <c r="Q292" s="556" t="s">
        <v>1270</v>
      </c>
      <c r="R292" s="511" t="s">
        <v>346</v>
      </c>
      <c r="T292" s="175" t="s">
        <v>346</v>
      </c>
      <c r="U292" s="515">
        <f>R305</f>
        <v>65.129331533013399</v>
      </c>
    </row>
    <row r="293" spans="7:21">
      <c r="G293" s="7" t="str">
        <f>$A$6</f>
        <v>Positive</v>
      </c>
      <c r="H293" t="str">
        <f>$B$6</f>
        <v>Male</v>
      </c>
      <c r="I293" t="str">
        <f>$C$6</f>
        <v>Therapy 1</v>
      </c>
      <c r="J293" s="7">
        <f>$D$6</f>
        <v>59</v>
      </c>
      <c r="K293" s="508">
        <f>J293/$D$18</f>
        <v>0.11799999999999999</v>
      </c>
      <c r="L293" s="9">
        <f>LN(J293)</f>
        <v>4.0775374439057197</v>
      </c>
      <c r="M293" s="7">
        <f>D72*D82/($B$27*$D$18)</f>
        <v>41.411999999999999</v>
      </c>
      <c r="N293" s="508">
        <f t="shared" ref="N293:N304" si="122">M293/D$44</f>
        <v>8.2823999999999995E-2</v>
      </c>
      <c r="O293" s="9">
        <f>LN(M293)</f>
        <v>3.7235706939038669</v>
      </c>
      <c r="P293" s="553">
        <f>J293-M293</f>
        <v>17.588000000000001</v>
      </c>
      <c r="Q293" s="552">
        <f>P293/SQRT(M293)</f>
        <v>2.7330863571150954</v>
      </c>
      <c r="R293" s="376">
        <f>2*J293*(L293-O293)</f>
        <v>41.768076500218633</v>
      </c>
      <c r="T293" t="s">
        <v>186</v>
      </c>
      <c r="U293" s="376">
        <f>A27*B27*C27-A27-C27+1</f>
        <v>8</v>
      </c>
    </row>
    <row r="294" spans="7:21">
      <c r="G294" s="7" t="str">
        <f>$A$7</f>
        <v>Positive</v>
      </c>
      <c r="H294" t="str">
        <f>$B$7</f>
        <v>Male</v>
      </c>
      <c r="I294" t="str">
        <f>$C$7</f>
        <v>Therapy 2</v>
      </c>
      <c r="J294" s="7">
        <f>$D$7</f>
        <v>55</v>
      </c>
      <c r="K294" s="508">
        <f t="shared" ref="K294:K304" si="123">J294/$D$18</f>
        <v>0.11</v>
      </c>
      <c r="L294" s="9">
        <f t="shared" ref="L294:L304" si="124">LN(J294)</f>
        <v>4.0073331852324712</v>
      </c>
      <c r="M294" s="7">
        <f>D72*D83/($B$27*$D$18)</f>
        <v>44.268000000000001</v>
      </c>
      <c r="N294" s="508">
        <f t="shared" si="122"/>
        <v>8.8536000000000004E-2</v>
      </c>
      <c r="O294" s="9">
        <f t="shared" ref="O294:O304" si="125">LN(M294)</f>
        <v>3.790262068402539</v>
      </c>
      <c r="P294" s="7">
        <f t="shared" ref="P294:P304" si="126">J294-M294</f>
        <v>10.731999999999999</v>
      </c>
      <c r="Q294" s="9">
        <f t="shared" ref="Q294:Q304" si="127">P294/SQRT(M294)</f>
        <v>1.6130049990480522</v>
      </c>
      <c r="R294" s="376">
        <f t="shared" ref="R294:R304" si="128">2*J294*(L294-O294)</f>
        <v>23.877822851292542</v>
      </c>
      <c r="T294" s="65" t="s">
        <v>157</v>
      </c>
      <c r="U294" s="376">
        <v>0.05</v>
      </c>
    </row>
    <row r="295" spans="7:21">
      <c r="G295" s="7" t="str">
        <f>$A$8</f>
        <v>Positive</v>
      </c>
      <c r="H295" t="str">
        <f>$B$8</f>
        <v>Male</v>
      </c>
      <c r="I295" t="str">
        <f>$C$8</f>
        <v>Therapy 3</v>
      </c>
      <c r="J295" s="7">
        <f>$D$8</f>
        <v>107</v>
      </c>
      <c r="K295" s="508">
        <f t="shared" si="123"/>
        <v>0.214</v>
      </c>
      <c r="L295" s="9">
        <f t="shared" si="124"/>
        <v>4.6728288344619058</v>
      </c>
      <c r="M295" s="7">
        <f>D72*D84/($B$27*$D$18)</f>
        <v>92.82</v>
      </c>
      <c r="N295" s="508">
        <f t="shared" si="122"/>
        <v>0.18564</v>
      </c>
      <c r="O295" s="9">
        <f t="shared" si="125"/>
        <v>4.5306621338130295</v>
      </c>
      <c r="P295" s="7">
        <f t="shared" si="126"/>
        <v>14.180000000000007</v>
      </c>
      <c r="Q295" s="9">
        <f t="shared" si="127"/>
        <v>1.4718225373854354</v>
      </c>
      <c r="R295" s="376">
        <f t="shared" si="128"/>
        <v>30.423673938859523</v>
      </c>
      <c r="T295" s="493" t="s">
        <v>200</v>
      </c>
      <c r="U295" s="376">
        <f>CHIDIST(U292,U293)</f>
        <v>4.5500790504720033E-11</v>
      </c>
    </row>
    <row r="296" spans="7:21">
      <c r="G296" s="7" t="str">
        <f>$A$9</f>
        <v>Positive</v>
      </c>
      <c r="H296" t="str">
        <f>$B$9</f>
        <v>Female</v>
      </c>
      <c r="I296" t="str">
        <f>$C$9</f>
        <v>Therapy 1</v>
      </c>
      <c r="J296" s="7">
        <f>$D$9</f>
        <v>32</v>
      </c>
      <c r="K296" s="508">
        <f t="shared" si="123"/>
        <v>6.4000000000000001E-2</v>
      </c>
      <c r="L296" s="9">
        <f t="shared" si="124"/>
        <v>3.4657359027997265</v>
      </c>
      <c r="M296" s="7">
        <f>M293</f>
        <v>41.411999999999999</v>
      </c>
      <c r="N296" s="508">
        <f t="shared" si="122"/>
        <v>8.2823999999999995E-2</v>
      </c>
      <c r="O296" s="9">
        <f t="shared" si="125"/>
        <v>3.7235706939038669</v>
      </c>
      <c r="P296" s="7">
        <f t="shared" si="126"/>
        <v>-9.411999999999999</v>
      </c>
      <c r="Q296" s="9">
        <f t="shared" si="127"/>
        <v>-1.4625772568323445</v>
      </c>
      <c r="R296" s="376">
        <f t="shared" si="128"/>
        <v>-16.50142663066498</v>
      </c>
      <c r="T296" s="175" t="s">
        <v>347</v>
      </c>
      <c r="U296" s="376">
        <f>CHIINV(U294,U293)</f>
        <v>15.507313055865453</v>
      </c>
    </row>
    <row r="297" spans="7:21">
      <c r="G297" s="7" t="str">
        <f>$A$10</f>
        <v>Positive</v>
      </c>
      <c r="H297" t="str">
        <f>$B$10</f>
        <v>Female</v>
      </c>
      <c r="I297" t="str">
        <f>$C$10</f>
        <v>Therapy 2</v>
      </c>
      <c r="J297" s="7">
        <f>$D$10</f>
        <v>24</v>
      </c>
      <c r="K297" s="508">
        <f t="shared" si="123"/>
        <v>4.8000000000000001E-2</v>
      </c>
      <c r="L297" s="9">
        <f t="shared" si="124"/>
        <v>3.1780538303479458</v>
      </c>
      <c r="M297" s="7">
        <f>M294</f>
        <v>44.268000000000001</v>
      </c>
      <c r="N297" s="508">
        <f t="shared" si="122"/>
        <v>8.8536000000000004E-2</v>
      </c>
      <c r="O297" s="9">
        <f t="shared" si="125"/>
        <v>3.790262068402539</v>
      </c>
      <c r="P297" s="7">
        <f t="shared" si="126"/>
        <v>-20.268000000000001</v>
      </c>
      <c r="Q297" s="9">
        <f t="shared" si="127"/>
        <v>-3.0462528252614542</v>
      </c>
      <c r="R297" s="376">
        <f t="shared" si="128"/>
        <v>-29.385995426620475</v>
      </c>
      <c r="T297" s="493" t="s">
        <v>948</v>
      </c>
      <c r="U297" s="266" t="str">
        <f>IF(U295&lt;U294,"yes","no")</f>
        <v>yes</v>
      </c>
    </row>
    <row r="298" spans="7:21">
      <c r="G298" s="7" t="str">
        <f>$A$11</f>
        <v>Positive</v>
      </c>
      <c r="H298" t="str">
        <f>$B$11</f>
        <v>Female</v>
      </c>
      <c r="I298" t="str">
        <f>$C$11</f>
        <v>Therapy 3</v>
      </c>
      <c r="J298" s="7">
        <f>$D$11</f>
        <v>80</v>
      </c>
      <c r="K298" s="508">
        <f t="shared" si="123"/>
        <v>0.16</v>
      </c>
      <c r="L298" s="9">
        <f t="shared" si="124"/>
        <v>4.3820266346738812</v>
      </c>
      <c r="M298" s="7">
        <f>M295</f>
        <v>92.82</v>
      </c>
      <c r="N298" s="508">
        <f t="shared" si="122"/>
        <v>0.18564</v>
      </c>
      <c r="O298" s="9">
        <f t="shared" si="125"/>
        <v>4.5306621338130295</v>
      </c>
      <c r="P298" s="7">
        <f t="shared" si="126"/>
        <v>-12.819999999999993</v>
      </c>
      <c r="Q298" s="9">
        <f t="shared" si="127"/>
        <v>-1.3306604322483262</v>
      </c>
      <c r="R298" s="376">
        <f t="shared" si="128"/>
        <v>-23.781679862263729</v>
      </c>
    </row>
    <row r="299" spans="7:21">
      <c r="G299" s="7" t="str">
        <f>$A$12</f>
        <v>Negative</v>
      </c>
      <c r="H299" t="str">
        <f>$B$12</f>
        <v>Male</v>
      </c>
      <c r="I299" t="str">
        <f>$C$12</f>
        <v>Therapy 1</v>
      </c>
      <c r="J299" s="7">
        <f>$D$12</f>
        <v>9</v>
      </c>
      <c r="K299" s="508">
        <f t="shared" si="123"/>
        <v>1.7999999999999999E-2</v>
      </c>
      <c r="L299" s="9">
        <f t="shared" si="124"/>
        <v>2.1972245773362196</v>
      </c>
      <c r="M299" s="7">
        <f>D73*D82/($B$27*$D$18)</f>
        <v>16.588000000000001</v>
      </c>
      <c r="N299" s="508">
        <f t="shared" si="122"/>
        <v>3.3176000000000004E-2</v>
      </c>
      <c r="O299" s="9">
        <f t="shared" si="125"/>
        <v>2.8086795423841351</v>
      </c>
      <c r="P299" s="7">
        <f t="shared" si="126"/>
        <v>-7.588000000000001</v>
      </c>
      <c r="Q299" s="9">
        <f t="shared" si="127"/>
        <v>-1.8630748740982643</v>
      </c>
      <c r="R299" s="376">
        <f t="shared" si="128"/>
        <v>-11.006189370862479</v>
      </c>
    </row>
    <row r="300" spans="7:21">
      <c r="G300" s="7" t="str">
        <f>$A$13</f>
        <v>Negative</v>
      </c>
      <c r="H300" t="str">
        <f>$B$13</f>
        <v>Male</v>
      </c>
      <c r="I300" t="str">
        <f>$C$13</f>
        <v>Therapy 2</v>
      </c>
      <c r="J300" s="7">
        <f>$D$13</f>
        <v>12</v>
      </c>
      <c r="K300" s="508">
        <f t="shared" si="123"/>
        <v>2.4E-2</v>
      </c>
      <c r="L300" s="9">
        <f t="shared" si="124"/>
        <v>2.4849066497880004</v>
      </c>
      <c r="M300" s="7">
        <f>D73*D83/($B$27*$D$18)</f>
        <v>17.731999999999999</v>
      </c>
      <c r="N300" s="508">
        <f t="shared" si="122"/>
        <v>3.5463999999999996E-2</v>
      </c>
      <c r="O300" s="9">
        <f t="shared" si="125"/>
        <v>2.8753709168828072</v>
      </c>
      <c r="P300" s="7">
        <f t="shared" si="126"/>
        <v>-5.7319999999999993</v>
      </c>
      <c r="Q300" s="9">
        <f t="shared" si="127"/>
        <v>-1.3612168624865759</v>
      </c>
      <c r="R300" s="376">
        <f t="shared" si="128"/>
        <v>-9.3711424102753647</v>
      </c>
    </row>
    <row r="301" spans="7:21">
      <c r="G301" s="7" t="str">
        <f>$A$14</f>
        <v>Negative</v>
      </c>
      <c r="H301" t="str">
        <f>$B$14</f>
        <v>Male</v>
      </c>
      <c r="I301" t="str">
        <f>$C$14</f>
        <v>Therapy 3</v>
      </c>
      <c r="J301" s="7">
        <f>$D$14</f>
        <v>17</v>
      </c>
      <c r="K301" s="508">
        <f t="shared" si="123"/>
        <v>3.4000000000000002E-2</v>
      </c>
      <c r="L301" s="9">
        <f t="shared" si="124"/>
        <v>2.8332133440562162</v>
      </c>
      <c r="M301" s="7">
        <f>D73*D84/($B$27*$D$18)</f>
        <v>37.18</v>
      </c>
      <c r="N301" s="508">
        <f t="shared" si="122"/>
        <v>7.4359999999999996E-2</v>
      </c>
      <c r="O301" s="9">
        <f t="shared" si="125"/>
        <v>3.6157709822932977</v>
      </c>
      <c r="P301" s="7">
        <f t="shared" si="126"/>
        <v>-20.18</v>
      </c>
      <c r="Q301" s="9">
        <f t="shared" si="127"/>
        <v>-3.3095311200432449</v>
      </c>
      <c r="R301" s="376">
        <f t="shared" si="128"/>
        <v>-26.606959700060774</v>
      </c>
    </row>
    <row r="302" spans="7:21">
      <c r="G302" s="7" t="str">
        <f>$A$15</f>
        <v>Negative</v>
      </c>
      <c r="H302" t="str">
        <f>$B$15</f>
        <v>Female</v>
      </c>
      <c r="I302" t="str">
        <f>$C$15</f>
        <v>Therapy 1</v>
      </c>
      <c r="J302" s="7">
        <f>$D$15</f>
        <v>16</v>
      </c>
      <c r="K302" s="508">
        <f t="shared" si="123"/>
        <v>3.2000000000000001E-2</v>
      </c>
      <c r="L302" s="9">
        <f t="shared" si="124"/>
        <v>2.7725887222397811</v>
      </c>
      <c r="M302" s="7">
        <f>M299</f>
        <v>16.588000000000001</v>
      </c>
      <c r="N302" s="508">
        <f t="shared" si="122"/>
        <v>3.3176000000000004E-2</v>
      </c>
      <c r="O302" s="9">
        <f t="shared" si="125"/>
        <v>2.8086795423841351</v>
      </c>
      <c r="P302" s="7">
        <f t="shared" si="126"/>
        <v>-0.58800000000000097</v>
      </c>
      <c r="Q302" s="9">
        <f t="shared" si="127"/>
        <v>-0.14437111570503178</v>
      </c>
      <c r="R302" s="376">
        <f t="shared" si="128"/>
        <v>-1.1549062446193261</v>
      </c>
    </row>
    <row r="303" spans="7:21">
      <c r="G303" s="7" t="str">
        <f>$A$16</f>
        <v>Negative</v>
      </c>
      <c r="H303" t="str">
        <f>$B$16</f>
        <v>Female</v>
      </c>
      <c r="I303" t="str">
        <f>$C$16</f>
        <v>Therapy 2</v>
      </c>
      <c r="J303" s="7">
        <f>$D$16</f>
        <v>33</v>
      </c>
      <c r="K303" s="508">
        <f t="shared" si="123"/>
        <v>6.6000000000000003E-2</v>
      </c>
      <c r="L303" s="9">
        <f t="shared" si="124"/>
        <v>3.4965075614664802</v>
      </c>
      <c r="M303" s="7">
        <f>M300</f>
        <v>17.731999999999999</v>
      </c>
      <c r="N303" s="508">
        <f t="shared" si="122"/>
        <v>3.5463999999999996E-2</v>
      </c>
      <c r="O303" s="9">
        <f t="shared" si="125"/>
        <v>2.8753709168828072</v>
      </c>
      <c r="P303" s="7">
        <f t="shared" si="126"/>
        <v>15.268000000000001</v>
      </c>
      <c r="Q303" s="9">
        <f t="shared" si="127"/>
        <v>3.6257953692332596</v>
      </c>
      <c r="R303" s="376">
        <f t="shared" si="128"/>
        <v>40.995018542522416</v>
      </c>
    </row>
    <row r="304" spans="7:21">
      <c r="G304" s="10" t="str">
        <f>$A$17</f>
        <v>Negative</v>
      </c>
      <c r="H304" s="11" t="str">
        <f>$B$17</f>
        <v>Female</v>
      </c>
      <c r="I304" s="11" t="str">
        <f>$C$17</f>
        <v>Therapy 3</v>
      </c>
      <c r="J304" s="10">
        <f>$D$17</f>
        <v>56</v>
      </c>
      <c r="K304" s="509">
        <f t="shared" si="123"/>
        <v>0.112</v>
      </c>
      <c r="L304" s="12">
        <f t="shared" si="124"/>
        <v>4.0253516907351496</v>
      </c>
      <c r="M304" s="10">
        <f>M301</f>
        <v>37.18</v>
      </c>
      <c r="N304" s="509">
        <f t="shared" si="122"/>
        <v>7.4359999999999996E-2</v>
      </c>
      <c r="O304" s="12">
        <f t="shared" si="125"/>
        <v>3.6157709822932977</v>
      </c>
      <c r="P304" s="533">
        <f t="shared" si="126"/>
        <v>18.82</v>
      </c>
      <c r="Q304" s="12">
        <f t="shared" si="127"/>
        <v>3.0864903706250679</v>
      </c>
      <c r="R304" s="268">
        <f t="shared" si="128"/>
        <v>45.873039345487413</v>
      </c>
    </row>
    <row r="305" spans="7:21">
      <c r="R305">
        <f>SUM(R293:R304)</f>
        <v>65.129331533013399</v>
      </c>
    </row>
    <row r="307" spans="7:21">
      <c r="G307" s="1" t="s">
        <v>1263</v>
      </c>
    </row>
    <row r="309" spans="7:21">
      <c r="J309" s="1591" t="s">
        <v>703</v>
      </c>
      <c r="K309" s="1592"/>
      <c r="L309" s="1593"/>
      <c r="M309" s="1591" t="s">
        <v>1261</v>
      </c>
      <c r="N309" s="1592"/>
      <c r="O309" s="1593"/>
      <c r="P309" s="1588" t="s">
        <v>704</v>
      </c>
      <c r="Q309" s="1594"/>
    </row>
    <row r="310" spans="7:21">
      <c r="G310" s="516" t="str">
        <f>$A$5</f>
        <v>Cure</v>
      </c>
      <c r="H310" s="503" t="str">
        <f>$B$5</f>
        <v>Gender</v>
      </c>
      <c r="I310" s="503" t="str">
        <f>$C$5</f>
        <v>Therapy</v>
      </c>
      <c r="J310" s="505" t="s">
        <v>1259</v>
      </c>
      <c r="K310" s="506" t="s">
        <v>1258</v>
      </c>
      <c r="L310" s="507" t="s">
        <v>759</v>
      </c>
      <c r="M310" s="505" t="s">
        <v>1260</v>
      </c>
      <c r="N310" s="506" t="s">
        <v>1258</v>
      </c>
      <c r="O310" s="507" t="s">
        <v>1251</v>
      </c>
      <c r="P310" s="554" t="s">
        <v>644</v>
      </c>
      <c r="Q310" s="556" t="s">
        <v>1270</v>
      </c>
      <c r="R310" s="511" t="s">
        <v>346</v>
      </c>
      <c r="T310" s="175" t="s">
        <v>346</v>
      </c>
      <c r="U310" s="515">
        <f>R323</f>
        <v>233.56671709648069</v>
      </c>
    </row>
    <row r="311" spans="7:21">
      <c r="G311" s="7" t="str">
        <f>$A$6</f>
        <v>Positive</v>
      </c>
      <c r="H311" t="str">
        <f>$B$6</f>
        <v>Male</v>
      </c>
      <c r="I311" t="str">
        <f>$C$6</f>
        <v>Therapy 1</v>
      </c>
      <c r="J311" s="7">
        <f>$D$6</f>
        <v>59</v>
      </c>
      <c r="K311" s="508">
        <f>J311/$D$18</f>
        <v>0.11799999999999999</v>
      </c>
      <c r="L311" s="9">
        <f>LN(J311)</f>
        <v>4.0775374439057197</v>
      </c>
      <c r="M311" s="7">
        <f>D18/(A27*B27*C27)</f>
        <v>41.666666666666664</v>
      </c>
      <c r="N311" s="508">
        <f t="shared" ref="N311:N322" si="129">M311/D$44</f>
        <v>8.3333333333333329E-2</v>
      </c>
      <c r="O311" s="9">
        <f>LN(M311)</f>
        <v>3.7297014486341915</v>
      </c>
      <c r="P311" s="553">
        <f>J311-M311</f>
        <v>17.333333333333336</v>
      </c>
      <c r="Q311" s="552">
        <f>P311/SQRT(M311)</f>
        <v>2.685268453370476</v>
      </c>
      <c r="R311" s="376">
        <f>2*J311*(L311-O311)</f>
        <v>41.044647442040329</v>
      </c>
      <c r="T311" t="s">
        <v>186</v>
      </c>
      <c r="U311" s="376">
        <f>A27*B27*C27-1</f>
        <v>11</v>
      </c>
    </row>
    <row r="312" spans="7:21">
      <c r="G312" s="7" t="str">
        <f>$A$7</f>
        <v>Positive</v>
      </c>
      <c r="H312" t="str">
        <f>$B$7</f>
        <v>Male</v>
      </c>
      <c r="I312" t="str">
        <f>$C$7</f>
        <v>Therapy 2</v>
      </c>
      <c r="J312" s="7">
        <f>$D$7</f>
        <v>55</v>
      </c>
      <c r="K312" s="508">
        <f t="shared" ref="K312:K322" si="130">J312/$D$18</f>
        <v>0.11</v>
      </c>
      <c r="L312" s="9">
        <f t="shared" ref="L312:L322" si="131">LN(J312)</f>
        <v>4.0073331852324712</v>
      </c>
      <c r="M312" s="7">
        <f>M311</f>
        <v>41.666666666666664</v>
      </c>
      <c r="N312" s="508">
        <f t="shared" si="129"/>
        <v>8.3333333333333329E-2</v>
      </c>
      <c r="O312" s="9">
        <f t="shared" ref="O312:O322" si="132">LN(M312)</f>
        <v>3.7297014486341915</v>
      </c>
      <c r="P312" s="7">
        <f t="shared" ref="P312:P322" si="133">J312-M312</f>
        <v>13.333333333333336</v>
      </c>
      <c r="Q312" s="9">
        <f t="shared" ref="Q312:Q322" si="134">P312/SQRT(M312)</f>
        <v>2.0655911179772897</v>
      </c>
      <c r="R312" s="376">
        <f t="shared" ref="R312:R322" si="135">2*J312*(L312-O312)</f>
        <v>30.539491025810761</v>
      </c>
      <c r="T312" s="65" t="s">
        <v>157</v>
      </c>
      <c r="U312" s="376">
        <v>0.05</v>
      </c>
    </row>
    <row r="313" spans="7:21">
      <c r="G313" s="7" t="str">
        <f>$A$8</f>
        <v>Positive</v>
      </c>
      <c r="H313" t="str">
        <f>$B$8</f>
        <v>Male</v>
      </c>
      <c r="I313" t="str">
        <f>$C$8</f>
        <v>Therapy 3</v>
      </c>
      <c r="J313" s="7">
        <f>$D$8</f>
        <v>107</v>
      </c>
      <c r="K313" s="508">
        <f t="shared" si="130"/>
        <v>0.214</v>
      </c>
      <c r="L313" s="9">
        <f t="shared" si="131"/>
        <v>4.6728288344619058</v>
      </c>
      <c r="M313" s="7">
        <f t="shared" ref="M313:M322" si="136">M312</f>
        <v>41.666666666666664</v>
      </c>
      <c r="N313" s="508">
        <f t="shared" si="129"/>
        <v>8.3333333333333329E-2</v>
      </c>
      <c r="O313" s="9">
        <f t="shared" si="132"/>
        <v>3.7297014486341915</v>
      </c>
      <c r="P313" s="7">
        <f t="shared" si="133"/>
        <v>65.333333333333343</v>
      </c>
      <c r="Q313" s="9">
        <f t="shared" si="134"/>
        <v>10.121396478088718</v>
      </c>
      <c r="R313" s="376">
        <f t="shared" si="135"/>
        <v>201.82926056713086</v>
      </c>
      <c r="T313" s="493" t="s">
        <v>200</v>
      </c>
      <c r="U313" s="376">
        <f>CHIDIST(U310,U311)</f>
        <v>7.6366473422312161E-44</v>
      </c>
    </row>
    <row r="314" spans="7:21">
      <c r="G314" s="7" t="str">
        <f>$A$9</f>
        <v>Positive</v>
      </c>
      <c r="H314" t="str">
        <f>$B$9</f>
        <v>Female</v>
      </c>
      <c r="I314" t="str">
        <f>$C$9</f>
        <v>Therapy 1</v>
      </c>
      <c r="J314" s="7">
        <f>$D$9</f>
        <v>32</v>
      </c>
      <c r="K314" s="508">
        <f t="shared" si="130"/>
        <v>6.4000000000000001E-2</v>
      </c>
      <c r="L314" s="9">
        <f t="shared" si="131"/>
        <v>3.4657359027997265</v>
      </c>
      <c r="M314" s="7">
        <f t="shared" si="136"/>
        <v>41.666666666666664</v>
      </c>
      <c r="N314" s="508">
        <f t="shared" si="129"/>
        <v>8.3333333333333329E-2</v>
      </c>
      <c r="O314" s="9">
        <f t="shared" si="132"/>
        <v>3.7297014486341915</v>
      </c>
      <c r="P314" s="7">
        <f t="shared" si="133"/>
        <v>-9.6666666666666643</v>
      </c>
      <c r="Q314" s="9">
        <f t="shared" si="134"/>
        <v>-1.4975535605335342</v>
      </c>
      <c r="R314" s="376">
        <f t="shared" si="135"/>
        <v>-16.893794933405758</v>
      </c>
      <c r="T314" s="175" t="s">
        <v>347</v>
      </c>
      <c r="U314" s="376">
        <f>CHIINV(U312,U311)</f>
        <v>19.675137572682498</v>
      </c>
    </row>
    <row r="315" spans="7:21">
      <c r="G315" s="7" t="str">
        <f>$A$10</f>
        <v>Positive</v>
      </c>
      <c r="H315" t="str">
        <f>$B$10</f>
        <v>Female</v>
      </c>
      <c r="I315" t="str">
        <f>$C$10</f>
        <v>Therapy 2</v>
      </c>
      <c r="J315" s="7">
        <f>$D$10</f>
        <v>24</v>
      </c>
      <c r="K315" s="508">
        <f t="shared" si="130"/>
        <v>4.8000000000000001E-2</v>
      </c>
      <c r="L315" s="9">
        <f t="shared" si="131"/>
        <v>3.1780538303479458</v>
      </c>
      <c r="M315" s="7">
        <f t="shared" si="136"/>
        <v>41.666666666666664</v>
      </c>
      <c r="N315" s="508">
        <f t="shared" si="129"/>
        <v>8.3333333333333329E-2</v>
      </c>
      <c r="O315" s="9">
        <f t="shared" si="132"/>
        <v>3.7297014486341915</v>
      </c>
      <c r="P315" s="7">
        <f t="shared" si="133"/>
        <v>-17.666666666666664</v>
      </c>
      <c r="Q315" s="9">
        <f t="shared" si="134"/>
        <v>-2.7369082313199078</v>
      </c>
      <c r="R315" s="376">
        <f t="shared" si="135"/>
        <v>-26.479085677739796</v>
      </c>
      <c r="T315" s="493" t="s">
        <v>948</v>
      </c>
      <c r="U315" s="266" t="str">
        <f>IF(U313&lt;U312,"yes","no")</f>
        <v>yes</v>
      </c>
    </row>
    <row r="316" spans="7:21">
      <c r="G316" s="7" t="str">
        <f>$A$11</f>
        <v>Positive</v>
      </c>
      <c r="H316" t="str">
        <f>$B$11</f>
        <v>Female</v>
      </c>
      <c r="I316" t="str">
        <f>$C$11</f>
        <v>Therapy 3</v>
      </c>
      <c r="J316" s="7">
        <f>$D$11</f>
        <v>80</v>
      </c>
      <c r="K316" s="508">
        <f t="shared" si="130"/>
        <v>0.16</v>
      </c>
      <c r="L316" s="9">
        <f t="shared" si="131"/>
        <v>4.3820266346738812</v>
      </c>
      <c r="M316" s="7">
        <f t="shared" si="136"/>
        <v>41.666666666666664</v>
      </c>
      <c r="N316" s="508">
        <f t="shared" si="129"/>
        <v>8.3333333333333329E-2</v>
      </c>
      <c r="O316" s="9">
        <f t="shared" si="132"/>
        <v>3.7297014486341915</v>
      </c>
      <c r="P316" s="7">
        <f t="shared" si="133"/>
        <v>38.333333333333336</v>
      </c>
      <c r="Q316" s="9">
        <f t="shared" si="134"/>
        <v>5.9385744641847067</v>
      </c>
      <c r="R316" s="376">
        <f t="shared" si="135"/>
        <v>104.37202976635035</v>
      </c>
    </row>
    <row r="317" spans="7:21">
      <c r="G317" s="7" t="str">
        <f>$A$12</f>
        <v>Negative</v>
      </c>
      <c r="H317" t="str">
        <f>$B$12</f>
        <v>Male</v>
      </c>
      <c r="I317" t="str">
        <f>$C$12</f>
        <v>Therapy 1</v>
      </c>
      <c r="J317" s="7">
        <f>$D$12</f>
        <v>9</v>
      </c>
      <c r="K317" s="508">
        <f t="shared" si="130"/>
        <v>1.7999999999999999E-2</v>
      </c>
      <c r="L317" s="9">
        <f t="shared" si="131"/>
        <v>2.1972245773362196</v>
      </c>
      <c r="M317" s="7">
        <f t="shared" si="136"/>
        <v>41.666666666666664</v>
      </c>
      <c r="N317" s="508">
        <f t="shared" si="129"/>
        <v>8.3333333333333329E-2</v>
      </c>
      <c r="O317" s="9">
        <f t="shared" si="132"/>
        <v>3.7297014486341915</v>
      </c>
      <c r="P317" s="7">
        <f t="shared" si="133"/>
        <v>-32.666666666666664</v>
      </c>
      <c r="Q317" s="9">
        <f t="shared" si="134"/>
        <v>-5.060698239044358</v>
      </c>
      <c r="R317" s="376">
        <f t="shared" si="135"/>
        <v>-27.584583683363494</v>
      </c>
    </row>
    <row r="318" spans="7:21">
      <c r="G318" s="7" t="str">
        <f>$A$13</f>
        <v>Negative</v>
      </c>
      <c r="H318" t="str">
        <f>$B$13</f>
        <v>Male</v>
      </c>
      <c r="I318" t="str">
        <f>$C$13</f>
        <v>Therapy 2</v>
      </c>
      <c r="J318" s="7">
        <f>$D$13</f>
        <v>12</v>
      </c>
      <c r="K318" s="508">
        <f t="shared" si="130"/>
        <v>2.4E-2</v>
      </c>
      <c r="L318" s="9">
        <f t="shared" si="131"/>
        <v>2.4849066497880004</v>
      </c>
      <c r="M318" s="7">
        <f t="shared" si="136"/>
        <v>41.666666666666664</v>
      </c>
      <c r="N318" s="508">
        <f t="shared" si="129"/>
        <v>8.3333333333333329E-2</v>
      </c>
      <c r="O318" s="9">
        <f t="shared" si="132"/>
        <v>3.7297014486341915</v>
      </c>
      <c r="P318" s="7">
        <f t="shared" si="133"/>
        <v>-29.666666666666664</v>
      </c>
      <c r="Q318" s="9">
        <f t="shared" si="134"/>
        <v>-4.5959402374994678</v>
      </c>
      <c r="R318" s="376">
        <f t="shared" si="135"/>
        <v>-29.875075172308588</v>
      </c>
    </row>
    <row r="319" spans="7:21">
      <c r="G319" s="7" t="str">
        <f>$A$14</f>
        <v>Negative</v>
      </c>
      <c r="H319" t="str">
        <f>$B$14</f>
        <v>Male</v>
      </c>
      <c r="I319" t="str">
        <f>$C$14</f>
        <v>Therapy 3</v>
      </c>
      <c r="J319" s="7">
        <f>$D$14</f>
        <v>17</v>
      </c>
      <c r="K319" s="508">
        <f t="shared" si="130"/>
        <v>3.4000000000000002E-2</v>
      </c>
      <c r="L319" s="9">
        <f t="shared" si="131"/>
        <v>2.8332133440562162</v>
      </c>
      <c r="M319" s="7">
        <f t="shared" si="136"/>
        <v>41.666666666666664</v>
      </c>
      <c r="N319" s="508">
        <f t="shared" si="129"/>
        <v>8.3333333333333329E-2</v>
      </c>
      <c r="O319" s="9">
        <f t="shared" si="132"/>
        <v>3.7297014486341915</v>
      </c>
      <c r="P319" s="7">
        <f t="shared" si="133"/>
        <v>-24.666666666666664</v>
      </c>
      <c r="Q319" s="9">
        <f t="shared" si="134"/>
        <v>-3.8213435682579844</v>
      </c>
      <c r="R319" s="376">
        <f t="shared" si="135"/>
        <v>-30.480595555651163</v>
      </c>
    </row>
    <row r="320" spans="7:21">
      <c r="G320" s="7" t="str">
        <f>$A$15</f>
        <v>Negative</v>
      </c>
      <c r="H320" t="str">
        <f>$B$15</f>
        <v>Female</v>
      </c>
      <c r="I320" t="str">
        <f>$C$15</f>
        <v>Therapy 1</v>
      </c>
      <c r="J320" s="7">
        <f>$D$15</f>
        <v>16</v>
      </c>
      <c r="K320" s="508">
        <f t="shared" si="130"/>
        <v>3.2000000000000001E-2</v>
      </c>
      <c r="L320" s="9">
        <f t="shared" si="131"/>
        <v>2.7725887222397811</v>
      </c>
      <c r="M320" s="7">
        <f t="shared" si="136"/>
        <v>41.666666666666664</v>
      </c>
      <c r="N320" s="508">
        <f t="shared" si="129"/>
        <v>8.3333333333333329E-2</v>
      </c>
      <c r="O320" s="9">
        <f t="shared" si="132"/>
        <v>3.7297014486341915</v>
      </c>
      <c r="P320" s="7">
        <f t="shared" si="133"/>
        <v>-25.666666666666664</v>
      </c>
      <c r="Q320" s="9">
        <f t="shared" si="134"/>
        <v>-3.976262902106281</v>
      </c>
      <c r="R320" s="376">
        <f t="shared" si="135"/>
        <v>-30.627607244621132</v>
      </c>
    </row>
    <row r="321" spans="7:25">
      <c r="G321" s="7" t="str">
        <f>$A$16</f>
        <v>Negative</v>
      </c>
      <c r="H321" t="str">
        <f>$B$16</f>
        <v>Female</v>
      </c>
      <c r="I321" t="str">
        <f>$C$16</f>
        <v>Therapy 2</v>
      </c>
      <c r="J321" s="7">
        <f>$D$16</f>
        <v>33</v>
      </c>
      <c r="K321" s="508">
        <f t="shared" si="130"/>
        <v>6.6000000000000003E-2</v>
      </c>
      <c r="L321" s="9">
        <f t="shared" si="131"/>
        <v>3.4965075614664802</v>
      </c>
      <c r="M321" s="7">
        <f t="shared" si="136"/>
        <v>41.666666666666664</v>
      </c>
      <c r="N321" s="508">
        <f t="shared" si="129"/>
        <v>8.3333333333333329E-2</v>
      </c>
      <c r="O321" s="9">
        <f t="shared" si="132"/>
        <v>3.7297014486341915</v>
      </c>
      <c r="P321" s="7">
        <f t="shared" si="133"/>
        <v>-8.6666666666666643</v>
      </c>
      <c r="Q321" s="9">
        <f t="shared" si="134"/>
        <v>-1.3426342266852376</v>
      </c>
      <c r="R321" s="376">
        <f t="shared" si="135"/>
        <v>-15.390796553068945</v>
      </c>
    </row>
    <row r="322" spans="7:25">
      <c r="G322" s="10" t="str">
        <f>$A$17</f>
        <v>Negative</v>
      </c>
      <c r="H322" s="11" t="str">
        <f>$B$17</f>
        <v>Female</v>
      </c>
      <c r="I322" s="11" t="str">
        <f>$C$17</f>
        <v>Therapy 3</v>
      </c>
      <c r="J322" s="10">
        <f>$D$17</f>
        <v>56</v>
      </c>
      <c r="K322" s="509">
        <f t="shared" si="130"/>
        <v>0.112</v>
      </c>
      <c r="L322" s="12">
        <f t="shared" si="131"/>
        <v>4.0253516907351496</v>
      </c>
      <c r="M322" s="10">
        <f t="shared" si="136"/>
        <v>41.666666666666664</v>
      </c>
      <c r="N322" s="509">
        <f t="shared" si="129"/>
        <v>8.3333333333333329E-2</v>
      </c>
      <c r="O322" s="12">
        <f t="shared" si="132"/>
        <v>3.7297014486341915</v>
      </c>
      <c r="P322" s="533">
        <f t="shared" si="133"/>
        <v>14.333333333333336</v>
      </c>
      <c r="Q322" s="12">
        <f t="shared" si="134"/>
        <v>2.2205104518255863</v>
      </c>
      <c r="R322" s="268">
        <f t="shared" si="135"/>
        <v>33.112827115307311</v>
      </c>
    </row>
    <row r="323" spans="7:25">
      <c r="R323">
        <f>SUM(R311:R322)</f>
        <v>233.56671709648069</v>
      </c>
    </row>
    <row r="325" spans="7:25">
      <c r="G325" s="1" t="s">
        <v>1319</v>
      </c>
    </row>
    <row r="327" spans="7:25">
      <c r="J327" s="1591" t="s">
        <v>703</v>
      </c>
      <c r="K327" s="1592"/>
      <c r="L327" s="1593"/>
      <c r="M327" s="1591" t="s">
        <v>1261</v>
      </c>
      <c r="N327" s="1592"/>
      <c r="O327" s="1593"/>
      <c r="P327" s="1588" t="s">
        <v>704</v>
      </c>
      <c r="Q327" s="1594"/>
    </row>
    <row r="328" spans="7:25">
      <c r="G328" s="516" t="str">
        <f>$A$5</f>
        <v>Cure</v>
      </c>
      <c r="H328" s="503" t="str">
        <f>$B$5</f>
        <v>Gender</v>
      </c>
      <c r="I328" s="503" t="str">
        <f>$C$5</f>
        <v>Therapy</v>
      </c>
      <c r="J328" s="505" t="s">
        <v>1259</v>
      </c>
      <c r="K328" s="506" t="s">
        <v>1258</v>
      </c>
      <c r="L328" s="507" t="s">
        <v>759</v>
      </c>
      <c r="M328" s="505" t="s">
        <v>1260</v>
      </c>
      <c r="N328" s="506" t="s">
        <v>1258</v>
      </c>
      <c r="O328" s="507" t="s">
        <v>1251</v>
      </c>
      <c r="P328" s="554" t="s">
        <v>644</v>
      </c>
      <c r="Q328" s="556" t="s">
        <v>1270</v>
      </c>
      <c r="R328" s="511" t="s">
        <v>346</v>
      </c>
      <c r="T328" s="175" t="s">
        <v>346</v>
      </c>
      <c r="U328" s="515">
        <f>R341</f>
        <v>1.1104339218748036</v>
      </c>
      <c r="W328" s="522">
        <f>'Log Lin 2.4'!J6</f>
        <v>60.468941219727789</v>
      </c>
      <c r="X328" s="548">
        <f>'Log Lin 2.4'!K6</f>
        <v>53.109416189162133</v>
      </c>
      <c r="Y328" s="543">
        <f>'Log Lin 2.4'!L6</f>
        <v>107.42164258226687</v>
      </c>
    </row>
    <row r="329" spans="7:25">
      <c r="G329" s="7" t="str">
        <f>$A$6</f>
        <v>Positive</v>
      </c>
      <c r="H329" t="str">
        <f>$B$6</f>
        <v>Male</v>
      </c>
      <c r="I329" t="str">
        <f>$C$6</f>
        <v>Therapy 1</v>
      </c>
      <c r="J329" s="7">
        <f>$D$6</f>
        <v>59</v>
      </c>
      <c r="K329" s="508">
        <f>J329/$D$18</f>
        <v>0.11799999999999999</v>
      </c>
      <c r="L329" s="9">
        <f>LN(J329)</f>
        <v>4.0775374439057197</v>
      </c>
      <c r="M329" s="7">
        <f>W328</f>
        <v>60.468941219727789</v>
      </c>
      <c r="N329" s="508">
        <f t="shared" ref="N329:N340" si="137">M329/D$44</f>
        <v>0.12093788243945558</v>
      </c>
      <c r="O329" s="9">
        <f>LN(M329)</f>
        <v>4.1021298649492275</v>
      </c>
      <c r="P329" s="553">
        <f>J329-M329</f>
        <v>-1.4689412197277889</v>
      </c>
      <c r="Q329" s="552">
        <f>P329/SQRT(M329)</f>
        <v>-0.18890273049201523</v>
      </c>
      <c r="R329" s="376">
        <f>2*J329*(L329-O329)</f>
        <v>-2.9019056831339185</v>
      </c>
      <c r="T329" t="s">
        <v>186</v>
      </c>
      <c r="U329" s="376">
        <f>(A27-1)*(B27-1)*(C27-1)</f>
        <v>2</v>
      </c>
      <c r="W329" s="7">
        <f>'Log Lin 2.4'!J7</f>
        <v>30.531058777114517</v>
      </c>
      <c r="X329" s="8">
        <f>'Log Lin 2.4'!K7</f>
        <v>25.890583824262364</v>
      </c>
      <c r="Y329" s="9">
        <f>'Log Lin 2.4'!L7</f>
        <v>79.578357410410149</v>
      </c>
    </row>
    <row r="330" spans="7:25">
      <c r="G330" s="7" t="str">
        <f>$A$7</f>
        <v>Positive</v>
      </c>
      <c r="H330" t="str">
        <f>$B$7</f>
        <v>Male</v>
      </c>
      <c r="I330" t="str">
        <f>$C$7</f>
        <v>Therapy 2</v>
      </c>
      <c r="J330" s="7">
        <f>$D$7</f>
        <v>55</v>
      </c>
      <c r="K330" s="508">
        <f t="shared" ref="K330:K340" si="138">J330/$D$18</f>
        <v>0.11</v>
      </c>
      <c r="L330" s="9">
        <f t="shared" ref="L330:L340" si="139">LN(J330)</f>
        <v>4.0073331852324712</v>
      </c>
      <c r="M330" s="7">
        <f>X328</f>
        <v>53.109416189162133</v>
      </c>
      <c r="N330" s="508">
        <f t="shared" si="137"/>
        <v>0.10621883237832426</v>
      </c>
      <c r="O330" s="9">
        <f t="shared" ref="O330:O340" si="140">LN(M330)</f>
        <v>3.972354241889652</v>
      </c>
      <c r="P330" s="7">
        <f t="shared" ref="P330:P340" si="141">J330-M330</f>
        <v>1.8905838108378674</v>
      </c>
      <c r="Q330" s="9">
        <f t="shared" ref="Q330:Q340" si="142">P330/SQRT(M330)</f>
        <v>0.25942401173339852</v>
      </c>
      <c r="R330" s="376">
        <f t="shared" ref="R330:R340" si="143">2*J330*(L330-O330)</f>
        <v>3.8476837677101061</v>
      </c>
      <c r="T330" s="65" t="s">
        <v>157</v>
      </c>
      <c r="U330" s="376">
        <v>0.05</v>
      </c>
      <c r="W330" s="7">
        <f>'Log Lin 2.4'!J8</f>
        <v>7.5310587802722173</v>
      </c>
      <c r="X330" s="8">
        <f>'Log Lin 2.4'!K8</f>
        <v>13.890583810837864</v>
      </c>
      <c r="Y330" s="9">
        <f>'Log Lin 2.4'!L8</f>
        <v>16.57835741773313</v>
      </c>
    </row>
    <row r="331" spans="7:25">
      <c r="G331" s="7" t="str">
        <f>$A$8</f>
        <v>Positive</v>
      </c>
      <c r="H331" t="str">
        <f>$B$8</f>
        <v>Male</v>
      </c>
      <c r="I331" t="str">
        <f>$C$8</f>
        <v>Therapy 3</v>
      </c>
      <c r="J331" s="7">
        <f>$D$8</f>
        <v>107</v>
      </c>
      <c r="K331" s="508">
        <f t="shared" si="138"/>
        <v>0.214</v>
      </c>
      <c r="L331" s="9">
        <f t="shared" si="139"/>
        <v>4.6728288344619058</v>
      </c>
      <c r="M331" s="7">
        <f>Y328</f>
        <v>107.42164258226687</v>
      </c>
      <c r="N331" s="508">
        <f t="shared" si="137"/>
        <v>0.21484328516453374</v>
      </c>
      <c r="O331" s="9">
        <f t="shared" si="140"/>
        <v>4.6767616755749533</v>
      </c>
      <c r="P331" s="7">
        <f t="shared" si="141"/>
        <v>-0.42164258226686968</v>
      </c>
      <c r="Q331" s="9">
        <f t="shared" si="142"/>
        <v>-4.0681651020757006E-2</v>
      </c>
      <c r="R331" s="376">
        <f t="shared" si="143"/>
        <v>-0.84162799819216083</v>
      </c>
      <c r="T331" s="493" t="s">
        <v>200</v>
      </c>
      <c r="U331" s="376">
        <f>CHIDIST(U328,U329)</f>
        <v>0.57394772345091205</v>
      </c>
      <c r="W331" s="533">
        <f>'Log Lin 2.4'!J9</f>
        <v>17.468941222885476</v>
      </c>
      <c r="X331" s="11">
        <f>'Log Lin 2.4'!K9</f>
        <v>31.109416175737632</v>
      </c>
      <c r="Y331" s="541">
        <f>'Log Lin 2.4'!L9</f>
        <v>56.421642589589844</v>
      </c>
    </row>
    <row r="332" spans="7:25">
      <c r="G332" s="7" t="str">
        <f>$A$9</f>
        <v>Positive</v>
      </c>
      <c r="H332" t="str">
        <f>$B$9</f>
        <v>Female</v>
      </c>
      <c r="I332" t="str">
        <f>$C$9</f>
        <v>Therapy 1</v>
      </c>
      <c r="J332" s="7">
        <f>$D$9</f>
        <v>32</v>
      </c>
      <c r="K332" s="508">
        <f t="shared" si="138"/>
        <v>6.4000000000000001E-2</v>
      </c>
      <c r="L332" s="9">
        <f t="shared" si="139"/>
        <v>3.4657359027997265</v>
      </c>
      <c r="M332" s="7">
        <f>W329</f>
        <v>30.531058777114517</v>
      </c>
      <c r="N332" s="508">
        <f t="shared" si="137"/>
        <v>6.106211755422903E-2</v>
      </c>
      <c r="O332" s="9">
        <f t="shared" si="140"/>
        <v>3.4187444860378382</v>
      </c>
      <c r="P332" s="7">
        <f t="shared" si="141"/>
        <v>1.4689412228854835</v>
      </c>
      <c r="Q332" s="9">
        <f t="shared" si="142"/>
        <v>0.26584805418548402</v>
      </c>
      <c r="R332" s="376">
        <f t="shared" si="143"/>
        <v>3.0074506727608536</v>
      </c>
      <c r="T332" s="175" t="s">
        <v>347</v>
      </c>
      <c r="U332" s="376">
        <f>CHIINV(U330,U329)</f>
        <v>5.9914645471079817</v>
      </c>
    </row>
    <row r="333" spans="7:25">
      <c r="G333" s="7" t="str">
        <f>$A$10</f>
        <v>Positive</v>
      </c>
      <c r="H333" t="str">
        <f>$B$10</f>
        <v>Female</v>
      </c>
      <c r="I333" t="str">
        <f>$C$10</f>
        <v>Therapy 2</v>
      </c>
      <c r="J333" s="7">
        <f>$D$10</f>
        <v>24</v>
      </c>
      <c r="K333" s="508">
        <f t="shared" si="138"/>
        <v>4.8000000000000001E-2</v>
      </c>
      <c r="L333" s="9">
        <f t="shared" si="139"/>
        <v>3.1780538303479458</v>
      </c>
      <c r="M333" s="7">
        <f>X329</f>
        <v>25.890583824262364</v>
      </c>
      <c r="N333" s="508">
        <f t="shared" si="137"/>
        <v>5.178116764852473E-2</v>
      </c>
      <c r="O333" s="9">
        <f t="shared" si="140"/>
        <v>3.2538793436931406</v>
      </c>
      <c r="P333" s="7">
        <f t="shared" si="141"/>
        <v>-1.8905838242623645</v>
      </c>
      <c r="Q333" s="9">
        <f t="shared" si="142"/>
        <v>-0.37155663060278299</v>
      </c>
      <c r="R333" s="376">
        <f t="shared" si="143"/>
        <v>-3.6396246405693518</v>
      </c>
      <c r="T333" s="493" t="s">
        <v>948</v>
      </c>
      <c r="U333" s="266" t="str">
        <f>IF(U331&lt;U330,"yes","no")</f>
        <v>no</v>
      </c>
    </row>
    <row r="334" spans="7:25">
      <c r="G334" s="7" t="str">
        <f>$A$11</f>
        <v>Positive</v>
      </c>
      <c r="H334" t="str">
        <f>$B$11</f>
        <v>Female</v>
      </c>
      <c r="I334" t="str">
        <f>$C$11</f>
        <v>Therapy 3</v>
      </c>
      <c r="J334" s="7">
        <f>$D$11</f>
        <v>80</v>
      </c>
      <c r="K334" s="508">
        <f t="shared" si="138"/>
        <v>0.16</v>
      </c>
      <c r="L334" s="9">
        <f t="shared" si="139"/>
        <v>4.3820266346738812</v>
      </c>
      <c r="M334" s="7">
        <f>Y329</f>
        <v>79.578357410410149</v>
      </c>
      <c r="N334" s="508">
        <f t="shared" si="137"/>
        <v>0.15915671482082031</v>
      </c>
      <c r="O334" s="9">
        <f t="shared" si="140"/>
        <v>4.3767421640520343</v>
      </c>
      <c r="P334" s="7">
        <f t="shared" si="141"/>
        <v>0.42164258958985101</v>
      </c>
      <c r="Q334" s="9">
        <f t="shared" si="142"/>
        <v>4.7265797139122663E-2</v>
      </c>
      <c r="R334" s="376">
        <f t="shared" si="143"/>
        <v>0.84551529949550286</v>
      </c>
    </row>
    <row r="335" spans="7:25">
      <c r="G335" s="7" t="str">
        <f>$A$12</f>
        <v>Negative</v>
      </c>
      <c r="H335" t="str">
        <f>$B$12</f>
        <v>Male</v>
      </c>
      <c r="I335" t="str">
        <f>$C$12</f>
        <v>Therapy 1</v>
      </c>
      <c r="J335" s="7">
        <f>$D$12</f>
        <v>9</v>
      </c>
      <c r="K335" s="508">
        <f t="shared" si="138"/>
        <v>1.7999999999999999E-2</v>
      </c>
      <c r="L335" s="9">
        <f t="shared" si="139"/>
        <v>2.1972245773362196</v>
      </c>
      <c r="M335" s="7">
        <f>W330</f>
        <v>7.5310587802722173</v>
      </c>
      <c r="N335" s="508">
        <f t="shared" si="137"/>
        <v>1.5062117560544435E-2</v>
      </c>
      <c r="O335" s="9">
        <f t="shared" si="140"/>
        <v>2.0190356401972687</v>
      </c>
      <c r="P335" s="7">
        <f t="shared" si="141"/>
        <v>1.4689412197277827</v>
      </c>
      <c r="Q335" s="9">
        <f t="shared" si="142"/>
        <v>0.535274308398071</v>
      </c>
      <c r="R335" s="376">
        <f t="shared" si="143"/>
        <v>3.2074008685011162</v>
      </c>
    </row>
    <row r="336" spans="7:25">
      <c r="G336" s="7" t="str">
        <f>$A$13</f>
        <v>Negative</v>
      </c>
      <c r="H336" t="str">
        <f>$B$13</f>
        <v>Male</v>
      </c>
      <c r="I336" t="str">
        <f>$C$13</f>
        <v>Therapy 2</v>
      </c>
      <c r="J336" s="7">
        <f>$D$13</f>
        <v>12</v>
      </c>
      <c r="K336" s="508">
        <f t="shared" si="138"/>
        <v>2.4E-2</v>
      </c>
      <c r="L336" s="9">
        <f t="shared" si="139"/>
        <v>2.4849066497880004</v>
      </c>
      <c r="M336" s="7">
        <f>X330</f>
        <v>13.890583810837864</v>
      </c>
      <c r="N336" s="508">
        <f t="shared" si="137"/>
        <v>2.7781167621675727E-2</v>
      </c>
      <c r="O336" s="9">
        <f t="shared" si="140"/>
        <v>2.6312111869008188</v>
      </c>
      <c r="P336" s="7">
        <f t="shared" si="141"/>
        <v>-1.8905838108378639</v>
      </c>
      <c r="Q336" s="9">
        <f t="shared" si="142"/>
        <v>-0.50726591918647645</v>
      </c>
      <c r="R336" s="376">
        <f t="shared" si="143"/>
        <v>-3.5113088907076424</v>
      </c>
    </row>
    <row r="337" spans="7:18">
      <c r="G337" s="7" t="str">
        <f>$A$14</f>
        <v>Negative</v>
      </c>
      <c r="H337" t="str">
        <f>$B$14</f>
        <v>Male</v>
      </c>
      <c r="I337" t="str">
        <f>$C$14</f>
        <v>Therapy 3</v>
      </c>
      <c r="J337" s="7">
        <f>$D$14</f>
        <v>17</v>
      </c>
      <c r="K337" s="508">
        <f t="shared" si="138"/>
        <v>3.4000000000000002E-2</v>
      </c>
      <c r="L337" s="9">
        <f t="shared" si="139"/>
        <v>2.8332133440562162</v>
      </c>
      <c r="M337" s="7">
        <f>Y330</f>
        <v>16.57835741773313</v>
      </c>
      <c r="N337" s="508">
        <f t="shared" si="137"/>
        <v>3.3156714835466262E-2</v>
      </c>
      <c r="O337" s="9">
        <f t="shared" si="140"/>
        <v>2.8080980746988473</v>
      </c>
      <c r="P337" s="7">
        <f t="shared" si="141"/>
        <v>0.42164258226686968</v>
      </c>
      <c r="Q337" s="9">
        <f t="shared" si="142"/>
        <v>0.10355563001304159</v>
      </c>
      <c r="R337" s="376">
        <f t="shared" si="143"/>
        <v>0.85391915815054098</v>
      </c>
    </row>
    <row r="338" spans="7:18">
      <c r="G338" s="7" t="str">
        <f>$A$15</f>
        <v>Negative</v>
      </c>
      <c r="H338" t="str">
        <f>$B$15</f>
        <v>Female</v>
      </c>
      <c r="I338" t="str">
        <f>$C$15</f>
        <v>Therapy 1</v>
      </c>
      <c r="J338" s="7">
        <f>$D$15</f>
        <v>16</v>
      </c>
      <c r="K338" s="508">
        <f t="shared" si="138"/>
        <v>3.2000000000000001E-2</v>
      </c>
      <c r="L338" s="9">
        <f t="shared" si="139"/>
        <v>2.7725887222397811</v>
      </c>
      <c r="M338" s="7">
        <f>W331</f>
        <v>17.468941222885476</v>
      </c>
      <c r="N338" s="508">
        <f t="shared" si="137"/>
        <v>3.4937882445770951E-2</v>
      </c>
      <c r="O338" s="9">
        <f t="shared" si="140"/>
        <v>2.8604245168649323</v>
      </c>
      <c r="P338" s="7">
        <f t="shared" si="141"/>
        <v>-1.4689412228854763</v>
      </c>
      <c r="Q338" s="9">
        <f t="shared" si="142"/>
        <v>-0.35145613344243143</v>
      </c>
      <c r="R338" s="376">
        <f t="shared" si="143"/>
        <v>-2.8107454280048358</v>
      </c>
    </row>
    <row r="339" spans="7:18">
      <c r="G339" s="7" t="str">
        <f>$A$16</f>
        <v>Negative</v>
      </c>
      <c r="H339" t="str">
        <f>$B$16</f>
        <v>Female</v>
      </c>
      <c r="I339" t="str">
        <f>$C$16</f>
        <v>Therapy 2</v>
      </c>
      <c r="J339" s="7">
        <f>$D$16</f>
        <v>33</v>
      </c>
      <c r="K339" s="508">
        <f t="shared" si="138"/>
        <v>6.6000000000000003E-2</v>
      </c>
      <c r="L339" s="9">
        <f t="shared" si="139"/>
        <v>3.4965075614664802</v>
      </c>
      <c r="M339" s="7">
        <f>X331</f>
        <v>31.109416175737632</v>
      </c>
      <c r="N339" s="508">
        <f t="shared" si="137"/>
        <v>6.2218832351475267E-2</v>
      </c>
      <c r="O339" s="9">
        <f t="shared" si="140"/>
        <v>3.4375105442833616</v>
      </c>
      <c r="P339" s="7">
        <f t="shared" si="141"/>
        <v>1.890583824262368</v>
      </c>
      <c r="Q339" s="9">
        <f t="shared" si="142"/>
        <v>0.33896121470584523</v>
      </c>
      <c r="R339" s="376">
        <f t="shared" si="143"/>
        <v>3.8938031340858323</v>
      </c>
    </row>
    <row r="340" spans="7:18">
      <c r="G340" s="10" t="str">
        <f>$A$17</f>
        <v>Negative</v>
      </c>
      <c r="H340" s="11" t="str">
        <f>$B$17</f>
        <v>Female</v>
      </c>
      <c r="I340" s="11" t="str">
        <f>$C$17</f>
        <v>Therapy 3</v>
      </c>
      <c r="J340" s="10">
        <f>$D$17</f>
        <v>56</v>
      </c>
      <c r="K340" s="509">
        <f t="shared" si="138"/>
        <v>0.112</v>
      </c>
      <c r="L340" s="12">
        <f t="shared" si="139"/>
        <v>4.0253516907351496</v>
      </c>
      <c r="M340" s="533">
        <f>Y331</f>
        <v>56.421642589589844</v>
      </c>
      <c r="N340" s="509">
        <f t="shared" si="137"/>
        <v>0.11284328517917969</v>
      </c>
      <c r="O340" s="12">
        <f t="shared" si="140"/>
        <v>4.0328528187549821</v>
      </c>
      <c r="P340" s="533">
        <f t="shared" si="141"/>
        <v>-0.42164258958984391</v>
      </c>
      <c r="Q340" s="12">
        <f t="shared" si="142"/>
        <v>-5.6133433731185761E-2</v>
      </c>
      <c r="R340" s="268">
        <f t="shared" si="143"/>
        <v>-0.84012633822123917</v>
      </c>
    </row>
    <row r="341" spans="7:18">
      <c r="R341">
        <f>SUM(R329:R340)</f>
        <v>1.1104339218748036</v>
      </c>
    </row>
  </sheetData>
  <mergeCells count="57">
    <mergeCell ref="J6:L6"/>
    <mergeCell ref="M6:O6"/>
    <mergeCell ref="P6:Q6"/>
    <mergeCell ref="J23:L23"/>
    <mergeCell ref="M23:O23"/>
    <mergeCell ref="P23:Q23"/>
    <mergeCell ref="J40:L40"/>
    <mergeCell ref="M40:O40"/>
    <mergeCell ref="P40:Q40"/>
    <mergeCell ref="J57:L57"/>
    <mergeCell ref="M57:O57"/>
    <mergeCell ref="P57:Q57"/>
    <mergeCell ref="J75:L75"/>
    <mergeCell ref="M75:O75"/>
    <mergeCell ref="P75:Q75"/>
    <mergeCell ref="J93:L93"/>
    <mergeCell ref="M93:O93"/>
    <mergeCell ref="P93:Q93"/>
    <mergeCell ref="J111:L111"/>
    <mergeCell ref="M111:O111"/>
    <mergeCell ref="P111:Q111"/>
    <mergeCell ref="J129:L129"/>
    <mergeCell ref="M129:O129"/>
    <mergeCell ref="P129:Q129"/>
    <mergeCell ref="J147:L147"/>
    <mergeCell ref="M147:O147"/>
    <mergeCell ref="P147:Q147"/>
    <mergeCell ref="J165:L165"/>
    <mergeCell ref="M165:O165"/>
    <mergeCell ref="P165:Q165"/>
    <mergeCell ref="J183:L183"/>
    <mergeCell ref="M183:O183"/>
    <mergeCell ref="P183:Q183"/>
    <mergeCell ref="J201:L201"/>
    <mergeCell ref="M201:O201"/>
    <mergeCell ref="P201:Q201"/>
    <mergeCell ref="J219:L219"/>
    <mergeCell ref="M219:O219"/>
    <mergeCell ref="P219:Q219"/>
    <mergeCell ref="J237:L237"/>
    <mergeCell ref="M237:O237"/>
    <mergeCell ref="P237:Q237"/>
    <mergeCell ref="J255:L255"/>
    <mergeCell ref="M255:O255"/>
    <mergeCell ref="P255:Q255"/>
    <mergeCell ref="J273:L273"/>
    <mergeCell ref="M273:O273"/>
    <mergeCell ref="P273:Q273"/>
    <mergeCell ref="J327:L327"/>
    <mergeCell ref="M327:O327"/>
    <mergeCell ref="P327:Q327"/>
    <mergeCell ref="J291:L291"/>
    <mergeCell ref="M291:O291"/>
    <mergeCell ref="P291:Q291"/>
    <mergeCell ref="J309:L309"/>
    <mergeCell ref="M309:O309"/>
    <mergeCell ref="P309:Q309"/>
  </mergeCells>
  <pageMargins left="0.7" right="0.7" top="0.75" bottom="0.75" header="0.3" footer="0.3"/>
  <ignoredErrors>
    <ignoredError sqref="D127" evalError="1"/>
  </ignoredErrors>
</worksheet>
</file>

<file path=xl/worksheets/sheet265.xml><?xml version="1.0" encoding="utf-8"?>
<worksheet xmlns="http://schemas.openxmlformats.org/spreadsheetml/2006/main" xmlns:r="http://schemas.openxmlformats.org/officeDocument/2006/relationships">
  <sheetPr codeName="Sheet139"/>
  <dimension ref="A1:M84"/>
  <sheetViews>
    <sheetView workbookViewId="0"/>
  </sheetViews>
  <sheetFormatPr defaultRowHeight="14.4"/>
  <sheetData>
    <row r="1" spans="1:13">
      <c r="A1" s="1" t="s">
        <v>1327</v>
      </c>
    </row>
    <row r="2" spans="1:13">
      <c r="A2" s="1"/>
    </row>
    <row r="3" spans="1:13">
      <c r="A3" s="25" t="s">
        <v>224</v>
      </c>
      <c r="H3" t="s">
        <v>1328</v>
      </c>
    </row>
    <row r="5" spans="1:13">
      <c r="C5" s="19" t="s">
        <v>360</v>
      </c>
      <c r="D5" s="19" t="s">
        <v>361</v>
      </c>
      <c r="E5" s="19" t="s">
        <v>1286</v>
      </c>
      <c r="J5" s="19" t="s">
        <v>360</v>
      </c>
      <c r="K5" s="19" t="s">
        <v>361</v>
      </c>
      <c r="L5" s="19" t="s">
        <v>1286</v>
      </c>
    </row>
    <row r="6" spans="1:13">
      <c r="A6" t="s">
        <v>1288</v>
      </c>
      <c r="B6" t="s">
        <v>383</v>
      </c>
      <c r="C6" s="522">
        <v>59</v>
      </c>
      <c r="D6" s="548">
        <v>55</v>
      </c>
      <c r="E6" s="543">
        <v>107</v>
      </c>
      <c r="F6">
        <f>SUM(C6:E6)</f>
        <v>221</v>
      </c>
      <c r="H6" t="s">
        <v>1288</v>
      </c>
      <c r="I6" t="s">
        <v>383</v>
      </c>
      <c r="J6" s="553">
        <f>$M6*J12/$M12</f>
        <v>56.333333333333336</v>
      </c>
      <c r="K6" s="557">
        <f>$M6*K12/$M12</f>
        <v>48.904761904761905</v>
      </c>
      <c r="L6" s="552">
        <f>$M6*L12/$M12</f>
        <v>115.76190476190476</v>
      </c>
      <c r="M6">
        <f>F6</f>
        <v>221</v>
      </c>
    </row>
    <row r="7" spans="1:13">
      <c r="A7" t="s">
        <v>1288</v>
      </c>
      <c r="B7" t="s">
        <v>342</v>
      </c>
      <c r="C7" s="7">
        <v>32</v>
      </c>
      <c r="D7" s="8">
        <v>24</v>
      </c>
      <c r="E7" s="9">
        <v>80</v>
      </c>
      <c r="F7">
        <f t="shared" ref="F7:F16" si="0">SUM(C7:E7)</f>
        <v>136</v>
      </c>
      <c r="H7" t="s">
        <v>1288</v>
      </c>
      <c r="I7" t="s">
        <v>342</v>
      </c>
      <c r="J7" s="7">
        <f t="shared" ref="J7:L8" si="1">$M7*J12/$M12</f>
        <v>34.666666666666664</v>
      </c>
      <c r="K7" s="8">
        <f t="shared" si="1"/>
        <v>30.095238095238095</v>
      </c>
      <c r="L7" s="9">
        <f t="shared" si="1"/>
        <v>71.238095238095241</v>
      </c>
      <c r="M7">
        <f>F7</f>
        <v>136</v>
      </c>
    </row>
    <row r="8" spans="1:13">
      <c r="A8" t="s">
        <v>1289</v>
      </c>
      <c r="B8" t="s">
        <v>383</v>
      </c>
      <c r="C8" s="7">
        <v>9</v>
      </c>
      <c r="D8" s="8">
        <v>12</v>
      </c>
      <c r="E8" s="9">
        <v>17</v>
      </c>
      <c r="F8">
        <f t="shared" si="0"/>
        <v>38</v>
      </c>
      <c r="H8" t="s">
        <v>1289</v>
      </c>
      <c r="I8" t="s">
        <v>383</v>
      </c>
      <c r="J8" s="7">
        <f t="shared" si="1"/>
        <v>6.6433566433566433</v>
      </c>
      <c r="K8" s="8">
        <f t="shared" si="1"/>
        <v>11.958041958041958</v>
      </c>
      <c r="L8" s="9">
        <f t="shared" si="1"/>
        <v>19.3986013986014</v>
      </c>
      <c r="M8">
        <f>F8</f>
        <v>38</v>
      </c>
    </row>
    <row r="9" spans="1:13">
      <c r="A9" t="s">
        <v>1289</v>
      </c>
      <c r="B9" t="s">
        <v>342</v>
      </c>
      <c r="C9" s="533">
        <v>16</v>
      </c>
      <c r="D9" s="11">
        <v>33</v>
      </c>
      <c r="E9" s="541">
        <v>56</v>
      </c>
      <c r="F9">
        <f t="shared" si="0"/>
        <v>105</v>
      </c>
      <c r="H9" t="s">
        <v>1289</v>
      </c>
      <c r="I9" t="s">
        <v>342</v>
      </c>
      <c r="J9" s="533">
        <f>$M9*J13/$M13</f>
        <v>18.356643356643357</v>
      </c>
      <c r="K9" s="11">
        <f>$M9*K13/$M13</f>
        <v>33.04195804195804</v>
      </c>
      <c r="L9" s="12">
        <f>$M9*L13/$M13</f>
        <v>53.6013986013986</v>
      </c>
      <c r="M9">
        <f>F9</f>
        <v>105</v>
      </c>
    </row>
    <row r="10" spans="1:13">
      <c r="C10">
        <f>SUM(C6:C9)</f>
        <v>116</v>
      </c>
      <c r="D10">
        <f>SUM(D6:D9)</f>
        <v>124</v>
      </c>
      <c r="E10">
        <f>SUM(E6:E9)</f>
        <v>260</v>
      </c>
      <c r="F10">
        <f t="shared" si="0"/>
        <v>500</v>
      </c>
      <c r="J10">
        <f>C10</f>
        <v>116</v>
      </c>
      <c r="K10">
        <f>D10</f>
        <v>124</v>
      </c>
      <c r="L10">
        <f>E10</f>
        <v>260</v>
      </c>
      <c r="M10">
        <f>F10</f>
        <v>500</v>
      </c>
    </row>
    <row r="12" spans="1:13">
      <c r="A12" t="s">
        <v>1288</v>
      </c>
      <c r="C12" s="517">
        <f>SUM(C6:C7)</f>
        <v>91</v>
      </c>
      <c r="D12" s="519">
        <f>SUM(D6:D7)</f>
        <v>79</v>
      </c>
      <c r="E12" s="520">
        <f>SUM(E6:E7)</f>
        <v>187</v>
      </c>
      <c r="F12">
        <f t="shared" si="0"/>
        <v>357</v>
      </c>
      <c r="H12" t="s">
        <v>1288</v>
      </c>
      <c r="J12" s="553">
        <f t="shared" ref="J12:M13" si="2">C12</f>
        <v>91</v>
      </c>
      <c r="K12" s="557">
        <f t="shared" si="2"/>
        <v>79</v>
      </c>
      <c r="L12" s="552">
        <f t="shared" si="2"/>
        <v>187</v>
      </c>
      <c r="M12" s="8">
        <f t="shared" si="2"/>
        <v>357</v>
      </c>
    </row>
    <row r="13" spans="1:13">
      <c r="A13" t="s">
        <v>1289</v>
      </c>
      <c r="C13" s="10">
        <f>SUM(C8:C9)</f>
        <v>25</v>
      </c>
      <c r="D13" s="11">
        <f>SUM(D8:D9)</f>
        <v>45</v>
      </c>
      <c r="E13" s="12">
        <f>SUM(E8:E9)</f>
        <v>73</v>
      </c>
      <c r="F13">
        <f t="shared" si="0"/>
        <v>143</v>
      </c>
      <c r="H13" t="s">
        <v>1289</v>
      </c>
      <c r="J13" s="533">
        <f t="shared" si="2"/>
        <v>25</v>
      </c>
      <c r="K13" s="11">
        <f t="shared" si="2"/>
        <v>45</v>
      </c>
      <c r="L13" s="12">
        <f t="shared" si="2"/>
        <v>73</v>
      </c>
      <c r="M13" s="8">
        <f t="shared" si="2"/>
        <v>143</v>
      </c>
    </row>
    <row r="15" spans="1:13">
      <c r="B15" t="s">
        <v>383</v>
      </c>
      <c r="C15" s="517">
        <f t="shared" ref="C15:E16" si="3">C6+C8</f>
        <v>68</v>
      </c>
      <c r="D15" s="519">
        <f t="shared" si="3"/>
        <v>67</v>
      </c>
      <c r="E15" s="520">
        <f t="shared" si="3"/>
        <v>124</v>
      </c>
      <c r="F15">
        <f t="shared" si="0"/>
        <v>259</v>
      </c>
      <c r="I15" t="s">
        <v>383</v>
      </c>
      <c r="J15" s="553">
        <f t="shared" ref="J15:M16" si="4">C15</f>
        <v>68</v>
      </c>
      <c r="K15" s="557">
        <f t="shared" si="4"/>
        <v>67</v>
      </c>
      <c r="L15" s="552">
        <f t="shared" si="4"/>
        <v>124</v>
      </c>
      <c r="M15" s="8">
        <f t="shared" si="4"/>
        <v>259</v>
      </c>
    </row>
    <row r="16" spans="1:13">
      <c r="B16" t="s">
        <v>342</v>
      </c>
      <c r="C16" s="10">
        <f t="shared" si="3"/>
        <v>48</v>
      </c>
      <c r="D16" s="11">
        <f t="shared" si="3"/>
        <v>57</v>
      </c>
      <c r="E16" s="12">
        <f t="shared" si="3"/>
        <v>136</v>
      </c>
      <c r="F16">
        <f t="shared" si="0"/>
        <v>241</v>
      </c>
      <c r="I16" t="s">
        <v>342</v>
      </c>
      <c r="J16" s="533">
        <f t="shared" si="4"/>
        <v>48</v>
      </c>
      <c r="K16" s="11">
        <f t="shared" si="4"/>
        <v>57</v>
      </c>
      <c r="L16" s="12">
        <f t="shared" si="4"/>
        <v>136</v>
      </c>
      <c r="M16" s="8">
        <f t="shared" si="4"/>
        <v>241</v>
      </c>
    </row>
    <row r="18" spans="1:13">
      <c r="A18" s="1" t="s">
        <v>1329</v>
      </c>
    </row>
    <row r="20" spans="1:13">
      <c r="A20" s="25" t="s">
        <v>224</v>
      </c>
      <c r="H20" t="s">
        <v>1328</v>
      </c>
    </row>
    <row r="22" spans="1:13">
      <c r="C22" s="19" t="s">
        <v>360</v>
      </c>
      <c r="D22" s="19" t="s">
        <v>361</v>
      </c>
      <c r="E22" s="19" t="s">
        <v>1286</v>
      </c>
      <c r="J22" s="19" t="s">
        <v>360</v>
      </c>
      <c r="K22" s="19" t="s">
        <v>361</v>
      </c>
      <c r="L22" s="19" t="s">
        <v>1286</v>
      </c>
    </row>
    <row r="23" spans="1:13">
      <c r="A23" t="s">
        <v>1288</v>
      </c>
      <c r="B23" t="s">
        <v>383</v>
      </c>
      <c r="C23" s="522">
        <v>59</v>
      </c>
      <c r="D23" s="548">
        <v>55</v>
      </c>
      <c r="E23" s="543">
        <v>107</v>
      </c>
      <c r="F23">
        <f>SUM(C23:E23)</f>
        <v>221</v>
      </c>
      <c r="H23" t="s">
        <v>1288</v>
      </c>
      <c r="I23" t="s">
        <v>383</v>
      </c>
      <c r="J23" s="553">
        <f>J$32*$M$29/$M$27</f>
        <v>48.552</v>
      </c>
      <c r="K23" s="557">
        <f>K$32*$M$29/$M$27</f>
        <v>47.838000000000001</v>
      </c>
      <c r="L23" s="552">
        <f>L$32*$M$29/$M$27</f>
        <v>88.536000000000001</v>
      </c>
      <c r="M23">
        <f>F23</f>
        <v>221</v>
      </c>
    </row>
    <row r="24" spans="1:13">
      <c r="A24" t="s">
        <v>1288</v>
      </c>
      <c r="B24" t="s">
        <v>342</v>
      </c>
      <c r="C24" s="7">
        <v>32</v>
      </c>
      <c r="D24" s="8">
        <v>24</v>
      </c>
      <c r="E24" s="9">
        <v>80</v>
      </c>
      <c r="F24">
        <f>SUM(C24:E24)</f>
        <v>136</v>
      </c>
      <c r="H24" t="s">
        <v>1288</v>
      </c>
      <c r="I24" t="s">
        <v>342</v>
      </c>
      <c r="J24" s="7">
        <f>J$33*$M$29/$M$27</f>
        <v>34.271999999999998</v>
      </c>
      <c r="K24" s="8">
        <f>K$33*$M$29/$M$27</f>
        <v>40.698</v>
      </c>
      <c r="L24" s="9">
        <f>L$33*$M$29/$M$27</f>
        <v>97.103999999999999</v>
      </c>
      <c r="M24">
        <f>F24</f>
        <v>136</v>
      </c>
    </row>
    <row r="25" spans="1:13">
      <c r="A25" t="s">
        <v>1289</v>
      </c>
      <c r="B25" t="s">
        <v>383</v>
      </c>
      <c r="C25" s="7">
        <v>9</v>
      </c>
      <c r="D25" s="8">
        <v>12</v>
      </c>
      <c r="E25" s="9">
        <v>17</v>
      </c>
      <c r="F25">
        <f>SUM(C25:E25)</f>
        <v>38</v>
      </c>
      <c r="H25" t="s">
        <v>1289</v>
      </c>
      <c r="I25" t="s">
        <v>383</v>
      </c>
      <c r="J25" s="7">
        <f>J$32*$M$30/$M$27</f>
        <v>19.448</v>
      </c>
      <c r="K25" s="8">
        <f>K$32*$M$30/$M$27</f>
        <v>19.161999999999999</v>
      </c>
      <c r="L25" s="9">
        <f>L$32*$M$30/$M$27</f>
        <v>35.463999999999999</v>
      </c>
      <c r="M25">
        <f>F25</f>
        <v>38</v>
      </c>
    </row>
    <row r="26" spans="1:13">
      <c r="A26" t="s">
        <v>1289</v>
      </c>
      <c r="B26" t="s">
        <v>342</v>
      </c>
      <c r="C26" s="533">
        <v>16</v>
      </c>
      <c r="D26" s="11">
        <v>33</v>
      </c>
      <c r="E26" s="541">
        <v>56</v>
      </c>
      <c r="F26">
        <f>SUM(C26:E26)</f>
        <v>105</v>
      </c>
      <c r="H26" t="s">
        <v>1289</v>
      </c>
      <c r="I26" t="s">
        <v>342</v>
      </c>
      <c r="J26" s="533">
        <f>J$33*$M$30/$M$27</f>
        <v>13.728</v>
      </c>
      <c r="K26" s="11">
        <f>K$33*$M$30/$M$27</f>
        <v>16.302</v>
      </c>
      <c r="L26" s="12">
        <f>L$33*$M$30/$M$27</f>
        <v>38.896000000000001</v>
      </c>
      <c r="M26">
        <f>F26</f>
        <v>105</v>
      </c>
    </row>
    <row r="27" spans="1:13">
      <c r="C27">
        <f>SUM(C23:C26)</f>
        <v>116</v>
      </c>
      <c r="D27">
        <f>SUM(D23:D26)</f>
        <v>124</v>
      </c>
      <c r="E27">
        <f>SUM(E23:E26)</f>
        <v>260</v>
      </c>
      <c r="F27">
        <f>SUM(C27:E27)</f>
        <v>500</v>
      </c>
      <c r="J27">
        <f>C27</f>
        <v>116</v>
      </c>
      <c r="K27">
        <f>D27</f>
        <v>124</v>
      </c>
      <c r="L27">
        <f>E27</f>
        <v>260</v>
      </c>
      <c r="M27">
        <f>F27</f>
        <v>500</v>
      </c>
    </row>
    <row r="29" spans="1:13">
      <c r="A29" t="s">
        <v>1288</v>
      </c>
      <c r="C29" s="517">
        <f>SUM(C23:C24)</f>
        <v>91</v>
      </c>
      <c r="D29" s="519">
        <f>SUM(D23:D24)</f>
        <v>79</v>
      </c>
      <c r="E29" s="520">
        <f>SUM(E23:E24)</f>
        <v>187</v>
      </c>
      <c r="F29">
        <f>SUM(C29:E29)</f>
        <v>357</v>
      </c>
      <c r="H29" t="s">
        <v>1288</v>
      </c>
      <c r="J29" s="553">
        <f t="shared" ref="J29:M30" si="5">C29</f>
        <v>91</v>
      </c>
      <c r="K29" s="557">
        <f t="shared" si="5"/>
        <v>79</v>
      </c>
      <c r="L29" s="552">
        <f t="shared" si="5"/>
        <v>187</v>
      </c>
      <c r="M29" s="8">
        <f t="shared" si="5"/>
        <v>357</v>
      </c>
    </row>
    <row r="30" spans="1:13">
      <c r="A30" t="s">
        <v>1289</v>
      </c>
      <c r="C30" s="10">
        <f>SUM(C25:C26)</f>
        <v>25</v>
      </c>
      <c r="D30" s="11">
        <f>SUM(D25:D26)</f>
        <v>45</v>
      </c>
      <c r="E30" s="12">
        <f>SUM(E25:E26)</f>
        <v>73</v>
      </c>
      <c r="F30">
        <f>SUM(C30:E30)</f>
        <v>143</v>
      </c>
      <c r="H30" t="s">
        <v>1289</v>
      </c>
      <c r="J30" s="533">
        <f t="shared" si="5"/>
        <v>25</v>
      </c>
      <c r="K30" s="11">
        <f t="shared" si="5"/>
        <v>45</v>
      </c>
      <c r="L30" s="12">
        <f t="shared" si="5"/>
        <v>73</v>
      </c>
      <c r="M30" s="8">
        <f t="shared" si="5"/>
        <v>143</v>
      </c>
    </row>
    <row r="32" spans="1:13">
      <c r="B32" t="s">
        <v>383</v>
      </c>
      <c r="C32" s="517">
        <f t="shared" ref="C32:E33" si="6">C23+C25</f>
        <v>68</v>
      </c>
      <c r="D32" s="519">
        <f t="shared" si="6"/>
        <v>67</v>
      </c>
      <c r="E32" s="520">
        <f t="shared" si="6"/>
        <v>124</v>
      </c>
      <c r="F32">
        <f>SUM(C32:E32)</f>
        <v>259</v>
      </c>
      <c r="I32" t="s">
        <v>383</v>
      </c>
      <c r="J32" s="553">
        <f t="shared" ref="J32:M33" si="7">C32</f>
        <v>68</v>
      </c>
      <c r="K32" s="557">
        <f t="shared" si="7"/>
        <v>67</v>
      </c>
      <c r="L32" s="552">
        <f t="shared" si="7"/>
        <v>124</v>
      </c>
      <c r="M32" s="8">
        <f t="shared" si="7"/>
        <v>259</v>
      </c>
    </row>
    <row r="33" spans="1:13">
      <c r="B33" t="s">
        <v>342</v>
      </c>
      <c r="C33" s="10">
        <f t="shared" si="6"/>
        <v>48</v>
      </c>
      <c r="D33" s="11">
        <f t="shared" si="6"/>
        <v>57</v>
      </c>
      <c r="E33" s="12">
        <f t="shared" si="6"/>
        <v>136</v>
      </c>
      <c r="F33">
        <f>SUM(C33:E33)</f>
        <v>241</v>
      </c>
      <c r="I33" t="s">
        <v>342</v>
      </c>
      <c r="J33" s="533">
        <f t="shared" si="7"/>
        <v>48</v>
      </c>
      <c r="K33" s="11">
        <f t="shared" si="7"/>
        <v>57</v>
      </c>
      <c r="L33" s="12">
        <f t="shared" si="7"/>
        <v>136</v>
      </c>
      <c r="M33" s="8">
        <f t="shared" si="7"/>
        <v>241</v>
      </c>
    </row>
    <row r="35" spans="1:13">
      <c r="A35" s="1" t="s">
        <v>1330</v>
      </c>
    </row>
    <row r="37" spans="1:13">
      <c r="A37" s="25" t="s">
        <v>224</v>
      </c>
      <c r="H37" t="s">
        <v>1328</v>
      </c>
    </row>
    <row r="39" spans="1:13">
      <c r="C39" s="19" t="s">
        <v>360</v>
      </c>
      <c r="D39" s="19" t="s">
        <v>361</v>
      </c>
      <c r="E39" s="19" t="s">
        <v>1286</v>
      </c>
      <c r="J39" s="19" t="s">
        <v>360</v>
      </c>
      <c r="K39" s="19" t="s">
        <v>361</v>
      </c>
      <c r="L39" s="19" t="s">
        <v>1286</v>
      </c>
    </row>
    <row r="40" spans="1:13">
      <c r="A40" t="s">
        <v>1288</v>
      </c>
      <c r="B40" t="s">
        <v>383</v>
      </c>
      <c r="C40" s="522">
        <v>59</v>
      </c>
      <c r="D40" s="548">
        <v>55</v>
      </c>
      <c r="E40" s="543">
        <v>107</v>
      </c>
      <c r="F40">
        <f>SUM(C40:E40)</f>
        <v>221</v>
      </c>
      <c r="H40" t="s">
        <v>1288</v>
      </c>
      <c r="I40" t="s">
        <v>383</v>
      </c>
      <c r="J40" s="553">
        <f>$M$46*$M$49*J$44/$M$44^2</f>
        <v>42.902831999999997</v>
      </c>
      <c r="K40" s="557">
        <f>$M$46*$M$49*K$44/$M$44^2</f>
        <v>45.861648000000002</v>
      </c>
      <c r="L40" s="552">
        <f>$M$46*$M$49*L$44/$M$44^2</f>
        <v>96.161519999999996</v>
      </c>
      <c r="M40">
        <f>F40</f>
        <v>221</v>
      </c>
    </row>
    <row r="41" spans="1:13">
      <c r="A41" t="s">
        <v>1288</v>
      </c>
      <c r="B41" t="s">
        <v>342</v>
      </c>
      <c r="C41" s="7">
        <v>32</v>
      </c>
      <c r="D41" s="8">
        <v>24</v>
      </c>
      <c r="E41" s="9">
        <v>80</v>
      </c>
      <c r="F41">
        <f>SUM(C41:E41)</f>
        <v>136</v>
      </c>
      <c r="H41" t="s">
        <v>1288</v>
      </c>
      <c r="I41" t="s">
        <v>342</v>
      </c>
      <c r="J41" s="7">
        <f>$M$46*$M$50*J$44/$M$44^2</f>
        <v>39.921168000000002</v>
      </c>
      <c r="K41" s="8">
        <f>$M$46*$M$50*K$44/$M$44^2</f>
        <v>42.674351999999999</v>
      </c>
      <c r="L41" s="9">
        <f>$M$46*$M$50*L$44/$M$44^2</f>
        <v>89.478480000000005</v>
      </c>
      <c r="M41">
        <f>F41</f>
        <v>136</v>
      </c>
    </row>
    <row r="42" spans="1:13">
      <c r="A42" t="s">
        <v>1289</v>
      </c>
      <c r="B42" t="s">
        <v>383</v>
      </c>
      <c r="C42" s="7">
        <v>9</v>
      </c>
      <c r="D42" s="8">
        <v>12</v>
      </c>
      <c r="E42" s="9">
        <v>17</v>
      </c>
      <c r="F42">
        <f>SUM(C42:E42)</f>
        <v>38</v>
      </c>
      <c r="H42" t="s">
        <v>1289</v>
      </c>
      <c r="I42" t="s">
        <v>383</v>
      </c>
      <c r="J42" s="7">
        <f>$M$47*$M$49*J$44/$M$44^2</f>
        <v>17.185168000000001</v>
      </c>
      <c r="K42" s="8">
        <f>$M$47*$M$49*K$44/$M$44^2</f>
        <v>18.370352</v>
      </c>
      <c r="L42" s="9">
        <f>$M$47*$M$49*L$44/$M$44^2</f>
        <v>38.518479999999997</v>
      </c>
      <c r="M42">
        <f>F42</f>
        <v>38</v>
      </c>
    </row>
    <row r="43" spans="1:13">
      <c r="A43" t="s">
        <v>1289</v>
      </c>
      <c r="B43" t="s">
        <v>342</v>
      </c>
      <c r="C43" s="533">
        <v>16</v>
      </c>
      <c r="D43" s="11">
        <v>33</v>
      </c>
      <c r="E43" s="541">
        <v>56</v>
      </c>
      <c r="F43">
        <f>SUM(C43:E43)</f>
        <v>105</v>
      </c>
      <c r="H43" t="s">
        <v>1289</v>
      </c>
      <c r="I43" t="s">
        <v>342</v>
      </c>
      <c r="J43" s="533">
        <f>$M$47*$M$50*J$44/$M$44^2</f>
        <v>15.990831999999999</v>
      </c>
      <c r="K43" s="11">
        <f>$M$47*$M$50*K$44/$M$44^2</f>
        <v>17.093648000000002</v>
      </c>
      <c r="L43" s="12">
        <f>$M$47*$M$50*L$44/$M$44^2</f>
        <v>35.841520000000003</v>
      </c>
      <c r="M43">
        <f>F43</f>
        <v>105</v>
      </c>
    </row>
    <row r="44" spans="1:13">
      <c r="C44">
        <f>SUM(C40:C43)</f>
        <v>116</v>
      </c>
      <c r="D44">
        <f>SUM(D40:D43)</f>
        <v>124</v>
      </c>
      <c r="E44">
        <f>SUM(E40:E43)</f>
        <v>260</v>
      </c>
      <c r="F44">
        <f>SUM(C44:E44)</f>
        <v>500</v>
      </c>
      <c r="J44">
        <f>C44</f>
        <v>116</v>
      </c>
      <c r="K44">
        <f>D44</f>
        <v>124</v>
      </c>
      <c r="L44">
        <f>E44</f>
        <v>260</v>
      </c>
      <c r="M44">
        <f>F44</f>
        <v>500</v>
      </c>
    </row>
    <row r="46" spans="1:13">
      <c r="A46" t="s">
        <v>1288</v>
      </c>
      <c r="C46" s="517">
        <f>SUM(C40:C41)</f>
        <v>91</v>
      </c>
      <c r="D46" s="519">
        <f>SUM(D40:D41)</f>
        <v>79</v>
      </c>
      <c r="E46" s="520">
        <f>SUM(E40:E41)</f>
        <v>187</v>
      </c>
      <c r="F46">
        <f>SUM(C46:E46)</f>
        <v>357</v>
      </c>
      <c r="H46" t="s">
        <v>1288</v>
      </c>
      <c r="J46" s="553">
        <f t="shared" ref="J46:M47" si="8">C46</f>
        <v>91</v>
      </c>
      <c r="K46" s="557">
        <f t="shared" si="8"/>
        <v>79</v>
      </c>
      <c r="L46" s="552">
        <f t="shared" si="8"/>
        <v>187</v>
      </c>
      <c r="M46" s="8">
        <f t="shared" si="8"/>
        <v>357</v>
      </c>
    </row>
    <row r="47" spans="1:13">
      <c r="A47" t="s">
        <v>1289</v>
      </c>
      <c r="C47" s="10">
        <f>SUM(C42:C43)</f>
        <v>25</v>
      </c>
      <c r="D47" s="11">
        <f>SUM(D42:D43)</f>
        <v>45</v>
      </c>
      <c r="E47" s="12">
        <f>SUM(E42:E43)</f>
        <v>73</v>
      </c>
      <c r="F47">
        <f>SUM(C47:E47)</f>
        <v>143</v>
      </c>
      <c r="H47" t="s">
        <v>1289</v>
      </c>
      <c r="J47" s="533">
        <f t="shared" si="8"/>
        <v>25</v>
      </c>
      <c r="K47" s="11">
        <f t="shared" si="8"/>
        <v>45</v>
      </c>
      <c r="L47" s="12">
        <f t="shared" si="8"/>
        <v>73</v>
      </c>
      <c r="M47" s="8">
        <f t="shared" si="8"/>
        <v>143</v>
      </c>
    </row>
    <row r="49" spans="1:13">
      <c r="B49" t="s">
        <v>383</v>
      </c>
      <c r="C49" s="517">
        <f t="shared" ref="C49:E50" si="9">C40+C42</f>
        <v>68</v>
      </c>
      <c r="D49" s="519">
        <f t="shared" si="9"/>
        <v>67</v>
      </c>
      <c r="E49" s="520">
        <f t="shared" si="9"/>
        <v>124</v>
      </c>
      <c r="F49">
        <f>SUM(C49:E49)</f>
        <v>259</v>
      </c>
      <c r="I49" t="s">
        <v>383</v>
      </c>
      <c r="J49" s="553">
        <f t="shared" ref="J49:M50" si="10">C49</f>
        <v>68</v>
      </c>
      <c r="K49" s="557">
        <f t="shared" si="10"/>
        <v>67</v>
      </c>
      <c r="L49" s="552">
        <f t="shared" si="10"/>
        <v>124</v>
      </c>
      <c r="M49" s="8">
        <f t="shared" si="10"/>
        <v>259</v>
      </c>
    </row>
    <row r="50" spans="1:13">
      <c r="B50" t="s">
        <v>342</v>
      </c>
      <c r="C50" s="10">
        <f t="shared" si="9"/>
        <v>48</v>
      </c>
      <c r="D50" s="11">
        <f t="shared" si="9"/>
        <v>57</v>
      </c>
      <c r="E50" s="12">
        <f t="shared" si="9"/>
        <v>136</v>
      </c>
      <c r="F50">
        <f>SUM(C50:E50)</f>
        <v>241</v>
      </c>
      <c r="I50" t="s">
        <v>342</v>
      </c>
      <c r="J50" s="533">
        <f t="shared" si="10"/>
        <v>48</v>
      </c>
      <c r="K50" s="11">
        <f t="shared" si="10"/>
        <v>57</v>
      </c>
      <c r="L50" s="12">
        <f t="shared" si="10"/>
        <v>136</v>
      </c>
      <c r="M50" s="8">
        <f t="shared" si="10"/>
        <v>241</v>
      </c>
    </row>
    <row r="52" spans="1:13">
      <c r="A52" s="1" t="s">
        <v>1332</v>
      </c>
    </row>
    <row r="54" spans="1:13">
      <c r="A54" s="25" t="s">
        <v>224</v>
      </c>
      <c r="H54" t="s">
        <v>1328</v>
      </c>
    </row>
    <row r="56" spans="1:13">
      <c r="C56" s="19" t="s">
        <v>360</v>
      </c>
      <c r="D56" s="19" t="s">
        <v>361</v>
      </c>
      <c r="E56" s="19" t="s">
        <v>1286</v>
      </c>
      <c r="J56" s="19" t="s">
        <v>360</v>
      </c>
      <c r="K56" s="19" t="s">
        <v>361</v>
      </c>
      <c r="L56" s="19" t="s">
        <v>1286</v>
      </c>
    </row>
    <row r="57" spans="1:13">
      <c r="A57" t="s">
        <v>1288</v>
      </c>
      <c r="B57" t="s">
        <v>383</v>
      </c>
      <c r="C57" s="522">
        <v>59</v>
      </c>
      <c r="D57" s="548">
        <v>55</v>
      </c>
      <c r="E57" s="543">
        <v>107</v>
      </c>
      <c r="F57">
        <f>SUM(C57:E57)</f>
        <v>221</v>
      </c>
      <c r="H57" t="s">
        <v>1288</v>
      </c>
      <c r="I57" t="s">
        <v>383</v>
      </c>
      <c r="J57" s="553">
        <f>'Log Lin 2.4'!J6</f>
        <v>60.468941219727789</v>
      </c>
      <c r="K57" s="557">
        <f>'Log Lin 2.4'!K6</f>
        <v>53.109416189162133</v>
      </c>
      <c r="L57" s="552">
        <f>'Log Lin 2.4'!L6</f>
        <v>107.42164258226687</v>
      </c>
      <c r="M57">
        <f>F57</f>
        <v>221</v>
      </c>
    </row>
    <row r="58" spans="1:13">
      <c r="A58" t="s">
        <v>1288</v>
      </c>
      <c r="B58" t="s">
        <v>342</v>
      </c>
      <c r="C58" s="7">
        <v>32</v>
      </c>
      <c r="D58" s="8">
        <v>24</v>
      </c>
      <c r="E58" s="9">
        <v>80</v>
      </c>
      <c r="F58">
        <f>SUM(C58:E58)</f>
        <v>136</v>
      </c>
      <c r="H58" t="s">
        <v>1288</v>
      </c>
      <c r="I58" t="s">
        <v>342</v>
      </c>
      <c r="J58" s="7">
        <f>'Log Lin 2.4'!J7</f>
        <v>30.531058777114517</v>
      </c>
      <c r="K58" s="8">
        <f>'Log Lin 2.4'!K7</f>
        <v>25.890583824262364</v>
      </c>
      <c r="L58" s="9">
        <f>'Log Lin 2.4'!L7</f>
        <v>79.578357410410149</v>
      </c>
      <c r="M58">
        <f>F58</f>
        <v>136</v>
      </c>
    </row>
    <row r="59" spans="1:13">
      <c r="A59" t="s">
        <v>1289</v>
      </c>
      <c r="B59" t="s">
        <v>383</v>
      </c>
      <c r="C59" s="7">
        <v>9</v>
      </c>
      <c r="D59" s="8">
        <v>12</v>
      </c>
      <c r="E59" s="9">
        <v>17</v>
      </c>
      <c r="F59">
        <f>SUM(C59:E59)</f>
        <v>38</v>
      </c>
      <c r="H59" t="s">
        <v>1289</v>
      </c>
      <c r="I59" t="s">
        <v>383</v>
      </c>
      <c r="J59" s="7">
        <f>'Log Lin 2.4'!J8</f>
        <v>7.5310587802722173</v>
      </c>
      <c r="K59" s="8">
        <f>'Log Lin 2.4'!K8</f>
        <v>13.890583810837864</v>
      </c>
      <c r="L59" s="9">
        <f>'Log Lin 2.4'!L8</f>
        <v>16.57835741773313</v>
      </c>
      <c r="M59">
        <f>F59</f>
        <v>38</v>
      </c>
    </row>
    <row r="60" spans="1:13">
      <c r="A60" t="s">
        <v>1289</v>
      </c>
      <c r="B60" t="s">
        <v>342</v>
      </c>
      <c r="C60" s="533">
        <v>16</v>
      </c>
      <c r="D60" s="11">
        <v>33</v>
      </c>
      <c r="E60" s="541">
        <v>56</v>
      </c>
      <c r="F60">
        <f>SUM(C60:E60)</f>
        <v>105</v>
      </c>
      <c r="H60" t="s">
        <v>1289</v>
      </c>
      <c r="I60" t="s">
        <v>342</v>
      </c>
      <c r="J60" s="533">
        <f>'Log Lin 2.4'!J9</f>
        <v>17.468941222885476</v>
      </c>
      <c r="K60" s="11">
        <f>'Log Lin 2.4'!K9</f>
        <v>31.109416175737632</v>
      </c>
      <c r="L60" s="12">
        <f>'Log Lin 2.4'!L9</f>
        <v>56.421642589589844</v>
      </c>
      <c r="M60">
        <f>F60</f>
        <v>105</v>
      </c>
    </row>
    <row r="61" spans="1:13">
      <c r="C61">
        <f>SUM(C57:C60)</f>
        <v>116</v>
      </c>
      <c r="D61">
        <f>SUM(D57:D60)</f>
        <v>124</v>
      </c>
      <c r="E61">
        <f>SUM(E57:E60)</f>
        <v>260</v>
      </c>
      <c r="F61">
        <f>SUM(C61:E61)</f>
        <v>500</v>
      </c>
      <c r="J61">
        <f>C61</f>
        <v>116</v>
      </c>
      <c r="K61">
        <f>D61</f>
        <v>124</v>
      </c>
      <c r="L61">
        <f>E61</f>
        <v>260</v>
      </c>
      <c r="M61">
        <f>F61</f>
        <v>500</v>
      </c>
    </row>
    <row r="63" spans="1:13">
      <c r="A63" t="s">
        <v>1288</v>
      </c>
      <c r="C63" s="517">
        <f>SUM(C57:C58)</f>
        <v>91</v>
      </c>
      <c r="D63" s="519">
        <f>SUM(D57:D58)</f>
        <v>79</v>
      </c>
      <c r="E63" s="520">
        <f>SUM(E57:E58)</f>
        <v>187</v>
      </c>
      <c r="F63">
        <f>SUM(C63:E63)</f>
        <v>357</v>
      </c>
      <c r="H63" t="s">
        <v>1288</v>
      </c>
      <c r="J63" s="553">
        <f t="shared" ref="J63:M64" si="11">C63</f>
        <v>91</v>
      </c>
      <c r="K63" s="557">
        <f t="shared" si="11"/>
        <v>79</v>
      </c>
      <c r="L63" s="552">
        <f t="shared" si="11"/>
        <v>187</v>
      </c>
      <c r="M63" s="8">
        <f t="shared" si="11"/>
        <v>357</v>
      </c>
    </row>
    <row r="64" spans="1:13">
      <c r="A64" t="s">
        <v>1289</v>
      </c>
      <c r="C64" s="10">
        <f>SUM(C59:C60)</f>
        <v>25</v>
      </c>
      <c r="D64" s="11">
        <f>SUM(D59:D60)</f>
        <v>45</v>
      </c>
      <c r="E64" s="12">
        <f>SUM(E59:E60)</f>
        <v>73</v>
      </c>
      <c r="F64">
        <f>SUM(C64:E64)</f>
        <v>143</v>
      </c>
      <c r="H64" t="s">
        <v>1289</v>
      </c>
      <c r="J64" s="533">
        <f t="shared" si="11"/>
        <v>25</v>
      </c>
      <c r="K64" s="11">
        <f t="shared" si="11"/>
        <v>45</v>
      </c>
      <c r="L64" s="12">
        <f t="shared" si="11"/>
        <v>73</v>
      </c>
      <c r="M64" s="8">
        <f t="shared" si="11"/>
        <v>143</v>
      </c>
    </row>
    <row r="66" spans="1:13">
      <c r="B66" t="s">
        <v>383</v>
      </c>
      <c r="C66" s="517">
        <f t="shared" ref="C66:E67" si="12">C57+C59</f>
        <v>68</v>
      </c>
      <c r="D66" s="519">
        <f t="shared" si="12"/>
        <v>67</v>
      </c>
      <c r="E66" s="520">
        <f t="shared" si="12"/>
        <v>124</v>
      </c>
      <c r="F66">
        <f>SUM(C66:E66)</f>
        <v>259</v>
      </c>
      <c r="I66" t="s">
        <v>383</v>
      </c>
      <c r="J66" s="553">
        <f t="shared" ref="J66:M67" si="13">C66</f>
        <v>68</v>
      </c>
      <c r="K66" s="557">
        <f t="shared" si="13"/>
        <v>67</v>
      </c>
      <c r="L66" s="552">
        <f t="shared" si="13"/>
        <v>124</v>
      </c>
      <c r="M66" s="8">
        <f t="shared" si="13"/>
        <v>259</v>
      </c>
    </row>
    <row r="67" spans="1:13">
      <c r="B67" t="s">
        <v>342</v>
      </c>
      <c r="C67" s="10">
        <f t="shared" si="12"/>
        <v>48</v>
      </c>
      <c r="D67" s="11">
        <f t="shared" si="12"/>
        <v>57</v>
      </c>
      <c r="E67" s="12">
        <f t="shared" si="12"/>
        <v>136</v>
      </c>
      <c r="F67">
        <f>SUM(C67:E67)</f>
        <v>241</v>
      </c>
      <c r="I67" t="s">
        <v>342</v>
      </c>
      <c r="J67" s="533">
        <f t="shared" si="13"/>
        <v>48</v>
      </c>
      <c r="K67" s="11">
        <f t="shared" si="13"/>
        <v>57</v>
      </c>
      <c r="L67" s="12">
        <f t="shared" si="13"/>
        <v>136</v>
      </c>
      <c r="M67" s="8">
        <f t="shared" si="13"/>
        <v>241</v>
      </c>
    </row>
    <row r="69" spans="1:13">
      <c r="A69" s="1" t="s">
        <v>1331</v>
      </c>
    </row>
    <row r="71" spans="1:13">
      <c r="A71" s="25" t="s">
        <v>224</v>
      </c>
      <c r="H71" t="s">
        <v>1328</v>
      </c>
    </row>
    <row r="73" spans="1:13">
      <c r="C73" s="19" t="s">
        <v>360</v>
      </c>
      <c r="D73" s="19" t="s">
        <v>361</v>
      </c>
      <c r="E73" s="19" t="s">
        <v>1286</v>
      </c>
      <c r="J73" s="19" t="s">
        <v>360</v>
      </c>
      <c r="K73" s="19" t="s">
        <v>361</v>
      </c>
      <c r="L73" s="19" t="s">
        <v>1286</v>
      </c>
    </row>
    <row r="74" spans="1:13">
      <c r="A74" t="s">
        <v>1288</v>
      </c>
      <c r="B74" t="s">
        <v>383</v>
      </c>
      <c r="C74" s="522">
        <v>59</v>
      </c>
      <c r="D74" s="548">
        <v>55</v>
      </c>
      <c r="E74" s="543">
        <v>107</v>
      </c>
      <c r="F74">
        <f>SUM(C74:E74)</f>
        <v>221</v>
      </c>
      <c r="H74" t="s">
        <v>1288</v>
      </c>
      <c r="I74" t="s">
        <v>383</v>
      </c>
      <c r="J74" s="553">
        <f>$M80*J$78/(COUNTA($I$83:$I$84)*$M$78)</f>
        <v>41.411999999999999</v>
      </c>
      <c r="K74" s="557">
        <f>$M80*K$78/(COUNTA($I$83:$I$84)*$M$78)</f>
        <v>44.268000000000001</v>
      </c>
      <c r="L74" s="552">
        <f>$M80*L$78/(COUNTA($I$83:$I$84)*$M$78)</f>
        <v>92.82</v>
      </c>
      <c r="M74">
        <f>F74</f>
        <v>221</v>
      </c>
    </row>
    <row r="75" spans="1:13">
      <c r="A75" t="s">
        <v>1288</v>
      </c>
      <c r="B75" t="s">
        <v>342</v>
      </c>
      <c r="C75" s="7">
        <v>32</v>
      </c>
      <c r="D75" s="8">
        <v>24</v>
      </c>
      <c r="E75" s="9">
        <v>80</v>
      </c>
      <c r="F75">
        <f>SUM(C75:E75)</f>
        <v>136</v>
      </c>
      <c r="H75" t="s">
        <v>1288</v>
      </c>
      <c r="I75" t="s">
        <v>342</v>
      </c>
      <c r="J75" s="7">
        <f t="shared" ref="J75:L76" si="14">$M80*J$78/(COUNTA($I$83:$I$84)*$M$78)</f>
        <v>41.411999999999999</v>
      </c>
      <c r="K75" s="8">
        <f t="shared" si="14"/>
        <v>44.268000000000001</v>
      </c>
      <c r="L75" s="9">
        <f t="shared" si="14"/>
        <v>92.82</v>
      </c>
      <c r="M75">
        <f>F75</f>
        <v>136</v>
      </c>
    </row>
    <row r="76" spans="1:13">
      <c r="A76" t="s">
        <v>1289</v>
      </c>
      <c r="B76" t="s">
        <v>383</v>
      </c>
      <c r="C76" s="7">
        <v>9</v>
      </c>
      <c r="D76" s="8">
        <v>12</v>
      </c>
      <c r="E76" s="9">
        <v>17</v>
      </c>
      <c r="F76">
        <f>SUM(C76:E76)</f>
        <v>38</v>
      </c>
      <c r="H76" t="s">
        <v>1289</v>
      </c>
      <c r="I76" t="s">
        <v>383</v>
      </c>
      <c r="J76" s="7">
        <f t="shared" si="14"/>
        <v>16.588000000000001</v>
      </c>
      <c r="K76" s="8">
        <f t="shared" si="14"/>
        <v>17.731999999999999</v>
      </c>
      <c r="L76" s="9">
        <f t="shared" si="14"/>
        <v>37.18</v>
      </c>
      <c r="M76">
        <f>F76</f>
        <v>38</v>
      </c>
    </row>
    <row r="77" spans="1:13">
      <c r="A77" t="s">
        <v>1289</v>
      </c>
      <c r="B77" t="s">
        <v>342</v>
      </c>
      <c r="C77" s="533">
        <v>16</v>
      </c>
      <c r="D77" s="11">
        <v>33</v>
      </c>
      <c r="E77" s="541">
        <v>56</v>
      </c>
      <c r="F77">
        <f>SUM(C77:E77)</f>
        <v>105</v>
      </c>
      <c r="H77" t="s">
        <v>1289</v>
      </c>
      <c r="I77" t="s">
        <v>342</v>
      </c>
      <c r="J77" s="533">
        <f>$M81*J$78/(COUNTA($I$83:$I$84)*$M$78)</f>
        <v>16.588000000000001</v>
      </c>
      <c r="K77" s="11">
        <f>$M81*K$78/(COUNTA($I$83:$I$84)*$M$78)</f>
        <v>17.731999999999999</v>
      </c>
      <c r="L77" s="12">
        <f>$M81*L$78/(COUNTA($I$83:$I$84)*$M$78)</f>
        <v>37.18</v>
      </c>
      <c r="M77">
        <f>F77</f>
        <v>105</v>
      </c>
    </row>
    <row r="78" spans="1:13">
      <c r="C78">
        <f>SUM(C74:C77)</f>
        <v>116</v>
      </c>
      <c r="D78">
        <f>SUM(D74:D77)</f>
        <v>124</v>
      </c>
      <c r="E78">
        <f>SUM(E74:E77)</f>
        <v>260</v>
      </c>
      <c r="F78">
        <f>SUM(C78:E78)</f>
        <v>500</v>
      </c>
      <c r="J78">
        <f>C78</f>
        <v>116</v>
      </c>
      <c r="K78">
        <f>D78</f>
        <v>124</v>
      </c>
      <c r="L78">
        <f>E78</f>
        <v>260</v>
      </c>
      <c r="M78">
        <f>F78</f>
        <v>500</v>
      </c>
    </row>
    <row r="80" spans="1:13">
      <c r="A80" t="s">
        <v>1288</v>
      </c>
      <c r="C80" s="517">
        <f>SUM(C74:C75)</f>
        <v>91</v>
      </c>
      <c r="D80" s="519">
        <f>SUM(D74:D75)</f>
        <v>79</v>
      </c>
      <c r="E80" s="520">
        <f>SUM(E74:E75)</f>
        <v>187</v>
      </c>
      <c r="F80">
        <f>SUM(C80:E80)</f>
        <v>357</v>
      </c>
      <c r="H80" t="s">
        <v>1288</v>
      </c>
      <c r="J80" s="553">
        <f t="shared" ref="J80:M81" si="15">C80</f>
        <v>91</v>
      </c>
      <c r="K80" s="557">
        <f t="shared" si="15"/>
        <v>79</v>
      </c>
      <c r="L80" s="552">
        <f t="shared" si="15"/>
        <v>187</v>
      </c>
      <c r="M80" s="8">
        <f t="shared" si="15"/>
        <v>357</v>
      </c>
    </row>
    <row r="81" spans="1:13">
      <c r="A81" t="s">
        <v>1289</v>
      </c>
      <c r="C81" s="10">
        <f>SUM(C76:C77)</f>
        <v>25</v>
      </c>
      <c r="D81" s="11">
        <f>SUM(D76:D77)</f>
        <v>45</v>
      </c>
      <c r="E81" s="12">
        <f>SUM(E76:E77)</f>
        <v>73</v>
      </c>
      <c r="F81">
        <f>SUM(C81:E81)</f>
        <v>143</v>
      </c>
      <c r="H81" t="s">
        <v>1289</v>
      </c>
      <c r="J81" s="533">
        <f t="shared" si="15"/>
        <v>25</v>
      </c>
      <c r="K81" s="11">
        <f t="shared" si="15"/>
        <v>45</v>
      </c>
      <c r="L81" s="12">
        <f t="shared" si="15"/>
        <v>73</v>
      </c>
      <c r="M81" s="8">
        <f t="shared" si="15"/>
        <v>143</v>
      </c>
    </row>
    <row r="83" spans="1:13">
      <c r="B83" t="s">
        <v>383</v>
      </c>
      <c r="C83" s="517">
        <f t="shared" ref="C83:E84" si="16">C74+C76</f>
        <v>68</v>
      </c>
      <c r="D83" s="519">
        <f t="shared" si="16"/>
        <v>67</v>
      </c>
      <c r="E83" s="520">
        <f t="shared" si="16"/>
        <v>124</v>
      </c>
      <c r="F83">
        <f>SUM(C83:E83)</f>
        <v>259</v>
      </c>
      <c r="I83" t="s">
        <v>383</v>
      </c>
      <c r="J83" s="553">
        <f t="shared" ref="J83:M84" si="17">C83</f>
        <v>68</v>
      </c>
      <c r="K83" s="557">
        <f t="shared" si="17"/>
        <v>67</v>
      </c>
      <c r="L83" s="552">
        <f t="shared" si="17"/>
        <v>124</v>
      </c>
      <c r="M83" s="8">
        <f t="shared" si="17"/>
        <v>259</v>
      </c>
    </row>
    <row r="84" spans="1:13">
      <c r="B84" t="s">
        <v>342</v>
      </c>
      <c r="C84" s="10">
        <f t="shared" si="16"/>
        <v>48</v>
      </c>
      <c r="D84" s="11">
        <f t="shared" si="16"/>
        <v>57</v>
      </c>
      <c r="E84" s="12">
        <f t="shared" si="16"/>
        <v>136</v>
      </c>
      <c r="F84">
        <f>SUM(C84:E84)</f>
        <v>241</v>
      </c>
      <c r="I84" t="s">
        <v>342</v>
      </c>
      <c r="J84" s="533">
        <f t="shared" si="17"/>
        <v>48</v>
      </c>
      <c r="K84" s="11">
        <f t="shared" si="17"/>
        <v>57</v>
      </c>
      <c r="L84" s="12">
        <f t="shared" si="17"/>
        <v>136</v>
      </c>
      <c r="M84" s="8">
        <f t="shared" si="17"/>
        <v>241</v>
      </c>
    </row>
  </sheetData>
  <pageMargins left="0.7" right="0.7" top="0.75" bottom="0.75" header="0.3" footer="0.3"/>
  <ignoredErrors>
    <ignoredError sqref="C12:E13 C80:E81" formulaRange="1"/>
  </ignoredErrors>
</worksheet>
</file>

<file path=xl/worksheets/sheet266.xml><?xml version="1.0" encoding="utf-8"?>
<worksheet xmlns="http://schemas.openxmlformats.org/spreadsheetml/2006/main" xmlns:r="http://schemas.openxmlformats.org/officeDocument/2006/relationships">
  <sheetPr codeName="Sheet140"/>
  <dimension ref="A1:W161"/>
  <sheetViews>
    <sheetView zoomScaleNormal="100" workbookViewId="0"/>
  </sheetViews>
  <sheetFormatPr defaultRowHeight="14.4"/>
  <cols>
    <col min="1" max="1" width="9.88671875" customWidth="1"/>
    <col min="2" max="2" width="9" customWidth="1"/>
    <col min="3" max="5" width="10.5546875" customWidth="1"/>
    <col min="7" max="7" width="4.109375" customWidth="1"/>
    <col min="8" max="8" width="10.109375" customWidth="1"/>
    <col min="9" max="9" width="9.33203125" customWidth="1"/>
    <col min="10" max="12" width="10.5546875" customWidth="1"/>
    <col min="14" max="14" width="4.88671875" customWidth="1"/>
    <col min="15" max="15" width="10.109375" customWidth="1"/>
    <col min="16" max="16" width="8.44140625" customWidth="1"/>
    <col min="17" max="19" width="10.33203125" customWidth="1"/>
  </cols>
  <sheetData>
    <row r="1" spans="1:23">
      <c r="A1" s="1" t="s">
        <v>1291</v>
      </c>
    </row>
    <row r="3" spans="1:23">
      <c r="A3" s="25" t="s">
        <v>378</v>
      </c>
      <c r="H3" t="s">
        <v>1292</v>
      </c>
      <c r="O3" t="s">
        <v>1333</v>
      </c>
      <c r="V3" t="s">
        <v>1293</v>
      </c>
    </row>
    <row r="5" spans="1:23">
      <c r="A5" t="str">
        <f>'Log Lin 2.1'!I3</f>
        <v>Cure</v>
      </c>
      <c r="B5" t="str">
        <f>'Log Lin 2.1'!J3</f>
        <v>Gender</v>
      </c>
      <c r="C5" s="19" t="str">
        <f>'Log Lin 2.1'!C3</f>
        <v>Therapy 1</v>
      </c>
      <c r="D5" s="19" t="str">
        <f>'Log Lin 2.1'!D3</f>
        <v>Therapy 2</v>
      </c>
      <c r="E5" s="19" t="str">
        <f>'Log Lin 2.1'!E3</f>
        <v>Therapy 3</v>
      </c>
      <c r="J5" t="str">
        <f>C5</f>
        <v>Therapy 1</v>
      </c>
      <c r="K5" t="str">
        <f>D5</f>
        <v>Therapy 2</v>
      </c>
      <c r="L5" t="str">
        <f>E5</f>
        <v>Therapy 3</v>
      </c>
      <c r="Q5" t="str">
        <f>C5</f>
        <v>Therapy 1</v>
      </c>
      <c r="R5" t="str">
        <f>D5</f>
        <v>Therapy 2</v>
      </c>
      <c r="S5" t="str">
        <f>E5</f>
        <v>Therapy 3</v>
      </c>
    </row>
    <row r="6" spans="1:23">
      <c r="A6" t="str">
        <f>'Log Lin 2.1'!A4</f>
        <v>Positive</v>
      </c>
      <c r="B6" t="str">
        <f>'Log Lin 2.1'!B4</f>
        <v>Male</v>
      </c>
      <c r="C6" s="522">
        <f>'Log Lin 2.1'!C4</f>
        <v>59</v>
      </c>
      <c r="D6" s="548">
        <f>'Log Lin 2.1'!D4</f>
        <v>55</v>
      </c>
      <c r="E6" s="543">
        <f>'Log Lin 2.1'!E4</f>
        <v>107</v>
      </c>
      <c r="F6">
        <f>SUM(C6:E6)</f>
        <v>221</v>
      </c>
      <c r="H6" t="str">
        <f t="shared" ref="H6:I9" si="0">A6</f>
        <v>Positive</v>
      </c>
      <c r="I6" t="str">
        <f t="shared" si="0"/>
        <v>Male</v>
      </c>
      <c r="J6" s="522">
        <f t="shared" ref="J6:L9" si="1">Q151</f>
        <v>60.468941219727789</v>
      </c>
      <c r="K6" s="548">
        <f t="shared" si="1"/>
        <v>53.109416189162133</v>
      </c>
      <c r="L6" s="543">
        <f t="shared" si="1"/>
        <v>107.42164258226687</v>
      </c>
      <c r="M6">
        <f>SUM(J6:L6)</f>
        <v>220.99999999115681</v>
      </c>
      <c r="O6" t="str">
        <f t="shared" ref="O6:P9" si="2">A6</f>
        <v>Positive</v>
      </c>
      <c r="P6" t="str">
        <f t="shared" si="2"/>
        <v>Male</v>
      </c>
      <c r="Q6" s="517">
        <v>1</v>
      </c>
      <c r="R6" s="519">
        <v>1</v>
      </c>
      <c r="S6" s="520">
        <v>1</v>
      </c>
      <c r="T6">
        <f>SUM(Q6:S6)</f>
        <v>3</v>
      </c>
      <c r="V6" s="522">
        <f>J6*K7/J7/K6</f>
        <v>0.96551897981991508</v>
      </c>
      <c r="W6" s="543">
        <f>J8*K9/J9/K8</f>
        <v>0.96551897981991641</v>
      </c>
    </row>
    <row r="7" spans="1:23">
      <c r="A7" t="str">
        <f>'Log Lin 2.1'!A5</f>
        <v>Positive</v>
      </c>
      <c r="B7" t="str">
        <f>'Log Lin 2.1'!B5</f>
        <v>Female</v>
      </c>
      <c r="C7" s="7">
        <f>'Log Lin 2.1'!C5</f>
        <v>32</v>
      </c>
      <c r="D7" s="8">
        <f>'Log Lin 2.1'!D5</f>
        <v>24</v>
      </c>
      <c r="E7" s="9">
        <f>'Log Lin 2.1'!E5</f>
        <v>80</v>
      </c>
      <c r="F7">
        <f>SUM(C7:E7)</f>
        <v>136</v>
      </c>
      <c r="H7" t="str">
        <f t="shared" si="0"/>
        <v>Positive</v>
      </c>
      <c r="I7" t="str">
        <f t="shared" si="0"/>
        <v>Female</v>
      </c>
      <c r="J7" s="7">
        <f t="shared" si="1"/>
        <v>30.531058777114517</v>
      </c>
      <c r="K7" s="8">
        <f t="shared" si="1"/>
        <v>25.890583824262364</v>
      </c>
      <c r="L7" s="9">
        <f t="shared" si="1"/>
        <v>79.578357410410149</v>
      </c>
      <c r="M7">
        <f>SUM(J7:L7)</f>
        <v>136.00000001178702</v>
      </c>
      <c r="O7" t="str">
        <f t="shared" si="2"/>
        <v>Positive</v>
      </c>
      <c r="P7" t="str">
        <f t="shared" si="2"/>
        <v>Female</v>
      </c>
      <c r="Q7" s="7">
        <v>1</v>
      </c>
      <c r="R7" s="8">
        <v>1</v>
      </c>
      <c r="S7" s="9">
        <v>1</v>
      </c>
      <c r="T7">
        <f>SUM(Q7:S7)</f>
        <v>3</v>
      </c>
      <c r="V7" s="7">
        <f>K6*L7/K7/L6</f>
        <v>1.5196125281541406</v>
      </c>
      <c r="W7" s="9">
        <f>K8*L9/K9/L8</f>
        <v>1.5196125281541391</v>
      </c>
    </row>
    <row r="8" spans="1:23">
      <c r="A8" t="str">
        <f>'Log Lin 2.1'!A6</f>
        <v>Negative</v>
      </c>
      <c r="B8" t="str">
        <f>'Log Lin 2.1'!B6</f>
        <v>Male</v>
      </c>
      <c r="C8" s="7">
        <f>'Log Lin 2.1'!C6</f>
        <v>9</v>
      </c>
      <c r="D8" s="8">
        <f>'Log Lin 2.1'!D6</f>
        <v>12</v>
      </c>
      <c r="E8" s="9">
        <f>'Log Lin 2.1'!E6</f>
        <v>17</v>
      </c>
      <c r="F8">
        <f>SUM(C8:E8)</f>
        <v>38</v>
      </c>
      <c r="H8" t="str">
        <f t="shared" si="0"/>
        <v>Negative</v>
      </c>
      <c r="I8" t="str">
        <f t="shared" si="0"/>
        <v>Male</v>
      </c>
      <c r="J8" s="7">
        <f t="shared" si="1"/>
        <v>7.5310587802722173</v>
      </c>
      <c r="K8" s="8">
        <f t="shared" si="1"/>
        <v>13.890583810837864</v>
      </c>
      <c r="L8" s="9">
        <f t="shared" si="1"/>
        <v>16.57835741773313</v>
      </c>
      <c r="M8">
        <f>SUM(J8:L8)</f>
        <v>38.000000008843216</v>
      </c>
      <c r="O8" t="str">
        <f t="shared" si="2"/>
        <v>Negative</v>
      </c>
      <c r="P8" t="str">
        <f t="shared" si="2"/>
        <v>Male</v>
      </c>
      <c r="Q8" s="7">
        <v>1</v>
      </c>
      <c r="R8" s="8">
        <v>1</v>
      </c>
      <c r="S8" s="9">
        <v>1</v>
      </c>
      <c r="T8">
        <f>SUM(Q8:S8)</f>
        <v>3</v>
      </c>
      <c r="V8" s="533">
        <f>J6*L7/J7/L6</f>
        <v>1.4672147379049478</v>
      </c>
      <c r="W8" s="541">
        <f>J8*L9/J9/L8</f>
        <v>1.4672147379049483</v>
      </c>
    </row>
    <row r="9" spans="1:23">
      <c r="A9" t="str">
        <f>'Log Lin 2.1'!A7</f>
        <v>Negative</v>
      </c>
      <c r="B9" t="str">
        <f>'Log Lin 2.1'!B7</f>
        <v>Female</v>
      </c>
      <c r="C9" s="533">
        <f>'Log Lin 2.1'!C7</f>
        <v>16</v>
      </c>
      <c r="D9" s="11">
        <f>'Log Lin 2.1'!D7</f>
        <v>33</v>
      </c>
      <c r="E9" s="541">
        <f>'Log Lin 2.1'!E7</f>
        <v>56</v>
      </c>
      <c r="F9">
        <f>SUM(C9:E9)</f>
        <v>105</v>
      </c>
      <c r="H9" t="str">
        <f t="shared" si="0"/>
        <v>Negative</v>
      </c>
      <c r="I9" t="str">
        <f t="shared" si="0"/>
        <v>Female</v>
      </c>
      <c r="J9" s="533">
        <f t="shared" si="1"/>
        <v>17.468941222885476</v>
      </c>
      <c r="K9" s="11">
        <f t="shared" si="1"/>
        <v>31.109416175737632</v>
      </c>
      <c r="L9" s="541">
        <f t="shared" si="1"/>
        <v>56.421642589589844</v>
      </c>
      <c r="M9">
        <f>SUM(J9:L9)</f>
        <v>104.99999998821295</v>
      </c>
      <c r="O9" t="str">
        <f t="shared" si="2"/>
        <v>Negative</v>
      </c>
      <c r="P9" t="str">
        <f t="shared" si="2"/>
        <v>Female</v>
      </c>
      <c r="Q9" s="10">
        <v>1</v>
      </c>
      <c r="R9" s="11">
        <v>1</v>
      </c>
      <c r="S9" s="12">
        <v>1</v>
      </c>
      <c r="T9">
        <f>SUM(Q9:S9)</f>
        <v>3</v>
      </c>
    </row>
    <row r="10" spans="1:23">
      <c r="C10">
        <f>SUM(C6:C9)</f>
        <v>116</v>
      </c>
      <c r="D10">
        <f>SUM(D6:D9)</f>
        <v>124</v>
      </c>
      <c r="E10">
        <f>SUM(E6:E9)</f>
        <v>260</v>
      </c>
      <c r="F10">
        <f>SUM(F6:F9)</f>
        <v>500</v>
      </c>
      <c r="J10">
        <f>SUM(J6:J9)</f>
        <v>116</v>
      </c>
      <c r="K10">
        <f>SUM(K6:K9)</f>
        <v>124</v>
      </c>
      <c r="L10">
        <f>SUM(L6:L9)</f>
        <v>260</v>
      </c>
      <c r="M10">
        <f>SUM(M6:M9)</f>
        <v>500</v>
      </c>
      <c r="Q10">
        <f>SUM(Q6:Q9)</f>
        <v>4</v>
      </c>
      <c r="R10">
        <f>SUM(R6:R9)</f>
        <v>4</v>
      </c>
      <c r="S10">
        <f>SUM(S6:S9)</f>
        <v>4</v>
      </c>
      <c r="T10">
        <f>SUM(T6:T9)</f>
        <v>12</v>
      </c>
    </row>
    <row r="12" spans="1:23">
      <c r="A12" t="str">
        <f>A6</f>
        <v>Positive</v>
      </c>
      <c r="C12" s="517">
        <f>SUM(C6:C7)</f>
        <v>91</v>
      </c>
      <c r="D12" s="519">
        <f>SUM(D6:D7)</f>
        <v>79</v>
      </c>
      <c r="E12" s="520">
        <f>SUM(E6:E7)</f>
        <v>187</v>
      </c>
      <c r="F12">
        <f>SUM(C12:E12)</f>
        <v>357</v>
      </c>
      <c r="H12" t="str">
        <f>A12</f>
        <v>Positive</v>
      </c>
      <c r="J12" s="517">
        <f>SUM(J6:J7)</f>
        <v>90.999999996842305</v>
      </c>
      <c r="K12" s="519">
        <f>SUM(K6:K7)</f>
        <v>79.000000013424497</v>
      </c>
      <c r="L12" s="520">
        <f>SUM(L6:L7)</f>
        <v>186.99999999267703</v>
      </c>
      <c r="M12">
        <f>SUM(J12:L12)</f>
        <v>357.00000000294381</v>
      </c>
      <c r="O12" t="str">
        <f>A12</f>
        <v>Positive</v>
      </c>
      <c r="Q12" s="517">
        <f>SUM(Q6:Q7)</f>
        <v>2</v>
      </c>
      <c r="R12" s="519">
        <f>SUM(R6:R7)</f>
        <v>2</v>
      </c>
      <c r="S12" s="520">
        <f>SUM(S6:S7)</f>
        <v>2</v>
      </c>
    </row>
    <row r="13" spans="1:23">
      <c r="A13" t="str">
        <f>A8</f>
        <v>Negative</v>
      </c>
      <c r="C13" s="10">
        <f>SUM(C8:C9)</f>
        <v>25</v>
      </c>
      <c r="D13" s="11">
        <f>SUM(D8:D9)</f>
        <v>45</v>
      </c>
      <c r="E13" s="12">
        <f>SUM(E8:E9)</f>
        <v>73</v>
      </c>
      <c r="F13">
        <f>SUM(C13:E13)</f>
        <v>143</v>
      </c>
      <c r="H13" t="str">
        <f>A13</f>
        <v>Negative</v>
      </c>
      <c r="J13" s="10">
        <f>SUM(J8:J9)</f>
        <v>25.000000003157695</v>
      </c>
      <c r="K13" s="11">
        <f>SUM(K8:K9)</f>
        <v>44.999999986575496</v>
      </c>
      <c r="L13" s="12">
        <f>SUM(L8:L9)</f>
        <v>73.000000007322967</v>
      </c>
      <c r="M13">
        <f>SUM(J13:L13)</f>
        <v>142.99999999705616</v>
      </c>
      <c r="O13" t="str">
        <f>A13</f>
        <v>Negative</v>
      </c>
      <c r="Q13" s="10">
        <f>SUM(Q8:Q9)</f>
        <v>2</v>
      </c>
      <c r="R13" s="11">
        <f>SUM(R8:R9)</f>
        <v>2</v>
      </c>
      <c r="S13" s="12">
        <f>SUM(S8:S9)</f>
        <v>2</v>
      </c>
    </row>
    <row r="15" spans="1:23">
      <c r="B15" t="str">
        <f>B6</f>
        <v>Male</v>
      </c>
      <c r="C15" s="517">
        <f t="shared" ref="C15:E16" si="3">C6+C8</f>
        <v>68</v>
      </c>
      <c r="D15" s="519">
        <f t="shared" si="3"/>
        <v>67</v>
      </c>
      <c r="E15" s="520">
        <f t="shared" si="3"/>
        <v>124</v>
      </c>
      <c r="F15">
        <f>SUM(C15:E15)</f>
        <v>259</v>
      </c>
      <c r="I15" t="str">
        <f>B15</f>
        <v>Male</v>
      </c>
      <c r="J15" s="517">
        <f t="shared" ref="J15:L16" si="4">J6+J8</f>
        <v>68</v>
      </c>
      <c r="K15" s="519">
        <f t="shared" si="4"/>
        <v>67</v>
      </c>
      <c r="L15" s="520">
        <f t="shared" si="4"/>
        <v>124</v>
      </c>
      <c r="M15">
        <f>SUM(J15:L15)</f>
        <v>259</v>
      </c>
      <c r="P15" t="str">
        <f>B15</f>
        <v>Male</v>
      </c>
      <c r="Q15" s="517">
        <f t="shared" ref="Q15:S16" si="5">Q6+Q8</f>
        <v>2</v>
      </c>
      <c r="R15" s="519">
        <f t="shared" si="5"/>
        <v>2</v>
      </c>
      <c r="S15" s="520">
        <f t="shared" si="5"/>
        <v>2</v>
      </c>
    </row>
    <row r="16" spans="1:23">
      <c r="B16" t="str">
        <f>B7</f>
        <v>Female</v>
      </c>
      <c r="C16" s="10">
        <f t="shared" si="3"/>
        <v>48</v>
      </c>
      <c r="D16" s="11">
        <f t="shared" si="3"/>
        <v>57</v>
      </c>
      <c r="E16" s="12">
        <f t="shared" si="3"/>
        <v>136</v>
      </c>
      <c r="F16">
        <f>SUM(C16:E16)</f>
        <v>241</v>
      </c>
      <c r="I16" t="str">
        <f>B16</f>
        <v>Female</v>
      </c>
      <c r="J16" s="10">
        <f t="shared" si="4"/>
        <v>47.999999999999993</v>
      </c>
      <c r="K16" s="11">
        <f t="shared" si="4"/>
        <v>57</v>
      </c>
      <c r="L16" s="12">
        <f t="shared" si="4"/>
        <v>136</v>
      </c>
      <c r="M16">
        <f>SUM(J16:L16)</f>
        <v>241</v>
      </c>
      <c r="P16" t="str">
        <f>B16</f>
        <v>Female</v>
      </c>
      <c r="Q16" s="10">
        <f t="shared" si="5"/>
        <v>2</v>
      </c>
      <c r="R16" s="11">
        <f t="shared" si="5"/>
        <v>2</v>
      </c>
      <c r="S16" s="12">
        <f t="shared" si="5"/>
        <v>2</v>
      </c>
    </row>
    <row r="18" spans="1:20">
      <c r="C18" t="s">
        <v>1387</v>
      </c>
      <c r="J18" t="s">
        <v>1388</v>
      </c>
      <c r="Q18" t="s">
        <v>1389</v>
      </c>
    </row>
    <row r="20" spans="1:20">
      <c r="C20" t="str">
        <f>Q5</f>
        <v>Therapy 1</v>
      </c>
      <c r="D20" t="str">
        <f>R5</f>
        <v>Therapy 2</v>
      </c>
      <c r="E20" t="str">
        <f>S5</f>
        <v>Therapy 3</v>
      </c>
      <c r="J20" t="str">
        <f>C20</f>
        <v>Therapy 1</v>
      </c>
      <c r="K20" t="str">
        <f>D20</f>
        <v>Therapy 2</v>
      </c>
      <c r="L20" t="str">
        <f>E20</f>
        <v>Therapy 3</v>
      </c>
      <c r="Q20" t="str">
        <f>J20</f>
        <v>Therapy 1</v>
      </c>
      <c r="R20" t="str">
        <f>K20</f>
        <v>Therapy 2</v>
      </c>
      <c r="S20" t="str">
        <f>L20</f>
        <v>Therapy 3</v>
      </c>
    </row>
    <row r="21" spans="1:20">
      <c r="A21" t="str">
        <f t="shared" ref="A21:B24" si="6">A6</f>
        <v>Positive</v>
      </c>
      <c r="B21" t="str">
        <f t="shared" si="6"/>
        <v>Male</v>
      </c>
      <c r="C21" s="517">
        <f>Q6*$F$6/$T6</f>
        <v>73.666666666666671</v>
      </c>
      <c r="D21" s="519">
        <f>R6*$F$6/$T6</f>
        <v>73.666666666666671</v>
      </c>
      <c r="E21" s="520">
        <f>S6*$F$6/$T6</f>
        <v>73.666666666666671</v>
      </c>
      <c r="F21">
        <f>SUM(C21:E21)</f>
        <v>221</v>
      </c>
      <c r="H21" t="str">
        <f t="shared" ref="H21:I24" si="7">A21</f>
        <v>Positive</v>
      </c>
      <c r="I21" t="str">
        <f t="shared" si="7"/>
        <v>Male</v>
      </c>
      <c r="J21" s="517">
        <f>C21*$C$12/C27</f>
        <v>56.333333333333336</v>
      </c>
      <c r="K21" s="519">
        <f>D21*$D$12/D27</f>
        <v>48.904761904761905</v>
      </c>
      <c r="L21" s="520">
        <f>E21*$E$12/E27</f>
        <v>115.76190476190477</v>
      </c>
      <c r="M21">
        <f>SUM(J21:L21)</f>
        <v>221</v>
      </c>
      <c r="O21" t="str">
        <f t="shared" ref="O21:P24" si="8">H21</f>
        <v>Positive</v>
      </c>
      <c r="P21" t="str">
        <f t="shared" si="8"/>
        <v>Male</v>
      </c>
      <c r="Q21" s="517">
        <f>J21*$C$15/J30</f>
        <v>60.826738720065144</v>
      </c>
      <c r="R21" s="519">
        <f>K21*$D$15/K30</f>
        <v>53.836150155112136</v>
      </c>
      <c r="S21" s="520">
        <f>L21*$E$15/L30</f>
        <v>106.20318463020496</v>
      </c>
      <c r="T21">
        <f>SUM(Q21:S21)</f>
        <v>220.86607350538225</v>
      </c>
    </row>
    <row r="22" spans="1:20">
      <c r="A22" t="str">
        <f t="shared" si="6"/>
        <v>Positive</v>
      </c>
      <c r="B22" t="str">
        <f t="shared" si="6"/>
        <v>Female</v>
      </c>
      <c r="C22" s="7">
        <f>Q7*$F$7/$T7</f>
        <v>45.333333333333336</v>
      </c>
      <c r="D22" s="8">
        <f>R7*$F$7/$T7</f>
        <v>45.333333333333336</v>
      </c>
      <c r="E22" s="9">
        <f>S7*$F$7/$T7</f>
        <v>45.333333333333336</v>
      </c>
      <c r="F22">
        <f>SUM(C22:E22)</f>
        <v>136</v>
      </c>
      <c r="H22" t="str">
        <f t="shared" si="7"/>
        <v>Positive</v>
      </c>
      <c r="I22" t="str">
        <f t="shared" si="7"/>
        <v>Female</v>
      </c>
      <c r="J22" s="7">
        <f>C22*$C$12/C27</f>
        <v>34.666666666666671</v>
      </c>
      <c r="K22" s="8">
        <f>D22*$D$12/D27</f>
        <v>30.095238095238095</v>
      </c>
      <c r="L22" s="9">
        <f>E22*$E$12/E27</f>
        <v>71.238095238095241</v>
      </c>
      <c r="M22">
        <f>SUM(J22:L22)</f>
        <v>136</v>
      </c>
      <c r="O22" t="str">
        <f t="shared" si="8"/>
        <v>Positive</v>
      </c>
      <c r="P22" t="str">
        <f t="shared" si="8"/>
        <v>Female</v>
      </c>
      <c r="Q22" s="7">
        <f>J22*$C$16/J31</f>
        <v>31.382424055919461</v>
      </c>
      <c r="R22" s="8">
        <f>K22*$D$16/K31</f>
        <v>27.169856699068038</v>
      </c>
      <c r="S22" s="9">
        <f>L22*$E$16/L31</f>
        <v>77.60669844462285</v>
      </c>
      <c r="T22">
        <f>SUM(Q22:S22)</f>
        <v>136.15897919961034</v>
      </c>
    </row>
    <row r="23" spans="1:20">
      <c r="A23" t="str">
        <f t="shared" si="6"/>
        <v>Negative</v>
      </c>
      <c r="B23" t="str">
        <f t="shared" si="6"/>
        <v>Male</v>
      </c>
      <c r="C23" s="7">
        <f>Q8*$F$8/$T8</f>
        <v>12.666666666666666</v>
      </c>
      <c r="D23" s="8">
        <f>R8*$F$8/$T8</f>
        <v>12.666666666666666</v>
      </c>
      <c r="E23" s="9">
        <f>S8*$F$8/$T8</f>
        <v>12.666666666666666</v>
      </c>
      <c r="F23">
        <f>SUM(C23:E23)</f>
        <v>38</v>
      </c>
      <c r="H23" t="str">
        <f t="shared" si="7"/>
        <v>Negative</v>
      </c>
      <c r="I23" t="str">
        <f t="shared" si="7"/>
        <v>Male</v>
      </c>
      <c r="J23" s="7">
        <f>C23*$C$13/C28</f>
        <v>6.6433566433566433</v>
      </c>
      <c r="K23" s="8">
        <f>D23*$D$13/D28</f>
        <v>11.958041958041958</v>
      </c>
      <c r="L23" s="9">
        <f>E23*$E$13/E28</f>
        <v>19.3986013986014</v>
      </c>
      <c r="M23">
        <f>SUM(J23:L23)</f>
        <v>38</v>
      </c>
      <c r="O23" t="str">
        <f t="shared" si="8"/>
        <v>Negative</v>
      </c>
      <c r="P23" t="str">
        <f t="shared" si="8"/>
        <v>Male</v>
      </c>
      <c r="Q23" s="7">
        <f>J23*$C$15/J30</f>
        <v>7.173261279934855</v>
      </c>
      <c r="R23" s="8">
        <f>K23*$D$15/K30</f>
        <v>13.163849844887865</v>
      </c>
      <c r="S23" s="9">
        <f>L23*$E$15/L30</f>
        <v>17.796815369795041</v>
      </c>
      <c r="T23">
        <f>SUM(Q23:S23)</f>
        <v>38.133926494617761</v>
      </c>
    </row>
    <row r="24" spans="1:20">
      <c r="A24" t="str">
        <f t="shared" si="6"/>
        <v>Negative</v>
      </c>
      <c r="B24" t="str">
        <f t="shared" si="6"/>
        <v>Female</v>
      </c>
      <c r="C24" s="10">
        <f>Q9*$F$9/$T9</f>
        <v>35</v>
      </c>
      <c r="D24" s="11">
        <f>R9*$F$9/$T9</f>
        <v>35</v>
      </c>
      <c r="E24" s="12">
        <f>S9*$F$9/$T9</f>
        <v>35</v>
      </c>
      <c r="F24">
        <f>SUM(C24:E24)</f>
        <v>105</v>
      </c>
      <c r="H24" t="str">
        <f t="shared" si="7"/>
        <v>Negative</v>
      </c>
      <c r="I24" t="str">
        <f t="shared" si="7"/>
        <v>Female</v>
      </c>
      <c r="J24" s="10">
        <f>C24*$C$13/C28</f>
        <v>18.356643356643357</v>
      </c>
      <c r="K24" s="11">
        <f>D24*$D$13/D28</f>
        <v>33.041958041958047</v>
      </c>
      <c r="L24" s="12">
        <f>E24*$E$13/E28</f>
        <v>53.601398601398607</v>
      </c>
      <c r="M24">
        <f>SUM(J24:L24)</f>
        <v>105</v>
      </c>
      <c r="O24" t="str">
        <f t="shared" si="8"/>
        <v>Negative</v>
      </c>
      <c r="P24" t="str">
        <f t="shared" si="8"/>
        <v>Female</v>
      </c>
      <c r="Q24" s="10">
        <f>J24*$C$16/J31</f>
        <v>16.617575944080535</v>
      </c>
      <c r="R24" s="11">
        <f>K24*$D$16/K31</f>
        <v>29.830143300931962</v>
      </c>
      <c r="S24" s="12">
        <f>L24*$E$16/L31</f>
        <v>58.393301555377136</v>
      </c>
      <c r="T24">
        <f>SUM(Q24:S24)</f>
        <v>104.84102080038963</v>
      </c>
    </row>
    <row r="25" spans="1:20">
      <c r="C25">
        <f>SUM(C21:C24)</f>
        <v>166.66666666666666</v>
      </c>
      <c r="D25">
        <f>SUM(D21:D24)</f>
        <v>166.66666666666666</v>
      </c>
      <c r="E25">
        <f>SUM(E21:E24)</f>
        <v>166.66666666666666</v>
      </c>
      <c r="F25">
        <f>SUM(F21:F24)</f>
        <v>500</v>
      </c>
      <c r="J25">
        <f>SUM(J21:J24)</f>
        <v>116</v>
      </c>
      <c r="K25">
        <f>SUM(K21:K24)</f>
        <v>124</v>
      </c>
      <c r="L25">
        <f>SUM(L21:L24)</f>
        <v>260</v>
      </c>
      <c r="M25">
        <f>SUM(M21:M24)</f>
        <v>500</v>
      </c>
      <c r="Q25">
        <f>SUM(Q21:Q24)</f>
        <v>116</v>
      </c>
      <c r="R25">
        <f>SUM(R21:R24)</f>
        <v>124</v>
      </c>
      <c r="S25">
        <f>SUM(S21:S24)</f>
        <v>260</v>
      </c>
      <c r="T25">
        <f>SUM(T21:T24)</f>
        <v>500</v>
      </c>
    </row>
    <row r="27" spans="1:20">
      <c r="A27" t="str">
        <f>A12</f>
        <v>Positive</v>
      </c>
      <c r="C27" s="517">
        <f>SUM(C21:C22)</f>
        <v>119</v>
      </c>
      <c r="D27" s="519">
        <f>SUM(D21:D22)</f>
        <v>119</v>
      </c>
      <c r="E27" s="520">
        <f>SUM(E21:E22)</f>
        <v>119</v>
      </c>
      <c r="H27" t="str">
        <f>A27</f>
        <v>Positive</v>
      </c>
      <c r="J27" s="517">
        <f>SUM(J21:J22)</f>
        <v>91</v>
      </c>
      <c r="K27" s="519">
        <f>SUM(K21:K22)</f>
        <v>79</v>
      </c>
      <c r="L27" s="520">
        <f>SUM(L21:L22)</f>
        <v>187</v>
      </c>
      <c r="O27" t="str">
        <f>H27</f>
        <v>Positive</v>
      </c>
      <c r="Q27" s="517">
        <f>SUM(Q21:Q22)</f>
        <v>92.209162775984609</v>
      </c>
      <c r="R27" s="519">
        <f>SUM(R21:R22)</f>
        <v>81.006006854180171</v>
      </c>
      <c r="S27" s="520">
        <f>SUM(S21:S22)</f>
        <v>183.80988307482781</v>
      </c>
    </row>
    <row r="28" spans="1:20">
      <c r="A28" t="str">
        <f>A13</f>
        <v>Negative</v>
      </c>
      <c r="C28" s="10">
        <f>SUM(C23:C24)</f>
        <v>47.666666666666664</v>
      </c>
      <c r="D28" s="11">
        <f>SUM(D23:D24)</f>
        <v>47.666666666666664</v>
      </c>
      <c r="E28" s="12">
        <f>SUM(E23:E24)</f>
        <v>47.666666666666664</v>
      </c>
      <c r="H28" t="str">
        <f>A28</f>
        <v>Negative</v>
      </c>
      <c r="J28" s="10">
        <f>SUM(J23:J24)</f>
        <v>25</v>
      </c>
      <c r="K28" s="11">
        <f>SUM(K23:K24)</f>
        <v>45.000000000000007</v>
      </c>
      <c r="L28" s="12">
        <f>SUM(L23:L24)</f>
        <v>73</v>
      </c>
      <c r="O28" t="str">
        <f>H28</f>
        <v>Negative</v>
      </c>
      <c r="Q28" s="10">
        <f>SUM(Q23:Q24)</f>
        <v>23.790837224015391</v>
      </c>
      <c r="R28" s="11">
        <f>SUM(R23:R24)</f>
        <v>42.993993145819829</v>
      </c>
      <c r="S28" s="12">
        <f>SUM(S23:S24)</f>
        <v>76.190116925172177</v>
      </c>
    </row>
    <row r="30" spans="1:20">
      <c r="B30" t="str">
        <f>B15</f>
        <v>Male</v>
      </c>
      <c r="C30" s="517">
        <f t="shared" ref="C30:E31" si="9">C21+C23</f>
        <v>86.333333333333343</v>
      </c>
      <c r="D30" s="519">
        <f t="shared" si="9"/>
        <v>86.333333333333343</v>
      </c>
      <c r="E30" s="520">
        <f t="shared" si="9"/>
        <v>86.333333333333343</v>
      </c>
      <c r="I30" t="str">
        <f>B30</f>
        <v>Male</v>
      </c>
      <c r="J30" s="517">
        <f t="shared" ref="J30:L31" si="10">J21+J23</f>
        <v>62.976689976689983</v>
      </c>
      <c r="K30" s="519">
        <f t="shared" si="10"/>
        <v>60.862803862803865</v>
      </c>
      <c r="L30" s="520">
        <f t="shared" si="10"/>
        <v>135.16050616050617</v>
      </c>
      <c r="P30" t="str">
        <f>I30</f>
        <v>Male</v>
      </c>
      <c r="Q30" s="517">
        <f t="shared" ref="Q30:S31" si="11">Q21+Q23</f>
        <v>68</v>
      </c>
      <c r="R30" s="519">
        <f t="shared" si="11"/>
        <v>67</v>
      </c>
      <c r="S30" s="520">
        <f t="shared" si="11"/>
        <v>124</v>
      </c>
    </row>
    <row r="31" spans="1:20">
      <c r="B31" t="str">
        <f>B16</f>
        <v>Female</v>
      </c>
      <c r="C31" s="10">
        <f t="shared" si="9"/>
        <v>80.333333333333343</v>
      </c>
      <c r="D31" s="11">
        <f t="shared" si="9"/>
        <v>80.333333333333343</v>
      </c>
      <c r="E31" s="12">
        <f t="shared" si="9"/>
        <v>80.333333333333343</v>
      </c>
      <c r="I31" t="str">
        <f>B31</f>
        <v>Female</v>
      </c>
      <c r="J31" s="10">
        <f t="shared" si="10"/>
        <v>53.023310023310032</v>
      </c>
      <c r="K31" s="11">
        <f t="shared" si="10"/>
        <v>63.137196137196142</v>
      </c>
      <c r="L31" s="12">
        <f t="shared" si="10"/>
        <v>124.83949383949385</v>
      </c>
      <c r="P31" t="str">
        <f>I31</f>
        <v>Female</v>
      </c>
      <c r="Q31" s="10">
        <f t="shared" si="11"/>
        <v>48</v>
      </c>
      <c r="R31" s="11">
        <f t="shared" si="11"/>
        <v>57</v>
      </c>
      <c r="S31" s="12">
        <f t="shared" si="11"/>
        <v>136</v>
      </c>
    </row>
    <row r="33" spans="1:20">
      <c r="C33" t="str">
        <f>C20</f>
        <v>Therapy 1</v>
      </c>
      <c r="D33" t="str">
        <f>D20</f>
        <v>Therapy 2</v>
      </c>
      <c r="E33" t="str">
        <f>E20</f>
        <v>Therapy 3</v>
      </c>
      <c r="J33" t="str">
        <f>J20</f>
        <v>Therapy 1</v>
      </c>
      <c r="K33" t="str">
        <f>K20</f>
        <v>Therapy 2</v>
      </c>
      <c r="L33" t="str">
        <f>L20</f>
        <v>Therapy 3</v>
      </c>
      <c r="Q33" t="str">
        <f>Q20</f>
        <v>Therapy 1</v>
      </c>
      <c r="R33" t="str">
        <f>R20</f>
        <v>Therapy 2</v>
      </c>
      <c r="S33" t="str">
        <f>S20</f>
        <v>Therapy 3</v>
      </c>
    </row>
    <row r="34" spans="1:20">
      <c r="A34" t="str">
        <f t="shared" ref="A34:B37" si="12">A21</f>
        <v>Positive</v>
      </c>
      <c r="B34" t="str">
        <f t="shared" si="12"/>
        <v>Male</v>
      </c>
      <c r="C34" s="517">
        <f>Q21*$F$6/$T21</f>
        <v>60.86362221134344</v>
      </c>
      <c r="D34" s="519">
        <f>R21*$F$6/$T21</f>
        <v>53.868794765303086</v>
      </c>
      <c r="E34" s="520">
        <f>S21*$F$6/$T21</f>
        <v>106.26758302335345</v>
      </c>
      <c r="F34">
        <f>SUM(C34:E34)</f>
        <v>221</v>
      </c>
      <c r="H34" t="str">
        <f t="shared" ref="H34:I37" si="13">A34</f>
        <v>Positive</v>
      </c>
      <c r="I34" t="str">
        <f t="shared" si="13"/>
        <v>Male</v>
      </c>
      <c r="J34" s="517">
        <f>C34*$C$12/C40</f>
        <v>60.065344440868365</v>
      </c>
      <c r="K34" s="519">
        <f>D34*$D$12/D40</f>
        <v>52.534207807145265</v>
      </c>
      <c r="L34" s="520">
        <f>E34*$E$12/E40</f>
        <v>108.12733390482319</v>
      </c>
      <c r="M34">
        <f>SUM(J34:L34)</f>
        <v>220.72688615283681</v>
      </c>
      <c r="O34" t="str">
        <f t="shared" ref="O34:P37" si="14">H34</f>
        <v>Positive</v>
      </c>
      <c r="P34" t="str">
        <f t="shared" si="14"/>
        <v>Male</v>
      </c>
      <c r="Q34" s="517">
        <f>J34*$C$15/J43</f>
        <v>60.441584497136574</v>
      </c>
      <c r="R34" s="519">
        <f>K34*$D$15/K43</f>
        <v>53.117561945616579</v>
      </c>
      <c r="S34" s="520">
        <f>L34*$E$15/L43</f>
        <v>107.16518394316908</v>
      </c>
      <c r="T34">
        <f>SUM(Q34:S34)</f>
        <v>220.72433038592226</v>
      </c>
    </row>
    <row r="35" spans="1:20">
      <c r="A35" t="str">
        <f t="shared" si="12"/>
        <v>Positive</v>
      </c>
      <c r="B35" t="str">
        <f t="shared" si="12"/>
        <v>Female</v>
      </c>
      <c r="C35" s="7">
        <f>Q22*$F$7/$T22</f>
        <v>31.345781943239338</v>
      </c>
      <c r="D35" s="8">
        <f>R22*$F$7/$T22</f>
        <v>27.138133179275684</v>
      </c>
      <c r="E35" s="9">
        <f>S22*$F$7/$T22</f>
        <v>77.516084877484985</v>
      </c>
      <c r="F35">
        <f>SUM(C35:E35)</f>
        <v>136</v>
      </c>
      <c r="H35" t="str">
        <f t="shared" si="13"/>
        <v>Positive</v>
      </c>
      <c r="I35" t="str">
        <f t="shared" si="13"/>
        <v>Female</v>
      </c>
      <c r="J35" s="7">
        <f>C35*$C$12/C40</f>
        <v>30.934655559131631</v>
      </c>
      <c r="K35" s="8">
        <f>D35*$D$12/D40</f>
        <v>26.465792192854735</v>
      </c>
      <c r="L35" s="9">
        <f>E35*$E$12/E40</f>
        <v>78.872666095176797</v>
      </c>
      <c r="M35">
        <f>SUM(J35:L35)</f>
        <v>136.27311384716316</v>
      </c>
      <c r="O35" t="str">
        <f t="shared" si="14"/>
        <v>Positive</v>
      </c>
      <c r="P35" t="str">
        <f t="shared" si="14"/>
        <v>Female</v>
      </c>
      <c r="Q35" s="7">
        <f>J35*$C$16/J44</f>
        <v>30.664241608440154</v>
      </c>
      <c r="R35" s="8">
        <f>K35*$D$16/K44</f>
        <v>26.128498246812214</v>
      </c>
      <c r="S35" s="9">
        <f>L35*$E$16/L44</f>
        <v>79.523646802246233</v>
      </c>
      <c r="T35">
        <f>SUM(Q35:S35)</f>
        <v>136.31638665749858</v>
      </c>
    </row>
    <row r="36" spans="1:20">
      <c r="A36" t="str">
        <f t="shared" si="12"/>
        <v>Negative</v>
      </c>
      <c r="B36" t="str">
        <f t="shared" si="12"/>
        <v>Male</v>
      </c>
      <c r="C36" s="7">
        <f>Q23*$F$8/$T23</f>
        <v>7.1480687590877139</v>
      </c>
      <c r="D36" s="8">
        <f>R23*$F$8/$T23</f>
        <v>13.117618354258406</v>
      </c>
      <c r="E36" s="9">
        <f>S23*$F$8/$T23</f>
        <v>17.734312886653882</v>
      </c>
      <c r="F36">
        <f>SUM(C36:E36)</f>
        <v>38</v>
      </c>
      <c r="H36" t="str">
        <f t="shared" si="13"/>
        <v>Negative</v>
      </c>
      <c r="I36" t="str">
        <f t="shared" si="13"/>
        <v>Male</v>
      </c>
      <c r="J36" s="7">
        <f>C36*$C$13/C41</f>
        <v>7.5113654677302426</v>
      </c>
      <c r="K36" s="8">
        <f>D36*$D$13/D41</f>
        <v>13.729976657540938</v>
      </c>
      <c r="L36" s="9">
        <f>E36*$E$13/E41</f>
        <v>16.985962324933482</v>
      </c>
      <c r="M36">
        <f>SUM(J36:L36)</f>
        <v>38.227304450204663</v>
      </c>
      <c r="O36" t="str">
        <f t="shared" si="14"/>
        <v>Negative</v>
      </c>
      <c r="P36" t="str">
        <f t="shared" si="14"/>
        <v>Male</v>
      </c>
      <c r="Q36" s="7">
        <f>J36*$C$15/J43</f>
        <v>7.558415502863431</v>
      </c>
      <c r="R36" s="8">
        <f>K36*$D$15/K43</f>
        <v>13.88243805438343</v>
      </c>
      <c r="S36" s="9">
        <f>L36*$E$15/L43</f>
        <v>16.834816056830928</v>
      </c>
      <c r="T36">
        <f>SUM(Q36:S36)</f>
        <v>38.275669614077785</v>
      </c>
    </row>
    <row r="37" spans="1:20">
      <c r="A37" t="str">
        <f t="shared" si="12"/>
        <v>Negative</v>
      </c>
      <c r="B37" t="str">
        <f t="shared" si="12"/>
        <v>Female</v>
      </c>
      <c r="C37" s="10">
        <f>Q24*$F$9/$T24</f>
        <v>16.642774562931113</v>
      </c>
      <c r="D37" s="11">
        <f>R24*$F$9/$T24</f>
        <v>29.875377239613979</v>
      </c>
      <c r="E37" s="12">
        <f>S24*$F$9/$T24</f>
        <v>58.481848197454909</v>
      </c>
      <c r="F37">
        <f>SUM(C37:E37)</f>
        <v>105</v>
      </c>
      <c r="H37" t="str">
        <f t="shared" si="13"/>
        <v>Negative</v>
      </c>
      <c r="I37" t="str">
        <f t="shared" si="13"/>
        <v>Female</v>
      </c>
      <c r="J37" s="10">
        <f>C37*$C$13/C41</f>
        <v>17.48863453226976</v>
      </c>
      <c r="K37" s="11">
        <f>D37*$D$13/D41</f>
        <v>31.270023342459062</v>
      </c>
      <c r="L37" s="12">
        <f>E37*$E$13/E41</f>
        <v>56.014037675066518</v>
      </c>
      <c r="M37">
        <f>SUM(J37:L37)</f>
        <v>104.77269554979534</v>
      </c>
      <c r="O37" t="str">
        <f t="shared" si="14"/>
        <v>Negative</v>
      </c>
      <c r="P37" t="str">
        <f t="shared" si="14"/>
        <v>Female</v>
      </c>
      <c r="Q37" s="10">
        <f>J37*$C$16/J44</f>
        <v>17.33575839155985</v>
      </c>
      <c r="R37" s="11">
        <f>K37*$D$16/K44</f>
        <v>30.871501753187786</v>
      </c>
      <c r="S37" s="12">
        <f>L37*$E$16/L44</f>
        <v>56.476353197753774</v>
      </c>
      <c r="T37">
        <f>SUM(Q37:S37)</f>
        <v>104.68361334250142</v>
      </c>
    </row>
    <row r="38" spans="1:20">
      <c r="C38">
        <f>SUM(C34:C37)</f>
        <v>116.00024747660161</v>
      </c>
      <c r="D38">
        <f>SUM(D34:D37)</f>
        <v>123.99992353845116</v>
      </c>
      <c r="E38">
        <f>SUM(E34:E37)</f>
        <v>259.99982898494721</v>
      </c>
      <c r="F38">
        <f>SUM(F34:F37)</f>
        <v>500</v>
      </c>
      <c r="J38">
        <f>SUM(J34:J37)</f>
        <v>116</v>
      </c>
      <c r="K38">
        <f>SUM(K34:K37)</f>
        <v>124</v>
      </c>
      <c r="L38">
        <f>SUM(L34:L37)</f>
        <v>260</v>
      </c>
      <c r="M38">
        <f>SUM(M34:M37)</f>
        <v>500</v>
      </c>
      <c r="Q38">
        <f>SUM(Q34:Q37)</f>
        <v>116</v>
      </c>
      <c r="R38">
        <f>SUM(R34:R37)</f>
        <v>124</v>
      </c>
      <c r="S38">
        <f>SUM(S34:S37)</f>
        <v>260</v>
      </c>
      <c r="T38">
        <f>SUM(T34:T37)</f>
        <v>500.00000000000006</v>
      </c>
    </row>
    <row r="40" spans="1:20">
      <c r="A40" t="str">
        <f>A27</f>
        <v>Positive</v>
      </c>
      <c r="C40" s="517">
        <f>SUM(C34:C35)</f>
        <v>92.209404154582785</v>
      </c>
      <c r="D40" s="519">
        <f>SUM(D34:D35)</f>
        <v>81.006927944578763</v>
      </c>
      <c r="E40" s="520">
        <f>SUM(E34:E35)</f>
        <v>183.78366790083845</v>
      </c>
      <c r="H40" t="str">
        <f>A40</f>
        <v>Positive</v>
      </c>
      <c r="J40" s="517">
        <f>SUM(J34:J35)</f>
        <v>91</v>
      </c>
      <c r="K40" s="519">
        <f>SUM(K34:K35)</f>
        <v>79</v>
      </c>
      <c r="L40" s="520">
        <f>SUM(L34:L35)</f>
        <v>187</v>
      </c>
      <c r="O40" t="str">
        <f>H40</f>
        <v>Positive</v>
      </c>
      <c r="Q40" s="517">
        <f>SUM(Q34:Q35)</f>
        <v>91.105826105576725</v>
      </c>
      <c r="R40" s="519">
        <f>SUM(R34:R35)</f>
        <v>79.246060192428786</v>
      </c>
      <c r="S40" s="520">
        <f>SUM(S34:S35)</f>
        <v>186.68883074541532</v>
      </c>
    </row>
    <row r="41" spans="1:20">
      <c r="A41" t="str">
        <f>A28</f>
        <v>Negative</v>
      </c>
      <c r="C41" s="10">
        <f>SUM(C36:C37)</f>
        <v>23.790843322018826</v>
      </c>
      <c r="D41" s="11">
        <f>SUM(D36:D37)</f>
        <v>42.992995593872386</v>
      </c>
      <c r="E41" s="11">
        <f>SUM(E36:E37)</f>
        <v>76.216161084108791</v>
      </c>
      <c r="H41" t="str">
        <f>A41</f>
        <v>Negative</v>
      </c>
      <c r="J41" s="10">
        <f>SUM(J36:J37)</f>
        <v>25.000000000000004</v>
      </c>
      <c r="K41" s="11">
        <f>SUM(K36:K37)</f>
        <v>45</v>
      </c>
      <c r="L41" s="11">
        <f>SUM(L36:L37)</f>
        <v>73</v>
      </c>
      <c r="O41" t="str">
        <f>H41</f>
        <v>Negative</v>
      </c>
      <c r="Q41" s="10">
        <f>SUM(Q36:Q37)</f>
        <v>24.894173894423282</v>
      </c>
      <c r="R41" s="11">
        <f>SUM(R36:R37)</f>
        <v>44.753939807571214</v>
      </c>
      <c r="S41" s="11">
        <f>SUM(S36:S37)</f>
        <v>73.311169254584698</v>
      </c>
    </row>
    <row r="43" spans="1:20">
      <c r="B43" t="str">
        <f>B30</f>
        <v>Male</v>
      </c>
      <c r="C43" s="517">
        <f t="shared" ref="C43:E44" si="15">C34+C36</f>
        <v>68.011690970431147</v>
      </c>
      <c r="D43" s="519">
        <f t="shared" si="15"/>
        <v>66.98641311956149</v>
      </c>
      <c r="E43" s="520">
        <f t="shared" si="15"/>
        <v>124.00189591000733</v>
      </c>
      <c r="I43" t="str">
        <f>B43</f>
        <v>Male</v>
      </c>
      <c r="J43" s="517">
        <f t="shared" ref="J43:L44" si="16">J34+J36</f>
        <v>67.576709908598602</v>
      </c>
      <c r="K43" s="519">
        <f t="shared" si="16"/>
        <v>66.264184464686195</v>
      </c>
      <c r="L43" s="520">
        <f t="shared" si="16"/>
        <v>125.11329622975667</v>
      </c>
      <c r="P43" t="str">
        <f>I43</f>
        <v>Male</v>
      </c>
      <c r="Q43" s="517">
        <f t="shared" ref="Q43:S44" si="17">Q34+Q36</f>
        <v>68</v>
      </c>
      <c r="R43" s="519">
        <f t="shared" si="17"/>
        <v>67.000000000000014</v>
      </c>
      <c r="S43" s="520">
        <f t="shared" si="17"/>
        <v>124.00000000000001</v>
      </c>
    </row>
    <row r="44" spans="1:20">
      <c r="B44" t="str">
        <f>B31</f>
        <v>Female</v>
      </c>
      <c r="C44" s="10">
        <f t="shared" si="15"/>
        <v>47.988556506170454</v>
      </c>
      <c r="D44" s="11">
        <f t="shared" si="15"/>
        <v>57.013510418889666</v>
      </c>
      <c r="E44" s="12">
        <f t="shared" si="15"/>
        <v>135.99793307493991</v>
      </c>
      <c r="I44" t="str">
        <f>B44</f>
        <v>Female</v>
      </c>
      <c r="J44" s="10">
        <f t="shared" si="16"/>
        <v>48.423290091401391</v>
      </c>
      <c r="K44" s="11">
        <f t="shared" si="16"/>
        <v>57.735815535313797</v>
      </c>
      <c r="L44" s="12">
        <f t="shared" si="16"/>
        <v>134.88670377024332</v>
      </c>
      <c r="P44" t="str">
        <f>I44</f>
        <v>Female</v>
      </c>
      <c r="Q44" s="10">
        <f t="shared" si="17"/>
        <v>48</v>
      </c>
      <c r="R44" s="11">
        <f t="shared" si="17"/>
        <v>57</v>
      </c>
      <c r="S44" s="12">
        <f t="shared" si="17"/>
        <v>136</v>
      </c>
    </row>
    <row r="46" spans="1:20">
      <c r="C46" t="str">
        <f>C33</f>
        <v>Therapy 1</v>
      </c>
      <c r="D46" t="str">
        <f>D33</f>
        <v>Therapy 2</v>
      </c>
      <c r="E46" t="str">
        <f>E33</f>
        <v>Therapy 3</v>
      </c>
      <c r="J46" t="str">
        <f>J33</f>
        <v>Therapy 1</v>
      </c>
      <c r="K46" t="str">
        <f>K33</f>
        <v>Therapy 2</v>
      </c>
      <c r="L46" t="str">
        <f>L33</f>
        <v>Therapy 3</v>
      </c>
      <c r="Q46" t="str">
        <f>Q33</f>
        <v>Therapy 1</v>
      </c>
      <c r="R46" t="str">
        <f>R33</f>
        <v>Therapy 2</v>
      </c>
      <c r="S46" t="str">
        <f>S33</f>
        <v>Therapy 3</v>
      </c>
    </row>
    <row r="47" spans="1:20">
      <c r="A47" t="str">
        <f t="shared" ref="A47:B50" si="18">A34</f>
        <v>Positive</v>
      </c>
      <c r="B47" t="str">
        <f t="shared" si="18"/>
        <v>Male</v>
      </c>
      <c r="C47" s="517">
        <f>Q34*$F$6/$T34</f>
        <v>60.517071908259041</v>
      </c>
      <c r="D47" s="519">
        <f>R34*$F$6/$T34</f>
        <v>53.183902152773157</v>
      </c>
      <c r="E47" s="520">
        <f>S34*$F$6/$T34</f>
        <v>107.29902593896777</v>
      </c>
      <c r="F47">
        <f>SUM(C47:E47)</f>
        <v>220.99999999999997</v>
      </c>
      <c r="H47" t="str">
        <f t="shared" ref="H47:I50" si="19">A47</f>
        <v>Positive</v>
      </c>
      <c r="I47" t="str">
        <f t="shared" si="19"/>
        <v>Male</v>
      </c>
      <c r="J47" s="517">
        <f>C47*$C$12/C53</f>
        <v>60.443913094094022</v>
      </c>
      <c r="K47" s="519">
        <f>D47*$D$12/D53</f>
        <v>53.014954324671031</v>
      </c>
      <c r="L47" s="520">
        <f>E47*$E$12/E53</f>
        <v>107.50708347694862</v>
      </c>
      <c r="M47">
        <f>SUM(J47:L47)</f>
        <v>220.96595089571366</v>
      </c>
      <c r="O47" t="str">
        <f t="shared" ref="O47:P50" si="20">H47</f>
        <v>Positive</v>
      </c>
      <c r="P47" t="str">
        <f t="shared" si="20"/>
        <v>Male</v>
      </c>
      <c r="Q47" s="517">
        <f>J47*$C$15/J56</f>
        <v>60.461331701079054</v>
      </c>
      <c r="R47" s="519">
        <f>K47*$D$15/K56</f>
        <v>53.113845939832792</v>
      </c>
      <c r="S47" s="520">
        <f>L47*$E$15/L56</f>
        <v>107.38714368063954</v>
      </c>
      <c r="T47">
        <f>SUM(Q47:S47)</f>
        <v>220.96232132155137</v>
      </c>
    </row>
    <row r="48" spans="1:20">
      <c r="A48" t="str">
        <f t="shared" si="18"/>
        <v>Positive</v>
      </c>
      <c r="B48" t="str">
        <f t="shared" si="18"/>
        <v>Female</v>
      </c>
      <c r="C48" s="7">
        <f>Q35*$F$7/$T35</f>
        <v>30.593070730564705</v>
      </c>
      <c r="D48" s="8">
        <f>R35*$F$7/$T35</f>
        <v>26.067854706967392</v>
      </c>
      <c r="E48" s="9">
        <f>S35*$F$7/$T35</f>
        <v>79.339074562467928</v>
      </c>
      <c r="F48">
        <f>SUM(C48:E48)</f>
        <v>136.00000000000003</v>
      </c>
      <c r="H48" t="str">
        <f t="shared" si="19"/>
        <v>Positive</v>
      </c>
      <c r="I48" t="str">
        <f t="shared" si="19"/>
        <v>Female</v>
      </c>
      <c r="J48" s="7">
        <f>C48*$C$12/C53</f>
        <v>30.556086905905978</v>
      </c>
      <c r="K48" s="8">
        <f>D48*$D$12/D53</f>
        <v>25.985045675328966</v>
      </c>
      <c r="L48" s="9">
        <f>E48*$E$12/E53</f>
        <v>79.492916523051377</v>
      </c>
      <c r="M48">
        <f>SUM(J48:L48)</f>
        <v>136.03404910428634</v>
      </c>
      <c r="O48" t="str">
        <f t="shared" si="20"/>
        <v>Positive</v>
      </c>
      <c r="P48" t="str">
        <f t="shared" si="20"/>
        <v>Female</v>
      </c>
      <c r="Q48" s="7">
        <f>J48*$C$16/J57</f>
        <v>30.543620998142202</v>
      </c>
      <c r="R48" s="8">
        <f>K48*$D$16/K57</f>
        <v>25.928300920227898</v>
      </c>
      <c r="S48" s="9">
        <f>L48*$E$16/L57</f>
        <v>79.573950044003695</v>
      </c>
      <c r="T48">
        <f>SUM(Q48:S48)</f>
        <v>136.04587196237378</v>
      </c>
    </row>
    <row r="49" spans="1:20">
      <c r="A49" t="str">
        <f t="shared" si="18"/>
        <v>Negative</v>
      </c>
      <c r="B49" t="str">
        <f t="shared" si="18"/>
        <v>Male</v>
      </c>
      <c r="C49" s="7">
        <f>Q36*$F$8/$T36</f>
        <v>7.5039781669337797</v>
      </c>
      <c r="D49" s="8">
        <f>R36*$F$8/$T36</f>
        <v>13.782453746349194</v>
      </c>
      <c r="E49" s="9">
        <f>S36*$F$8/$T36</f>
        <v>16.713568086717029</v>
      </c>
      <c r="F49">
        <f>SUM(C49:E49)</f>
        <v>38</v>
      </c>
      <c r="H49" t="str">
        <f t="shared" si="19"/>
        <v>Negative</v>
      </c>
      <c r="I49" t="str">
        <f t="shared" si="19"/>
        <v>Male</v>
      </c>
      <c r="J49" s="7">
        <f>C49*$C$13/C54</f>
        <v>7.5364964463236754</v>
      </c>
      <c r="K49" s="8">
        <f>D49*$D$13/D54</f>
        <v>13.860299705636924</v>
      </c>
      <c r="L49" s="9">
        <f>E49*$E$13/E54</f>
        <v>16.631411078661849</v>
      </c>
      <c r="M49">
        <f>SUM(J49:L49)</f>
        <v>38.028207230622449</v>
      </c>
      <c r="O49" t="str">
        <f t="shared" si="20"/>
        <v>Negative</v>
      </c>
      <c r="P49" t="str">
        <f t="shared" si="20"/>
        <v>Male</v>
      </c>
      <c r="Q49" s="7">
        <f>J49*$C$15/J56</f>
        <v>7.5386682989209461</v>
      </c>
      <c r="R49" s="8">
        <f>K49*$D$15/K56</f>
        <v>13.886154060167204</v>
      </c>
      <c r="S49" s="9">
        <f>L49*$E$15/L56</f>
        <v>16.612856319360475</v>
      </c>
      <c r="T49">
        <f>SUM(Q49:S49)</f>
        <v>38.037678678448628</v>
      </c>
    </row>
    <row r="50" spans="1:20">
      <c r="A50" t="str">
        <f t="shared" si="18"/>
        <v>Negative</v>
      </c>
      <c r="B50" t="str">
        <f t="shared" si="18"/>
        <v>Female</v>
      </c>
      <c r="C50" s="10">
        <f>Q37*$F$9/$T37</f>
        <v>17.388152481499823</v>
      </c>
      <c r="D50" s="11">
        <f>R37*$F$9/$T37</f>
        <v>30.964805097806742</v>
      </c>
      <c r="E50" s="12">
        <f>S37*$F$9/$T37</f>
        <v>56.647042420693424</v>
      </c>
      <c r="F50">
        <f>SUM(C50:E50)</f>
        <v>104.99999999999999</v>
      </c>
      <c r="H50" t="str">
        <f t="shared" si="19"/>
        <v>Negative</v>
      </c>
      <c r="I50" t="str">
        <f t="shared" si="19"/>
        <v>Female</v>
      </c>
      <c r="J50" s="10">
        <f>C50*$C$13/C54</f>
        <v>17.463503553676325</v>
      </c>
      <c r="K50" s="11">
        <f>D50*$D$13/D54</f>
        <v>31.139700294363074</v>
      </c>
      <c r="L50" s="12">
        <f>E50*$E$13/E54</f>
        <v>56.368588921338151</v>
      </c>
      <c r="M50">
        <f>SUM(J50:L50)</f>
        <v>104.97179276937754</v>
      </c>
      <c r="O50" t="str">
        <f t="shared" si="20"/>
        <v>Negative</v>
      </c>
      <c r="P50" t="str">
        <f t="shared" si="20"/>
        <v>Female</v>
      </c>
      <c r="Q50" s="10">
        <f>J50*$C$16/J57</f>
        <v>17.456379001857798</v>
      </c>
      <c r="R50" s="11">
        <f>K50*$D$16/K57</f>
        <v>31.071699079772099</v>
      </c>
      <c r="S50" s="12">
        <f>L50*$E$16/L57</f>
        <v>56.426049955996312</v>
      </c>
      <c r="T50">
        <f>SUM(Q50:S50)</f>
        <v>104.95412803762622</v>
      </c>
    </row>
    <row r="51" spans="1:20">
      <c r="C51">
        <f>SUM(C47:C50)</f>
        <v>116.00227328725734</v>
      </c>
      <c r="D51">
        <f>SUM(D47:D50)</f>
        <v>123.99901570389649</v>
      </c>
      <c r="E51">
        <f>SUM(E47:E50)</f>
        <v>259.99871100884616</v>
      </c>
      <c r="F51">
        <f>SUM(F47:F50)</f>
        <v>500</v>
      </c>
      <c r="J51">
        <f>SUM(J47:J50)</f>
        <v>116</v>
      </c>
      <c r="K51">
        <f>SUM(K47:K50)</f>
        <v>124</v>
      </c>
      <c r="L51">
        <f>SUM(L47:L50)</f>
        <v>260</v>
      </c>
      <c r="M51">
        <f>SUM(M47:M50)</f>
        <v>500</v>
      </c>
      <c r="Q51">
        <f>SUM(Q47:Q50)</f>
        <v>116.00000000000001</v>
      </c>
      <c r="R51">
        <f>SUM(R47:R50)</f>
        <v>123.99999999999999</v>
      </c>
      <c r="S51">
        <f>SUM(S47:S50)</f>
        <v>260</v>
      </c>
      <c r="T51">
        <f>SUM(T47:T50)</f>
        <v>500</v>
      </c>
    </row>
    <row r="53" spans="1:20">
      <c r="A53" t="str">
        <f>A40</f>
        <v>Positive</v>
      </c>
      <c r="C53" s="517">
        <f>SUM(C47:C48)</f>
        <v>91.110142638823746</v>
      </c>
      <c r="D53" s="519">
        <f>SUM(D47:D48)</f>
        <v>79.251756859740553</v>
      </c>
      <c r="E53" s="520">
        <f>SUM(E47:E48)</f>
        <v>186.6381005014357</v>
      </c>
      <c r="H53" t="str">
        <f>A53</f>
        <v>Positive</v>
      </c>
      <c r="J53" s="517">
        <f>SUM(J47:J48)</f>
        <v>91</v>
      </c>
      <c r="K53" s="519">
        <f>SUM(K47:K48)</f>
        <v>79</v>
      </c>
      <c r="L53" s="520">
        <f>SUM(L47:L48)</f>
        <v>187</v>
      </c>
      <c r="O53" t="str">
        <f>H53</f>
        <v>Positive</v>
      </c>
      <c r="Q53" s="517">
        <f>SUM(Q47:Q48)</f>
        <v>91.004952699221263</v>
      </c>
      <c r="R53" s="519">
        <f>SUM(R47:R48)</f>
        <v>79.042146860060683</v>
      </c>
      <c r="S53" s="520">
        <f>SUM(S47:S48)</f>
        <v>186.96109372464323</v>
      </c>
    </row>
    <row r="54" spans="1:20">
      <c r="A54" t="str">
        <f>A41</f>
        <v>Negative</v>
      </c>
      <c r="C54" s="10">
        <f>SUM(C49:C50)</f>
        <v>24.892130648433604</v>
      </c>
      <c r="D54" s="11">
        <f>SUM(D49:D50)</f>
        <v>44.747258844155937</v>
      </c>
      <c r="E54" s="11">
        <f>SUM(E49:E50)</f>
        <v>73.360610507410456</v>
      </c>
      <c r="H54" t="str">
        <f>A54</f>
        <v>Negative</v>
      </c>
      <c r="J54" s="10">
        <f>SUM(J49:J50)</f>
        <v>25</v>
      </c>
      <c r="K54" s="11">
        <f>SUM(K49:K50)</f>
        <v>45</v>
      </c>
      <c r="L54" s="11">
        <f>SUM(L49:L50)</f>
        <v>73</v>
      </c>
      <c r="O54" t="str">
        <f>H54</f>
        <v>Negative</v>
      </c>
      <c r="Q54" s="10">
        <f>SUM(Q49:Q50)</f>
        <v>24.995047300778744</v>
      </c>
      <c r="R54" s="11">
        <f>SUM(R49:R50)</f>
        <v>44.957853139939303</v>
      </c>
      <c r="S54" s="11">
        <f>SUM(S49:S50)</f>
        <v>73.038906275356794</v>
      </c>
    </row>
    <row r="56" spans="1:20">
      <c r="B56" t="str">
        <f>B43</f>
        <v>Male</v>
      </c>
      <c r="C56" s="517">
        <f t="shared" ref="C56:E57" si="21">C47+C49</f>
        <v>68.021050075192818</v>
      </c>
      <c r="D56" s="519">
        <f t="shared" si="21"/>
        <v>66.966355899122348</v>
      </c>
      <c r="E56" s="520">
        <f t="shared" si="21"/>
        <v>124.01259402568481</v>
      </c>
      <c r="I56" t="str">
        <f>B56</f>
        <v>Male</v>
      </c>
      <c r="J56" s="517">
        <f t="shared" ref="J56:L57" si="22">J47+J49</f>
        <v>67.980409540417696</v>
      </c>
      <c r="K56" s="519">
        <f t="shared" si="22"/>
        <v>66.875254030307957</v>
      </c>
      <c r="L56" s="520">
        <f t="shared" si="22"/>
        <v>124.13849455561046</v>
      </c>
      <c r="P56" t="str">
        <f>I56</f>
        <v>Male</v>
      </c>
      <c r="Q56" s="517">
        <f t="shared" ref="Q56:S57" si="23">Q47+Q49</f>
        <v>68</v>
      </c>
      <c r="R56" s="519">
        <f t="shared" si="23"/>
        <v>67</v>
      </c>
      <c r="S56" s="520">
        <f t="shared" si="23"/>
        <v>124.00000000000001</v>
      </c>
    </row>
    <row r="57" spans="1:20">
      <c r="B57" t="str">
        <f>B44</f>
        <v>Female</v>
      </c>
      <c r="C57" s="10">
        <f t="shared" si="21"/>
        <v>47.981223212064528</v>
      </c>
      <c r="D57" s="11">
        <f t="shared" si="21"/>
        <v>57.032659804774134</v>
      </c>
      <c r="E57" s="12">
        <f t="shared" si="21"/>
        <v>135.98611698316137</v>
      </c>
      <c r="I57" t="str">
        <f>B57</f>
        <v>Female</v>
      </c>
      <c r="J57" s="10">
        <f t="shared" si="22"/>
        <v>48.019590459582304</v>
      </c>
      <c r="K57" s="11">
        <f t="shared" si="22"/>
        <v>57.124745969692043</v>
      </c>
      <c r="L57" s="12">
        <f t="shared" si="22"/>
        <v>135.86150544438954</v>
      </c>
      <c r="P57" t="str">
        <f>I57</f>
        <v>Female</v>
      </c>
      <c r="Q57" s="10">
        <f t="shared" si="23"/>
        <v>48</v>
      </c>
      <c r="R57" s="11">
        <f t="shared" si="23"/>
        <v>57</v>
      </c>
      <c r="S57" s="12">
        <f t="shared" si="23"/>
        <v>136</v>
      </c>
    </row>
    <row r="59" spans="1:20">
      <c r="C59" t="str">
        <f>C46</f>
        <v>Therapy 1</v>
      </c>
      <c r="D59" t="str">
        <f>D46</f>
        <v>Therapy 2</v>
      </c>
      <c r="E59" t="str">
        <f>E46</f>
        <v>Therapy 3</v>
      </c>
      <c r="J59" t="str">
        <f>J46</f>
        <v>Therapy 1</v>
      </c>
      <c r="K59" t="str">
        <f>K46</f>
        <v>Therapy 2</v>
      </c>
      <c r="L59" t="str">
        <f>L46</f>
        <v>Therapy 3</v>
      </c>
      <c r="Q59" t="str">
        <f>Q46</f>
        <v>Therapy 1</v>
      </c>
      <c r="R59" t="str">
        <f>R46</f>
        <v>Therapy 2</v>
      </c>
      <c r="S59" t="str">
        <f>S46</f>
        <v>Therapy 3</v>
      </c>
    </row>
    <row r="60" spans="1:20">
      <c r="A60" t="str">
        <f t="shared" ref="A60:B63" si="24">A47</f>
        <v>Positive</v>
      </c>
      <c r="B60" t="str">
        <f t="shared" si="24"/>
        <v>Male</v>
      </c>
      <c r="C60" s="517">
        <f>Q47*$F$6/$T47</f>
        <v>60.471641617548592</v>
      </c>
      <c r="D60" s="519">
        <f>R47*$F$6/$T47</f>
        <v>53.122902956931306</v>
      </c>
      <c r="E60" s="520">
        <f>S47*$F$6/$T47</f>
        <v>107.4054554255201</v>
      </c>
      <c r="F60">
        <f>SUM(C60:E60)</f>
        <v>221</v>
      </c>
      <c r="H60" t="str">
        <f t="shared" ref="H60:I63" si="25">A60</f>
        <v>Positive</v>
      </c>
      <c r="I60" t="str">
        <f t="shared" si="25"/>
        <v>Male</v>
      </c>
      <c r="J60" s="517">
        <f>C60*$C$12/C66</f>
        <v>60.468343159709541</v>
      </c>
      <c r="K60" s="519">
        <f>D60*$D$12/D66</f>
        <v>53.094365495099751</v>
      </c>
      <c r="L60" s="520">
        <f>E60*$E$12/E66</f>
        <v>107.43270155583764</v>
      </c>
      <c r="M60">
        <f>SUM(J60:L60)</f>
        <v>220.99541021064692</v>
      </c>
      <c r="O60" t="str">
        <f t="shared" ref="O60:P63" si="26">H60</f>
        <v>Positive</v>
      </c>
      <c r="P60" t="str">
        <f t="shared" si="26"/>
        <v>Male</v>
      </c>
      <c r="Q60" s="517">
        <f>J60*$C$15/J69</f>
        <v>60.467465154254064</v>
      </c>
      <c r="R60" s="519">
        <f>K60*$D$15/K69</f>
        <v>53.110359292401142</v>
      </c>
      <c r="S60" s="520">
        <f>L60*$E$15/L69</f>
        <v>107.41676414296779</v>
      </c>
      <c r="T60">
        <f>SUM(Q60:S60)</f>
        <v>220.99458858962299</v>
      </c>
    </row>
    <row r="61" spans="1:20">
      <c r="A61" t="str">
        <f t="shared" si="24"/>
        <v>Positive</v>
      </c>
      <c r="B61" t="str">
        <f t="shared" si="24"/>
        <v>Female</v>
      </c>
      <c r="C61" s="7">
        <f>Q48*$F$7/$T48</f>
        <v>30.533322296586793</v>
      </c>
      <c r="D61" s="8">
        <f>R48*$F$7/$T48</f>
        <v>25.91955841281424</v>
      </c>
      <c r="E61" s="9">
        <f>S48*$F$7/$T48</f>
        <v>79.547119290598971</v>
      </c>
      <c r="F61">
        <f>SUM(C61:E61)</f>
        <v>136</v>
      </c>
      <c r="H61" t="str">
        <f t="shared" si="25"/>
        <v>Positive</v>
      </c>
      <c r="I61" t="str">
        <f t="shared" si="25"/>
        <v>Female</v>
      </c>
      <c r="J61" s="7">
        <f>C61*$C$12/C66</f>
        <v>30.531656840290459</v>
      </c>
      <c r="K61" s="8">
        <f>D61*$D$12/D66</f>
        <v>25.905634504900245</v>
      </c>
      <c r="L61" s="9">
        <f>E61*$E$12/E66</f>
        <v>79.567298444162361</v>
      </c>
      <c r="M61">
        <f>SUM(J61:L61)</f>
        <v>136.00458978935308</v>
      </c>
      <c r="O61" t="str">
        <f t="shared" si="26"/>
        <v>Positive</v>
      </c>
      <c r="P61" t="str">
        <f t="shared" si="26"/>
        <v>Female</v>
      </c>
      <c r="Q61" s="7">
        <f>J61*$C$16/J70</f>
        <v>30.532284902167678</v>
      </c>
      <c r="R61" s="8">
        <f>K61*$D$16/K70</f>
        <v>25.896467808938098</v>
      </c>
      <c r="S61" s="9">
        <f>L61*$E$16/L70</f>
        <v>79.578063639191527</v>
      </c>
      <c r="T61">
        <f>SUM(Q61:S61)</f>
        <v>136.0068163502973</v>
      </c>
    </row>
    <row r="62" spans="1:20">
      <c r="A62" t="str">
        <f t="shared" si="24"/>
        <v>Negative</v>
      </c>
      <c r="B62" t="str">
        <f t="shared" si="24"/>
        <v>Male</v>
      </c>
      <c r="C62" s="7">
        <f>Q49*$F$8/$T49</f>
        <v>7.5312007806960013</v>
      </c>
      <c r="D62" s="8">
        <f>R49*$F$8/$T49</f>
        <v>13.872398963854831</v>
      </c>
      <c r="E62" s="9">
        <f>S49*$F$8/$T49</f>
        <v>16.596400255449161</v>
      </c>
      <c r="F62">
        <f>SUM(C62:E62)</f>
        <v>37.999999999999993</v>
      </c>
      <c r="H62" t="str">
        <f t="shared" si="25"/>
        <v>Negative</v>
      </c>
      <c r="I62" t="str">
        <f t="shared" si="25"/>
        <v>Male</v>
      </c>
      <c r="J62" s="7">
        <f>C62*$C$13/C67</f>
        <v>7.5326442203769135</v>
      </c>
      <c r="K62" s="8">
        <f>D62*$D$13/D67</f>
        <v>13.88545794361408</v>
      </c>
      <c r="L62" s="9">
        <f>E62*$E$13/E67</f>
        <v>16.585696309817958</v>
      </c>
      <c r="M62">
        <f>SUM(J62:L62)</f>
        <v>38.003798473808956</v>
      </c>
      <c r="O62" t="str">
        <f t="shared" si="26"/>
        <v>Negative</v>
      </c>
      <c r="P62" t="str">
        <f t="shared" si="26"/>
        <v>Male</v>
      </c>
      <c r="Q62" s="7">
        <f>J62*$C$15/J69</f>
        <v>7.5325348457459258</v>
      </c>
      <c r="R62" s="8">
        <f>K62*$D$15/K69</f>
        <v>13.889640707598851</v>
      </c>
      <c r="S62" s="9">
        <f>L62*$E$15/L69</f>
        <v>16.583235857032207</v>
      </c>
      <c r="T62">
        <f>SUM(Q62:S62)</f>
        <v>38.005411410376979</v>
      </c>
    </row>
    <row r="63" spans="1:20">
      <c r="A63" t="str">
        <f t="shared" si="24"/>
        <v>Negative</v>
      </c>
      <c r="B63" t="str">
        <f t="shared" si="24"/>
        <v>Female</v>
      </c>
      <c r="C63" s="10">
        <f>Q50*$F$9/$T50</f>
        <v>17.46400860514952</v>
      </c>
      <c r="D63" s="11">
        <f>R50*$F$9/$T50</f>
        <v>31.085279487115066</v>
      </c>
      <c r="E63" s="12">
        <f>S50*$F$9/$T50</f>
        <v>56.450711907735403</v>
      </c>
      <c r="F63">
        <f>SUM(C63:E63)</f>
        <v>105</v>
      </c>
      <c r="H63" t="str">
        <f t="shared" si="25"/>
        <v>Negative</v>
      </c>
      <c r="I63" t="str">
        <f t="shared" si="25"/>
        <v>Female</v>
      </c>
      <c r="J63" s="10">
        <f>C63*$C$13/C67</f>
        <v>17.467355779623087</v>
      </c>
      <c r="K63" s="11">
        <f>D63*$D$13/D67</f>
        <v>31.114542056385925</v>
      </c>
      <c r="L63" s="12">
        <f>E63*$E$13/E67</f>
        <v>56.414303690182038</v>
      </c>
      <c r="M63">
        <f>SUM(J63:L63)</f>
        <v>104.99620152619104</v>
      </c>
      <c r="O63" t="str">
        <f t="shared" si="26"/>
        <v>Negative</v>
      </c>
      <c r="P63" t="str">
        <f t="shared" si="26"/>
        <v>Female</v>
      </c>
      <c r="Q63" s="10">
        <f>J63*$C$16/J70</f>
        <v>17.467715097832325</v>
      </c>
      <c r="R63" s="11">
        <f>K63*$D$16/K70</f>
        <v>31.103532191061902</v>
      </c>
      <c r="S63" s="12">
        <f>L63*$E$16/L70</f>
        <v>56.421936360808473</v>
      </c>
      <c r="T63">
        <f>SUM(Q63:S63)</f>
        <v>104.9931836497027</v>
      </c>
    </row>
    <row r="64" spans="1:20">
      <c r="C64">
        <f>SUM(C60:C63)</f>
        <v>116.0001732999809</v>
      </c>
      <c r="D64">
        <f>SUM(D60:D63)</f>
        <v>124.00013982071545</v>
      </c>
      <c r="E64">
        <f>SUM(E60:E63)</f>
        <v>259.99968687930362</v>
      </c>
      <c r="F64">
        <f>SUM(F60:F63)</f>
        <v>500</v>
      </c>
      <c r="J64">
        <f>SUM(J60:J63)</f>
        <v>116</v>
      </c>
      <c r="K64">
        <f>SUM(K60:K63)</f>
        <v>124.00000000000001</v>
      </c>
      <c r="L64">
        <f>SUM(L60:L63)</f>
        <v>260</v>
      </c>
      <c r="M64">
        <f>SUM(M60:M63)</f>
        <v>500</v>
      </c>
      <c r="Q64">
        <f>SUM(Q60:Q63)</f>
        <v>116</v>
      </c>
      <c r="R64">
        <f>SUM(R60:R63)</f>
        <v>124</v>
      </c>
      <c r="S64">
        <f>SUM(S60:S63)</f>
        <v>260</v>
      </c>
      <c r="T64">
        <f>SUM(T60:T63)</f>
        <v>500</v>
      </c>
    </row>
    <row r="66" spans="1:20">
      <c r="A66" t="str">
        <f>A53</f>
        <v>Positive</v>
      </c>
      <c r="C66" s="517">
        <f>SUM(C60:C61)</f>
        <v>91.004963914135388</v>
      </c>
      <c r="D66" s="519">
        <f>SUM(D60:D61)</f>
        <v>79.042461369745553</v>
      </c>
      <c r="E66" s="520">
        <f>SUM(E60:E61)</f>
        <v>186.95257471611907</v>
      </c>
      <c r="H66" t="str">
        <f>A66</f>
        <v>Positive</v>
      </c>
      <c r="J66" s="517">
        <f>SUM(J60:J61)</f>
        <v>91</v>
      </c>
      <c r="K66" s="519">
        <f>SUM(K60:K61)</f>
        <v>79</v>
      </c>
      <c r="L66" s="520">
        <f>SUM(L60:L61)</f>
        <v>187</v>
      </c>
      <c r="O66" t="str">
        <f>H66</f>
        <v>Positive</v>
      </c>
      <c r="Q66" s="517">
        <f>SUM(Q60:Q61)</f>
        <v>90.999750056421746</v>
      </c>
      <c r="R66" s="519">
        <f>SUM(R60:R61)</f>
        <v>79.00682710133924</v>
      </c>
      <c r="S66" s="520">
        <f>SUM(S60:S61)</f>
        <v>186.99482778215932</v>
      </c>
    </row>
    <row r="67" spans="1:20">
      <c r="A67" t="str">
        <f>A54</f>
        <v>Negative</v>
      </c>
      <c r="C67" s="10">
        <f>SUM(C62:C63)</f>
        <v>24.99520938584552</v>
      </c>
      <c r="D67" s="11">
        <f>SUM(D62:D63)</f>
        <v>44.957678450969894</v>
      </c>
      <c r="E67" s="11">
        <f>SUM(E62:E63)</f>
        <v>73.047112163184565</v>
      </c>
      <c r="H67" t="str">
        <f>A67</f>
        <v>Negative</v>
      </c>
      <c r="J67" s="10">
        <f>SUM(J62:J63)</f>
        <v>25</v>
      </c>
      <c r="K67" s="11">
        <f>SUM(K62:K63)</f>
        <v>45.000000000000007</v>
      </c>
      <c r="L67" s="11">
        <f>SUM(L62:L63)</f>
        <v>73</v>
      </c>
      <c r="O67" t="str">
        <f>H67</f>
        <v>Negative</v>
      </c>
      <c r="Q67" s="10">
        <f>SUM(Q62:Q63)</f>
        <v>25.00024994357825</v>
      </c>
      <c r="R67" s="11">
        <f>SUM(R62:R63)</f>
        <v>44.993172898660752</v>
      </c>
      <c r="S67" s="11">
        <f>SUM(S62:S63)</f>
        <v>73.005172217840681</v>
      </c>
    </row>
    <row r="69" spans="1:20">
      <c r="B69" t="str">
        <f>B56</f>
        <v>Male</v>
      </c>
      <c r="C69" s="517">
        <f t="shared" ref="C69:E70" si="27">C60+C62</f>
        <v>68.002842398244596</v>
      </c>
      <c r="D69" s="519">
        <f t="shared" si="27"/>
        <v>66.995301920786133</v>
      </c>
      <c r="E69" s="520">
        <f t="shared" si="27"/>
        <v>124.00185568096927</v>
      </c>
      <c r="I69" t="str">
        <f>B69</f>
        <v>Male</v>
      </c>
      <c r="J69" s="517">
        <f t="shared" ref="J69:L70" si="28">J60+J62</f>
        <v>68.000987380086457</v>
      </c>
      <c r="K69" s="519">
        <f t="shared" si="28"/>
        <v>66.979823438713836</v>
      </c>
      <c r="L69" s="520">
        <f t="shared" si="28"/>
        <v>124.0183978656556</v>
      </c>
      <c r="P69" t="str">
        <f>I69</f>
        <v>Male</v>
      </c>
      <c r="Q69" s="517">
        <f t="shared" ref="Q69:S70" si="29">Q60+Q62</f>
        <v>67.999999999999986</v>
      </c>
      <c r="R69" s="519">
        <f t="shared" si="29"/>
        <v>67</v>
      </c>
      <c r="S69" s="520">
        <f t="shared" si="29"/>
        <v>124</v>
      </c>
    </row>
    <row r="70" spans="1:20">
      <c r="B70" t="str">
        <f>B57</f>
        <v>Female</v>
      </c>
      <c r="C70" s="10">
        <f t="shared" si="27"/>
        <v>47.997330901736312</v>
      </c>
      <c r="D70" s="11">
        <f t="shared" si="27"/>
        <v>57.004837899929306</v>
      </c>
      <c r="E70" s="12">
        <f t="shared" si="27"/>
        <v>135.99783119833438</v>
      </c>
      <c r="I70" t="str">
        <f>B70</f>
        <v>Female</v>
      </c>
      <c r="J70" s="10">
        <f t="shared" si="28"/>
        <v>47.999012619913543</v>
      </c>
      <c r="K70" s="11">
        <f t="shared" si="28"/>
        <v>57.020176561286171</v>
      </c>
      <c r="L70" s="12">
        <f t="shared" si="28"/>
        <v>135.9816021343444</v>
      </c>
      <c r="P70" t="str">
        <f>I70</f>
        <v>Female</v>
      </c>
      <c r="Q70" s="10">
        <f t="shared" si="29"/>
        <v>48</v>
      </c>
      <c r="R70" s="11">
        <f t="shared" si="29"/>
        <v>57</v>
      </c>
      <c r="S70" s="12">
        <f t="shared" si="29"/>
        <v>136</v>
      </c>
    </row>
    <row r="72" spans="1:20">
      <c r="C72" t="str">
        <f>C59</f>
        <v>Therapy 1</v>
      </c>
      <c r="D72" t="str">
        <f>D59</f>
        <v>Therapy 2</v>
      </c>
      <c r="E72" t="str">
        <f>E59</f>
        <v>Therapy 3</v>
      </c>
      <c r="J72" t="str">
        <f>J59</f>
        <v>Therapy 1</v>
      </c>
      <c r="K72" t="str">
        <f>K59</f>
        <v>Therapy 2</v>
      </c>
      <c r="L72" t="str">
        <f>L59</f>
        <v>Therapy 3</v>
      </c>
      <c r="Q72" t="str">
        <f>Q59</f>
        <v>Therapy 1</v>
      </c>
      <c r="R72" t="str">
        <f>R59</f>
        <v>Therapy 2</v>
      </c>
      <c r="S72" t="str">
        <f>S59</f>
        <v>Therapy 3</v>
      </c>
    </row>
    <row r="73" spans="1:20">
      <c r="A73" t="str">
        <f t="shared" ref="A73:B76" si="30">A60</f>
        <v>Positive</v>
      </c>
      <c r="B73" t="str">
        <f t="shared" si="30"/>
        <v>Male</v>
      </c>
      <c r="C73" s="517">
        <f>Q60*$F$6/$T60</f>
        <v>60.468945798058492</v>
      </c>
      <c r="D73" s="519">
        <f>R60*$F$6/$T60</f>
        <v>53.111659785554558</v>
      </c>
      <c r="E73" s="520">
        <f>S60*$F$6/$T60</f>
        <v>107.41939441638696</v>
      </c>
      <c r="F73">
        <f>SUM(C73:E73)</f>
        <v>221</v>
      </c>
      <c r="H73" t="str">
        <f t="shared" ref="H73:I76" si="31">A73</f>
        <v>Positive</v>
      </c>
      <c r="I73" t="str">
        <f t="shared" si="31"/>
        <v>Male</v>
      </c>
      <c r="J73" s="517">
        <f>C73*$C$12/C79</f>
        <v>60.469144819955858</v>
      </c>
      <c r="K73" s="519">
        <f>D73*$D$12/D79</f>
        <v>53.107068563309497</v>
      </c>
      <c r="L73" s="520">
        <f>E73*$E$12/E79</f>
        <v>107.42314573305423</v>
      </c>
      <c r="M73">
        <f>SUM(J73:L73)</f>
        <v>220.99935911631957</v>
      </c>
      <c r="O73" t="str">
        <f t="shared" ref="O73:P76" si="32">H73</f>
        <v>Positive</v>
      </c>
      <c r="P73" t="str">
        <f t="shared" si="32"/>
        <v>Male</v>
      </c>
      <c r="Q73" s="517">
        <f>J73*$C$15/J82</f>
        <v>60.468688356379609</v>
      </c>
      <c r="R73" s="519">
        <f>K73*$D$15/K82</f>
        <v>53.1095845255157</v>
      </c>
      <c r="S73" s="520">
        <f>L73*$E$15/L82</f>
        <v>107.42093664516084</v>
      </c>
      <c r="T73">
        <f>SUM(Q73:S73)</f>
        <v>220.99920952705617</v>
      </c>
    </row>
    <row r="74" spans="1:20">
      <c r="A74" t="str">
        <f t="shared" si="30"/>
        <v>Positive</v>
      </c>
      <c r="B74" t="str">
        <f t="shared" si="30"/>
        <v>Female</v>
      </c>
      <c r="C74" s="7">
        <f>Q61*$F$7/$T61</f>
        <v>30.530754693940949</v>
      </c>
      <c r="D74" s="8">
        <f>R61*$F$7/$T61</f>
        <v>25.895169937252067</v>
      </c>
      <c r="E74" s="9">
        <f>S61*$F$7/$T61</f>
        <v>79.574075368806987</v>
      </c>
      <c r="F74">
        <f>SUM(C74:E74)</f>
        <v>136</v>
      </c>
      <c r="H74" t="str">
        <f t="shared" si="31"/>
        <v>Positive</v>
      </c>
      <c r="I74" t="str">
        <f t="shared" si="31"/>
        <v>Female</v>
      </c>
      <c r="J74" s="7">
        <f>C74*$C$12/C79</f>
        <v>30.530855180044135</v>
      </c>
      <c r="K74" s="8">
        <f>D74*$D$12/D79</f>
        <v>25.892931436690503</v>
      </c>
      <c r="L74" s="9">
        <f>E74*$E$12/E79</f>
        <v>79.576854266945773</v>
      </c>
      <c r="M74">
        <f>SUM(J74:L74)</f>
        <v>136.0006408836804</v>
      </c>
      <c r="O74" t="str">
        <f t="shared" si="32"/>
        <v>Positive</v>
      </c>
      <c r="P74" t="str">
        <f t="shared" si="32"/>
        <v>Female</v>
      </c>
      <c r="Q74" s="7">
        <f>J74*$C$16/J83</f>
        <v>30.531181682813401</v>
      </c>
      <c r="R74" s="8">
        <f>K74*$D$16/K83</f>
        <v>25.891489692550774</v>
      </c>
      <c r="S74" s="9">
        <f>L74*$E$16/L83</f>
        <v>79.578346380061603</v>
      </c>
      <c r="T74">
        <f>SUM(Q74:S74)</f>
        <v>136.00101775542578</v>
      </c>
    </row>
    <row r="75" spans="1:20">
      <c r="A75" t="str">
        <f t="shared" si="30"/>
        <v>Negative</v>
      </c>
      <c r="B75" t="str">
        <f t="shared" si="30"/>
        <v>Male</v>
      </c>
      <c r="C75" s="7">
        <f>Q62*$F$8/$T62</f>
        <v>7.5314623238150595</v>
      </c>
      <c r="D75" s="8">
        <f>R62*$F$8/$T62</f>
        <v>13.887663027498352</v>
      </c>
      <c r="E75" s="9">
        <f>S62*$F$8/$T62</f>
        <v>16.580874648686596</v>
      </c>
      <c r="F75">
        <f>SUM(C75:E75)</f>
        <v>38.000000000000007</v>
      </c>
      <c r="H75" t="str">
        <f t="shared" si="31"/>
        <v>Negative</v>
      </c>
      <c r="I75" t="str">
        <f t="shared" si="31"/>
        <v>Male</v>
      </c>
      <c r="J75" s="7">
        <f>C75*$C$13/C80</f>
        <v>7.5313684956795273</v>
      </c>
      <c r="K75" s="8">
        <f>D75*$D$13/D80</f>
        <v>13.889757443345959</v>
      </c>
      <c r="L75" s="9">
        <f>E75*$E$13/E80</f>
        <v>16.579404299624088</v>
      </c>
      <c r="M75">
        <f>SUM(J75:L75)</f>
        <v>38.000530238649574</v>
      </c>
      <c r="O75" t="str">
        <f t="shared" si="32"/>
        <v>Negative</v>
      </c>
      <c r="P75" t="str">
        <f t="shared" si="32"/>
        <v>Male</v>
      </c>
      <c r="Q75" s="7">
        <f>J75*$C$15/J82</f>
        <v>7.531311643620386</v>
      </c>
      <c r="R75" s="8">
        <f>K75*$D$15/K82</f>
        <v>13.890415474484302</v>
      </c>
      <c r="S75" s="9">
        <f>L75*$E$15/L82</f>
        <v>16.57906335483916</v>
      </c>
      <c r="T75">
        <f>SUM(Q75:S75)</f>
        <v>38.000790472943848</v>
      </c>
    </row>
    <row r="76" spans="1:20">
      <c r="A76" t="str">
        <f t="shared" si="30"/>
        <v>Negative</v>
      </c>
      <c r="B76" t="str">
        <f t="shared" si="30"/>
        <v>Female</v>
      </c>
      <c r="C76" s="10">
        <f>Q63*$F$9/$T63</f>
        <v>17.468849133975066</v>
      </c>
      <c r="D76" s="11">
        <f>R63*$F$9/$T63</f>
        <v>31.105551489491834</v>
      </c>
      <c r="E76" s="12">
        <f>S63*$F$9/$T63</f>
        <v>56.4255993765331</v>
      </c>
      <c r="F76">
        <f>SUM(C76:E76)</f>
        <v>105</v>
      </c>
      <c r="H76" t="str">
        <f t="shared" si="31"/>
        <v>Negative</v>
      </c>
      <c r="I76" t="str">
        <f t="shared" si="31"/>
        <v>Female</v>
      </c>
      <c r="J76" s="10">
        <f>C76*$C$13/C80</f>
        <v>17.46863150432047</v>
      </c>
      <c r="K76" s="11">
        <f>D76*$D$13/D80</f>
        <v>31.110242556654043</v>
      </c>
      <c r="L76" s="12">
        <f>E76*$E$13/E80</f>
        <v>56.42059570037592</v>
      </c>
      <c r="M76">
        <f>SUM(J76:L76)</f>
        <v>104.99946976135044</v>
      </c>
      <c r="O76" t="str">
        <f t="shared" si="32"/>
        <v>Negative</v>
      </c>
      <c r="P76" t="str">
        <f t="shared" si="32"/>
        <v>Female</v>
      </c>
      <c r="Q76" s="10">
        <f>J76*$C$16/J83</f>
        <v>17.468818317186596</v>
      </c>
      <c r="R76" s="11">
        <f>K76*$D$16/K83</f>
        <v>31.108510307449226</v>
      </c>
      <c r="S76" s="12">
        <f>L76*$E$16/L83</f>
        <v>56.421653619938375</v>
      </c>
      <c r="T76">
        <f>SUM(Q76:S76)</f>
        <v>104.99898224457419</v>
      </c>
    </row>
    <row r="77" spans="1:20">
      <c r="C77">
        <f>SUM(C73:C76)</f>
        <v>116.00001194978958</v>
      </c>
      <c r="D77">
        <f>SUM(D73:D76)</f>
        <v>124.00004423979681</v>
      </c>
      <c r="E77">
        <f>SUM(E73:E76)</f>
        <v>259.99994381041364</v>
      </c>
      <c r="F77">
        <f>SUM(F73:F76)</f>
        <v>500</v>
      </c>
      <c r="J77">
        <f>SUM(J73:J76)</f>
        <v>116</v>
      </c>
      <c r="K77">
        <f>SUM(K73:K76)</f>
        <v>124</v>
      </c>
      <c r="L77">
        <f>SUM(L73:L76)</f>
        <v>260</v>
      </c>
      <c r="M77">
        <f>SUM(M73:M76)</f>
        <v>500</v>
      </c>
      <c r="Q77">
        <f>SUM(Q73:Q76)</f>
        <v>116</v>
      </c>
      <c r="R77">
        <f>SUM(R73:R76)</f>
        <v>124</v>
      </c>
      <c r="S77">
        <f>SUM(S73:S76)</f>
        <v>259.99999999999994</v>
      </c>
      <c r="T77">
        <f>SUM(T73:T76)</f>
        <v>500</v>
      </c>
    </row>
    <row r="79" spans="1:20">
      <c r="A79" t="str">
        <f>A66</f>
        <v>Positive</v>
      </c>
      <c r="C79" s="517">
        <f>SUM(C73:C74)</f>
        <v>90.999700491999448</v>
      </c>
      <c r="D79" s="519">
        <f>SUM(D73:D74)</f>
        <v>79.006829722806629</v>
      </c>
      <c r="E79" s="520">
        <f>SUM(E73:E74)</f>
        <v>186.99346978519395</v>
      </c>
      <c r="H79" t="str">
        <f>A79</f>
        <v>Positive</v>
      </c>
      <c r="J79" s="517">
        <f>SUM(J73:J74)</f>
        <v>91</v>
      </c>
      <c r="K79" s="519">
        <f>SUM(K73:K74)</f>
        <v>79</v>
      </c>
      <c r="L79" s="520">
        <f>SUM(L73:L74)</f>
        <v>187</v>
      </c>
      <c r="O79" t="str">
        <f>H79</f>
        <v>Positive</v>
      </c>
      <c r="Q79" s="517">
        <f>SUM(Q73:Q74)</f>
        <v>90.999870039193013</v>
      </c>
      <c r="R79" s="519">
        <f>SUM(R73:R74)</f>
        <v>79.001074218066478</v>
      </c>
      <c r="S79" s="520">
        <f>SUM(S73:S74)</f>
        <v>186.99928302522244</v>
      </c>
    </row>
    <row r="80" spans="1:20">
      <c r="A80" t="str">
        <f>A67</f>
        <v>Negative</v>
      </c>
      <c r="C80" s="10">
        <f>SUM(C75:C76)</f>
        <v>25.000311457790126</v>
      </c>
      <c r="D80" s="11">
        <f>SUM(D75:D76)</f>
        <v>44.993214516990186</v>
      </c>
      <c r="E80" s="11">
        <f>SUM(E75:E76)</f>
        <v>73.006474025219688</v>
      </c>
      <c r="H80" t="str">
        <f>A80</f>
        <v>Negative</v>
      </c>
      <c r="J80" s="10">
        <f>SUM(J75:J76)</f>
        <v>24.999999999999996</v>
      </c>
      <c r="K80" s="11">
        <f>SUM(K75:K76)</f>
        <v>45</v>
      </c>
      <c r="L80" s="11">
        <f>SUM(L75:L76)</f>
        <v>73</v>
      </c>
      <c r="O80" t="str">
        <f>H80</f>
        <v>Negative</v>
      </c>
      <c r="Q80" s="10">
        <f>SUM(Q75:Q76)</f>
        <v>25.00012996080698</v>
      </c>
      <c r="R80" s="11">
        <f>SUM(R75:R76)</f>
        <v>44.998925781933529</v>
      </c>
      <c r="S80" s="11">
        <f>SUM(S75:S76)</f>
        <v>73.000716974777532</v>
      </c>
    </row>
    <row r="82" spans="1:20">
      <c r="B82" t="str">
        <f>B69</f>
        <v>Male</v>
      </c>
      <c r="C82" s="517">
        <f t="shared" ref="C82:E83" si="33">C73+C75</f>
        <v>68.000408121873548</v>
      </c>
      <c r="D82" s="519">
        <f t="shared" si="33"/>
        <v>66.999322813052913</v>
      </c>
      <c r="E82" s="520">
        <f t="shared" si="33"/>
        <v>124.00026906507355</v>
      </c>
      <c r="I82" t="str">
        <f>B82</f>
        <v>Male</v>
      </c>
      <c r="J82" s="517">
        <f t="shared" ref="J82:L83" si="34">J73+J75</f>
        <v>68.000513315635388</v>
      </c>
      <c r="K82" s="519">
        <f t="shared" si="34"/>
        <v>66.996826006655454</v>
      </c>
      <c r="L82" s="520">
        <f t="shared" si="34"/>
        <v>124.00255003267831</v>
      </c>
      <c r="P82" t="str">
        <f>I82</f>
        <v>Male</v>
      </c>
      <c r="Q82" s="517">
        <f t="shared" ref="Q82:S83" si="35">Q73+Q75</f>
        <v>68</v>
      </c>
      <c r="R82" s="519">
        <f t="shared" si="35"/>
        <v>67</v>
      </c>
      <c r="S82" s="520">
        <f t="shared" si="35"/>
        <v>124</v>
      </c>
    </row>
    <row r="83" spans="1:20">
      <c r="B83" t="str">
        <f>B70</f>
        <v>Female</v>
      </c>
      <c r="C83" s="10">
        <f t="shared" si="33"/>
        <v>47.999603827916019</v>
      </c>
      <c r="D83" s="11">
        <f t="shared" si="33"/>
        <v>57.000721426743901</v>
      </c>
      <c r="E83" s="12">
        <f t="shared" si="33"/>
        <v>135.99967474534009</v>
      </c>
      <c r="I83" t="str">
        <f>B83</f>
        <v>Female</v>
      </c>
      <c r="J83" s="10">
        <f t="shared" si="34"/>
        <v>47.999486684364605</v>
      </c>
      <c r="K83" s="11">
        <f t="shared" si="34"/>
        <v>57.003173993344546</v>
      </c>
      <c r="L83" s="12">
        <f t="shared" si="34"/>
        <v>135.9974499673217</v>
      </c>
      <c r="P83" t="str">
        <f>I83</f>
        <v>Female</v>
      </c>
      <c r="Q83" s="10">
        <f t="shared" si="35"/>
        <v>48</v>
      </c>
      <c r="R83" s="11">
        <f t="shared" si="35"/>
        <v>57</v>
      </c>
      <c r="S83" s="12">
        <f t="shared" si="35"/>
        <v>135.99999999999997</v>
      </c>
    </row>
    <row r="85" spans="1:20">
      <c r="C85" t="str">
        <f>C72</f>
        <v>Therapy 1</v>
      </c>
      <c r="D85" t="str">
        <f>D72</f>
        <v>Therapy 2</v>
      </c>
      <c r="E85" t="str">
        <f>E72</f>
        <v>Therapy 3</v>
      </c>
      <c r="J85" t="str">
        <f>J72</f>
        <v>Therapy 1</v>
      </c>
      <c r="K85" t="str">
        <f>K72</f>
        <v>Therapy 2</v>
      </c>
      <c r="L85" t="str">
        <f>L72</f>
        <v>Therapy 3</v>
      </c>
      <c r="Q85" t="str">
        <f>Q72</f>
        <v>Therapy 1</v>
      </c>
      <c r="R85" t="str">
        <f>R72</f>
        <v>Therapy 2</v>
      </c>
      <c r="S85" t="str">
        <f>S72</f>
        <v>Therapy 3</v>
      </c>
    </row>
    <row r="86" spans="1:20">
      <c r="A86" t="str">
        <f t="shared" ref="A86:B89" si="36">A73</f>
        <v>Positive</v>
      </c>
      <c r="B86" t="str">
        <f t="shared" si="36"/>
        <v>Male</v>
      </c>
      <c r="C86" s="517">
        <f>Q73*$F$6/$T73</f>
        <v>60.468904641597085</v>
      </c>
      <c r="D86" s="519">
        <f>R73*$F$6/$T73</f>
        <v>53.109774488591661</v>
      </c>
      <c r="E86" s="520">
        <f>S73*$F$6/$T73</f>
        <v>107.42132086981124</v>
      </c>
      <c r="F86">
        <f>SUM(C86:E86)</f>
        <v>221</v>
      </c>
      <c r="H86" t="str">
        <f t="shared" ref="H86:I89" si="37">A86</f>
        <v>Positive</v>
      </c>
      <c r="I86" t="str">
        <f t="shared" si="37"/>
        <v>Male</v>
      </c>
      <c r="J86" s="517">
        <f>C86*$C$12/C92</f>
        <v>60.468999102047221</v>
      </c>
      <c r="K86" s="519">
        <f>D86*$D$12/D92</f>
        <v>53.109054878552698</v>
      </c>
      <c r="L86" s="520">
        <f>E86*$E$12/E92</f>
        <v>107.4218541129806</v>
      </c>
      <c r="M86">
        <f>SUM(J86:L86)</f>
        <v>220.99990809358053</v>
      </c>
      <c r="O86" t="str">
        <f t="shared" ref="O86:P89" si="38">H86</f>
        <v>Positive</v>
      </c>
      <c r="P86" t="str">
        <f t="shared" si="38"/>
        <v>Male</v>
      </c>
      <c r="Q86" s="517">
        <f>J86*$C$15/J95</f>
        <v>60.468900289990039</v>
      </c>
      <c r="R86" s="519">
        <f>K86*$D$15/K95</f>
        <v>53.109443995952745</v>
      </c>
      <c r="S86" s="520">
        <f>L86*$E$15/L95</f>
        <v>107.42153887328529</v>
      </c>
      <c r="T86">
        <f>SUM(Q86:S86)</f>
        <v>220.99988315922809</v>
      </c>
    </row>
    <row r="87" spans="1:20">
      <c r="A87" t="str">
        <f t="shared" si="36"/>
        <v>Positive</v>
      </c>
      <c r="B87" t="str">
        <f t="shared" si="36"/>
        <v>Female</v>
      </c>
      <c r="C87" s="7">
        <f>Q74*$F$7/$T74</f>
        <v>30.530953204554002</v>
      </c>
      <c r="D87" s="8">
        <f>R74*$F$7/$T74</f>
        <v>25.89129593514696</v>
      </c>
      <c r="E87" s="9">
        <f>S74*$F$7/$T74</f>
        <v>79.577750860299048</v>
      </c>
      <c r="F87">
        <f>SUM(C87:E87)</f>
        <v>136</v>
      </c>
      <c r="H87" t="str">
        <f t="shared" si="37"/>
        <v>Positive</v>
      </c>
      <c r="I87" t="str">
        <f t="shared" si="37"/>
        <v>Female</v>
      </c>
      <c r="J87" s="7">
        <f>C87*$C$12/C92</f>
        <v>30.531000897952779</v>
      </c>
      <c r="K87" s="8">
        <f>D87*$D$12/D92</f>
        <v>25.890945121447295</v>
      </c>
      <c r="L87" s="9">
        <f>E87*$E$12/E92</f>
        <v>79.578145887019403</v>
      </c>
      <c r="M87">
        <f>SUM(J87:L87)</f>
        <v>136.00009190641947</v>
      </c>
      <c r="O87" t="str">
        <f t="shared" si="38"/>
        <v>Positive</v>
      </c>
      <c r="P87" t="str">
        <f t="shared" si="38"/>
        <v>Female</v>
      </c>
      <c r="Q87" s="7">
        <f>J87*$C$16/J96</f>
        <v>30.531071576496615</v>
      </c>
      <c r="R87" s="8">
        <f>K87*$D$16/K96</f>
        <v>25.890722148072218</v>
      </c>
      <c r="S87" s="9">
        <f>L87*$E$16/L96</f>
        <v>79.578358812327579</v>
      </c>
      <c r="T87">
        <f>SUM(Q87:S87)</f>
        <v>136.00015253689639</v>
      </c>
    </row>
    <row r="88" spans="1:20">
      <c r="A88" t="str">
        <f t="shared" si="36"/>
        <v>Negative</v>
      </c>
      <c r="B88" t="str">
        <f t="shared" si="36"/>
        <v>Male</v>
      </c>
      <c r="C88" s="7">
        <f>Q75*$F$8/$T75</f>
        <v>7.5311549811401619</v>
      </c>
      <c r="D88" s="8">
        <f>R75*$F$8/$T75</f>
        <v>13.890126533189273</v>
      </c>
      <c r="E88" s="9">
        <f>S75*$F$8/$T75</f>
        <v>16.578718485670567</v>
      </c>
      <c r="F88">
        <f>SUM(C88:E88)</f>
        <v>38</v>
      </c>
      <c r="H88" t="str">
        <f t="shared" si="37"/>
        <v>Negative</v>
      </c>
      <c r="I88" t="str">
        <f t="shared" si="37"/>
        <v>Male</v>
      </c>
      <c r="J88" s="7">
        <f>C88*$C$13/C93</f>
        <v>7.5311120165584802</v>
      </c>
      <c r="K88" s="8">
        <f>D88*$D$13/D93</f>
        <v>13.890454231996364</v>
      </c>
      <c r="L88" s="9">
        <f>E88*$E$13/E93</f>
        <v>16.578509777935764</v>
      </c>
      <c r="M88">
        <f>SUM(J88:L88)</f>
        <v>38.000076026490603</v>
      </c>
      <c r="O88" t="str">
        <f t="shared" si="38"/>
        <v>Negative</v>
      </c>
      <c r="P88" t="str">
        <f t="shared" si="38"/>
        <v>Male</v>
      </c>
      <c r="Q88" s="7">
        <f>J88*$C$15/J95</f>
        <v>7.531099710009963</v>
      </c>
      <c r="R88" s="8">
        <f>K88*$D$15/K95</f>
        <v>13.89055600404726</v>
      </c>
      <c r="S88" s="9">
        <f>L88*$E$15/L95</f>
        <v>16.578461126714704</v>
      </c>
      <c r="T88">
        <f>SUM(Q88:S88)</f>
        <v>38.000116840771923</v>
      </c>
    </row>
    <row r="89" spans="1:20">
      <c r="A89" t="str">
        <f t="shared" si="36"/>
        <v>Negative</v>
      </c>
      <c r="B89" t="str">
        <f t="shared" si="36"/>
        <v>Female</v>
      </c>
      <c r="C89" s="10">
        <f>Q76*$F$9/$T76</f>
        <v>17.468987642490941</v>
      </c>
      <c r="D89" s="11">
        <f>R76*$F$9/$T76</f>
        <v>31.108811842325824</v>
      </c>
      <c r="E89" s="12">
        <f>S76*$F$9/$T76</f>
        <v>56.422200515183235</v>
      </c>
      <c r="F89">
        <f>SUM(C89:E89)</f>
        <v>105</v>
      </c>
      <c r="H89" t="str">
        <f t="shared" si="37"/>
        <v>Negative</v>
      </c>
      <c r="I89" t="str">
        <f t="shared" si="37"/>
        <v>Female</v>
      </c>
      <c r="J89" s="10">
        <f>C89*$C$13/C93</f>
        <v>17.468887983441519</v>
      </c>
      <c r="K89" s="11">
        <f>D89*$D$13/D93</f>
        <v>31.109545768003638</v>
      </c>
      <c r="L89" s="12">
        <f>E89*$E$13/E93</f>
        <v>56.421490222064243</v>
      </c>
      <c r="M89">
        <f>SUM(J89:L89)</f>
        <v>104.9999239735094</v>
      </c>
      <c r="O89" t="str">
        <f t="shared" si="38"/>
        <v>Negative</v>
      </c>
      <c r="P89" t="str">
        <f t="shared" si="38"/>
        <v>Female</v>
      </c>
      <c r="Q89" s="10">
        <f>J89*$C$16/J96</f>
        <v>17.468928423503385</v>
      </c>
      <c r="R89" s="11">
        <f>K89*$D$16/K96</f>
        <v>31.109277851927786</v>
      </c>
      <c r="S89" s="12">
        <f>L89*$E$16/L96</f>
        <v>56.421641187672435</v>
      </c>
      <c r="T89">
        <f>SUM(Q89:S89)</f>
        <v>104.99984746310361</v>
      </c>
    </row>
    <row r="90" spans="1:20">
      <c r="C90">
        <f>SUM(C86:C89)</f>
        <v>116.00000046978219</v>
      </c>
      <c r="D90">
        <f>SUM(D86:D89)</f>
        <v>124.00000879925372</v>
      </c>
      <c r="E90">
        <f>SUM(E86:E89)</f>
        <v>259.9999907309641</v>
      </c>
      <c r="F90">
        <f>SUM(F86:F89)</f>
        <v>500</v>
      </c>
      <c r="J90">
        <f>SUM(J86:J89)</f>
        <v>116</v>
      </c>
      <c r="K90">
        <f>SUM(K86:K89)</f>
        <v>124</v>
      </c>
      <c r="L90">
        <f>SUM(L86:L89)</f>
        <v>260</v>
      </c>
      <c r="M90">
        <f>SUM(M86:M89)</f>
        <v>500</v>
      </c>
      <c r="Q90">
        <f>SUM(Q86:Q89)</f>
        <v>116</v>
      </c>
      <c r="R90">
        <f>SUM(R86:R89)</f>
        <v>124</v>
      </c>
      <c r="S90">
        <f>SUM(S86:S89)</f>
        <v>260</v>
      </c>
      <c r="T90">
        <f>SUM(T86:T89)</f>
        <v>500</v>
      </c>
    </row>
    <row r="92" spans="1:20">
      <c r="A92" t="str">
        <f>A79</f>
        <v>Positive</v>
      </c>
      <c r="C92" s="517">
        <f>SUM(C86:C87)</f>
        <v>90.999857846151087</v>
      </c>
      <c r="D92" s="519">
        <f>SUM(D86:D87)</f>
        <v>79.001070423738625</v>
      </c>
      <c r="E92" s="520">
        <f>SUM(E86:E87)</f>
        <v>186.9990717301103</v>
      </c>
      <c r="H92" t="str">
        <f>A92</f>
        <v>Positive</v>
      </c>
      <c r="J92" s="517">
        <f>SUM(J86:J87)</f>
        <v>91</v>
      </c>
      <c r="K92" s="519">
        <f>SUM(K86:K87)</f>
        <v>79</v>
      </c>
      <c r="L92" s="520">
        <f>SUM(L86:L87)</f>
        <v>187</v>
      </c>
      <c r="O92" t="str">
        <f>H92</f>
        <v>Positive</v>
      </c>
      <c r="Q92" s="517">
        <f>SUM(Q86:Q87)</f>
        <v>90.999971866486646</v>
      </c>
      <c r="R92" s="519">
        <f>SUM(R86:R87)</f>
        <v>79.000166144024959</v>
      </c>
      <c r="S92" s="520">
        <f>SUM(S86:S87)</f>
        <v>186.99989768561286</v>
      </c>
    </row>
    <row r="93" spans="1:20">
      <c r="A93" t="str">
        <f>A80</f>
        <v>Negative</v>
      </c>
      <c r="C93" s="10">
        <f>SUM(C88:C89)</f>
        <v>25.000142623631103</v>
      </c>
      <c r="D93" s="11">
        <f>SUM(D88:D89)</f>
        <v>44.998938375515095</v>
      </c>
      <c r="E93" s="11">
        <f>SUM(E88:E89)</f>
        <v>73.000919000853798</v>
      </c>
      <c r="H93" t="str">
        <f>A93</f>
        <v>Negative</v>
      </c>
      <c r="J93" s="10">
        <f>SUM(J88:J89)</f>
        <v>25</v>
      </c>
      <c r="K93" s="11">
        <f>SUM(K88:K89)</f>
        <v>45</v>
      </c>
      <c r="L93" s="11">
        <f>SUM(L88:L89)</f>
        <v>73</v>
      </c>
      <c r="O93" t="str">
        <f>H93</f>
        <v>Negative</v>
      </c>
      <c r="Q93" s="10">
        <f>SUM(Q88:Q89)</f>
        <v>25.000028133513347</v>
      </c>
      <c r="R93" s="11">
        <f>SUM(R88:R89)</f>
        <v>44.999833855975048</v>
      </c>
      <c r="S93" s="11">
        <f>SUM(S88:S89)</f>
        <v>73.000102314387135</v>
      </c>
    </row>
    <row r="95" spans="1:20">
      <c r="B95" t="str">
        <f>B82</f>
        <v>Male</v>
      </c>
      <c r="C95" s="517">
        <f t="shared" ref="C95:E96" si="39">C86+C88</f>
        <v>68.00005962273724</v>
      </c>
      <c r="D95" s="519">
        <f t="shared" si="39"/>
        <v>66.999901021780929</v>
      </c>
      <c r="E95" s="520">
        <f t="shared" si="39"/>
        <v>124.0000393554818</v>
      </c>
      <c r="I95" t="str">
        <f>B95</f>
        <v>Male</v>
      </c>
      <c r="J95" s="517">
        <f t="shared" ref="J95:L96" si="40">J86+J88</f>
        <v>68.000111118605702</v>
      </c>
      <c r="K95" s="519">
        <f t="shared" si="40"/>
        <v>66.999509110549056</v>
      </c>
      <c r="L95" s="520">
        <f t="shared" si="40"/>
        <v>124.00036389091636</v>
      </c>
      <c r="P95" t="str">
        <f>I95</f>
        <v>Male</v>
      </c>
      <c r="Q95" s="517">
        <f t="shared" ref="Q95:S96" si="41">Q86+Q88</f>
        <v>68</v>
      </c>
      <c r="R95" s="519">
        <f t="shared" si="41"/>
        <v>67</v>
      </c>
      <c r="S95" s="520">
        <f t="shared" si="41"/>
        <v>123.99999999999999</v>
      </c>
    </row>
    <row r="96" spans="1:20">
      <c r="B96" t="str">
        <f>B83</f>
        <v>Female</v>
      </c>
      <c r="C96" s="10">
        <f t="shared" si="39"/>
        <v>47.99994084704494</v>
      </c>
      <c r="D96" s="11">
        <f t="shared" si="39"/>
        <v>57.000107777472785</v>
      </c>
      <c r="E96" s="12">
        <f t="shared" si="39"/>
        <v>135.99995137548228</v>
      </c>
      <c r="I96" t="str">
        <f>B96</f>
        <v>Female</v>
      </c>
      <c r="J96" s="10">
        <f t="shared" si="40"/>
        <v>47.999888881394298</v>
      </c>
      <c r="K96" s="11">
        <f t="shared" si="40"/>
        <v>57.00049088945093</v>
      </c>
      <c r="L96" s="12">
        <f t="shared" si="40"/>
        <v>135.99963610908364</v>
      </c>
      <c r="P96" t="str">
        <f>I96</f>
        <v>Female</v>
      </c>
      <c r="Q96" s="10">
        <f t="shared" si="41"/>
        <v>48</v>
      </c>
      <c r="R96" s="11">
        <f t="shared" si="41"/>
        <v>57</v>
      </c>
      <c r="S96" s="12">
        <f t="shared" si="41"/>
        <v>136</v>
      </c>
    </row>
    <row r="98" spans="1:20">
      <c r="C98" t="str">
        <f>C85</f>
        <v>Therapy 1</v>
      </c>
      <c r="D98" t="str">
        <f>D85</f>
        <v>Therapy 2</v>
      </c>
      <c r="E98" t="str">
        <f>E85</f>
        <v>Therapy 3</v>
      </c>
      <c r="J98" t="str">
        <f>J85</f>
        <v>Therapy 1</v>
      </c>
      <c r="K98" t="str">
        <f>K85</f>
        <v>Therapy 2</v>
      </c>
      <c r="L98" t="str">
        <f>L85</f>
        <v>Therapy 3</v>
      </c>
      <c r="Q98" t="str">
        <f>Q85</f>
        <v>Therapy 1</v>
      </c>
      <c r="R98" t="str">
        <f>R85</f>
        <v>Therapy 2</v>
      </c>
      <c r="S98" t="str">
        <f>S85</f>
        <v>Therapy 3</v>
      </c>
    </row>
    <row r="99" spans="1:20">
      <c r="A99" t="str">
        <f t="shared" ref="A99:B102" si="42">A86</f>
        <v>Positive</v>
      </c>
      <c r="B99" t="str">
        <f t="shared" si="42"/>
        <v>Male</v>
      </c>
      <c r="C99" s="517">
        <f>Q86*$F$6/$T86</f>
        <v>60.468932259386968</v>
      </c>
      <c r="D99" s="519">
        <f>R86*$F$6/$T86</f>
        <v>53.109472074467284</v>
      </c>
      <c r="E99" s="520">
        <f>S86*$F$6/$T86</f>
        <v>107.42159566614572</v>
      </c>
      <c r="F99">
        <f>SUM(C99:E99)</f>
        <v>220.99999999999997</v>
      </c>
      <c r="H99" t="str">
        <f t="shared" ref="H99:I102" si="43">A99</f>
        <v>Positive</v>
      </c>
      <c r="I99" t="str">
        <f t="shared" si="43"/>
        <v>Male</v>
      </c>
      <c r="J99" s="517">
        <f>C99*$C$12/C105</f>
        <v>60.468952465034235</v>
      </c>
      <c r="K99" s="519">
        <f>D99*$D$12/D105</f>
        <v>53.109361026375204</v>
      </c>
      <c r="L99" s="520">
        <f>E99*$E$12/E105</f>
        <v>107.42167308793387</v>
      </c>
      <c r="M99">
        <f>SUM(J99:L99)</f>
        <v>220.9999865793433</v>
      </c>
      <c r="O99" t="str">
        <f t="shared" ref="O99:P102" si="44">H99</f>
        <v>Positive</v>
      </c>
      <c r="P99" t="str">
        <f t="shared" si="44"/>
        <v>Male</v>
      </c>
      <c r="Q99" s="517">
        <f>J99*$C$15/J108</f>
        <v>60.468934791572515</v>
      </c>
      <c r="R99" s="519">
        <f>K99*$D$15/K108</f>
        <v>53.10942060480339</v>
      </c>
      <c r="S99" s="520">
        <f>L99*$E$15/L108</f>
        <v>107.42162720309202</v>
      </c>
      <c r="T99">
        <f>SUM(Q99:S99)</f>
        <v>220.99998259946793</v>
      </c>
    </row>
    <row r="100" spans="1:20">
      <c r="A100" t="str">
        <f t="shared" si="42"/>
        <v>Positive</v>
      </c>
      <c r="B100" t="str">
        <f t="shared" si="42"/>
        <v>Female</v>
      </c>
      <c r="C100" s="7">
        <f>Q87*$F$7/$T87</f>
        <v>30.531037333043098</v>
      </c>
      <c r="D100" s="8">
        <f>R87*$F$7/$T87</f>
        <v>25.890693109204772</v>
      </c>
      <c r="E100" s="9">
        <f>S87*$F$7/$T87</f>
        <v>79.578269557752151</v>
      </c>
      <c r="F100">
        <f>SUM(C100:E100)</f>
        <v>136.00000000000003</v>
      </c>
      <c r="H100" t="str">
        <f t="shared" si="43"/>
        <v>Positive</v>
      </c>
      <c r="I100" t="str">
        <f t="shared" si="43"/>
        <v>Female</v>
      </c>
      <c r="J100" s="7">
        <f>C100*$C$12/C105</f>
        <v>30.531047534965772</v>
      </c>
      <c r="K100" s="8">
        <f>D100*$D$12/D105</f>
        <v>25.890638973624803</v>
      </c>
      <c r="L100" s="9">
        <f>E100*$E$12/E105</f>
        <v>79.578326912066146</v>
      </c>
      <c r="M100">
        <f>SUM(J100:L100)</f>
        <v>136.00001342065673</v>
      </c>
      <c r="O100" t="str">
        <f t="shared" si="44"/>
        <v>Positive</v>
      </c>
      <c r="P100" t="str">
        <f t="shared" si="44"/>
        <v>Female</v>
      </c>
      <c r="Q100" s="7">
        <f>J100*$C$16/J109</f>
        <v>30.531060176473233</v>
      </c>
      <c r="R100" s="8">
        <f>K100*$D$16/K109</f>
        <v>25.89060483393104</v>
      </c>
      <c r="S100" s="9">
        <f>L100*$E$16/L109</f>
        <v>79.578357904469996</v>
      </c>
      <c r="T100">
        <f>SUM(Q100:S100)</f>
        <v>136.00002291487425</v>
      </c>
    </row>
    <row r="101" spans="1:20">
      <c r="A101" t="str">
        <f t="shared" si="42"/>
        <v>Negative</v>
      </c>
      <c r="B101" t="str">
        <f t="shared" si="42"/>
        <v>Male</v>
      </c>
      <c r="C101" s="7">
        <f>Q88*$F$8/$T88</f>
        <v>7.5310765537784379</v>
      </c>
      <c r="D101" s="8">
        <f>R88*$F$8/$T88</f>
        <v>13.890513294092111</v>
      </c>
      <c r="E101" s="9">
        <f>S88*$F$8/$T88</f>
        <v>16.578410152129457</v>
      </c>
      <c r="F101">
        <f>SUM(C101:E101)</f>
        <v>38.000000000000007</v>
      </c>
      <c r="H101" t="str">
        <f t="shared" si="43"/>
        <v>Negative</v>
      </c>
      <c r="I101" t="str">
        <f t="shared" si="43"/>
        <v>Male</v>
      </c>
      <c r="J101" s="7">
        <f>C101*$C$13/C106</f>
        <v>7.5310674095575729</v>
      </c>
      <c r="K101" s="8">
        <f>D101*$D$13/D106</f>
        <v>13.890563812671367</v>
      </c>
      <c r="L101" s="9">
        <f>E101*$E$13/E106</f>
        <v>16.578379878312678</v>
      </c>
      <c r="M101">
        <f>SUM(J101:L101)</f>
        <v>38.000011100541613</v>
      </c>
      <c r="O101" t="str">
        <f t="shared" si="44"/>
        <v>Negative</v>
      </c>
      <c r="P101" t="str">
        <f t="shared" si="44"/>
        <v>Male</v>
      </c>
      <c r="Q101" s="7">
        <f>J101*$C$15/J108</f>
        <v>7.5310652084274707</v>
      </c>
      <c r="R101" s="8">
        <f>K101*$D$15/K108</f>
        <v>13.890579395196607</v>
      </c>
      <c r="S101" s="9">
        <f>L101*$E$15/L108</f>
        <v>16.578372796907992</v>
      </c>
      <c r="T101">
        <f>SUM(Q101:S101)</f>
        <v>38.000017400532073</v>
      </c>
    </row>
    <row r="102" spans="1:20">
      <c r="A102" t="str">
        <f t="shared" si="42"/>
        <v>Negative</v>
      </c>
      <c r="B102" t="str">
        <f t="shared" si="42"/>
        <v>Female</v>
      </c>
      <c r="C102" s="10">
        <f>Q89*$F$9/$T89</f>
        <v>17.468953801217634</v>
      </c>
      <c r="D102" s="11">
        <f>R89*$F$9/$T89</f>
        <v>31.109323045447656</v>
      </c>
      <c r="E102" s="12">
        <f>S89*$F$9/$T89</f>
        <v>56.42172315333471</v>
      </c>
      <c r="F102">
        <f>SUM(C102:E102)</f>
        <v>105</v>
      </c>
      <c r="H102" t="str">
        <f t="shared" si="43"/>
        <v>Negative</v>
      </c>
      <c r="I102" t="str">
        <f t="shared" si="43"/>
        <v>Female</v>
      </c>
      <c r="J102" s="10">
        <f>C102*$C$13/C106</f>
        <v>17.468932590442428</v>
      </c>
      <c r="K102" s="11">
        <f>D102*$D$13/D106</f>
        <v>31.109436187328633</v>
      </c>
      <c r="L102" s="12">
        <f>E102*$E$13/E106</f>
        <v>56.421620121687319</v>
      </c>
      <c r="M102">
        <f>SUM(J102:L102)</f>
        <v>104.99998889945837</v>
      </c>
      <c r="O102" t="str">
        <f t="shared" si="44"/>
        <v>Negative</v>
      </c>
      <c r="P102" t="str">
        <f t="shared" si="44"/>
        <v>Female</v>
      </c>
      <c r="Q102" s="10">
        <f>J102*$C$16/J109</f>
        <v>17.468939823526764</v>
      </c>
      <c r="R102" s="11">
        <f>K102*$D$16/K109</f>
        <v>31.109395166068957</v>
      </c>
      <c r="S102" s="12">
        <f>L102*$E$16/L109</f>
        <v>56.421642095529997</v>
      </c>
      <c r="T102">
        <f>SUM(Q102:S102)</f>
        <v>104.99997708512572</v>
      </c>
    </row>
    <row r="103" spans="1:20">
      <c r="C103">
        <f>SUM(C99:C102)</f>
        <v>115.99999994742613</v>
      </c>
      <c r="D103">
        <f>SUM(D99:D102)</f>
        <v>124.00000152321182</v>
      </c>
      <c r="E103">
        <f>SUM(E99:E102)</f>
        <v>259.99999852936207</v>
      </c>
      <c r="F103">
        <f>SUM(F99:F102)</f>
        <v>500</v>
      </c>
      <c r="J103">
        <f>SUM(J99:J102)</f>
        <v>116</v>
      </c>
      <c r="K103">
        <f>SUM(K99:K102)</f>
        <v>124</v>
      </c>
      <c r="L103">
        <f>SUM(L99:L102)</f>
        <v>260</v>
      </c>
      <c r="M103">
        <f>SUM(M99:M102)</f>
        <v>500</v>
      </c>
      <c r="Q103">
        <f>SUM(Q99:Q102)</f>
        <v>115.99999999999997</v>
      </c>
      <c r="R103">
        <f>SUM(R99:R102)</f>
        <v>124</v>
      </c>
      <c r="S103">
        <f>SUM(S99:S102)</f>
        <v>260</v>
      </c>
      <c r="T103">
        <f>SUM(T99:T102)</f>
        <v>500</v>
      </c>
    </row>
    <row r="105" spans="1:20">
      <c r="A105" t="str">
        <f>A92</f>
        <v>Positive</v>
      </c>
      <c r="C105" s="517">
        <f>SUM(C99:C100)</f>
        <v>90.999969592430062</v>
      </c>
      <c r="D105" s="519">
        <f>SUM(D99:D100)</f>
        <v>79.000165183672053</v>
      </c>
      <c r="E105" s="520">
        <f>SUM(E99:E100)</f>
        <v>186.99986522389787</v>
      </c>
      <c r="H105" t="str">
        <f>A105</f>
        <v>Positive</v>
      </c>
      <c r="J105" s="517">
        <f>SUM(J99:J100)</f>
        <v>91</v>
      </c>
      <c r="K105" s="519">
        <f>SUM(K99:K100)</f>
        <v>79</v>
      </c>
      <c r="L105" s="520">
        <f>SUM(L99:L100)</f>
        <v>187</v>
      </c>
      <c r="O105" t="str">
        <f>H105</f>
        <v>Positive</v>
      </c>
      <c r="Q105" s="517">
        <f>SUM(Q99:Q100)</f>
        <v>90.999994968045741</v>
      </c>
      <c r="R105" s="519">
        <f>SUM(R99:R100)</f>
        <v>79.000025438734426</v>
      </c>
      <c r="S105" s="520">
        <f>SUM(S99:S100)</f>
        <v>186.999985107562</v>
      </c>
    </row>
    <row r="106" spans="1:20">
      <c r="A106" t="str">
        <f>A93</f>
        <v>Negative</v>
      </c>
      <c r="C106" s="10">
        <f>SUM(C101:C102)</f>
        <v>25.000030354996071</v>
      </c>
      <c r="D106" s="11">
        <f>SUM(D101:D102)</f>
        <v>44.999836339539769</v>
      </c>
      <c r="E106" s="11">
        <f>SUM(E101:E102)</f>
        <v>73.000133305464175</v>
      </c>
      <c r="H106" t="str">
        <f>A106</f>
        <v>Negative</v>
      </c>
      <c r="J106" s="10">
        <f>SUM(J101:J102)</f>
        <v>25</v>
      </c>
      <c r="K106" s="11">
        <f>SUM(K101:K102)</f>
        <v>45</v>
      </c>
      <c r="L106" s="11">
        <f>SUM(L101:L102)</f>
        <v>73</v>
      </c>
      <c r="O106" t="str">
        <f>H106</f>
        <v>Negative</v>
      </c>
      <c r="Q106" s="10">
        <f>SUM(Q101:Q102)</f>
        <v>25.000005031954235</v>
      </c>
      <c r="R106" s="11">
        <f>SUM(R101:R102)</f>
        <v>44.99997456126556</v>
      </c>
      <c r="S106" s="11">
        <f>SUM(S101:S102)</f>
        <v>73.000014892437989</v>
      </c>
    </row>
    <row r="108" spans="1:20">
      <c r="B108" t="str">
        <f>B95</f>
        <v>Male</v>
      </c>
      <c r="C108" s="517">
        <f t="shared" ref="C108:E109" si="45">C99+C101</f>
        <v>68.000008813165408</v>
      </c>
      <c r="D108" s="519">
        <f t="shared" si="45"/>
        <v>66.999985368559393</v>
      </c>
      <c r="E108" s="520">
        <f t="shared" si="45"/>
        <v>124.00000581827518</v>
      </c>
      <c r="I108" t="str">
        <f>B108</f>
        <v>Male</v>
      </c>
      <c r="J108" s="517">
        <f t="shared" ref="J108:L109" si="46">J99+J101</f>
        <v>68.000019874591814</v>
      </c>
      <c r="K108" s="519">
        <f t="shared" si="46"/>
        <v>66.999924839046571</v>
      </c>
      <c r="L108" s="520">
        <f t="shared" si="46"/>
        <v>124.00005296624654</v>
      </c>
      <c r="P108" t="str">
        <f>I108</f>
        <v>Male</v>
      </c>
      <c r="Q108" s="517">
        <f t="shared" ref="Q108:S109" si="47">Q99+Q101</f>
        <v>67.999999999999986</v>
      </c>
      <c r="R108" s="519">
        <f t="shared" si="47"/>
        <v>67</v>
      </c>
      <c r="S108" s="520">
        <f t="shared" si="47"/>
        <v>124</v>
      </c>
    </row>
    <row r="109" spans="1:20">
      <c r="B109" t="str">
        <f>B96</f>
        <v>Female</v>
      </c>
      <c r="C109" s="10">
        <f t="shared" si="45"/>
        <v>47.999991134260732</v>
      </c>
      <c r="D109" s="11">
        <f t="shared" si="45"/>
        <v>57.000016154652428</v>
      </c>
      <c r="E109" s="12">
        <f t="shared" si="45"/>
        <v>135.99999271108686</v>
      </c>
      <c r="I109" t="str">
        <f>B109</f>
        <v>Female</v>
      </c>
      <c r="J109" s="10">
        <f t="shared" si="46"/>
        <v>47.9999801254082</v>
      </c>
      <c r="K109" s="11">
        <f t="shared" si="46"/>
        <v>57.000075160953436</v>
      </c>
      <c r="L109" s="12">
        <f t="shared" si="46"/>
        <v>135.99994703375347</v>
      </c>
      <c r="P109" t="str">
        <f>I109</f>
        <v>Female</v>
      </c>
      <c r="Q109" s="10">
        <f t="shared" si="47"/>
        <v>48</v>
      </c>
      <c r="R109" s="11">
        <f t="shared" si="47"/>
        <v>57</v>
      </c>
      <c r="S109" s="12">
        <f t="shared" si="47"/>
        <v>136</v>
      </c>
    </row>
    <row r="111" spans="1:20">
      <c r="C111" t="str">
        <f>C98</f>
        <v>Therapy 1</v>
      </c>
      <c r="D111" t="str">
        <f>D98</f>
        <v>Therapy 2</v>
      </c>
      <c r="E111" t="str">
        <f>E98</f>
        <v>Therapy 3</v>
      </c>
      <c r="J111" t="str">
        <f>J98</f>
        <v>Therapy 1</v>
      </c>
      <c r="K111" t="str">
        <f>K98</f>
        <v>Therapy 2</v>
      </c>
      <c r="L111" t="str">
        <f>L98</f>
        <v>Therapy 3</v>
      </c>
      <c r="Q111" t="str">
        <f>Q98</f>
        <v>Therapy 1</v>
      </c>
      <c r="R111" t="str">
        <f>R98</f>
        <v>Therapy 2</v>
      </c>
      <c r="S111" t="str">
        <f>S98</f>
        <v>Therapy 3</v>
      </c>
    </row>
    <row r="112" spans="1:20">
      <c r="A112" t="str">
        <f t="shared" ref="A112:B115" si="48">A99</f>
        <v>Positive</v>
      </c>
      <c r="B112" t="str">
        <f t="shared" si="48"/>
        <v>Male</v>
      </c>
      <c r="C112" s="517">
        <f>Q99*$F$6/$T99</f>
        <v>60.46893955262103</v>
      </c>
      <c r="D112" s="519">
        <f>R99*$F$6/$T99</f>
        <v>53.109424786397277</v>
      </c>
      <c r="E112" s="520">
        <f>S99*$F$6/$T99</f>
        <v>107.42163566098168</v>
      </c>
      <c r="F112">
        <f>SUM(C112:E112)</f>
        <v>221</v>
      </c>
      <c r="H112" t="str">
        <f t="shared" ref="H112:I115" si="49">A112</f>
        <v>Positive</v>
      </c>
      <c r="I112" t="str">
        <f t="shared" si="49"/>
        <v>Male</v>
      </c>
      <c r="J112" s="517">
        <f>C112*$C$12/C118</f>
        <v>60.468943150945627</v>
      </c>
      <c r="K112" s="519">
        <f>D112*$D$12/D118</f>
        <v>53.109407806192571</v>
      </c>
      <c r="L112" s="520">
        <f>E112*$E$12/E118</f>
        <v>107.42164705964812</v>
      </c>
      <c r="M112">
        <f>SUM(J112:L112)</f>
        <v>220.99999801678632</v>
      </c>
      <c r="O112" t="str">
        <f t="shared" ref="O112:P115" si="50">H112</f>
        <v>Positive</v>
      </c>
      <c r="P112" t="str">
        <f t="shared" si="50"/>
        <v>Male</v>
      </c>
      <c r="Q112" s="517">
        <f>J112*$C$15/J121</f>
        <v>60.468940229410684</v>
      </c>
      <c r="R112" s="519">
        <f>K112*$D$15/K121</f>
        <v>53.109416873721386</v>
      </c>
      <c r="S112" s="520">
        <f>L112*$E$15/L121</f>
        <v>107.42164029317338</v>
      </c>
      <c r="T112">
        <f>SUM(Q112:S112)</f>
        <v>220.99999739630545</v>
      </c>
    </row>
    <row r="113" spans="1:20">
      <c r="A113" t="str">
        <f t="shared" si="48"/>
        <v>Positive</v>
      </c>
      <c r="B113" t="str">
        <f t="shared" si="48"/>
        <v>Female</v>
      </c>
      <c r="C113" s="7">
        <f>Q100*$F$7/$T100</f>
        <v>30.531055032243184</v>
      </c>
      <c r="D113" s="8">
        <f>R100*$F$7/$T100</f>
        <v>25.89060047157917</v>
      </c>
      <c r="E113" s="9">
        <f>S100*$F$7/$T100</f>
        <v>79.578344496177664</v>
      </c>
      <c r="F113">
        <f>SUM(C113:E113)</f>
        <v>136</v>
      </c>
      <c r="H113" t="str">
        <f t="shared" si="49"/>
        <v>Positive</v>
      </c>
      <c r="I113" t="str">
        <f t="shared" si="49"/>
        <v>Female</v>
      </c>
      <c r="J113" s="7">
        <f>C113*$C$12/C118</f>
        <v>30.53105684905438</v>
      </c>
      <c r="K113" s="8">
        <f>D113*$D$12/D118</f>
        <v>25.890592193807425</v>
      </c>
      <c r="L113" s="9">
        <f>E113*$E$12/E118</f>
        <v>79.578352940351877</v>
      </c>
      <c r="M113">
        <f>SUM(J113:L113)</f>
        <v>136.00000198321368</v>
      </c>
      <c r="O113" t="str">
        <f t="shared" si="50"/>
        <v>Positive</v>
      </c>
      <c r="P113" t="str">
        <f t="shared" si="50"/>
        <v>Female</v>
      </c>
      <c r="Q113" s="7">
        <f>J113*$C$16/J122</f>
        <v>30.531058938775196</v>
      </c>
      <c r="R113" s="8">
        <f>K113*$D$16/K122</f>
        <v>25.890586997925716</v>
      </c>
      <c r="S113" s="9">
        <f>L113*$E$16/L122</f>
        <v>79.578357510691063</v>
      </c>
      <c r="T113">
        <f>SUM(Q113:S113)</f>
        <v>136.00000344739198</v>
      </c>
    </row>
    <row r="114" spans="1:20">
      <c r="A114" t="str">
        <f t="shared" si="48"/>
        <v>Negative</v>
      </c>
      <c r="B114" t="str">
        <f t="shared" si="48"/>
        <v>Male</v>
      </c>
      <c r="C114" s="7">
        <f>Q101*$F$8/$T101</f>
        <v>7.5310617598884795</v>
      </c>
      <c r="D114" s="8">
        <f>R101*$F$8/$T101</f>
        <v>13.890573034581829</v>
      </c>
      <c r="E114" s="9">
        <f>S101*$F$8/$T101</f>
        <v>16.578365205529689</v>
      </c>
      <c r="F114">
        <f>SUM(C114:E114)</f>
        <v>38</v>
      </c>
      <c r="H114" t="str">
        <f t="shared" si="49"/>
        <v>Negative</v>
      </c>
      <c r="I114" t="str">
        <f t="shared" si="49"/>
        <v>Male</v>
      </c>
      <c r="J114" s="7">
        <f>C114*$C$13/C119</f>
        <v>7.531060134449735</v>
      </c>
      <c r="K114" s="8">
        <f>D114*$D$13/D119</f>
        <v>13.890580754698011</v>
      </c>
      <c r="L114" s="9">
        <f>E114*$E$13/E119</f>
        <v>16.578360751095271</v>
      </c>
      <c r="M114">
        <f>SUM(J114:L114)</f>
        <v>38.000001640243013</v>
      </c>
      <c r="O114" t="str">
        <f t="shared" si="50"/>
        <v>Negative</v>
      </c>
      <c r="P114" t="str">
        <f t="shared" si="50"/>
        <v>Male</v>
      </c>
      <c r="Q114" s="7">
        <f>J114*$C$15/J121</f>
        <v>7.5310597705893114</v>
      </c>
      <c r="R114" s="8">
        <f>K114*$D$15/K121</f>
        <v>13.890583126278612</v>
      </c>
      <c r="S114" s="9">
        <f>L114*$E$15/L121</f>
        <v>16.578359706826614</v>
      </c>
      <c r="T114">
        <f>SUM(Q114:S114)</f>
        <v>38.00000260369454</v>
      </c>
    </row>
    <row r="115" spans="1:20">
      <c r="A115" t="str">
        <f t="shared" si="48"/>
        <v>Negative</v>
      </c>
      <c r="B115" t="str">
        <f t="shared" si="48"/>
        <v>Female</v>
      </c>
      <c r="C115" s="10">
        <f>Q102*$F$9/$T102</f>
        <v>17.468943635894831</v>
      </c>
      <c r="D115" s="11">
        <f>R102*$F$9/$T102</f>
        <v>31.109401955288334</v>
      </c>
      <c r="E115" s="12">
        <f>S102*$F$9/$T102</f>
        <v>56.421654408816828</v>
      </c>
      <c r="F115">
        <f>SUM(C115:E115)</f>
        <v>105</v>
      </c>
      <c r="H115" t="str">
        <f t="shared" si="49"/>
        <v>Negative</v>
      </c>
      <c r="I115" t="str">
        <f t="shared" si="49"/>
        <v>Female</v>
      </c>
      <c r="J115" s="10">
        <f>C115*$C$13/C119</f>
        <v>17.468939865550265</v>
      </c>
      <c r="K115" s="11">
        <f>D115*$D$13/D119</f>
        <v>31.109419245301993</v>
      </c>
      <c r="L115" s="12">
        <f>E115*$E$13/E119</f>
        <v>56.421639248904739</v>
      </c>
      <c r="M115">
        <f>SUM(J115:L115)</f>
        <v>104.999998359757</v>
      </c>
      <c r="O115" t="str">
        <f t="shared" si="50"/>
        <v>Negative</v>
      </c>
      <c r="P115" t="str">
        <f t="shared" si="50"/>
        <v>Female</v>
      </c>
      <c r="Q115" s="10">
        <f>J115*$C$16/J122</f>
        <v>17.4689410612248</v>
      </c>
      <c r="R115" s="11">
        <f>K115*$D$16/K122</f>
        <v>31.109413002074291</v>
      </c>
      <c r="S115" s="12">
        <f>L115*$E$16/L122</f>
        <v>56.421642489308944</v>
      </c>
      <c r="T115">
        <f>SUM(Q115:S115)</f>
        <v>104.99999655260802</v>
      </c>
    </row>
    <row r="116" spans="1:20">
      <c r="C116">
        <f>SUM(C112:C115)</f>
        <v>115.99999998064752</v>
      </c>
      <c r="D116">
        <f>SUM(D112:D115)</f>
        <v>124.00000024784661</v>
      </c>
      <c r="E116">
        <f>SUM(E112:E115)</f>
        <v>259.99999977150583</v>
      </c>
      <c r="F116">
        <f>SUM(F112:F115)</f>
        <v>500</v>
      </c>
      <c r="J116">
        <f>SUM(J112:J115)</f>
        <v>116</v>
      </c>
      <c r="K116">
        <f>SUM(K112:K115)</f>
        <v>124</v>
      </c>
      <c r="L116">
        <f>SUM(L112:L115)</f>
        <v>260</v>
      </c>
      <c r="M116">
        <f>SUM(M112:M115)</f>
        <v>500</v>
      </c>
      <c r="Q116">
        <f>SUM(Q112:Q115)</f>
        <v>115.99999999999999</v>
      </c>
      <c r="R116">
        <f>SUM(R112:R115)</f>
        <v>124</v>
      </c>
      <c r="S116">
        <f>SUM(S112:S115)</f>
        <v>260</v>
      </c>
      <c r="T116">
        <f>SUM(T112:T115)</f>
        <v>500</v>
      </c>
    </row>
    <row r="118" spans="1:20">
      <c r="A118" t="str">
        <f>A105</f>
        <v>Positive</v>
      </c>
      <c r="C118" s="517">
        <f>SUM(C112:C113)</f>
        <v>90.999994584864211</v>
      </c>
      <c r="D118" s="519">
        <f>SUM(D112:D113)</f>
        <v>79.000025257976446</v>
      </c>
      <c r="E118" s="520">
        <f>SUM(E112:E113)</f>
        <v>186.99998015715934</v>
      </c>
      <c r="H118" t="str">
        <f>A118</f>
        <v>Positive</v>
      </c>
      <c r="J118" s="517">
        <f>SUM(J112:J113)</f>
        <v>91</v>
      </c>
      <c r="K118" s="519">
        <f>SUM(K112:K113)</f>
        <v>79</v>
      </c>
      <c r="L118" s="520">
        <f>SUM(L112:L113)</f>
        <v>187</v>
      </c>
      <c r="O118" t="str">
        <f>H118</f>
        <v>Positive</v>
      </c>
      <c r="Q118" s="517">
        <f>SUM(Q112:Q113)</f>
        <v>90.99999916818588</v>
      </c>
      <c r="R118" s="519">
        <f>SUM(R112:R113)</f>
        <v>79.000003871647095</v>
      </c>
      <c r="S118" s="520">
        <f>SUM(S112:S113)</f>
        <v>186.99999780386446</v>
      </c>
    </row>
    <row r="119" spans="1:20">
      <c r="A119" t="str">
        <f>A106</f>
        <v>Negative</v>
      </c>
      <c r="C119" s="10">
        <f>SUM(C114:C115)</f>
        <v>25.000005395783312</v>
      </c>
      <c r="D119" s="11">
        <f>SUM(D114:D115)</f>
        <v>44.999974989870161</v>
      </c>
      <c r="E119" s="11">
        <f>SUM(E114:E115)</f>
        <v>73.000019614346513</v>
      </c>
      <c r="H119" t="str">
        <f>A119</f>
        <v>Negative</v>
      </c>
      <c r="J119" s="10">
        <f>SUM(J114:J115)</f>
        <v>25</v>
      </c>
      <c r="K119" s="11">
        <f>SUM(K114:K115)</f>
        <v>45</v>
      </c>
      <c r="L119" s="11">
        <f>SUM(L114:L115)</f>
        <v>73.000000000000014</v>
      </c>
      <c r="O119" t="str">
        <f>H119</f>
        <v>Negative</v>
      </c>
      <c r="Q119" s="10">
        <f>SUM(Q114:Q115)</f>
        <v>25.000000831814113</v>
      </c>
      <c r="R119" s="11">
        <f>SUM(R114:R115)</f>
        <v>44.999996128352905</v>
      </c>
      <c r="S119" s="11">
        <f>SUM(S114:S115)</f>
        <v>73.000002196135554</v>
      </c>
    </row>
    <row r="121" spans="1:20">
      <c r="B121" t="str">
        <f>B108</f>
        <v>Male</v>
      </c>
      <c r="C121" s="517">
        <f t="shared" ref="C121:E122" si="51">C112+C114</f>
        <v>68.000001312509511</v>
      </c>
      <c r="D121" s="519">
        <f t="shared" si="51"/>
        <v>66.999997820979104</v>
      </c>
      <c r="E121" s="520">
        <f t="shared" si="51"/>
        <v>124.00000086651137</v>
      </c>
      <c r="I121" t="str">
        <f>B121</f>
        <v>Male</v>
      </c>
      <c r="J121" s="517">
        <f t="shared" ref="J121:L122" si="52">J112+J114</f>
        <v>68.000003285395366</v>
      </c>
      <c r="K121" s="519">
        <f t="shared" si="52"/>
        <v>66.999988560890586</v>
      </c>
      <c r="L121" s="520">
        <f t="shared" si="52"/>
        <v>124.0000078107434</v>
      </c>
      <c r="P121" t="str">
        <f>I121</f>
        <v>Male</v>
      </c>
      <c r="Q121" s="517">
        <f t="shared" ref="Q121:S122" si="53">Q112+Q114</f>
        <v>68</v>
      </c>
      <c r="R121" s="519">
        <f t="shared" si="53"/>
        <v>67</v>
      </c>
      <c r="S121" s="520">
        <f t="shared" si="53"/>
        <v>124</v>
      </c>
    </row>
    <row r="122" spans="1:20">
      <c r="B122" t="str">
        <f>B109</f>
        <v>Female</v>
      </c>
      <c r="C122" s="10">
        <f t="shared" si="51"/>
        <v>47.999998668138019</v>
      </c>
      <c r="D122" s="11">
        <f t="shared" si="51"/>
        <v>57.000002426867503</v>
      </c>
      <c r="E122" s="12">
        <f t="shared" si="51"/>
        <v>135.9999989049945</v>
      </c>
      <c r="I122" t="str">
        <f>B122</f>
        <v>Female</v>
      </c>
      <c r="J122" s="10">
        <f t="shared" si="52"/>
        <v>47.999996714604649</v>
      </c>
      <c r="K122" s="11">
        <f t="shared" si="52"/>
        <v>57.000011439109414</v>
      </c>
      <c r="L122" s="12">
        <f t="shared" si="52"/>
        <v>135.9999921892566</v>
      </c>
      <c r="P122" t="str">
        <f>I122</f>
        <v>Female</v>
      </c>
      <c r="Q122" s="10">
        <f t="shared" si="53"/>
        <v>48</v>
      </c>
      <c r="R122" s="11">
        <f t="shared" si="53"/>
        <v>57.000000000000007</v>
      </c>
      <c r="S122" s="12">
        <f t="shared" si="53"/>
        <v>136</v>
      </c>
    </row>
    <row r="124" spans="1:20">
      <c r="C124" t="str">
        <f>C111</f>
        <v>Therapy 1</v>
      </c>
      <c r="D124" t="str">
        <f>D111</f>
        <v>Therapy 2</v>
      </c>
      <c r="E124" t="str">
        <f>E111</f>
        <v>Therapy 3</v>
      </c>
      <c r="J124" t="str">
        <f>J111</f>
        <v>Therapy 1</v>
      </c>
      <c r="K124" t="str">
        <f>K111</f>
        <v>Therapy 2</v>
      </c>
      <c r="L124" t="str">
        <f>L111</f>
        <v>Therapy 3</v>
      </c>
      <c r="Q124" t="str">
        <f>Q111</f>
        <v>Therapy 1</v>
      </c>
      <c r="R124" t="str">
        <f>R111</f>
        <v>Therapy 2</v>
      </c>
      <c r="S124" t="str">
        <f>S111</f>
        <v>Therapy 3</v>
      </c>
    </row>
    <row r="125" spans="1:20">
      <c r="A125" t="str">
        <f t="shared" ref="A125:B128" si="54">A112</f>
        <v>Positive</v>
      </c>
      <c r="B125" t="str">
        <f t="shared" si="54"/>
        <v>Male</v>
      </c>
      <c r="C125" s="517">
        <f>Q112*$F$6/$T112</f>
        <v>60.468940941820875</v>
      </c>
      <c r="D125" s="519">
        <f>R112*$F$6/$T112</f>
        <v>53.109417499425916</v>
      </c>
      <c r="E125" s="520">
        <f>S112*$F$6/$T112</f>
        <v>107.42164155875322</v>
      </c>
      <c r="F125">
        <f>SUM(C125:E125)</f>
        <v>221</v>
      </c>
      <c r="H125" t="str">
        <f t="shared" ref="H125:I128" si="55">A125</f>
        <v>Positive</v>
      </c>
      <c r="I125" t="str">
        <f t="shared" si="55"/>
        <v>Male</v>
      </c>
      <c r="J125" s="517">
        <f>C125*$C$12/C131</f>
        <v>60.468941535426239</v>
      </c>
      <c r="K125" s="519">
        <f>D125*$D$12/D131</f>
        <v>53.109414917189113</v>
      </c>
      <c r="L125" s="520">
        <f>E125*$E$12/E131</f>
        <v>107.42164325207753</v>
      </c>
      <c r="M125">
        <f>SUM(J125:L125)</f>
        <v>220.99999970469287</v>
      </c>
      <c r="O125" t="str">
        <f t="shared" ref="O125:P128" si="56">H125</f>
        <v>Positive</v>
      </c>
      <c r="P125" t="str">
        <f t="shared" si="56"/>
        <v>Male</v>
      </c>
      <c r="Q125" s="517">
        <f>J125*$C$15/J134</f>
        <v>60.46894107115628</v>
      </c>
      <c r="R125" s="519">
        <f>K125*$D$15/K134</f>
        <v>53.109416292237356</v>
      </c>
      <c r="S125" s="520">
        <f>L125*$E$15/L134</f>
        <v>107.42164224585341</v>
      </c>
      <c r="T125">
        <f>SUM(Q125:S125)</f>
        <v>220.99999960924703</v>
      </c>
    </row>
    <row r="126" spans="1:20">
      <c r="A126" t="str">
        <f t="shared" si="54"/>
        <v>Positive</v>
      </c>
      <c r="B126" t="str">
        <f t="shared" si="54"/>
        <v>Female</v>
      </c>
      <c r="C126" s="7">
        <f>Q113*$F$7/$T113</f>
        <v>30.531058164859573</v>
      </c>
      <c r="D126" s="8">
        <f>R113*$F$7/$T113</f>
        <v>25.890586341638954</v>
      </c>
      <c r="E126" s="9">
        <f>S113*$F$7/$T113</f>
        <v>79.578355493501476</v>
      </c>
      <c r="F126">
        <f>SUM(C126:E126)</f>
        <v>136</v>
      </c>
      <c r="H126" t="str">
        <f t="shared" si="55"/>
        <v>Positive</v>
      </c>
      <c r="I126" t="str">
        <f t="shared" si="55"/>
        <v>Female</v>
      </c>
      <c r="J126" s="7">
        <f>C126*$C$12/C131</f>
        <v>30.531058464573764</v>
      </c>
      <c r="K126" s="8">
        <f>D126*$D$12/D131</f>
        <v>25.890585082810894</v>
      </c>
      <c r="L126" s="9">
        <f>E126*$E$12/E131</f>
        <v>79.578356747922484</v>
      </c>
      <c r="M126">
        <f>SUM(J126:L126)</f>
        <v>136.00000029530713</v>
      </c>
      <c r="O126" t="str">
        <f t="shared" si="56"/>
        <v>Positive</v>
      </c>
      <c r="P126" t="str">
        <f t="shared" si="56"/>
        <v>Female</v>
      </c>
      <c r="Q126" s="7">
        <f>J126*$C$16/J135</f>
        <v>30.531058796657611</v>
      </c>
      <c r="R126" s="8">
        <f>K126*$D$16/K135</f>
        <v>25.890584294879854</v>
      </c>
      <c r="S126" s="9">
        <f>L126*$E$16/L135</f>
        <v>79.578357427565209</v>
      </c>
      <c r="T126">
        <f>SUM(Q126:S126)</f>
        <v>136.00000051910268</v>
      </c>
    </row>
    <row r="127" spans="1:20">
      <c r="A127" t="str">
        <f t="shared" si="54"/>
        <v>Negative</v>
      </c>
      <c r="B127" t="str">
        <f t="shared" si="54"/>
        <v>Male</v>
      </c>
      <c r="C127" s="7">
        <f>Q114*$F$8/$T114</f>
        <v>7.5310592545741049</v>
      </c>
      <c r="D127" s="8">
        <f>R114*$F$8/$T114</f>
        <v>13.890582174519848</v>
      </c>
      <c r="E127" s="9">
        <f>S114*$F$8/$T114</f>
        <v>16.578358570906044</v>
      </c>
      <c r="F127">
        <f>SUM(C127:E127)</f>
        <v>38</v>
      </c>
      <c r="H127" t="str">
        <f t="shared" si="55"/>
        <v>Negative</v>
      </c>
      <c r="I127" t="str">
        <f t="shared" si="55"/>
        <v>Male</v>
      </c>
      <c r="J127" s="7">
        <f>C127*$C$13/C132</f>
        <v>7.5310589866658635</v>
      </c>
      <c r="K127" s="8">
        <f>D127*$D$13/D132</f>
        <v>13.89058334812354</v>
      </c>
      <c r="L127" s="9">
        <f>E127*$E$13/E132</f>
        <v>16.578357909436924</v>
      </c>
      <c r="M127">
        <f>SUM(J127:L127)</f>
        <v>38.000000244226328</v>
      </c>
      <c r="O127" t="str">
        <f t="shared" si="56"/>
        <v>Negative</v>
      </c>
      <c r="P127" t="str">
        <f t="shared" si="56"/>
        <v>Male</v>
      </c>
      <c r="Q127" s="7">
        <f>J127*$C$15/J134</f>
        <v>7.5310589288437102</v>
      </c>
      <c r="R127" s="8">
        <f>K127*$D$15/K134</f>
        <v>13.890583707762641</v>
      </c>
      <c r="S127" s="9">
        <f>L127*$E$15/L134</f>
        <v>16.578357754146584</v>
      </c>
      <c r="T127">
        <f>SUM(Q127:S127)</f>
        <v>38.00000039075293</v>
      </c>
    </row>
    <row r="128" spans="1:20">
      <c r="A128" t="str">
        <f t="shared" si="54"/>
        <v>Negative</v>
      </c>
      <c r="B128" t="str">
        <f t="shared" si="54"/>
        <v>Female</v>
      </c>
      <c r="C128" s="10">
        <f>Q115*$F$9/$T115</f>
        <v>17.468941634770413</v>
      </c>
      <c r="D128" s="11">
        <f>R115*$F$9/$T115</f>
        <v>31.109414023468045</v>
      </c>
      <c r="E128" s="12">
        <f>S115*$F$9/$T115</f>
        <v>56.421644341761549</v>
      </c>
      <c r="F128">
        <f>SUM(C128:E128)</f>
        <v>105</v>
      </c>
      <c r="H128" t="str">
        <f t="shared" si="55"/>
        <v>Negative</v>
      </c>
      <c r="I128" t="str">
        <f t="shared" si="55"/>
        <v>Female</v>
      </c>
      <c r="J128" s="10">
        <f>C128*$C$13/C132</f>
        <v>17.468941013334135</v>
      </c>
      <c r="K128" s="11">
        <f>D128*$D$13/D132</f>
        <v>31.109416651876465</v>
      </c>
      <c r="L128" s="12">
        <f>E128*$E$13/E132</f>
        <v>56.421642090563076</v>
      </c>
      <c r="M128">
        <f>SUM(J128:L128)</f>
        <v>104.99999975577367</v>
      </c>
      <c r="O128" t="str">
        <f t="shared" si="56"/>
        <v>Negative</v>
      </c>
      <c r="P128" t="str">
        <f t="shared" si="56"/>
        <v>Female</v>
      </c>
      <c r="Q128" s="10">
        <f>J128*$C$16/J135</f>
        <v>17.468941203342389</v>
      </c>
      <c r="R128" s="11">
        <f>K128*$D$16/K135</f>
        <v>31.109415705120146</v>
      </c>
      <c r="S128" s="12">
        <f>L128*$E$16/L135</f>
        <v>56.421642572434784</v>
      </c>
      <c r="T128">
        <f>SUM(Q128:S128)</f>
        <v>104.99999948089732</v>
      </c>
    </row>
    <row r="129" spans="1:20">
      <c r="C129">
        <f>SUM(C125:C128)</f>
        <v>115.99999999602497</v>
      </c>
      <c r="D129">
        <f>SUM(D125:D128)</f>
        <v>124.00000003905276</v>
      </c>
      <c r="E129">
        <f>SUM(E125:E128)</f>
        <v>259.99999996492227</v>
      </c>
      <c r="F129">
        <f>SUM(F125:F128)</f>
        <v>500</v>
      </c>
      <c r="J129">
        <f>SUM(J125:J128)</f>
        <v>116</v>
      </c>
      <c r="K129">
        <f>SUM(K125:K128)</f>
        <v>124</v>
      </c>
      <c r="L129">
        <f>SUM(L125:L128)</f>
        <v>260</v>
      </c>
      <c r="M129">
        <f>SUM(M125:M128)</f>
        <v>500</v>
      </c>
      <c r="Q129">
        <f>SUM(Q125:Q128)</f>
        <v>116</v>
      </c>
      <c r="R129">
        <f>SUM(R125:R128)</f>
        <v>124</v>
      </c>
      <c r="S129">
        <f>SUM(S125:S128)</f>
        <v>260</v>
      </c>
      <c r="T129">
        <f>SUM(T125:T128)</f>
        <v>499.99999999999994</v>
      </c>
    </row>
    <row r="131" spans="1:20">
      <c r="A131" t="str">
        <f>A118</f>
        <v>Positive</v>
      </c>
      <c r="C131" s="517">
        <f>SUM(C125:C126)</f>
        <v>90.999999106680448</v>
      </c>
      <c r="D131" s="519">
        <f>SUM(D125:D126)</f>
        <v>79.000003841064867</v>
      </c>
      <c r="E131" s="520">
        <f>SUM(E125:E126)</f>
        <v>186.99999705225468</v>
      </c>
      <c r="H131" t="str">
        <f>A131</f>
        <v>Positive</v>
      </c>
      <c r="J131" s="517">
        <f>SUM(J125:J126)</f>
        <v>91</v>
      </c>
      <c r="K131" s="519">
        <f>SUM(K125:K126)</f>
        <v>79</v>
      </c>
      <c r="L131" s="520">
        <f>SUM(L125:L126)</f>
        <v>187</v>
      </c>
      <c r="O131" t="str">
        <f>H131</f>
        <v>Positive</v>
      </c>
      <c r="Q131" s="517">
        <f>SUM(Q125:Q126)</f>
        <v>90.999999867813898</v>
      </c>
      <c r="R131" s="519">
        <f>SUM(R125:R126)</f>
        <v>79.000000587117214</v>
      </c>
      <c r="S131" s="520">
        <f>SUM(S125:S126)</f>
        <v>186.99999967341861</v>
      </c>
    </row>
    <row r="132" spans="1:20">
      <c r="A132" t="str">
        <f>A119</f>
        <v>Negative</v>
      </c>
      <c r="C132" s="10">
        <f>SUM(C127:C128)</f>
        <v>25.00000088934452</v>
      </c>
      <c r="D132" s="11">
        <f>SUM(D127:D128)</f>
        <v>44.99999619798789</v>
      </c>
      <c r="E132" s="11">
        <f>SUM(E127:E128)</f>
        <v>73.000002912667597</v>
      </c>
      <c r="H132" t="str">
        <f>A132</f>
        <v>Negative</v>
      </c>
      <c r="J132" s="10">
        <f>SUM(J127:J128)</f>
        <v>25</v>
      </c>
      <c r="K132" s="11">
        <f>SUM(K127:K128)</f>
        <v>45.000000000000007</v>
      </c>
      <c r="L132" s="11">
        <f>SUM(L127:L128)</f>
        <v>73</v>
      </c>
      <c r="O132" t="str">
        <f>H132</f>
        <v>Negative</v>
      </c>
      <c r="Q132" s="10">
        <f>SUM(Q127:Q128)</f>
        <v>25.000000132186099</v>
      </c>
      <c r="R132" s="11">
        <f>SUM(R127:R128)</f>
        <v>44.999999412882786</v>
      </c>
      <c r="S132" s="11">
        <f>SUM(S127:S128)</f>
        <v>73.000000326581372</v>
      </c>
    </row>
    <row r="134" spans="1:20">
      <c r="B134" t="str">
        <f>B121</f>
        <v>Male</v>
      </c>
      <c r="C134" s="517">
        <f t="shared" ref="C134:E135" si="57">C125+C127</f>
        <v>68.000000196394979</v>
      </c>
      <c r="D134" s="519">
        <f t="shared" si="57"/>
        <v>66.999999673945766</v>
      </c>
      <c r="E134" s="520">
        <f t="shared" si="57"/>
        <v>124.00000012965927</v>
      </c>
      <c r="I134" t="str">
        <f>B134</f>
        <v>Male</v>
      </c>
      <c r="J134" s="517">
        <f t="shared" ref="J134:L135" si="58">J125+J127</f>
        <v>68.000000522092108</v>
      </c>
      <c r="K134" s="519">
        <f t="shared" si="58"/>
        <v>66.999998265312655</v>
      </c>
      <c r="L134" s="520">
        <f t="shared" si="58"/>
        <v>124.00000116151446</v>
      </c>
      <c r="P134" t="str">
        <f>I134</f>
        <v>Male</v>
      </c>
      <c r="Q134" s="517">
        <f t="shared" ref="Q134:S135" si="59">Q125+Q127</f>
        <v>67.999999999999986</v>
      </c>
      <c r="R134" s="519">
        <f t="shared" si="59"/>
        <v>67</v>
      </c>
      <c r="S134" s="520">
        <f t="shared" si="59"/>
        <v>123.99999999999999</v>
      </c>
    </row>
    <row r="135" spans="1:20">
      <c r="B135" t="str">
        <f>B122</f>
        <v>Female</v>
      </c>
      <c r="C135" s="10">
        <f t="shared" si="57"/>
        <v>47.99999979962999</v>
      </c>
      <c r="D135" s="11">
        <f t="shared" si="57"/>
        <v>57.000000365106999</v>
      </c>
      <c r="E135" s="12">
        <f t="shared" si="57"/>
        <v>135.99999983526303</v>
      </c>
      <c r="I135" t="str">
        <f>B135</f>
        <v>Female</v>
      </c>
      <c r="J135" s="10">
        <f t="shared" si="58"/>
        <v>47.999999477907899</v>
      </c>
      <c r="K135" s="11">
        <f t="shared" si="58"/>
        <v>57.000001734687359</v>
      </c>
      <c r="L135" s="12">
        <f t="shared" si="58"/>
        <v>135.99999883848557</v>
      </c>
      <c r="P135" t="str">
        <f>I135</f>
        <v>Female</v>
      </c>
      <c r="Q135" s="10">
        <f t="shared" si="59"/>
        <v>48</v>
      </c>
      <c r="R135" s="11">
        <f t="shared" si="59"/>
        <v>57</v>
      </c>
      <c r="S135" s="12">
        <f t="shared" si="59"/>
        <v>136</v>
      </c>
    </row>
    <row r="137" spans="1:20">
      <c r="C137" t="str">
        <f>C124</f>
        <v>Therapy 1</v>
      </c>
      <c r="D137" t="str">
        <f>D124</f>
        <v>Therapy 2</v>
      </c>
      <c r="E137" t="str">
        <f>E124</f>
        <v>Therapy 3</v>
      </c>
      <c r="J137" t="str">
        <f>J124</f>
        <v>Therapy 1</v>
      </c>
      <c r="K137" t="str">
        <f>K124</f>
        <v>Therapy 2</v>
      </c>
      <c r="L137" t="str">
        <f>L124</f>
        <v>Therapy 3</v>
      </c>
      <c r="Q137" t="str">
        <f>Q124</f>
        <v>Therapy 1</v>
      </c>
      <c r="R137" t="str">
        <f>R124</f>
        <v>Therapy 2</v>
      </c>
      <c r="S137" t="str">
        <f>S124</f>
        <v>Therapy 3</v>
      </c>
    </row>
    <row r="138" spans="1:20">
      <c r="A138" t="str">
        <f t="shared" ref="A138:B141" si="60">A125</f>
        <v>Positive</v>
      </c>
      <c r="B138" t="str">
        <f t="shared" si="60"/>
        <v>Male</v>
      </c>
      <c r="C138" s="517">
        <f>Q125*$F$6/$T125</f>
        <v>60.4689411780722</v>
      </c>
      <c r="D138" s="519">
        <f>R125*$F$6/$T125</f>
        <v>53.109416386140808</v>
      </c>
      <c r="E138" s="520">
        <f>S125*$F$6/$T125</f>
        <v>107.42164243578701</v>
      </c>
      <c r="F138">
        <f>SUM(C138:E138)</f>
        <v>221</v>
      </c>
      <c r="H138" t="str">
        <f t="shared" ref="H138:I141" si="61">A138</f>
        <v>Positive</v>
      </c>
      <c r="I138" t="str">
        <f t="shared" si="61"/>
        <v>Male</v>
      </c>
      <c r="J138" s="517">
        <f>C138*$C$12/C144</f>
        <v>60.468941272300853</v>
      </c>
      <c r="K138" s="519">
        <f>D138*$D$12/D144</f>
        <v>53.109415994745881</v>
      </c>
      <c r="L138" s="520">
        <f>E138*$E$12/E144</f>
        <v>107.42164268876952</v>
      </c>
      <c r="M138">
        <f>SUM(J138:L138)</f>
        <v>220.99999995581624</v>
      </c>
      <c r="O138" t="str">
        <f t="shared" ref="O138:P141" si="62">H138</f>
        <v>Positive</v>
      </c>
      <c r="P138" t="str">
        <f t="shared" si="62"/>
        <v>Male</v>
      </c>
      <c r="Q138" s="517">
        <f>J138*$C$15/J147</f>
        <v>60.468941200098087</v>
      </c>
      <c r="R138" s="519">
        <f>K138*$D$15/K147</f>
        <v>53.109416202808752</v>
      </c>
      <c r="S138" s="520">
        <f>L138*$E$15/L147</f>
        <v>107.42164253834278</v>
      </c>
      <c r="T138">
        <f>SUM(Q138:S138)</f>
        <v>220.99999994124963</v>
      </c>
    </row>
    <row r="139" spans="1:20">
      <c r="A139" t="str">
        <f t="shared" si="60"/>
        <v>Positive</v>
      </c>
      <c r="B139" t="str">
        <f t="shared" si="60"/>
        <v>Female</v>
      </c>
      <c r="C139" s="7">
        <f>Q126*$F$7/$T126</f>
        <v>30.531058680122651</v>
      </c>
      <c r="D139" s="8">
        <f>R126*$F$7/$T126</f>
        <v>25.890584196057265</v>
      </c>
      <c r="E139" s="9">
        <f>S126*$F$7/$T126</f>
        <v>79.578357123820069</v>
      </c>
      <c r="F139">
        <f>SUM(C139:E139)</f>
        <v>136</v>
      </c>
      <c r="H139" t="str">
        <f t="shared" si="61"/>
        <v>Positive</v>
      </c>
      <c r="I139" t="str">
        <f t="shared" si="61"/>
        <v>Female</v>
      </c>
      <c r="J139" s="7">
        <f>C139*$C$12/C144</f>
        <v>30.531058727699147</v>
      </c>
      <c r="K139" s="8">
        <f>D139*$D$12/D144</f>
        <v>25.890584005254127</v>
      </c>
      <c r="L139" s="9">
        <f>E139*$E$12/E144</f>
        <v>79.578357311230462</v>
      </c>
      <c r="M139">
        <f>SUM(J139:L139)</f>
        <v>136.00000004418374</v>
      </c>
      <c r="O139" t="str">
        <f t="shared" si="62"/>
        <v>Positive</v>
      </c>
      <c r="P139" t="str">
        <f t="shared" si="62"/>
        <v>Female</v>
      </c>
      <c r="Q139" s="7">
        <f>J139*$C$16/J148</f>
        <v>30.531058779344463</v>
      </c>
      <c r="R139" s="8">
        <f>K139*$D$16/K148</f>
        <v>25.890583886029805</v>
      </c>
      <c r="S139" s="9">
        <f>L139*$E$16/L148</f>
        <v>79.578357412834535</v>
      </c>
      <c r="T139">
        <f>SUM(Q139:S139)</f>
        <v>136.00000007820881</v>
      </c>
    </row>
    <row r="140" spans="1:20">
      <c r="A140" t="str">
        <f t="shared" si="60"/>
        <v>Negative</v>
      </c>
      <c r="B140" t="str">
        <f t="shared" si="60"/>
        <v>Male</v>
      </c>
      <c r="C140" s="7">
        <f>Q127*$F$8/$T127</f>
        <v>7.5310588514020429</v>
      </c>
      <c r="D140" s="8">
        <f>R127*$F$8/$T127</f>
        <v>13.890583564926162</v>
      </c>
      <c r="E140" s="9">
        <f>S127*$F$8/$T127</f>
        <v>16.578357583671799</v>
      </c>
      <c r="F140">
        <f>SUM(C140:E140)</f>
        <v>38</v>
      </c>
      <c r="H140" t="str">
        <f t="shared" si="61"/>
        <v>Negative</v>
      </c>
      <c r="I140" t="str">
        <f t="shared" si="61"/>
        <v>Male</v>
      </c>
      <c r="J140" s="7">
        <f>C140*$C$13/C145</f>
        <v>7.531058808894338</v>
      </c>
      <c r="K140" s="8">
        <f>D140*$D$13/D145</f>
        <v>13.890583742773131</v>
      </c>
      <c r="L140" s="9">
        <f>E140*$E$13/E145</f>
        <v>16.578357484872541</v>
      </c>
      <c r="M140">
        <f>SUM(J140:L140)</f>
        <v>38.000000036540008</v>
      </c>
      <c r="O140" t="str">
        <f t="shared" si="62"/>
        <v>Negative</v>
      </c>
      <c r="P140" t="str">
        <f t="shared" si="62"/>
        <v>Male</v>
      </c>
      <c r="Q140" s="7">
        <f>J140*$C$15/J147</f>
        <v>7.5310587999018992</v>
      </c>
      <c r="R140" s="8">
        <f>K140*$D$15/K147</f>
        <v>13.890583797191255</v>
      </c>
      <c r="S140" s="9">
        <f>L140*$E$15/L147</f>
        <v>16.578357461657216</v>
      </c>
      <c r="T140">
        <f>SUM(Q140:S140)</f>
        <v>38.000000058750373</v>
      </c>
    </row>
    <row r="141" spans="1:20">
      <c r="A141" t="str">
        <f t="shared" si="60"/>
        <v>Negative</v>
      </c>
      <c r="B141" t="str">
        <f t="shared" si="60"/>
        <v>Female</v>
      </c>
      <c r="C141" s="10">
        <f>Q128*$F$9/$T128</f>
        <v>17.468941289705953</v>
      </c>
      <c r="D141" s="11">
        <f>R128*$F$9/$T128</f>
        <v>31.109415858919967</v>
      </c>
      <c r="E141" s="12">
        <f>S128*$F$9/$T128</f>
        <v>56.421642851374081</v>
      </c>
      <c r="F141">
        <f>SUM(C141:E141)</f>
        <v>105</v>
      </c>
      <c r="H141" t="str">
        <f t="shared" si="61"/>
        <v>Negative</v>
      </c>
      <c r="I141" t="str">
        <f t="shared" si="61"/>
        <v>Female</v>
      </c>
      <c r="J141" s="10">
        <f>C141*$C$13/C145</f>
        <v>17.468941191105664</v>
      </c>
      <c r="K141" s="11">
        <f>D141*$D$13/D145</f>
        <v>31.109416257226869</v>
      </c>
      <c r="L141" s="12">
        <f>E141*$E$13/E145</f>
        <v>56.421642515127459</v>
      </c>
      <c r="M141">
        <f>SUM(J141:L141)</f>
        <v>104.99999996346</v>
      </c>
      <c r="O141" t="str">
        <f t="shared" si="62"/>
        <v>Negative</v>
      </c>
      <c r="P141" t="str">
        <f t="shared" si="62"/>
        <v>Female</v>
      </c>
      <c r="Q141" s="10">
        <f>J141*$C$16/J148</f>
        <v>17.468941220655537</v>
      </c>
      <c r="R141" s="11">
        <f>K141*$D$16/K148</f>
        <v>31.109416113970191</v>
      </c>
      <c r="S141" s="12">
        <f>L141*$E$16/L148</f>
        <v>56.421642587165493</v>
      </c>
      <c r="T141">
        <f>SUM(Q141:S141)</f>
        <v>104.99999992179121</v>
      </c>
    </row>
    <row r="142" spans="1:20">
      <c r="C142">
        <f>SUM(C138:C141)</f>
        <v>115.99999999930284</v>
      </c>
      <c r="D142">
        <f>SUM(D138:D141)</f>
        <v>124.00000000604419</v>
      </c>
      <c r="E142">
        <f>SUM(E138:E141)</f>
        <v>259.99999999465297</v>
      </c>
      <c r="F142">
        <f>SUM(F138:F141)</f>
        <v>500</v>
      </c>
      <c r="J142">
        <f>SUM(J138:J141)</f>
        <v>116</v>
      </c>
      <c r="K142">
        <f>SUM(K138:K141)</f>
        <v>124</v>
      </c>
      <c r="L142">
        <f>SUM(L138:L141)</f>
        <v>260</v>
      </c>
      <c r="M142">
        <f>SUM(M138:M141)</f>
        <v>500</v>
      </c>
      <c r="Q142">
        <f>SUM(Q138:Q141)</f>
        <v>115.99999999999999</v>
      </c>
      <c r="R142">
        <f>SUM(R138:R141)</f>
        <v>124</v>
      </c>
      <c r="S142">
        <f>SUM(S138:S141)</f>
        <v>260</v>
      </c>
      <c r="T142">
        <f>SUM(T138:T141)</f>
        <v>500</v>
      </c>
    </row>
    <row r="144" spans="1:20">
      <c r="A144" t="str">
        <f>A131</f>
        <v>Positive</v>
      </c>
      <c r="C144" s="517">
        <f>SUM(C138:C139)</f>
        <v>90.999999858194855</v>
      </c>
      <c r="D144" s="519">
        <f>SUM(D138:D139)</f>
        <v>79.000000582198069</v>
      </c>
      <c r="E144" s="520">
        <f>SUM(E138:E139)</f>
        <v>186.99999955960709</v>
      </c>
      <c r="H144" t="str">
        <f>A144</f>
        <v>Positive</v>
      </c>
      <c r="J144" s="517">
        <f>SUM(J138:J139)</f>
        <v>91</v>
      </c>
      <c r="K144" s="519">
        <f>SUM(K138:K139)</f>
        <v>79</v>
      </c>
      <c r="L144" s="520">
        <f>SUM(L138:L139)</f>
        <v>187</v>
      </c>
      <c r="O144" t="str">
        <f>H144</f>
        <v>Positive</v>
      </c>
      <c r="Q144" s="517">
        <f>SUM(Q138:Q139)</f>
        <v>90.999999979442549</v>
      </c>
      <c r="R144" s="519">
        <f>SUM(R138:R139)</f>
        <v>79.000000088838561</v>
      </c>
      <c r="S144" s="520">
        <f>SUM(S138:S139)</f>
        <v>186.9999999511773</v>
      </c>
    </row>
    <row r="145" spans="1:20">
      <c r="A145" t="str">
        <f>A132</f>
        <v>Negative</v>
      </c>
      <c r="C145" s="10">
        <f>SUM(C140:C141)</f>
        <v>25.000000141107996</v>
      </c>
      <c r="D145" s="11">
        <f>SUM(D140:D141)</f>
        <v>44.999999423846127</v>
      </c>
      <c r="E145" s="11">
        <f>SUM(E140:E141)</f>
        <v>73.000000435045877</v>
      </c>
      <c r="H145" t="str">
        <f>A145</f>
        <v>Negative</v>
      </c>
      <c r="J145" s="10">
        <f>SUM(J140:J141)</f>
        <v>25</v>
      </c>
      <c r="K145" s="11">
        <f>SUM(K140:K141)</f>
        <v>45</v>
      </c>
      <c r="L145" s="11">
        <f>SUM(L140:L141)</f>
        <v>73</v>
      </c>
      <c r="O145" t="str">
        <f>H145</f>
        <v>Negative</v>
      </c>
      <c r="Q145" s="10">
        <f>SUM(Q140:Q141)</f>
        <v>25.000000020557437</v>
      </c>
      <c r="R145" s="11">
        <f>SUM(R140:R141)</f>
        <v>44.999999911161446</v>
      </c>
      <c r="S145" s="11">
        <f>SUM(S140:S141)</f>
        <v>73.000000048822713</v>
      </c>
    </row>
    <row r="147" spans="1:20">
      <c r="B147" t="str">
        <f>B134</f>
        <v>Male</v>
      </c>
      <c r="C147" s="517">
        <f t="shared" ref="C147:E148" si="63">C138+C140</f>
        <v>68.000000029474236</v>
      </c>
      <c r="D147" s="519">
        <f t="shared" si="63"/>
        <v>66.999999951066968</v>
      </c>
      <c r="E147" s="520">
        <f t="shared" si="63"/>
        <v>124.00000001945881</v>
      </c>
      <c r="I147" t="str">
        <f>B147</f>
        <v>Male</v>
      </c>
      <c r="J147" s="517">
        <f t="shared" ref="J147:L148" si="64">J138+J140</f>
        <v>68.000000081195196</v>
      </c>
      <c r="K147" s="519">
        <f t="shared" si="64"/>
        <v>66.999999737519005</v>
      </c>
      <c r="L147" s="520">
        <f t="shared" si="64"/>
        <v>124.00000017364206</v>
      </c>
      <c r="P147" t="str">
        <f>I147</f>
        <v>Male</v>
      </c>
      <c r="Q147" s="517">
        <f t="shared" ref="Q147:S148" si="65">Q138+Q140</f>
        <v>67.999999999999986</v>
      </c>
      <c r="R147" s="519">
        <f t="shared" si="65"/>
        <v>67</v>
      </c>
      <c r="S147" s="520">
        <f t="shared" si="65"/>
        <v>124</v>
      </c>
    </row>
    <row r="148" spans="1:20">
      <c r="B148" t="str">
        <f>B135</f>
        <v>Female</v>
      </c>
      <c r="C148" s="10">
        <f t="shared" si="63"/>
        <v>47.999999969828608</v>
      </c>
      <c r="D148" s="11">
        <f t="shared" si="63"/>
        <v>57.000000054977235</v>
      </c>
      <c r="E148" s="12">
        <f t="shared" si="63"/>
        <v>135.99999997519416</v>
      </c>
      <c r="I148" t="str">
        <f>B148</f>
        <v>Female</v>
      </c>
      <c r="J148" s="10">
        <f t="shared" si="64"/>
        <v>47.999999918804811</v>
      </c>
      <c r="K148" s="11">
        <f t="shared" si="64"/>
        <v>57.000000262480995</v>
      </c>
      <c r="L148" s="12">
        <f t="shared" si="64"/>
        <v>135.99999982635791</v>
      </c>
      <c r="P148" t="str">
        <f>I148</f>
        <v>Female</v>
      </c>
      <c r="Q148" s="10">
        <f t="shared" si="65"/>
        <v>48</v>
      </c>
      <c r="R148" s="11">
        <f t="shared" si="65"/>
        <v>57</v>
      </c>
      <c r="S148" s="12">
        <f t="shared" si="65"/>
        <v>136.00000000000003</v>
      </c>
    </row>
    <row r="150" spans="1:20">
      <c r="C150" t="str">
        <f>C137</f>
        <v>Therapy 1</v>
      </c>
      <c r="D150" t="str">
        <f>D137</f>
        <v>Therapy 2</v>
      </c>
      <c r="E150" t="str">
        <f>E137</f>
        <v>Therapy 3</v>
      </c>
      <c r="J150" t="str">
        <f>J137</f>
        <v>Therapy 1</v>
      </c>
      <c r="K150" t="str">
        <f>K137</f>
        <v>Therapy 2</v>
      </c>
      <c r="L150" t="str">
        <f>L137</f>
        <v>Therapy 3</v>
      </c>
      <c r="Q150" t="str">
        <f>Q137</f>
        <v>Therapy 1</v>
      </c>
      <c r="R150" t="str">
        <f>R137</f>
        <v>Therapy 2</v>
      </c>
      <c r="S150" t="str">
        <f>S137</f>
        <v>Therapy 3</v>
      </c>
    </row>
    <row r="151" spans="1:20">
      <c r="A151" t="str">
        <f t="shared" ref="A151:B154" si="66">A138</f>
        <v>Positive</v>
      </c>
      <c r="B151" t="str">
        <f t="shared" si="66"/>
        <v>Male</v>
      </c>
      <c r="C151" s="517">
        <f>Q138*$F$6/$T138</f>
        <v>60.468941216173079</v>
      </c>
      <c r="D151" s="519">
        <f>R138*$F$6/$T138</f>
        <v>53.109416216927293</v>
      </c>
      <c r="E151" s="520">
        <f>S138*$F$6/$T138</f>
        <v>107.42164256689962</v>
      </c>
      <c r="F151">
        <f>SUM(C151:E151)</f>
        <v>221</v>
      </c>
      <c r="H151" t="str">
        <f t="shared" ref="H151:I154" si="67">A151</f>
        <v>Positive</v>
      </c>
      <c r="I151" t="str">
        <f t="shared" si="67"/>
        <v>Male</v>
      </c>
      <c r="J151" s="517">
        <f>C151*$C$12/C157</f>
        <v>60.468941230818388</v>
      </c>
      <c r="K151" s="519">
        <f>D151*$D$12/D157</f>
        <v>53.109416157721505</v>
      </c>
      <c r="L151" s="520">
        <f>E151*$E$12/E157</f>
        <v>107.42164260482954</v>
      </c>
      <c r="M151">
        <f>SUM(J151:L151)</f>
        <v>220.99999999336944</v>
      </c>
      <c r="O151" t="str">
        <f t="shared" ref="O151:P154" si="68">H151</f>
        <v>Positive</v>
      </c>
      <c r="P151" t="str">
        <f t="shared" si="68"/>
        <v>Male</v>
      </c>
      <c r="Q151" s="517">
        <f>J151*$C$15/J160</f>
        <v>60.468941219727789</v>
      </c>
      <c r="R151" s="519">
        <f>K151*$D$15/K160</f>
        <v>53.109416189162133</v>
      </c>
      <c r="S151" s="520">
        <f>L151*$E$15/L160</f>
        <v>107.42164258226687</v>
      </c>
      <c r="T151">
        <f>SUM(Q151:S151)</f>
        <v>220.99999999115681</v>
      </c>
    </row>
    <row r="152" spans="1:20">
      <c r="A152" t="str">
        <f t="shared" si="66"/>
        <v>Positive</v>
      </c>
      <c r="B152" t="str">
        <f t="shared" si="66"/>
        <v>Female</v>
      </c>
      <c r="C152" s="7">
        <f>Q139*$F$7/$T139</f>
        <v>30.531058761787126</v>
      </c>
      <c r="D152" s="8">
        <f>R139*$F$7/$T139</f>
        <v>25.89058387114104</v>
      </c>
      <c r="E152" s="9">
        <f>S139*$F$7/$T139</f>
        <v>79.578357367071817</v>
      </c>
      <c r="F152">
        <f>SUM(C152:E152)</f>
        <v>136</v>
      </c>
      <c r="H152" t="str">
        <f t="shared" si="67"/>
        <v>Positive</v>
      </c>
      <c r="I152" t="str">
        <f t="shared" si="67"/>
        <v>Female</v>
      </c>
      <c r="J152" s="7">
        <f>C152*$C$12/C157</f>
        <v>30.531058769181612</v>
      </c>
      <c r="K152" s="8">
        <f>D152*$D$12/D157</f>
        <v>25.890583842278499</v>
      </c>
      <c r="L152" s="9">
        <f>E152*$E$12/E157</f>
        <v>79.578357395170457</v>
      </c>
      <c r="M152">
        <f>SUM(J152:L152)</f>
        <v>136.00000000663056</v>
      </c>
      <c r="O152" t="str">
        <f t="shared" si="68"/>
        <v>Positive</v>
      </c>
      <c r="P152" t="str">
        <f t="shared" si="68"/>
        <v>Female</v>
      </c>
      <c r="Q152" s="7">
        <f>J152*$C$16/J161</f>
        <v>30.531058777114517</v>
      </c>
      <c r="R152" s="8">
        <f>K152*$D$16/K161</f>
        <v>25.890583824262364</v>
      </c>
      <c r="S152" s="9">
        <f>L152*$E$16/L161</f>
        <v>79.578357410410149</v>
      </c>
      <c r="T152">
        <f>SUM(Q152:S152)</f>
        <v>136.00000001178702</v>
      </c>
    </row>
    <row r="153" spans="1:20">
      <c r="A153" t="str">
        <f t="shared" si="66"/>
        <v>Negative</v>
      </c>
      <c r="B153" t="str">
        <f t="shared" si="66"/>
        <v>Male</v>
      </c>
      <c r="C153" s="7">
        <f>Q140*$F$8/$T140</f>
        <v>7.5310587882584121</v>
      </c>
      <c r="D153" s="8">
        <f>R140*$F$8/$T140</f>
        <v>13.890583775715545</v>
      </c>
      <c r="E153" s="9">
        <f>S140*$F$8/$T140</f>
        <v>16.578357436026039</v>
      </c>
      <c r="F153">
        <f>SUM(C153:E153)</f>
        <v>38</v>
      </c>
      <c r="H153" t="str">
        <f t="shared" si="67"/>
        <v>Negative</v>
      </c>
      <c r="I153" t="str">
        <f t="shared" si="67"/>
        <v>Male</v>
      </c>
      <c r="J153" s="7">
        <f>C153*$C$13/C158</f>
        <v>7.5310587816534884</v>
      </c>
      <c r="K153" s="8">
        <f>D153*$D$13/D158</f>
        <v>13.890583802614676</v>
      </c>
      <c r="L153" s="9">
        <f>E153*$E$13/E158</f>
        <v>16.57835742121522</v>
      </c>
      <c r="M153">
        <f>SUM(J153:L153)</f>
        <v>38.000000005483386</v>
      </c>
      <c r="O153" t="str">
        <f t="shared" si="68"/>
        <v>Negative</v>
      </c>
      <c r="P153" t="str">
        <f t="shared" si="68"/>
        <v>Male</v>
      </c>
      <c r="Q153" s="7">
        <f>J153*$C$15/J160</f>
        <v>7.5310587802722173</v>
      </c>
      <c r="R153" s="8">
        <f>K153*$D$15/K160</f>
        <v>13.890583810837864</v>
      </c>
      <c r="S153" s="9">
        <f>L153*$E$15/L160</f>
        <v>16.57835741773313</v>
      </c>
      <c r="T153">
        <f>SUM(Q153:S153)</f>
        <v>38.000000008843216</v>
      </c>
    </row>
    <row r="154" spans="1:20">
      <c r="A154" t="str">
        <f t="shared" si="66"/>
        <v>Negative</v>
      </c>
      <c r="B154" t="str">
        <f t="shared" si="66"/>
        <v>Female</v>
      </c>
      <c r="C154" s="10">
        <f>Q141*$F$9/$T141</f>
        <v>17.468941233667199</v>
      </c>
      <c r="D154" s="11">
        <f>R141*$F$9/$T141</f>
        <v>31.109416137141903</v>
      </c>
      <c r="E154" s="12">
        <f>S141*$F$9/$T141</f>
        <v>56.421642629190906</v>
      </c>
      <c r="F154">
        <f>SUM(C154:E154)</f>
        <v>105</v>
      </c>
      <c r="H154" t="str">
        <f t="shared" si="67"/>
        <v>Negative</v>
      </c>
      <c r="I154" t="str">
        <f t="shared" si="67"/>
        <v>Female</v>
      </c>
      <c r="J154" s="10">
        <f>C154*$C$13/C158</f>
        <v>17.468941218346512</v>
      </c>
      <c r="K154" s="11">
        <f>D154*$D$13/D158</f>
        <v>31.109416197385325</v>
      </c>
      <c r="L154" s="12">
        <f>E154*$E$13/E158</f>
        <v>56.421642578784791</v>
      </c>
      <c r="M154">
        <f>SUM(J154:L154)</f>
        <v>104.99999999451663</v>
      </c>
      <c r="O154" t="str">
        <f t="shared" si="68"/>
        <v>Negative</v>
      </c>
      <c r="P154" t="str">
        <f t="shared" si="68"/>
        <v>Female</v>
      </c>
      <c r="Q154" s="10">
        <f>J154*$C$16/J161</f>
        <v>17.468941222885476</v>
      </c>
      <c r="R154" s="11">
        <f>K154*$D$16/K161</f>
        <v>31.109416175737632</v>
      </c>
      <c r="S154" s="12">
        <f>L154*$E$16/L161</f>
        <v>56.421642589589844</v>
      </c>
      <c r="T154">
        <f>SUM(Q154:S154)</f>
        <v>104.99999998821295</v>
      </c>
    </row>
    <row r="155" spans="1:20">
      <c r="C155">
        <f>SUM(C151:C154)</f>
        <v>115.9999999998858</v>
      </c>
      <c r="D155">
        <f>SUM(D151:D154)</f>
        <v>124.00000000092578</v>
      </c>
      <c r="E155">
        <f>SUM(E151:E154)</f>
        <v>259.99999999918839</v>
      </c>
      <c r="F155">
        <f>SUM(F151:F154)</f>
        <v>500</v>
      </c>
      <c r="J155">
        <f>SUM(J151:J154)</f>
        <v>116</v>
      </c>
      <c r="K155">
        <f>SUM(K151:K154)</f>
        <v>124</v>
      </c>
      <c r="L155">
        <f>SUM(L151:L154)</f>
        <v>260</v>
      </c>
      <c r="M155">
        <f>SUM(M151:M154)</f>
        <v>500</v>
      </c>
      <c r="Q155">
        <f>SUM(Q151:Q154)</f>
        <v>116</v>
      </c>
      <c r="R155">
        <f>SUM(R151:R154)</f>
        <v>124</v>
      </c>
      <c r="S155">
        <f>SUM(S151:S154)</f>
        <v>260</v>
      </c>
      <c r="T155">
        <f>SUM(T151:T154)</f>
        <v>500</v>
      </c>
    </row>
    <row r="157" spans="1:20">
      <c r="A157" t="str">
        <f>A144</f>
        <v>Positive</v>
      </c>
      <c r="C157" s="517">
        <f>SUM(C151:C152)</f>
        <v>90.999999977960201</v>
      </c>
      <c r="D157" s="519">
        <f>SUM(D151:D152)</f>
        <v>79.000000088068333</v>
      </c>
      <c r="E157" s="520">
        <f>SUM(E151:E152)</f>
        <v>186.99999993397142</v>
      </c>
      <c r="H157" t="str">
        <f>A157</f>
        <v>Positive</v>
      </c>
      <c r="J157" s="517">
        <f>SUM(J151:J152)</f>
        <v>91</v>
      </c>
      <c r="K157" s="519">
        <f>SUM(K151:K152)</f>
        <v>79</v>
      </c>
      <c r="L157" s="520">
        <f>SUM(L151:L152)</f>
        <v>187</v>
      </c>
      <c r="O157" t="str">
        <f>H157</f>
        <v>Positive</v>
      </c>
      <c r="Q157" s="517">
        <f>SUM(Q151:Q152)</f>
        <v>90.999999996842305</v>
      </c>
      <c r="R157" s="519">
        <f>SUM(R151:R152)</f>
        <v>79.000000013424497</v>
      </c>
      <c r="S157" s="520">
        <f>SUM(S151:S152)</f>
        <v>186.99999999267703</v>
      </c>
    </row>
    <row r="158" spans="1:20">
      <c r="A158" t="str">
        <f>A145</f>
        <v>Negative</v>
      </c>
      <c r="C158" s="10">
        <f>SUM(C153:C154)</f>
        <v>25.000000021925612</v>
      </c>
      <c r="D158" s="11">
        <f>SUM(D153:D154)</f>
        <v>44.999999912857447</v>
      </c>
      <c r="E158" s="11">
        <f>SUM(E153:E154)</f>
        <v>73.000000065216938</v>
      </c>
      <c r="H158" t="str">
        <f>A158</f>
        <v>Negative</v>
      </c>
      <c r="J158" s="10">
        <f>SUM(J153:J154)</f>
        <v>25</v>
      </c>
      <c r="K158" s="11">
        <f>SUM(K153:K154)</f>
        <v>45</v>
      </c>
      <c r="L158" s="11">
        <f>SUM(L153:L154)</f>
        <v>73.000000000000014</v>
      </c>
      <c r="O158" t="str">
        <f>H158</f>
        <v>Negative</v>
      </c>
      <c r="Q158" s="10">
        <f>SUM(Q153:Q154)</f>
        <v>25.000000003157695</v>
      </c>
      <c r="R158" s="11">
        <f>SUM(R153:R154)</f>
        <v>44.999999986575496</v>
      </c>
      <c r="S158" s="11">
        <f>SUM(S153:S154)</f>
        <v>73.000000007322967</v>
      </c>
    </row>
    <row r="160" spans="1:20">
      <c r="B160" t="str">
        <f>B147</f>
        <v>Male</v>
      </c>
      <c r="C160" s="517">
        <f t="shared" ref="C160:E161" si="69">C151+C153</f>
        <v>68.000000004431485</v>
      </c>
      <c r="D160" s="519">
        <f t="shared" si="69"/>
        <v>66.999999992642842</v>
      </c>
      <c r="E160" s="520">
        <f t="shared" si="69"/>
        <v>124.00000000292566</v>
      </c>
      <c r="I160" t="str">
        <f>B160</f>
        <v>Male</v>
      </c>
      <c r="J160" s="517">
        <f t="shared" ref="J160:L161" si="70">J151+J153</f>
        <v>68.000000012471872</v>
      </c>
      <c r="K160" s="519">
        <f t="shared" si="70"/>
        <v>66.999999960336183</v>
      </c>
      <c r="L160" s="520">
        <f t="shared" si="70"/>
        <v>124.00000002604476</v>
      </c>
      <c r="P160" t="str">
        <f>I160</f>
        <v>Male</v>
      </c>
      <c r="Q160" s="517">
        <f t="shared" ref="Q160:S161" si="71">Q151+Q153</f>
        <v>68</v>
      </c>
      <c r="R160" s="519">
        <f t="shared" si="71"/>
        <v>67</v>
      </c>
      <c r="S160" s="520">
        <f t="shared" si="71"/>
        <v>124</v>
      </c>
    </row>
    <row r="161" spans="2:19">
      <c r="B161" t="str">
        <f>B148</f>
        <v>Female</v>
      </c>
      <c r="C161" s="10">
        <f t="shared" si="69"/>
        <v>47.999999995454324</v>
      </c>
      <c r="D161" s="11">
        <f t="shared" si="69"/>
        <v>57.000000008282939</v>
      </c>
      <c r="E161" s="12">
        <f t="shared" si="69"/>
        <v>135.99999999626272</v>
      </c>
      <c r="I161" t="str">
        <f>B161</f>
        <v>Female</v>
      </c>
      <c r="J161" s="10">
        <f t="shared" si="70"/>
        <v>47.999999987528128</v>
      </c>
      <c r="K161" s="11">
        <f t="shared" si="70"/>
        <v>57.000000039663824</v>
      </c>
      <c r="L161" s="12">
        <f t="shared" si="70"/>
        <v>135.99999997395525</v>
      </c>
      <c r="P161" t="str">
        <f>I161</f>
        <v>Female</v>
      </c>
      <c r="Q161" s="10">
        <f t="shared" si="71"/>
        <v>47.999999999999993</v>
      </c>
      <c r="R161" s="11">
        <f t="shared" si="71"/>
        <v>57</v>
      </c>
      <c r="S161" s="12">
        <f t="shared" si="71"/>
        <v>136</v>
      </c>
    </row>
  </sheetData>
  <pageMargins left="0.7" right="0.7" top="0.75" bottom="0.75" header="0.3" footer="0.3"/>
  <ignoredErrors>
    <ignoredError sqref="Q12:S13" formulaRange="1"/>
  </ignoredErrors>
</worksheet>
</file>

<file path=xl/worksheets/sheet267.xml><?xml version="1.0" encoding="utf-8"?>
<worksheet xmlns="http://schemas.openxmlformats.org/spreadsheetml/2006/main" xmlns:r="http://schemas.openxmlformats.org/officeDocument/2006/relationships">
  <sheetPr codeName="Sheet145"/>
  <dimension ref="A1:Q17"/>
  <sheetViews>
    <sheetView workbookViewId="0"/>
  </sheetViews>
  <sheetFormatPr defaultRowHeight="14.4"/>
  <cols>
    <col min="2" max="2" width="8.6640625" customWidth="1"/>
    <col min="3" max="3" width="9.6640625" customWidth="1"/>
    <col min="4" max="10" width="7.88671875" customWidth="1"/>
    <col min="13" max="13" width="5.109375" customWidth="1"/>
    <col min="15" max="15" width="11.88671875" customWidth="1"/>
    <col min="16" max="16" width="4.33203125" customWidth="1"/>
    <col min="17" max="17" width="15" customWidth="1"/>
  </cols>
  <sheetData>
    <row r="1" spans="1:17">
      <c r="A1" s="1" t="s">
        <v>1334</v>
      </c>
    </row>
    <row r="3" spans="1:17">
      <c r="A3" s="1" t="s">
        <v>1325</v>
      </c>
    </row>
    <row r="5" spans="1:17" ht="15.6">
      <c r="A5" s="558" t="s">
        <v>1287</v>
      </c>
      <c r="B5" s="547" t="s">
        <v>1041</v>
      </c>
      <c r="C5" s="559" t="s">
        <v>1268</v>
      </c>
      <c r="D5" s="526" t="s">
        <v>1339</v>
      </c>
      <c r="E5" s="561" t="s">
        <v>1340</v>
      </c>
      <c r="F5" s="561" t="s">
        <v>1341</v>
      </c>
      <c r="G5" s="561" t="s">
        <v>1342</v>
      </c>
      <c r="H5" s="561" t="s">
        <v>1343</v>
      </c>
      <c r="I5" s="561" t="s">
        <v>1345</v>
      </c>
      <c r="J5" s="562" t="s">
        <v>1347</v>
      </c>
      <c r="K5" s="562" t="s">
        <v>1348</v>
      </c>
      <c r="L5" s="507" t="s">
        <v>1251</v>
      </c>
      <c r="N5" s="567"/>
      <c r="O5" s="566" t="s">
        <v>1358</v>
      </c>
    </row>
    <row r="6" spans="1:17">
      <c r="A6" s="7" t="s">
        <v>1288</v>
      </c>
      <c r="B6" s="8" t="s">
        <v>383</v>
      </c>
      <c r="C6" s="9" t="s">
        <v>360</v>
      </c>
      <c r="D6" s="87">
        <f>IF(A6="Positive",1,0)</f>
        <v>1</v>
      </c>
      <c r="E6" s="117">
        <f>IF(B6="Male",1,0)</f>
        <v>1</v>
      </c>
      <c r="F6" s="117">
        <f>IF(C6="Therapy 1",1,0)</f>
        <v>1</v>
      </c>
      <c r="G6" s="117">
        <f>IF(C6="Therapy 2",1,0)</f>
        <v>0</v>
      </c>
      <c r="H6" s="563">
        <f>D6*E6</f>
        <v>1</v>
      </c>
      <c r="I6" s="563">
        <f>D6*F6</f>
        <v>1</v>
      </c>
      <c r="J6" s="555">
        <f>D6*G6</f>
        <v>0</v>
      </c>
      <c r="K6" s="9">
        <f>'Log Lin 2.2'!M95</f>
        <v>56.333333333333336</v>
      </c>
      <c r="L6" s="9">
        <f>'Log Lin 2.2'!O95</f>
        <v>4.0312864262549635</v>
      </c>
      <c r="N6" s="564" t="s">
        <v>697</v>
      </c>
      <c r="O6" s="376">
        <f>L17</f>
        <v>3.9815751610460071</v>
      </c>
      <c r="Q6" s="23" t="s">
        <v>1350</v>
      </c>
    </row>
    <row r="7" spans="1:17">
      <c r="A7" s="7" t="s">
        <v>1288</v>
      </c>
      <c r="B7" s="8" t="s">
        <v>383</v>
      </c>
      <c r="C7" s="9" t="s">
        <v>361</v>
      </c>
      <c r="D7" s="87">
        <f t="shared" ref="D7:D17" si="0">IF(A7="Positive",1,0)</f>
        <v>1</v>
      </c>
      <c r="E7" s="117">
        <f t="shared" ref="E7:E17" si="1">IF(B7="Male",1,0)</f>
        <v>1</v>
      </c>
      <c r="F7" s="117">
        <f t="shared" ref="F7:F17" si="2">IF(C7="Therapy 1",1,0)</f>
        <v>0</v>
      </c>
      <c r="G7" s="117">
        <f t="shared" ref="G7:G17" si="3">IF(C7="Therapy 2",1,0)</f>
        <v>1</v>
      </c>
      <c r="H7" s="117">
        <f t="shared" ref="H7:H17" si="4">D7*E7</f>
        <v>1</v>
      </c>
      <c r="I7" s="117">
        <f t="shared" ref="I7:I17" si="5">D7*F7</f>
        <v>0</v>
      </c>
      <c r="J7" s="88">
        <f t="shared" ref="J7:J17" si="6">D7*G7</f>
        <v>1</v>
      </c>
      <c r="K7" s="9">
        <f>'Log Lin 2.2'!M96</f>
        <v>48.904761904761905</v>
      </c>
      <c r="L7" s="9">
        <f>'Log Lin 2.2'!O96</f>
        <v>3.8898747722051352</v>
      </c>
      <c r="N7" s="564" t="s">
        <v>1335</v>
      </c>
      <c r="O7" s="376">
        <f>L11-O6</f>
        <v>0.28445255976499251</v>
      </c>
      <c r="Q7" s="23" t="s">
        <v>1351</v>
      </c>
    </row>
    <row r="8" spans="1:17">
      <c r="A8" s="7" t="s">
        <v>1288</v>
      </c>
      <c r="B8" s="8" t="s">
        <v>383</v>
      </c>
      <c r="C8" s="9" t="s">
        <v>1286</v>
      </c>
      <c r="D8" s="87">
        <f t="shared" si="0"/>
        <v>1</v>
      </c>
      <c r="E8" s="117">
        <f t="shared" si="1"/>
        <v>1</v>
      </c>
      <c r="F8" s="117">
        <f t="shared" si="2"/>
        <v>0</v>
      </c>
      <c r="G8" s="117">
        <f t="shared" si="3"/>
        <v>0</v>
      </c>
      <c r="H8" s="117">
        <f t="shared" si="4"/>
        <v>1</v>
      </c>
      <c r="I8" s="117">
        <f t="shared" si="5"/>
        <v>0</v>
      </c>
      <c r="J8" s="88">
        <f t="shared" si="6"/>
        <v>0</v>
      </c>
      <c r="K8" s="9">
        <f>'Log Lin 2.2'!M97</f>
        <v>115.76190476190476</v>
      </c>
      <c r="L8" s="9">
        <f>'Log Lin 2.2'!O97</f>
        <v>4.7515355365927006</v>
      </c>
      <c r="N8" s="564" t="s">
        <v>1336</v>
      </c>
      <c r="O8" s="376">
        <f>L14-O6</f>
        <v>-1.0163741904311374</v>
      </c>
      <c r="Q8" s="23" t="s">
        <v>1352</v>
      </c>
    </row>
    <row r="9" spans="1:17">
      <c r="A9" s="7" t="s">
        <v>1288</v>
      </c>
      <c r="B9" s="8" t="s">
        <v>342</v>
      </c>
      <c r="C9" s="9" t="s">
        <v>360</v>
      </c>
      <c r="D9" s="87">
        <f t="shared" si="0"/>
        <v>1</v>
      </c>
      <c r="E9" s="117">
        <f t="shared" si="1"/>
        <v>0</v>
      </c>
      <c r="F9" s="117">
        <f t="shared" si="2"/>
        <v>1</v>
      </c>
      <c r="G9" s="117">
        <f t="shared" si="3"/>
        <v>0</v>
      </c>
      <c r="H9" s="117">
        <f t="shared" si="4"/>
        <v>0</v>
      </c>
      <c r="I9" s="117">
        <f t="shared" si="5"/>
        <v>1</v>
      </c>
      <c r="J9" s="88">
        <f t="shared" si="6"/>
        <v>0</v>
      </c>
      <c r="K9" s="9">
        <f>'Log Lin 2.2'!M98</f>
        <v>34.666666666666664</v>
      </c>
      <c r="L9" s="9">
        <f>'Log Lin 2.2'!O98</f>
        <v>3.5457786104732629</v>
      </c>
      <c r="N9" s="564" t="s">
        <v>1337</v>
      </c>
      <c r="O9" s="376">
        <f>L15-O6</f>
        <v>-1.0715836162801904</v>
      </c>
      <c r="Q9" s="23" t="s">
        <v>1353</v>
      </c>
    </row>
    <row r="10" spans="1:17">
      <c r="A10" s="7" t="s">
        <v>1288</v>
      </c>
      <c r="B10" s="8" t="s">
        <v>342</v>
      </c>
      <c r="C10" s="9" t="s">
        <v>361</v>
      </c>
      <c r="D10" s="87">
        <f t="shared" si="0"/>
        <v>1</v>
      </c>
      <c r="E10" s="117">
        <f t="shared" si="1"/>
        <v>0</v>
      </c>
      <c r="F10" s="117">
        <f t="shared" si="2"/>
        <v>0</v>
      </c>
      <c r="G10" s="117">
        <f t="shared" si="3"/>
        <v>1</v>
      </c>
      <c r="H10" s="117">
        <f t="shared" si="4"/>
        <v>0</v>
      </c>
      <c r="I10" s="117">
        <f t="shared" si="5"/>
        <v>0</v>
      </c>
      <c r="J10" s="88">
        <f t="shared" si="6"/>
        <v>1</v>
      </c>
      <c r="K10" s="9">
        <f>'Log Lin 2.2'!M99</f>
        <v>30.095238095238095</v>
      </c>
      <c r="L10" s="9">
        <f>'Log Lin 2.2'!O99</f>
        <v>3.4043669564234342</v>
      </c>
      <c r="N10" s="564" t="s">
        <v>1338</v>
      </c>
      <c r="O10" s="376">
        <f>L16-O6</f>
        <v>-0.48379695137807133</v>
      </c>
      <c r="Q10" s="23" t="s">
        <v>1354</v>
      </c>
    </row>
    <row r="11" spans="1:17">
      <c r="A11" s="7" t="s">
        <v>1288</v>
      </c>
      <c r="B11" s="8" t="s">
        <v>342</v>
      </c>
      <c r="C11" s="9" t="s">
        <v>1286</v>
      </c>
      <c r="D11" s="87">
        <f t="shared" si="0"/>
        <v>1</v>
      </c>
      <c r="E11" s="117">
        <f t="shared" si="1"/>
        <v>0</v>
      </c>
      <c r="F11" s="117">
        <f t="shared" si="2"/>
        <v>0</v>
      </c>
      <c r="G11" s="117">
        <f t="shared" si="3"/>
        <v>0</v>
      </c>
      <c r="H11" s="117">
        <f t="shared" si="4"/>
        <v>0</v>
      </c>
      <c r="I11" s="117">
        <f t="shared" si="5"/>
        <v>0</v>
      </c>
      <c r="J11" s="88">
        <f t="shared" si="6"/>
        <v>0</v>
      </c>
      <c r="K11" s="9">
        <f>'Log Lin 2.2'!M100</f>
        <v>71.238095238095241</v>
      </c>
      <c r="L11" s="9">
        <f>'Log Lin 2.2'!O100</f>
        <v>4.2660277208109996</v>
      </c>
      <c r="N11" s="564" t="s">
        <v>1344</v>
      </c>
      <c r="O11" s="376">
        <f>L8-O6-O7-O8</f>
        <v>1.5018820062128384</v>
      </c>
      <c r="Q11" s="23" t="s">
        <v>1355</v>
      </c>
    </row>
    <row r="12" spans="1:17">
      <c r="A12" s="7" t="s">
        <v>1289</v>
      </c>
      <c r="B12" s="8" t="s">
        <v>383</v>
      </c>
      <c r="C12" s="9" t="s">
        <v>360</v>
      </c>
      <c r="D12" s="87">
        <f t="shared" si="0"/>
        <v>0</v>
      </c>
      <c r="E12" s="117">
        <f t="shared" si="1"/>
        <v>1</v>
      </c>
      <c r="F12" s="117">
        <f t="shared" si="2"/>
        <v>1</v>
      </c>
      <c r="G12" s="117">
        <f t="shared" si="3"/>
        <v>0</v>
      </c>
      <c r="H12" s="117">
        <f t="shared" si="4"/>
        <v>0</v>
      </c>
      <c r="I12" s="117">
        <f t="shared" si="5"/>
        <v>0</v>
      </c>
      <c r="J12" s="88">
        <f t="shared" si="6"/>
        <v>0</v>
      </c>
      <c r="K12" s="9">
        <f>'Log Lin 2.2'!M101</f>
        <v>6.6433566433566433</v>
      </c>
      <c r="L12" s="9">
        <f>'Log Lin 2.2'!O101</f>
        <v>1.8936173543346793</v>
      </c>
      <c r="N12" s="564" t="s">
        <v>1346</v>
      </c>
      <c r="O12" s="376">
        <f>L9-O6-O7-O9</f>
        <v>0.35133450594245375</v>
      </c>
      <c r="Q12" s="23" t="s">
        <v>1356</v>
      </c>
    </row>
    <row r="13" spans="1:17">
      <c r="A13" s="7" t="s">
        <v>1289</v>
      </c>
      <c r="B13" s="8" t="s">
        <v>383</v>
      </c>
      <c r="C13" s="9" t="s">
        <v>361</v>
      </c>
      <c r="D13" s="87">
        <f t="shared" si="0"/>
        <v>0</v>
      </c>
      <c r="E13" s="117">
        <f t="shared" si="1"/>
        <v>1</v>
      </c>
      <c r="F13" s="117">
        <f t="shared" si="2"/>
        <v>0</v>
      </c>
      <c r="G13" s="117">
        <f t="shared" si="3"/>
        <v>1</v>
      </c>
      <c r="H13" s="117">
        <f t="shared" si="4"/>
        <v>0</v>
      </c>
      <c r="I13" s="117">
        <f t="shared" si="5"/>
        <v>0</v>
      </c>
      <c r="J13" s="88">
        <f t="shared" si="6"/>
        <v>0</v>
      </c>
      <c r="K13" s="9">
        <f>'Log Lin 2.2'!M102</f>
        <v>11.958041958041958</v>
      </c>
      <c r="L13" s="9">
        <f>'Log Lin 2.2'!O102</f>
        <v>2.4814040192367983</v>
      </c>
      <c r="N13" s="565" t="s">
        <v>1349</v>
      </c>
      <c r="O13" s="544">
        <f>L10-O6-O7-O10</f>
        <v>-0.37786381300949401</v>
      </c>
      <c r="Q13" s="23" t="s">
        <v>1357</v>
      </c>
    </row>
    <row r="14" spans="1:17">
      <c r="A14" s="7" t="s">
        <v>1289</v>
      </c>
      <c r="B14" s="8" t="s">
        <v>383</v>
      </c>
      <c r="C14" s="9" t="s">
        <v>1286</v>
      </c>
      <c r="D14" s="87">
        <f t="shared" si="0"/>
        <v>0</v>
      </c>
      <c r="E14" s="117">
        <f t="shared" si="1"/>
        <v>1</v>
      </c>
      <c r="F14" s="117">
        <f t="shared" si="2"/>
        <v>0</v>
      </c>
      <c r="G14" s="117">
        <f t="shared" si="3"/>
        <v>0</v>
      </c>
      <c r="H14" s="117">
        <f t="shared" si="4"/>
        <v>0</v>
      </c>
      <c r="I14" s="117">
        <f t="shared" si="5"/>
        <v>0</v>
      </c>
      <c r="J14" s="88">
        <f t="shared" si="6"/>
        <v>0</v>
      </c>
      <c r="K14" s="9">
        <f>'Log Lin 2.2'!M103</f>
        <v>19.3986013986014</v>
      </c>
      <c r="L14" s="9">
        <f>'Log Lin 2.2'!O103</f>
        <v>2.9652009706148696</v>
      </c>
    </row>
    <row r="15" spans="1:17">
      <c r="A15" s="7" t="s">
        <v>1289</v>
      </c>
      <c r="B15" s="8" t="s">
        <v>342</v>
      </c>
      <c r="C15" s="9" t="s">
        <v>360</v>
      </c>
      <c r="D15" s="87">
        <f t="shared" si="0"/>
        <v>0</v>
      </c>
      <c r="E15" s="117">
        <f t="shared" si="1"/>
        <v>0</v>
      </c>
      <c r="F15" s="117">
        <f t="shared" si="2"/>
        <v>1</v>
      </c>
      <c r="G15" s="117">
        <f t="shared" si="3"/>
        <v>0</v>
      </c>
      <c r="H15" s="117">
        <f t="shared" si="4"/>
        <v>0</v>
      </c>
      <c r="I15" s="117">
        <f t="shared" si="5"/>
        <v>0</v>
      </c>
      <c r="J15" s="88">
        <f t="shared" si="6"/>
        <v>0</v>
      </c>
      <c r="K15" s="9">
        <f>'Log Lin 2.2'!M104</f>
        <v>18.356643356643357</v>
      </c>
      <c r="L15" s="9">
        <f>'Log Lin 2.2'!O104</f>
        <v>2.9099915447658167</v>
      </c>
    </row>
    <row r="16" spans="1:17">
      <c r="A16" s="7" t="s">
        <v>1289</v>
      </c>
      <c r="B16" s="8" t="s">
        <v>342</v>
      </c>
      <c r="C16" s="9" t="s">
        <v>361</v>
      </c>
      <c r="D16" s="87">
        <f t="shared" si="0"/>
        <v>0</v>
      </c>
      <c r="E16" s="117">
        <f t="shared" si="1"/>
        <v>0</v>
      </c>
      <c r="F16" s="117">
        <f t="shared" si="2"/>
        <v>0</v>
      </c>
      <c r="G16" s="117">
        <f t="shared" si="3"/>
        <v>1</v>
      </c>
      <c r="H16" s="117">
        <f t="shared" si="4"/>
        <v>0</v>
      </c>
      <c r="I16" s="117">
        <f t="shared" si="5"/>
        <v>0</v>
      </c>
      <c r="J16" s="88">
        <f t="shared" si="6"/>
        <v>0</v>
      </c>
      <c r="K16" s="9">
        <f>'Log Lin 2.2'!M105</f>
        <v>33.04195804195804</v>
      </c>
      <c r="L16" s="9">
        <f>'Log Lin 2.2'!O105</f>
        <v>3.4977782096679357</v>
      </c>
    </row>
    <row r="17" spans="1:12">
      <c r="A17" s="533" t="s">
        <v>1289</v>
      </c>
      <c r="B17" s="11" t="s">
        <v>342</v>
      </c>
      <c r="C17" s="12" t="s">
        <v>1286</v>
      </c>
      <c r="D17" s="560">
        <f t="shared" si="0"/>
        <v>0</v>
      </c>
      <c r="E17" s="540">
        <f t="shared" si="1"/>
        <v>0</v>
      </c>
      <c r="F17" s="540">
        <f t="shared" si="2"/>
        <v>0</v>
      </c>
      <c r="G17" s="540">
        <f t="shared" si="3"/>
        <v>0</v>
      </c>
      <c r="H17" s="540">
        <f t="shared" si="4"/>
        <v>0</v>
      </c>
      <c r="I17" s="540">
        <f t="shared" si="5"/>
        <v>0</v>
      </c>
      <c r="J17" s="90">
        <f t="shared" si="6"/>
        <v>0</v>
      </c>
      <c r="K17" s="544">
        <f>'Log Lin 2.2'!M106</f>
        <v>53.6013986013986</v>
      </c>
      <c r="L17" s="12">
        <f>'Log Lin 2.2'!O106</f>
        <v>3.9815751610460071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sheetPr codeName="Sheet374"/>
  <dimension ref="A1:V23"/>
  <sheetViews>
    <sheetView workbookViewId="0"/>
  </sheetViews>
  <sheetFormatPr defaultRowHeight="14.4"/>
  <cols>
    <col min="7" max="7" width="15.6640625" customWidth="1"/>
  </cols>
  <sheetData>
    <row r="1" spans="1:22">
      <c r="A1" s="1" t="s">
        <v>4157</v>
      </c>
      <c r="G1" t="s">
        <v>878</v>
      </c>
    </row>
    <row r="3" spans="1:22" ht="15" thickBot="1">
      <c r="A3" s="19" t="s">
        <v>4162</v>
      </c>
      <c r="B3" s="19" t="s">
        <v>4158</v>
      </c>
      <c r="C3" s="19" t="s">
        <v>4159</v>
      </c>
      <c r="D3" s="19" t="s">
        <v>4160</v>
      </c>
      <c r="E3" s="19" t="s">
        <v>4161</v>
      </c>
      <c r="G3" t="s">
        <v>879</v>
      </c>
      <c r="L3" t="s">
        <v>116</v>
      </c>
      <c r="M3">
        <v>0.05</v>
      </c>
    </row>
    <row r="4" spans="1:22" ht="15" thickTop="1">
      <c r="A4" s="1512">
        <v>34.5</v>
      </c>
      <c r="B4" s="1408">
        <v>48.9</v>
      </c>
      <c r="C4" s="1408">
        <v>57.7</v>
      </c>
      <c r="D4" s="1408">
        <v>41.6</v>
      </c>
      <c r="E4" s="1513">
        <v>13.7</v>
      </c>
      <c r="G4" s="1151" t="s">
        <v>222</v>
      </c>
      <c r="H4" s="1151" t="s">
        <v>88</v>
      </c>
      <c r="I4" s="1151" t="s">
        <v>87</v>
      </c>
      <c r="J4" s="1151" t="s">
        <v>76</v>
      </c>
      <c r="K4" s="1151" t="s">
        <v>223</v>
      </c>
      <c r="L4" s="1151" t="s">
        <v>578</v>
      </c>
      <c r="M4" s="1151" t="s">
        <v>183</v>
      </c>
      <c r="N4" s="1151" t="s">
        <v>744</v>
      </c>
      <c r="O4" s="1151" t="s">
        <v>745</v>
      </c>
      <c r="Q4" t="s">
        <v>2705</v>
      </c>
    </row>
    <row r="5" spans="1:22">
      <c r="A5" s="872">
        <v>24.9</v>
      </c>
      <c r="B5" s="184">
        <v>65</v>
      </c>
      <c r="C5" s="184">
        <v>29.6</v>
      </c>
      <c r="D5" s="184">
        <v>32.799999999999997</v>
      </c>
      <c r="E5" s="1410">
        <v>27.9</v>
      </c>
      <c r="G5" t="str">
        <f>A3</f>
        <v>Region 1</v>
      </c>
      <c r="H5">
        <f>COUNT(A4:A13)</f>
        <v>10</v>
      </c>
      <c r="I5" s="64">
        <f>SUM(A4:A13)</f>
        <v>405.3</v>
      </c>
      <c r="J5" s="64">
        <f>AVERAGE(A4:A13)</f>
        <v>40.53</v>
      </c>
      <c r="K5">
        <f>VAR(A4:A13)</f>
        <v>195.61788888888864</v>
      </c>
      <c r="L5">
        <f>DEVSQ(A4:A13)</f>
        <v>1760.5609999999999</v>
      </c>
      <c r="M5">
        <f>SQRT(J14/H5)</f>
        <v>4.2808506423632933</v>
      </c>
      <c r="N5">
        <f>J5-M5*TINV(M3,H5-1)</f>
        <v>30.846043056508577</v>
      </c>
      <c r="O5">
        <f>J5+M5*TINV(M3,H5-1)</f>
        <v>50.213956943491425</v>
      </c>
    </row>
    <row r="6" spans="1:22">
      <c r="A6" s="872">
        <v>40.4</v>
      </c>
      <c r="B6" s="184">
        <v>35.6</v>
      </c>
      <c r="C6" s="184">
        <v>38.799999999999997</v>
      </c>
      <c r="D6" s="184">
        <v>59.2</v>
      </c>
      <c r="E6" s="1410">
        <v>37.799999999999997</v>
      </c>
      <c r="G6" t="str">
        <f>B3</f>
        <v>Region 2</v>
      </c>
      <c r="H6">
        <f>COUNT(B4:B13)</f>
        <v>10</v>
      </c>
      <c r="I6" s="64">
        <f>SUM(B4:B13)</f>
        <v>520.79999999999995</v>
      </c>
      <c r="J6" s="64">
        <f>AVERAGE(B4:B13)</f>
        <v>52.08</v>
      </c>
      <c r="K6">
        <f>VAR(B4:B13)</f>
        <v>193.29733333333408</v>
      </c>
      <c r="L6">
        <f>DEVSQ(B4:B13)</f>
        <v>1739.6759999999999</v>
      </c>
      <c r="M6">
        <f>SQRT(J14/H6)</f>
        <v>4.2808506423632933</v>
      </c>
      <c r="N6">
        <f>J6-M6*TINV(M3,H6-1)</f>
        <v>42.396043056508574</v>
      </c>
      <c r="O6">
        <f>J6+M6*TINV(M3,H6-1)</f>
        <v>61.763956943491422</v>
      </c>
      <c r="Q6" s="1329"/>
      <c r="R6" s="1329" t="str">
        <f>A3</f>
        <v>Region 1</v>
      </c>
      <c r="S6" s="1329" t="str">
        <f>B3</f>
        <v>Region 2</v>
      </c>
      <c r="T6" s="1329" t="str">
        <f>C3</f>
        <v>Region 3</v>
      </c>
      <c r="U6" s="1329" t="str">
        <f>D3</f>
        <v>Region 4</v>
      </c>
      <c r="V6" s="1329" t="str">
        <f>E3</f>
        <v>Region 5</v>
      </c>
    </row>
    <row r="7" spans="1:22">
      <c r="A7" s="872">
        <v>42.5</v>
      </c>
      <c r="B7" s="184">
        <v>39.700000000000003</v>
      </c>
      <c r="C7" s="184">
        <v>34.6</v>
      </c>
      <c r="D7" s="184">
        <v>45</v>
      </c>
      <c r="E7" s="1410">
        <v>41.5</v>
      </c>
      <c r="G7" t="str">
        <f>C3</f>
        <v>Region 3</v>
      </c>
      <c r="H7">
        <f>COUNT(C4:C13)</f>
        <v>10</v>
      </c>
      <c r="I7" s="64">
        <f>SUM(C4:C13)</f>
        <v>455.60000000000008</v>
      </c>
      <c r="J7" s="64">
        <f>AVERAGE(C4:C13)</f>
        <v>45.560000000000009</v>
      </c>
      <c r="K7">
        <f>VAR(C4:C13)</f>
        <v>177.63822222222129</v>
      </c>
      <c r="L7">
        <f>DEVSQ(C4:C13)</f>
        <v>1598.7439999999997</v>
      </c>
      <c r="M7">
        <f>SQRT(J14/H7)</f>
        <v>4.2808506423632933</v>
      </c>
      <c r="N7">
        <f>J7-M7*TINV(M3,H7-1)</f>
        <v>35.876043056508585</v>
      </c>
      <c r="O7">
        <f>J7+M7*TINV(M3,H7-1)</f>
        <v>55.243956943491433</v>
      </c>
      <c r="Q7" t="s">
        <v>1513</v>
      </c>
      <c r="R7" t="e">
        <f ca="1">[1]!Shapiro(A4:A13)</f>
        <v>#NAME?</v>
      </c>
      <c r="S7" t="e">
        <f ca="1">[1]!Shapiro(B4:B13)</f>
        <v>#NAME?</v>
      </c>
      <c r="T7" t="e">
        <f ca="1">[1]!Shapiro(C4:C13)</f>
        <v>#NAME?</v>
      </c>
      <c r="U7" t="e">
        <f ca="1">[1]!Shapiro(D4:D13)</f>
        <v>#NAME?</v>
      </c>
      <c r="V7" t="e">
        <f ca="1">[1]!Shapiro(E4:E13)</f>
        <v>#NAME?</v>
      </c>
    </row>
    <row r="8" spans="1:22">
      <c r="A8" s="872">
        <v>31</v>
      </c>
      <c r="B8" s="184">
        <v>58.6</v>
      </c>
      <c r="C8" s="184">
        <v>46.7</v>
      </c>
      <c r="D8" s="184">
        <v>67.599999999999994</v>
      </c>
      <c r="E8" s="1410">
        <v>23.4</v>
      </c>
      <c r="G8" t="str">
        <f>D3</f>
        <v>Region 4</v>
      </c>
      <c r="H8">
        <f>COUNT(D4:D13)</f>
        <v>10</v>
      </c>
      <c r="I8" s="64">
        <f>SUM(D4:D13)</f>
        <v>535.20000000000005</v>
      </c>
      <c r="J8" s="64">
        <f>AVERAGE(D4:D13)</f>
        <v>53.52</v>
      </c>
      <c r="K8">
        <f>VAR(D4:D13)</f>
        <v>182.73733333333317</v>
      </c>
      <c r="L8">
        <f>DEVSQ(D4:D13)</f>
        <v>1644.636</v>
      </c>
      <c r="M8">
        <f>SQRT(J14/H8)</f>
        <v>4.2808506423632933</v>
      </c>
      <c r="N8">
        <f>J8-M8*TINV(M3,H8-1)</f>
        <v>43.836043056508579</v>
      </c>
      <c r="O8">
        <f>J8+M8*TINV(M3,H8-1)</f>
        <v>63.203956943491427</v>
      </c>
      <c r="Q8" t="s">
        <v>200</v>
      </c>
      <c r="R8" t="e">
        <f ca="1">[1]!swtest(A4:A13)</f>
        <v>#NAME?</v>
      </c>
      <c r="S8" t="e">
        <f ca="1">[1]!swtest(B4:B13)</f>
        <v>#NAME?</v>
      </c>
      <c r="T8" t="e">
        <f ca="1">[1]!swtest(C4:C13)</f>
        <v>#NAME?</v>
      </c>
      <c r="U8" t="e">
        <f ca="1">[1]!swtest(D4:D13)</f>
        <v>#NAME?</v>
      </c>
      <c r="V8" t="e">
        <f ca="1">[1]!swtest(E4:E13)</f>
        <v>#NAME?</v>
      </c>
    </row>
    <row r="9" spans="1:22">
      <c r="A9" s="872">
        <v>34.6</v>
      </c>
      <c r="B9" s="184">
        <v>60.1</v>
      </c>
      <c r="C9" s="184">
        <v>42.3</v>
      </c>
      <c r="D9" s="184">
        <v>67.400000000000006</v>
      </c>
      <c r="E9" s="1410">
        <v>39.299999999999997</v>
      </c>
      <c r="G9" t="str">
        <f>E3</f>
        <v>Region 5</v>
      </c>
      <c r="H9">
        <f>COUNT(E4:E13)</f>
        <v>10</v>
      </c>
      <c r="I9" s="64">
        <f>SUM(E4:E13)</f>
        <v>346.99999999999994</v>
      </c>
      <c r="J9" s="64">
        <f>AVERAGE(E4:E13)</f>
        <v>34.699999999999996</v>
      </c>
      <c r="K9">
        <f>VAR(E4:E13)</f>
        <v>166.9933333333336</v>
      </c>
      <c r="L9">
        <f>DEVSQ(E4:E13)</f>
        <v>1502.9399999999998</v>
      </c>
      <c r="M9">
        <f>SQRT(J14/H9)</f>
        <v>4.2808506423632933</v>
      </c>
      <c r="N9">
        <f>J9-M9*TINV(M3,H9-1)</f>
        <v>25.016043056508572</v>
      </c>
      <c r="O9">
        <f>J9+M9*TINV(M3,H9-1)</f>
        <v>44.38395694349142</v>
      </c>
      <c r="Q9" t="s">
        <v>337</v>
      </c>
      <c r="R9">
        <v>0.05</v>
      </c>
      <c r="S9">
        <v>0.05</v>
      </c>
      <c r="T9">
        <v>0.05</v>
      </c>
      <c r="U9">
        <v>0.05</v>
      </c>
      <c r="V9">
        <v>0.05</v>
      </c>
    </row>
    <row r="10" spans="1:22">
      <c r="A10" s="872">
        <v>21.8</v>
      </c>
      <c r="B10" s="184">
        <v>64.7</v>
      </c>
      <c r="C10" s="184">
        <v>39.6</v>
      </c>
      <c r="D10" s="184">
        <v>63.1</v>
      </c>
      <c r="E10" s="1410">
        <v>36.9</v>
      </c>
      <c r="G10" s="1152"/>
      <c r="H10" s="1152"/>
      <c r="I10" s="1152"/>
      <c r="J10" s="1152"/>
      <c r="K10" s="1152"/>
      <c r="L10" s="1152"/>
      <c r="M10" s="1152"/>
      <c r="N10" s="1152"/>
      <c r="O10" s="1152"/>
      <c r="Q10" s="1078" t="s">
        <v>2706</v>
      </c>
      <c r="R10" s="1247" t="e">
        <f ca="1">IF(R8&lt;R9,"no","yes")</f>
        <v>#NAME?</v>
      </c>
      <c r="S10" s="1247" t="e">
        <f ca="1">IF(S8&lt;S9,"no","yes")</f>
        <v>#NAME?</v>
      </c>
      <c r="T10" s="1247" t="e">
        <f ca="1">IF(T8&lt;T9,"no","yes")</f>
        <v>#NAME?</v>
      </c>
      <c r="U10" s="1247" t="e">
        <f ca="1">IF(U8&lt;U9,"no","yes")</f>
        <v>#NAME?</v>
      </c>
      <c r="V10" s="1247" t="e">
        <f ca="1">IF(V8&lt;V9,"no","yes")</f>
        <v>#NAME?</v>
      </c>
    </row>
    <row r="11" spans="1:22" ht="15" thickBot="1">
      <c r="A11" s="872">
        <v>62</v>
      </c>
      <c r="B11" s="184">
        <v>59.3</v>
      </c>
      <c r="C11" s="184">
        <v>61.8</v>
      </c>
      <c r="D11" s="184">
        <v>65.599999999999994</v>
      </c>
      <c r="E11" s="1410">
        <v>61.3</v>
      </c>
      <c r="G11" t="s">
        <v>695</v>
      </c>
    </row>
    <row r="12" spans="1:22" ht="15" thickTop="1">
      <c r="A12" s="872">
        <v>54.7</v>
      </c>
      <c r="B12" s="184">
        <v>63.2</v>
      </c>
      <c r="C12" s="184">
        <v>70</v>
      </c>
      <c r="D12" s="184">
        <v>57.4</v>
      </c>
      <c r="E12" s="1410">
        <v>25.9</v>
      </c>
      <c r="G12" s="1151" t="s">
        <v>880</v>
      </c>
      <c r="H12" s="1151" t="s">
        <v>578</v>
      </c>
      <c r="I12" s="1151" t="s">
        <v>186</v>
      </c>
      <c r="J12" s="1151" t="s">
        <v>641</v>
      </c>
      <c r="K12" s="1151" t="s">
        <v>388</v>
      </c>
      <c r="L12" s="1151" t="s">
        <v>881</v>
      </c>
      <c r="M12" s="1151" t="s">
        <v>888</v>
      </c>
      <c r="N12" s="1151" t="s">
        <v>1932</v>
      </c>
      <c r="O12" s="1151" t="s">
        <v>1933</v>
      </c>
    </row>
    <row r="13" spans="1:22">
      <c r="A13" s="1137">
        <v>58.9</v>
      </c>
      <c r="B13" s="1385">
        <v>25.7</v>
      </c>
      <c r="C13" s="1385">
        <v>34.5</v>
      </c>
      <c r="D13" s="1385">
        <v>35.5</v>
      </c>
      <c r="E13" s="1411">
        <v>39.299999999999997</v>
      </c>
      <c r="G13" t="s">
        <v>883</v>
      </c>
      <c r="H13">
        <f>H15-H14</f>
        <v>2487.148799999999</v>
      </c>
      <c r="I13">
        <f>COUNTA(G5:G9)-1</f>
        <v>4</v>
      </c>
      <c r="J13">
        <f>H13/I13</f>
        <v>621.78719999999976</v>
      </c>
      <c r="K13">
        <f>J13/J14</f>
        <v>3.3929825501721491</v>
      </c>
      <c r="L13">
        <f>FDIST(K13,I13,I14)</f>
        <v>1.6504701725843174E-2</v>
      </c>
      <c r="M13">
        <f>FINV(M3,I13,I14)</f>
        <v>2.5787391843115586</v>
      </c>
      <c r="N13">
        <f>SQRT(DEVSQ(J5:J9)/(J14*I13))</f>
        <v>0.58249313731340668</v>
      </c>
      <c r="O13">
        <f>(H15-I15*J14)/(H15+J14)</f>
        <v>0.16067853044952968</v>
      </c>
    </row>
    <row r="14" spans="1:22">
      <c r="G14" t="s">
        <v>884</v>
      </c>
      <c r="H14">
        <f>SUM(L5:L9)</f>
        <v>8246.5570000000007</v>
      </c>
      <c r="I14">
        <f>I15-I13</f>
        <v>45</v>
      </c>
      <c r="J14">
        <f>H14/I14</f>
        <v>183.25682222222224</v>
      </c>
    </row>
    <row r="15" spans="1:22">
      <c r="G15" s="1078" t="s">
        <v>12</v>
      </c>
      <c r="H15" s="1078">
        <f>DEVSQ(A4:E13)</f>
        <v>10733.7058</v>
      </c>
      <c r="I15" s="1078">
        <f>COUNT(A4:E13)-1</f>
        <v>49</v>
      </c>
      <c r="J15" s="1078">
        <f>H15/I15</f>
        <v>219.05522040816325</v>
      </c>
      <c r="K15" s="1078"/>
      <c r="L15" s="1078"/>
      <c r="M15" s="1078"/>
      <c r="N15" s="1078"/>
      <c r="O15" s="1078"/>
    </row>
    <row r="17" spans="7:13" ht="15" thickBot="1">
      <c r="G17" t="s">
        <v>4171</v>
      </c>
    </row>
    <row r="18" spans="7:13" ht="15" thickTop="1">
      <c r="G18" s="1151" t="s">
        <v>223</v>
      </c>
      <c r="H18" s="1151" t="s">
        <v>4172</v>
      </c>
      <c r="I18" s="1151" t="s">
        <v>186</v>
      </c>
      <c r="J18" s="1151" t="s">
        <v>4173</v>
      </c>
      <c r="K18" s="1151" t="s">
        <v>4174</v>
      </c>
      <c r="L18" s="1151" t="s">
        <v>744</v>
      </c>
      <c r="M18" s="1151" t="s">
        <v>745</v>
      </c>
    </row>
    <row r="19" spans="7:13">
      <c r="G19" t="s">
        <v>1643</v>
      </c>
      <c r="H19">
        <f>(J13-J14)/H5</f>
        <v>43.85303777777775</v>
      </c>
      <c r="I19">
        <f>(H19*H5)^2/(J13^2/I13-J14^2/I14)</f>
        <v>2.0051279246220481</v>
      </c>
      <c r="J19">
        <f>CHIINV(1-M3/2,I19)</f>
        <v>5.0635615968579795E-2</v>
      </c>
      <c r="K19">
        <f>CHIINV(M3/2,I19)</f>
        <v>7.3777589082278725</v>
      </c>
      <c r="L19">
        <f>H19*I19/K19</f>
        <v>11.918382224399449</v>
      </c>
      <c r="M19">
        <f>H19*I19/J19</f>
        <v>1736.5435167667422</v>
      </c>
    </row>
    <row r="20" spans="7:13">
      <c r="G20" s="1078" t="s">
        <v>1009</v>
      </c>
      <c r="H20" s="1078">
        <f>J14</f>
        <v>183.25682222222224</v>
      </c>
      <c r="I20" s="1078">
        <f>I14</f>
        <v>45</v>
      </c>
      <c r="J20" s="1078">
        <f>CHIINV(1-M3/2,I20)</f>
        <v>28.366152291859848</v>
      </c>
      <c r="K20" s="1078">
        <f>CHIINV(M3/2,I20)</f>
        <v>65.410159009999589</v>
      </c>
      <c r="L20" s="1078">
        <f>H20*I20/K20</f>
        <v>126.07455974444744</v>
      </c>
      <c r="M20" s="1078">
        <f>H20*I20/J20</f>
        <v>290.71820933452756</v>
      </c>
    </row>
    <row r="21" spans="7:13" ht="15" thickBot="1"/>
    <row r="22" spans="7:13" ht="15" thickTop="1">
      <c r="G22" s="1151"/>
      <c r="H22" s="1151" t="s">
        <v>4172</v>
      </c>
      <c r="I22" s="1151" t="s">
        <v>223</v>
      </c>
      <c r="J22" s="1151" t="s">
        <v>201</v>
      </c>
      <c r="K22" s="1151" t="s">
        <v>744</v>
      </c>
      <c r="L22" s="1151" t="s">
        <v>745</v>
      </c>
    </row>
    <row r="23" spans="7:13">
      <c r="G23" s="1518" t="s">
        <v>76</v>
      </c>
      <c r="H23" s="1519">
        <f>AVERAGE(A4:E13)</f>
        <v>45.277999999999999</v>
      </c>
      <c r="I23" s="1518">
        <f>H19/(H5*(I13+1))</f>
        <v>0.87706075555555496</v>
      </c>
      <c r="J23" s="1518">
        <f>TINV(M3,I13)</f>
        <v>2.7764451051977934</v>
      </c>
      <c r="K23" s="1518">
        <f>H23-SQRT(I23)*J23</f>
        <v>42.677816904061224</v>
      </c>
      <c r="L23" s="1518">
        <f>H23+SQRT(I23)*J23</f>
        <v>47.878183095938773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sheetPr codeName="Sheet371"/>
  <dimension ref="A1:AH50"/>
  <sheetViews>
    <sheetView topLeftCell="N1" zoomScaleNormal="100" workbookViewId="0">
      <selection activeCell="R18" sqref="R18"/>
    </sheetView>
  </sheetViews>
  <sheetFormatPr defaultRowHeight="14.4"/>
  <cols>
    <col min="6" max="6" width="9.109375" customWidth="1"/>
  </cols>
  <sheetData>
    <row r="1" spans="1:34">
      <c r="A1" s="1" t="s">
        <v>4192</v>
      </c>
    </row>
    <row r="3" spans="1:34">
      <c r="B3" s="1511" t="s">
        <v>4141</v>
      </c>
      <c r="C3" s="1511" t="s">
        <v>4142</v>
      </c>
      <c r="D3" s="1511" t="s">
        <v>4143</v>
      </c>
      <c r="E3" s="1511" t="s">
        <v>4144</v>
      </c>
      <c r="G3" t="s">
        <v>95</v>
      </c>
      <c r="N3" t="s">
        <v>2827</v>
      </c>
      <c r="V3" s="1595" t="s">
        <v>4141</v>
      </c>
      <c r="W3" s="1553"/>
      <c r="X3" s="1553"/>
      <c r="Y3" s="1595" t="s">
        <v>4142</v>
      </c>
      <c r="Z3" s="1553"/>
      <c r="AA3" s="1596"/>
      <c r="AB3" s="1553" t="s">
        <v>4143</v>
      </c>
      <c r="AC3" s="1553"/>
      <c r="AD3" s="1596"/>
      <c r="AE3" s="1553" t="s">
        <v>4144</v>
      </c>
      <c r="AF3" s="1553"/>
      <c r="AG3" s="1596"/>
      <c r="AH3" s="1506"/>
    </row>
    <row r="4" spans="1:34">
      <c r="A4" s="1441" t="s">
        <v>4151</v>
      </c>
      <c r="B4" s="1441">
        <v>34</v>
      </c>
      <c r="C4" s="1441">
        <v>46</v>
      </c>
      <c r="D4" s="1441">
        <v>23</v>
      </c>
      <c r="E4" s="1441">
        <v>50</v>
      </c>
      <c r="V4" s="803" t="s">
        <v>4151</v>
      </c>
      <c r="W4" s="1504" t="s">
        <v>4152</v>
      </c>
      <c r="X4" s="948" t="s">
        <v>4150</v>
      </c>
      <c r="Y4" s="803" t="s">
        <v>4151</v>
      </c>
      <c r="Z4" s="1504" t="s">
        <v>4152</v>
      </c>
      <c r="AA4" s="948" t="s">
        <v>4150</v>
      </c>
      <c r="AB4" s="803" t="s">
        <v>4151</v>
      </c>
      <c r="AC4" s="1504" t="s">
        <v>4152</v>
      </c>
      <c r="AD4" s="948" t="s">
        <v>4150</v>
      </c>
      <c r="AE4" s="803" t="s">
        <v>4151</v>
      </c>
      <c r="AF4" s="1504" t="s">
        <v>4152</v>
      </c>
      <c r="AG4" s="948" t="s">
        <v>4150</v>
      </c>
      <c r="AH4" s="1506"/>
    </row>
    <row r="5" spans="1:34" ht="15" thickBot="1">
      <c r="A5" s="946"/>
      <c r="B5" s="946">
        <v>56</v>
      </c>
      <c r="C5" s="946">
        <v>19</v>
      </c>
      <c r="D5" s="946">
        <v>32</v>
      </c>
      <c r="E5" s="946">
        <v>72</v>
      </c>
      <c r="G5" t="s">
        <v>2821</v>
      </c>
      <c r="H5" t="str">
        <f>IF(COUNTIF(H7:K9,H7)=COUNT(H7:K9),"balanced","unbalanced")</f>
        <v>balanced</v>
      </c>
      <c r="N5" t="s">
        <v>695</v>
      </c>
      <c r="R5" s="1503" t="s">
        <v>116</v>
      </c>
      <c r="S5" s="1503">
        <v>0.05</v>
      </c>
      <c r="V5" s="1236">
        <v>34</v>
      </c>
      <c r="W5" s="1234">
        <v>45</v>
      </c>
      <c r="X5" s="1237">
        <v>40</v>
      </c>
      <c r="Y5" s="1236">
        <v>46</v>
      </c>
      <c r="Z5" s="1234">
        <v>23</v>
      </c>
      <c r="AA5" s="1234">
        <v>75</v>
      </c>
      <c r="AB5" s="1236">
        <v>23</v>
      </c>
      <c r="AC5" s="1234">
        <v>75</v>
      </c>
      <c r="AD5" s="1237">
        <v>55</v>
      </c>
      <c r="AE5" s="1236">
        <v>48</v>
      </c>
      <c r="AF5" s="1510">
        <v>73</v>
      </c>
      <c r="AG5" s="1237">
        <v>53</v>
      </c>
      <c r="AH5" s="8"/>
    </row>
    <row r="6" spans="1:34" ht="15" thickTop="1">
      <c r="A6" s="946"/>
      <c r="B6" s="946">
        <v>78</v>
      </c>
      <c r="C6" s="946">
        <v>56</v>
      </c>
      <c r="D6" s="946">
        <v>42</v>
      </c>
      <c r="E6" s="946">
        <v>30</v>
      </c>
      <c r="H6" s="1503" t="str">
        <f>B3</f>
        <v>Office 1</v>
      </c>
      <c r="I6" s="1503" t="str">
        <f>C3</f>
        <v>Office 2</v>
      </c>
      <c r="J6" s="1503" t="str">
        <f>D3</f>
        <v>Office 3</v>
      </c>
      <c r="K6" s="1503" t="str">
        <f>E3</f>
        <v>Office 4</v>
      </c>
      <c r="N6" s="1151"/>
      <c r="O6" s="1151" t="s">
        <v>578</v>
      </c>
      <c r="P6" s="1151" t="s">
        <v>186</v>
      </c>
      <c r="Q6" s="1151" t="s">
        <v>641</v>
      </c>
      <c r="R6" s="1151" t="s">
        <v>388</v>
      </c>
      <c r="S6" s="1151" t="s">
        <v>200</v>
      </c>
      <c r="T6" s="1151" t="s">
        <v>948</v>
      </c>
      <c r="V6" s="656">
        <v>56</v>
      </c>
      <c r="W6" s="8">
        <v>76</v>
      </c>
      <c r="X6" s="657">
        <v>39</v>
      </c>
      <c r="Y6" s="656">
        <v>32</v>
      </c>
      <c r="Z6" s="66">
        <v>56</v>
      </c>
      <c r="AA6" s="8">
        <v>57</v>
      </c>
      <c r="AB6" s="680">
        <v>56</v>
      </c>
      <c r="AC6" s="8">
        <v>57</v>
      </c>
      <c r="AD6" s="657">
        <v>73</v>
      </c>
      <c r="AE6" s="656">
        <v>72</v>
      </c>
      <c r="AF6" s="66">
        <v>68</v>
      </c>
      <c r="AG6" s="657">
        <v>51</v>
      </c>
      <c r="AH6" s="8"/>
    </row>
    <row r="7" spans="1:34">
      <c r="A7" s="946"/>
      <c r="B7" s="946">
        <v>40</v>
      </c>
      <c r="C7" s="946">
        <v>52</v>
      </c>
      <c r="D7" s="946">
        <v>34</v>
      </c>
      <c r="E7" s="946">
        <v>52</v>
      </c>
      <c r="G7" t="str">
        <f>A4</f>
        <v>Conflict</v>
      </c>
      <c r="H7" s="1232">
        <f>COUNT(B4:B8)</f>
        <v>5</v>
      </c>
      <c r="I7" s="1114">
        <f>COUNT(C4:C8)</f>
        <v>5</v>
      </c>
      <c r="J7" s="1114">
        <f>COUNT(D4:D8)</f>
        <v>5</v>
      </c>
      <c r="K7" s="1233">
        <f>COUNT(E4:E8)</f>
        <v>5</v>
      </c>
      <c r="L7">
        <f>COUNT(B4:E8)</f>
        <v>20</v>
      </c>
      <c r="N7" t="s">
        <v>390</v>
      </c>
      <c r="O7">
        <f>DEVSQ(L14:L16)*L7</f>
        <v>1691.7333333333327</v>
      </c>
      <c r="P7">
        <f>COUNT(L14:L16)-1</f>
        <v>2</v>
      </c>
      <c r="Q7">
        <f>O7/P7</f>
        <v>845.86666666666633</v>
      </c>
      <c r="R7">
        <f>Q7/Q10</f>
        <v>4.0041025641025625</v>
      </c>
      <c r="S7">
        <f>FDIST(R7,P7,P10)</f>
        <v>2.4646200167940314E-2</v>
      </c>
      <c r="T7" s="1503" t="str">
        <f>IF(S7&lt;S5,"yes","no")</f>
        <v>yes</v>
      </c>
      <c r="V7" s="656">
        <v>78</v>
      </c>
      <c r="W7" s="8">
        <v>65</v>
      </c>
      <c r="X7" s="657">
        <v>78</v>
      </c>
      <c r="Y7" s="656">
        <v>56</v>
      </c>
      <c r="Z7" s="66">
        <v>61</v>
      </c>
      <c r="AA7" s="8">
        <v>63</v>
      </c>
      <c r="AB7" s="680">
        <v>61</v>
      </c>
      <c r="AC7" s="8">
        <v>63</v>
      </c>
      <c r="AD7" s="657">
        <v>69</v>
      </c>
      <c r="AE7" s="656">
        <v>51</v>
      </c>
      <c r="AF7" s="66">
        <v>71</v>
      </c>
      <c r="AG7" s="657">
        <v>32</v>
      </c>
      <c r="AH7" s="8"/>
    </row>
    <row r="8" spans="1:34">
      <c r="A8" s="1073"/>
      <c r="B8" s="1073">
        <v>61</v>
      </c>
      <c r="C8" s="1073">
        <v>42</v>
      </c>
      <c r="D8" s="1073">
        <v>28</v>
      </c>
      <c r="E8" s="1073">
        <v>43</v>
      </c>
      <c r="G8" t="str">
        <f>A9</f>
        <v>Psychol</v>
      </c>
      <c r="H8" s="625">
        <f>COUNT(B9:B13)</f>
        <v>5</v>
      </c>
      <c r="I8" s="8">
        <f>COUNT(C9:C13)</f>
        <v>5</v>
      </c>
      <c r="J8" s="8">
        <f>COUNT(D9:D13)</f>
        <v>5</v>
      </c>
      <c r="K8" s="132">
        <f>COUNT(E9:E13)</f>
        <v>5</v>
      </c>
      <c r="L8">
        <f>COUNT(B9:E13)</f>
        <v>20</v>
      </c>
      <c r="N8" t="s">
        <v>1010</v>
      </c>
      <c r="O8">
        <f>DEVSQ(H17:K17)*H10</f>
        <v>609.79999999999973</v>
      </c>
      <c r="P8">
        <f>COUNT(H17:K17)-1</f>
        <v>3</v>
      </c>
      <c r="Q8">
        <f>O8/P8</f>
        <v>203.26666666666657</v>
      </c>
      <c r="R8">
        <f>Q8/Q10</f>
        <v>0.96220907297830327</v>
      </c>
      <c r="S8">
        <f>FDIST(R8,P8,P10)</f>
        <v>0.41826475115765016</v>
      </c>
      <c r="T8" s="1503" t="str">
        <f>IF(S8&lt;S5,"yes","no")</f>
        <v>no</v>
      </c>
      <c r="V8" s="656">
        <v>67</v>
      </c>
      <c r="W8" s="66">
        <v>52</v>
      </c>
      <c r="X8" s="657">
        <v>24</v>
      </c>
      <c r="Y8" s="656">
        <v>52</v>
      </c>
      <c r="Z8" s="66">
        <v>34</v>
      </c>
      <c r="AA8" s="8">
        <v>25</v>
      </c>
      <c r="AB8" s="680">
        <v>34</v>
      </c>
      <c r="AC8" s="8">
        <v>25</v>
      </c>
      <c r="AD8" s="657">
        <v>64</v>
      </c>
      <c r="AE8" s="656">
        <v>52</v>
      </c>
      <c r="AF8" s="66">
        <v>59</v>
      </c>
      <c r="AG8" s="657">
        <v>41</v>
      </c>
      <c r="AH8" s="8"/>
    </row>
    <row r="9" spans="1:34">
      <c r="A9" s="1441" t="s">
        <v>4152</v>
      </c>
      <c r="B9" s="1441">
        <v>45</v>
      </c>
      <c r="C9" s="1441">
        <v>23</v>
      </c>
      <c r="D9" s="1441">
        <v>75</v>
      </c>
      <c r="E9" s="1441">
        <v>73</v>
      </c>
      <c r="G9" t="str">
        <f>A14</f>
        <v>Negot</v>
      </c>
      <c r="H9" s="1075">
        <f>COUNT(B14:B18)</f>
        <v>5</v>
      </c>
      <c r="I9" s="1076">
        <f>COUNT(C14:C18)</f>
        <v>5</v>
      </c>
      <c r="J9" s="1076">
        <f>COUNT(D14:D18)</f>
        <v>5</v>
      </c>
      <c r="K9" s="1077">
        <f>COUNT(E14:E18)</f>
        <v>5</v>
      </c>
      <c r="L9">
        <f>COUNT(B14:E18)</f>
        <v>20</v>
      </c>
      <c r="N9" t="s">
        <v>2089</v>
      </c>
      <c r="O9">
        <f>O11-O7-O8-O10</f>
        <v>4155.2000000000044</v>
      </c>
      <c r="P9">
        <f>P8*P7</f>
        <v>6</v>
      </c>
      <c r="Q9">
        <f>O9/P9</f>
        <v>692.5333333333341</v>
      </c>
      <c r="R9">
        <f>Q9/Q10</f>
        <v>3.2782642998027649</v>
      </c>
      <c r="S9">
        <f>FDIST(R9,P9,P10)</f>
        <v>8.7718106561581848E-3</v>
      </c>
      <c r="T9" s="1503" t="str">
        <f>IF(S9&lt;S5,"yes","no")</f>
        <v>yes</v>
      </c>
      <c r="V9" s="533">
        <v>61</v>
      </c>
      <c r="W9" s="1171">
        <v>23</v>
      </c>
      <c r="X9" s="541">
        <v>59</v>
      </c>
      <c r="Y9" s="533">
        <v>79</v>
      </c>
      <c r="Z9" s="1171">
        <v>28</v>
      </c>
      <c r="AA9" s="1078">
        <v>60</v>
      </c>
      <c r="AB9" s="682">
        <v>28</v>
      </c>
      <c r="AC9" s="1078">
        <v>60</v>
      </c>
      <c r="AD9" s="541">
        <v>59</v>
      </c>
      <c r="AE9" s="533">
        <v>43</v>
      </c>
      <c r="AF9" s="1078">
        <v>80</v>
      </c>
      <c r="AG9" s="541">
        <v>45</v>
      </c>
      <c r="AH9" s="8"/>
    </row>
    <row r="10" spans="1:34">
      <c r="A10" s="946"/>
      <c r="B10" s="946">
        <v>40</v>
      </c>
      <c r="C10" s="946">
        <v>56</v>
      </c>
      <c r="D10" s="946">
        <v>57</v>
      </c>
      <c r="E10" s="946">
        <v>68</v>
      </c>
      <c r="H10">
        <f>COUNT(B4:B18)</f>
        <v>15</v>
      </c>
      <c r="I10">
        <f>COUNT(C4:C18)</f>
        <v>15</v>
      </c>
      <c r="J10">
        <f>COUNT(D4:D18)</f>
        <v>15</v>
      </c>
      <c r="K10">
        <f>COUNT(E4:E18)</f>
        <v>15</v>
      </c>
      <c r="L10">
        <f>COUNT(B4:E18)</f>
        <v>60</v>
      </c>
      <c r="N10" t="s">
        <v>1021</v>
      </c>
      <c r="O10">
        <f>SUM(H21:K23)*(H7-1)</f>
        <v>10140</v>
      </c>
      <c r="P10">
        <f>P11-P7-P8-P9</f>
        <v>48</v>
      </c>
      <c r="Q10">
        <f>O10/P10</f>
        <v>211.25</v>
      </c>
      <c r="V10">
        <f t="shared" ref="V10:AG10" si="0">AVERAGE(V5:V9)</f>
        <v>59.2</v>
      </c>
      <c r="W10">
        <f t="shared" si="0"/>
        <v>52.2</v>
      </c>
      <c r="X10">
        <f t="shared" si="0"/>
        <v>48</v>
      </c>
      <c r="Y10">
        <f t="shared" si="0"/>
        <v>53</v>
      </c>
      <c r="Z10">
        <f t="shared" si="0"/>
        <v>40.4</v>
      </c>
      <c r="AA10">
        <f t="shared" si="0"/>
        <v>56</v>
      </c>
      <c r="AB10">
        <f t="shared" si="0"/>
        <v>40.4</v>
      </c>
      <c r="AC10">
        <f t="shared" si="0"/>
        <v>56</v>
      </c>
      <c r="AD10">
        <f t="shared" si="0"/>
        <v>64</v>
      </c>
      <c r="AE10">
        <f t="shared" si="0"/>
        <v>53.2</v>
      </c>
      <c r="AF10">
        <f t="shared" si="0"/>
        <v>70.2</v>
      </c>
      <c r="AG10">
        <f t="shared" si="0"/>
        <v>44.4</v>
      </c>
    </row>
    <row r="11" spans="1:34">
      <c r="A11" s="946"/>
      <c r="B11" s="946">
        <v>65</v>
      </c>
      <c r="C11" s="946">
        <v>61</v>
      </c>
      <c r="D11" s="946">
        <v>63</v>
      </c>
      <c r="E11" s="946">
        <v>71</v>
      </c>
      <c r="N11" s="1078" t="s">
        <v>12</v>
      </c>
      <c r="O11" s="1078">
        <f>Q11*P11</f>
        <v>16596.733333333337</v>
      </c>
      <c r="P11" s="1078">
        <f>L10-1</f>
        <v>59</v>
      </c>
      <c r="Q11" s="1078">
        <f>L24</f>
        <v>281.3005649717515</v>
      </c>
      <c r="R11" s="1078"/>
      <c r="S11" s="1078"/>
      <c r="T11" s="1078"/>
    </row>
    <row r="12" spans="1:34">
      <c r="A12" s="946"/>
      <c r="B12" s="946">
        <v>52</v>
      </c>
      <c r="C12" s="946">
        <v>34</v>
      </c>
      <c r="D12" s="946">
        <v>25</v>
      </c>
      <c r="E12" s="946">
        <v>59</v>
      </c>
      <c r="G12" t="s">
        <v>1031</v>
      </c>
    </row>
    <row r="13" spans="1:34">
      <c r="A13" s="1073"/>
      <c r="B13" s="1073">
        <v>23</v>
      </c>
      <c r="C13" s="1073">
        <v>28</v>
      </c>
      <c r="D13" s="1073">
        <v>60</v>
      </c>
      <c r="E13" s="1073">
        <v>80</v>
      </c>
      <c r="H13" s="1503" t="str">
        <f>B3</f>
        <v>Office 1</v>
      </c>
      <c r="I13" s="1503" t="str">
        <f>C3</f>
        <v>Office 2</v>
      </c>
      <c r="J13" s="1503" t="str">
        <f>D3</f>
        <v>Office 3</v>
      </c>
      <c r="K13" s="1503" t="str">
        <f>E3</f>
        <v>Office 4</v>
      </c>
      <c r="N13" t="s">
        <v>4193</v>
      </c>
    </row>
    <row r="14" spans="1:34">
      <c r="A14" s="1441" t="s">
        <v>4150</v>
      </c>
      <c r="B14" s="1441">
        <v>80</v>
      </c>
      <c r="C14" s="1441">
        <v>75</v>
      </c>
      <c r="D14" s="1441">
        <v>55</v>
      </c>
      <c r="E14" s="1441">
        <v>53</v>
      </c>
      <c r="G14" t="str">
        <f>A4</f>
        <v>Conflict</v>
      </c>
      <c r="H14" s="1232">
        <f>AVERAGE(B4:B8)</f>
        <v>53.8</v>
      </c>
      <c r="I14" s="1114">
        <f>AVERAGE(C4:C8)</f>
        <v>43</v>
      </c>
      <c r="J14" s="1114">
        <f>AVERAGE(D4:D8)</f>
        <v>31.8</v>
      </c>
      <c r="K14" s="1233">
        <f>AVERAGE(E4:E8)</f>
        <v>49.4</v>
      </c>
      <c r="L14">
        <f>AVERAGE(B4:E8)</f>
        <v>44.5</v>
      </c>
    </row>
    <row r="15" spans="1:34" ht="15" thickBot="1">
      <c r="A15" s="946"/>
      <c r="B15" s="946">
        <v>39</v>
      </c>
      <c r="C15" s="946">
        <v>57</v>
      </c>
      <c r="D15" s="946">
        <v>73</v>
      </c>
      <c r="E15" s="946">
        <v>51</v>
      </c>
      <c r="G15" t="str">
        <f>A9</f>
        <v>Psychol</v>
      </c>
      <c r="H15" s="625">
        <f>AVERAGE(B9:B13)</f>
        <v>45</v>
      </c>
      <c r="I15" s="8">
        <f>AVERAGE(C9:C13)</f>
        <v>40.4</v>
      </c>
      <c r="J15" s="8">
        <f>AVERAGE(D9:D13)</f>
        <v>56</v>
      </c>
      <c r="K15" s="132">
        <f>AVERAGE(E9:E13)</f>
        <v>70.2</v>
      </c>
      <c r="L15">
        <f>AVERAGE(B9:E13)</f>
        <v>52.9</v>
      </c>
      <c r="N15" t="s">
        <v>695</v>
      </c>
      <c r="R15" s="1520" t="s">
        <v>116</v>
      </c>
      <c r="S15" s="1520">
        <v>0.05</v>
      </c>
    </row>
    <row r="16" spans="1:34" ht="15" thickTop="1">
      <c r="A16" s="946"/>
      <c r="B16" s="946">
        <v>78</v>
      </c>
      <c r="C16" s="946">
        <v>63</v>
      </c>
      <c r="D16" s="946">
        <v>69</v>
      </c>
      <c r="E16" s="946">
        <v>47</v>
      </c>
      <c r="G16" t="str">
        <f>A14</f>
        <v>Negot</v>
      </c>
      <c r="H16" s="1075">
        <f>AVERAGE(B14:B18)</f>
        <v>60.2</v>
      </c>
      <c r="I16" s="1076">
        <f>AVERAGE(C14:C18)</f>
        <v>57.6</v>
      </c>
      <c r="J16" s="1076">
        <f>AVERAGE(D14:D18)</f>
        <v>64</v>
      </c>
      <c r="K16" s="1077">
        <f>AVERAGE(E14:E18)</f>
        <v>47.4</v>
      </c>
      <c r="L16">
        <f>AVERAGE(B14:E18)</f>
        <v>57.3</v>
      </c>
      <c r="N16" s="1151"/>
      <c r="O16" s="1151" t="s">
        <v>578</v>
      </c>
      <c r="P16" s="1151" t="s">
        <v>186</v>
      </c>
      <c r="Q16" s="1151" t="s">
        <v>641</v>
      </c>
      <c r="R16" s="1151" t="s">
        <v>388</v>
      </c>
      <c r="S16" s="1151" t="s">
        <v>200</v>
      </c>
      <c r="T16" s="1151" t="s">
        <v>948</v>
      </c>
    </row>
    <row r="17" spans="1:25">
      <c r="A17" s="946"/>
      <c r="B17" s="946">
        <v>45</v>
      </c>
      <c r="C17" s="946">
        <v>25</v>
      </c>
      <c r="D17" s="946">
        <v>64</v>
      </c>
      <c r="E17" s="946">
        <v>41</v>
      </c>
      <c r="H17">
        <f>AVERAGE(B4:B18)</f>
        <v>53</v>
      </c>
      <c r="I17">
        <f>AVERAGE(C4:C18)</f>
        <v>47</v>
      </c>
      <c r="J17">
        <f>AVERAGE(D4:D18)</f>
        <v>50.6</v>
      </c>
      <c r="K17">
        <f>AVERAGE(E4:E18)</f>
        <v>55.666666666666664</v>
      </c>
      <c r="L17">
        <f>AVERAGE(B4:E18)</f>
        <v>51.56666666666667</v>
      </c>
      <c r="N17" t="s">
        <v>390</v>
      </c>
      <c r="O17">
        <f>O7</f>
        <v>1691.7333333333327</v>
      </c>
      <c r="P17">
        <f>P7</f>
        <v>2</v>
      </c>
      <c r="Q17">
        <f>O17/P17</f>
        <v>845.86666666666633</v>
      </c>
      <c r="R17">
        <f>Q17/Q19</f>
        <v>1.2214093184443571</v>
      </c>
      <c r="S17">
        <f>FDIST(R17,P17,P20)</f>
        <v>0.30381232788202905</v>
      </c>
      <c r="T17" s="1520" t="str">
        <f>IF(S17&lt;S15,"yes","no")</f>
        <v>no</v>
      </c>
    </row>
    <row r="18" spans="1:25">
      <c r="A18" s="1073"/>
      <c r="B18" s="1073">
        <v>59</v>
      </c>
      <c r="C18" s="1073">
        <v>68</v>
      </c>
      <c r="D18" s="1073">
        <v>59</v>
      </c>
      <c r="E18" s="1073">
        <v>45</v>
      </c>
      <c r="N18" t="s">
        <v>1010</v>
      </c>
      <c r="O18">
        <f t="shared" ref="O18:P21" si="1">O8</f>
        <v>609.79999999999973</v>
      </c>
      <c r="P18">
        <f t="shared" si="1"/>
        <v>3</v>
      </c>
      <c r="Q18">
        <f>O18/P18</f>
        <v>203.26666666666657</v>
      </c>
      <c r="R18">
        <f>Q18/Q19</f>
        <v>0.29351174432036919</v>
      </c>
      <c r="S18">
        <f>FDIST(R18,P18,P20)</f>
        <v>0.82987694589046246</v>
      </c>
      <c r="T18" s="1520" t="str">
        <f>IF(S18&lt;S15,"yes","no")</f>
        <v>no</v>
      </c>
    </row>
    <row r="19" spans="1:25">
      <c r="G19" t="s">
        <v>2822</v>
      </c>
      <c r="N19" t="s">
        <v>2089</v>
      </c>
      <c r="O19">
        <f t="shared" si="1"/>
        <v>4155.2000000000044</v>
      </c>
      <c r="P19">
        <f t="shared" si="1"/>
        <v>6</v>
      </c>
      <c r="Q19">
        <f>O19/P19</f>
        <v>692.5333333333341</v>
      </c>
      <c r="R19">
        <f>Q19/Q20</f>
        <v>3.2782642998027649</v>
      </c>
      <c r="S19">
        <f>FDIST(R19,P19,P20)</f>
        <v>8.7718106561581848E-3</v>
      </c>
      <c r="T19" s="1520" t="str">
        <f>IF(S19&lt;S15,"yes","no")</f>
        <v>yes</v>
      </c>
    </row>
    <row r="20" spans="1:25">
      <c r="H20" s="1503" t="str">
        <f>B3</f>
        <v>Office 1</v>
      </c>
      <c r="I20" s="1503" t="str">
        <f>C3</f>
        <v>Office 2</v>
      </c>
      <c r="J20" s="1503" t="str">
        <f>D3</f>
        <v>Office 3</v>
      </c>
      <c r="K20" s="1503" t="str">
        <f>E3</f>
        <v>Office 4</v>
      </c>
      <c r="N20" t="s">
        <v>1021</v>
      </c>
      <c r="O20">
        <f t="shared" si="1"/>
        <v>10140</v>
      </c>
      <c r="P20">
        <f t="shared" si="1"/>
        <v>48</v>
      </c>
      <c r="Q20">
        <f>O20/P20</f>
        <v>211.25</v>
      </c>
    </row>
    <row r="21" spans="1:25">
      <c r="G21" t="str">
        <f>A4</f>
        <v>Conflict</v>
      </c>
      <c r="H21" s="1232">
        <f>VAR(B4:B8)</f>
        <v>306.19999999999982</v>
      </c>
      <c r="I21" s="1114">
        <f>VAR(C4:C8)</f>
        <v>209</v>
      </c>
      <c r="J21" s="1114">
        <f>VAR(D4:D8)</f>
        <v>50.200000000000045</v>
      </c>
      <c r="K21" s="1233">
        <f>VAR(E4:E8)</f>
        <v>233.80000000000018</v>
      </c>
      <c r="L21">
        <f>VAR(B4:E8)</f>
        <v>240.36842105263159</v>
      </c>
      <c r="N21" s="1078" t="s">
        <v>12</v>
      </c>
      <c r="O21" s="1078">
        <f t="shared" si="1"/>
        <v>16596.733333333337</v>
      </c>
      <c r="P21" s="1078">
        <f t="shared" si="1"/>
        <v>59</v>
      </c>
      <c r="Q21" s="1078">
        <f>O21/P21</f>
        <v>281.3005649717515</v>
      </c>
      <c r="R21" s="1078"/>
      <c r="S21" s="1078"/>
      <c r="T21" s="1078"/>
    </row>
    <row r="22" spans="1:25">
      <c r="G22" t="str">
        <f>A9</f>
        <v>Psychol</v>
      </c>
      <c r="H22" s="625">
        <f>VAR(B9:B13)</f>
        <v>239.5</v>
      </c>
      <c r="I22" s="8">
        <f>VAR(C9:C13)</f>
        <v>291.29999999999995</v>
      </c>
      <c r="J22" s="8">
        <f>VAR(D9:D13)</f>
        <v>347</v>
      </c>
      <c r="K22" s="132">
        <f>VAR(E9:E13)</f>
        <v>58.7</v>
      </c>
      <c r="L22">
        <f>VAR(B9:E13)</f>
        <v>335.98947368421068</v>
      </c>
    </row>
    <row r="23" spans="1:25">
      <c r="G23" t="str">
        <f>A14</f>
        <v>Negot</v>
      </c>
      <c r="H23" s="1075">
        <f>VAR(B14:B18)</f>
        <v>347.69999999999982</v>
      </c>
      <c r="I23" s="1076">
        <f>VAR(C14:C18)</f>
        <v>375.80000000000018</v>
      </c>
      <c r="J23" s="1076">
        <f>VAR(D14:D18)</f>
        <v>53</v>
      </c>
      <c r="K23" s="1077">
        <f>VAR(E14:E18)</f>
        <v>22.799999999999997</v>
      </c>
      <c r="L23">
        <f>VAR(B14:E18)</f>
        <v>208.11578947368406</v>
      </c>
    </row>
    <row r="24" spans="1:25">
      <c r="H24">
        <f>VAR(B4:B18)</f>
        <v>296.85714285714283</v>
      </c>
      <c r="I24">
        <f>VAR(C4:C18)</f>
        <v>311.71428571428572</v>
      </c>
      <c r="J24">
        <f>VAR(D4:D18)</f>
        <v>329.39999999999992</v>
      </c>
      <c r="K24">
        <f>VAR(E4:E18)</f>
        <v>203.95238095238113</v>
      </c>
      <c r="L24">
        <f>VAR(B4:E18)</f>
        <v>281.3005649717515</v>
      </c>
    </row>
    <row r="27" spans="1:25">
      <c r="A27" t="s">
        <v>2824</v>
      </c>
    </row>
    <row r="28" spans="1:25">
      <c r="V28" t="s">
        <v>2824</v>
      </c>
    </row>
    <row r="29" spans="1:25">
      <c r="B29" s="1121" t="s">
        <v>4151</v>
      </c>
      <c r="C29" s="1121" t="s">
        <v>4152</v>
      </c>
      <c r="D29" s="1121" t="s">
        <v>4150</v>
      </c>
      <c r="F29" t="s">
        <v>878</v>
      </c>
    </row>
    <row r="30" spans="1:25">
      <c r="A30" s="1441" t="s">
        <v>4141</v>
      </c>
      <c r="B30" s="1441">
        <v>34</v>
      </c>
      <c r="C30" s="1441">
        <v>45</v>
      </c>
      <c r="D30" s="1441">
        <v>80</v>
      </c>
      <c r="W30" s="1121" t="str">
        <f>A4</f>
        <v>Conflict</v>
      </c>
      <c r="X30" s="1121" t="str">
        <f>A9</f>
        <v>Psychol</v>
      </c>
      <c r="Y30" s="1121" t="str">
        <f>A14</f>
        <v>Negot</v>
      </c>
    </row>
    <row r="31" spans="1:25" ht="15" thickBot="1">
      <c r="A31" s="946"/>
      <c r="B31" s="946">
        <v>56</v>
      </c>
      <c r="C31" s="946">
        <v>40</v>
      </c>
      <c r="D31" s="946">
        <v>39</v>
      </c>
      <c r="F31" t="s">
        <v>879</v>
      </c>
      <c r="K31" t="s">
        <v>116</v>
      </c>
      <c r="L31">
        <v>0.05</v>
      </c>
      <c r="V31" s="1441" t="str">
        <f>B3</f>
        <v>Office 1</v>
      </c>
      <c r="W31" s="1441">
        <f>IF(B4="","",B4)</f>
        <v>34</v>
      </c>
      <c r="X31" s="1441">
        <f>IF(B9="","",B9)</f>
        <v>45</v>
      </c>
      <c r="Y31" s="1441">
        <f>IF(B14="","",B14)</f>
        <v>80</v>
      </c>
    </row>
    <row r="32" spans="1:25" ht="15" thickTop="1">
      <c r="A32" s="946"/>
      <c r="B32" s="946">
        <v>78</v>
      </c>
      <c r="C32" s="946">
        <v>65</v>
      </c>
      <c r="D32" s="946">
        <v>78</v>
      </c>
      <c r="F32" s="1151" t="s">
        <v>222</v>
      </c>
      <c r="G32" s="1151" t="s">
        <v>88</v>
      </c>
      <c r="H32" s="1151" t="s">
        <v>87</v>
      </c>
      <c r="I32" s="1151" t="s">
        <v>76</v>
      </c>
      <c r="J32" s="1151" t="s">
        <v>223</v>
      </c>
      <c r="K32" s="1151" t="s">
        <v>578</v>
      </c>
      <c r="L32" s="1151" t="s">
        <v>183</v>
      </c>
      <c r="M32" s="1151" t="s">
        <v>744</v>
      </c>
      <c r="N32" s="1151" t="s">
        <v>745</v>
      </c>
      <c r="V32" s="946"/>
      <c r="W32" s="946">
        <f>IF(B5="","",B5)</f>
        <v>56</v>
      </c>
      <c r="X32" s="946">
        <f>IF(B10="","",B10)</f>
        <v>40</v>
      </c>
      <c r="Y32" s="946">
        <f>IF(B15="","",B15)</f>
        <v>39</v>
      </c>
    </row>
    <row r="33" spans="1:25">
      <c r="A33" s="946"/>
      <c r="B33" s="946">
        <v>40</v>
      </c>
      <c r="C33" s="946">
        <v>52</v>
      </c>
      <c r="D33" s="946">
        <v>45</v>
      </c>
      <c r="F33" t="str">
        <f>B29</f>
        <v>Conflict</v>
      </c>
      <c r="G33">
        <f>COUNT(B30:B49)</f>
        <v>20</v>
      </c>
      <c r="H33">
        <f>SUM(B30:B49)</f>
        <v>890</v>
      </c>
      <c r="I33">
        <f>AVERAGE(B30:B49)</f>
        <v>44.5</v>
      </c>
      <c r="J33">
        <f>VAR(B30:B49)</f>
        <v>240.36842105263159</v>
      </c>
      <c r="K33">
        <f>DEVSQ(B30:B49)</f>
        <v>4567</v>
      </c>
      <c r="L33">
        <f>SQRT(I40/G33)</f>
        <v>3.6158762981480397</v>
      </c>
      <c r="M33">
        <f>I33-L33*TINV(L31,G33-1)</f>
        <v>36.931883930211278</v>
      </c>
      <c r="N33">
        <f>I33+L33*TINV(L31,G33-1)</f>
        <v>52.068116069788722</v>
      </c>
      <c r="V33" s="946"/>
      <c r="W33" s="946">
        <f>IF(B6="","",B6)</f>
        <v>78</v>
      </c>
      <c r="X33" s="946">
        <f>IF(B11="","",B11)</f>
        <v>65</v>
      </c>
      <c r="Y33" s="946">
        <f>IF(B16="","",B16)</f>
        <v>78</v>
      </c>
    </row>
    <row r="34" spans="1:25">
      <c r="A34" s="1073"/>
      <c r="B34" s="1073">
        <v>61</v>
      </c>
      <c r="C34" s="1073">
        <v>23</v>
      </c>
      <c r="D34" s="1073">
        <v>59</v>
      </c>
      <c r="F34" t="str">
        <f>C29</f>
        <v>Psychol</v>
      </c>
      <c r="G34">
        <f>COUNT(C30:C49)</f>
        <v>20</v>
      </c>
      <c r="H34">
        <f>SUM(C30:C49)</f>
        <v>1058</v>
      </c>
      <c r="I34">
        <f>AVERAGE(C30:C49)</f>
        <v>52.9</v>
      </c>
      <c r="J34">
        <f>VAR(C30:C49)</f>
        <v>335.98947368421068</v>
      </c>
      <c r="K34">
        <f>DEVSQ(C30:C49)</f>
        <v>6383.8</v>
      </c>
      <c r="L34">
        <f>SQRT(I40/G34)</f>
        <v>3.6158762981480397</v>
      </c>
      <c r="M34">
        <f>I34-L34*TINV(L31,G34-1)</f>
        <v>45.331883930211276</v>
      </c>
      <c r="N34">
        <f>I34+L34*TINV(L31,G34-1)</f>
        <v>60.468116069788721</v>
      </c>
      <c r="V34" s="946"/>
      <c r="W34" s="946">
        <f>IF(B7="","",B7)</f>
        <v>40</v>
      </c>
      <c r="X34" s="946">
        <f>IF(B12="","",B12)</f>
        <v>52</v>
      </c>
      <c r="Y34" s="946">
        <f>IF(B17="","",B17)</f>
        <v>45</v>
      </c>
    </row>
    <row r="35" spans="1:25">
      <c r="A35" s="1441" t="s">
        <v>4142</v>
      </c>
      <c r="B35" s="1441">
        <v>46</v>
      </c>
      <c r="C35" s="1441">
        <v>23</v>
      </c>
      <c r="D35" s="1441">
        <v>75</v>
      </c>
      <c r="F35" t="str">
        <f>D29</f>
        <v>Negot</v>
      </c>
      <c r="G35">
        <f>COUNT(D30:D49)</f>
        <v>20</v>
      </c>
      <c r="H35">
        <f>SUM(D30:D49)</f>
        <v>1146</v>
      </c>
      <c r="I35">
        <f>AVERAGE(D30:D49)</f>
        <v>57.3</v>
      </c>
      <c r="J35">
        <f>VAR(D30:D49)</f>
        <v>208.11578947368406</v>
      </c>
      <c r="K35">
        <f>DEVSQ(D30:D49)</f>
        <v>3954.2000000000003</v>
      </c>
      <c r="L35">
        <f>SQRT(I40/G35)</f>
        <v>3.6158762981480397</v>
      </c>
      <c r="M35">
        <f>I35-L35*TINV(L31,G35-1)</f>
        <v>49.731883930211275</v>
      </c>
      <c r="N35">
        <f>I35+L35*TINV(L31,G35-1)</f>
        <v>64.868116069788712</v>
      </c>
      <c r="V35" s="1073"/>
      <c r="W35" s="1073">
        <f>IF(B8="","",B8)</f>
        <v>61</v>
      </c>
      <c r="X35" s="1073">
        <f>IF(B13="","",B13)</f>
        <v>23</v>
      </c>
      <c r="Y35" s="1073">
        <f>IF(B18="","",B18)</f>
        <v>59</v>
      </c>
    </row>
    <row r="36" spans="1:25">
      <c r="A36" s="946"/>
      <c r="B36" s="946">
        <v>19</v>
      </c>
      <c r="C36" s="946">
        <v>56</v>
      </c>
      <c r="D36" s="946">
        <v>57</v>
      </c>
      <c r="F36" s="1234"/>
      <c r="G36" s="1234"/>
      <c r="H36" s="1234"/>
      <c r="I36" s="1234"/>
      <c r="J36" s="1234"/>
      <c r="K36" s="1234"/>
      <c r="L36" s="1234"/>
      <c r="M36" s="1234"/>
      <c r="N36" s="1234"/>
      <c r="V36" s="1441" t="str">
        <f>C3</f>
        <v>Office 2</v>
      </c>
      <c r="W36" s="1441">
        <f>IF(C4="","",C4)</f>
        <v>46</v>
      </c>
      <c r="X36" s="1441">
        <f>IF(C9="","",C9)</f>
        <v>23</v>
      </c>
      <c r="Y36" s="1441">
        <f>IF(C14="","",C14)</f>
        <v>75</v>
      </c>
    </row>
    <row r="37" spans="1:25" ht="15" thickBot="1">
      <c r="A37" s="946"/>
      <c r="B37" s="946">
        <v>56</v>
      </c>
      <c r="C37" s="946">
        <v>61</v>
      </c>
      <c r="D37" s="946">
        <v>63</v>
      </c>
      <c r="F37" t="s">
        <v>695</v>
      </c>
      <c r="V37" s="946"/>
      <c r="W37" s="946">
        <f>IF(C5="","",C5)</f>
        <v>19</v>
      </c>
      <c r="X37" s="946">
        <f>IF(C10="","",C10)</f>
        <v>56</v>
      </c>
      <c r="Y37" s="946">
        <f>IF(C15="","",C15)</f>
        <v>57</v>
      </c>
    </row>
    <row r="38" spans="1:25" ht="15" thickTop="1">
      <c r="A38" s="946"/>
      <c r="B38" s="946">
        <v>52</v>
      </c>
      <c r="C38" s="946">
        <v>34</v>
      </c>
      <c r="D38" s="946">
        <v>25</v>
      </c>
      <c r="F38" s="1151" t="s">
        <v>880</v>
      </c>
      <c r="G38" s="1151" t="s">
        <v>578</v>
      </c>
      <c r="H38" s="1151" t="s">
        <v>186</v>
      </c>
      <c r="I38" s="1151" t="s">
        <v>641</v>
      </c>
      <c r="J38" s="1151" t="s">
        <v>388</v>
      </c>
      <c r="K38" s="1151" t="s">
        <v>881</v>
      </c>
      <c r="L38" s="1151" t="s">
        <v>888</v>
      </c>
      <c r="M38" s="1151" t="s">
        <v>1932</v>
      </c>
      <c r="N38" s="1151" t="s">
        <v>1933</v>
      </c>
      <c r="V38" s="946"/>
      <c r="W38" s="946">
        <f>IF(C6="","",C6)</f>
        <v>56</v>
      </c>
      <c r="X38" s="946">
        <f>IF(C11="","",C11)</f>
        <v>61</v>
      </c>
      <c r="Y38" s="946">
        <f>IF(C16="","",C16)</f>
        <v>63</v>
      </c>
    </row>
    <row r="39" spans="1:25">
      <c r="A39" s="1073"/>
      <c r="B39" s="1073">
        <v>42</v>
      </c>
      <c r="C39" s="1073">
        <v>28</v>
      </c>
      <c r="D39" s="1073">
        <v>68</v>
      </c>
      <c r="F39" t="s">
        <v>883</v>
      </c>
      <c r="G39">
        <f>G41-G40</f>
        <v>1691.7333333333336</v>
      </c>
      <c r="H39">
        <f>COUNTA(F33:F35)-1</f>
        <v>2</v>
      </c>
      <c r="I39">
        <f>G39/H39</f>
        <v>845.86666666666679</v>
      </c>
      <c r="J39">
        <f>I39/I40</f>
        <v>3.2347802750754782</v>
      </c>
      <c r="K39">
        <f>FDIST(J39,H39,H40)</f>
        <v>4.6700000248597356E-2</v>
      </c>
      <c r="L39">
        <f>FINV(L31,H39,H40)</f>
        <v>3.158842719260647</v>
      </c>
      <c r="M39">
        <f>SQRT(DEVSQ(I33:I35)/(I40*H39))</f>
        <v>0.40216789249488061</v>
      </c>
      <c r="N39">
        <f>(G41-H41*I40)/(G41+I40)</f>
        <v>6.9328230439450245E-2</v>
      </c>
      <c r="V39" s="946"/>
      <c r="W39" s="946">
        <f>IF(C7="","",C7)</f>
        <v>52</v>
      </c>
      <c r="X39" s="946">
        <f>IF(C12="","",C12)</f>
        <v>34</v>
      </c>
      <c r="Y39" s="946">
        <f>IF(C17="","",C17)</f>
        <v>25</v>
      </c>
    </row>
    <row r="40" spans="1:25">
      <c r="A40" s="1441" t="s">
        <v>4143</v>
      </c>
      <c r="B40" s="1441">
        <v>23</v>
      </c>
      <c r="C40" s="1441">
        <v>75</v>
      </c>
      <c r="D40" s="1441">
        <v>55</v>
      </c>
      <c r="F40" t="s">
        <v>884</v>
      </c>
      <c r="G40">
        <f>SUM(K33:K35)</f>
        <v>14905</v>
      </c>
      <c r="H40">
        <f>H41-H39</f>
        <v>57</v>
      </c>
      <c r="I40">
        <f>G40/H40</f>
        <v>261.49122807017545</v>
      </c>
      <c r="V40" s="1073"/>
      <c r="W40" s="1073">
        <f>IF(C8="","",C8)</f>
        <v>42</v>
      </c>
      <c r="X40" s="1073">
        <f>IF(C13="","",C13)</f>
        <v>28</v>
      </c>
      <c r="Y40" s="1073">
        <f>IF(C18="","",C18)</f>
        <v>68</v>
      </c>
    </row>
    <row r="41" spans="1:25">
      <c r="A41" s="946"/>
      <c r="B41" s="946">
        <v>32</v>
      </c>
      <c r="C41" s="946">
        <v>57</v>
      </c>
      <c r="D41" s="946">
        <v>73</v>
      </c>
      <c r="F41" s="1078" t="s">
        <v>12</v>
      </c>
      <c r="G41" s="1078">
        <f>DEVSQ(B30:D49)</f>
        <v>16596.733333333334</v>
      </c>
      <c r="H41" s="1078">
        <f>COUNT(B30:D49)-1</f>
        <v>59</v>
      </c>
      <c r="I41" s="1078">
        <f>G41/H41</f>
        <v>281.30056497175144</v>
      </c>
      <c r="J41" s="1078"/>
      <c r="K41" s="1078"/>
      <c r="L41" s="1078"/>
      <c r="M41" s="1078"/>
      <c r="N41" s="1078"/>
      <c r="V41" s="1441" t="str">
        <f>D3</f>
        <v>Office 3</v>
      </c>
      <c r="W41" s="1441">
        <f>IF(D4="","",D4)</f>
        <v>23</v>
      </c>
      <c r="X41" s="1441">
        <f>IF(D9="","",D9)</f>
        <v>75</v>
      </c>
      <c r="Y41" s="1441">
        <f>IF(D14="","",D14)</f>
        <v>55</v>
      </c>
    </row>
    <row r="42" spans="1:25">
      <c r="A42" s="946"/>
      <c r="B42" s="946">
        <v>42</v>
      </c>
      <c r="C42" s="946">
        <v>63</v>
      </c>
      <c r="D42" s="946">
        <v>69</v>
      </c>
      <c r="V42" s="946"/>
      <c r="W42" s="946">
        <f>IF(D5="","",D5)</f>
        <v>32</v>
      </c>
      <c r="X42" s="946">
        <f>IF(D10="","",D10)</f>
        <v>57</v>
      </c>
      <c r="Y42" s="946">
        <f>IF(D15="","",D15)</f>
        <v>73</v>
      </c>
    </row>
    <row r="43" spans="1:25">
      <c r="A43" s="946"/>
      <c r="B43" s="946">
        <v>34</v>
      </c>
      <c r="C43" s="946">
        <v>25</v>
      </c>
      <c r="D43" s="946">
        <v>64</v>
      </c>
      <c r="V43" s="946"/>
      <c r="W43" s="946">
        <f>IF(D6="","",D6)</f>
        <v>42</v>
      </c>
      <c r="X43" s="946">
        <f>IF(D11="","",D11)</f>
        <v>63</v>
      </c>
      <c r="Y43" s="946">
        <f>IF(D16="","",D16)</f>
        <v>69</v>
      </c>
    </row>
    <row r="44" spans="1:25">
      <c r="A44" s="1073"/>
      <c r="B44" s="1073">
        <v>28</v>
      </c>
      <c r="C44" s="1073">
        <v>60</v>
      </c>
      <c r="D44" s="1073">
        <v>59</v>
      </c>
      <c r="V44" s="946"/>
      <c r="W44" s="946">
        <f>IF(D7="","",D7)</f>
        <v>34</v>
      </c>
      <c r="X44" s="946">
        <f>IF(D12="","",D12)</f>
        <v>25</v>
      </c>
      <c r="Y44" s="946">
        <f>IF(D17="","",D17)</f>
        <v>64</v>
      </c>
    </row>
    <row r="45" spans="1:25">
      <c r="A45" s="1441" t="s">
        <v>4144</v>
      </c>
      <c r="B45" s="1441">
        <v>50</v>
      </c>
      <c r="C45" s="1441">
        <v>73</v>
      </c>
      <c r="D45" s="1441">
        <v>53</v>
      </c>
      <c r="V45" s="1073"/>
      <c r="W45" s="1073">
        <f>IF(D8="","",D8)</f>
        <v>28</v>
      </c>
      <c r="X45" s="1073">
        <f>IF(D13="","",D13)</f>
        <v>60</v>
      </c>
      <c r="Y45" s="1073">
        <f>IF(D18="","",D18)</f>
        <v>59</v>
      </c>
    </row>
    <row r="46" spans="1:25">
      <c r="A46" s="946"/>
      <c r="B46" s="946">
        <v>72</v>
      </c>
      <c r="C46" s="946">
        <v>68</v>
      </c>
      <c r="D46" s="946">
        <v>51</v>
      </c>
      <c r="V46" s="1441" t="str">
        <f>E3</f>
        <v>Office 4</v>
      </c>
      <c r="W46" s="1441">
        <f>IF(E4="","",E4)</f>
        <v>50</v>
      </c>
      <c r="X46" s="1441">
        <f>IF(E9="","",E9)</f>
        <v>73</v>
      </c>
      <c r="Y46" s="1441">
        <f>IF(E14="","",E14)</f>
        <v>53</v>
      </c>
    </row>
    <row r="47" spans="1:25">
      <c r="A47" s="946"/>
      <c r="B47" s="946">
        <v>30</v>
      </c>
      <c r="C47" s="946">
        <v>71</v>
      </c>
      <c r="D47" s="946">
        <v>47</v>
      </c>
      <c r="V47" s="946"/>
      <c r="W47" s="946">
        <f>IF(E5="","",E5)</f>
        <v>72</v>
      </c>
      <c r="X47" s="946">
        <f>IF(E10="","",E10)</f>
        <v>68</v>
      </c>
      <c r="Y47" s="946">
        <f>IF(E15="","",E15)</f>
        <v>51</v>
      </c>
    </row>
    <row r="48" spans="1:25">
      <c r="A48" s="946"/>
      <c r="B48" s="946">
        <v>52</v>
      </c>
      <c r="C48" s="946">
        <v>59</v>
      </c>
      <c r="D48" s="946">
        <v>41</v>
      </c>
      <c r="V48" s="946"/>
      <c r="W48" s="946">
        <f>IF(E6="","",E6)</f>
        <v>30</v>
      </c>
      <c r="X48" s="946">
        <f>IF(E11="","",E11)</f>
        <v>71</v>
      </c>
      <c r="Y48" s="946">
        <f>IF(E16="","",E16)</f>
        <v>47</v>
      </c>
    </row>
    <row r="49" spans="1:25">
      <c r="A49" s="1073"/>
      <c r="B49" s="1073">
        <v>43</v>
      </c>
      <c r="C49" s="1073">
        <v>80</v>
      </c>
      <c r="D49" s="1073">
        <v>45</v>
      </c>
      <c r="V49" s="946"/>
      <c r="W49" s="946">
        <f>IF(E7="","",E7)</f>
        <v>52</v>
      </c>
      <c r="X49" s="946">
        <f>IF(E12="","",E12)</f>
        <v>59</v>
      </c>
      <c r="Y49" s="946">
        <f>IF(E17="","",E17)</f>
        <v>41</v>
      </c>
    </row>
    <row r="50" spans="1:25">
      <c r="V50" s="1073"/>
      <c r="W50" s="1073">
        <f>IF(E8="","",E8)</f>
        <v>43</v>
      </c>
      <c r="X50" s="1073">
        <f>IF(E13="","",E13)</f>
        <v>80</v>
      </c>
      <c r="Y50" s="1073">
        <f>IF(E18="","",E18)</f>
        <v>45</v>
      </c>
    </row>
  </sheetData>
  <mergeCells count="4">
    <mergeCell ref="V3:X3"/>
    <mergeCell ref="Y3:AA3"/>
    <mergeCell ref="AB3:AD3"/>
    <mergeCell ref="AE3:AG3"/>
  </mergeCells>
  <pageMargins left="0.7" right="0.7" top="0.75" bottom="0.75" header="0.3" footer="0.3"/>
  <ignoredErrors>
    <ignoredError sqref="H7:K9 H14:K16 H21:K23" formulaRange="1"/>
  </ignoredErrors>
</worksheet>
</file>

<file path=xl/worksheets/sheet270.xml><?xml version="1.0" encoding="utf-8"?>
<worksheet xmlns="http://schemas.openxmlformats.org/spreadsheetml/2006/main" xmlns:r="http://schemas.openxmlformats.org/officeDocument/2006/relationships">
  <sheetPr codeName="Sheet372"/>
  <dimension ref="A1:T22"/>
  <sheetViews>
    <sheetView workbookViewId="0"/>
  </sheetViews>
  <sheetFormatPr defaultRowHeight="14.4"/>
  <sheetData>
    <row r="1" spans="1:20">
      <c r="A1" s="1" t="s">
        <v>4191</v>
      </c>
      <c r="G1" t="s">
        <v>95</v>
      </c>
      <c r="N1" t="s">
        <v>4193</v>
      </c>
    </row>
    <row r="3" spans="1:20" ht="15" thickBot="1">
      <c r="B3" s="1511" t="s">
        <v>4141</v>
      </c>
      <c r="C3" s="1511" t="s">
        <v>4142</v>
      </c>
      <c r="D3" s="1511" t="s">
        <v>4143</v>
      </c>
      <c r="E3" s="1511" t="s">
        <v>4144</v>
      </c>
      <c r="G3" t="s">
        <v>2821</v>
      </c>
      <c r="H3" t="str">
        <f>IF(COUNTIF(H5:K7,H5)=COUNT(H5:K7),"balanced","unbalanced")</f>
        <v>balanced</v>
      </c>
      <c r="N3" t="s">
        <v>695</v>
      </c>
      <c r="R3" s="1520" t="s">
        <v>116</v>
      </c>
      <c r="S3" s="1520">
        <v>0.05</v>
      </c>
    </row>
    <row r="4" spans="1:20" ht="15" thickTop="1">
      <c r="A4" s="1441" t="s">
        <v>4151</v>
      </c>
      <c r="B4" s="1441">
        <v>34</v>
      </c>
      <c r="C4" s="1441">
        <v>46</v>
      </c>
      <c r="D4" s="1441">
        <v>23</v>
      </c>
      <c r="E4" s="1441">
        <v>50</v>
      </c>
      <c r="H4" s="1520" t="str">
        <f>B3</f>
        <v>Office 1</v>
      </c>
      <c r="I4" s="1520" t="str">
        <f>C3</f>
        <v>Office 2</v>
      </c>
      <c r="J4" s="1520" t="str">
        <f>D3</f>
        <v>Office 3</v>
      </c>
      <c r="K4" s="1520" t="str">
        <f>E3</f>
        <v>Office 4</v>
      </c>
      <c r="N4" s="1151"/>
      <c r="O4" s="1151" t="s">
        <v>578</v>
      </c>
      <c r="P4" s="1151" t="s">
        <v>186</v>
      </c>
      <c r="Q4" s="1151" t="s">
        <v>641</v>
      </c>
      <c r="R4" s="1151" t="s">
        <v>388</v>
      </c>
      <c r="S4" s="1151" t="s">
        <v>200</v>
      </c>
      <c r="T4" s="1151" t="s">
        <v>948</v>
      </c>
    </row>
    <row r="5" spans="1:20">
      <c r="A5" s="946"/>
      <c r="B5" s="946">
        <v>56</v>
      </c>
      <c r="C5" s="946">
        <v>19</v>
      </c>
      <c r="D5" s="946">
        <v>32</v>
      </c>
      <c r="E5" s="946">
        <v>72</v>
      </c>
      <c r="G5" t="str">
        <f>A4</f>
        <v>Conflict</v>
      </c>
      <c r="H5" s="1232">
        <f>COUNT(B4:B8)</f>
        <v>5</v>
      </c>
      <c r="I5" s="1114">
        <f>COUNT(C4:C8)</f>
        <v>5</v>
      </c>
      <c r="J5" s="1114">
        <f>COUNT(D4:D8)</f>
        <v>5</v>
      </c>
      <c r="K5" s="1233">
        <f>COUNT(E4:E8)</f>
        <v>5</v>
      </c>
      <c r="L5">
        <f>COUNT(B4:E8)</f>
        <v>20</v>
      </c>
      <c r="N5" t="s">
        <v>390</v>
      </c>
      <c r="O5">
        <f>DEVSQ(L12:L14)*L5</f>
        <v>1691.7333333333327</v>
      </c>
      <c r="P5">
        <f>COUNT(L12:L14)-1</f>
        <v>2</v>
      </c>
      <c r="Q5">
        <f>O5/P5</f>
        <v>845.86666666666633</v>
      </c>
      <c r="R5">
        <f>Q5/Q7</f>
        <v>1.2214093184443571</v>
      </c>
      <c r="S5">
        <f>FDIST(R5,P5,P7)</f>
        <v>0.35891480306310647</v>
      </c>
      <c r="T5" s="1520" t="str">
        <f>IF(S5&lt;S3,"yes","no")</f>
        <v>no</v>
      </c>
    </row>
    <row r="6" spans="1:20">
      <c r="A6" s="946"/>
      <c r="B6" s="946">
        <v>78</v>
      </c>
      <c r="C6" s="946">
        <v>56</v>
      </c>
      <c r="D6" s="946">
        <v>42</v>
      </c>
      <c r="E6" s="946">
        <v>30</v>
      </c>
      <c r="G6" t="str">
        <f>A9</f>
        <v>Psychol</v>
      </c>
      <c r="H6" s="625">
        <f>COUNT(B9:B13)</f>
        <v>5</v>
      </c>
      <c r="I6" s="8">
        <f>COUNT(C9:C13)</f>
        <v>5</v>
      </c>
      <c r="J6" s="8">
        <f>COUNT(D9:D13)</f>
        <v>5</v>
      </c>
      <c r="K6" s="132">
        <f>COUNT(E9:E13)</f>
        <v>5</v>
      </c>
      <c r="L6">
        <f>COUNT(B9:E13)</f>
        <v>20</v>
      </c>
      <c r="N6" t="s">
        <v>1010</v>
      </c>
      <c r="O6">
        <f>DEVSQ(H15:K15)*H8</f>
        <v>609.79999999999973</v>
      </c>
      <c r="P6">
        <f>COUNT(H15:K15)-1</f>
        <v>3</v>
      </c>
      <c r="Q6">
        <f>O6/P6</f>
        <v>203.26666666666657</v>
      </c>
      <c r="R6">
        <f>Q6/Q7</f>
        <v>0.29351174432036919</v>
      </c>
      <c r="S6">
        <f>FDIST(R6,P6,P7)</f>
        <v>0.82906047560649987</v>
      </c>
      <c r="T6" s="1520" t="str">
        <f>IF(S6&lt;S3,"yes","no")</f>
        <v>no</v>
      </c>
    </row>
    <row r="7" spans="1:20">
      <c r="A7" s="946"/>
      <c r="B7" s="946">
        <v>40</v>
      </c>
      <c r="C7" s="946">
        <v>52</v>
      </c>
      <c r="D7" s="946">
        <v>34</v>
      </c>
      <c r="E7" s="946">
        <v>52</v>
      </c>
      <c r="G7" t="str">
        <f>A14</f>
        <v>Negot</v>
      </c>
      <c r="H7" s="1075">
        <f>COUNT(B14:B18)</f>
        <v>5</v>
      </c>
      <c r="I7" s="1076">
        <f>COUNT(C14:C18)</f>
        <v>5</v>
      </c>
      <c r="J7" s="1076">
        <f>COUNT(D14:D18)</f>
        <v>5</v>
      </c>
      <c r="K7" s="1077">
        <f>COUNT(E14:E18)</f>
        <v>5</v>
      </c>
      <c r="L7">
        <f>COUNT(B14:E18)</f>
        <v>20</v>
      </c>
      <c r="N7" t="s">
        <v>2089</v>
      </c>
      <c r="O7">
        <f>O9-O5-O6-O8</f>
        <v>4155.2000000000044</v>
      </c>
      <c r="P7">
        <f>P6*P5</f>
        <v>6</v>
      </c>
      <c r="Q7">
        <f>O7/P7</f>
        <v>692.5333333333341</v>
      </c>
      <c r="R7">
        <f>Q7/Q8</f>
        <v>3.2782642998027649</v>
      </c>
      <c r="S7">
        <f>FDIST(R7,P7,P8)</f>
        <v>8.7718106561581848E-3</v>
      </c>
      <c r="T7" s="1520" t="str">
        <f>IF(S7&lt;S3,"yes","no")</f>
        <v>yes</v>
      </c>
    </row>
    <row r="8" spans="1:20">
      <c r="A8" s="1073"/>
      <c r="B8" s="1073">
        <v>61</v>
      </c>
      <c r="C8" s="1073">
        <v>42</v>
      </c>
      <c r="D8" s="1073">
        <v>28</v>
      </c>
      <c r="E8" s="1073">
        <v>43</v>
      </c>
      <c r="H8">
        <f>COUNT(B4:B18)</f>
        <v>15</v>
      </c>
      <c r="I8">
        <f>COUNT(C4:C18)</f>
        <v>15</v>
      </c>
      <c r="J8">
        <f>COUNT(D4:D18)</f>
        <v>15</v>
      </c>
      <c r="K8">
        <f>COUNT(E4:E18)</f>
        <v>15</v>
      </c>
      <c r="L8">
        <f>COUNT(B4:E18)</f>
        <v>60</v>
      </c>
      <c r="N8" t="s">
        <v>1021</v>
      </c>
      <c r="O8">
        <f>SUM(H19:K21)*(H5-1)</f>
        <v>10140</v>
      </c>
      <c r="P8">
        <f>P9-P5-P6-P7</f>
        <v>48</v>
      </c>
      <c r="Q8">
        <f>O8/P8</f>
        <v>211.25</v>
      </c>
    </row>
    <row r="9" spans="1:20">
      <c r="A9" s="1441" t="s">
        <v>4152</v>
      </c>
      <c r="B9" s="1441">
        <v>45</v>
      </c>
      <c r="C9" s="1441">
        <v>23</v>
      </c>
      <c r="D9" s="1441">
        <v>75</v>
      </c>
      <c r="E9" s="1441">
        <v>73</v>
      </c>
      <c r="N9" s="1078" t="s">
        <v>12</v>
      </c>
      <c r="O9" s="1078">
        <f>Q9*P9</f>
        <v>16596.733333333337</v>
      </c>
      <c r="P9" s="1078">
        <f>L8-1</f>
        <v>59</v>
      </c>
      <c r="Q9" s="1078">
        <f>L22</f>
        <v>281.3005649717515</v>
      </c>
      <c r="R9" s="1078"/>
      <c r="S9" s="1078"/>
      <c r="T9" s="1078"/>
    </row>
    <row r="10" spans="1:20">
      <c r="A10" s="946"/>
      <c r="B10" s="946">
        <v>40</v>
      </c>
      <c r="C10" s="946">
        <v>56</v>
      </c>
      <c r="D10" s="946">
        <v>57</v>
      </c>
      <c r="E10" s="946">
        <v>68</v>
      </c>
      <c r="G10" t="s">
        <v>1031</v>
      </c>
    </row>
    <row r="11" spans="1:20">
      <c r="A11" s="946"/>
      <c r="B11" s="946">
        <v>65</v>
      </c>
      <c r="C11" s="946">
        <v>61</v>
      </c>
      <c r="D11" s="946">
        <v>63</v>
      </c>
      <c r="E11" s="946">
        <v>71</v>
      </c>
      <c r="H11" s="1520" t="str">
        <f>B3</f>
        <v>Office 1</v>
      </c>
      <c r="I11" s="1520" t="str">
        <f>C3</f>
        <v>Office 2</v>
      </c>
      <c r="J11" s="1520" t="str">
        <f>D3</f>
        <v>Office 3</v>
      </c>
      <c r="K11" s="1520" t="str">
        <f>E3</f>
        <v>Office 4</v>
      </c>
    </row>
    <row r="12" spans="1:20">
      <c r="A12" s="946"/>
      <c r="B12" s="946">
        <v>52</v>
      </c>
      <c r="C12" s="946">
        <v>34</v>
      </c>
      <c r="D12" s="946">
        <v>25</v>
      </c>
      <c r="E12" s="946">
        <v>59</v>
      </c>
      <c r="G12" t="str">
        <f>A4</f>
        <v>Conflict</v>
      </c>
      <c r="H12" s="1232">
        <f>AVERAGE(B4:B8)</f>
        <v>53.8</v>
      </c>
      <c r="I12" s="1114">
        <f>AVERAGE(C4:C8)</f>
        <v>43</v>
      </c>
      <c r="J12" s="1114">
        <f>AVERAGE(D4:D8)</f>
        <v>31.8</v>
      </c>
      <c r="K12" s="1233">
        <f>AVERAGE(E4:E8)</f>
        <v>49.4</v>
      </c>
      <c r="L12">
        <f>AVERAGE(B4:E8)</f>
        <v>44.5</v>
      </c>
    </row>
    <row r="13" spans="1:20">
      <c r="A13" s="1073"/>
      <c r="B13" s="1073">
        <v>23</v>
      </c>
      <c r="C13" s="1073">
        <v>28</v>
      </c>
      <c r="D13" s="1073">
        <v>60</v>
      </c>
      <c r="E13" s="1073">
        <v>80</v>
      </c>
      <c r="G13" t="str">
        <f>A9</f>
        <v>Psychol</v>
      </c>
      <c r="H13" s="625">
        <f>AVERAGE(B9:B13)</f>
        <v>45</v>
      </c>
      <c r="I13" s="8">
        <f>AVERAGE(C9:C13)</f>
        <v>40.4</v>
      </c>
      <c r="J13" s="8">
        <f>AVERAGE(D9:D13)</f>
        <v>56</v>
      </c>
      <c r="K13" s="132">
        <f>AVERAGE(E9:E13)</f>
        <v>70.2</v>
      </c>
      <c r="L13">
        <f>AVERAGE(B9:E13)</f>
        <v>52.9</v>
      </c>
    </row>
    <row r="14" spans="1:20">
      <c r="A14" s="1441" t="s">
        <v>4150</v>
      </c>
      <c r="B14" s="1441">
        <v>80</v>
      </c>
      <c r="C14" s="1441">
        <v>75</v>
      </c>
      <c r="D14" s="1441">
        <v>55</v>
      </c>
      <c r="E14" s="1441">
        <v>53</v>
      </c>
      <c r="G14" t="str">
        <f>A14</f>
        <v>Negot</v>
      </c>
      <c r="H14" s="1075">
        <f>AVERAGE(B14:B18)</f>
        <v>60.2</v>
      </c>
      <c r="I14" s="1076">
        <f>AVERAGE(C14:C18)</f>
        <v>57.6</v>
      </c>
      <c r="J14" s="1076">
        <f>AVERAGE(D14:D18)</f>
        <v>64</v>
      </c>
      <c r="K14" s="1077">
        <f>AVERAGE(E14:E18)</f>
        <v>47.4</v>
      </c>
      <c r="L14">
        <f>AVERAGE(B14:E18)</f>
        <v>57.3</v>
      </c>
    </row>
    <row r="15" spans="1:20">
      <c r="A15" s="946"/>
      <c r="B15" s="946">
        <v>39</v>
      </c>
      <c r="C15" s="946">
        <v>57</v>
      </c>
      <c r="D15" s="946">
        <v>73</v>
      </c>
      <c r="E15" s="946">
        <v>51</v>
      </c>
      <c r="H15">
        <f>AVERAGE(B4:B18)</f>
        <v>53</v>
      </c>
      <c r="I15">
        <f>AVERAGE(C4:C18)</f>
        <v>47</v>
      </c>
      <c r="J15">
        <f>AVERAGE(D4:D18)</f>
        <v>50.6</v>
      </c>
      <c r="K15">
        <f>AVERAGE(E4:E18)</f>
        <v>55.666666666666664</v>
      </c>
      <c r="L15">
        <f>AVERAGE(B4:E18)</f>
        <v>51.56666666666667</v>
      </c>
    </row>
    <row r="16" spans="1:20">
      <c r="A16" s="946"/>
      <c r="B16" s="946">
        <v>78</v>
      </c>
      <c r="C16" s="946">
        <v>63</v>
      </c>
      <c r="D16" s="946">
        <v>69</v>
      </c>
      <c r="E16" s="946">
        <v>47</v>
      </c>
    </row>
    <row r="17" spans="1:12">
      <c r="A17" s="946"/>
      <c r="B17" s="946">
        <v>45</v>
      </c>
      <c r="C17" s="946">
        <v>25</v>
      </c>
      <c r="D17" s="946">
        <v>64</v>
      </c>
      <c r="E17" s="946">
        <v>41</v>
      </c>
      <c r="G17" t="s">
        <v>2822</v>
      </c>
    </row>
    <row r="18" spans="1:12">
      <c r="A18" s="1073"/>
      <c r="B18" s="1073">
        <v>59</v>
      </c>
      <c r="C18" s="1073">
        <v>68</v>
      </c>
      <c r="D18" s="1073">
        <v>59</v>
      </c>
      <c r="E18" s="1073">
        <v>45</v>
      </c>
      <c r="H18" s="1520" t="str">
        <f>B3</f>
        <v>Office 1</v>
      </c>
      <c r="I18" s="1520" t="str">
        <f>C3</f>
        <v>Office 2</v>
      </c>
      <c r="J18" s="1520" t="str">
        <f>D3</f>
        <v>Office 3</v>
      </c>
      <c r="K18" s="1520" t="str">
        <f>E3</f>
        <v>Office 4</v>
      </c>
    </row>
    <row r="19" spans="1:12">
      <c r="G19" t="str">
        <f>A4</f>
        <v>Conflict</v>
      </c>
      <c r="H19" s="1232">
        <f>VAR(B4:B8)</f>
        <v>306.19999999999982</v>
      </c>
      <c r="I19" s="1114">
        <f>VAR(C4:C8)</f>
        <v>209</v>
      </c>
      <c r="J19" s="1114">
        <f>VAR(D4:D8)</f>
        <v>50.200000000000045</v>
      </c>
      <c r="K19" s="1233">
        <f>VAR(E4:E8)</f>
        <v>233.80000000000018</v>
      </c>
      <c r="L19">
        <f>VAR(B4:E8)</f>
        <v>240.36842105263159</v>
      </c>
    </row>
    <row r="20" spans="1:12">
      <c r="G20" t="str">
        <f>A9</f>
        <v>Psychol</v>
      </c>
      <c r="H20" s="625">
        <f>VAR(B9:B13)</f>
        <v>239.5</v>
      </c>
      <c r="I20" s="8">
        <f>VAR(C9:C13)</f>
        <v>291.29999999999995</v>
      </c>
      <c r="J20" s="8">
        <f>VAR(D9:D13)</f>
        <v>347</v>
      </c>
      <c r="K20" s="132">
        <f>VAR(E9:E13)</f>
        <v>58.7</v>
      </c>
      <c r="L20">
        <f>VAR(B9:E13)</f>
        <v>335.98947368421068</v>
      </c>
    </row>
    <row r="21" spans="1:12">
      <c r="G21" t="str">
        <f>A14</f>
        <v>Negot</v>
      </c>
      <c r="H21" s="1075">
        <f>VAR(B14:B18)</f>
        <v>347.69999999999982</v>
      </c>
      <c r="I21" s="1076">
        <f>VAR(C14:C18)</f>
        <v>375.80000000000018</v>
      </c>
      <c r="J21" s="1076">
        <f>VAR(D14:D18)</f>
        <v>53</v>
      </c>
      <c r="K21" s="1077">
        <f>VAR(E14:E18)</f>
        <v>22.799999999999997</v>
      </c>
      <c r="L21">
        <f>VAR(B14:E18)</f>
        <v>208.11578947368406</v>
      </c>
    </row>
    <row r="22" spans="1:12">
      <c r="H22">
        <f>VAR(B4:B18)</f>
        <v>296.85714285714283</v>
      </c>
      <c r="I22">
        <f>VAR(C4:C18)</f>
        <v>311.71428571428572</v>
      </c>
      <c r="J22">
        <f>VAR(D4:D18)</f>
        <v>329.39999999999992</v>
      </c>
      <c r="K22">
        <f>VAR(E4:E18)</f>
        <v>203.95238095238113</v>
      </c>
      <c r="L22">
        <f>VAR(B4:E18)</f>
        <v>281.3005649717515</v>
      </c>
    </row>
  </sheetData>
  <pageMargins left="0.7" right="0.7" top="0.75" bottom="0.75" header="0.3" footer="0.3"/>
  <pageSetup paperSize="9" orientation="portrait" verticalDpi="0" r:id="rId1"/>
  <ignoredErrors>
    <ignoredError sqref="H5:K7 H12:K14 H19:K21" formulaRange="1"/>
  </ignoredErrors>
</worksheet>
</file>

<file path=xl/worksheets/sheet271.xml><?xml version="1.0" encoding="utf-8"?>
<worksheet xmlns="http://schemas.openxmlformats.org/spreadsheetml/2006/main" xmlns:r="http://schemas.openxmlformats.org/officeDocument/2006/relationships">
  <sheetPr codeName="Sheet370"/>
  <dimension ref="A1:W32"/>
  <sheetViews>
    <sheetView workbookViewId="0"/>
  </sheetViews>
  <sheetFormatPr defaultRowHeight="14.4"/>
  <cols>
    <col min="1" max="9" width="10" customWidth="1"/>
    <col min="13" max="13" width="9.109375" customWidth="1"/>
    <col min="15" max="15" width="16.44140625" customWidth="1"/>
  </cols>
  <sheetData>
    <row r="1" spans="1:23">
      <c r="A1" s="1" t="s">
        <v>4137</v>
      </c>
    </row>
    <row r="2" spans="1:23">
      <c r="K2" s="19" t="s">
        <v>4151</v>
      </c>
      <c r="L2" s="19" t="s">
        <v>4152</v>
      </c>
      <c r="M2" s="19" t="s">
        <v>4153</v>
      </c>
    </row>
    <row r="3" spans="1:23">
      <c r="A3" s="1595" t="s">
        <v>4140</v>
      </c>
      <c r="B3" s="1553"/>
      <c r="C3" s="1553"/>
      <c r="D3" s="1595" t="s">
        <v>4138</v>
      </c>
      <c r="E3" s="1553"/>
      <c r="F3" s="1596"/>
      <c r="G3" s="1553" t="s">
        <v>4139</v>
      </c>
      <c r="H3" s="1553"/>
      <c r="I3" s="1596"/>
      <c r="K3" s="1236" t="e">
        <f t="array" aca="1" ref="K3:K32" ca="1">[1]!RESHAPE(A5:C14)</f>
        <v>#NAME?</v>
      </c>
      <c r="L3" s="1234" t="e">
        <f t="array" aca="1" ref="L3:L32" ca="1">[1]!RESHAPE(D5:F14)</f>
        <v>#NAME?</v>
      </c>
      <c r="M3" s="1237" t="e">
        <f t="array" aca="1" ref="M3:M32" ca="1">[1]!RESHAPE(G5:I14)</f>
        <v>#NAME?</v>
      </c>
      <c r="O3" t="s">
        <v>878</v>
      </c>
    </row>
    <row r="4" spans="1:23">
      <c r="A4" s="803" t="s">
        <v>4141</v>
      </c>
      <c r="B4" s="1504" t="s">
        <v>4142</v>
      </c>
      <c r="C4" s="948" t="s">
        <v>4143</v>
      </c>
      <c r="D4" s="803" t="s">
        <v>4144</v>
      </c>
      <c r="E4" s="1504" t="s">
        <v>4145</v>
      </c>
      <c r="F4" s="1504" t="s">
        <v>4146</v>
      </c>
      <c r="G4" s="803" t="s">
        <v>4147</v>
      </c>
      <c r="H4" s="1504" t="s">
        <v>4148</v>
      </c>
      <c r="I4" s="948" t="s">
        <v>4149</v>
      </c>
      <c r="K4" s="656" t="e">
        <f ca="1"/>
        <v>#NAME?</v>
      </c>
      <c r="L4" s="8" t="e">
        <f ca="1"/>
        <v>#NAME?</v>
      </c>
      <c r="M4" s="657" t="e">
        <f ca="1"/>
        <v>#NAME?</v>
      </c>
    </row>
    <row r="5" spans="1:23" ht="15" thickBot="1">
      <c r="A5" s="1236">
        <v>34</v>
      </c>
      <c r="B5" s="1234">
        <v>45</v>
      </c>
      <c r="C5" s="1237">
        <v>40</v>
      </c>
      <c r="D5" s="656">
        <v>46</v>
      </c>
      <c r="E5" s="8">
        <v>23</v>
      </c>
      <c r="F5" s="8">
        <v>75</v>
      </c>
      <c r="G5" s="656">
        <v>23</v>
      </c>
      <c r="H5" s="8">
        <v>75</v>
      </c>
      <c r="I5" s="657">
        <v>55</v>
      </c>
      <c r="K5" s="656" t="e">
        <f ca="1"/>
        <v>#NAME?</v>
      </c>
      <c r="L5" s="8" t="e">
        <f ca="1"/>
        <v>#NAME?</v>
      </c>
      <c r="M5" s="657" t="e">
        <f ca="1"/>
        <v>#NAME?</v>
      </c>
      <c r="O5" t="s">
        <v>879</v>
      </c>
      <c r="T5" t="s">
        <v>116</v>
      </c>
      <c r="U5">
        <v>0.05</v>
      </c>
    </row>
    <row r="6" spans="1:23" ht="15" thickTop="1">
      <c r="A6" s="656">
        <v>56</v>
      </c>
      <c r="B6" s="8">
        <v>76</v>
      </c>
      <c r="C6" s="657">
        <v>39</v>
      </c>
      <c r="D6" s="656">
        <v>32</v>
      </c>
      <c r="E6" s="66">
        <v>56</v>
      </c>
      <c r="F6" s="8">
        <v>57</v>
      </c>
      <c r="G6" s="680">
        <v>56</v>
      </c>
      <c r="H6" s="8">
        <v>57</v>
      </c>
      <c r="I6" s="657">
        <v>73</v>
      </c>
      <c r="K6" s="656" t="e">
        <f ca="1"/>
        <v>#NAME?</v>
      </c>
      <c r="L6" s="8" t="e">
        <f ca="1"/>
        <v>#NAME?</v>
      </c>
      <c r="M6" s="657" t="e">
        <f ca="1"/>
        <v>#NAME?</v>
      </c>
      <c r="O6" s="1151" t="s">
        <v>222</v>
      </c>
      <c r="P6" s="1151" t="s">
        <v>88</v>
      </c>
      <c r="Q6" s="1151" t="s">
        <v>87</v>
      </c>
      <c r="R6" s="1151" t="s">
        <v>76</v>
      </c>
      <c r="S6" s="1151" t="s">
        <v>223</v>
      </c>
      <c r="T6" s="1151" t="s">
        <v>578</v>
      </c>
      <c r="U6" s="1151" t="s">
        <v>183</v>
      </c>
      <c r="V6" s="1151" t="s">
        <v>744</v>
      </c>
      <c r="W6" s="1151" t="s">
        <v>745</v>
      </c>
    </row>
    <row r="7" spans="1:23">
      <c r="A7" s="656">
        <v>78</v>
      </c>
      <c r="B7" s="8">
        <v>65</v>
      </c>
      <c r="C7" s="657">
        <v>78</v>
      </c>
      <c r="D7" s="656">
        <v>56</v>
      </c>
      <c r="E7" s="66">
        <v>61</v>
      </c>
      <c r="F7" s="8">
        <v>63</v>
      </c>
      <c r="G7" s="680">
        <v>61</v>
      </c>
      <c r="H7" s="8">
        <v>63</v>
      </c>
      <c r="I7" s="657">
        <v>69</v>
      </c>
      <c r="K7" s="656" t="e">
        <f ca="1"/>
        <v>#NAME?</v>
      </c>
      <c r="L7" s="8" t="e">
        <f ca="1"/>
        <v>#NAME?</v>
      </c>
      <c r="M7" s="657" t="e">
        <f ca="1"/>
        <v>#NAME?</v>
      </c>
      <c r="O7" t="str">
        <f>K2</f>
        <v>Conflict</v>
      </c>
      <c r="P7">
        <f ca="1">COUNT(K3:K32)</f>
        <v>0</v>
      </c>
      <c r="Q7" t="e">
        <f ca="1">SUM(K3:K32)</f>
        <v>#NAME?</v>
      </c>
      <c r="R7" t="e">
        <f ca="1">AVERAGE(K3:K32)</f>
        <v>#NAME?</v>
      </c>
      <c r="S7" t="e">
        <f ca="1">VAR(K3:K32)</f>
        <v>#NAME?</v>
      </c>
      <c r="T7" t="e">
        <f ca="1">DEVSQ(K3:K32)</f>
        <v>#NAME?</v>
      </c>
      <c r="U7" t="e">
        <f ca="1">SQRT(R14/P7)</f>
        <v>#NAME?</v>
      </c>
      <c r="V7" t="e">
        <f ca="1">R7-U7*TINV(U5,P7-1)</f>
        <v>#NAME?</v>
      </c>
      <c r="W7" t="e">
        <f ca="1">R7+U7*TINV(U5,P7-1)</f>
        <v>#NAME?</v>
      </c>
    </row>
    <row r="8" spans="1:23">
      <c r="A8" s="656">
        <v>67</v>
      </c>
      <c r="B8" s="66">
        <v>52</v>
      </c>
      <c r="C8" s="657">
        <v>24</v>
      </c>
      <c r="D8" s="656">
        <v>52</v>
      </c>
      <c r="E8" s="66">
        <v>34</v>
      </c>
      <c r="F8" s="8">
        <v>25</v>
      </c>
      <c r="G8" s="680">
        <v>34</v>
      </c>
      <c r="H8" s="8">
        <v>25</v>
      </c>
      <c r="I8" s="657">
        <v>64</v>
      </c>
      <c r="K8" s="656" t="e">
        <f ca="1"/>
        <v>#NAME?</v>
      </c>
      <c r="L8" s="8" t="e">
        <f ca="1"/>
        <v>#NAME?</v>
      </c>
      <c r="M8" s="657" t="e">
        <f ca="1"/>
        <v>#NAME?</v>
      </c>
      <c r="O8" t="str">
        <f>L2</f>
        <v>Psychol</v>
      </c>
      <c r="P8">
        <f ca="1">COUNT(L3:L32)</f>
        <v>0</v>
      </c>
      <c r="Q8" t="e">
        <f ca="1">SUM(L3:L32)</f>
        <v>#NAME?</v>
      </c>
      <c r="R8" t="e">
        <f ca="1">AVERAGE(L3:L32)</f>
        <v>#NAME?</v>
      </c>
      <c r="S8" t="e">
        <f ca="1">VAR(L3:L32)</f>
        <v>#NAME?</v>
      </c>
      <c r="T8" t="e">
        <f ca="1">DEVSQ(L3:L32)</f>
        <v>#NAME?</v>
      </c>
      <c r="U8" t="e">
        <f ca="1">SQRT(R14/P8)</f>
        <v>#NAME?</v>
      </c>
      <c r="V8" t="e">
        <f ca="1">R8-U8*TINV(U5,P8-1)</f>
        <v>#NAME?</v>
      </c>
      <c r="W8" t="e">
        <f ca="1">R8+U8*TINV(U5,P8-1)</f>
        <v>#NAME?</v>
      </c>
    </row>
    <row r="9" spans="1:23">
      <c r="A9" s="656">
        <v>61</v>
      </c>
      <c r="B9" s="66">
        <v>23</v>
      </c>
      <c r="C9" s="657">
        <v>59</v>
      </c>
      <c r="D9" s="656">
        <v>79</v>
      </c>
      <c r="E9" s="66">
        <v>28</v>
      </c>
      <c r="F9" s="8">
        <v>60</v>
      </c>
      <c r="G9" s="680">
        <v>28</v>
      </c>
      <c r="H9" s="8">
        <v>60</v>
      </c>
      <c r="I9" s="657">
        <v>59</v>
      </c>
      <c r="K9" s="656" t="e">
        <f ca="1"/>
        <v>#NAME?</v>
      </c>
      <c r="L9" s="8" t="e">
        <f ca="1"/>
        <v>#NAME?</v>
      </c>
      <c r="M9" s="657" t="e">
        <f ca="1"/>
        <v>#NAME?</v>
      </c>
      <c r="O9" t="str">
        <f>M2</f>
        <v>Negotiat</v>
      </c>
      <c r="P9">
        <f ca="1">COUNT(M3:M32)</f>
        <v>0</v>
      </c>
      <c r="Q9" t="e">
        <f ca="1">SUM(M3:M32)</f>
        <v>#NAME?</v>
      </c>
      <c r="R9" t="e">
        <f ca="1">AVERAGE(M3:M32)</f>
        <v>#NAME?</v>
      </c>
      <c r="S9" t="e">
        <f ca="1">VAR(M3:M32)</f>
        <v>#NAME?</v>
      </c>
      <c r="T9" t="e">
        <f ca="1">DEVSQ(M3:M32)</f>
        <v>#NAME?</v>
      </c>
      <c r="U9" t="e">
        <f ca="1">SQRT(R14/P9)</f>
        <v>#NAME?</v>
      </c>
      <c r="V9" t="e">
        <f ca="1">R9-U9*TINV(U5,P9-1)</f>
        <v>#NAME?</v>
      </c>
      <c r="W9" t="e">
        <f ca="1">R9+U9*TINV(U5,P9-1)</f>
        <v>#NAME?</v>
      </c>
    </row>
    <row r="10" spans="1:23">
      <c r="A10" s="656">
        <v>48</v>
      </c>
      <c r="B10" s="66">
        <v>73</v>
      </c>
      <c r="C10" s="657">
        <v>53</v>
      </c>
      <c r="D10" s="656">
        <v>28</v>
      </c>
      <c r="E10" s="66">
        <v>35</v>
      </c>
      <c r="F10" s="8">
        <v>52</v>
      </c>
      <c r="G10" s="680">
        <v>35</v>
      </c>
      <c r="H10" s="8">
        <v>52</v>
      </c>
      <c r="I10" s="657">
        <v>62</v>
      </c>
      <c r="K10" s="656" t="e">
        <f ca="1"/>
        <v>#NAME?</v>
      </c>
      <c r="L10" s="8" t="e">
        <f ca="1"/>
        <v>#NAME?</v>
      </c>
      <c r="M10" s="657" t="e">
        <f ca="1"/>
        <v>#NAME?</v>
      </c>
      <c r="O10" s="1234"/>
      <c r="P10" s="1234"/>
      <c r="Q10" s="1234"/>
      <c r="R10" s="1234"/>
      <c r="S10" s="1234"/>
      <c r="T10" s="1234"/>
      <c r="U10" s="1234"/>
      <c r="V10" s="1234"/>
      <c r="W10" s="1234"/>
    </row>
    <row r="11" spans="1:23" ht="15" thickBot="1">
      <c r="A11" s="656">
        <v>72</v>
      </c>
      <c r="B11" s="66">
        <v>68</v>
      </c>
      <c r="C11" s="657">
        <v>51</v>
      </c>
      <c r="D11" s="656">
        <v>36</v>
      </c>
      <c r="E11" s="66">
        <v>30</v>
      </c>
      <c r="F11" s="8">
        <v>45</v>
      </c>
      <c r="G11" s="680">
        <v>30</v>
      </c>
      <c r="H11" s="8">
        <v>45</v>
      </c>
      <c r="I11" s="657">
        <v>67</v>
      </c>
      <c r="K11" s="656" t="e">
        <f ca="1"/>
        <v>#NAME?</v>
      </c>
      <c r="L11" s="8" t="e">
        <f ca="1"/>
        <v>#NAME?</v>
      </c>
      <c r="M11" s="657" t="e">
        <f ca="1"/>
        <v>#NAME?</v>
      </c>
      <c r="O11" t="s">
        <v>695</v>
      </c>
    </row>
    <row r="12" spans="1:23" ht="15" thickTop="1">
      <c r="A12" s="656">
        <v>51</v>
      </c>
      <c r="B12" s="66">
        <v>71</v>
      </c>
      <c r="C12" s="657">
        <v>32</v>
      </c>
      <c r="D12" s="656">
        <v>41</v>
      </c>
      <c r="E12" s="66">
        <v>46</v>
      </c>
      <c r="F12" s="8">
        <v>48</v>
      </c>
      <c r="G12" s="680">
        <v>46</v>
      </c>
      <c r="H12" s="8">
        <v>48</v>
      </c>
      <c r="I12" s="657">
        <v>31</v>
      </c>
      <c r="K12" s="656" t="e">
        <f ca="1"/>
        <v>#NAME?</v>
      </c>
      <c r="L12" s="8" t="e">
        <f ca="1"/>
        <v>#NAME?</v>
      </c>
      <c r="M12" s="657" t="e">
        <f ca="1"/>
        <v>#NAME?</v>
      </c>
      <c r="O12" s="1151" t="s">
        <v>880</v>
      </c>
      <c r="P12" s="1151" t="s">
        <v>578</v>
      </c>
      <c r="Q12" s="1151" t="s">
        <v>186</v>
      </c>
      <c r="R12" s="1151" t="s">
        <v>641</v>
      </c>
      <c r="S12" s="1151" t="s">
        <v>388</v>
      </c>
      <c r="T12" s="1151" t="s">
        <v>881</v>
      </c>
      <c r="U12" s="1151" t="s">
        <v>888</v>
      </c>
      <c r="V12" s="1151" t="s">
        <v>1932</v>
      </c>
      <c r="W12" s="1151" t="s">
        <v>1933</v>
      </c>
    </row>
    <row r="13" spans="1:23">
      <c r="A13" s="656">
        <v>52</v>
      </c>
      <c r="B13" s="66">
        <v>59</v>
      </c>
      <c r="C13" s="657">
        <v>41</v>
      </c>
      <c r="D13" s="656">
        <v>64</v>
      </c>
      <c r="E13" s="66">
        <v>41</v>
      </c>
      <c r="F13" s="8">
        <v>38</v>
      </c>
      <c r="G13" s="680">
        <v>41</v>
      </c>
      <c r="H13" s="8">
        <v>38</v>
      </c>
      <c r="I13" s="657">
        <v>48</v>
      </c>
      <c r="K13" s="656" t="e">
        <f ca="1"/>
        <v>#NAME?</v>
      </c>
      <c r="L13" s="8" t="e">
        <f ca="1"/>
        <v>#NAME?</v>
      </c>
      <c r="M13" s="657" t="e">
        <f ca="1"/>
        <v>#NAME?</v>
      </c>
      <c r="O13" t="s">
        <v>883</v>
      </c>
      <c r="P13" t="e">
        <f ca="1">P15-P14</f>
        <v>#NAME?</v>
      </c>
      <c r="Q13">
        <f>COUNTA(O7:O9)-1</f>
        <v>2</v>
      </c>
      <c r="R13" t="e">
        <f ca="1">P13/Q13</f>
        <v>#NAME?</v>
      </c>
      <c r="S13" t="e">
        <f ca="1">R13/R14</f>
        <v>#NAME?</v>
      </c>
      <c r="T13" t="e">
        <f ca="1">FDIST(S13,Q13,Q14)</f>
        <v>#NAME?</v>
      </c>
      <c r="U13" t="e">
        <f ca="1">FINV(U5,Q13,Q14)</f>
        <v>#NUM!</v>
      </c>
      <c r="V13" t="e">
        <f ca="1">SQRT(DEVSQ(R7:R9)/(R14*Q13))</f>
        <v>#NAME?</v>
      </c>
      <c r="W13" t="e">
        <f ca="1">(P15-Q15*R14)/(P15+R14)</f>
        <v>#NAME?</v>
      </c>
    </row>
    <row r="14" spans="1:23">
      <c r="A14" s="533">
        <v>60</v>
      </c>
      <c r="B14" s="1078">
        <v>80</v>
      </c>
      <c r="C14" s="541">
        <v>45</v>
      </c>
      <c r="D14" s="533">
        <v>37</v>
      </c>
      <c r="E14" s="1078">
        <v>34</v>
      </c>
      <c r="F14" s="1078">
        <v>26</v>
      </c>
      <c r="G14" s="533">
        <v>34</v>
      </c>
      <c r="H14" s="1078">
        <v>26</v>
      </c>
      <c r="I14" s="541">
        <v>75</v>
      </c>
      <c r="K14" s="656" t="e">
        <f ca="1"/>
        <v>#NAME?</v>
      </c>
      <c r="L14" s="8" t="e">
        <f ca="1"/>
        <v>#NAME?</v>
      </c>
      <c r="M14" s="657" t="e">
        <f ca="1"/>
        <v>#NAME?</v>
      </c>
      <c r="O14" t="s">
        <v>884</v>
      </c>
      <c r="P14" t="e">
        <f ca="1">SUM(T7:T9)</f>
        <v>#NAME?</v>
      </c>
      <c r="Q14">
        <f ca="1">Q15-Q13</f>
        <v>-3</v>
      </c>
      <c r="R14" t="e">
        <f ca="1">P14/Q14</f>
        <v>#NAME?</v>
      </c>
    </row>
    <row r="15" spans="1:23">
      <c r="A15">
        <f t="shared" ref="A15:I15" si="0">AVERAGE(A5:A14)</f>
        <v>57.9</v>
      </c>
      <c r="B15">
        <f t="shared" si="0"/>
        <v>61.2</v>
      </c>
      <c r="C15">
        <f t="shared" si="0"/>
        <v>46.2</v>
      </c>
      <c r="D15">
        <f t="shared" si="0"/>
        <v>47.1</v>
      </c>
      <c r="E15">
        <f t="shared" si="0"/>
        <v>38.799999999999997</v>
      </c>
      <c r="F15">
        <f t="shared" si="0"/>
        <v>48.9</v>
      </c>
      <c r="G15">
        <f t="shared" si="0"/>
        <v>38.799999999999997</v>
      </c>
      <c r="H15">
        <f t="shared" si="0"/>
        <v>48.9</v>
      </c>
      <c r="I15">
        <f t="shared" si="0"/>
        <v>60.3</v>
      </c>
      <c r="K15" s="656" t="e">
        <f ca="1"/>
        <v>#NAME?</v>
      </c>
      <c r="L15" s="8" t="e">
        <f ca="1"/>
        <v>#NAME?</v>
      </c>
      <c r="M15" s="657" t="e">
        <f ca="1"/>
        <v>#NAME?</v>
      </c>
      <c r="O15" s="1078" t="s">
        <v>12</v>
      </c>
      <c r="P15" s="1078" t="e">
        <f ca="1">DEVSQ(K3:M32)</f>
        <v>#NAME?</v>
      </c>
      <c r="Q15" s="1078">
        <f ca="1">COUNT(K3:M32)-1</f>
        <v>-1</v>
      </c>
      <c r="R15" s="1078" t="e">
        <f ca="1">P15/Q15</f>
        <v>#NAME?</v>
      </c>
      <c r="S15" s="1078"/>
      <c r="T15" s="1078"/>
      <c r="U15" s="1078"/>
      <c r="V15" s="1078"/>
      <c r="W15" s="1078"/>
    </row>
    <row r="16" spans="1:23">
      <c r="K16" s="656" t="e">
        <f ca="1"/>
        <v>#NAME?</v>
      </c>
      <c r="L16" s="8" t="e">
        <f ca="1"/>
        <v>#NAME?</v>
      </c>
      <c r="M16" s="657" t="e">
        <f ca="1"/>
        <v>#NAME?</v>
      </c>
    </row>
    <row r="17" spans="11:13">
      <c r="K17" s="656" t="e">
        <f ca="1"/>
        <v>#NAME?</v>
      </c>
      <c r="L17" s="8" t="e">
        <f ca="1"/>
        <v>#NAME?</v>
      </c>
      <c r="M17" s="657" t="e">
        <f ca="1"/>
        <v>#NAME?</v>
      </c>
    </row>
    <row r="18" spans="11:13">
      <c r="K18" s="656" t="e">
        <f ca="1"/>
        <v>#NAME?</v>
      </c>
      <c r="L18" s="8" t="e">
        <f ca="1"/>
        <v>#NAME?</v>
      </c>
      <c r="M18" s="657" t="e">
        <f ca="1"/>
        <v>#NAME?</v>
      </c>
    </row>
    <row r="19" spans="11:13">
      <c r="K19" s="656" t="e">
        <f ca="1"/>
        <v>#NAME?</v>
      </c>
      <c r="L19" s="8" t="e">
        <f ca="1"/>
        <v>#NAME?</v>
      </c>
      <c r="M19" s="657" t="e">
        <f ca="1"/>
        <v>#NAME?</v>
      </c>
    </row>
    <row r="20" spans="11:13">
      <c r="K20" s="656" t="e">
        <f ca="1"/>
        <v>#NAME?</v>
      </c>
      <c r="L20" s="8" t="e">
        <f ca="1"/>
        <v>#NAME?</v>
      </c>
      <c r="M20" s="657" t="e">
        <f ca="1"/>
        <v>#NAME?</v>
      </c>
    </row>
    <row r="21" spans="11:13">
      <c r="K21" s="656" t="e">
        <f ca="1"/>
        <v>#NAME?</v>
      </c>
      <c r="L21" s="8" t="e">
        <f ca="1"/>
        <v>#NAME?</v>
      </c>
      <c r="M21" s="657" t="e">
        <f ca="1"/>
        <v>#NAME?</v>
      </c>
    </row>
    <row r="22" spans="11:13">
      <c r="K22" s="656" t="e">
        <f ca="1"/>
        <v>#NAME?</v>
      </c>
      <c r="L22" s="8" t="e">
        <f ca="1"/>
        <v>#NAME?</v>
      </c>
      <c r="M22" s="657" t="e">
        <f ca="1"/>
        <v>#NAME?</v>
      </c>
    </row>
    <row r="23" spans="11:13">
      <c r="K23" s="656" t="e">
        <f ca="1"/>
        <v>#NAME?</v>
      </c>
      <c r="L23" s="8" t="e">
        <f ca="1"/>
        <v>#NAME?</v>
      </c>
      <c r="M23" s="657" t="e">
        <f ca="1"/>
        <v>#NAME?</v>
      </c>
    </row>
    <row r="24" spans="11:13">
      <c r="K24" s="656" t="e">
        <f ca="1"/>
        <v>#NAME?</v>
      </c>
      <c r="L24" s="8" t="e">
        <f ca="1"/>
        <v>#NAME?</v>
      </c>
      <c r="M24" s="657" t="e">
        <f ca="1"/>
        <v>#NAME?</v>
      </c>
    </row>
    <row r="25" spans="11:13">
      <c r="K25" s="656" t="e">
        <f ca="1"/>
        <v>#NAME?</v>
      </c>
      <c r="L25" s="8" t="e">
        <f ca="1"/>
        <v>#NAME?</v>
      </c>
      <c r="M25" s="657" t="e">
        <f ca="1"/>
        <v>#NAME?</v>
      </c>
    </row>
    <row r="26" spans="11:13">
      <c r="K26" s="656" t="e">
        <f ca="1"/>
        <v>#NAME?</v>
      </c>
      <c r="L26" s="8" t="e">
        <f ca="1"/>
        <v>#NAME?</v>
      </c>
      <c r="M26" s="657" t="e">
        <f ca="1"/>
        <v>#NAME?</v>
      </c>
    </row>
    <row r="27" spans="11:13">
      <c r="K27" s="656" t="e">
        <f ca="1"/>
        <v>#NAME?</v>
      </c>
      <c r="L27" s="8" t="e">
        <f ca="1"/>
        <v>#NAME?</v>
      </c>
      <c r="M27" s="657" t="e">
        <f ca="1"/>
        <v>#NAME?</v>
      </c>
    </row>
    <row r="28" spans="11:13">
      <c r="K28" s="656" t="e">
        <f ca="1"/>
        <v>#NAME?</v>
      </c>
      <c r="L28" s="8" t="e">
        <f ca="1"/>
        <v>#NAME?</v>
      </c>
      <c r="M28" s="657" t="e">
        <f ca="1"/>
        <v>#NAME?</v>
      </c>
    </row>
    <row r="29" spans="11:13">
      <c r="K29" s="656" t="e">
        <f ca="1"/>
        <v>#NAME?</v>
      </c>
      <c r="L29" s="8" t="e">
        <f ca="1"/>
        <v>#NAME?</v>
      </c>
      <c r="M29" s="657" t="e">
        <f ca="1"/>
        <v>#NAME?</v>
      </c>
    </row>
    <row r="30" spans="11:13">
      <c r="K30" s="656" t="e">
        <f ca="1"/>
        <v>#NAME?</v>
      </c>
      <c r="L30" s="8" t="e">
        <f ca="1"/>
        <v>#NAME?</v>
      </c>
      <c r="M30" s="657" t="e">
        <f ca="1"/>
        <v>#NAME?</v>
      </c>
    </row>
    <row r="31" spans="11:13">
      <c r="K31" s="656" t="e">
        <f ca="1"/>
        <v>#NAME?</v>
      </c>
      <c r="L31" s="8" t="e">
        <f ca="1"/>
        <v>#NAME?</v>
      </c>
      <c r="M31" s="657" t="e">
        <f ca="1"/>
        <v>#NAME?</v>
      </c>
    </row>
    <row r="32" spans="11:13">
      <c r="K32" s="533" t="e">
        <f ca="1"/>
        <v>#NAME?</v>
      </c>
      <c r="L32" s="1078" t="e">
        <f ca="1"/>
        <v>#NAME?</v>
      </c>
      <c r="M32" s="541" t="e">
        <f ca="1"/>
        <v>#NAME?</v>
      </c>
    </row>
  </sheetData>
  <mergeCells count="3">
    <mergeCell ref="A3:C3"/>
    <mergeCell ref="D3:F3"/>
    <mergeCell ref="G3:I3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sheetPr codeName="Sheet375"/>
  <dimension ref="A1:R33"/>
  <sheetViews>
    <sheetView topLeftCell="A3" workbookViewId="0">
      <selection activeCell="AA28" sqref="AA28"/>
    </sheetView>
  </sheetViews>
  <sheetFormatPr defaultRowHeight="14.4"/>
  <cols>
    <col min="6" max="11" width="0" hidden="1" customWidth="1"/>
    <col min="12" max="12" width="10.33203125" customWidth="1"/>
  </cols>
  <sheetData>
    <row r="1" spans="1:18">
      <c r="A1" s="1" t="s">
        <v>4195</v>
      </c>
    </row>
    <row r="3" spans="1:18">
      <c r="B3" s="1522" t="s">
        <v>4154</v>
      </c>
      <c r="C3" s="1521" t="s">
        <v>4155</v>
      </c>
      <c r="D3" s="1523" t="s">
        <v>4156</v>
      </c>
      <c r="F3" t="s">
        <v>95</v>
      </c>
      <c r="L3" t="s">
        <v>2827</v>
      </c>
    </row>
    <row r="4" spans="1:18">
      <c r="A4" s="1235" t="s">
        <v>4151</v>
      </c>
      <c r="B4" s="1236">
        <v>34</v>
      </c>
      <c r="C4" s="1234">
        <v>45</v>
      </c>
      <c r="D4" s="1237">
        <v>40</v>
      </c>
    </row>
    <row r="5" spans="1:18" ht="15" thickBot="1">
      <c r="A5" s="627"/>
      <c r="B5" s="656">
        <v>56</v>
      </c>
      <c r="C5" s="8">
        <v>76</v>
      </c>
      <c r="D5" s="657">
        <v>39</v>
      </c>
      <c r="F5" t="s">
        <v>2821</v>
      </c>
      <c r="G5" t="str">
        <f>IF(COUNTIF(G7:I9,G7)=COUNT(G7:I9),"balanced","unbalanced")</f>
        <v>balanced</v>
      </c>
      <c r="L5" t="s">
        <v>695</v>
      </c>
      <c r="P5" s="1520" t="s">
        <v>116</v>
      </c>
      <c r="Q5" s="1520">
        <v>0.05</v>
      </c>
    </row>
    <row r="6" spans="1:18" ht="15" thickTop="1">
      <c r="A6" s="627"/>
      <c r="B6" s="656">
        <v>78</v>
      </c>
      <c r="C6" s="8">
        <v>65</v>
      </c>
      <c r="D6" s="657">
        <v>78</v>
      </c>
      <c r="G6" s="1520" t="str">
        <f>B3</f>
        <v>Office A</v>
      </c>
      <c r="H6" s="1520" t="str">
        <f>C3</f>
        <v>Office B</v>
      </c>
      <c r="I6" s="1520" t="str">
        <f>D3</f>
        <v>Office C</v>
      </c>
      <c r="L6" s="1151"/>
      <c r="M6" s="1151" t="s">
        <v>578</v>
      </c>
      <c r="N6" s="1151" t="s">
        <v>186</v>
      </c>
      <c r="O6" s="1151" t="s">
        <v>641</v>
      </c>
      <c r="P6" s="1151" t="s">
        <v>388</v>
      </c>
      <c r="Q6" s="1151" t="s">
        <v>200</v>
      </c>
      <c r="R6" s="1151" t="s">
        <v>948</v>
      </c>
    </row>
    <row r="7" spans="1:18">
      <c r="A7" s="627"/>
      <c r="B7" s="656">
        <v>67</v>
      </c>
      <c r="C7" s="66">
        <v>52</v>
      </c>
      <c r="D7" s="657">
        <v>24</v>
      </c>
      <c r="F7" t="str">
        <f>A4</f>
        <v>Conflict</v>
      </c>
      <c r="G7" s="1232">
        <f>COUNT(B4:B13)</f>
        <v>10</v>
      </c>
      <c r="H7" s="1114">
        <f>COUNT(C4:C13)</f>
        <v>10</v>
      </c>
      <c r="I7" s="1233">
        <f>COUNT(D4:D13)</f>
        <v>10</v>
      </c>
      <c r="J7">
        <f>COUNT(B4:D13)</f>
        <v>30</v>
      </c>
      <c r="L7" t="s">
        <v>390</v>
      </c>
      <c r="M7">
        <f>DEVSQ(J14:J16)*J7</f>
        <v>1559.7555555555568</v>
      </c>
      <c r="N7">
        <f>COUNT(J14:J16)-1</f>
        <v>2</v>
      </c>
      <c r="O7">
        <f>M7/N7</f>
        <v>779.87777777777842</v>
      </c>
      <c r="P7">
        <f>O7/O10</f>
        <v>3.6459503292720257</v>
      </c>
      <c r="Q7">
        <f>FDIST(P7,N7,N10)</f>
        <v>3.0468297868075922E-2</v>
      </c>
      <c r="R7" s="1520" t="str">
        <f>IF(Q7&lt;Q5,"yes","no")</f>
        <v>yes</v>
      </c>
    </row>
    <row r="8" spans="1:18">
      <c r="A8" s="627"/>
      <c r="B8" s="656">
        <v>61</v>
      </c>
      <c r="C8" s="66">
        <v>23</v>
      </c>
      <c r="D8" s="657">
        <v>59</v>
      </c>
      <c r="F8" t="str">
        <f>A14</f>
        <v>Psychol</v>
      </c>
      <c r="G8" s="625">
        <f>COUNT(B14:B23)</f>
        <v>10</v>
      </c>
      <c r="H8" s="8">
        <f>COUNT(C14:C23)</f>
        <v>10</v>
      </c>
      <c r="I8" s="132">
        <f>COUNT(D14:D23)</f>
        <v>10</v>
      </c>
      <c r="J8">
        <f>COUNT(B14:D23)</f>
        <v>30</v>
      </c>
      <c r="L8" t="s">
        <v>1010</v>
      </c>
      <c r="M8">
        <f>DEVSQ(G17:I17)*G10</f>
        <v>225.35555555555558</v>
      </c>
      <c r="N8">
        <f>COUNT(G17:I17)-1</f>
        <v>2</v>
      </c>
      <c r="O8">
        <f>M8/N8</f>
        <v>112.67777777777779</v>
      </c>
      <c r="P8">
        <f>O8/O10</f>
        <v>0.52677174897986268</v>
      </c>
      <c r="Q8">
        <f>FDIST(P8,N8,N10)</f>
        <v>0.59251719577672746</v>
      </c>
      <c r="R8" s="1520" t="str">
        <f>IF(Q8&lt;Q5,"yes","no")</f>
        <v>no</v>
      </c>
    </row>
    <row r="9" spans="1:18">
      <c r="A9" s="627"/>
      <c r="B9" s="656">
        <v>48</v>
      </c>
      <c r="C9" s="66">
        <v>73</v>
      </c>
      <c r="D9" s="657">
        <v>53</v>
      </c>
      <c r="F9" t="str">
        <f>A24</f>
        <v>Negot</v>
      </c>
      <c r="G9" s="1075">
        <f>COUNT(B24:B33)</f>
        <v>10</v>
      </c>
      <c r="H9" s="1076">
        <f>COUNT(C24:C33)</f>
        <v>10</v>
      </c>
      <c r="I9" s="1077">
        <f>COUNT(D24:D33)</f>
        <v>10</v>
      </c>
      <c r="J9">
        <f>COUNT(B24:D33)</f>
        <v>30</v>
      </c>
      <c r="L9" t="s">
        <v>2089</v>
      </c>
      <c r="M9">
        <f>M11-M7-M8-M10</f>
        <v>3911.7777777777701</v>
      </c>
      <c r="N9">
        <f>N8*N7</f>
        <v>4</v>
      </c>
      <c r="O9">
        <f>M9/N9</f>
        <v>977.94444444444252</v>
      </c>
      <c r="P9">
        <f>O9/O10</f>
        <v>4.571917511730847</v>
      </c>
      <c r="Q9">
        <f>FDIST(P9,N9,N10)</f>
        <v>2.2219531604923833E-3</v>
      </c>
      <c r="R9" s="1520" t="str">
        <f>IF(Q9&lt;Q5,"yes","no")</f>
        <v>yes</v>
      </c>
    </row>
    <row r="10" spans="1:18">
      <c r="A10" s="627"/>
      <c r="B10" s="656">
        <v>72</v>
      </c>
      <c r="C10" s="66">
        <v>68</v>
      </c>
      <c r="D10" s="657">
        <v>51</v>
      </c>
      <c r="G10">
        <f>COUNT(B4:B33)</f>
        <v>30</v>
      </c>
      <c r="H10">
        <f>COUNT(C4:C33)</f>
        <v>30</v>
      </c>
      <c r="I10">
        <f>COUNT(D4:D33)</f>
        <v>30</v>
      </c>
      <c r="J10">
        <f>COUNT(B4:D33)</f>
        <v>90</v>
      </c>
      <c r="L10" t="s">
        <v>1021</v>
      </c>
      <c r="M10">
        <f>SUM(G21:I23)*(G7-1)</f>
        <v>17326.100000000002</v>
      </c>
      <c r="N10">
        <f>N11-N7-N8-N9</f>
        <v>81</v>
      </c>
      <c r="O10">
        <f>M10/N10</f>
        <v>213.90246913580251</v>
      </c>
    </row>
    <row r="11" spans="1:18">
      <c r="A11" s="627"/>
      <c r="B11" s="656">
        <v>51</v>
      </c>
      <c r="C11" s="66">
        <v>71</v>
      </c>
      <c r="D11" s="657">
        <v>32</v>
      </c>
      <c r="L11" s="1078" t="s">
        <v>12</v>
      </c>
      <c r="M11" s="1078">
        <f>O11*N11</f>
        <v>23022.988888888882</v>
      </c>
      <c r="N11" s="1078">
        <f>J10-1</f>
        <v>89</v>
      </c>
      <c r="O11" s="1078">
        <f>J24</f>
        <v>258.68526841448181</v>
      </c>
      <c r="P11" s="1078"/>
      <c r="Q11" s="1078"/>
      <c r="R11" s="1078"/>
    </row>
    <row r="12" spans="1:18">
      <c r="A12" s="627"/>
      <c r="B12" s="656">
        <v>52</v>
      </c>
      <c r="C12" s="66">
        <v>59</v>
      </c>
      <c r="D12" s="657">
        <v>41</v>
      </c>
      <c r="F12" t="s">
        <v>1031</v>
      </c>
    </row>
    <row r="13" spans="1:18">
      <c r="A13" s="627"/>
      <c r="B13" s="533">
        <v>60</v>
      </c>
      <c r="C13" s="1078">
        <v>80</v>
      </c>
      <c r="D13" s="541">
        <v>45</v>
      </c>
      <c r="G13" s="1520" t="str">
        <f>B3</f>
        <v>Office A</v>
      </c>
      <c r="H13" s="1520" t="str">
        <f>C3</f>
        <v>Office B</v>
      </c>
      <c r="I13" s="1520" t="str">
        <f>D3</f>
        <v>Office C</v>
      </c>
      <c r="L13" t="s">
        <v>4176</v>
      </c>
    </row>
    <row r="14" spans="1:18">
      <c r="A14" s="1235" t="s">
        <v>4152</v>
      </c>
      <c r="B14" s="1236">
        <v>46</v>
      </c>
      <c r="C14" s="1234">
        <v>23</v>
      </c>
      <c r="D14" s="1237">
        <v>75</v>
      </c>
      <c r="F14" t="str">
        <f>A4</f>
        <v>Conflict</v>
      </c>
      <c r="G14" s="1232">
        <f>AVERAGE(B4:B13)</f>
        <v>57.9</v>
      </c>
      <c r="H14" s="1114">
        <f>AVERAGE(C4:C13)</f>
        <v>61.2</v>
      </c>
      <c r="I14" s="1233">
        <f>AVERAGE(D4:D13)</f>
        <v>46.2</v>
      </c>
      <c r="J14">
        <f>AVERAGE(B4:D13)</f>
        <v>55.1</v>
      </c>
    </row>
    <row r="15" spans="1:18" ht="15" thickBot="1">
      <c r="A15" s="627"/>
      <c r="B15" s="656">
        <v>32</v>
      </c>
      <c r="C15" s="66">
        <v>56</v>
      </c>
      <c r="D15" s="657">
        <v>57</v>
      </c>
      <c r="F15" t="str">
        <f>A14</f>
        <v>Psychol</v>
      </c>
      <c r="G15" s="625">
        <f>AVERAGE(B14:B23)</f>
        <v>47.1</v>
      </c>
      <c r="H15" s="8">
        <f>AVERAGE(C14:C23)</f>
        <v>38.799999999999997</v>
      </c>
      <c r="I15" s="132">
        <f>AVERAGE(D14:D23)</f>
        <v>48.9</v>
      </c>
      <c r="J15">
        <f>AVERAGE(B14:D23)</f>
        <v>44.93333333333333</v>
      </c>
      <c r="L15" t="s">
        <v>695</v>
      </c>
      <c r="P15" s="1520" t="s">
        <v>116</v>
      </c>
      <c r="Q15" s="1520">
        <v>0.05</v>
      </c>
    </row>
    <row r="16" spans="1:18" ht="15" thickTop="1">
      <c r="A16" s="627"/>
      <c r="B16" s="656">
        <v>56</v>
      </c>
      <c r="C16" s="66">
        <v>61</v>
      </c>
      <c r="D16" s="657">
        <v>63</v>
      </c>
      <c r="F16" t="str">
        <f>A24</f>
        <v>Negot</v>
      </c>
      <c r="G16" s="1075">
        <f>AVERAGE(B24:B33)</f>
        <v>38.799999999999997</v>
      </c>
      <c r="H16" s="1076">
        <f>AVERAGE(C24:C33)</f>
        <v>48.9</v>
      </c>
      <c r="I16" s="1077">
        <f>AVERAGE(D24:D33)</f>
        <v>60.3</v>
      </c>
      <c r="J16">
        <f>AVERAGE(B24:D33)</f>
        <v>49.333333333333336</v>
      </c>
      <c r="L16" s="1151"/>
      <c r="M16" s="1151" t="s">
        <v>578</v>
      </c>
      <c r="N16" s="1151" t="s">
        <v>186</v>
      </c>
      <c r="O16" s="1151" t="s">
        <v>641</v>
      </c>
      <c r="P16" s="1151" t="s">
        <v>388</v>
      </c>
      <c r="Q16" s="1151" t="s">
        <v>200</v>
      </c>
      <c r="R16" s="1151" t="s">
        <v>948</v>
      </c>
    </row>
    <row r="17" spans="1:18">
      <c r="A17" s="627"/>
      <c r="B17" s="656">
        <v>52</v>
      </c>
      <c r="C17" s="66">
        <v>34</v>
      </c>
      <c r="D17" s="657">
        <v>25</v>
      </c>
      <c r="G17">
        <f>AVERAGE(B4:B33)</f>
        <v>47.93333333333333</v>
      </c>
      <c r="H17">
        <f>AVERAGE(C4:C33)</f>
        <v>49.633333333333333</v>
      </c>
      <c r="I17">
        <f>AVERAGE(D4:D33)</f>
        <v>51.8</v>
      </c>
      <c r="J17">
        <f>AVERAGE(B4:D33)</f>
        <v>49.788888888888891</v>
      </c>
      <c r="L17" t="s">
        <v>390</v>
      </c>
      <c r="M17">
        <f>M7</f>
        <v>1559.7555555555568</v>
      </c>
      <c r="N17">
        <f>N7</f>
        <v>2</v>
      </c>
      <c r="O17">
        <f>M17/N17</f>
        <v>779.87777777777842</v>
      </c>
      <c r="P17">
        <f>O17/O18</f>
        <v>1.1310408173131183</v>
      </c>
      <c r="Q17">
        <f>FDIST(P17,N17,N18)</f>
        <v>0.38298812278184158</v>
      </c>
      <c r="R17" s="1520" t="str">
        <f>IF(Q17&lt;Q15,"yes","no")</f>
        <v>no</v>
      </c>
    </row>
    <row r="18" spans="1:18">
      <c r="A18" s="627"/>
      <c r="B18" s="656">
        <v>79</v>
      </c>
      <c r="C18" s="66">
        <v>28</v>
      </c>
      <c r="D18" s="657">
        <v>60</v>
      </c>
      <c r="L18" t="s">
        <v>4177</v>
      </c>
      <c r="M18">
        <f>M8+M9</f>
        <v>4137.1333333333259</v>
      </c>
      <c r="N18">
        <f>N8+N9</f>
        <v>6</v>
      </c>
      <c r="O18">
        <f>M18/N18</f>
        <v>689.52222222222099</v>
      </c>
      <c r="P18">
        <f>O18/O19</f>
        <v>3.2235355908138525</v>
      </c>
      <c r="Q18">
        <f>FDIST(P18,N18,N19)</f>
        <v>6.8567138371657876E-3</v>
      </c>
      <c r="R18" s="1520" t="str">
        <f>IF(Q18&lt;Q15,"yes","no")</f>
        <v>yes</v>
      </c>
    </row>
    <row r="19" spans="1:18">
      <c r="A19" s="627"/>
      <c r="B19" s="656">
        <v>28</v>
      </c>
      <c r="C19" s="66">
        <v>35</v>
      </c>
      <c r="D19" s="657">
        <v>52</v>
      </c>
      <c r="F19" t="s">
        <v>2822</v>
      </c>
      <c r="L19" t="s">
        <v>1021</v>
      </c>
      <c r="M19">
        <f>M10</f>
        <v>17326.100000000002</v>
      </c>
      <c r="N19">
        <f>N10</f>
        <v>81</v>
      </c>
      <c r="O19">
        <f>M19/N19</f>
        <v>213.90246913580251</v>
      </c>
    </row>
    <row r="20" spans="1:18">
      <c r="A20" s="627"/>
      <c r="B20" s="656">
        <v>36</v>
      </c>
      <c r="C20" s="66">
        <v>30</v>
      </c>
      <c r="D20" s="657">
        <v>45</v>
      </c>
      <c r="G20" s="1520" t="str">
        <f>B3</f>
        <v>Office A</v>
      </c>
      <c r="H20" s="1520" t="str">
        <f>C3</f>
        <v>Office B</v>
      </c>
      <c r="I20" s="1520" t="str">
        <f>D3</f>
        <v>Office C</v>
      </c>
      <c r="L20" s="1078" t="s">
        <v>12</v>
      </c>
      <c r="M20" s="1078">
        <f>M11</f>
        <v>23022.988888888882</v>
      </c>
      <c r="N20" s="1078">
        <f>N11</f>
        <v>89</v>
      </c>
      <c r="O20" s="1078">
        <f>M20/N20</f>
        <v>258.68526841448181</v>
      </c>
      <c r="P20" s="1078"/>
      <c r="Q20" s="1078"/>
      <c r="R20" s="1078"/>
    </row>
    <row r="21" spans="1:18">
      <c r="A21" s="627"/>
      <c r="B21" s="656">
        <v>41</v>
      </c>
      <c r="C21" s="66">
        <v>46</v>
      </c>
      <c r="D21" s="657">
        <v>48</v>
      </c>
      <c r="F21" t="str">
        <f>A4</f>
        <v>Conflict</v>
      </c>
      <c r="G21" s="1232">
        <f>VAR(B4:B13)</f>
        <v>161.65555555555571</v>
      </c>
      <c r="H21" s="1114">
        <f>VAR(C4:C13)</f>
        <v>297.73333333333318</v>
      </c>
      <c r="I21" s="1233">
        <f>VAR(D4:D13)</f>
        <v>228.62222222222206</v>
      </c>
      <c r="J21">
        <f>VAR(B4:D13)</f>
        <v>256.36896551724129</v>
      </c>
    </row>
    <row r="22" spans="1:18">
      <c r="A22" s="627"/>
      <c r="B22" s="656">
        <v>64</v>
      </c>
      <c r="C22" s="66">
        <v>41</v>
      </c>
      <c r="D22" s="657">
        <v>38</v>
      </c>
      <c r="F22" t="str">
        <f>A14</f>
        <v>Psychol</v>
      </c>
      <c r="G22" s="625">
        <f>VAR(B14:B23)</f>
        <v>251.43333333333351</v>
      </c>
      <c r="H22" s="8">
        <f>VAR(C14:C23)</f>
        <v>149.95555555555561</v>
      </c>
      <c r="I22" s="132">
        <f>VAR(D14:D23)</f>
        <v>256.54444444444459</v>
      </c>
      <c r="J22">
        <f>VAR(B14:D23)</f>
        <v>224.20229885057478</v>
      </c>
    </row>
    <row r="23" spans="1:18">
      <c r="A23" s="544"/>
      <c r="B23" s="533">
        <v>37</v>
      </c>
      <c r="C23" s="1078">
        <v>34</v>
      </c>
      <c r="D23" s="541">
        <v>26</v>
      </c>
      <c r="F23" t="str">
        <f>A24</f>
        <v>Negot</v>
      </c>
      <c r="G23" s="1075">
        <f>VAR(B24:B33)</f>
        <v>149.95555555555561</v>
      </c>
      <c r="H23" s="1076">
        <f>VAR(C24:C33)</f>
        <v>256.54444444444459</v>
      </c>
      <c r="I23" s="1077">
        <f>VAR(D24:D33)</f>
        <v>172.67777777777761</v>
      </c>
      <c r="J23">
        <f>VAR(B24:D33)</f>
        <v>259.54022988505761</v>
      </c>
    </row>
    <row r="24" spans="1:18">
      <c r="A24" s="627" t="s">
        <v>4150</v>
      </c>
      <c r="B24" s="656">
        <v>23</v>
      </c>
      <c r="C24" s="8">
        <v>75</v>
      </c>
      <c r="D24" s="657">
        <v>55</v>
      </c>
      <c r="G24">
        <f>VAR(B4:B33)</f>
        <v>237.99540229885065</v>
      </c>
      <c r="H24">
        <f>VAR(C4:C33)</f>
        <v>305.3436781609193</v>
      </c>
      <c r="I24">
        <f>VAR(D4:D33)</f>
        <v>242.78620689655182</v>
      </c>
      <c r="J24">
        <f>VAR(B4:D33)</f>
        <v>258.68526841448181</v>
      </c>
    </row>
    <row r="25" spans="1:18">
      <c r="A25" s="627"/>
      <c r="B25" s="680">
        <v>56</v>
      </c>
      <c r="C25" s="8">
        <v>57</v>
      </c>
      <c r="D25" s="657">
        <v>73</v>
      </c>
    </row>
    <row r="26" spans="1:18">
      <c r="A26" s="627"/>
      <c r="B26" s="680">
        <v>61</v>
      </c>
      <c r="C26" s="8">
        <v>63</v>
      </c>
      <c r="D26" s="657">
        <v>69</v>
      </c>
    </row>
    <row r="27" spans="1:18">
      <c r="A27" s="627"/>
      <c r="B27" s="680">
        <v>34</v>
      </c>
      <c r="C27" s="8">
        <v>25</v>
      </c>
      <c r="D27" s="657">
        <v>64</v>
      </c>
    </row>
    <row r="28" spans="1:18">
      <c r="A28" s="627"/>
      <c r="B28" s="680">
        <v>28</v>
      </c>
      <c r="C28" s="8">
        <v>60</v>
      </c>
      <c r="D28" s="657">
        <v>59</v>
      </c>
    </row>
    <row r="29" spans="1:18">
      <c r="A29" s="627"/>
      <c r="B29" s="680">
        <v>35</v>
      </c>
      <c r="C29" s="8">
        <v>52</v>
      </c>
      <c r="D29" s="657">
        <v>62</v>
      </c>
    </row>
    <row r="30" spans="1:18">
      <c r="A30" s="627"/>
      <c r="B30" s="680">
        <v>30</v>
      </c>
      <c r="C30" s="8">
        <v>45</v>
      </c>
      <c r="D30" s="657">
        <v>67</v>
      </c>
    </row>
    <row r="31" spans="1:18">
      <c r="A31" s="627"/>
      <c r="B31" s="680">
        <v>46</v>
      </c>
      <c r="C31" s="8">
        <v>48</v>
      </c>
      <c r="D31" s="657">
        <v>31</v>
      </c>
    </row>
    <row r="32" spans="1:18">
      <c r="A32" s="627"/>
      <c r="B32" s="680">
        <v>41</v>
      </c>
      <c r="C32" s="8">
        <v>38</v>
      </c>
      <c r="D32" s="657">
        <v>48</v>
      </c>
    </row>
    <row r="33" spans="1:4">
      <c r="A33" s="544"/>
      <c r="B33" s="533">
        <v>34</v>
      </c>
      <c r="C33" s="1078">
        <v>26</v>
      </c>
      <c r="D33" s="541">
        <v>75</v>
      </c>
    </row>
  </sheetData>
  <pageMargins left="0.7" right="0.7" top="0.75" bottom="0.75" header="0.3" footer="0.3"/>
  <ignoredErrors>
    <ignoredError sqref="G7:I23" formulaRange="1"/>
  </ignoredErrors>
</worksheet>
</file>

<file path=xl/worksheets/sheet273.xml><?xml version="1.0" encoding="utf-8"?>
<worksheet xmlns="http://schemas.openxmlformats.org/spreadsheetml/2006/main" xmlns:r="http://schemas.openxmlformats.org/officeDocument/2006/relationships">
  <sheetPr codeName="Sheet378"/>
  <dimension ref="A1:R33"/>
  <sheetViews>
    <sheetView workbookViewId="0">
      <selection activeCell="M16" sqref="M16"/>
    </sheetView>
  </sheetViews>
  <sheetFormatPr defaultRowHeight="14.4"/>
  <cols>
    <col min="12" max="12" width="13.5546875" customWidth="1"/>
  </cols>
  <sheetData>
    <row r="1" spans="1:18">
      <c r="A1" s="1" t="s">
        <v>4181</v>
      </c>
    </row>
    <row r="3" spans="1:18">
      <c r="B3" s="1516" t="s">
        <v>4154</v>
      </c>
      <c r="C3" s="1515" t="s">
        <v>4155</v>
      </c>
      <c r="D3" s="1517" t="s">
        <v>4156</v>
      </c>
      <c r="F3" t="s">
        <v>95</v>
      </c>
      <c r="L3" t="s">
        <v>4176</v>
      </c>
    </row>
    <row r="4" spans="1:18">
      <c r="A4" s="1235" t="s">
        <v>4151</v>
      </c>
      <c r="B4" s="1236">
        <v>34</v>
      </c>
      <c r="C4" s="1234">
        <v>45</v>
      </c>
      <c r="D4" s="1237">
        <v>40</v>
      </c>
    </row>
    <row r="5" spans="1:18" ht="15" thickBot="1">
      <c r="A5" s="627"/>
      <c r="B5" s="656">
        <v>56</v>
      </c>
      <c r="C5" s="8">
        <v>76</v>
      </c>
      <c r="D5" s="657">
        <v>39</v>
      </c>
      <c r="F5" t="s">
        <v>2821</v>
      </c>
      <c r="G5" t="str">
        <f>IF(COUNTIF(G7:I9,G7)=COUNT(G7:I9),"balanced","unbalanced")</f>
        <v>balanced</v>
      </c>
      <c r="L5" t="s">
        <v>695</v>
      </c>
      <c r="P5" s="1514" t="s">
        <v>116</v>
      </c>
      <c r="Q5" s="1514">
        <v>0.05</v>
      </c>
    </row>
    <row r="6" spans="1:18" ht="15" thickTop="1">
      <c r="A6" s="627"/>
      <c r="B6" s="656">
        <v>78</v>
      </c>
      <c r="C6" s="8">
        <v>65</v>
      </c>
      <c r="D6" s="657">
        <v>78</v>
      </c>
      <c r="G6" s="1514" t="str">
        <f>B3</f>
        <v>Office A</v>
      </c>
      <c r="H6" s="1514" t="str">
        <f>C3</f>
        <v>Office B</v>
      </c>
      <c r="I6" s="1514" t="str">
        <f>D3</f>
        <v>Office C</v>
      </c>
      <c r="L6" s="1151"/>
      <c r="M6" s="1151" t="s">
        <v>578</v>
      </c>
      <c r="N6" s="1151" t="s">
        <v>186</v>
      </c>
      <c r="O6" s="1151" t="s">
        <v>641</v>
      </c>
      <c r="P6" s="1151" t="s">
        <v>388</v>
      </c>
      <c r="Q6" s="1151" t="s">
        <v>200</v>
      </c>
      <c r="R6" s="1151" t="s">
        <v>948</v>
      </c>
    </row>
    <row r="7" spans="1:18">
      <c r="A7" s="627"/>
      <c r="B7" s="656">
        <v>67</v>
      </c>
      <c r="C7" s="66">
        <v>52</v>
      </c>
      <c r="D7" s="657">
        <v>24</v>
      </c>
      <c r="F7" t="str">
        <f>A4</f>
        <v>Conflict</v>
      </c>
      <c r="G7" s="1232">
        <f>COUNT(B4:B13)</f>
        <v>10</v>
      </c>
      <c r="H7" s="1114">
        <f>COUNT(C4:C13)</f>
        <v>10</v>
      </c>
      <c r="I7" s="1233">
        <f>COUNT(D4:D13)</f>
        <v>10</v>
      </c>
      <c r="J7">
        <f>COUNT(B4:D13)</f>
        <v>30</v>
      </c>
      <c r="L7" t="s">
        <v>390</v>
      </c>
      <c r="M7">
        <f>DEVSQ(J14:J16)*J7</f>
        <v>1559.7555555555568</v>
      </c>
      <c r="N7">
        <f>COUNT(J14:J16)-1</f>
        <v>2</v>
      </c>
      <c r="O7">
        <f>M7/N7</f>
        <v>779.87777777777842</v>
      </c>
      <c r="P7">
        <f>O7/O8</f>
        <v>1.1310408173131188</v>
      </c>
      <c r="Q7">
        <f>FDIST(P7,N7,N8)</f>
        <v>0.38298812278184119</v>
      </c>
      <c r="R7" s="1514" t="str">
        <f>IF(Q7&lt;Q5,"yes","no")</f>
        <v>no</v>
      </c>
    </row>
    <row r="8" spans="1:18">
      <c r="A8" s="627"/>
      <c r="B8" s="656">
        <v>61</v>
      </c>
      <c r="C8" s="66">
        <v>23</v>
      </c>
      <c r="D8" s="657">
        <v>59</v>
      </c>
      <c r="F8" t="str">
        <f>A14</f>
        <v>Psychol</v>
      </c>
      <c r="G8" s="625">
        <f>COUNT(B14:B23)</f>
        <v>10</v>
      </c>
      <c r="H8" s="8">
        <f>COUNT(C14:C23)</f>
        <v>10</v>
      </c>
      <c r="I8" s="132">
        <f>COUNT(D14:D23)</f>
        <v>10</v>
      </c>
      <c r="J8">
        <f>COUNT(B14:D23)</f>
        <v>30</v>
      </c>
      <c r="L8" t="s">
        <v>4177</v>
      </c>
      <c r="M8">
        <f>M10-M7-M9</f>
        <v>4137.1333333333241</v>
      </c>
      <c r="N8">
        <f>(COUNT(G17:I17)-1)*(N7+1)</f>
        <v>6</v>
      </c>
      <c r="O8">
        <f>M8/N8</f>
        <v>689.52222222222065</v>
      </c>
      <c r="P8">
        <f>O8/O9</f>
        <v>3.2235355908138508</v>
      </c>
      <c r="Q8">
        <f>FDIST(P8,N8,N9)</f>
        <v>6.8567138371658093E-3</v>
      </c>
      <c r="R8" s="1514" t="str">
        <f>IF(Q8&lt;Q5,"yes","no")</f>
        <v>yes</v>
      </c>
    </row>
    <row r="9" spans="1:18">
      <c r="A9" s="627"/>
      <c r="B9" s="656">
        <v>48</v>
      </c>
      <c r="C9" s="66">
        <v>73</v>
      </c>
      <c r="D9" s="657">
        <v>53</v>
      </c>
      <c r="F9" t="str">
        <f>A24</f>
        <v>Negot</v>
      </c>
      <c r="G9" s="1075">
        <f>COUNT(B24:B33)</f>
        <v>10</v>
      </c>
      <c r="H9" s="1076">
        <f>COUNT(C24:C33)</f>
        <v>10</v>
      </c>
      <c r="I9" s="1077">
        <f>COUNT(D24:D33)</f>
        <v>10</v>
      </c>
      <c r="J9">
        <f>COUNT(B24:D33)</f>
        <v>30</v>
      </c>
      <c r="L9" t="s">
        <v>1021</v>
      </c>
      <c r="M9">
        <f>SUM(G21:I23)*(G7-1)</f>
        <v>17326.100000000002</v>
      </c>
      <c r="N9">
        <f>N10-N7-N8</f>
        <v>81</v>
      </c>
      <c r="O9">
        <f>M9/N9</f>
        <v>213.90246913580251</v>
      </c>
    </row>
    <row r="10" spans="1:18">
      <c r="A10" s="627"/>
      <c r="B10" s="656">
        <v>72</v>
      </c>
      <c r="C10" s="66">
        <v>68</v>
      </c>
      <c r="D10" s="657">
        <v>51</v>
      </c>
      <c r="G10">
        <f>COUNT(B4:B33)</f>
        <v>30</v>
      </c>
      <c r="H10">
        <f>COUNT(C4:C33)</f>
        <v>30</v>
      </c>
      <c r="I10">
        <f>COUNT(D4:D33)</f>
        <v>30</v>
      </c>
      <c r="J10">
        <f>COUNT(B4:D33)</f>
        <v>90</v>
      </c>
      <c r="L10" s="1078" t="s">
        <v>12</v>
      </c>
      <c r="M10" s="1078">
        <f>O10*N10</f>
        <v>23022.988888888882</v>
      </c>
      <c r="N10" s="1078">
        <f>J10-1</f>
        <v>89</v>
      </c>
      <c r="O10" s="1078">
        <f>J24</f>
        <v>258.68526841448181</v>
      </c>
      <c r="P10" s="1078"/>
      <c r="Q10" s="1078"/>
      <c r="R10" s="1078"/>
    </row>
    <row r="11" spans="1:18">
      <c r="A11" s="627"/>
      <c r="B11" s="656">
        <v>51</v>
      </c>
      <c r="C11" s="66">
        <v>71</v>
      </c>
      <c r="D11" s="657">
        <v>32</v>
      </c>
    </row>
    <row r="12" spans="1:18">
      <c r="A12" s="627"/>
      <c r="B12" s="656">
        <v>52</v>
      </c>
      <c r="C12" s="66">
        <v>59</v>
      </c>
      <c r="D12" s="657">
        <v>41</v>
      </c>
      <c r="F12" t="s">
        <v>1031</v>
      </c>
    </row>
    <row r="13" spans="1:18">
      <c r="A13" s="627"/>
      <c r="B13" s="533">
        <v>60</v>
      </c>
      <c r="C13" s="1078">
        <v>80</v>
      </c>
      <c r="D13" s="541">
        <v>45</v>
      </c>
      <c r="G13" s="1514" t="str">
        <f>B3</f>
        <v>Office A</v>
      </c>
      <c r="H13" s="1514" t="str">
        <f>C3</f>
        <v>Office B</v>
      </c>
      <c r="I13" s="1514" t="str">
        <f>D3</f>
        <v>Office C</v>
      </c>
    </row>
    <row r="14" spans="1:18">
      <c r="A14" s="1235" t="s">
        <v>4152</v>
      </c>
      <c r="B14" s="1236">
        <v>46</v>
      </c>
      <c r="C14" s="1234">
        <v>23</v>
      </c>
      <c r="D14" s="1237">
        <v>75</v>
      </c>
      <c r="F14" t="str">
        <f>A4</f>
        <v>Conflict</v>
      </c>
      <c r="G14" s="1232">
        <f>AVERAGE(B4:B13)</f>
        <v>57.9</v>
      </c>
      <c r="H14" s="1114">
        <f>AVERAGE(C4:C13)</f>
        <v>61.2</v>
      </c>
      <c r="I14" s="1233">
        <f>AVERAGE(D4:D13)</f>
        <v>46.2</v>
      </c>
      <c r="J14">
        <f>AVERAGE(B4:D13)</f>
        <v>55.1</v>
      </c>
    </row>
    <row r="15" spans="1:18">
      <c r="A15" s="627"/>
      <c r="B15" s="656">
        <v>32</v>
      </c>
      <c r="C15" s="66">
        <v>56</v>
      </c>
      <c r="D15" s="657">
        <v>57</v>
      </c>
      <c r="F15" t="str">
        <f>A14</f>
        <v>Psychol</v>
      </c>
      <c r="G15" s="625">
        <f>AVERAGE(B14:B23)</f>
        <v>47.1</v>
      </c>
      <c r="H15" s="8">
        <f>AVERAGE(C14:C23)</f>
        <v>38.799999999999997</v>
      </c>
      <c r="I15" s="132">
        <f>AVERAGE(D14:D23)</f>
        <v>48.9</v>
      </c>
      <c r="J15">
        <f>AVERAGE(B14:D23)</f>
        <v>44.93333333333333</v>
      </c>
    </row>
    <row r="16" spans="1:18">
      <c r="A16" s="627"/>
      <c r="B16" s="656">
        <v>56</v>
      </c>
      <c r="C16" s="66">
        <v>61</v>
      </c>
      <c r="D16" s="657">
        <v>63</v>
      </c>
      <c r="F16" t="str">
        <f>A24</f>
        <v>Negot</v>
      </c>
      <c r="G16" s="1075">
        <f>AVERAGE(B24:B33)</f>
        <v>38.799999999999997</v>
      </c>
      <c r="H16" s="1076">
        <f>AVERAGE(C24:C33)</f>
        <v>48.9</v>
      </c>
      <c r="I16" s="1077">
        <f>AVERAGE(D24:D33)</f>
        <v>60.3</v>
      </c>
      <c r="J16">
        <f>AVERAGE(B24:D33)</f>
        <v>49.333333333333336</v>
      </c>
    </row>
    <row r="17" spans="1:10">
      <c r="A17" s="627"/>
      <c r="B17" s="656">
        <v>52</v>
      </c>
      <c r="C17" s="66">
        <v>34</v>
      </c>
      <c r="D17" s="657">
        <v>25</v>
      </c>
      <c r="G17">
        <f>AVERAGE(B4:B33)</f>
        <v>47.93333333333333</v>
      </c>
      <c r="H17">
        <f>AVERAGE(C4:C33)</f>
        <v>49.633333333333333</v>
      </c>
      <c r="I17">
        <f>AVERAGE(D4:D33)</f>
        <v>51.8</v>
      </c>
      <c r="J17">
        <f>AVERAGE(B4:D33)</f>
        <v>49.788888888888891</v>
      </c>
    </row>
    <row r="18" spans="1:10">
      <c r="A18" s="627"/>
      <c r="B18" s="656">
        <v>79</v>
      </c>
      <c r="C18" s="66">
        <v>28</v>
      </c>
      <c r="D18" s="657">
        <v>60</v>
      </c>
    </row>
    <row r="19" spans="1:10">
      <c r="A19" s="627"/>
      <c r="B19" s="656">
        <v>28</v>
      </c>
      <c r="C19" s="66">
        <v>35</v>
      </c>
      <c r="D19" s="657">
        <v>52</v>
      </c>
      <c r="F19" t="s">
        <v>2822</v>
      </c>
    </row>
    <row r="20" spans="1:10">
      <c r="A20" s="627"/>
      <c r="B20" s="656">
        <v>36</v>
      </c>
      <c r="C20" s="66">
        <v>30</v>
      </c>
      <c r="D20" s="657">
        <v>45</v>
      </c>
      <c r="G20" s="1514" t="str">
        <f>B3</f>
        <v>Office A</v>
      </c>
      <c r="H20" s="1514" t="str">
        <f>C3</f>
        <v>Office B</v>
      </c>
      <c r="I20" s="1514" t="str">
        <f>D3</f>
        <v>Office C</v>
      </c>
    </row>
    <row r="21" spans="1:10">
      <c r="A21" s="627"/>
      <c r="B21" s="656">
        <v>41</v>
      </c>
      <c r="C21" s="66">
        <v>46</v>
      </c>
      <c r="D21" s="657">
        <v>48</v>
      </c>
      <c r="F21" t="str">
        <f>A4</f>
        <v>Conflict</v>
      </c>
      <c r="G21" s="1232">
        <f>VAR(B4:B13)</f>
        <v>161.65555555555571</v>
      </c>
      <c r="H21" s="1114">
        <f>VAR(C4:C13)</f>
        <v>297.73333333333318</v>
      </c>
      <c r="I21" s="1233">
        <f>VAR(D4:D13)</f>
        <v>228.62222222222206</v>
      </c>
      <c r="J21">
        <f>VAR(B4:D13)</f>
        <v>256.36896551724129</v>
      </c>
    </row>
    <row r="22" spans="1:10">
      <c r="A22" s="627"/>
      <c r="B22" s="656">
        <v>64</v>
      </c>
      <c r="C22" s="66">
        <v>41</v>
      </c>
      <c r="D22" s="657">
        <v>38</v>
      </c>
      <c r="F22" t="str">
        <f>A14</f>
        <v>Psychol</v>
      </c>
      <c r="G22" s="625">
        <f>VAR(B14:B23)</f>
        <v>251.43333333333351</v>
      </c>
      <c r="H22" s="8">
        <f>VAR(C14:C23)</f>
        <v>149.95555555555561</v>
      </c>
      <c r="I22" s="132">
        <f>VAR(D14:D23)</f>
        <v>256.54444444444459</v>
      </c>
      <c r="J22">
        <f>VAR(B14:D23)</f>
        <v>224.20229885057478</v>
      </c>
    </row>
    <row r="23" spans="1:10">
      <c r="A23" s="544"/>
      <c r="B23" s="533">
        <v>37</v>
      </c>
      <c r="C23" s="1078">
        <v>34</v>
      </c>
      <c r="D23" s="541">
        <v>26</v>
      </c>
      <c r="F23" t="str">
        <f>A24</f>
        <v>Negot</v>
      </c>
      <c r="G23" s="1075">
        <f>VAR(B24:B33)</f>
        <v>149.95555555555561</v>
      </c>
      <c r="H23" s="1076">
        <f>VAR(C24:C33)</f>
        <v>256.54444444444459</v>
      </c>
      <c r="I23" s="1077">
        <f>VAR(D24:D33)</f>
        <v>172.67777777777761</v>
      </c>
      <c r="J23">
        <f>VAR(B24:D33)</f>
        <v>259.54022988505761</v>
      </c>
    </row>
    <row r="24" spans="1:10">
      <c r="A24" s="627" t="s">
        <v>4150</v>
      </c>
      <c r="B24" s="656">
        <v>23</v>
      </c>
      <c r="C24" s="8">
        <v>75</v>
      </c>
      <c r="D24" s="657">
        <v>55</v>
      </c>
      <c r="G24">
        <f>VAR(B4:B33)</f>
        <v>237.99540229885065</v>
      </c>
      <c r="H24">
        <f>VAR(C4:C33)</f>
        <v>305.3436781609193</v>
      </c>
      <c r="I24">
        <f>VAR(D4:D33)</f>
        <v>242.78620689655182</v>
      </c>
      <c r="J24">
        <f>VAR(B4:D33)</f>
        <v>258.68526841448181</v>
      </c>
    </row>
    <row r="25" spans="1:10">
      <c r="A25" s="627"/>
      <c r="B25" s="680">
        <v>56</v>
      </c>
      <c r="C25" s="8">
        <v>57</v>
      </c>
      <c r="D25" s="657">
        <v>73</v>
      </c>
    </row>
    <row r="26" spans="1:10">
      <c r="A26" s="627"/>
      <c r="B26" s="680">
        <v>61</v>
      </c>
      <c r="C26" s="8">
        <v>63</v>
      </c>
      <c r="D26" s="657">
        <v>69</v>
      </c>
    </row>
    <row r="27" spans="1:10">
      <c r="A27" s="627"/>
      <c r="B27" s="680">
        <v>34</v>
      </c>
      <c r="C27" s="8">
        <v>25</v>
      </c>
      <c r="D27" s="657">
        <v>64</v>
      </c>
    </row>
    <row r="28" spans="1:10">
      <c r="A28" s="627"/>
      <c r="B28" s="680">
        <v>28</v>
      </c>
      <c r="C28" s="8">
        <v>60</v>
      </c>
      <c r="D28" s="657">
        <v>59</v>
      </c>
    </row>
    <row r="29" spans="1:10">
      <c r="A29" s="627"/>
      <c r="B29" s="680">
        <v>35</v>
      </c>
      <c r="C29" s="8">
        <v>52</v>
      </c>
      <c r="D29" s="657">
        <v>62</v>
      </c>
    </row>
    <row r="30" spans="1:10">
      <c r="A30" s="627"/>
      <c r="B30" s="680">
        <v>30</v>
      </c>
      <c r="C30" s="8">
        <v>45</v>
      </c>
      <c r="D30" s="657">
        <v>67</v>
      </c>
    </row>
    <row r="31" spans="1:10">
      <c r="A31" s="627"/>
      <c r="B31" s="680">
        <v>46</v>
      </c>
      <c r="C31" s="8">
        <v>48</v>
      </c>
      <c r="D31" s="657">
        <v>31</v>
      </c>
    </row>
    <row r="32" spans="1:10">
      <c r="A32" s="627"/>
      <c r="B32" s="680">
        <v>41</v>
      </c>
      <c r="C32" s="8">
        <v>38</v>
      </c>
      <c r="D32" s="657">
        <v>48</v>
      </c>
    </row>
    <row r="33" spans="1:4">
      <c r="A33" s="544"/>
      <c r="B33" s="533">
        <v>34</v>
      </c>
      <c r="C33" s="1078">
        <v>26</v>
      </c>
      <c r="D33" s="541">
        <v>75</v>
      </c>
    </row>
  </sheetData>
  <pageMargins left="0.7" right="0.7" top="0.75" bottom="0.75" header="0.3" footer="0.3"/>
  <ignoredErrors>
    <ignoredError sqref="G7:I9 G14:I17 G21:I23" formulaRange="1"/>
  </ignoredErrors>
</worksheet>
</file>

<file path=xl/worksheets/sheet274.xml><?xml version="1.0" encoding="utf-8"?>
<worksheet xmlns="http://schemas.openxmlformats.org/spreadsheetml/2006/main" xmlns:r="http://schemas.openxmlformats.org/officeDocument/2006/relationships">
  <sheetPr codeName="Sheet376"/>
  <dimension ref="A1:V47"/>
  <sheetViews>
    <sheetView workbookViewId="0">
      <selection activeCell="R18" sqref="R18"/>
    </sheetView>
  </sheetViews>
  <sheetFormatPr defaultRowHeight="14.4"/>
  <cols>
    <col min="3" max="3" width="5.88671875" customWidth="1"/>
    <col min="9" max="9" width="5.88671875" customWidth="1"/>
    <col min="15" max="15" width="5.88671875" customWidth="1"/>
  </cols>
  <sheetData>
    <row r="1" spans="1:22">
      <c r="A1" s="1" t="s">
        <v>4175</v>
      </c>
    </row>
    <row r="3" spans="1:22">
      <c r="A3" s="1236" t="s">
        <v>4151</v>
      </c>
      <c r="B3" s="1234" t="s">
        <v>4141</v>
      </c>
      <c r="C3" s="1237">
        <v>34</v>
      </c>
      <c r="E3" t="s">
        <v>2830</v>
      </c>
      <c r="J3" t="s">
        <v>95</v>
      </c>
      <c r="P3" t="s">
        <v>4176</v>
      </c>
    </row>
    <row r="4" spans="1:22">
      <c r="A4" s="656" t="s">
        <v>4151</v>
      </c>
      <c r="B4" s="8" t="s">
        <v>4141</v>
      </c>
      <c r="C4" s="657">
        <v>56</v>
      </c>
    </row>
    <row r="5" spans="1:22" ht="15" thickBot="1">
      <c r="A5" s="656" t="s">
        <v>4151</v>
      </c>
      <c r="B5" s="8" t="s">
        <v>4141</v>
      </c>
      <c r="C5" s="657">
        <v>78</v>
      </c>
      <c r="E5" s="1441" t="e">
        <f t="array" aca="1" ref="E5:H20" ca="1">[1]!StdNested(A3:C47)</f>
        <v>#NAME?</v>
      </c>
      <c r="F5" s="1441" t="e">
        <f ca="1"/>
        <v>#NAME?</v>
      </c>
      <c r="G5" s="1441" t="e">
        <f ca="1"/>
        <v>#NAME?</v>
      </c>
      <c r="H5" s="1441" t="e">
        <f ca="1"/>
        <v>#NAME?</v>
      </c>
      <c r="J5" t="s">
        <v>2821</v>
      </c>
      <c r="K5" t="str">
        <f ca="1">IF(COUNTIF(K7:M9,K7)=COUNT(K7:M9),"balanced","unbalanced")</f>
        <v>balanced</v>
      </c>
      <c r="P5" t="s">
        <v>695</v>
      </c>
      <c r="T5" s="1514" t="s">
        <v>116</v>
      </c>
      <c r="U5" s="1514">
        <v>0.05</v>
      </c>
    </row>
    <row r="6" spans="1:22" ht="15" thickTop="1">
      <c r="A6" s="656" t="s">
        <v>4151</v>
      </c>
      <c r="B6" s="8" t="s">
        <v>4141</v>
      </c>
      <c r="C6" s="657">
        <v>67</v>
      </c>
      <c r="E6" s="1441" t="e">
        <f ca="1"/>
        <v>#NAME?</v>
      </c>
      <c r="F6" s="1441" t="e">
        <f ca="1"/>
        <v>#NAME?</v>
      </c>
      <c r="G6" s="1441" t="e">
        <f ca="1"/>
        <v>#NAME?</v>
      </c>
      <c r="H6" s="1441" t="e">
        <f ca="1"/>
        <v>#NAME?</v>
      </c>
      <c r="K6" s="1514" t="e">
        <f ca="1">F5</f>
        <v>#NAME?</v>
      </c>
      <c r="L6" s="1514" t="e">
        <f ca="1">G5</f>
        <v>#NAME?</v>
      </c>
      <c r="M6" s="1514" t="e">
        <f ca="1">H5</f>
        <v>#NAME?</v>
      </c>
      <c r="P6" s="1151"/>
      <c r="Q6" s="1151" t="s">
        <v>578</v>
      </c>
      <c r="R6" s="1151" t="s">
        <v>186</v>
      </c>
      <c r="S6" s="1151" t="s">
        <v>641</v>
      </c>
      <c r="T6" s="1151" t="s">
        <v>388</v>
      </c>
      <c r="U6" s="1151" t="s">
        <v>200</v>
      </c>
      <c r="V6" s="1151" t="s">
        <v>948</v>
      </c>
    </row>
    <row r="7" spans="1:22">
      <c r="A7" s="656" t="s">
        <v>4151</v>
      </c>
      <c r="B7" s="8" t="s">
        <v>4141</v>
      </c>
      <c r="C7" s="657">
        <v>61</v>
      </c>
      <c r="E7" s="946" t="e">
        <f ca="1"/>
        <v>#NAME?</v>
      </c>
      <c r="F7" s="946" t="e">
        <f ca="1"/>
        <v>#NAME?</v>
      </c>
      <c r="G7" s="946" t="e">
        <f ca="1"/>
        <v>#NAME?</v>
      </c>
      <c r="H7" s="946" t="e">
        <f ca="1"/>
        <v>#NAME?</v>
      </c>
      <c r="J7" t="e">
        <f ca="1">E6</f>
        <v>#NAME?</v>
      </c>
      <c r="K7" s="1232">
        <f ca="1">COUNT(F6:F10)</f>
        <v>0</v>
      </c>
      <c r="L7" s="1114">
        <f ca="1">COUNT(G6:G10)</f>
        <v>0</v>
      </c>
      <c r="M7" s="1233">
        <f ca="1">COUNT(H6:H10)</f>
        <v>0</v>
      </c>
      <c r="N7">
        <f ca="1">COUNT(F6:H10)</f>
        <v>0</v>
      </c>
      <c r="P7" t="s">
        <v>390</v>
      </c>
      <c r="Q7" t="e">
        <f ca="1">DEVSQ(N14:N16)*N7</f>
        <v>#NAME?</v>
      </c>
      <c r="R7">
        <f ca="1">COUNT(N14:N16)-1</f>
        <v>-1</v>
      </c>
      <c r="S7" t="e">
        <f ca="1">Q7/R7</f>
        <v>#NAME?</v>
      </c>
      <c r="T7" t="e">
        <f ca="1">S7/S8</f>
        <v>#NAME?</v>
      </c>
      <c r="U7" t="e">
        <f ca="1">FDIST(T7,R7,R8)</f>
        <v>#NAME?</v>
      </c>
      <c r="V7" s="1514" t="e">
        <f ca="1">IF(U7&lt;U5,"yes","no")</f>
        <v>#NAME?</v>
      </c>
    </row>
    <row r="8" spans="1:22">
      <c r="A8" s="656" t="s">
        <v>4151</v>
      </c>
      <c r="B8" s="8" t="s">
        <v>4142</v>
      </c>
      <c r="C8" s="657">
        <v>45</v>
      </c>
      <c r="E8" s="946" t="e">
        <f ca="1"/>
        <v>#NAME?</v>
      </c>
      <c r="F8" s="946" t="e">
        <f ca="1"/>
        <v>#NAME?</v>
      </c>
      <c r="G8" s="946" t="e">
        <f ca="1"/>
        <v>#NAME?</v>
      </c>
      <c r="H8" s="946" t="e">
        <f ca="1"/>
        <v>#NAME?</v>
      </c>
      <c r="J8" t="e">
        <f ca="1">E11</f>
        <v>#NAME?</v>
      </c>
      <c r="K8" s="625">
        <f ca="1">COUNT(F11:F15)</f>
        <v>0</v>
      </c>
      <c r="L8" s="8">
        <f ca="1">COUNT(G11:G15)</f>
        <v>0</v>
      </c>
      <c r="M8" s="132">
        <f ca="1">COUNT(H11:H15)</f>
        <v>0</v>
      </c>
      <c r="N8">
        <f ca="1">COUNT(F11:H15)</f>
        <v>0</v>
      </c>
      <c r="P8" t="s">
        <v>4177</v>
      </c>
      <c r="Q8" t="e">
        <f ca="1">Q10-Q7-Q9</f>
        <v>#NAME?</v>
      </c>
      <c r="R8">
        <f ca="1">(COUNT(K17:M17)-1)*(R7+1)</f>
        <v>0</v>
      </c>
      <c r="S8" t="e">
        <f ca="1">Q8/R8</f>
        <v>#NAME?</v>
      </c>
      <c r="T8" t="e">
        <f ca="1">S8/S9</f>
        <v>#NAME?</v>
      </c>
      <c r="U8" t="e">
        <f ca="1">FDIST(T8,R8,R9)</f>
        <v>#NAME?</v>
      </c>
      <c r="V8" s="1514" t="e">
        <f ca="1">IF(U8&lt;U5,"yes","no")</f>
        <v>#NAME?</v>
      </c>
    </row>
    <row r="9" spans="1:22">
      <c r="A9" s="656" t="s">
        <v>4151</v>
      </c>
      <c r="B9" s="8" t="s">
        <v>4142</v>
      </c>
      <c r="C9" s="657">
        <v>76</v>
      </c>
      <c r="E9" s="946" t="e">
        <f ca="1"/>
        <v>#NAME?</v>
      </c>
      <c r="F9" s="946" t="e">
        <f ca="1"/>
        <v>#NAME?</v>
      </c>
      <c r="G9" s="946" t="e">
        <f ca="1"/>
        <v>#NAME?</v>
      </c>
      <c r="H9" s="946" t="e">
        <f ca="1"/>
        <v>#NAME?</v>
      </c>
      <c r="J9" t="e">
        <f ca="1">E16</f>
        <v>#NAME?</v>
      </c>
      <c r="K9" s="1075">
        <f ca="1">COUNT(F16:F20)</f>
        <v>0</v>
      </c>
      <c r="L9" s="1076">
        <f ca="1">COUNT(G16:G20)</f>
        <v>0</v>
      </c>
      <c r="M9" s="1077">
        <f ca="1">COUNT(H16:H20)</f>
        <v>0</v>
      </c>
      <c r="N9">
        <f ca="1">COUNT(F16:H20)</f>
        <v>0</v>
      </c>
      <c r="P9" t="s">
        <v>1021</v>
      </c>
      <c r="Q9" t="e">
        <f ca="1">SUM(K21:M23)*(K7-1)</f>
        <v>#NAME?</v>
      </c>
      <c r="R9">
        <f ca="1">R10-R7-R8</f>
        <v>0</v>
      </c>
      <c r="S9" t="e">
        <f ca="1">Q9/R9</f>
        <v>#NAME?</v>
      </c>
    </row>
    <row r="10" spans="1:22">
      <c r="A10" s="656" t="s">
        <v>4151</v>
      </c>
      <c r="B10" s="8" t="s">
        <v>4142</v>
      </c>
      <c r="C10" s="657">
        <v>65</v>
      </c>
      <c r="E10" s="1073" t="e">
        <f ca="1"/>
        <v>#NAME?</v>
      </c>
      <c r="F10" s="1073" t="e">
        <f ca="1"/>
        <v>#NAME?</v>
      </c>
      <c r="G10" s="1073" t="e">
        <f ca="1"/>
        <v>#NAME?</v>
      </c>
      <c r="H10" s="1073" t="e">
        <f ca="1"/>
        <v>#NAME?</v>
      </c>
      <c r="K10">
        <f ca="1">COUNT(F6:F20)</f>
        <v>0</v>
      </c>
      <c r="L10">
        <f ca="1">COUNT(G6:G20)</f>
        <v>0</v>
      </c>
      <c r="M10">
        <f ca="1">COUNT(H6:H20)</f>
        <v>0</v>
      </c>
      <c r="N10">
        <f ca="1">COUNT(F6:H20)</f>
        <v>0</v>
      </c>
      <c r="P10" s="1078" t="s">
        <v>12</v>
      </c>
      <c r="Q10" s="1078" t="e">
        <f ca="1">S10*R10</f>
        <v>#NAME?</v>
      </c>
      <c r="R10" s="1078">
        <f ca="1">N10-1</f>
        <v>-1</v>
      </c>
      <c r="S10" s="1078" t="e">
        <f ca="1">N24</f>
        <v>#NAME?</v>
      </c>
      <c r="T10" s="1078"/>
      <c r="U10" s="1078"/>
      <c r="V10" s="1078"/>
    </row>
    <row r="11" spans="1:22">
      <c r="A11" s="656" t="s">
        <v>4151</v>
      </c>
      <c r="B11" s="8" t="s">
        <v>4142</v>
      </c>
      <c r="C11" s="657">
        <v>52</v>
      </c>
      <c r="E11" s="1441" t="e">
        <f ca="1"/>
        <v>#NAME?</v>
      </c>
      <c r="F11" s="1441" t="e">
        <f ca="1"/>
        <v>#NAME?</v>
      </c>
      <c r="G11" s="1441" t="e">
        <f ca="1"/>
        <v>#NAME?</v>
      </c>
      <c r="H11" s="1441" t="e">
        <f ca="1"/>
        <v>#NAME?</v>
      </c>
    </row>
    <row r="12" spans="1:22">
      <c r="A12" s="656" t="s">
        <v>4151</v>
      </c>
      <c r="B12" s="8" t="s">
        <v>4142</v>
      </c>
      <c r="C12" s="657">
        <v>23</v>
      </c>
      <c r="E12" s="946" t="e">
        <f ca="1"/>
        <v>#NAME?</v>
      </c>
      <c r="F12" s="946" t="e">
        <f ca="1"/>
        <v>#NAME?</v>
      </c>
      <c r="G12" s="946" t="e">
        <f ca="1"/>
        <v>#NAME?</v>
      </c>
      <c r="H12" s="946" t="e">
        <f ca="1"/>
        <v>#NAME?</v>
      </c>
      <c r="J12" t="s">
        <v>1031</v>
      </c>
    </row>
    <row r="13" spans="1:22">
      <c r="A13" s="656" t="s">
        <v>4151</v>
      </c>
      <c r="B13" s="8" t="s">
        <v>4143</v>
      </c>
      <c r="C13" s="657">
        <v>40</v>
      </c>
      <c r="E13" s="946" t="e">
        <f ca="1"/>
        <v>#NAME?</v>
      </c>
      <c r="F13" s="946" t="e">
        <f ca="1"/>
        <v>#NAME?</v>
      </c>
      <c r="G13" s="946" t="e">
        <f ca="1"/>
        <v>#NAME?</v>
      </c>
      <c r="H13" s="946" t="e">
        <f ca="1"/>
        <v>#NAME?</v>
      </c>
      <c r="K13" s="1514" t="e">
        <f ca="1">F5</f>
        <v>#NAME?</v>
      </c>
      <c r="L13" s="1514" t="e">
        <f ca="1">G5</f>
        <v>#NAME?</v>
      </c>
      <c r="M13" s="1514" t="e">
        <f ca="1">H5</f>
        <v>#NAME?</v>
      </c>
    </row>
    <row r="14" spans="1:22">
      <c r="A14" s="656" t="s">
        <v>4151</v>
      </c>
      <c r="B14" s="8" t="s">
        <v>4143</v>
      </c>
      <c r="C14" s="657">
        <v>39</v>
      </c>
      <c r="E14" s="946" t="e">
        <f ca="1"/>
        <v>#NAME?</v>
      </c>
      <c r="F14" s="946" t="e">
        <f ca="1"/>
        <v>#NAME?</v>
      </c>
      <c r="G14" s="946" t="e">
        <f ca="1"/>
        <v>#NAME?</v>
      </c>
      <c r="H14" s="946" t="e">
        <f ca="1"/>
        <v>#NAME?</v>
      </c>
      <c r="J14" t="e">
        <f ca="1">E6</f>
        <v>#NAME?</v>
      </c>
      <c r="K14" s="1232" t="e">
        <f ca="1">AVERAGE(F6:F10)</f>
        <v>#NAME?</v>
      </c>
      <c r="L14" s="1114" t="e">
        <f ca="1">AVERAGE(G6:G10)</f>
        <v>#NAME?</v>
      </c>
      <c r="M14" s="1233" t="e">
        <f ca="1">AVERAGE(H6:H10)</f>
        <v>#NAME?</v>
      </c>
      <c r="N14" t="e">
        <f ca="1">AVERAGE(F6:H10)</f>
        <v>#NAME?</v>
      </c>
    </row>
    <row r="15" spans="1:22">
      <c r="A15" s="656" t="s">
        <v>4151</v>
      </c>
      <c r="B15" s="8" t="s">
        <v>4143</v>
      </c>
      <c r="C15" s="657">
        <v>78</v>
      </c>
      <c r="E15" s="1073" t="e">
        <f ca="1"/>
        <v>#NAME?</v>
      </c>
      <c r="F15" s="1073" t="e">
        <f ca="1"/>
        <v>#NAME?</v>
      </c>
      <c r="G15" s="1073" t="e">
        <f ca="1"/>
        <v>#NAME?</v>
      </c>
      <c r="H15" s="1073" t="e">
        <f ca="1"/>
        <v>#NAME?</v>
      </c>
      <c r="J15" t="e">
        <f ca="1">E11</f>
        <v>#NAME?</v>
      </c>
      <c r="K15" s="625" t="e">
        <f ca="1">AVERAGE(F11:F15)</f>
        <v>#NAME?</v>
      </c>
      <c r="L15" s="8" t="e">
        <f ca="1">AVERAGE(G11:G15)</f>
        <v>#NAME?</v>
      </c>
      <c r="M15" s="132" t="e">
        <f ca="1">AVERAGE(H11:H15)</f>
        <v>#NAME?</v>
      </c>
      <c r="N15" t="e">
        <f ca="1">AVERAGE(F11:H15)</f>
        <v>#NAME?</v>
      </c>
    </row>
    <row r="16" spans="1:22">
      <c r="A16" s="656" t="s">
        <v>4151</v>
      </c>
      <c r="B16" s="8" t="s">
        <v>4143</v>
      </c>
      <c r="C16" s="657">
        <v>24</v>
      </c>
      <c r="E16" s="1441" t="e">
        <f ca="1"/>
        <v>#NAME?</v>
      </c>
      <c r="F16" s="1441" t="e">
        <f ca="1"/>
        <v>#NAME?</v>
      </c>
      <c r="G16" s="1441" t="e">
        <f ca="1"/>
        <v>#NAME?</v>
      </c>
      <c r="H16" s="1441" t="e">
        <f ca="1"/>
        <v>#NAME?</v>
      </c>
      <c r="J16" t="e">
        <f ca="1">E16</f>
        <v>#NAME?</v>
      </c>
      <c r="K16" s="1075" t="e">
        <f ca="1">AVERAGE(F16:F20)</f>
        <v>#NAME?</v>
      </c>
      <c r="L16" s="1076" t="e">
        <f ca="1">AVERAGE(G16:G20)</f>
        <v>#NAME?</v>
      </c>
      <c r="M16" s="1077" t="e">
        <f ca="1">AVERAGE(H16:H20)</f>
        <v>#NAME?</v>
      </c>
      <c r="N16" t="e">
        <f ca="1">AVERAGE(F16:H20)</f>
        <v>#NAME?</v>
      </c>
    </row>
    <row r="17" spans="1:14">
      <c r="A17" s="656" t="s">
        <v>4151</v>
      </c>
      <c r="B17" s="8" t="s">
        <v>4143</v>
      </c>
      <c r="C17" s="657">
        <v>59</v>
      </c>
      <c r="E17" s="946" t="e">
        <f ca="1"/>
        <v>#NAME?</v>
      </c>
      <c r="F17" s="946" t="e">
        <f ca="1"/>
        <v>#NAME?</v>
      </c>
      <c r="G17" s="946" t="e">
        <f ca="1"/>
        <v>#NAME?</v>
      </c>
      <c r="H17" s="946" t="e">
        <f ca="1"/>
        <v>#NAME?</v>
      </c>
      <c r="K17" t="e">
        <f ca="1">AVERAGE(F6:F20)</f>
        <v>#NAME?</v>
      </c>
      <c r="L17" t="e">
        <f ca="1">AVERAGE(G6:G20)</f>
        <v>#NAME?</v>
      </c>
      <c r="M17" t="e">
        <f ca="1">AVERAGE(H6:H20)</f>
        <v>#NAME?</v>
      </c>
      <c r="N17" t="e">
        <f ca="1">AVERAGE(F6:H20)</f>
        <v>#NAME?</v>
      </c>
    </row>
    <row r="18" spans="1:14">
      <c r="A18" s="656" t="s">
        <v>4152</v>
      </c>
      <c r="B18" s="8" t="s">
        <v>4144</v>
      </c>
      <c r="C18" s="657">
        <v>46</v>
      </c>
      <c r="E18" s="946" t="e">
        <f ca="1"/>
        <v>#NAME?</v>
      </c>
      <c r="F18" s="946" t="e">
        <f ca="1"/>
        <v>#NAME?</v>
      </c>
      <c r="G18" s="946" t="e">
        <f ca="1"/>
        <v>#NAME?</v>
      </c>
      <c r="H18" s="946" t="e">
        <f ca="1"/>
        <v>#NAME?</v>
      </c>
    </row>
    <row r="19" spans="1:14">
      <c r="A19" s="656" t="s">
        <v>4152</v>
      </c>
      <c r="B19" s="8" t="s">
        <v>4144</v>
      </c>
      <c r="C19" s="657">
        <v>32</v>
      </c>
      <c r="E19" s="946" t="e">
        <f ca="1"/>
        <v>#NAME?</v>
      </c>
      <c r="F19" s="946" t="e">
        <f ca="1"/>
        <v>#NAME?</v>
      </c>
      <c r="G19" s="946" t="e">
        <f ca="1"/>
        <v>#NAME?</v>
      </c>
      <c r="H19" s="946" t="e">
        <f ca="1"/>
        <v>#NAME?</v>
      </c>
      <c r="J19" t="s">
        <v>2822</v>
      </c>
    </row>
    <row r="20" spans="1:14">
      <c r="A20" s="656" t="s">
        <v>4152</v>
      </c>
      <c r="B20" s="8" t="s">
        <v>4144</v>
      </c>
      <c r="C20" s="657">
        <v>56</v>
      </c>
      <c r="E20" s="1073" t="e">
        <f ca="1"/>
        <v>#NAME?</v>
      </c>
      <c r="F20" s="1073" t="e">
        <f ca="1"/>
        <v>#NAME?</v>
      </c>
      <c r="G20" s="1073" t="e">
        <f ca="1"/>
        <v>#NAME?</v>
      </c>
      <c r="H20" s="1073" t="e">
        <f ca="1"/>
        <v>#NAME?</v>
      </c>
      <c r="K20" s="1514" t="e">
        <f ca="1">F5</f>
        <v>#NAME?</v>
      </c>
      <c r="L20" s="1514" t="e">
        <f ca="1">G5</f>
        <v>#NAME?</v>
      </c>
      <c r="M20" s="1514" t="e">
        <f ca="1">H5</f>
        <v>#NAME?</v>
      </c>
    </row>
    <row r="21" spans="1:14">
      <c r="A21" s="656" t="s">
        <v>4152</v>
      </c>
      <c r="B21" s="8" t="s">
        <v>4144</v>
      </c>
      <c r="C21" s="657">
        <v>52</v>
      </c>
      <c r="J21" t="e">
        <f ca="1">E6</f>
        <v>#NAME?</v>
      </c>
      <c r="K21" s="1232" t="e">
        <f ca="1">VAR(F6:F10)</f>
        <v>#NAME?</v>
      </c>
      <c r="L21" s="1114" t="e">
        <f ca="1">VAR(G6:G10)</f>
        <v>#NAME?</v>
      </c>
      <c r="M21" s="1233" t="e">
        <f ca="1">VAR(H6:H10)</f>
        <v>#NAME?</v>
      </c>
      <c r="N21" t="e">
        <f ca="1">VAR(F6:H10)</f>
        <v>#NAME?</v>
      </c>
    </row>
    <row r="22" spans="1:14">
      <c r="A22" s="656" t="s">
        <v>4152</v>
      </c>
      <c r="B22" s="8" t="s">
        <v>4144</v>
      </c>
      <c r="C22" s="657">
        <v>79</v>
      </c>
      <c r="J22" t="e">
        <f ca="1">E11</f>
        <v>#NAME?</v>
      </c>
      <c r="K22" s="625" t="e">
        <f ca="1">VAR(F11:F15)</f>
        <v>#NAME?</v>
      </c>
      <c r="L22" s="8" t="e">
        <f ca="1">VAR(G11:G15)</f>
        <v>#NAME?</v>
      </c>
      <c r="M22" s="132" t="e">
        <f ca="1">VAR(H11:H15)</f>
        <v>#NAME?</v>
      </c>
      <c r="N22" t="e">
        <f ca="1">VAR(F11:H15)</f>
        <v>#NAME?</v>
      </c>
    </row>
    <row r="23" spans="1:14">
      <c r="A23" s="656" t="s">
        <v>4152</v>
      </c>
      <c r="B23" s="8" t="s">
        <v>4145</v>
      </c>
      <c r="C23" s="657">
        <v>23</v>
      </c>
      <c r="J23" t="e">
        <f ca="1">E16</f>
        <v>#NAME?</v>
      </c>
      <c r="K23" s="1075" t="e">
        <f ca="1">VAR(F16:F20)</f>
        <v>#NAME?</v>
      </c>
      <c r="L23" s="1076" t="e">
        <f ca="1">VAR(G16:G20)</f>
        <v>#NAME?</v>
      </c>
      <c r="M23" s="1077" t="e">
        <f ca="1">VAR(H16:H20)</f>
        <v>#NAME?</v>
      </c>
      <c r="N23" t="e">
        <f ca="1">VAR(F16:H20)</f>
        <v>#NAME?</v>
      </c>
    </row>
    <row r="24" spans="1:14">
      <c r="A24" s="656" t="s">
        <v>4152</v>
      </c>
      <c r="B24" s="8" t="s">
        <v>4145</v>
      </c>
      <c r="C24" s="657">
        <v>56</v>
      </c>
      <c r="K24" t="e">
        <f ca="1">VAR(F6:F20)</f>
        <v>#NAME?</v>
      </c>
      <c r="L24" t="e">
        <f ca="1">VAR(G6:G20)</f>
        <v>#NAME?</v>
      </c>
      <c r="M24" t="e">
        <f ca="1">VAR(H6:H20)</f>
        <v>#NAME?</v>
      </c>
      <c r="N24" t="e">
        <f ca="1">VAR(F6:H20)</f>
        <v>#NAME?</v>
      </c>
    </row>
    <row r="25" spans="1:14">
      <c r="A25" s="656" t="s">
        <v>4152</v>
      </c>
      <c r="B25" s="8" t="s">
        <v>4145</v>
      </c>
      <c r="C25" s="657">
        <v>61</v>
      </c>
    </row>
    <row r="26" spans="1:14">
      <c r="A26" s="656" t="s">
        <v>4152</v>
      </c>
      <c r="B26" s="8" t="s">
        <v>4145</v>
      </c>
      <c r="C26" s="657">
        <v>34</v>
      </c>
    </row>
    <row r="27" spans="1:14">
      <c r="A27" s="656" t="s">
        <v>4152</v>
      </c>
      <c r="B27" s="8" t="s">
        <v>4145</v>
      </c>
      <c r="C27" s="657">
        <v>28</v>
      </c>
    </row>
    <row r="28" spans="1:14">
      <c r="A28" s="656" t="s">
        <v>4152</v>
      </c>
      <c r="B28" s="8" t="s">
        <v>4146</v>
      </c>
      <c r="C28" s="657">
        <v>75</v>
      </c>
    </row>
    <row r="29" spans="1:14">
      <c r="A29" s="656" t="s">
        <v>4152</v>
      </c>
      <c r="B29" s="8" t="s">
        <v>4146</v>
      </c>
      <c r="C29" s="657">
        <v>57</v>
      </c>
    </row>
    <row r="30" spans="1:14">
      <c r="A30" s="656" t="s">
        <v>4152</v>
      </c>
      <c r="B30" s="8" t="s">
        <v>4146</v>
      </c>
      <c r="C30" s="657">
        <v>63</v>
      </c>
    </row>
    <row r="31" spans="1:14">
      <c r="A31" s="656" t="s">
        <v>4152</v>
      </c>
      <c r="B31" s="8" t="s">
        <v>4146</v>
      </c>
      <c r="C31" s="657">
        <v>25</v>
      </c>
    </row>
    <row r="32" spans="1:14">
      <c r="A32" s="656" t="s">
        <v>4152</v>
      </c>
      <c r="B32" s="8" t="s">
        <v>4146</v>
      </c>
      <c r="C32" s="657">
        <v>60</v>
      </c>
    </row>
    <row r="33" spans="1:3">
      <c r="A33" s="656" t="s">
        <v>4150</v>
      </c>
      <c r="B33" s="8" t="s">
        <v>4147</v>
      </c>
      <c r="C33" s="657">
        <v>23</v>
      </c>
    </row>
    <row r="34" spans="1:3">
      <c r="A34" s="656" t="s">
        <v>4150</v>
      </c>
      <c r="B34" s="8" t="s">
        <v>4147</v>
      </c>
      <c r="C34" s="657">
        <v>56</v>
      </c>
    </row>
    <row r="35" spans="1:3">
      <c r="A35" s="656" t="s">
        <v>4150</v>
      </c>
      <c r="B35" s="8" t="s">
        <v>4147</v>
      </c>
      <c r="C35" s="657">
        <v>61</v>
      </c>
    </row>
    <row r="36" spans="1:3">
      <c r="A36" s="656" t="s">
        <v>4150</v>
      </c>
      <c r="B36" s="8" t="s">
        <v>4147</v>
      </c>
      <c r="C36" s="657">
        <v>34</v>
      </c>
    </row>
    <row r="37" spans="1:3">
      <c r="A37" s="656" t="s">
        <v>4150</v>
      </c>
      <c r="B37" s="8" t="s">
        <v>4147</v>
      </c>
      <c r="C37" s="657">
        <v>28</v>
      </c>
    </row>
    <row r="38" spans="1:3">
      <c r="A38" s="656" t="s">
        <v>4150</v>
      </c>
      <c r="B38" s="8" t="s">
        <v>4148</v>
      </c>
      <c r="C38" s="657">
        <v>75</v>
      </c>
    </row>
    <row r="39" spans="1:3">
      <c r="A39" s="656" t="s">
        <v>4150</v>
      </c>
      <c r="B39" s="8" t="s">
        <v>4148</v>
      </c>
      <c r="C39" s="657">
        <v>57</v>
      </c>
    </row>
    <row r="40" spans="1:3">
      <c r="A40" s="656" t="s">
        <v>4150</v>
      </c>
      <c r="B40" s="8" t="s">
        <v>4148</v>
      </c>
      <c r="C40" s="657">
        <v>63</v>
      </c>
    </row>
    <row r="41" spans="1:3">
      <c r="A41" s="656" t="s">
        <v>4150</v>
      </c>
      <c r="B41" s="8" t="s">
        <v>4148</v>
      </c>
      <c r="C41" s="657">
        <v>25</v>
      </c>
    </row>
    <row r="42" spans="1:3">
      <c r="A42" s="656" t="s">
        <v>4150</v>
      </c>
      <c r="B42" s="8" t="s">
        <v>4148</v>
      </c>
      <c r="C42" s="657">
        <v>60</v>
      </c>
    </row>
    <row r="43" spans="1:3">
      <c r="A43" s="656" t="s">
        <v>4150</v>
      </c>
      <c r="B43" s="8" t="s">
        <v>4149</v>
      </c>
      <c r="C43" s="657">
        <v>55</v>
      </c>
    </row>
    <row r="44" spans="1:3">
      <c r="A44" s="656" t="s">
        <v>4150</v>
      </c>
      <c r="B44" s="8" t="s">
        <v>4149</v>
      </c>
      <c r="C44" s="657">
        <v>73</v>
      </c>
    </row>
    <row r="45" spans="1:3">
      <c r="A45" s="656" t="s">
        <v>4150</v>
      </c>
      <c r="B45" s="8" t="s">
        <v>4149</v>
      </c>
      <c r="C45" s="657">
        <v>69</v>
      </c>
    </row>
    <row r="46" spans="1:3">
      <c r="A46" s="656" t="s">
        <v>4150</v>
      </c>
      <c r="B46" s="8" t="s">
        <v>4149</v>
      </c>
      <c r="C46" s="657">
        <v>64</v>
      </c>
    </row>
    <row r="47" spans="1:3">
      <c r="A47" s="533" t="s">
        <v>4150</v>
      </c>
      <c r="B47" s="1078" t="s">
        <v>4149</v>
      </c>
      <c r="C47" s="541">
        <v>59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sheetPr codeName="Sheet164"/>
  <dimension ref="A1:M34"/>
  <sheetViews>
    <sheetView workbookViewId="0"/>
  </sheetViews>
  <sheetFormatPr defaultRowHeight="14.4"/>
  <cols>
    <col min="7" max="7" width="18" customWidth="1"/>
  </cols>
  <sheetData>
    <row r="1" spans="1:11">
      <c r="A1" s="1" t="s">
        <v>1575</v>
      </c>
    </row>
    <row r="3" spans="1:11">
      <c r="A3" s="549" t="s">
        <v>178</v>
      </c>
      <c r="B3" s="549" t="s">
        <v>244</v>
      </c>
      <c r="C3" s="549" t="s">
        <v>1451</v>
      </c>
      <c r="D3" s="549" t="s">
        <v>1452</v>
      </c>
      <c r="E3" s="549" t="s">
        <v>1453</v>
      </c>
      <c r="G3" t="s">
        <v>1008</v>
      </c>
    </row>
    <row r="4" spans="1:11" ht="15" thickBot="1">
      <c r="A4" s="549">
        <v>1</v>
      </c>
      <c r="B4" s="622">
        <v>16</v>
      </c>
      <c r="C4" s="623">
        <v>22</v>
      </c>
      <c r="D4" s="623">
        <v>23</v>
      </c>
      <c r="E4" s="626">
        <v>25</v>
      </c>
    </row>
    <row r="5" spans="1:11">
      <c r="A5" s="549">
        <f>A4+1</f>
        <v>2</v>
      </c>
      <c r="B5" s="624">
        <v>12</v>
      </c>
      <c r="C5" s="117">
        <v>18</v>
      </c>
      <c r="D5" s="117">
        <v>24</v>
      </c>
      <c r="E5" s="88">
        <v>29</v>
      </c>
      <c r="G5" s="603" t="s">
        <v>194</v>
      </c>
      <c r="H5" s="603" t="s">
        <v>88</v>
      </c>
      <c r="I5" s="603" t="s">
        <v>87</v>
      </c>
      <c r="J5" s="603" t="s">
        <v>886</v>
      </c>
      <c r="K5" s="603" t="s">
        <v>223</v>
      </c>
    </row>
    <row r="6" spans="1:11">
      <c r="A6" s="549">
        <f t="shared" ref="A6:A18" si="0">A5+1</f>
        <v>3</v>
      </c>
      <c r="B6" s="624">
        <v>23</v>
      </c>
      <c r="C6" s="117">
        <v>24</v>
      </c>
      <c r="D6" s="117">
        <v>26</v>
      </c>
      <c r="E6" s="88">
        <v>27</v>
      </c>
      <c r="G6" s="28">
        <v>1</v>
      </c>
      <c r="H6" s="28">
        <v>4</v>
      </c>
      <c r="I6" s="28">
        <v>86</v>
      </c>
      <c r="J6" s="28">
        <v>21.5</v>
      </c>
      <c r="K6" s="28">
        <v>15</v>
      </c>
    </row>
    <row r="7" spans="1:11">
      <c r="A7" s="549">
        <f t="shared" si="0"/>
        <v>4</v>
      </c>
      <c r="B7" s="624">
        <v>8</v>
      </c>
      <c r="C7" s="117">
        <v>20</v>
      </c>
      <c r="D7" s="117">
        <v>28</v>
      </c>
      <c r="E7" s="88">
        <v>30</v>
      </c>
      <c r="G7" s="28">
        <v>2</v>
      </c>
      <c r="H7" s="28">
        <v>4</v>
      </c>
      <c r="I7" s="28">
        <v>83</v>
      </c>
      <c r="J7" s="28">
        <v>20.75</v>
      </c>
      <c r="K7" s="28">
        <v>54.25</v>
      </c>
    </row>
    <row r="8" spans="1:11">
      <c r="A8" s="549">
        <f t="shared" si="0"/>
        <v>5</v>
      </c>
      <c r="B8" s="624">
        <v>3</v>
      </c>
      <c r="C8" s="117">
        <v>12</v>
      </c>
      <c r="D8" s="117">
        <v>13</v>
      </c>
      <c r="E8" s="88">
        <v>17</v>
      </c>
      <c r="G8" s="28">
        <v>3</v>
      </c>
      <c r="H8" s="28">
        <v>4</v>
      </c>
      <c r="I8" s="28">
        <v>100</v>
      </c>
      <c r="J8" s="28">
        <v>25</v>
      </c>
      <c r="K8" s="28">
        <v>3.3333333333333335</v>
      </c>
    </row>
    <row r="9" spans="1:11">
      <c r="A9" s="549">
        <f t="shared" si="0"/>
        <v>6</v>
      </c>
      <c r="B9" s="624">
        <v>5</v>
      </c>
      <c r="C9" s="117">
        <v>13</v>
      </c>
      <c r="D9" s="117">
        <v>11</v>
      </c>
      <c r="E9" s="88">
        <v>15</v>
      </c>
      <c r="G9" s="28">
        <v>4</v>
      </c>
      <c r="H9" s="28">
        <v>4</v>
      </c>
      <c r="I9" s="28">
        <v>86</v>
      </c>
      <c r="J9" s="28">
        <v>21.5</v>
      </c>
      <c r="K9" s="28">
        <v>99.666666666666671</v>
      </c>
    </row>
    <row r="10" spans="1:11">
      <c r="A10" s="549">
        <f t="shared" si="0"/>
        <v>7</v>
      </c>
      <c r="B10" s="624">
        <v>19</v>
      </c>
      <c r="C10" s="117">
        <v>22</v>
      </c>
      <c r="D10" s="117">
        <v>25</v>
      </c>
      <c r="E10" s="88">
        <v>26</v>
      </c>
      <c r="G10" s="28">
        <v>5</v>
      </c>
      <c r="H10" s="28">
        <v>4</v>
      </c>
      <c r="I10" s="28">
        <v>45</v>
      </c>
      <c r="J10" s="28">
        <v>11.25</v>
      </c>
      <c r="K10" s="28">
        <v>34.916666666666664</v>
      </c>
    </row>
    <row r="11" spans="1:11">
      <c r="A11" s="549">
        <f t="shared" si="0"/>
        <v>8</v>
      </c>
      <c r="B11" s="624">
        <v>22</v>
      </c>
      <c r="C11" s="117">
        <v>22</v>
      </c>
      <c r="D11" s="117">
        <v>23</v>
      </c>
      <c r="E11" s="88">
        <v>26</v>
      </c>
      <c r="G11" s="28">
        <v>6</v>
      </c>
      <c r="H11" s="28">
        <v>4</v>
      </c>
      <c r="I11" s="28">
        <v>44</v>
      </c>
      <c r="J11" s="28">
        <v>11</v>
      </c>
      <c r="K11" s="28">
        <v>18.666666666666668</v>
      </c>
    </row>
    <row r="12" spans="1:11">
      <c r="A12" s="549">
        <f t="shared" si="0"/>
        <v>9</v>
      </c>
      <c r="B12" s="624">
        <v>12</v>
      </c>
      <c r="C12" s="117">
        <v>20</v>
      </c>
      <c r="D12" s="117">
        <v>22</v>
      </c>
      <c r="E12" s="88">
        <v>24</v>
      </c>
      <c r="G12" s="28">
        <v>7</v>
      </c>
      <c r="H12" s="28">
        <v>4</v>
      </c>
      <c r="I12" s="28">
        <v>92</v>
      </c>
      <c r="J12" s="28">
        <v>23</v>
      </c>
      <c r="K12" s="28">
        <v>10</v>
      </c>
    </row>
    <row r="13" spans="1:11">
      <c r="A13" s="549">
        <f t="shared" si="0"/>
        <v>10</v>
      </c>
      <c r="B13" s="624">
        <v>16</v>
      </c>
      <c r="C13" s="117">
        <v>22</v>
      </c>
      <c r="D13" s="117">
        <v>26</v>
      </c>
      <c r="E13" s="88">
        <v>29</v>
      </c>
      <c r="G13" s="28">
        <v>8</v>
      </c>
      <c r="H13" s="28">
        <v>4</v>
      </c>
      <c r="I13" s="28">
        <v>93</v>
      </c>
      <c r="J13" s="28">
        <v>23.25</v>
      </c>
      <c r="K13" s="28">
        <v>3.5833333333333335</v>
      </c>
    </row>
    <row r="14" spans="1:11">
      <c r="A14" s="549">
        <f t="shared" si="0"/>
        <v>11</v>
      </c>
      <c r="B14" s="624">
        <v>14</v>
      </c>
      <c r="C14" s="117">
        <v>25</v>
      </c>
      <c r="D14" s="117">
        <v>18</v>
      </c>
      <c r="E14" s="88">
        <v>21</v>
      </c>
      <c r="G14" s="28">
        <v>9</v>
      </c>
      <c r="H14" s="28">
        <v>4</v>
      </c>
      <c r="I14" s="28">
        <v>78</v>
      </c>
      <c r="J14" s="28">
        <v>19.5</v>
      </c>
      <c r="K14" s="28">
        <v>27.666666666666668</v>
      </c>
    </row>
    <row r="15" spans="1:11">
      <c r="A15" s="549">
        <f t="shared" si="0"/>
        <v>12</v>
      </c>
      <c r="B15" s="624">
        <v>24</v>
      </c>
      <c r="C15" s="117">
        <v>26</v>
      </c>
      <c r="D15" s="117">
        <v>21</v>
      </c>
      <c r="E15" s="88">
        <v>23</v>
      </c>
      <c r="G15" s="28">
        <v>10</v>
      </c>
      <c r="H15" s="28">
        <v>4</v>
      </c>
      <c r="I15" s="28">
        <v>93</v>
      </c>
      <c r="J15" s="28">
        <v>23.25</v>
      </c>
      <c r="K15" s="28">
        <v>31.583333333333332</v>
      </c>
    </row>
    <row r="16" spans="1:11">
      <c r="A16" s="549">
        <f t="shared" si="0"/>
        <v>13</v>
      </c>
      <c r="B16" s="624">
        <v>9</v>
      </c>
      <c r="C16" s="117">
        <v>12</v>
      </c>
      <c r="D16" s="117">
        <v>20</v>
      </c>
      <c r="E16" s="88">
        <v>23</v>
      </c>
      <c r="G16" s="28">
        <v>11</v>
      </c>
      <c r="H16" s="28">
        <v>4</v>
      </c>
      <c r="I16" s="28">
        <v>78</v>
      </c>
      <c r="J16" s="28">
        <v>19.5</v>
      </c>
      <c r="K16" s="28">
        <v>21.666666666666668</v>
      </c>
    </row>
    <row r="17" spans="1:13">
      <c r="A17" s="549">
        <f t="shared" si="0"/>
        <v>14</v>
      </c>
      <c r="B17" s="624">
        <v>3</v>
      </c>
      <c r="C17" s="117">
        <v>9</v>
      </c>
      <c r="D17" s="117">
        <v>13</v>
      </c>
      <c r="E17" s="88">
        <v>16</v>
      </c>
      <c r="G17" s="28">
        <v>12</v>
      </c>
      <c r="H17" s="28">
        <v>4</v>
      </c>
      <c r="I17" s="28">
        <v>94</v>
      </c>
      <c r="J17" s="28">
        <v>23.5</v>
      </c>
      <c r="K17" s="28">
        <v>4.333333333333333</v>
      </c>
    </row>
    <row r="18" spans="1:13">
      <c r="A18" s="549">
        <f t="shared" si="0"/>
        <v>15</v>
      </c>
      <c r="B18" s="612">
        <v>2</v>
      </c>
      <c r="C18" s="613">
        <v>8</v>
      </c>
      <c r="D18" s="613">
        <v>6</v>
      </c>
      <c r="E18" s="90">
        <v>10</v>
      </c>
      <c r="G18" s="28">
        <v>13</v>
      </c>
      <c r="H18" s="28">
        <v>4</v>
      </c>
      <c r="I18" s="28">
        <v>64</v>
      </c>
      <c r="J18" s="28">
        <v>16</v>
      </c>
      <c r="K18" s="28">
        <v>43.333333333333336</v>
      </c>
    </row>
    <row r="19" spans="1:13">
      <c r="G19" s="28">
        <v>14</v>
      </c>
      <c r="H19" s="28">
        <v>4</v>
      </c>
      <c r="I19" s="28">
        <v>41</v>
      </c>
      <c r="J19" s="28">
        <v>10.25</v>
      </c>
      <c r="K19" s="28">
        <v>31.583333333333332</v>
      </c>
    </row>
    <row r="20" spans="1:13">
      <c r="G20" s="28">
        <v>15</v>
      </c>
      <c r="H20" s="28">
        <v>4</v>
      </c>
      <c r="I20" s="28">
        <v>26</v>
      </c>
      <c r="J20" s="28">
        <v>6.5</v>
      </c>
      <c r="K20" s="28">
        <v>11.666666666666666</v>
      </c>
    </row>
    <row r="21" spans="1:13">
      <c r="G21" s="28"/>
      <c r="H21" s="28"/>
      <c r="I21" s="28"/>
      <c r="J21" s="28"/>
      <c r="K21" s="28"/>
    </row>
    <row r="22" spans="1:13">
      <c r="G22" s="28" t="s">
        <v>244</v>
      </c>
      <c r="H22" s="28">
        <v>15</v>
      </c>
      <c r="I22" s="28">
        <v>188</v>
      </c>
      <c r="J22" s="28">
        <v>12.533333333333333</v>
      </c>
      <c r="K22" s="28">
        <v>55.838095238095221</v>
      </c>
    </row>
    <row r="23" spans="1:13">
      <c r="G23" s="28" t="s">
        <v>1451</v>
      </c>
      <c r="H23" s="28">
        <v>15</v>
      </c>
      <c r="I23" s="28">
        <v>275</v>
      </c>
      <c r="J23" s="28">
        <v>18.333333333333332</v>
      </c>
      <c r="K23" s="28">
        <v>35.523809523809504</v>
      </c>
    </row>
    <row r="24" spans="1:13">
      <c r="G24" s="28" t="s">
        <v>1452</v>
      </c>
      <c r="H24" s="28">
        <v>15</v>
      </c>
      <c r="I24" s="28">
        <v>299</v>
      </c>
      <c r="J24" s="28">
        <v>19.933333333333334</v>
      </c>
      <c r="K24" s="28">
        <v>41.352380952380955</v>
      </c>
    </row>
    <row r="25" spans="1:13" ht="15" thickBot="1">
      <c r="G25" s="31" t="s">
        <v>1453</v>
      </c>
      <c r="H25" s="31">
        <v>15</v>
      </c>
      <c r="I25" s="31">
        <v>341</v>
      </c>
      <c r="J25" s="31">
        <v>22.733333333333334</v>
      </c>
      <c r="K25" s="31">
        <v>34.352380952380955</v>
      </c>
    </row>
    <row r="28" spans="1:13" ht="15" thickBot="1">
      <c r="G28" t="s">
        <v>695</v>
      </c>
    </row>
    <row r="29" spans="1:13">
      <c r="G29" s="603" t="s">
        <v>887</v>
      </c>
      <c r="H29" s="603" t="s">
        <v>578</v>
      </c>
      <c r="I29" s="603" t="s">
        <v>186</v>
      </c>
      <c r="J29" s="603" t="s">
        <v>641</v>
      </c>
      <c r="K29" s="603" t="s">
        <v>388</v>
      </c>
      <c r="L29" s="603" t="s">
        <v>367</v>
      </c>
      <c r="M29" s="603" t="s">
        <v>888</v>
      </c>
    </row>
    <row r="30" spans="1:13">
      <c r="G30" s="28" t="s">
        <v>390</v>
      </c>
      <c r="H30" s="28">
        <v>1938.4333333333334</v>
      </c>
      <c r="I30" s="28">
        <v>14</v>
      </c>
      <c r="J30" s="28">
        <v>138.4595238095238</v>
      </c>
      <c r="K30" s="28">
        <v>14.520099875156053</v>
      </c>
      <c r="L30" s="28">
        <v>8.1670607503920066E-12</v>
      </c>
      <c r="M30" s="28">
        <v>1.9350088132446253</v>
      </c>
    </row>
    <row r="31" spans="1:13">
      <c r="G31" s="28" t="s">
        <v>1010</v>
      </c>
      <c r="H31" s="28">
        <v>833.25</v>
      </c>
      <c r="I31" s="28">
        <v>3</v>
      </c>
      <c r="J31" s="28">
        <v>277.75</v>
      </c>
      <c r="K31" s="28">
        <v>29.127340823970034</v>
      </c>
      <c r="L31" s="28">
        <v>2.39621816316698E-10</v>
      </c>
      <c r="M31" s="28">
        <v>2.8270487120861261</v>
      </c>
    </row>
    <row r="32" spans="1:13">
      <c r="G32" s="28" t="s">
        <v>1009</v>
      </c>
      <c r="H32" s="28">
        <v>400.5</v>
      </c>
      <c r="I32" s="28">
        <v>42</v>
      </c>
      <c r="J32" s="28">
        <v>9.5357142857142865</v>
      </c>
      <c r="K32" s="28"/>
      <c r="L32" s="28"/>
      <c r="M32" s="28"/>
    </row>
    <row r="33" spans="7:13">
      <c r="G33" s="28"/>
      <c r="H33" s="28"/>
      <c r="I33" s="28"/>
      <c r="J33" s="28"/>
      <c r="K33" s="28"/>
      <c r="L33" s="28"/>
      <c r="M33" s="28"/>
    </row>
    <row r="34" spans="7:13" ht="15" thickBot="1">
      <c r="G34" s="31" t="s">
        <v>12</v>
      </c>
      <c r="H34" s="31">
        <v>3172.1833333333334</v>
      </c>
      <c r="I34" s="31">
        <v>59</v>
      </c>
      <c r="J34" s="31"/>
      <c r="K34" s="31"/>
      <c r="L34" s="31"/>
      <c r="M34" s="31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sheetPr codeName="Sheet168"/>
  <dimension ref="A1:G26"/>
  <sheetViews>
    <sheetView zoomScaleNormal="100" workbookViewId="0"/>
  </sheetViews>
  <sheetFormatPr defaultRowHeight="14.4"/>
  <cols>
    <col min="1" max="1" width="9.88671875" customWidth="1"/>
    <col min="5" max="5" width="9.109375" customWidth="1"/>
  </cols>
  <sheetData>
    <row r="1" spans="1:6">
      <c r="A1" s="1" t="s">
        <v>1467</v>
      </c>
    </row>
    <row r="3" spans="1:6">
      <c r="A3" s="632" t="s">
        <v>178</v>
      </c>
      <c r="B3" s="632" t="s">
        <v>244</v>
      </c>
      <c r="C3" s="632" t="s">
        <v>1451</v>
      </c>
      <c r="D3" s="632" t="s">
        <v>1452</v>
      </c>
      <c r="E3" s="632" t="s">
        <v>1453</v>
      </c>
    </row>
    <row r="4" spans="1:6">
      <c r="A4" s="632" t="s">
        <v>977</v>
      </c>
      <c r="B4" s="637">
        <v>1</v>
      </c>
      <c r="C4" s="638">
        <f>-1/3</f>
        <v>-0.33333333333333331</v>
      </c>
      <c r="D4" s="638">
        <f>-1/3</f>
        <v>-0.33333333333333331</v>
      </c>
      <c r="E4" s="639">
        <f>-1/3</f>
        <v>-0.33333333333333331</v>
      </c>
      <c r="F4" s="640" t="s">
        <v>1468</v>
      </c>
    </row>
    <row r="5" spans="1:6">
      <c r="A5" s="632">
        <v>1</v>
      </c>
      <c r="B5" s="641">
        <v>16</v>
      </c>
      <c r="C5" s="642">
        <v>22</v>
      </c>
      <c r="D5" s="642">
        <v>23</v>
      </c>
      <c r="E5" s="643">
        <v>25</v>
      </c>
      <c r="F5" s="627">
        <f>SUMPRODUCT($B$4:$E$4,B5:E5)</f>
        <v>-7.3333333333333304</v>
      </c>
    </row>
    <row r="6" spans="1:6">
      <c r="A6" s="632">
        <f>A5+1</f>
        <v>2</v>
      </c>
      <c r="B6" s="624">
        <v>12</v>
      </c>
      <c r="C6" s="117">
        <v>18</v>
      </c>
      <c r="D6" s="117">
        <v>24</v>
      </c>
      <c r="E6" s="618">
        <v>29</v>
      </c>
      <c r="F6" s="627">
        <f t="shared" ref="F6:F19" si="0">SUMPRODUCT($B$4:$E$4,B6:E6)</f>
        <v>-11.666666666666666</v>
      </c>
    </row>
    <row r="7" spans="1:6">
      <c r="A7" s="632">
        <f t="shared" ref="A7:A19" si="1">A6+1</f>
        <v>3</v>
      </c>
      <c r="B7" s="624">
        <v>23</v>
      </c>
      <c r="C7" s="117">
        <v>24</v>
      </c>
      <c r="D7" s="117">
        <v>26</v>
      </c>
      <c r="E7" s="618">
        <v>27</v>
      </c>
      <c r="F7" s="627">
        <f t="shared" si="0"/>
        <v>-2.6666666666666661</v>
      </c>
    </row>
    <row r="8" spans="1:6">
      <c r="A8" s="632">
        <f t="shared" si="1"/>
        <v>4</v>
      </c>
      <c r="B8" s="624">
        <v>8</v>
      </c>
      <c r="C8" s="117">
        <v>20</v>
      </c>
      <c r="D8" s="117">
        <v>28</v>
      </c>
      <c r="E8" s="618">
        <v>30</v>
      </c>
      <c r="F8" s="627">
        <f t="shared" si="0"/>
        <v>-18</v>
      </c>
    </row>
    <row r="9" spans="1:6">
      <c r="A9" s="632">
        <f t="shared" si="1"/>
        <v>5</v>
      </c>
      <c r="B9" s="624">
        <v>3</v>
      </c>
      <c r="C9" s="117">
        <v>12</v>
      </c>
      <c r="D9" s="117">
        <v>13</v>
      </c>
      <c r="E9" s="618">
        <v>17</v>
      </c>
      <c r="F9" s="627">
        <f t="shared" si="0"/>
        <v>-11</v>
      </c>
    </row>
    <row r="10" spans="1:6">
      <c r="A10" s="632">
        <f t="shared" si="1"/>
        <v>6</v>
      </c>
      <c r="B10" s="624">
        <v>5</v>
      </c>
      <c r="C10" s="117">
        <v>13</v>
      </c>
      <c r="D10" s="117">
        <v>11</v>
      </c>
      <c r="E10" s="618">
        <v>15</v>
      </c>
      <c r="F10" s="627">
        <f t="shared" si="0"/>
        <v>-8</v>
      </c>
    </row>
    <row r="11" spans="1:6">
      <c r="A11" s="632">
        <f t="shared" si="1"/>
        <v>7</v>
      </c>
      <c r="B11" s="624">
        <v>19</v>
      </c>
      <c r="C11" s="117">
        <v>22</v>
      </c>
      <c r="D11" s="117">
        <v>25</v>
      </c>
      <c r="E11" s="618">
        <v>26</v>
      </c>
      <c r="F11" s="627">
        <f t="shared" si="0"/>
        <v>-5.3333333333333304</v>
      </c>
    </row>
    <row r="12" spans="1:6">
      <c r="A12" s="632">
        <f t="shared" si="1"/>
        <v>8</v>
      </c>
      <c r="B12" s="624">
        <v>22</v>
      </c>
      <c r="C12" s="117">
        <v>22</v>
      </c>
      <c r="D12" s="117">
        <v>23</v>
      </c>
      <c r="E12" s="618">
        <v>26</v>
      </c>
      <c r="F12" s="627">
        <f t="shared" si="0"/>
        <v>-1.6666666666666643</v>
      </c>
    </row>
    <row r="13" spans="1:6">
      <c r="A13" s="632">
        <f t="shared" si="1"/>
        <v>9</v>
      </c>
      <c r="B13" s="624">
        <v>12</v>
      </c>
      <c r="C13" s="117">
        <v>20</v>
      </c>
      <c r="D13" s="117">
        <v>22</v>
      </c>
      <c r="E13" s="618">
        <v>24</v>
      </c>
      <c r="F13" s="627">
        <f t="shared" si="0"/>
        <v>-10</v>
      </c>
    </row>
    <row r="14" spans="1:6">
      <c r="A14" s="632">
        <f t="shared" si="1"/>
        <v>10</v>
      </c>
      <c r="B14" s="624">
        <v>16</v>
      </c>
      <c r="C14" s="117">
        <v>22</v>
      </c>
      <c r="D14" s="117">
        <v>26</v>
      </c>
      <c r="E14" s="618">
        <v>29</v>
      </c>
      <c r="F14" s="627">
        <f t="shared" si="0"/>
        <v>-9.6666666666666643</v>
      </c>
    </row>
    <row r="15" spans="1:6">
      <c r="A15" s="632">
        <f t="shared" si="1"/>
        <v>11</v>
      </c>
      <c r="B15" s="624">
        <v>14</v>
      </c>
      <c r="C15" s="117">
        <v>25</v>
      </c>
      <c r="D15" s="117">
        <v>18</v>
      </c>
      <c r="E15" s="618">
        <v>21</v>
      </c>
      <c r="F15" s="627">
        <f t="shared" si="0"/>
        <v>-7.3333333333333321</v>
      </c>
    </row>
    <row r="16" spans="1:6">
      <c r="A16" s="632">
        <f t="shared" si="1"/>
        <v>12</v>
      </c>
      <c r="B16" s="624">
        <v>24</v>
      </c>
      <c r="C16" s="117">
        <v>26</v>
      </c>
      <c r="D16" s="117">
        <v>21</v>
      </c>
      <c r="E16" s="618">
        <v>23</v>
      </c>
      <c r="F16" s="627">
        <f t="shared" si="0"/>
        <v>0.66666666666666785</v>
      </c>
    </row>
    <row r="17" spans="1:7">
      <c r="A17" s="632">
        <f t="shared" si="1"/>
        <v>13</v>
      </c>
      <c r="B17" s="624">
        <v>9</v>
      </c>
      <c r="C17" s="117">
        <v>12</v>
      </c>
      <c r="D17" s="117">
        <v>20</v>
      </c>
      <c r="E17" s="618">
        <v>23</v>
      </c>
      <c r="F17" s="627">
        <f t="shared" si="0"/>
        <v>-9.3333333333333321</v>
      </c>
    </row>
    <row r="18" spans="1:7">
      <c r="A18" s="632">
        <f t="shared" si="1"/>
        <v>14</v>
      </c>
      <c r="B18" s="624">
        <v>3</v>
      </c>
      <c r="C18" s="117">
        <v>9</v>
      </c>
      <c r="D18" s="117">
        <v>13</v>
      </c>
      <c r="E18" s="618">
        <v>16</v>
      </c>
      <c r="F18" s="627">
        <f t="shared" si="0"/>
        <v>-9.6666666666666661</v>
      </c>
    </row>
    <row r="19" spans="1:7">
      <c r="A19" s="632">
        <f t="shared" si="1"/>
        <v>15</v>
      </c>
      <c r="B19" s="612">
        <v>2</v>
      </c>
      <c r="C19" s="613">
        <v>8</v>
      </c>
      <c r="D19" s="613">
        <v>6</v>
      </c>
      <c r="E19" s="90">
        <v>10</v>
      </c>
      <c r="F19" s="544">
        <f t="shared" si="0"/>
        <v>-6</v>
      </c>
    </row>
    <row r="20" spans="1:7">
      <c r="A20" s="632" t="s">
        <v>63</v>
      </c>
      <c r="F20" s="644">
        <f>AVERAGE(F5:F19)</f>
        <v>-7.799999999999998</v>
      </c>
    </row>
    <row r="21" spans="1:7">
      <c r="A21" s="632" t="s">
        <v>218</v>
      </c>
      <c r="F21" s="627">
        <f>STDEV(F5:F19)</f>
        <v>4.5422181840754901</v>
      </c>
    </row>
    <row r="22" spans="1:7">
      <c r="A22" s="632" t="s">
        <v>1469</v>
      </c>
      <c r="F22" s="544">
        <f>F21/SQRT(COUNTA($A$5:$A$19))</f>
        <v>1.1727956921176579</v>
      </c>
    </row>
    <row r="24" spans="1:7" ht="15" thickBot="1">
      <c r="A24" t="s">
        <v>930</v>
      </c>
    </row>
    <row r="25" spans="1:7">
      <c r="A25" s="633" t="s">
        <v>63</v>
      </c>
      <c r="B25" s="633" t="s">
        <v>522</v>
      </c>
      <c r="C25" s="633" t="s">
        <v>1470</v>
      </c>
      <c r="D25" s="633" t="s">
        <v>186</v>
      </c>
      <c r="E25" s="630" t="s">
        <v>200</v>
      </c>
      <c r="F25" s="630" t="s">
        <v>1477</v>
      </c>
      <c r="G25" s="630" t="s">
        <v>1478</v>
      </c>
    </row>
    <row r="26" spans="1:7" ht="15" thickBot="1">
      <c r="A26" s="37">
        <f>F20</f>
        <v>-7.799999999999998</v>
      </c>
      <c r="B26" s="37">
        <f>F22</f>
        <v>1.1727956921176579</v>
      </c>
      <c r="C26" s="37">
        <f>A26/B26</f>
        <v>-6.6507747704256417</v>
      </c>
      <c r="D26" s="631">
        <f>A19-1</f>
        <v>14</v>
      </c>
      <c r="E26" s="37">
        <f>TDIST(ABS(C26),D26,2)</f>
        <v>1.0947447655714998E-5</v>
      </c>
      <c r="F26" s="37">
        <f>ABS(F20/F21)</f>
        <v>1.7172226616823312</v>
      </c>
      <c r="G26" s="37">
        <f>SQRT(C26^2/(C26^2+D26))</f>
        <v>0.87154212973269984</v>
      </c>
    </row>
  </sheetData>
  <pageMargins left="0.7" right="0.7" top="0.75" bottom="0.75" header="0.3" footer="0.3"/>
  <ignoredErrors>
    <ignoredError sqref="F5" formulaRange="1"/>
  </ignoredErrors>
</worksheet>
</file>

<file path=xl/worksheets/sheet277.xml><?xml version="1.0" encoding="utf-8"?>
<worksheet xmlns="http://schemas.openxmlformats.org/spreadsheetml/2006/main" xmlns:r="http://schemas.openxmlformats.org/officeDocument/2006/relationships">
  <sheetPr codeName="Sheet169"/>
  <dimension ref="A1:AT48"/>
  <sheetViews>
    <sheetView workbookViewId="0">
      <selection sqref="A1:E18"/>
    </sheetView>
  </sheetViews>
  <sheetFormatPr defaultRowHeight="14.4"/>
  <cols>
    <col min="37" max="37" width="9.109375" customWidth="1"/>
    <col min="39" max="40" width="9.109375" customWidth="1"/>
    <col min="42" max="42" width="6.5546875" customWidth="1"/>
    <col min="43" max="43" width="16.88671875" customWidth="1"/>
    <col min="45" max="45" width="3.33203125" customWidth="1"/>
    <col min="46" max="46" width="40" customWidth="1"/>
  </cols>
  <sheetData>
    <row r="1" spans="1:46">
      <c r="A1" s="1" t="s">
        <v>1576</v>
      </c>
    </row>
    <row r="3" spans="1:46" ht="15" thickBot="1">
      <c r="A3" s="632" t="s">
        <v>178</v>
      </c>
      <c r="B3" s="632" t="s">
        <v>244</v>
      </c>
      <c r="C3" s="632" t="s">
        <v>1451</v>
      </c>
      <c r="D3" s="632" t="s">
        <v>1452</v>
      </c>
      <c r="E3" s="632" t="s">
        <v>1453</v>
      </c>
      <c r="G3" t="s">
        <v>879</v>
      </c>
      <c r="N3" t="s">
        <v>695</v>
      </c>
      <c r="R3" t="s">
        <v>116</v>
      </c>
      <c r="S3">
        <v>0.05</v>
      </c>
      <c r="W3" s="1" t="s">
        <v>1476</v>
      </c>
      <c r="AK3" t="s">
        <v>1430</v>
      </c>
      <c r="AQ3" t="s">
        <v>1431</v>
      </c>
    </row>
    <row r="4" spans="1:46" ht="15" thickTop="1">
      <c r="A4" s="632">
        <v>1</v>
      </c>
      <c r="B4" s="641">
        <v>16</v>
      </c>
      <c r="C4" s="642">
        <v>22</v>
      </c>
      <c r="D4" s="642">
        <v>23</v>
      </c>
      <c r="E4" s="643">
        <v>25</v>
      </c>
      <c r="N4" s="76" t="s">
        <v>880</v>
      </c>
      <c r="O4" s="76" t="s">
        <v>578</v>
      </c>
      <c r="P4" s="76" t="s">
        <v>186</v>
      </c>
      <c r="Q4" s="76" t="s">
        <v>641</v>
      </c>
      <c r="R4" s="76" t="s">
        <v>388</v>
      </c>
      <c r="S4" s="76" t="s">
        <v>881</v>
      </c>
      <c r="T4" s="76" t="s">
        <v>882</v>
      </c>
    </row>
    <row r="5" spans="1:46">
      <c r="A5" s="632">
        <f>A4+1</f>
        <v>2</v>
      </c>
      <c r="B5" s="624">
        <v>12</v>
      </c>
      <c r="C5" s="117">
        <v>18</v>
      </c>
      <c r="D5" s="117">
        <v>24</v>
      </c>
      <c r="E5" s="618">
        <v>29</v>
      </c>
      <c r="G5" s="632" t="str">
        <f>A3</f>
        <v>Subject</v>
      </c>
      <c r="H5" s="632" t="str">
        <f t="shared" ref="H5:K20" si="0">B3</f>
        <v>Before</v>
      </c>
      <c r="I5" s="632" t="str">
        <f t="shared" si="0"/>
        <v>1 week</v>
      </c>
      <c r="J5" s="632" t="str">
        <f t="shared" si="0"/>
        <v>2 weeks</v>
      </c>
      <c r="K5" s="632" t="str">
        <f t="shared" si="0"/>
        <v>3 weeks</v>
      </c>
      <c r="L5" s="632" t="s">
        <v>76</v>
      </c>
      <c r="N5" t="s">
        <v>1429</v>
      </c>
      <c r="O5">
        <f>H26*DEVSQ(L6:L20)</f>
        <v>1938.4333333333334</v>
      </c>
      <c r="P5">
        <f>H25-1</f>
        <v>14</v>
      </c>
      <c r="Q5">
        <f>O5/P5</f>
        <v>138.4595238095238</v>
      </c>
      <c r="R5">
        <f>Q5/Q7</f>
        <v>14.520099875156061</v>
      </c>
      <c r="S5">
        <f>FDIST(R5,P5,P7)</f>
        <v>8.1670607503918935E-12</v>
      </c>
      <c r="T5">
        <f>FINV(S3,P5,P7)</f>
        <v>1.9350088132446253</v>
      </c>
      <c r="W5" s="632" t="s">
        <v>178</v>
      </c>
      <c r="X5" s="632" t="s">
        <v>244</v>
      </c>
      <c r="Y5" s="632" t="s">
        <v>1454</v>
      </c>
      <c r="Z5" s="632" t="s">
        <v>1455</v>
      </c>
      <c r="AA5" s="632" t="s">
        <v>1456</v>
      </c>
      <c r="AC5" s="632" t="s">
        <v>178</v>
      </c>
      <c r="AD5" s="19" t="s">
        <v>1457</v>
      </c>
      <c r="AE5" s="19" t="s">
        <v>1458</v>
      </c>
      <c r="AF5" s="19" t="s">
        <v>1459</v>
      </c>
      <c r="AG5" s="19" t="s">
        <v>1460</v>
      </c>
      <c r="AH5" s="19" t="s">
        <v>1461</v>
      </c>
      <c r="AI5" s="19" t="s">
        <v>1462</v>
      </c>
      <c r="AL5" s="645" t="e">
        <f t="array" aca="1" ref="AL5:AO8" ca="1">[1]!COV(H6:K20)</f>
        <v>#NAME?</v>
      </c>
      <c r="AM5" s="646" t="e">
        <f ca="1"/>
        <v>#NAME?</v>
      </c>
      <c r="AN5" s="646" t="e">
        <f ca="1"/>
        <v>#NAME?</v>
      </c>
      <c r="AO5" s="647" t="e">
        <f ca="1"/>
        <v>#NAME?</v>
      </c>
      <c r="AQ5" t="s">
        <v>1433</v>
      </c>
      <c r="AR5" s="644">
        <f>H26</f>
        <v>4</v>
      </c>
      <c r="AT5" s="23" t="s">
        <v>1475</v>
      </c>
    </row>
    <row r="6" spans="1:46">
      <c r="A6" s="632">
        <f t="shared" ref="A6:A18" si="1">A5+1</f>
        <v>3</v>
      </c>
      <c r="B6" s="624">
        <v>23</v>
      </c>
      <c r="C6" s="117">
        <v>24</v>
      </c>
      <c r="D6" s="117">
        <v>26</v>
      </c>
      <c r="E6" s="88">
        <v>27</v>
      </c>
      <c r="G6" s="632">
        <f t="shared" ref="G6:G20" si="2">A4</f>
        <v>1</v>
      </c>
      <c r="H6" s="641">
        <f t="shared" si="0"/>
        <v>16</v>
      </c>
      <c r="I6" s="642">
        <f t="shared" si="0"/>
        <v>22</v>
      </c>
      <c r="J6" s="642">
        <f t="shared" si="0"/>
        <v>23</v>
      </c>
      <c r="K6" s="648">
        <f t="shared" si="0"/>
        <v>25</v>
      </c>
      <c r="L6">
        <f>AVERAGE(H6:K6)</f>
        <v>21.5</v>
      </c>
      <c r="N6" t="s">
        <v>222</v>
      </c>
      <c r="O6">
        <f>H25*DEVSQ(H21:K21)</f>
        <v>833.25000000000023</v>
      </c>
      <c r="P6">
        <f>H26-1</f>
        <v>3</v>
      </c>
      <c r="Q6">
        <f>O6/P6</f>
        <v>277.75000000000006</v>
      </c>
      <c r="R6">
        <f>Q6/Q7</f>
        <v>29.127340823970059</v>
      </c>
      <c r="S6">
        <f>FDIST(R6,P6,P7)</f>
        <v>2.3962181631669464E-10</v>
      </c>
      <c r="T6">
        <f>FINV(S3,P6,P7)</f>
        <v>2.8270487120861261</v>
      </c>
      <c r="W6" s="632">
        <v>1</v>
      </c>
      <c r="X6" s="649">
        <f>B4</f>
        <v>16</v>
      </c>
      <c r="Y6" s="650">
        <f t="shared" ref="Y6:AA20" si="3">C4</f>
        <v>22</v>
      </c>
      <c r="Z6" s="650">
        <f t="shared" si="3"/>
        <v>23</v>
      </c>
      <c r="AA6" s="643">
        <f t="shared" si="3"/>
        <v>25</v>
      </c>
      <c r="AC6" s="632">
        <v>1</v>
      </c>
      <c r="AD6" s="651">
        <f>X6-Y6</f>
        <v>-6</v>
      </c>
      <c r="AE6" s="652">
        <f>X6-Z6</f>
        <v>-7</v>
      </c>
      <c r="AF6" s="652">
        <f>X6-AA6</f>
        <v>-9</v>
      </c>
      <c r="AG6" s="652">
        <f>Y6-Z6</f>
        <v>-1</v>
      </c>
      <c r="AH6" s="652">
        <f>Y6-AA6</f>
        <v>-3</v>
      </c>
      <c r="AI6" s="653">
        <f>Z6-AA6</f>
        <v>-2</v>
      </c>
      <c r="AL6" s="625" t="e">
        <f ca="1"/>
        <v>#NAME?</v>
      </c>
      <c r="AM6" s="8" t="e">
        <f ca="1"/>
        <v>#NAME?</v>
      </c>
      <c r="AN6" s="8" t="e">
        <f ca="1"/>
        <v>#NAME?</v>
      </c>
      <c r="AO6" s="132" t="e">
        <f ca="1"/>
        <v>#NAME?</v>
      </c>
      <c r="AQ6" t="s">
        <v>1434</v>
      </c>
      <c r="AR6" s="627">
        <f>AVERAGE(H22:K22)</f>
        <v>41.766666666666652</v>
      </c>
      <c r="AT6" s="23" t="s">
        <v>1471</v>
      </c>
    </row>
    <row r="7" spans="1:46">
      <c r="A7" s="632">
        <f t="shared" si="1"/>
        <v>4</v>
      </c>
      <c r="B7" s="624">
        <v>8</v>
      </c>
      <c r="C7" s="117">
        <v>20</v>
      </c>
      <c r="D7" s="117">
        <v>28</v>
      </c>
      <c r="E7" s="88">
        <v>30</v>
      </c>
      <c r="G7" s="632">
        <f t="shared" si="2"/>
        <v>2</v>
      </c>
      <c r="H7" s="624">
        <f t="shared" si="0"/>
        <v>12</v>
      </c>
      <c r="I7" s="117">
        <f t="shared" si="0"/>
        <v>18</v>
      </c>
      <c r="J7" s="117">
        <f t="shared" si="0"/>
        <v>24</v>
      </c>
      <c r="K7" s="628">
        <f t="shared" si="0"/>
        <v>29</v>
      </c>
      <c r="L7">
        <f t="shared" ref="L7:L20" si="4">AVERAGE(H7:K7)</f>
        <v>20.75</v>
      </c>
      <c r="N7" t="s">
        <v>1009</v>
      </c>
      <c r="O7">
        <f>O8-O5-O6</f>
        <v>400.49999999999977</v>
      </c>
      <c r="P7">
        <f>P8-P5-P6</f>
        <v>42</v>
      </c>
      <c r="Q7">
        <f>O7/P7</f>
        <v>9.5357142857142811</v>
      </c>
      <c r="W7" s="632">
        <f>W6+1</f>
        <v>2</v>
      </c>
      <c r="X7" s="87">
        <f t="shared" ref="X7:X20" si="5">B5</f>
        <v>12</v>
      </c>
      <c r="Y7" s="117">
        <f t="shared" si="3"/>
        <v>18</v>
      </c>
      <c r="Z7" s="117">
        <f t="shared" si="3"/>
        <v>24</v>
      </c>
      <c r="AA7" s="88">
        <f t="shared" si="3"/>
        <v>29</v>
      </c>
      <c r="AC7" s="632">
        <f>AC6+1</f>
        <v>2</v>
      </c>
      <c r="AD7" s="7">
        <f t="shared" ref="AD7:AD20" si="6">X7-Y7</f>
        <v>-6</v>
      </c>
      <c r="AE7" s="8">
        <f t="shared" ref="AE7:AE20" si="7">X7-Z7</f>
        <v>-12</v>
      </c>
      <c r="AF7" s="8">
        <f t="shared" ref="AF7:AF20" si="8">X7-AA7</f>
        <v>-17</v>
      </c>
      <c r="AG7" s="8">
        <f t="shared" ref="AG7:AG20" si="9">Y7-Z7</f>
        <v>-6</v>
      </c>
      <c r="AH7" s="8">
        <f t="shared" ref="AH7:AH20" si="10">Y7-AA7</f>
        <v>-11</v>
      </c>
      <c r="AI7" s="9">
        <f t="shared" ref="AI7:AI20" si="11">Z7-AA7</f>
        <v>-5</v>
      </c>
      <c r="AL7" s="625" t="e">
        <f ca="1"/>
        <v>#NAME?</v>
      </c>
      <c r="AM7" s="8" t="e">
        <f ca="1"/>
        <v>#NAME?</v>
      </c>
      <c r="AN7" s="8" t="e">
        <f ca="1"/>
        <v>#NAME?</v>
      </c>
      <c r="AO7" s="132" t="e">
        <f ca="1"/>
        <v>#NAME?</v>
      </c>
      <c r="AQ7" t="s">
        <v>1435</v>
      </c>
      <c r="AR7" s="627" t="e">
        <f ca="1">AVERAGE(H30:K33)</f>
        <v>#NAME?</v>
      </c>
      <c r="AT7" s="23" t="s">
        <v>1472</v>
      </c>
    </row>
    <row r="8" spans="1:46">
      <c r="A8" s="632">
        <f t="shared" si="1"/>
        <v>5</v>
      </c>
      <c r="B8" s="624">
        <v>3</v>
      </c>
      <c r="C8" s="117">
        <v>12</v>
      </c>
      <c r="D8" s="117">
        <v>13</v>
      </c>
      <c r="E8" s="88">
        <v>17</v>
      </c>
      <c r="G8" s="632">
        <f t="shared" si="2"/>
        <v>3</v>
      </c>
      <c r="H8" s="624">
        <f t="shared" si="0"/>
        <v>23</v>
      </c>
      <c r="I8" s="117">
        <f t="shared" si="0"/>
        <v>24</v>
      </c>
      <c r="J8" s="117">
        <f t="shared" si="0"/>
        <v>26</v>
      </c>
      <c r="K8" s="628">
        <f t="shared" si="0"/>
        <v>27</v>
      </c>
      <c r="L8">
        <f t="shared" si="4"/>
        <v>25</v>
      </c>
      <c r="N8" t="s">
        <v>12</v>
      </c>
      <c r="O8">
        <f>DEVSQ(H6:K20)</f>
        <v>3172.1833333333334</v>
      </c>
      <c r="P8">
        <f>H25*H26-1</f>
        <v>59</v>
      </c>
      <c r="W8" s="632">
        <f t="shared" ref="W8:W20" si="12">W7+1</f>
        <v>3</v>
      </c>
      <c r="X8" s="87">
        <f t="shared" si="5"/>
        <v>23</v>
      </c>
      <c r="Y8" s="117">
        <f t="shared" si="3"/>
        <v>24</v>
      </c>
      <c r="Z8" s="117">
        <f t="shared" si="3"/>
        <v>26</v>
      </c>
      <c r="AA8" s="88">
        <f t="shared" si="3"/>
        <v>27</v>
      </c>
      <c r="AC8" s="632">
        <f t="shared" ref="AC8:AC20" si="13">AC7+1</f>
        <v>3</v>
      </c>
      <c r="AD8" s="7">
        <f t="shared" si="6"/>
        <v>-1</v>
      </c>
      <c r="AE8" s="8">
        <f t="shared" si="7"/>
        <v>-3</v>
      </c>
      <c r="AF8" s="8">
        <f t="shared" si="8"/>
        <v>-4</v>
      </c>
      <c r="AG8" s="8">
        <f t="shared" si="9"/>
        <v>-2</v>
      </c>
      <c r="AH8" s="8">
        <f t="shared" si="10"/>
        <v>-3</v>
      </c>
      <c r="AI8" s="9">
        <f t="shared" si="11"/>
        <v>-1</v>
      </c>
      <c r="AL8" s="497" t="e">
        <f ca="1"/>
        <v>#NAME?</v>
      </c>
      <c r="AM8" s="615" t="e">
        <f ca="1"/>
        <v>#NAME?</v>
      </c>
      <c r="AN8" s="615" t="e">
        <f ca="1"/>
        <v>#NAME?</v>
      </c>
      <c r="AO8" s="498" t="e">
        <f ca="1"/>
        <v>#NAME?</v>
      </c>
      <c r="AQ8" t="s">
        <v>1436</v>
      </c>
      <c r="AR8" s="627" t="e">
        <f ca="1">SUMSQ(AL5:AO8)</f>
        <v>#NAME?</v>
      </c>
      <c r="AT8" s="23" t="s">
        <v>1479</v>
      </c>
    </row>
    <row r="9" spans="1:46">
      <c r="A9" s="632">
        <f t="shared" si="1"/>
        <v>6</v>
      </c>
      <c r="B9" s="624">
        <v>5</v>
      </c>
      <c r="C9" s="117">
        <v>13</v>
      </c>
      <c r="D9" s="117">
        <v>11</v>
      </c>
      <c r="E9" s="88">
        <v>15</v>
      </c>
      <c r="G9" s="632">
        <f t="shared" si="2"/>
        <v>4</v>
      </c>
      <c r="H9" s="624">
        <f t="shared" si="0"/>
        <v>8</v>
      </c>
      <c r="I9" s="117">
        <f t="shared" si="0"/>
        <v>20</v>
      </c>
      <c r="J9" s="117">
        <f t="shared" si="0"/>
        <v>28</v>
      </c>
      <c r="K9" s="628">
        <f t="shared" si="0"/>
        <v>30</v>
      </c>
      <c r="L9">
        <f t="shared" si="4"/>
        <v>21.5</v>
      </c>
      <c r="N9" s="652"/>
      <c r="O9" s="652"/>
      <c r="P9" s="652"/>
      <c r="Q9" s="652"/>
      <c r="R9" s="652"/>
      <c r="S9" s="652"/>
      <c r="T9" s="652"/>
      <c r="W9" s="632">
        <f t="shared" si="12"/>
        <v>4</v>
      </c>
      <c r="X9" s="87">
        <f t="shared" si="5"/>
        <v>8</v>
      </c>
      <c r="Y9" s="117">
        <f t="shared" si="3"/>
        <v>20</v>
      </c>
      <c r="Z9" s="117">
        <f t="shared" si="3"/>
        <v>28</v>
      </c>
      <c r="AA9" s="88">
        <f t="shared" si="3"/>
        <v>30</v>
      </c>
      <c r="AC9" s="632">
        <f t="shared" si="13"/>
        <v>4</v>
      </c>
      <c r="AD9" s="7">
        <f t="shared" si="6"/>
        <v>-12</v>
      </c>
      <c r="AE9" s="8">
        <f t="shared" si="7"/>
        <v>-20</v>
      </c>
      <c r="AF9" s="8">
        <f t="shared" si="8"/>
        <v>-22</v>
      </c>
      <c r="AG9" s="8">
        <f t="shared" si="9"/>
        <v>-8</v>
      </c>
      <c r="AH9" s="8">
        <f t="shared" si="10"/>
        <v>-10</v>
      </c>
      <c r="AI9" s="9">
        <f t="shared" si="11"/>
        <v>-2</v>
      </c>
      <c r="AK9" t="s">
        <v>76</v>
      </c>
      <c r="AL9" t="e">
        <f ca="1">AVERAGE(AL5:AL8)</f>
        <v>#NAME?</v>
      </c>
      <c r="AM9" t="e">
        <f ca="1">AVERAGE(AM5:AM8)</f>
        <v>#NAME?</v>
      </c>
      <c r="AN9" t="e">
        <f ca="1">AVERAGE(AN5:AN8)</f>
        <v>#NAME?</v>
      </c>
      <c r="AO9" t="e">
        <f ca="1">AVERAGE(AO5:AO8)</f>
        <v>#NAME?</v>
      </c>
      <c r="AQ9" t="s">
        <v>1437</v>
      </c>
      <c r="AR9" s="627" t="e">
        <f ca="1">SUMSQ(AL9:AO9)</f>
        <v>#NAME?</v>
      </c>
      <c r="AT9" s="23" t="s">
        <v>1480</v>
      </c>
    </row>
    <row r="10" spans="1:46" ht="15" thickBot="1">
      <c r="A10" s="632">
        <f t="shared" si="1"/>
        <v>7</v>
      </c>
      <c r="B10" s="624">
        <v>19</v>
      </c>
      <c r="C10" s="117">
        <v>22</v>
      </c>
      <c r="D10" s="117">
        <v>25</v>
      </c>
      <c r="E10" s="88">
        <v>26</v>
      </c>
      <c r="G10" s="632">
        <f t="shared" si="2"/>
        <v>5</v>
      </c>
      <c r="H10" s="624">
        <f t="shared" si="0"/>
        <v>3</v>
      </c>
      <c r="I10" s="117">
        <f t="shared" si="0"/>
        <v>12</v>
      </c>
      <c r="J10" s="117">
        <f t="shared" si="0"/>
        <v>13</v>
      </c>
      <c r="K10" s="628">
        <f t="shared" si="0"/>
        <v>17</v>
      </c>
      <c r="L10">
        <f t="shared" si="4"/>
        <v>11.25</v>
      </c>
      <c r="N10" t="s">
        <v>1444</v>
      </c>
      <c r="R10" t="s">
        <v>116</v>
      </c>
      <c r="S10">
        <v>0.05</v>
      </c>
      <c r="W10" s="632">
        <f t="shared" si="12"/>
        <v>5</v>
      </c>
      <c r="X10" s="87">
        <f t="shared" si="5"/>
        <v>3</v>
      </c>
      <c r="Y10" s="117">
        <f t="shared" si="3"/>
        <v>12</v>
      </c>
      <c r="Z10" s="117">
        <f t="shared" si="3"/>
        <v>13</v>
      </c>
      <c r="AA10" s="88">
        <f t="shared" si="3"/>
        <v>17</v>
      </c>
      <c r="AC10" s="632">
        <f t="shared" si="13"/>
        <v>5</v>
      </c>
      <c r="AD10" s="7">
        <f t="shared" si="6"/>
        <v>-9</v>
      </c>
      <c r="AE10" s="8">
        <f t="shared" si="7"/>
        <v>-10</v>
      </c>
      <c r="AF10" s="8">
        <f t="shared" si="8"/>
        <v>-14</v>
      </c>
      <c r="AG10" s="8">
        <f t="shared" si="9"/>
        <v>-1</v>
      </c>
      <c r="AH10" s="8">
        <f t="shared" si="10"/>
        <v>-5</v>
      </c>
      <c r="AI10" s="9">
        <f t="shared" si="11"/>
        <v>-4</v>
      </c>
      <c r="AQ10" t="s">
        <v>1438</v>
      </c>
      <c r="AR10" s="627" t="e">
        <f ca="1">(AR5*(AR6-AR7))^2</f>
        <v>#NAME?</v>
      </c>
      <c r="AT10" s="23" t="s">
        <v>1481</v>
      </c>
    </row>
    <row r="11" spans="1:46" ht="15" thickTop="1">
      <c r="A11" s="632">
        <f t="shared" si="1"/>
        <v>8</v>
      </c>
      <c r="B11" s="624">
        <v>22</v>
      </c>
      <c r="C11" s="117">
        <v>22</v>
      </c>
      <c r="D11" s="117">
        <v>23</v>
      </c>
      <c r="E11" s="88">
        <v>26</v>
      </c>
      <c r="G11" s="632">
        <f t="shared" si="2"/>
        <v>6</v>
      </c>
      <c r="H11" s="624">
        <f t="shared" si="0"/>
        <v>5</v>
      </c>
      <c r="I11" s="117">
        <f t="shared" si="0"/>
        <v>13</v>
      </c>
      <c r="J11" s="117">
        <f t="shared" si="0"/>
        <v>11</v>
      </c>
      <c r="K11" s="628">
        <f t="shared" si="0"/>
        <v>15</v>
      </c>
      <c r="L11">
        <f t="shared" si="4"/>
        <v>11</v>
      </c>
      <c r="N11" s="76" t="s">
        <v>880</v>
      </c>
      <c r="O11" s="76" t="s">
        <v>578</v>
      </c>
      <c r="P11" s="76" t="s">
        <v>186</v>
      </c>
      <c r="Q11" s="76" t="s">
        <v>641</v>
      </c>
      <c r="R11" s="76" t="s">
        <v>388</v>
      </c>
      <c r="S11" s="76" t="s">
        <v>881</v>
      </c>
      <c r="T11" s="76" t="s">
        <v>882</v>
      </c>
      <c r="W11" s="632">
        <f t="shared" si="12"/>
        <v>6</v>
      </c>
      <c r="X11" s="87">
        <f t="shared" si="5"/>
        <v>5</v>
      </c>
      <c r="Y11" s="117">
        <f t="shared" si="3"/>
        <v>13</v>
      </c>
      <c r="Z11" s="117">
        <f t="shared" si="3"/>
        <v>11</v>
      </c>
      <c r="AA11" s="88">
        <f t="shared" si="3"/>
        <v>15</v>
      </c>
      <c r="AC11" s="632">
        <f t="shared" si="13"/>
        <v>6</v>
      </c>
      <c r="AD11" s="7">
        <f t="shared" si="6"/>
        <v>-8</v>
      </c>
      <c r="AE11" s="8">
        <f t="shared" si="7"/>
        <v>-6</v>
      </c>
      <c r="AF11" s="8">
        <f t="shared" si="8"/>
        <v>-10</v>
      </c>
      <c r="AG11" s="8">
        <f t="shared" si="9"/>
        <v>2</v>
      </c>
      <c r="AH11" s="8">
        <f t="shared" si="10"/>
        <v>-2</v>
      </c>
      <c r="AI11" s="9">
        <f t="shared" si="11"/>
        <v>-4</v>
      </c>
      <c r="AQ11" t="s">
        <v>1439</v>
      </c>
      <c r="AR11" s="627" t="e">
        <f ca="1">(AR5-1)*(AR8-2*AR5*AR9+AR5^2*AR7^2)</f>
        <v>#NAME?</v>
      </c>
      <c r="AT11" s="23" t="s">
        <v>1482</v>
      </c>
    </row>
    <row r="12" spans="1:46">
      <c r="A12" s="632">
        <f t="shared" si="1"/>
        <v>9</v>
      </c>
      <c r="B12" s="624">
        <v>12</v>
      </c>
      <c r="C12" s="117">
        <v>20</v>
      </c>
      <c r="D12" s="117">
        <v>22</v>
      </c>
      <c r="E12" s="88">
        <v>24</v>
      </c>
      <c r="G12" s="632">
        <f t="shared" si="2"/>
        <v>7</v>
      </c>
      <c r="H12" s="624">
        <f t="shared" si="0"/>
        <v>19</v>
      </c>
      <c r="I12" s="117">
        <f t="shared" si="0"/>
        <v>22</v>
      </c>
      <c r="J12" s="117">
        <f t="shared" si="0"/>
        <v>25</v>
      </c>
      <c r="K12" s="628">
        <f t="shared" si="0"/>
        <v>26</v>
      </c>
      <c r="L12">
        <f t="shared" si="4"/>
        <v>23</v>
      </c>
      <c r="N12" t="s">
        <v>222</v>
      </c>
      <c r="O12">
        <f>O6</f>
        <v>833.25000000000023</v>
      </c>
      <c r="P12" t="e">
        <f ca="1">P6*J45</f>
        <v>#NAME?</v>
      </c>
      <c r="Q12" t="e">
        <f ca="1">O12/P12</f>
        <v>#NAME?</v>
      </c>
      <c r="R12" t="e">
        <f ca="1">Q12/Q13</f>
        <v>#NAME?</v>
      </c>
      <c r="S12" t="e">
        <f ca="1">FDIST(R12,P12,P13)</f>
        <v>#NAME?</v>
      </c>
      <c r="T12" t="e">
        <f ca="1">FINV(S10,P12,P13)</f>
        <v>#NAME?</v>
      </c>
      <c r="W12" s="632">
        <f t="shared" si="12"/>
        <v>7</v>
      </c>
      <c r="X12" s="87">
        <f t="shared" si="5"/>
        <v>19</v>
      </c>
      <c r="Y12" s="117">
        <f t="shared" si="3"/>
        <v>22</v>
      </c>
      <c r="Z12" s="117">
        <f t="shared" si="3"/>
        <v>25</v>
      </c>
      <c r="AA12" s="88">
        <f t="shared" si="3"/>
        <v>26</v>
      </c>
      <c r="AC12" s="632">
        <f t="shared" si="13"/>
        <v>7</v>
      </c>
      <c r="AD12" s="7">
        <f t="shared" si="6"/>
        <v>-3</v>
      </c>
      <c r="AE12" s="8">
        <f t="shared" si="7"/>
        <v>-6</v>
      </c>
      <c r="AF12" s="8">
        <f t="shared" si="8"/>
        <v>-7</v>
      </c>
      <c r="AG12" s="8">
        <f t="shared" si="9"/>
        <v>-3</v>
      </c>
      <c r="AH12" s="8">
        <f t="shared" si="10"/>
        <v>-4</v>
      </c>
      <c r="AI12" s="9">
        <f t="shared" si="11"/>
        <v>-1</v>
      </c>
      <c r="AQ12" t="s">
        <v>1440</v>
      </c>
      <c r="AR12" s="268" t="e">
        <f ca="1">AR10/AR11</f>
        <v>#NAME?</v>
      </c>
      <c r="AT12" s="23" t="s">
        <v>1483</v>
      </c>
    </row>
    <row r="13" spans="1:46">
      <c r="A13" s="632">
        <f t="shared" si="1"/>
        <v>10</v>
      </c>
      <c r="B13" s="624">
        <v>16</v>
      </c>
      <c r="C13" s="117">
        <v>22</v>
      </c>
      <c r="D13" s="117">
        <v>26</v>
      </c>
      <c r="E13" s="88">
        <v>29</v>
      </c>
      <c r="G13" s="632">
        <f t="shared" si="2"/>
        <v>8</v>
      </c>
      <c r="H13" s="624">
        <f t="shared" si="0"/>
        <v>22</v>
      </c>
      <c r="I13" s="117">
        <f t="shared" si="0"/>
        <v>22</v>
      </c>
      <c r="J13" s="117">
        <f t="shared" si="0"/>
        <v>23</v>
      </c>
      <c r="K13" s="628">
        <f t="shared" si="0"/>
        <v>26</v>
      </c>
      <c r="L13">
        <f t="shared" si="4"/>
        <v>23.25</v>
      </c>
      <c r="N13" t="s">
        <v>1009</v>
      </c>
      <c r="O13">
        <f>O7</f>
        <v>400.49999999999977</v>
      </c>
      <c r="P13" t="e">
        <f ca="1">P7*J45</f>
        <v>#NAME?</v>
      </c>
      <c r="Q13" t="e">
        <f ca="1">O13/P13</f>
        <v>#NAME?</v>
      </c>
      <c r="W13" s="632">
        <f t="shared" si="12"/>
        <v>8</v>
      </c>
      <c r="X13" s="87">
        <f t="shared" si="5"/>
        <v>22</v>
      </c>
      <c r="Y13" s="117">
        <f t="shared" si="3"/>
        <v>22</v>
      </c>
      <c r="Z13" s="117">
        <f t="shared" si="3"/>
        <v>23</v>
      </c>
      <c r="AA13" s="88">
        <f t="shared" si="3"/>
        <v>26</v>
      </c>
      <c r="AC13" s="632">
        <f t="shared" si="13"/>
        <v>8</v>
      </c>
      <c r="AD13" s="7">
        <f t="shared" si="6"/>
        <v>0</v>
      </c>
      <c r="AE13" s="8">
        <f t="shared" si="7"/>
        <v>-1</v>
      </c>
      <c r="AF13" s="8">
        <f t="shared" si="8"/>
        <v>-4</v>
      </c>
      <c r="AG13" s="8">
        <f t="shared" si="9"/>
        <v>-1</v>
      </c>
      <c r="AH13" s="8">
        <f t="shared" si="10"/>
        <v>-4</v>
      </c>
      <c r="AI13" s="9">
        <f t="shared" si="11"/>
        <v>-3</v>
      </c>
    </row>
    <row r="14" spans="1:46">
      <c r="A14" s="632">
        <f t="shared" si="1"/>
        <v>11</v>
      </c>
      <c r="B14" s="624">
        <v>14</v>
      </c>
      <c r="C14" s="117">
        <v>25</v>
      </c>
      <c r="D14" s="117">
        <v>18</v>
      </c>
      <c r="E14" s="88">
        <v>21</v>
      </c>
      <c r="G14" s="632">
        <f t="shared" si="2"/>
        <v>9</v>
      </c>
      <c r="H14" s="624">
        <f t="shared" si="0"/>
        <v>12</v>
      </c>
      <c r="I14" s="117">
        <f t="shared" si="0"/>
        <v>20</v>
      </c>
      <c r="J14" s="117">
        <f t="shared" si="0"/>
        <v>22</v>
      </c>
      <c r="K14" s="628">
        <f t="shared" si="0"/>
        <v>24</v>
      </c>
      <c r="L14">
        <f t="shared" si="4"/>
        <v>19.5</v>
      </c>
      <c r="N14" s="652"/>
      <c r="O14" s="652"/>
      <c r="P14" s="652"/>
      <c r="Q14" s="652"/>
      <c r="R14" s="652"/>
      <c r="S14" s="652"/>
      <c r="T14" s="652"/>
      <c r="W14" s="632">
        <f t="shared" si="12"/>
        <v>9</v>
      </c>
      <c r="X14" s="87">
        <f t="shared" si="5"/>
        <v>12</v>
      </c>
      <c r="Y14" s="117">
        <f t="shared" si="3"/>
        <v>20</v>
      </c>
      <c r="Z14" s="117">
        <f t="shared" si="3"/>
        <v>22</v>
      </c>
      <c r="AA14" s="88">
        <f t="shared" si="3"/>
        <v>24</v>
      </c>
      <c r="AC14" s="632">
        <f t="shared" si="13"/>
        <v>9</v>
      </c>
      <c r="AD14" s="7">
        <f t="shared" si="6"/>
        <v>-8</v>
      </c>
      <c r="AE14" s="8">
        <f t="shared" si="7"/>
        <v>-10</v>
      </c>
      <c r="AF14" s="8">
        <f t="shared" si="8"/>
        <v>-12</v>
      </c>
      <c r="AG14" s="8">
        <f t="shared" si="9"/>
        <v>-2</v>
      </c>
      <c r="AH14" s="8">
        <f t="shared" si="10"/>
        <v>-4</v>
      </c>
      <c r="AI14" s="9">
        <f t="shared" si="11"/>
        <v>-2</v>
      </c>
      <c r="AQ14" t="s">
        <v>1432</v>
      </c>
      <c r="AR14" s="654">
        <f>H25</f>
        <v>15</v>
      </c>
      <c r="AT14" s="23" t="s">
        <v>1474</v>
      </c>
    </row>
    <row r="15" spans="1:46" ht="15" thickBot="1">
      <c r="A15" s="632">
        <f t="shared" si="1"/>
        <v>12</v>
      </c>
      <c r="B15" s="624">
        <v>24</v>
      </c>
      <c r="C15" s="117">
        <v>26</v>
      </c>
      <c r="D15" s="117">
        <v>21</v>
      </c>
      <c r="E15" s="88">
        <v>23</v>
      </c>
      <c r="G15" s="632">
        <f t="shared" si="2"/>
        <v>10</v>
      </c>
      <c r="H15" s="624">
        <f t="shared" si="0"/>
        <v>16</v>
      </c>
      <c r="I15" s="117">
        <f t="shared" si="0"/>
        <v>22</v>
      </c>
      <c r="J15" s="117">
        <f t="shared" si="0"/>
        <v>26</v>
      </c>
      <c r="K15" s="628">
        <f t="shared" si="0"/>
        <v>29</v>
      </c>
      <c r="L15">
        <f t="shared" si="4"/>
        <v>23.25</v>
      </c>
      <c r="N15" t="s">
        <v>1445</v>
      </c>
      <c r="R15" t="s">
        <v>116</v>
      </c>
      <c r="S15">
        <v>0.05</v>
      </c>
      <c r="W15" s="632">
        <f t="shared" si="12"/>
        <v>10</v>
      </c>
      <c r="X15" s="87">
        <f t="shared" si="5"/>
        <v>16</v>
      </c>
      <c r="Y15" s="117">
        <f t="shared" si="3"/>
        <v>22</v>
      </c>
      <c r="Z15" s="117">
        <f t="shared" si="3"/>
        <v>26</v>
      </c>
      <c r="AA15" s="88">
        <f t="shared" si="3"/>
        <v>29</v>
      </c>
      <c r="AC15" s="632">
        <f t="shared" si="13"/>
        <v>10</v>
      </c>
      <c r="AD15" s="7">
        <f t="shared" si="6"/>
        <v>-6</v>
      </c>
      <c r="AE15" s="8">
        <f t="shared" si="7"/>
        <v>-10</v>
      </c>
      <c r="AF15" s="8">
        <f t="shared" si="8"/>
        <v>-13</v>
      </c>
      <c r="AG15" s="8">
        <f t="shared" si="9"/>
        <v>-4</v>
      </c>
      <c r="AH15" s="8">
        <f t="shared" si="10"/>
        <v>-7</v>
      </c>
      <c r="AI15" s="9">
        <f t="shared" si="11"/>
        <v>-3</v>
      </c>
      <c r="AQ15" t="s">
        <v>1433</v>
      </c>
      <c r="AR15" s="627">
        <f>AR5</f>
        <v>4</v>
      </c>
      <c r="AT15" s="23" t="s">
        <v>1473</v>
      </c>
    </row>
    <row r="16" spans="1:46" ht="15" thickTop="1">
      <c r="A16" s="632">
        <f t="shared" si="1"/>
        <v>13</v>
      </c>
      <c r="B16" s="624">
        <v>9</v>
      </c>
      <c r="C16" s="117">
        <v>12</v>
      </c>
      <c r="D16" s="117">
        <v>20</v>
      </c>
      <c r="E16" s="88">
        <v>23</v>
      </c>
      <c r="G16" s="632">
        <f t="shared" si="2"/>
        <v>11</v>
      </c>
      <c r="H16" s="624">
        <f t="shared" si="0"/>
        <v>14</v>
      </c>
      <c r="I16" s="117">
        <f t="shared" si="0"/>
        <v>25</v>
      </c>
      <c r="J16" s="117">
        <f t="shared" si="0"/>
        <v>18</v>
      </c>
      <c r="K16" s="628">
        <f t="shared" si="0"/>
        <v>21</v>
      </c>
      <c r="L16">
        <f t="shared" si="4"/>
        <v>19.5</v>
      </c>
      <c r="N16" s="76" t="s">
        <v>880</v>
      </c>
      <c r="O16" s="76" t="s">
        <v>578</v>
      </c>
      <c r="P16" s="76" t="s">
        <v>186</v>
      </c>
      <c r="Q16" s="76" t="s">
        <v>641</v>
      </c>
      <c r="R16" s="76" t="s">
        <v>388</v>
      </c>
      <c r="S16" s="76" t="s">
        <v>881</v>
      </c>
      <c r="T16" s="76" t="s">
        <v>882</v>
      </c>
      <c r="W16" s="632">
        <f t="shared" si="12"/>
        <v>11</v>
      </c>
      <c r="X16" s="87">
        <f t="shared" si="5"/>
        <v>14</v>
      </c>
      <c r="Y16" s="117">
        <f t="shared" si="3"/>
        <v>25</v>
      </c>
      <c r="Z16" s="117">
        <f t="shared" si="3"/>
        <v>18</v>
      </c>
      <c r="AA16" s="88">
        <f t="shared" si="3"/>
        <v>21</v>
      </c>
      <c r="AC16" s="632">
        <f t="shared" si="13"/>
        <v>11</v>
      </c>
      <c r="AD16" s="7">
        <f t="shared" si="6"/>
        <v>-11</v>
      </c>
      <c r="AE16" s="8">
        <f t="shared" si="7"/>
        <v>-4</v>
      </c>
      <c r="AF16" s="8">
        <f t="shared" si="8"/>
        <v>-7</v>
      </c>
      <c r="AG16" s="8">
        <f t="shared" si="9"/>
        <v>7</v>
      </c>
      <c r="AH16" s="8">
        <f t="shared" si="10"/>
        <v>4</v>
      </c>
      <c r="AI16" s="9">
        <f t="shared" si="11"/>
        <v>-3</v>
      </c>
      <c r="AQ16" t="s">
        <v>1440</v>
      </c>
      <c r="AR16" s="627" t="e">
        <f ca="1">AR12</f>
        <v>#NAME?</v>
      </c>
      <c r="AT16" s="23" t="s">
        <v>1484</v>
      </c>
    </row>
    <row r="17" spans="1:46">
      <c r="A17" s="632">
        <f t="shared" si="1"/>
        <v>14</v>
      </c>
      <c r="B17" s="624">
        <v>3</v>
      </c>
      <c r="C17" s="117">
        <v>9</v>
      </c>
      <c r="D17" s="117">
        <v>13</v>
      </c>
      <c r="E17" s="88">
        <v>16</v>
      </c>
      <c r="G17" s="632">
        <f t="shared" si="2"/>
        <v>12</v>
      </c>
      <c r="H17" s="624">
        <f t="shared" si="0"/>
        <v>24</v>
      </c>
      <c r="I17" s="117">
        <f t="shared" si="0"/>
        <v>26</v>
      </c>
      <c r="J17" s="117">
        <f t="shared" si="0"/>
        <v>21</v>
      </c>
      <c r="K17" s="628">
        <f t="shared" si="0"/>
        <v>23</v>
      </c>
      <c r="L17">
        <f t="shared" si="4"/>
        <v>23.5</v>
      </c>
      <c r="N17" t="s">
        <v>222</v>
      </c>
      <c r="O17">
        <f>O6</f>
        <v>833.25000000000023</v>
      </c>
      <c r="P17" t="e">
        <f ca="1">P6*J48</f>
        <v>#NAME?</v>
      </c>
      <c r="Q17" t="e">
        <f ca="1">O17/P17</f>
        <v>#NAME?</v>
      </c>
      <c r="R17" t="e">
        <f ca="1">Q17/Q18</f>
        <v>#NAME?</v>
      </c>
      <c r="S17" t="e">
        <f ca="1">FDIST(R17,P17,P18)</f>
        <v>#NAME?</v>
      </c>
      <c r="T17" t="e">
        <f ca="1">FINV(S15,P17,P18)</f>
        <v>#NAME?</v>
      </c>
      <c r="W17" s="632">
        <f t="shared" si="12"/>
        <v>12</v>
      </c>
      <c r="X17" s="87">
        <f t="shared" si="5"/>
        <v>24</v>
      </c>
      <c r="Y17" s="117">
        <f t="shared" si="3"/>
        <v>26</v>
      </c>
      <c r="Z17" s="117">
        <f t="shared" si="3"/>
        <v>21</v>
      </c>
      <c r="AA17" s="88">
        <f t="shared" si="3"/>
        <v>23</v>
      </c>
      <c r="AC17" s="632">
        <f t="shared" si="13"/>
        <v>12</v>
      </c>
      <c r="AD17" s="7">
        <f t="shared" si="6"/>
        <v>-2</v>
      </c>
      <c r="AE17" s="8">
        <f t="shared" si="7"/>
        <v>3</v>
      </c>
      <c r="AF17" s="8">
        <f t="shared" si="8"/>
        <v>1</v>
      </c>
      <c r="AG17" s="8">
        <f t="shared" si="9"/>
        <v>5</v>
      </c>
      <c r="AH17" s="8">
        <f t="shared" si="10"/>
        <v>3</v>
      </c>
      <c r="AI17" s="9">
        <f t="shared" si="11"/>
        <v>-2</v>
      </c>
      <c r="AQ17" t="s">
        <v>1441</v>
      </c>
      <c r="AR17" s="627" t="e">
        <f ca="1">AR14*(AR15-1)*AR16-2</f>
        <v>#NAME?</v>
      </c>
      <c r="AT17" s="23" t="s">
        <v>1485</v>
      </c>
    </row>
    <row r="18" spans="1:46">
      <c r="A18" s="632">
        <f t="shared" si="1"/>
        <v>15</v>
      </c>
      <c r="B18" s="612">
        <v>2</v>
      </c>
      <c r="C18" s="613">
        <v>8</v>
      </c>
      <c r="D18" s="613">
        <v>6</v>
      </c>
      <c r="E18" s="90">
        <v>10</v>
      </c>
      <c r="G18" s="632">
        <f t="shared" si="2"/>
        <v>13</v>
      </c>
      <c r="H18" s="624">
        <f t="shared" si="0"/>
        <v>9</v>
      </c>
      <c r="I18" s="117">
        <f t="shared" si="0"/>
        <v>12</v>
      </c>
      <c r="J18" s="117">
        <f t="shared" si="0"/>
        <v>20</v>
      </c>
      <c r="K18" s="628">
        <f t="shared" si="0"/>
        <v>23</v>
      </c>
      <c r="L18">
        <f t="shared" si="4"/>
        <v>16</v>
      </c>
      <c r="N18" t="s">
        <v>1009</v>
      </c>
      <c r="O18">
        <f>O7</f>
        <v>400.49999999999977</v>
      </c>
      <c r="P18" t="e">
        <f ca="1">P7*J48</f>
        <v>#NAME?</v>
      </c>
      <c r="Q18" t="e">
        <f ca="1">O18/P18</f>
        <v>#NAME?</v>
      </c>
      <c r="W18" s="632">
        <f t="shared" si="12"/>
        <v>13</v>
      </c>
      <c r="X18" s="87">
        <f t="shared" si="5"/>
        <v>9</v>
      </c>
      <c r="Y18" s="117">
        <f t="shared" si="3"/>
        <v>12</v>
      </c>
      <c r="Z18" s="117">
        <f t="shared" si="3"/>
        <v>20</v>
      </c>
      <c r="AA18" s="88">
        <f t="shared" si="3"/>
        <v>23</v>
      </c>
      <c r="AC18" s="632">
        <f t="shared" si="13"/>
        <v>13</v>
      </c>
      <c r="AD18" s="7">
        <f t="shared" si="6"/>
        <v>-3</v>
      </c>
      <c r="AE18" s="8">
        <f t="shared" si="7"/>
        <v>-11</v>
      </c>
      <c r="AF18" s="8">
        <f t="shared" si="8"/>
        <v>-14</v>
      </c>
      <c r="AG18" s="8">
        <f t="shared" si="9"/>
        <v>-8</v>
      </c>
      <c r="AH18" s="8">
        <f t="shared" si="10"/>
        <v>-11</v>
      </c>
      <c r="AI18" s="9">
        <f t="shared" si="11"/>
        <v>-3</v>
      </c>
      <c r="AQ18" t="s">
        <v>1442</v>
      </c>
      <c r="AR18" s="627" t="e">
        <f ca="1">(AR15-1)*(AR14-1-(AR15-1)*AR16)</f>
        <v>#NAME?</v>
      </c>
      <c r="AT18" s="23" t="s">
        <v>1486</v>
      </c>
    </row>
    <row r="19" spans="1:46">
      <c r="G19" s="632">
        <f t="shared" si="2"/>
        <v>14</v>
      </c>
      <c r="H19" s="624">
        <f t="shared" si="0"/>
        <v>3</v>
      </c>
      <c r="I19" s="117">
        <f t="shared" si="0"/>
        <v>9</v>
      </c>
      <c r="J19" s="117">
        <f t="shared" si="0"/>
        <v>13</v>
      </c>
      <c r="K19" s="628">
        <f t="shared" si="0"/>
        <v>16</v>
      </c>
      <c r="L19">
        <f t="shared" si="4"/>
        <v>10.25</v>
      </c>
      <c r="N19" s="652"/>
      <c r="O19" s="652"/>
      <c r="P19" s="652"/>
      <c r="Q19" s="652"/>
      <c r="R19" s="652"/>
      <c r="S19" s="652"/>
      <c r="T19" s="652"/>
      <c r="W19" s="632">
        <f t="shared" si="12"/>
        <v>14</v>
      </c>
      <c r="X19" s="87">
        <f t="shared" si="5"/>
        <v>3</v>
      </c>
      <c r="Y19" s="117">
        <f t="shared" si="3"/>
        <v>9</v>
      </c>
      <c r="Z19" s="117">
        <f t="shared" si="3"/>
        <v>13</v>
      </c>
      <c r="AA19" s="88">
        <f t="shared" si="3"/>
        <v>16</v>
      </c>
      <c r="AC19" s="632">
        <f t="shared" si="13"/>
        <v>14</v>
      </c>
      <c r="AD19" s="7">
        <f t="shared" si="6"/>
        <v>-6</v>
      </c>
      <c r="AE19" s="8">
        <f t="shared" si="7"/>
        <v>-10</v>
      </c>
      <c r="AF19" s="8">
        <f t="shared" si="8"/>
        <v>-13</v>
      </c>
      <c r="AG19" s="8">
        <f t="shared" si="9"/>
        <v>-4</v>
      </c>
      <c r="AH19" s="8">
        <f t="shared" si="10"/>
        <v>-7</v>
      </c>
      <c r="AI19" s="9">
        <f t="shared" si="11"/>
        <v>-3</v>
      </c>
      <c r="AQ19" t="s">
        <v>1443</v>
      </c>
      <c r="AR19" s="544" t="e">
        <f ca="1">MIN(AR17/AR18,1)</f>
        <v>#NAME?</v>
      </c>
      <c r="AT19" s="23" t="s">
        <v>1487</v>
      </c>
    </row>
    <row r="20" spans="1:46">
      <c r="G20" s="632">
        <f t="shared" si="2"/>
        <v>15</v>
      </c>
      <c r="H20" s="612">
        <f t="shared" si="0"/>
        <v>2</v>
      </c>
      <c r="I20" s="613">
        <f t="shared" si="0"/>
        <v>8</v>
      </c>
      <c r="J20" s="613">
        <f t="shared" si="0"/>
        <v>6</v>
      </c>
      <c r="K20" s="629">
        <f t="shared" si="0"/>
        <v>10</v>
      </c>
      <c r="L20">
        <f t="shared" si="4"/>
        <v>6.5</v>
      </c>
      <c r="W20" s="632">
        <f t="shared" si="12"/>
        <v>15</v>
      </c>
      <c r="X20" s="89">
        <f t="shared" si="5"/>
        <v>2</v>
      </c>
      <c r="Y20" s="634">
        <f t="shared" si="3"/>
        <v>8</v>
      </c>
      <c r="Z20" s="634">
        <f t="shared" si="3"/>
        <v>6</v>
      </c>
      <c r="AA20" s="90">
        <f t="shared" si="3"/>
        <v>10</v>
      </c>
      <c r="AC20" s="632">
        <f t="shared" si="13"/>
        <v>15</v>
      </c>
      <c r="AD20" s="10">
        <f t="shared" si="6"/>
        <v>-6</v>
      </c>
      <c r="AE20" s="11">
        <f t="shared" si="7"/>
        <v>-4</v>
      </c>
      <c r="AF20" s="11">
        <f t="shared" si="8"/>
        <v>-8</v>
      </c>
      <c r="AG20" s="11">
        <f t="shared" si="9"/>
        <v>2</v>
      </c>
      <c r="AH20" s="11">
        <f t="shared" si="10"/>
        <v>-2</v>
      </c>
      <c r="AI20" s="12">
        <f t="shared" si="11"/>
        <v>-4</v>
      </c>
    </row>
    <row r="21" spans="1:46">
      <c r="G21" t="s">
        <v>76</v>
      </c>
      <c r="H21">
        <f>AVERAGE(H6:H20)</f>
        <v>12.533333333333333</v>
      </c>
      <c r="I21">
        <f>AVERAGE(I6:I20)</f>
        <v>18.333333333333332</v>
      </c>
      <c r="J21">
        <f>AVERAGE(J6:J20)</f>
        <v>19.933333333333334</v>
      </c>
      <c r="K21">
        <f>AVERAGE(K6:K20)</f>
        <v>22.733333333333334</v>
      </c>
      <c r="L21">
        <f>AVERAGE(L6:L20)</f>
        <v>18.383333333333333</v>
      </c>
      <c r="N21" t="s">
        <v>1488</v>
      </c>
      <c r="W21" s="632" t="s">
        <v>66</v>
      </c>
      <c r="X21" s="632">
        <f>VAR(X6:X20)</f>
        <v>55.838095238095221</v>
      </c>
      <c r="Y21" s="632">
        <f>VAR(Y6:Y20)</f>
        <v>35.523809523809504</v>
      </c>
      <c r="Z21" s="632">
        <f>VAR(Z6:Z20)</f>
        <v>41.352380952380955</v>
      </c>
      <c r="AA21" s="632">
        <f>VAR(AA6:AA20)</f>
        <v>34.352380952380955</v>
      </c>
      <c r="AC21" s="632" t="s">
        <v>63</v>
      </c>
      <c r="AD21">
        <f t="shared" ref="AD21:AI21" si="14">AVERAGE(AD6:AD20)</f>
        <v>-5.8</v>
      </c>
      <c r="AE21">
        <f t="shared" si="14"/>
        <v>-7.4</v>
      </c>
      <c r="AF21">
        <f t="shared" si="14"/>
        <v>-10.199999999999999</v>
      </c>
      <c r="AG21">
        <f t="shared" si="14"/>
        <v>-1.6</v>
      </c>
      <c r="AH21">
        <f t="shared" si="14"/>
        <v>-4.4000000000000004</v>
      </c>
      <c r="AI21">
        <f t="shared" si="14"/>
        <v>-2.8</v>
      </c>
      <c r="AQ21" t="s">
        <v>1489</v>
      </c>
      <c r="AR21" s="655">
        <f>1/(AR15-1)</f>
        <v>0.33333333333333331</v>
      </c>
      <c r="AT21" s="23" t="s">
        <v>1490</v>
      </c>
    </row>
    <row r="22" spans="1:46">
      <c r="G22" t="s">
        <v>223</v>
      </c>
      <c r="H22">
        <f>VAR(H6:H20)</f>
        <v>55.838095238095221</v>
      </c>
      <c r="I22">
        <f>VAR(I6:I20)</f>
        <v>35.523809523809504</v>
      </c>
      <c r="J22">
        <f>VAR(J6:J20)</f>
        <v>41.352380952380955</v>
      </c>
      <c r="K22">
        <f>VAR(K6:K20)</f>
        <v>34.352380952380955</v>
      </c>
      <c r="L22">
        <f>VAR(L6:L20)</f>
        <v>34.614880952380972</v>
      </c>
      <c r="AC22" s="632" t="s">
        <v>66</v>
      </c>
      <c r="AD22">
        <f t="shared" ref="AD22:AI22" si="15">VAR(AD6:AD20)</f>
        <v>12.314285714285713</v>
      </c>
      <c r="AE22">
        <f t="shared" si="15"/>
        <v>29.685714285714287</v>
      </c>
      <c r="AF22">
        <f t="shared" si="15"/>
        <v>33.028571428571432</v>
      </c>
      <c r="AG22">
        <f t="shared" si="15"/>
        <v>18.542857142857144</v>
      </c>
      <c r="AH22">
        <f t="shared" si="15"/>
        <v>19.542857142857144</v>
      </c>
      <c r="AI22">
        <f t="shared" si="15"/>
        <v>1.3142857142857147</v>
      </c>
    </row>
    <row r="23" spans="1:46">
      <c r="N23" t="s">
        <v>106</v>
      </c>
      <c r="O23" s="654">
        <f>P5+1</f>
        <v>15</v>
      </c>
      <c r="AD23" t="e">
        <f ca="1">W25+X26-2*X25</f>
        <v>#NAME?</v>
      </c>
      <c r="AE23" t="e">
        <f ca="1">W25+Y27-2*Y25</f>
        <v>#NAME?</v>
      </c>
      <c r="AF23" t="e">
        <f ca="1">W25+Z28-2*Z25</f>
        <v>#NAME?</v>
      </c>
      <c r="AG23" t="e">
        <f ca="1">X26+Y27-2*Y26</f>
        <v>#NAME?</v>
      </c>
      <c r="AH23" t="e">
        <f ca="1">X26+Z28-2*Z26</f>
        <v>#NAME?</v>
      </c>
      <c r="AI23" t="e">
        <f ca="1">Y27+Z28-2*Z27</f>
        <v>#NAME?</v>
      </c>
    </row>
    <row r="24" spans="1:46" ht="15" thickBot="1">
      <c r="G24" t="s">
        <v>1428</v>
      </c>
      <c r="N24" t="s">
        <v>169</v>
      </c>
      <c r="O24" s="627">
        <f>P6+1</f>
        <v>4</v>
      </c>
      <c r="W24" s="632" t="s">
        <v>1463</v>
      </c>
      <c r="X24" s="632" t="s">
        <v>1464</v>
      </c>
      <c r="Y24" s="632" t="s">
        <v>1465</v>
      </c>
      <c r="Z24" s="632" t="s">
        <v>1466</v>
      </c>
      <c r="AA24" s="632" t="s">
        <v>63</v>
      </c>
    </row>
    <row r="25" spans="1:46" ht="15" thickTop="1">
      <c r="G25" s="614" t="s">
        <v>1429</v>
      </c>
      <c r="H25" s="614">
        <f>COUNT(H6:H20)</f>
        <v>15</v>
      </c>
      <c r="N25" t="s">
        <v>1491</v>
      </c>
      <c r="O25" s="627">
        <f>Q5</f>
        <v>138.4595238095238</v>
      </c>
      <c r="V25" s="19" t="s">
        <v>1463</v>
      </c>
      <c r="W25" s="651" t="e">
        <f t="array" aca="1" ref="W25:Z28" ca="1">[1]!COV(X6:AA20)</f>
        <v>#NAME?</v>
      </c>
      <c r="X25" s="652" t="e">
        <f ca="1"/>
        <v>#NAME?</v>
      </c>
      <c r="Y25" s="652" t="e">
        <f ca="1"/>
        <v>#NAME?</v>
      </c>
      <c r="Z25" s="653" t="e">
        <f ca="1"/>
        <v>#NAME?</v>
      </c>
      <c r="AA25" t="e">
        <f ca="1">AVERAGE(W25:Z25)</f>
        <v>#NAME?</v>
      </c>
    </row>
    <row r="26" spans="1:46">
      <c r="G26" t="s">
        <v>222</v>
      </c>
      <c r="H26">
        <f>COUNT(H6:K6)</f>
        <v>4</v>
      </c>
      <c r="N26" t="s">
        <v>1492</v>
      </c>
      <c r="O26" s="627" t="e">
        <f ca="1">Q12</f>
        <v>#NAME?</v>
      </c>
      <c r="V26" s="19" t="s">
        <v>1464</v>
      </c>
      <c r="W26" s="7" t="e">
        <f ca="1"/>
        <v>#NAME?</v>
      </c>
      <c r="X26" s="8" t="e">
        <f ca="1"/>
        <v>#NAME?</v>
      </c>
      <c r="Y26" s="8" t="e">
        <f ca="1"/>
        <v>#NAME?</v>
      </c>
      <c r="Z26" s="9" t="e">
        <f ca="1"/>
        <v>#NAME?</v>
      </c>
      <c r="AA26" t="e">
        <f ca="1">AVERAGE(W26:Z26)</f>
        <v>#NAME?</v>
      </c>
    </row>
    <row r="27" spans="1:46">
      <c r="G27" s="652"/>
      <c r="H27" s="652"/>
      <c r="N27" t="s">
        <v>1493</v>
      </c>
      <c r="O27" s="627" t="e">
        <f ca="1">Q13</f>
        <v>#NAME?</v>
      </c>
      <c r="V27" s="19" t="s">
        <v>1465</v>
      </c>
      <c r="W27" s="7" t="e">
        <f ca="1"/>
        <v>#NAME?</v>
      </c>
      <c r="X27" s="8" t="e">
        <f ca="1"/>
        <v>#NAME?</v>
      </c>
      <c r="Y27" s="8" t="e">
        <f ca="1"/>
        <v>#NAME?</v>
      </c>
      <c r="Z27" s="9" t="e">
        <f ca="1"/>
        <v>#NAME?</v>
      </c>
      <c r="AA27" t="e">
        <f ca="1">AVERAGE(W27:Z27)</f>
        <v>#NAME?</v>
      </c>
    </row>
    <row r="28" spans="1:46">
      <c r="G28" t="s">
        <v>1430</v>
      </c>
      <c r="N28" t="s">
        <v>1494</v>
      </c>
      <c r="O28" s="627" t="e">
        <f ca="1">(O23-O24)/(O23*O24)*(O26-O27)</f>
        <v>#NAME?</v>
      </c>
      <c r="V28" s="19" t="s">
        <v>1466</v>
      </c>
      <c r="W28" s="10" t="e">
        <f ca="1"/>
        <v>#NAME?</v>
      </c>
      <c r="X28" s="11" t="e">
        <f ca="1"/>
        <v>#NAME?</v>
      </c>
      <c r="Y28" s="11" t="e">
        <f ca="1"/>
        <v>#NAME?</v>
      </c>
      <c r="Z28" s="12" t="e">
        <f ca="1"/>
        <v>#NAME?</v>
      </c>
      <c r="AA28" t="e">
        <f ca="1">AVERAGE(W28:Z28)</f>
        <v>#NAME?</v>
      </c>
    </row>
    <row r="29" spans="1:46">
      <c r="N29" t="s">
        <v>1495</v>
      </c>
      <c r="O29" s="627" t="e">
        <f ca="1">O26+(O25-O27)/O24+O28</f>
        <v>#NAME?</v>
      </c>
    </row>
    <row r="30" spans="1:46" ht="15" thickBot="1">
      <c r="H30" s="645" t="e">
        <f t="array" aca="1" ref="H30:K33" ca="1">[1]!COV(H6:K20)</f>
        <v>#NAME?</v>
      </c>
      <c r="I30" s="646" t="e">
        <f ca="1"/>
        <v>#NAME?</v>
      </c>
      <c r="J30" s="646" t="e">
        <f ca="1"/>
        <v>#NAME?</v>
      </c>
      <c r="K30" s="647" t="e">
        <f ca="1"/>
        <v>#NAME?</v>
      </c>
      <c r="N30" t="s">
        <v>1496</v>
      </c>
      <c r="O30" s="544" t="e">
        <f ca="1">O28/O29</f>
        <v>#NAME?</v>
      </c>
    </row>
    <row r="31" spans="1:46">
      <c r="H31" s="625" t="e">
        <f ca="1"/>
        <v>#NAME?</v>
      </c>
      <c r="I31" s="8" t="e">
        <f ca="1"/>
        <v>#NAME?</v>
      </c>
      <c r="J31" s="8" t="e">
        <f ca="1"/>
        <v>#NAME?</v>
      </c>
      <c r="K31" s="132" t="e">
        <f ca="1"/>
        <v>#NAME?</v>
      </c>
      <c r="AQ31" s="633" t="s">
        <v>367</v>
      </c>
      <c r="AR31" s="633" t="s">
        <v>888</v>
      </c>
    </row>
    <row r="32" spans="1:46">
      <c r="H32" s="625" t="e">
        <f ca="1"/>
        <v>#NAME?</v>
      </c>
      <c r="I32" s="8" t="e">
        <f ca="1"/>
        <v>#NAME?</v>
      </c>
      <c r="J32" s="8" t="e">
        <f ca="1"/>
        <v>#NAME?</v>
      </c>
      <c r="K32" s="132" t="e">
        <f ca="1"/>
        <v>#NAME?</v>
      </c>
      <c r="AQ32" s="28">
        <v>8.1670607503920066E-12</v>
      </c>
      <c r="AR32" s="28">
        <v>1.9350088132446253</v>
      </c>
    </row>
    <row r="33" spans="7:44">
      <c r="H33" s="497" t="e">
        <f ca="1"/>
        <v>#NAME?</v>
      </c>
      <c r="I33" s="615" t="e">
        <f ca="1"/>
        <v>#NAME?</v>
      </c>
      <c r="J33" s="615" t="e">
        <f ca="1"/>
        <v>#NAME?</v>
      </c>
      <c r="K33" s="498" t="e">
        <f ca="1"/>
        <v>#NAME?</v>
      </c>
      <c r="AQ33" s="28">
        <v>2.39621816316698E-10</v>
      </c>
      <c r="AR33" s="28">
        <v>2.8270487120861261</v>
      </c>
    </row>
    <row r="34" spans="7:44">
      <c r="G34" t="s">
        <v>76</v>
      </c>
      <c r="H34" t="e">
        <f ca="1">AVERAGE(H30:H33)</f>
        <v>#NAME?</v>
      </c>
      <c r="I34" t="e">
        <f ca="1">AVERAGE(I30:I33)</f>
        <v>#NAME?</v>
      </c>
      <c r="J34" t="e">
        <f ca="1">AVERAGE(J30:J33)</f>
        <v>#NAME?</v>
      </c>
      <c r="K34" t="e">
        <f ca="1">AVERAGE(K30:K33)</f>
        <v>#NAME?</v>
      </c>
      <c r="AQ34" s="28"/>
      <c r="AR34" s="28"/>
    </row>
    <row r="35" spans="7:44">
      <c r="AQ35" s="28"/>
      <c r="AR35" s="28"/>
    </row>
    <row r="36" spans="7:44" ht="15" thickBot="1">
      <c r="G36" t="s">
        <v>1431</v>
      </c>
      <c r="AQ36" s="31"/>
      <c r="AR36" s="31"/>
    </row>
    <row r="37" spans="7:44">
      <c r="H37" t="s">
        <v>1432</v>
      </c>
      <c r="J37">
        <f>H25</f>
        <v>15</v>
      </c>
    </row>
    <row r="38" spans="7:44">
      <c r="H38" t="s">
        <v>1433</v>
      </c>
      <c r="J38">
        <f>H26</f>
        <v>4</v>
      </c>
    </row>
    <row r="39" spans="7:44">
      <c r="H39" t="s">
        <v>1434</v>
      </c>
      <c r="J39">
        <f>AVERAGE(H22:K22)</f>
        <v>41.766666666666652</v>
      </c>
    </row>
    <row r="40" spans="7:44">
      <c r="H40" t="s">
        <v>1435</v>
      </c>
      <c r="J40" t="e">
        <f ca="1">AVERAGE(H30:K33)</f>
        <v>#NAME?</v>
      </c>
    </row>
    <row r="41" spans="7:44">
      <c r="H41" t="s">
        <v>1436</v>
      </c>
      <c r="J41" t="e">
        <f ca="1">SUMSQ(H30:K33)</f>
        <v>#NAME?</v>
      </c>
    </row>
    <row r="42" spans="7:44">
      <c r="H42" t="s">
        <v>1437</v>
      </c>
      <c r="J42" t="e">
        <f ca="1">SUMSQ(H34:K34)</f>
        <v>#NAME?</v>
      </c>
    </row>
    <row r="43" spans="7:44">
      <c r="H43" t="s">
        <v>1438</v>
      </c>
      <c r="J43" t="e">
        <f ca="1">(J38*(J39-J40))^2</f>
        <v>#NAME?</v>
      </c>
    </row>
    <row r="44" spans="7:44">
      <c r="H44" t="s">
        <v>1439</v>
      </c>
      <c r="J44" t="e">
        <f ca="1">(J38-1)*(J41-2*J38*J42+J38^2*J40^2)</f>
        <v>#NAME?</v>
      </c>
    </row>
    <row r="45" spans="7:44">
      <c r="H45" t="s">
        <v>1440</v>
      </c>
      <c r="J45" t="e">
        <f ca="1">J43/J44</f>
        <v>#NAME?</v>
      </c>
    </row>
    <row r="46" spans="7:44">
      <c r="H46" t="s">
        <v>1441</v>
      </c>
      <c r="J46" t="e">
        <f ca="1">J37*(J38-1)*J45-2</f>
        <v>#NAME?</v>
      </c>
    </row>
    <row r="47" spans="7:44">
      <c r="H47" t="s">
        <v>1442</v>
      </c>
      <c r="J47" t="e">
        <f ca="1">(J38-1)*(J37-1-(J38-1)*J45)</f>
        <v>#NAME?</v>
      </c>
    </row>
    <row r="48" spans="7:44">
      <c r="H48" t="s">
        <v>1443</v>
      </c>
      <c r="J48" t="e">
        <f ca="1">MIN(J46/J47,1)</f>
        <v>#NAME?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sheetPr codeName="Sheet368"/>
  <dimension ref="A1:T25"/>
  <sheetViews>
    <sheetView topLeftCell="G3" workbookViewId="0">
      <selection activeCell="AA27" sqref="AA27"/>
    </sheetView>
  </sheetViews>
  <sheetFormatPr defaultRowHeight="14.4"/>
  <cols>
    <col min="7" max="7" width="11.44140625" customWidth="1"/>
    <col min="13" max="13" width="6" customWidth="1"/>
  </cols>
  <sheetData>
    <row r="1" spans="1:20">
      <c r="A1" s="1" t="s">
        <v>1576</v>
      </c>
    </row>
    <row r="3" spans="1:20" ht="15" thickBot="1">
      <c r="A3" s="1503" t="s">
        <v>178</v>
      </c>
      <c r="B3" s="1503" t="s">
        <v>244</v>
      </c>
      <c r="C3" s="1503" t="s">
        <v>1451</v>
      </c>
      <c r="D3" s="1503" t="s">
        <v>1452</v>
      </c>
      <c r="E3" s="1503" t="s">
        <v>1453</v>
      </c>
      <c r="G3" t="s">
        <v>879</v>
      </c>
      <c r="N3" t="s">
        <v>695</v>
      </c>
      <c r="R3" t="s">
        <v>116</v>
      </c>
      <c r="S3">
        <v>0.05</v>
      </c>
    </row>
    <row r="4" spans="1:20" ht="15" thickTop="1">
      <c r="A4" s="1503">
        <v>1</v>
      </c>
      <c r="B4" s="641">
        <v>16</v>
      </c>
      <c r="C4" s="642">
        <v>22</v>
      </c>
      <c r="D4" s="642">
        <v>23</v>
      </c>
      <c r="E4" s="643">
        <v>25</v>
      </c>
      <c r="N4" s="1151" t="s">
        <v>880</v>
      </c>
      <c r="O4" s="1151" t="s">
        <v>578</v>
      </c>
      <c r="P4" s="1151" t="s">
        <v>186</v>
      </c>
      <c r="Q4" s="1151" t="s">
        <v>641</v>
      </c>
      <c r="R4" s="1151" t="s">
        <v>388</v>
      </c>
      <c r="S4" s="1151" t="s">
        <v>881</v>
      </c>
      <c r="T4" s="1151" t="s">
        <v>882</v>
      </c>
    </row>
    <row r="5" spans="1:20">
      <c r="A5" s="1503">
        <f>A4+1</f>
        <v>2</v>
      </c>
      <c r="B5" s="624">
        <v>12</v>
      </c>
      <c r="C5" s="1506">
        <v>18</v>
      </c>
      <c r="D5" s="1506">
        <v>24</v>
      </c>
      <c r="E5" s="618">
        <v>29</v>
      </c>
      <c r="G5" t="str">
        <f>A3</f>
        <v>Subject</v>
      </c>
      <c r="H5" t="str">
        <f>B3</f>
        <v>Before</v>
      </c>
      <c r="I5" t="str">
        <f>C3</f>
        <v>1 week</v>
      </c>
      <c r="J5" t="str">
        <f>D3</f>
        <v>2 weeks</v>
      </c>
      <c r="K5" t="str">
        <f>E3</f>
        <v>3 weeks</v>
      </c>
      <c r="L5" s="1503" t="s">
        <v>76</v>
      </c>
      <c r="N5" t="s">
        <v>1429</v>
      </c>
      <c r="O5">
        <f>(P6+1)*DEVSQ(L6:L20)</f>
        <v>1938.4333333333334</v>
      </c>
      <c r="P5">
        <f>COUNT(H6:H20)-1</f>
        <v>14</v>
      </c>
      <c r="Q5">
        <f>O5/P5</f>
        <v>138.4595238095238</v>
      </c>
      <c r="R5">
        <f>Q5/Q7</f>
        <v>14.520099875156061</v>
      </c>
      <c r="S5">
        <f>FDIST(R5,P5,P7)</f>
        <v>8.1670607503918935E-12</v>
      </c>
      <c r="T5">
        <f>FINV(S3,P5,P7)</f>
        <v>1.9350088132446253</v>
      </c>
    </row>
    <row r="6" spans="1:20">
      <c r="A6" s="1503">
        <f t="shared" ref="A6:A18" si="0">A5+1</f>
        <v>3</v>
      </c>
      <c r="B6" s="624">
        <v>23</v>
      </c>
      <c r="C6" s="1506">
        <v>24</v>
      </c>
      <c r="D6" s="1506">
        <v>26</v>
      </c>
      <c r="E6" s="88">
        <v>27</v>
      </c>
      <c r="G6">
        <f t="shared" ref="G6:G20" si="1">A4</f>
        <v>1</v>
      </c>
      <c r="H6" s="1232">
        <f t="shared" ref="H6:H20" si="2">B4</f>
        <v>16</v>
      </c>
      <c r="I6" s="1114">
        <f t="shared" ref="I6:I20" si="3">C4</f>
        <v>22</v>
      </c>
      <c r="J6" s="1114">
        <f t="shared" ref="J6:J20" si="4">D4</f>
        <v>23</v>
      </c>
      <c r="K6" s="1233">
        <f t="shared" ref="K6:K20" si="5">E4</f>
        <v>25</v>
      </c>
      <c r="L6">
        <f>AVERAGE(H6:K6)</f>
        <v>21.5</v>
      </c>
      <c r="N6" t="s">
        <v>222</v>
      </c>
      <c r="O6">
        <f>(P5+1)*DEVSQ(H21:K21)</f>
        <v>833.25000000000023</v>
      </c>
      <c r="P6">
        <f>COUNT(H6:K6)-1</f>
        <v>3</v>
      </c>
      <c r="Q6">
        <f>O6/P6</f>
        <v>277.75000000000006</v>
      </c>
      <c r="R6">
        <f>Q6/Q7</f>
        <v>29.127340823970059</v>
      </c>
      <c r="S6">
        <f>FDIST(R6,P6,P7)</f>
        <v>2.3962181631669464E-10</v>
      </c>
      <c r="T6">
        <f>FINV(S3,P6,P7)</f>
        <v>2.8270487120861261</v>
      </c>
    </row>
    <row r="7" spans="1:20">
      <c r="A7" s="1503">
        <f t="shared" si="0"/>
        <v>4</v>
      </c>
      <c r="B7" s="624">
        <v>8</v>
      </c>
      <c r="C7" s="1506">
        <v>20</v>
      </c>
      <c r="D7" s="1506">
        <v>28</v>
      </c>
      <c r="E7" s="88">
        <v>30</v>
      </c>
      <c r="G7">
        <f t="shared" si="1"/>
        <v>2</v>
      </c>
      <c r="H7" s="625">
        <f t="shared" si="2"/>
        <v>12</v>
      </c>
      <c r="I7" s="8">
        <f t="shared" si="3"/>
        <v>18</v>
      </c>
      <c r="J7" s="8">
        <f t="shared" si="4"/>
        <v>24</v>
      </c>
      <c r="K7" s="132">
        <f t="shared" si="5"/>
        <v>29</v>
      </c>
      <c r="L7">
        <f t="shared" ref="L7:L20" si="6">AVERAGE(H7:K7)</f>
        <v>20.75</v>
      </c>
      <c r="N7" t="s">
        <v>1009</v>
      </c>
      <c r="O7">
        <f>O8-O5-O6</f>
        <v>400.49999999999977</v>
      </c>
      <c r="P7">
        <f>P8-P5-P6</f>
        <v>42</v>
      </c>
      <c r="Q7">
        <f>O7/P7</f>
        <v>9.5357142857142811</v>
      </c>
    </row>
    <row r="8" spans="1:20">
      <c r="A8" s="1503">
        <f t="shared" si="0"/>
        <v>5</v>
      </c>
      <c r="B8" s="624">
        <v>3</v>
      </c>
      <c r="C8" s="1506">
        <v>12</v>
      </c>
      <c r="D8" s="1506">
        <v>13</v>
      </c>
      <c r="E8" s="88">
        <v>17</v>
      </c>
      <c r="G8">
        <f t="shared" si="1"/>
        <v>3</v>
      </c>
      <c r="H8" s="625">
        <f t="shared" si="2"/>
        <v>23</v>
      </c>
      <c r="I8" s="8">
        <f t="shared" si="3"/>
        <v>24</v>
      </c>
      <c r="J8" s="8">
        <f t="shared" si="4"/>
        <v>26</v>
      </c>
      <c r="K8" s="132">
        <f t="shared" si="5"/>
        <v>27</v>
      </c>
      <c r="L8">
        <f t="shared" si="6"/>
        <v>25</v>
      </c>
      <c r="N8" t="s">
        <v>12</v>
      </c>
      <c r="O8">
        <f>DEVSQ(H6:K20)</f>
        <v>3172.1833333333334</v>
      </c>
      <c r="P8">
        <f>(P5+1)*(P6+1)-1</f>
        <v>59</v>
      </c>
    </row>
    <row r="9" spans="1:20">
      <c r="A9" s="1503">
        <f t="shared" si="0"/>
        <v>6</v>
      </c>
      <c r="B9" s="624">
        <v>5</v>
      </c>
      <c r="C9" s="1506">
        <v>13</v>
      </c>
      <c r="D9" s="1506">
        <v>11</v>
      </c>
      <c r="E9" s="88">
        <v>15</v>
      </c>
      <c r="G9">
        <f t="shared" si="1"/>
        <v>4</v>
      </c>
      <c r="H9" s="625">
        <f t="shared" si="2"/>
        <v>8</v>
      </c>
      <c r="I9" s="8">
        <f t="shared" si="3"/>
        <v>20</v>
      </c>
      <c r="J9" s="8">
        <f t="shared" si="4"/>
        <v>28</v>
      </c>
      <c r="K9" s="132">
        <f t="shared" si="5"/>
        <v>30</v>
      </c>
      <c r="L9">
        <f t="shared" si="6"/>
        <v>21.5</v>
      </c>
      <c r="N9" s="1234"/>
      <c r="O9" s="1234"/>
      <c r="P9" s="1234"/>
      <c r="Q9" s="1234"/>
      <c r="R9" s="1234"/>
      <c r="S9" s="1234"/>
      <c r="T9" s="1234"/>
    </row>
    <row r="10" spans="1:20" ht="15" thickBot="1">
      <c r="A10" s="1503">
        <f t="shared" si="0"/>
        <v>7</v>
      </c>
      <c r="B10" s="624">
        <v>19</v>
      </c>
      <c r="C10" s="1506">
        <v>22</v>
      </c>
      <c r="D10" s="1506">
        <v>25</v>
      </c>
      <c r="E10" s="88">
        <v>26</v>
      </c>
      <c r="G10">
        <f t="shared" si="1"/>
        <v>5</v>
      </c>
      <c r="H10" s="625">
        <f t="shared" si="2"/>
        <v>3</v>
      </c>
      <c r="I10" s="8">
        <f t="shared" si="3"/>
        <v>12</v>
      </c>
      <c r="J10" s="8">
        <f t="shared" si="4"/>
        <v>13</v>
      </c>
      <c r="K10" s="132">
        <f t="shared" si="5"/>
        <v>17</v>
      </c>
      <c r="L10">
        <f t="shared" si="6"/>
        <v>11.25</v>
      </c>
      <c r="N10" t="s">
        <v>1444</v>
      </c>
      <c r="R10" t="s">
        <v>116</v>
      </c>
      <c r="S10">
        <v>0.05</v>
      </c>
    </row>
    <row r="11" spans="1:20" ht="15" thickTop="1">
      <c r="A11" s="1503">
        <f t="shared" si="0"/>
        <v>8</v>
      </c>
      <c r="B11" s="624">
        <v>22</v>
      </c>
      <c r="C11" s="1506">
        <v>22</v>
      </c>
      <c r="D11" s="1506">
        <v>23</v>
      </c>
      <c r="E11" s="88">
        <v>26</v>
      </c>
      <c r="G11">
        <f t="shared" si="1"/>
        <v>6</v>
      </c>
      <c r="H11" s="625">
        <f t="shared" si="2"/>
        <v>5</v>
      </c>
      <c r="I11" s="8">
        <f t="shared" si="3"/>
        <v>13</v>
      </c>
      <c r="J11" s="8">
        <f t="shared" si="4"/>
        <v>11</v>
      </c>
      <c r="K11" s="132">
        <f t="shared" si="5"/>
        <v>15</v>
      </c>
      <c r="L11">
        <f t="shared" si="6"/>
        <v>11</v>
      </c>
      <c r="N11" s="1151" t="s">
        <v>880</v>
      </c>
      <c r="O11" s="1151" t="s">
        <v>578</v>
      </c>
      <c r="P11" s="1151" t="s">
        <v>186</v>
      </c>
      <c r="Q11" s="1151" t="s">
        <v>641</v>
      </c>
      <c r="R11" s="1151" t="s">
        <v>388</v>
      </c>
      <c r="S11" s="1151" t="s">
        <v>881</v>
      </c>
      <c r="T11" s="1151" t="s">
        <v>882</v>
      </c>
    </row>
    <row r="12" spans="1:20">
      <c r="A12" s="1503">
        <f t="shared" si="0"/>
        <v>9</v>
      </c>
      <c r="B12" s="624">
        <v>12</v>
      </c>
      <c r="C12" s="1506">
        <v>20</v>
      </c>
      <c r="D12" s="1506">
        <v>22</v>
      </c>
      <c r="E12" s="88">
        <v>24</v>
      </c>
      <c r="G12">
        <f t="shared" si="1"/>
        <v>7</v>
      </c>
      <c r="H12" s="625">
        <f t="shared" si="2"/>
        <v>19</v>
      </c>
      <c r="I12" s="8">
        <f t="shared" si="3"/>
        <v>22</v>
      </c>
      <c r="J12" s="8">
        <f t="shared" si="4"/>
        <v>25</v>
      </c>
      <c r="K12" s="132">
        <f t="shared" si="5"/>
        <v>26</v>
      </c>
      <c r="L12">
        <f t="shared" si="6"/>
        <v>23</v>
      </c>
      <c r="N12" t="s">
        <v>222</v>
      </c>
      <c r="O12">
        <f>O6</f>
        <v>833.25000000000023</v>
      </c>
      <c r="P12" t="e">
        <f ca="1">P6*H24</f>
        <v>#NAME?</v>
      </c>
      <c r="Q12" t="e">
        <f ca="1">O12/P12</f>
        <v>#NAME?</v>
      </c>
      <c r="R12" t="e">
        <f ca="1">Q12/Q13</f>
        <v>#NAME?</v>
      </c>
      <c r="S12" t="e">
        <f ca="1">FDIST(R12,P12,P13)</f>
        <v>#NAME?</v>
      </c>
      <c r="T12" t="e">
        <f ca="1">FINV(S10,P12,P13)</f>
        <v>#NAME?</v>
      </c>
    </row>
    <row r="13" spans="1:20">
      <c r="A13" s="1503">
        <f t="shared" si="0"/>
        <v>10</v>
      </c>
      <c r="B13" s="624">
        <v>16</v>
      </c>
      <c r="C13" s="1506">
        <v>22</v>
      </c>
      <c r="D13" s="1506">
        <v>26</v>
      </c>
      <c r="E13" s="88">
        <v>29</v>
      </c>
      <c r="G13">
        <f t="shared" si="1"/>
        <v>8</v>
      </c>
      <c r="H13" s="625">
        <f t="shared" si="2"/>
        <v>22</v>
      </c>
      <c r="I13" s="8">
        <f t="shared" si="3"/>
        <v>22</v>
      </c>
      <c r="J13" s="8">
        <f t="shared" si="4"/>
        <v>23</v>
      </c>
      <c r="K13" s="132">
        <f t="shared" si="5"/>
        <v>26</v>
      </c>
      <c r="L13">
        <f t="shared" si="6"/>
        <v>23.25</v>
      </c>
      <c r="N13" t="s">
        <v>1009</v>
      </c>
      <c r="O13">
        <f>O7</f>
        <v>400.49999999999977</v>
      </c>
      <c r="P13" t="e">
        <f ca="1">P7*H24</f>
        <v>#NAME?</v>
      </c>
      <c r="Q13" t="e">
        <f ca="1">O13/P13</f>
        <v>#NAME?</v>
      </c>
    </row>
    <row r="14" spans="1:20">
      <c r="A14" s="1503">
        <f t="shared" si="0"/>
        <v>11</v>
      </c>
      <c r="B14" s="624">
        <v>14</v>
      </c>
      <c r="C14" s="1506">
        <v>25</v>
      </c>
      <c r="D14" s="1506">
        <v>18</v>
      </c>
      <c r="E14" s="88">
        <v>21</v>
      </c>
      <c r="G14">
        <f t="shared" si="1"/>
        <v>9</v>
      </c>
      <c r="H14" s="625">
        <f t="shared" si="2"/>
        <v>12</v>
      </c>
      <c r="I14" s="8">
        <f t="shared" si="3"/>
        <v>20</v>
      </c>
      <c r="J14" s="8">
        <f t="shared" si="4"/>
        <v>22</v>
      </c>
      <c r="K14" s="132">
        <f t="shared" si="5"/>
        <v>24</v>
      </c>
      <c r="L14">
        <f t="shared" si="6"/>
        <v>19.5</v>
      </c>
      <c r="N14" s="1234"/>
      <c r="O14" s="1234"/>
      <c r="P14" s="1234"/>
      <c r="Q14" s="1234"/>
      <c r="R14" s="1234"/>
      <c r="S14" s="1234"/>
      <c r="T14" s="1234"/>
    </row>
    <row r="15" spans="1:20" ht="15" thickBot="1">
      <c r="A15" s="1503">
        <f t="shared" si="0"/>
        <v>12</v>
      </c>
      <c r="B15" s="624">
        <v>24</v>
      </c>
      <c r="C15" s="1506">
        <v>26</v>
      </c>
      <c r="D15" s="1506">
        <v>21</v>
      </c>
      <c r="E15" s="88">
        <v>23</v>
      </c>
      <c r="G15">
        <f t="shared" si="1"/>
        <v>10</v>
      </c>
      <c r="H15" s="625">
        <f t="shared" si="2"/>
        <v>16</v>
      </c>
      <c r="I15" s="8">
        <f t="shared" si="3"/>
        <v>22</v>
      </c>
      <c r="J15" s="8">
        <f t="shared" si="4"/>
        <v>26</v>
      </c>
      <c r="K15" s="132">
        <f t="shared" si="5"/>
        <v>29</v>
      </c>
      <c r="L15">
        <f t="shared" si="6"/>
        <v>23.25</v>
      </c>
      <c r="N15" t="s">
        <v>1445</v>
      </c>
      <c r="R15" t="s">
        <v>116</v>
      </c>
      <c r="S15">
        <v>0.05</v>
      </c>
    </row>
    <row r="16" spans="1:20" ht="15" thickTop="1">
      <c r="A16" s="1503">
        <f t="shared" si="0"/>
        <v>13</v>
      </c>
      <c r="B16" s="624">
        <v>9</v>
      </c>
      <c r="C16" s="1506">
        <v>12</v>
      </c>
      <c r="D16" s="1506">
        <v>20</v>
      </c>
      <c r="E16" s="88">
        <v>23</v>
      </c>
      <c r="G16">
        <f t="shared" si="1"/>
        <v>11</v>
      </c>
      <c r="H16" s="625">
        <f t="shared" si="2"/>
        <v>14</v>
      </c>
      <c r="I16" s="8">
        <f t="shared" si="3"/>
        <v>25</v>
      </c>
      <c r="J16" s="8">
        <f t="shared" si="4"/>
        <v>18</v>
      </c>
      <c r="K16" s="132">
        <f t="shared" si="5"/>
        <v>21</v>
      </c>
      <c r="L16">
        <f t="shared" si="6"/>
        <v>19.5</v>
      </c>
      <c r="N16" s="1151" t="s">
        <v>880</v>
      </c>
      <c r="O16" s="1151" t="s">
        <v>578</v>
      </c>
      <c r="P16" s="1151" t="s">
        <v>186</v>
      </c>
      <c r="Q16" s="1151" t="s">
        <v>641</v>
      </c>
      <c r="R16" s="1151" t="s">
        <v>388</v>
      </c>
      <c r="S16" s="1151" t="s">
        <v>881</v>
      </c>
      <c r="T16" s="1151" t="s">
        <v>882</v>
      </c>
    </row>
    <row r="17" spans="1:20">
      <c r="A17" s="1503">
        <f t="shared" si="0"/>
        <v>14</v>
      </c>
      <c r="B17" s="624">
        <v>3</v>
      </c>
      <c r="C17" s="1506">
        <v>9</v>
      </c>
      <c r="D17" s="1506">
        <v>13</v>
      </c>
      <c r="E17" s="88">
        <v>16</v>
      </c>
      <c r="G17">
        <f t="shared" si="1"/>
        <v>12</v>
      </c>
      <c r="H17" s="625">
        <f t="shared" si="2"/>
        <v>24</v>
      </c>
      <c r="I17" s="8">
        <f t="shared" si="3"/>
        <v>26</v>
      </c>
      <c r="J17" s="8">
        <f t="shared" si="4"/>
        <v>21</v>
      </c>
      <c r="K17" s="132">
        <f t="shared" si="5"/>
        <v>23</v>
      </c>
      <c r="L17">
        <f t="shared" si="6"/>
        <v>23.5</v>
      </c>
      <c r="N17" t="s">
        <v>222</v>
      </c>
      <c r="O17">
        <f>O6</f>
        <v>833.25000000000023</v>
      </c>
      <c r="P17" t="e">
        <f ca="1">P6*H25</f>
        <v>#NAME?</v>
      </c>
      <c r="Q17" t="e">
        <f ca="1">O17/P17</f>
        <v>#NAME?</v>
      </c>
      <c r="R17" t="e">
        <f ca="1">Q17/Q18</f>
        <v>#NAME?</v>
      </c>
      <c r="S17" t="e">
        <f ca="1">FDIST(R17,P17,P18)</f>
        <v>#NAME?</v>
      </c>
      <c r="T17" t="e">
        <f ca="1">FINV(S15,P17,P18)</f>
        <v>#NAME?</v>
      </c>
    </row>
    <row r="18" spans="1:20">
      <c r="A18" s="1503">
        <f t="shared" si="0"/>
        <v>15</v>
      </c>
      <c r="B18" s="612">
        <v>2</v>
      </c>
      <c r="C18" s="613">
        <v>8</v>
      </c>
      <c r="D18" s="613">
        <v>6</v>
      </c>
      <c r="E18" s="90">
        <v>10</v>
      </c>
      <c r="G18">
        <f t="shared" si="1"/>
        <v>13</v>
      </c>
      <c r="H18" s="625">
        <f t="shared" si="2"/>
        <v>9</v>
      </c>
      <c r="I18" s="8">
        <f t="shared" si="3"/>
        <v>12</v>
      </c>
      <c r="J18" s="8">
        <f t="shared" si="4"/>
        <v>20</v>
      </c>
      <c r="K18" s="132">
        <f t="shared" si="5"/>
        <v>23</v>
      </c>
      <c r="L18">
        <f t="shared" si="6"/>
        <v>16</v>
      </c>
      <c r="N18" t="s">
        <v>1009</v>
      </c>
      <c r="O18">
        <f>O7</f>
        <v>400.49999999999977</v>
      </c>
      <c r="P18" t="e">
        <f ca="1">P7*H25</f>
        <v>#NAME?</v>
      </c>
      <c r="Q18" t="e">
        <f ca="1">O18/P18</f>
        <v>#NAME?</v>
      </c>
    </row>
    <row r="19" spans="1:20">
      <c r="G19">
        <f t="shared" si="1"/>
        <v>14</v>
      </c>
      <c r="H19" s="625">
        <f t="shared" si="2"/>
        <v>3</v>
      </c>
      <c r="I19" s="8">
        <f t="shared" si="3"/>
        <v>9</v>
      </c>
      <c r="J19" s="8">
        <f t="shared" si="4"/>
        <v>13</v>
      </c>
      <c r="K19" s="132">
        <f t="shared" si="5"/>
        <v>16</v>
      </c>
      <c r="L19">
        <f t="shared" si="6"/>
        <v>10.25</v>
      </c>
      <c r="N19" s="1234"/>
      <c r="O19" s="1234"/>
      <c r="P19" s="1234"/>
      <c r="Q19" s="1234"/>
      <c r="R19" s="1234"/>
      <c r="S19" s="1234"/>
      <c r="T19" s="1234"/>
    </row>
    <row r="20" spans="1:20">
      <c r="G20">
        <f t="shared" si="1"/>
        <v>15</v>
      </c>
      <c r="H20" s="1075">
        <f t="shared" si="2"/>
        <v>2</v>
      </c>
      <c r="I20" s="1076">
        <f t="shared" si="3"/>
        <v>8</v>
      </c>
      <c r="J20" s="1076">
        <f t="shared" si="4"/>
        <v>6</v>
      </c>
      <c r="K20" s="1077">
        <f t="shared" si="5"/>
        <v>10</v>
      </c>
      <c r="L20">
        <f t="shared" si="6"/>
        <v>6.5</v>
      </c>
    </row>
    <row r="21" spans="1:20">
      <c r="G21" t="s">
        <v>76</v>
      </c>
      <c r="H21">
        <f>AVERAGE(H6:H20)</f>
        <v>12.533333333333333</v>
      </c>
      <c r="I21">
        <f>AVERAGE(I6:I20)</f>
        <v>18.333333333333332</v>
      </c>
      <c r="J21">
        <f>AVERAGE(J6:J20)</f>
        <v>19.933333333333334</v>
      </c>
      <c r="K21">
        <f>AVERAGE(K6:K20)</f>
        <v>22.733333333333334</v>
      </c>
      <c r="L21">
        <f>AVERAGE(L6:L20)</f>
        <v>18.383333333333333</v>
      </c>
    </row>
    <row r="22" spans="1:20">
      <c r="G22" t="s">
        <v>223</v>
      </c>
      <c r="H22">
        <f>VAR(H6:H20)</f>
        <v>55.838095238095221</v>
      </c>
      <c r="I22">
        <f>VAR(I6:I20)</f>
        <v>35.523809523809504</v>
      </c>
      <c r="J22">
        <f>VAR(J6:J20)</f>
        <v>41.352380952380955</v>
      </c>
      <c r="K22">
        <f>VAR(K6:K20)</f>
        <v>34.352380952380955</v>
      </c>
      <c r="L22">
        <f>VAR(L6:L20)</f>
        <v>34.614880952380972</v>
      </c>
    </row>
    <row r="24" spans="1:20">
      <c r="G24" t="s">
        <v>4125</v>
      </c>
      <c r="H24" s="1441" t="e">
        <f ca="1">[1]!GGEpsilon(H6:K20)</f>
        <v>#NAME?</v>
      </c>
    </row>
    <row r="25" spans="1:20">
      <c r="G25" t="s">
        <v>4126</v>
      </c>
      <c r="H25" s="1073" t="e">
        <f ca="1">[1]!HFEpsilon(H6:K20)</f>
        <v>#NAME?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sheetPr codeName="Sheet171"/>
  <dimension ref="A1:L25"/>
  <sheetViews>
    <sheetView workbookViewId="0"/>
  </sheetViews>
  <sheetFormatPr defaultRowHeight="14.4"/>
  <cols>
    <col min="9" max="9" width="25" customWidth="1"/>
    <col min="11" max="11" width="10.44140625" customWidth="1"/>
  </cols>
  <sheetData>
    <row r="1" spans="1:12">
      <c r="A1" s="1" t="s">
        <v>1497</v>
      </c>
      <c r="K1" t="s">
        <v>2112</v>
      </c>
    </row>
    <row r="3" spans="1:12">
      <c r="A3" t="s">
        <v>1448</v>
      </c>
      <c r="K3" t="s">
        <v>4113</v>
      </c>
      <c r="L3" s="756" t="e">
        <f t="array" aca="1" ref="L3" ca="1">[1]!GGEpsilon('ANOVA Match 1.3'!B4:E18)</f>
        <v>#NAME?</v>
      </c>
    </row>
    <row r="5" spans="1:12">
      <c r="A5" s="651" t="e">
        <f t="array" aca="1" ref="A5:D8" ca="1">[1]!COV('ANOVA Match 1.3'!B4:E18)</f>
        <v>#NAME?</v>
      </c>
      <c r="B5" s="652" t="e">
        <f ca="1"/>
        <v>#NAME?</v>
      </c>
      <c r="C5" s="652" t="e">
        <f ca="1"/>
        <v>#NAME?</v>
      </c>
      <c r="D5" s="653" t="e">
        <f ca="1"/>
        <v>#NAME?</v>
      </c>
      <c r="E5" t="e">
        <f ca="1">AVERAGE(A5:D5)</f>
        <v>#NAME?</v>
      </c>
    </row>
    <row r="6" spans="1:12">
      <c r="A6" s="656" t="e">
        <f ca="1"/>
        <v>#NAME?</v>
      </c>
      <c r="B6" s="8" t="e">
        <f ca="1"/>
        <v>#NAME?</v>
      </c>
      <c r="C6" s="8" t="e">
        <f ca="1"/>
        <v>#NAME?</v>
      </c>
      <c r="D6" s="657" t="e">
        <f ca="1"/>
        <v>#NAME?</v>
      </c>
      <c r="E6" t="e">
        <f ca="1">AVERAGE(A6:D6)</f>
        <v>#NAME?</v>
      </c>
    </row>
    <row r="7" spans="1:12">
      <c r="A7" s="656" t="e">
        <f ca="1"/>
        <v>#NAME?</v>
      </c>
      <c r="B7" s="8" t="e">
        <f ca="1"/>
        <v>#NAME?</v>
      </c>
      <c r="C7" s="8" t="e">
        <f ca="1"/>
        <v>#NAME?</v>
      </c>
      <c r="D7" s="657" t="e">
        <f ca="1"/>
        <v>#NAME?</v>
      </c>
      <c r="E7" t="e">
        <f ca="1">AVERAGE(A7:D7)</f>
        <v>#NAME?</v>
      </c>
    </row>
    <row r="8" spans="1:12">
      <c r="A8" s="533" t="e">
        <f ca="1"/>
        <v>#NAME?</v>
      </c>
      <c r="B8" s="534" t="e">
        <f ca="1"/>
        <v>#NAME?</v>
      </c>
      <c r="C8" s="534" t="e">
        <f ca="1"/>
        <v>#NAME?</v>
      </c>
      <c r="D8" s="541" t="e">
        <f ca="1"/>
        <v>#NAME?</v>
      </c>
      <c r="E8" t="e">
        <f ca="1">AVERAGE(A8:D8)</f>
        <v>#NAME?</v>
      </c>
    </row>
    <row r="9" spans="1:12">
      <c r="A9" t="e">
        <f ca="1">AVERAGE(A5:A8)</f>
        <v>#NAME?</v>
      </c>
      <c r="B9" t="e">
        <f ca="1">AVERAGE(B5:B8)</f>
        <v>#NAME?</v>
      </c>
      <c r="C9" t="e">
        <f ca="1">AVERAGE(C5:C8)</f>
        <v>#NAME?</v>
      </c>
      <c r="D9" t="e">
        <f ca="1">AVERAGE(D5:D8)</f>
        <v>#NAME?</v>
      </c>
      <c r="E9" t="e">
        <f ca="1">AVERAGE(E5:E8)</f>
        <v>#NAME?</v>
      </c>
    </row>
    <row r="11" spans="1:12">
      <c r="A11" t="s">
        <v>1498</v>
      </c>
    </row>
    <row r="13" spans="1:12">
      <c r="A13">
        <v>1</v>
      </c>
      <c r="B13">
        <f>A13+1</f>
        <v>2</v>
      </c>
      <c r="C13">
        <f>B13+1</f>
        <v>3</v>
      </c>
      <c r="D13">
        <f>C13+1</f>
        <v>4</v>
      </c>
    </row>
    <row r="14" spans="1:12">
      <c r="A14" s="651" t="e">
        <f ca="1">A5-$E5-A$9+$E$9</f>
        <v>#NAME?</v>
      </c>
      <c r="B14" s="652" t="e">
        <f t="shared" ref="B14:D15" ca="1" si="0">B5-$E5-B$9+$E$9</f>
        <v>#NAME?</v>
      </c>
      <c r="C14" s="652" t="e">
        <f t="shared" ca="1" si="0"/>
        <v>#NAME?</v>
      </c>
      <c r="D14" s="653" t="e">
        <f t="shared" ca="1" si="0"/>
        <v>#NAME?</v>
      </c>
      <c r="F14" t="s">
        <v>169</v>
      </c>
      <c r="G14" s="654">
        <f>D13</f>
        <v>4</v>
      </c>
      <c r="I14" s="23" t="s">
        <v>1499</v>
      </c>
    </row>
    <row r="15" spans="1:12">
      <c r="A15" s="656" t="e">
        <f ca="1">A6-$E6-A$9+$E$9</f>
        <v>#NAME?</v>
      </c>
      <c r="B15" s="8" t="e">
        <f t="shared" ca="1" si="0"/>
        <v>#NAME?</v>
      </c>
      <c r="C15" s="8" t="e">
        <f t="shared" ca="1" si="0"/>
        <v>#NAME?</v>
      </c>
      <c r="D15" s="657" t="e">
        <f t="shared" ca="1" si="0"/>
        <v>#NAME?</v>
      </c>
      <c r="F15" t="s">
        <v>1500</v>
      </c>
      <c r="G15" s="627" t="e">
        <f ca="1">SUM(A18:D18)^2</f>
        <v>#NAME?</v>
      </c>
      <c r="I15" s="23" t="s">
        <v>1501</v>
      </c>
    </row>
    <row r="16" spans="1:12">
      <c r="A16" s="656" t="e">
        <f t="shared" ref="A16:D17" ca="1" si="1">A7-$E7-A$9+$E$9</f>
        <v>#NAME?</v>
      </c>
      <c r="B16" s="8" t="e">
        <f t="shared" ca="1" si="1"/>
        <v>#NAME?</v>
      </c>
      <c r="C16" s="8" t="e">
        <f t="shared" ca="1" si="1"/>
        <v>#NAME?</v>
      </c>
      <c r="D16" s="657" t="e">
        <f t="shared" ca="1" si="1"/>
        <v>#NAME?</v>
      </c>
      <c r="F16" t="s">
        <v>1502</v>
      </c>
      <c r="G16" s="627" t="e">
        <f ca="1">(G14-1)*SUMSQ(A14:D17)</f>
        <v>#NAME?</v>
      </c>
      <c r="I16" s="23" t="s">
        <v>1503</v>
      </c>
    </row>
    <row r="17" spans="1:9">
      <c r="A17" s="533" t="e">
        <f t="shared" ca="1" si="1"/>
        <v>#NAME?</v>
      </c>
      <c r="B17" s="534" t="e">
        <f t="shared" ca="1" si="1"/>
        <v>#NAME?</v>
      </c>
      <c r="C17" s="534" t="e">
        <f t="shared" ca="1" si="1"/>
        <v>#NAME?</v>
      </c>
      <c r="D17" s="541" t="e">
        <f t="shared" ca="1" si="1"/>
        <v>#NAME?</v>
      </c>
      <c r="F17" t="s">
        <v>1504</v>
      </c>
      <c r="G17" s="544" t="e">
        <f ca="1">G15/G16</f>
        <v>#NAME?</v>
      </c>
      <c r="I17" s="23" t="s">
        <v>1505</v>
      </c>
    </row>
    <row r="18" spans="1:9">
      <c r="A18" s="66" t="e">
        <f ca="1">INDEX(A14:A17,A13)</f>
        <v>#NAME?</v>
      </c>
      <c r="B18" s="66" t="e">
        <f ca="1">INDEX(B14:B17,B13)</f>
        <v>#NAME?</v>
      </c>
      <c r="C18" s="66" t="e">
        <f ca="1">INDEX(C14:C17,C13)</f>
        <v>#NAME?</v>
      </c>
      <c r="D18" s="66" t="e">
        <f ca="1">INDEX(D14:D17,D13)</f>
        <v>#NAME?</v>
      </c>
      <c r="E18" t="s">
        <v>1506</v>
      </c>
    </row>
    <row r="20" spans="1:9">
      <c r="A20" t="s">
        <v>1507</v>
      </c>
    </row>
    <row r="22" spans="1:9">
      <c r="A22" s="658" t="e">
        <f t="array" aca="1" ref="A22:C22" ca="1">[1]!eVALUES(A14:D17)</f>
        <v>#NAME?</v>
      </c>
      <c r="B22" s="659" t="e">
        <f ca="1"/>
        <v>#NAME?</v>
      </c>
      <c r="C22" s="660" t="e">
        <f ca="1"/>
        <v>#NAME?</v>
      </c>
      <c r="F22" t="s">
        <v>169</v>
      </c>
      <c r="G22" s="654">
        <f>D13</f>
        <v>4</v>
      </c>
      <c r="I22" s="23" t="s">
        <v>1499</v>
      </c>
    </row>
    <row r="23" spans="1:9">
      <c r="F23" t="s">
        <v>1500</v>
      </c>
      <c r="G23" s="627" t="e">
        <f ca="1">SUM(A22:C22)^2</f>
        <v>#NAME?</v>
      </c>
      <c r="I23" s="23" t="s">
        <v>1508</v>
      </c>
    </row>
    <row r="24" spans="1:9">
      <c r="F24" t="s">
        <v>1502</v>
      </c>
      <c r="G24" s="627" t="e">
        <f ca="1">(G22-1)*SUMSQ(A22:C22)</f>
        <v>#NAME?</v>
      </c>
      <c r="I24" s="23" t="s">
        <v>1509</v>
      </c>
    </row>
    <row r="25" spans="1:9">
      <c r="F25" t="s">
        <v>1504</v>
      </c>
      <c r="G25" s="544" t="e">
        <f ca="1">G23/G24</f>
        <v>#NAME?</v>
      </c>
      <c r="I25" s="23" t="s">
        <v>1510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sheetPr codeName="Sheet172"/>
  <dimension ref="A1:D24"/>
  <sheetViews>
    <sheetView workbookViewId="0"/>
  </sheetViews>
  <sheetFormatPr defaultRowHeight="14.4"/>
  <cols>
    <col min="1" max="1" width="12" customWidth="1"/>
  </cols>
  <sheetData>
    <row r="1" spans="1:4">
      <c r="A1" s="1" t="s">
        <v>1511</v>
      </c>
    </row>
    <row r="3" spans="1:4">
      <c r="A3" t="s">
        <v>1512</v>
      </c>
      <c r="B3" s="658" t="e">
        <f t="array" aca="1" ref="B3:D3" ca="1">[1]!eVALUES('ANOVA Match 1.4'!A14:D17)</f>
        <v>#NAME?</v>
      </c>
      <c r="C3" s="659" t="e">
        <f ca="1"/>
        <v>#NAME?</v>
      </c>
      <c r="D3" s="660" t="e">
        <f ca="1"/>
        <v>#NAME?</v>
      </c>
    </row>
    <row r="5" spans="1:4">
      <c r="A5" t="s">
        <v>169</v>
      </c>
      <c r="B5" s="654">
        <f>'ANOVA Match 1.3'!H26</f>
        <v>4</v>
      </c>
    </row>
    <row r="6" spans="1:4">
      <c r="A6" t="s">
        <v>106</v>
      </c>
      <c r="B6" s="627">
        <f>'ANOVA Match 1.3'!H25</f>
        <v>15</v>
      </c>
    </row>
    <row r="7" spans="1:4">
      <c r="A7" t="s">
        <v>1513</v>
      </c>
      <c r="B7" s="627" t="e">
        <f ca="1">PRODUCT(B3:D3)/(SUM(B3:D3)/(B5-1))^(B5-1)</f>
        <v>#NAME?</v>
      </c>
    </row>
    <row r="8" spans="1:4">
      <c r="A8" t="s">
        <v>32</v>
      </c>
      <c r="B8" s="627">
        <f>(2*(B5-1)^2+B5+2)/(6*(B5-1)*(B6-1))</f>
        <v>9.5238095238095233E-2</v>
      </c>
    </row>
    <row r="9" spans="1:4">
      <c r="A9" t="s">
        <v>1514</v>
      </c>
      <c r="B9" s="627" t="e">
        <f ca="1">(B8-1)*(B6-1)*LN(B7)</f>
        <v>#NAME?</v>
      </c>
    </row>
    <row r="10" spans="1:4">
      <c r="A10" t="s">
        <v>186</v>
      </c>
      <c r="B10" s="627">
        <f>B5*(B5-1)/2</f>
        <v>6</v>
      </c>
    </row>
    <row r="11" spans="1:4">
      <c r="A11" t="s">
        <v>200</v>
      </c>
      <c r="B11" s="627" t="e">
        <f ca="1">CHIDIST(B9,B10)</f>
        <v>#NAME?</v>
      </c>
    </row>
    <row r="12" spans="1:4">
      <c r="A12" t="s">
        <v>337</v>
      </c>
      <c r="B12" s="627">
        <v>0.05</v>
      </c>
    </row>
    <row r="13" spans="1:4">
      <c r="A13" t="s">
        <v>948</v>
      </c>
      <c r="B13" s="538" t="e">
        <f ca="1">IF(B11&lt;B12,"yes","no")</f>
        <v>#NAME?</v>
      </c>
    </row>
    <row r="15" spans="1:4">
      <c r="A15" s="1" t="s">
        <v>1515</v>
      </c>
    </row>
    <row r="17" spans="1:2">
      <c r="A17" t="s">
        <v>169</v>
      </c>
      <c r="B17" s="654">
        <f>B5</f>
        <v>4</v>
      </c>
    </row>
    <row r="18" spans="1:2">
      <c r="A18" t="s">
        <v>106</v>
      </c>
      <c r="B18" s="627">
        <f>B6</f>
        <v>15</v>
      </c>
    </row>
    <row r="19" spans="1:2">
      <c r="A19" t="s">
        <v>1516</v>
      </c>
      <c r="B19" s="627" t="e">
        <f ca="1">'ANOVA Match 1.4'!G25*(B17-1)</f>
        <v>#NAME?</v>
      </c>
    </row>
    <row r="20" spans="1:2">
      <c r="A20" t="s">
        <v>1514</v>
      </c>
      <c r="B20" s="627" t="e">
        <f ca="1">0.5*B18*(B17-1)^2*(B19-1/(B17-1))</f>
        <v>#NAME?</v>
      </c>
    </row>
    <row r="21" spans="1:2">
      <c r="A21" t="s">
        <v>186</v>
      </c>
      <c r="B21" s="627">
        <f>B17*(B17-1)/2-1</f>
        <v>5</v>
      </c>
    </row>
    <row r="22" spans="1:2">
      <c r="A22" t="s">
        <v>200</v>
      </c>
      <c r="B22" s="627" t="e">
        <f ca="1">CHIDIST(B20,B21)</f>
        <v>#NAME?</v>
      </c>
    </row>
    <row r="23" spans="1:2">
      <c r="A23" t="s">
        <v>337</v>
      </c>
      <c r="B23" s="627">
        <v>0.05</v>
      </c>
    </row>
    <row r="24" spans="1:2">
      <c r="A24" t="s">
        <v>948</v>
      </c>
      <c r="B24" s="538" t="e">
        <f ca="1">IF(B22&lt;B23,"yes","no")</f>
        <v>#NAME?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sheetPr codeName="Sheet178"/>
  <dimension ref="A1:BA42"/>
  <sheetViews>
    <sheetView workbookViewId="0"/>
  </sheetViews>
  <sheetFormatPr defaultRowHeight="14.4"/>
  <cols>
    <col min="2" max="16" width="8.88671875" customWidth="1"/>
    <col min="17" max="17" width="11.6640625" customWidth="1"/>
    <col min="23" max="23" width="15.33203125" customWidth="1"/>
    <col min="35" max="35" width="16" customWidth="1"/>
    <col min="43" max="43" width="17.109375" customWidth="1"/>
    <col min="46" max="46" width="14.6640625" customWidth="1"/>
    <col min="47" max="47" width="12.6640625" customWidth="1"/>
  </cols>
  <sheetData>
    <row r="1" spans="1:53">
      <c r="A1" s="1" t="s">
        <v>1577</v>
      </c>
      <c r="Q1" t="s">
        <v>1517</v>
      </c>
    </row>
    <row r="2" spans="1:53" ht="15" thickBot="1">
      <c r="A2" s="1"/>
      <c r="AF2" t="s">
        <v>1521</v>
      </c>
      <c r="AI2" t="s">
        <v>1431</v>
      </c>
      <c r="AM2" t="s">
        <v>1522</v>
      </c>
      <c r="AQ2" t="s">
        <v>1431</v>
      </c>
      <c r="AT2" t="s">
        <v>695</v>
      </c>
    </row>
    <row r="3" spans="1:53" ht="15" thickBot="1">
      <c r="A3" s="1"/>
      <c r="B3" s="661" t="s">
        <v>1523</v>
      </c>
      <c r="C3" s="662" t="s">
        <v>1523</v>
      </c>
      <c r="D3" s="663" t="s">
        <v>1523</v>
      </c>
      <c r="E3" s="661" t="s">
        <v>1524</v>
      </c>
      <c r="F3" s="662" t="s">
        <v>1524</v>
      </c>
      <c r="G3" s="663" t="s">
        <v>1524</v>
      </c>
      <c r="J3" s="632" t="s">
        <v>1523</v>
      </c>
      <c r="K3" s="632" t="s">
        <v>1524</v>
      </c>
      <c r="R3" s="19" t="s">
        <v>141</v>
      </c>
      <c r="S3" s="19" t="s">
        <v>142</v>
      </c>
      <c r="T3" s="19" t="s">
        <v>994</v>
      </c>
      <c r="U3" s="19" t="s">
        <v>106</v>
      </c>
      <c r="W3" t="s">
        <v>695</v>
      </c>
      <c r="AT3" s="1577" t="s">
        <v>1525</v>
      </c>
      <c r="AU3" s="1577"/>
      <c r="AV3" s="633" t="s">
        <v>578</v>
      </c>
      <c r="AW3" s="633" t="s">
        <v>186</v>
      </c>
      <c r="AX3" s="633" t="s">
        <v>641</v>
      </c>
      <c r="AY3" s="633" t="s">
        <v>388</v>
      </c>
      <c r="AZ3" s="633" t="s">
        <v>367</v>
      </c>
      <c r="BA3" s="633" t="s">
        <v>888</v>
      </c>
    </row>
    <row r="4" spans="1:53">
      <c r="A4" s="632" t="s">
        <v>178</v>
      </c>
      <c r="B4" s="560" t="s">
        <v>1518</v>
      </c>
      <c r="C4" s="611" t="s">
        <v>1519</v>
      </c>
      <c r="D4" s="536" t="s">
        <v>1520</v>
      </c>
      <c r="E4" s="560" t="s">
        <v>1518</v>
      </c>
      <c r="F4" s="611" t="s">
        <v>1519</v>
      </c>
      <c r="G4" s="536" t="s">
        <v>1520</v>
      </c>
      <c r="M4" s="117" t="s">
        <v>1518</v>
      </c>
      <c r="N4" s="117" t="s">
        <v>1519</v>
      </c>
      <c r="O4" s="117" t="s">
        <v>1520</v>
      </c>
      <c r="R4" s="658">
        <f>COUNTA(J3:K3)</f>
        <v>2</v>
      </c>
      <c r="S4" s="659">
        <f>COUNTA(M4:O4)</f>
        <v>3</v>
      </c>
      <c r="T4" s="659">
        <f>COUNTA(A5:A14)</f>
        <v>10</v>
      </c>
      <c r="U4" s="660">
        <f>PRODUCT(R4:T4)</f>
        <v>60</v>
      </c>
      <c r="W4" s="633" t="s">
        <v>880</v>
      </c>
      <c r="X4" s="633" t="s">
        <v>578</v>
      </c>
      <c r="Y4" s="633" t="s">
        <v>186</v>
      </c>
      <c r="Z4" s="633" t="s">
        <v>641</v>
      </c>
      <c r="AA4" s="633" t="s">
        <v>388</v>
      </c>
      <c r="AB4" s="633" t="s">
        <v>367</v>
      </c>
      <c r="AC4" s="633" t="s">
        <v>888</v>
      </c>
      <c r="AF4">
        <v>1</v>
      </c>
      <c r="AG4">
        <f>AF4+1</f>
        <v>2</v>
      </c>
      <c r="AI4" t="s">
        <v>1433</v>
      </c>
      <c r="AJ4" s="654">
        <f>R4</f>
        <v>2</v>
      </c>
      <c r="AK4" s="8"/>
      <c r="AM4">
        <v>1</v>
      </c>
      <c r="AN4">
        <f>AM4+1</f>
        <v>2</v>
      </c>
      <c r="AO4">
        <f>AN4+1</f>
        <v>3</v>
      </c>
      <c r="AQ4" t="s">
        <v>1433</v>
      </c>
      <c r="AR4" s="654">
        <f>S4</f>
        <v>3</v>
      </c>
      <c r="AT4" s="28" t="s">
        <v>1526</v>
      </c>
      <c r="AU4" s="28" t="s">
        <v>1527</v>
      </c>
      <c r="AV4" s="28">
        <f>X5</f>
        <v>828.81666666666672</v>
      </c>
      <c r="AW4" s="28">
        <f>Y5</f>
        <v>1</v>
      </c>
      <c r="AX4" s="28">
        <f>AV4/AW4</f>
        <v>828.81666666666672</v>
      </c>
      <c r="AY4" s="28">
        <f>AX4/AX8</f>
        <v>33.852280462899877</v>
      </c>
      <c r="AZ4">
        <f>FDIST(AY4,AW4,AW8)</f>
        <v>2.5360766055906994E-4</v>
      </c>
      <c r="BA4">
        <f>FINV(0.05,AW4,AW8)</f>
        <v>5.1173550291992269</v>
      </c>
    </row>
    <row r="5" spans="1:53">
      <c r="A5" s="632">
        <v>1</v>
      </c>
      <c r="B5" s="651">
        <v>13</v>
      </c>
      <c r="C5" s="652">
        <v>12</v>
      </c>
      <c r="D5" s="653">
        <v>17</v>
      </c>
      <c r="E5" s="651">
        <v>18</v>
      </c>
      <c r="F5" s="652">
        <v>30</v>
      </c>
      <c r="G5" s="653">
        <v>34</v>
      </c>
      <c r="H5">
        <f>AVERAGE(B5:G5)</f>
        <v>20.666666666666668</v>
      </c>
      <c r="J5" s="651">
        <f t="shared" ref="J5:K14" si="0">AVERAGEIF($B$3:$G$3,J$3,$B5:$G5)</f>
        <v>14</v>
      </c>
      <c r="K5" s="653">
        <f t="shared" si="0"/>
        <v>27.333333333333332</v>
      </c>
      <c r="M5" s="651">
        <f>AVERAGEIF($B$4:$G$4,M$4,$B5:$G5)</f>
        <v>15.5</v>
      </c>
      <c r="N5" s="652">
        <f t="shared" ref="N5:O8" si="1">AVERAGEIF($B$4:$G$4,N$4,$B5:$G5)</f>
        <v>21</v>
      </c>
      <c r="O5" s="653">
        <f t="shared" si="1"/>
        <v>25.5</v>
      </c>
      <c r="W5" s="28" t="s">
        <v>1526</v>
      </c>
      <c r="X5" s="28">
        <f>S8</f>
        <v>828.81666666666672</v>
      </c>
      <c r="Y5" s="28">
        <f>T8</f>
        <v>1</v>
      </c>
      <c r="Z5" s="28">
        <f>X5/Y5</f>
        <v>828.81666666666672</v>
      </c>
      <c r="AA5" s="28">
        <f>Z5/Z6</f>
        <v>33.852280462899877</v>
      </c>
      <c r="AB5">
        <f>FDIST(AA5,Y5,Y6)</f>
        <v>2.5360766055906994E-4</v>
      </c>
      <c r="AC5">
        <f>FINV(0.05,Y5,Y6)</f>
        <v>5.1173550291992269</v>
      </c>
      <c r="AF5" s="651" t="e">
        <f t="array" aca="1" ref="AF5:AG6" ca="1">[1]!COV(J5:K14)</f>
        <v>#NAME?</v>
      </c>
      <c r="AG5" s="653" t="e">
        <f ca="1"/>
        <v>#NAME?</v>
      </c>
      <c r="AI5" t="s">
        <v>1434</v>
      </c>
      <c r="AJ5" s="627" t="e">
        <f ca="1">AVERAGE(AF8:AG8)</f>
        <v>#NAME?</v>
      </c>
      <c r="AK5" s="8"/>
      <c r="AM5" s="651" t="e">
        <f t="array" aca="1" ref="AM5:AO7" ca="1">[1]!COV(M5:O14)</f>
        <v>#NAME?</v>
      </c>
      <c r="AN5" s="652" t="e">
        <f ca="1"/>
        <v>#NAME?</v>
      </c>
      <c r="AO5" s="653" t="e">
        <f ca="1"/>
        <v>#NAME?</v>
      </c>
      <c r="AQ5" t="s">
        <v>1434</v>
      </c>
      <c r="AR5" s="627" t="e">
        <f ca="1">AVERAGE(AM9:AO9)</f>
        <v>#NAME?</v>
      </c>
      <c r="AU5" t="s">
        <v>1528</v>
      </c>
      <c r="AV5">
        <f>AV4</f>
        <v>828.81666666666672</v>
      </c>
      <c r="AW5" t="e">
        <f ca="1">AW4*AJ11</f>
        <v>#NAME?</v>
      </c>
      <c r="AX5" s="28" t="e">
        <f t="shared" ref="AX5:AX11" ca="1" si="2">AV5/AW5</f>
        <v>#NAME?</v>
      </c>
      <c r="AY5" s="28" t="e">
        <f ca="1">AX5/AX9</f>
        <v>#NAME?</v>
      </c>
      <c r="AZ5" t="e">
        <f ca="1">FDIST(AY5,AW5,AW9)</f>
        <v>#NAME?</v>
      </c>
      <c r="BA5" t="e">
        <f ca="1">FINV(0.05,AW5,AW9)</f>
        <v>#NAME?</v>
      </c>
    </row>
    <row r="6" spans="1:53">
      <c r="A6" s="632">
        <f>A5+1</f>
        <v>2</v>
      </c>
      <c r="B6" s="656">
        <v>12</v>
      </c>
      <c r="C6" s="8">
        <v>19</v>
      </c>
      <c r="D6" s="657">
        <v>18</v>
      </c>
      <c r="E6" s="656">
        <v>6</v>
      </c>
      <c r="F6" s="8">
        <v>18</v>
      </c>
      <c r="G6" s="657">
        <v>30</v>
      </c>
      <c r="H6">
        <f t="shared" ref="H6:H15" si="3">AVERAGE(B6:G6)</f>
        <v>17.166666666666668</v>
      </c>
      <c r="J6" s="656">
        <f t="shared" si="0"/>
        <v>16.333333333333332</v>
      </c>
      <c r="K6" s="657">
        <f t="shared" si="0"/>
        <v>18</v>
      </c>
      <c r="M6" s="656">
        <f t="shared" ref="M6:O14" si="4">AVERAGEIF($B$4:$G$4,M$4,$B6:$G6)</f>
        <v>9</v>
      </c>
      <c r="N6" s="8">
        <f t="shared" si="1"/>
        <v>18.5</v>
      </c>
      <c r="O6" s="657">
        <f t="shared" si="1"/>
        <v>24</v>
      </c>
      <c r="R6" s="19" t="s">
        <v>554</v>
      </c>
      <c r="S6" s="19" t="s">
        <v>578</v>
      </c>
      <c r="T6" s="19" t="s">
        <v>186</v>
      </c>
      <c r="U6" s="19" t="s">
        <v>641</v>
      </c>
      <c r="W6" s="28" t="s">
        <v>1529</v>
      </c>
      <c r="X6">
        <f>S14</f>
        <v>220.35000000000036</v>
      </c>
      <c r="Y6">
        <f>T14</f>
        <v>9</v>
      </c>
      <c r="Z6" s="8">
        <f t="shared" ref="Z6:Z11" si="5">X6/Y6</f>
        <v>24.483333333333373</v>
      </c>
      <c r="AF6" s="533" t="e">
        <f ca="1"/>
        <v>#NAME?</v>
      </c>
      <c r="AG6" s="541" t="e">
        <f ca="1"/>
        <v>#NAME?</v>
      </c>
      <c r="AI6" t="s">
        <v>1435</v>
      </c>
      <c r="AJ6" s="627" t="e">
        <f ca="1">AVERAGE(AF5:AG6)</f>
        <v>#NAME?</v>
      </c>
      <c r="AK6" s="8"/>
      <c r="AM6" s="656" t="e">
        <f ca="1"/>
        <v>#NAME?</v>
      </c>
      <c r="AN6" s="8" t="e">
        <f ca="1"/>
        <v>#NAME?</v>
      </c>
      <c r="AO6" s="657" t="e">
        <f ca="1"/>
        <v>#NAME?</v>
      </c>
      <c r="AQ6" t="s">
        <v>1435</v>
      </c>
      <c r="AR6" s="627" t="e">
        <f ca="1">AVERAGE(AM5:AO7)</f>
        <v>#NAME?</v>
      </c>
      <c r="AU6" t="s">
        <v>1530</v>
      </c>
      <c r="AV6">
        <f>AV4</f>
        <v>828.81666666666672</v>
      </c>
      <c r="AW6" t="e">
        <f ca="1">AW4*AJ18</f>
        <v>#NAME?</v>
      </c>
      <c r="AX6" s="28" t="e">
        <f t="shared" ca="1" si="2"/>
        <v>#NAME?</v>
      </c>
      <c r="AY6" s="28" t="e">
        <f ca="1">AX6/AX10</f>
        <v>#NAME?</v>
      </c>
      <c r="AZ6" t="e">
        <f ca="1">FDIST(AY6,AW6,AW10)</f>
        <v>#NAME?</v>
      </c>
      <c r="BA6" t="e">
        <f ca="1">FINV(0.05,AW6,AW10)</f>
        <v>#NAME?</v>
      </c>
    </row>
    <row r="7" spans="1:53">
      <c r="A7" s="632">
        <f t="shared" ref="A7:A14" si="6">A6+1</f>
        <v>3</v>
      </c>
      <c r="B7" s="656">
        <v>17</v>
      </c>
      <c r="C7" s="8">
        <v>19</v>
      </c>
      <c r="D7" s="657">
        <v>24</v>
      </c>
      <c r="E7" s="656">
        <v>21</v>
      </c>
      <c r="F7" s="8">
        <v>31</v>
      </c>
      <c r="G7" s="657">
        <v>32</v>
      </c>
      <c r="H7">
        <f t="shared" si="3"/>
        <v>24</v>
      </c>
      <c r="J7" s="656">
        <f t="shared" si="0"/>
        <v>20</v>
      </c>
      <c r="K7" s="657">
        <f t="shared" si="0"/>
        <v>28</v>
      </c>
      <c r="M7" s="656">
        <f t="shared" si="4"/>
        <v>19</v>
      </c>
      <c r="N7" s="8">
        <f t="shared" si="1"/>
        <v>25</v>
      </c>
      <c r="O7" s="657">
        <f t="shared" si="1"/>
        <v>28</v>
      </c>
      <c r="Q7" s="386" t="s">
        <v>12</v>
      </c>
      <c r="R7" s="651">
        <v>1</v>
      </c>
      <c r="S7" s="652">
        <f>DEVSQ(B5:G14)*R7</f>
        <v>4852.5833333333312</v>
      </c>
      <c r="T7" s="652">
        <f>U4-1</f>
        <v>59</v>
      </c>
      <c r="U7" s="653">
        <f t="shared" ref="U7:U17" si="7">S7/T7</f>
        <v>82.247175141242906</v>
      </c>
      <c r="W7" s="28" t="s">
        <v>1531</v>
      </c>
      <c r="X7" s="28">
        <f>S9</f>
        <v>1365.2333333333331</v>
      </c>
      <c r="Y7" s="28">
        <f>T9</f>
        <v>2</v>
      </c>
      <c r="Z7" s="8">
        <f t="shared" si="5"/>
        <v>682.61666666666656</v>
      </c>
      <c r="AA7" s="28">
        <f>Z7/Z8</f>
        <v>26.959189643823574</v>
      </c>
      <c r="AB7">
        <f>FDIST(AA7,Y7,Y8)</f>
        <v>3.8538385756846721E-6</v>
      </c>
      <c r="AC7">
        <f>FINV(0.05,Y7,Y8)</f>
        <v>3.5545571456617879</v>
      </c>
      <c r="AE7" t="s">
        <v>63</v>
      </c>
      <c r="AF7" t="e">
        <f ca="1">AVERAGE(AF5:AF6)</f>
        <v>#NAME?</v>
      </c>
      <c r="AG7" t="e">
        <f ca="1">AVERAGE(AG5:AG6)</f>
        <v>#NAME?</v>
      </c>
      <c r="AI7" t="s">
        <v>1436</v>
      </c>
      <c r="AJ7" s="627" t="e">
        <f ca="1">SUMSQ(AF5:AG6)</f>
        <v>#NAME?</v>
      </c>
      <c r="AK7" s="8"/>
      <c r="AM7" s="533" t="e">
        <f ca="1"/>
        <v>#NAME?</v>
      </c>
      <c r="AN7" s="534" t="e">
        <f ca="1"/>
        <v>#NAME?</v>
      </c>
      <c r="AO7" s="541" t="e">
        <f ca="1"/>
        <v>#NAME?</v>
      </c>
      <c r="AQ7" t="s">
        <v>1436</v>
      </c>
      <c r="AR7" s="627" t="e">
        <f ca="1">SUMSQ(AM5:AO7)</f>
        <v>#NAME?</v>
      </c>
      <c r="AT7" s="534"/>
      <c r="AU7" s="534" t="s">
        <v>1489</v>
      </c>
      <c r="AV7" s="534">
        <f>AV4</f>
        <v>828.81666666666672</v>
      </c>
      <c r="AW7" s="534">
        <f>AW4*AJ20</f>
        <v>1</v>
      </c>
      <c r="AX7" s="534">
        <f t="shared" si="2"/>
        <v>828.81666666666672</v>
      </c>
      <c r="AY7" s="534">
        <f>AX7/AX11</f>
        <v>33.852280462899877</v>
      </c>
      <c r="AZ7" s="534">
        <f>FDIST(AY7,AW7,AW11)</f>
        <v>2.5360766055906994E-4</v>
      </c>
      <c r="BA7" s="534">
        <f>FINV(0.05,AW7,AW11)</f>
        <v>5.1173550291992269</v>
      </c>
    </row>
    <row r="8" spans="1:53">
      <c r="A8" s="632">
        <f t="shared" si="6"/>
        <v>4</v>
      </c>
      <c r="B8" s="656">
        <v>12</v>
      </c>
      <c r="C8" s="8">
        <v>25</v>
      </c>
      <c r="D8" s="657">
        <v>25</v>
      </c>
      <c r="E8" s="656">
        <v>18</v>
      </c>
      <c r="F8" s="8">
        <v>39</v>
      </c>
      <c r="G8" s="657">
        <v>40</v>
      </c>
      <c r="H8">
        <f t="shared" si="3"/>
        <v>26.5</v>
      </c>
      <c r="J8" s="656">
        <f t="shared" si="0"/>
        <v>20.666666666666668</v>
      </c>
      <c r="K8" s="657">
        <f t="shared" si="0"/>
        <v>32.333333333333336</v>
      </c>
      <c r="M8" s="656">
        <f t="shared" si="4"/>
        <v>15</v>
      </c>
      <c r="N8" s="8">
        <f t="shared" si="1"/>
        <v>32</v>
      </c>
      <c r="O8" s="657">
        <f t="shared" si="1"/>
        <v>32.5</v>
      </c>
      <c r="Q8" s="386" t="s">
        <v>1526</v>
      </c>
      <c r="R8" s="656">
        <f>S4*T4</f>
        <v>30</v>
      </c>
      <c r="S8" s="8">
        <f>DEVSQ(J15:K15)*R8</f>
        <v>828.81666666666672</v>
      </c>
      <c r="T8" s="8">
        <f>R4-1</f>
        <v>1</v>
      </c>
      <c r="U8" s="657">
        <f t="shared" si="7"/>
        <v>828.81666666666672</v>
      </c>
      <c r="W8" s="28" t="s">
        <v>1532</v>
      </c>
      <c r="X8">
        <f>S16</f>
        <v>455.76666666666688</v>
      </c>
      <c r="Y8">
        <f>T16</f>
        <v>18</v>
      </c>
      <c r="Z8" s="8">
        <f t="shared" si="5"/>
        <v>25.320370370370384</v>
      </c>
      <c r="AE8" t="s">
        <v>1533</v>
      </c>
      <c r="AF8" t="e">
        <f ca="1">INDEX(AF5:AF6,AF4)</f>
        <v>#NAME?</v>
      </c>
      <c r="AG8" t="e">
        <f ca="1">INDEX(AG5:AG6,AG4)</f>
        <v>#NAME?</v>
      </c>
      <c r="AI8" t="s">
        <v>1437</v>
      </c>
      <c r="AJ8" s="627" t="e">
        <f ca="1">SUMSQ(AF7:AG7)</f>
        <v>#NAME?</v>
      </c>
      <c r="AK8" s="8"/>
      <c r="AL8" t="s">
        <v>63</v>
      </c>
      <c r="AM8" t="e">
        <f ca="1">AVERAGE(AM5:AM7)</f>
        <v>#NAME?</v>
      </c>
      <c r="AN8" t="e">
        <f ca="1">AVERAGE(AN5:AN7)</f>
        <v>#NAME?</v>
      </c>
      <c r="AO8" t="e">
        <f ca="1">AVERAGE(AO5:AO7)</f>
        <v>#NAME?</v>
      </c>
      <c r="AQ8" t="s">
        <v>1437</v>
      </c>
      <c r="AR8" s="627" t="e">
        <f ca="1">SUMSQ(AM8:AO8)</f>
        <v>#NAME?</v>
      </c>
      <c r="AT8" s="28" t="s">
        <v>1529</v>
      </c>
      <c r="AU8" s="28" t="s">
        <v>1527</v>
      </c>
      <c r="AV8">
        <f>X6</f>
        <v>220.35000000000036</v>
      </c>
      <c r="AW8">
        <f>Y6</f>
        <v>9</v>
      </c>
      <c r="AX8" s="8">
        <f t="shared" si="2"/>
        <v>24.483333333333373</v>
      </c>
      <c r="AY8" s="28"/>
      <c r="AZ8" s="28"/>
      <c r="BA8" s="28"/>
    </row>
    <row r="9" spans="1:53">
      <c r="A9" s="632">
        <f t="shared" si="6"/>
        <v>5</v>
      </c>
      <c r="B9" s="656">
        <v>19</v>
      </c>
      <c r="C9" s="8">
        <v>27</v>
      </c>
      <c r="D9" s="657">
        <v>19</v>
      </c>
      <c r="E9" s="656">
        <v>18</v>
      </c>
      <c r="F9" s="8">
        <v>28</v>
      </c>
      <c r="G9" s="657">
        <v>27</v>
      </c>
      <c r="H9">
        <f t="shared" si="3"/>
        <v>23</v>
      </c>
      <c r="J9" s="656">
        <f t="shared" si="0"/>
        <v>21.666666666666668</v>
      </c>
      <c r="K9" s="657">
        <f t="shared" si="0"/>
        <v>24.333333333333332</v>
      </c>
      <c r="M9" s="656">
        <f t="shared" si="4"/>
        <v>18.5</v>
      </c>
      <c r="N9" s="8">
        <f t="shared" si="4"/>
        <v>27.5</v>
      </c>
      <c r="O9" s="657">
        <f t="shared" si="4"/>
        <v>23</v>
      </c>
      <c r="Q9" s="386" t="s">
        <v>1531</v>
      </c>
      <c r="R9" s="656">
        <f>R4*T4</f>
        <v>20</v>
      </c>
      <c r="S9" s="8">
        <f>DEVSQ(M15:O15)*R9</f>
        <v>1365.2333333333331</v>
      </c>
      <c r="T9" s="8">
        <f>S4-1</f>
        <v>2</v>
      </c>
      <c r="U9" s="657">
        <f t="shared" si="7"/>
        <v>682.61666666666656</v>
      </c>
      <c r="W9" s="28" t="s">
        <v>1043</v>
      </c>
      <c r="X9" s="28">
        <f>S12</f>
        <v>224.43333333333339</v>
      </c>
      <c r="Y9" s="28">
        <f>T12</f>
        <v>2</v>
      </c>
      <c r="Z9" s="8">
        <f t="shared" si="5"/>
        <v>112.2166666666667</v>
      </c>
      <c r="AA9" s="28">
        <f>Z9/Z10</f>
        <v>12.63227016885571</v>
      </c>
      <c r="AB9">
        <f>FDIST(AA9,Y9,Y10)</f>
        <v>3.7347686147367487E-4</v>
      </c>
      <c r="AC9">
        <f>FINV(0.05,Y9,Y10)</f>
        <v>3.5545571456617879</v>
      </c>
      <c r="AI9" t="s">
        <v>1438</v>
      </c>
      <c r="AJ9" s="627" t="e">
        <f ca="1">(AJ4*(AJ5-AJ6))^2</f>
        <v>#NAME?</v>
      </c>
      <c r="AK9" s="8"/>
      <c r="AL9" t="s">
        <v>1533</v>
      </c>
      <c r="AM9" t="e">
        <f ca="1">INDEX(AM5:AM7,AM4)</f>
        <v>#NAME?</v>
      </c>
      <c r="AN9" t="e">
        <f ca="1">INDEX(AN5:AN7,AN4)</f>
        <v>#NAME?</v>
      </c>
      <c r="AO9" t="e">
        <f ca="1">INDEX(AO5:AO7,AO4)</f>
        <v>#NAME?</v>
      </c>
      <c r="AQ9" t="s">
        <v>1438</v>
      </c>
      <c r="AR9" s="627" t="e">
        <f ca="1">(AR4*(AR5-AR6))^2</f>
        <v>#NAME?</v>
      </c>
      <c r="AU9" t="s">
        <v>1528</v>
      </c>
      <c r="AV9">
        <f>AV8</f>
        <v>220.35000000000036</v>
      </c>
      <c r="AW9" t="e">
        <f ca="1">AW8*AJ11</f>
        <v>#NAME?</v>
      </c>
      <c r="AX9" s="8" t="e">
        <f t="shared" ca="1" si="2"/>
        <v>#NAME?</v>
      </c>
      <c r="AY9" s="28"/>
      <c r="AZ9" s="28"/>
      <c r="BA9" s="28"/>
    </row>
    <row r="10" spans="1:53">
      <c r="A10" s="632">
        <f t="shared" si="6"/>
        <v>6</v>
      </c>
      <c r="B10" s="656">
        <v>6</v>
      </c>
      <c r="C10" s="8">
        <v>12</v>
      </c>
      <c r="D10" s="657">
        <v>6</v>
      </c>
      <c r="E10" s="656">
        <v>6</v>
      </c>
      <c r="F10" s="8">
        <v>18</v>
      </c>
      <c r="G10" s="657">
        <v>23</v>
      </c>
      <c r="H10">
        <f t="shared" si="3"/>
        <v>11.833333333333334</v>
      </c>
      <c r="J10" s="656">
        <f t="shared" si="0"/>
        <v>8</v>
      </c>
      <c r="K10" s="657">
        <f t="shared" si="0"/>
        <v>15.666666666666666</v>
      </c>
      <c r="M10" s="656">
        <f t="shared" si="4"/>
        <v>6</v>
      </c>
      <c r="N10" s="8">
        <f t="shared" si="4"/>
        <v>15</v>
      </c>
      <c r="O10" s="657">
        <f t="shared" si="4"/>
        <v>14.5</v>
      </c>
      <c r="Q10" s="174" t="s">
        <v>1534</v>
      </c>
      <c r="R10" s="656">
        <f>R4*S4</f>
        <v>6</v>
      </c>
      <c r="S10" s="8">
        <f>DEVSQ(H5:H14)*R10</f>
        <v>1598.083333333333</v>
      </c>
      <c r="T10" s="8">
        <f>T4-1</f>
        <v>9</v>
      </c>
      <c r="U10" s="657">
        <f t="shared" si="7"/>
        <v>177.56481481481478</v>
      </c>
      <c r="W10" s="28" t="s">
        <v>1535</v>
      </c>
      <c r="X10" s="28">
        <f>S17</f>
        <v>159.89999999999782</v>
      </c>
      <c r="Y10" s="28">
        <f>T17</f>
        <v>18</v>
      </c>
      <c r="Z10" s="8">
        <f t="shared" si="5"/>
        <v>8.8833333333332121</v>
      </c>
      <c r="AA10" s="28"/>
      <c r="AB10" s="28"/>
      <c r="AC10" s="28"/>
      <c r="AI10" t="s">
        <v>1439</v>
      </c>
      <c r="AJ10" s="627" t="e">
        <f ca="1">(AJ4-1)*(AJ7-2*AJ4*AJ8+AJ4^2*AJ6^2)</f>
        <v>#NAME?</v>
      </c>
      <c r="AK10" s="8"/>
      <c r="AQ10" t="s">
        <v>1439</v>
      </c>
      <c r="AR10" s="627" t="e">
        <f ca="1">(AR4-1)*(AR7-2*AR4*AR8+AR4^2*AR6^2)</f>
        <v>#NAME?</v>
      </c>
      <c r="AU10" t="s">
        <v>1530</v>
      </c>
      <c r="AV10">
        <f>AV8</f>
        <v>220.35000000000036</v>
      </c>
      <c r="AW10" t="e">
        <f ca="1">AW8*$AJ$18</f>
        <v>#NAME?</v>
      </c>
      <c r="AX10" s="8" t="e">
        <f t="shared" ca="1" si="2"/>
        <v>#NAME?</v>
      </c>
      <c r="AY10" s="28"/>
      <c r="AZ10" s="28"/>
      <c r="BA10" s="28"/>
    </row>
    <row r="11" spans="1:53" ht="15" thickBot="1">
      <c r="A11" s="632">
        <f t="shared" si="6"/>
        <v>7</v>
      </c>
      <c r="B11" s="656">
        <v>17</v>
      </c>
      <c r="C11" s="8">
        <v>18</v>
      </c>
      <c r="D11" s="657">
        <v>30</v>
      </c>
      <c r="E11" s="656">
        <v>24</v>
      </c>
      <c r="F11" s="8">
        <v>36</v>
      </c>
      <c r="G11" s="657">
        <v>38</v>
      </c>
      <c r="H11">
        <f t="shared" si="3"/>
        <v>27.166666666666668</v>
      </c>
      <c r="J11" s="656">
        <f t="shared" si="0"/>
        <v>21.666666666666668</v>
      </c>
      <c r="K11" s="657">
        <f t="shared" si="0"/>
        <v>32.666666666666664</v>
      </c>
      <c r="M11" s="656">
        <f t="shared" si="4"/>
        <v>20.5</v>
      </c>
      <c r="N11" s="8">
        <f t="shared" si="4"/>
        <v>27</v>
      </c>
      <c r="O11" s="657">
        <f t="shared" si="4"/>
        <v>34</v>
      </c>
      <c r="Q11" s="126" t="s">
        <v>1055</v>
      </c>
      <c r="R11" s="656">
        <f>T4</f>
        <v>10</v>
      </c>
      <c r="S11" s="8">
        <f>DEVSQ(B15:G15)*R11</f>
        <v>2418.4833333333331</v>
      </c>
      <c r="T11" s="8">
        <f>R4*S4-1</f>
        <v>5</v>
      </c>
      <c r="U11" s="657">
        <f t="shared" si="7"/>
        <v>483.6966666666666</v>
      </c>
      <c r="W11" s="28" t="s">
        <v>1534</v>
      </c>
      <c r="X11" s="28">
        <f>S10</f>
        <v>1598.083333333333</v>
      </c>
      <c r="Y11" s="28">
        <f>T10</f>
        <v>9</v>
      </c>
      <c r="Z11" s="8">
        <f t="shared" si="5"/>
        <v>177.56481481481478</v>
      </c>
      <c r="AA11" s="28"/>
      <c r="AB11" s="28"/>
      <c r="AC11" s="28"/>
      <c r="AI11" t="s">
        <v>1440</v>
      </c>
      <c r="AJ11" s="544" t="e">
        <f ca="1">AJ9/AJ10</f>
        <v>#NAME?</v>
      </c>
      <c r="AK11" s="8"/>
      <c r="AQ11" t="s">
        <v>1440</v>
      </c>
      <c r="AR11" s="544" t="e">
        <f ca="1">AR9/AR10</f>
        <v>#NAME?</v>
      </c>
      <c r="AT11" s="37"/>
      <c r="AU11" s="37" t="s">
        <v>1489</v>
      </c>
      <c r="AV11" s="37">
        <f>AV8</f>
        <v>220.35000000000036</v>
      </c>
      <c r="AW11" s="37">
        <f>AW8*$AJ$20</f>
        <v>9</v>
      </c>
      <c r="AX11" s="37">
        <f t="shared" si="2"/>
        <v>24.483333333333373</v>
      </c>
      <c r="AY11" s="37"/>
      <c r="AZ11" s="37"/>
      <c r="BA11" s="37"/>
    </row>
    <row r="12" spans="1:53">
      <c r="A12" s="632">
        <f t="shared" si="6"/>
        <v>8</v>
      </c>
      <c r="B12" s="656">
        <v>18</v>
      </c>
      <c r="C12" s="8">
        <v>29</v>
      </c>
      <c r="D12" s="657">
        <v>36</v>
      </c>
      <c r="E12" s="656">
        <v>22</v>
      </c>
      <c r="F12" s="8">
        <v>36</v>
      </c>
      <c r="G12" s="657">
        <v>40</v>
      </c>
      <c r="H12">
        <f t="shared" si="3"/>
        <v>30.166666666666668</v>
      </c>
      <c r="J12" s="656">
        <f t="shared" si="0"/>
        <v>27.666666666666668</v>
      </c>
      <c r="K12" s="657">
        <f t="shared" si="0"/>
        <v>32.666666666666664</v>
      </c>
      <c r="M12" s="656">
        <f t="shared" si="4"/>
        <v>20</v>
      </c>
      <c r="N12" s="8">
        <f t="shared" si="4"/>
        <v>32.5</v>
      </c>
      <c r="O12" s="657">
        <f t="shared" si="4"/>
        <v>38</v>
      </c>
      <c r="Q12" s="232" t="s">
        <v>1043</v>
      </c>
      <c r="R12" s="656"/>
      <c r="S12" s="8">
        <f>S11-S8-S9</f>
        <v>224.43333333333339</v>
      </c>
      <c r="T12" s="8">
        <f>T11-T8-T9</f>
        <v>2</v>
      </c>
      <c r="U12" s="657">
        <f t="shared" si="7"/>
        <v>112.2166666666667</v>
      </c>
      <c r="W12" s="28"/>
      <c r="X12" s="28"/>
      <c r="Y12" s="28"/>
      <c r="Z12" s="28"/>
      <c r="AA12" s="28"/>
      <c r="AB12" s="28"/>
      <c r="AC12" s="28"/>
      <c r="AT12" s="28" t="s">
        <v>1531</v>
      </c>
      <c r="AU12" s="28" t="s">
        <v>1527</v>
      </c>
      <c r="AV12">
        <f>X7</f>
        <v>1365.2333333333331</v>
      </c>
      <c r="AW12">
        <f>Y7</f>
        <v>2</v>
      </c>
      <c r="AX12" s="8">
        <f>AV12/AW12</f>
        <v>682.61666666666656</v>
      </c>
      <c r="AY12" s="28">
        <f>AX12/AX16</f>
        <v>26.959189643823574</v>
      </c>
      <c r="AZ12">
        <f>FDIST(AY12,AW12,AW16)</f>
        <v>3.8538385756846721E-6</v>
      </c>
      <c r="BA12">
        <f>FINV(0.05,AW12,AW16)</f>
        <v>3.5545571456617879</v>
      </c>
    </row>
    <row r="13" spans="1:53" ht="15" thickBot="1">
      <c r="A13" s="632">
        <f t="shared" si="6"/>
        <v>9</v>
      </c>
      <c r="B13" s="656">
        <v>23</v>
      </c>
      <c r="C13" s="8">
        <v>30</v>
      </c>
      <c r="D13" s="657">
        <v>24</v>
      </c>
      <c r="E13" s="656">
        <v>18</v>
      </c>
      <c r="F13" s="8">
        <v>38</v>
      </c>
      <c r="G13" s="657">
        <v>32</v>
      </c>
      <c r="H13">
        <f t="shared" si="3"/>
        <v>27.5</v>
      </c>
      <c r="J13" s="656">
        <f t="shared" si="0"/>
        <v>25.666666666666668</v>
      </c>
      <c r="K13" s="657">
        <f t="shared" si="0"/>
        <v>29.333333333333332</v>
      </c>
      <c r="M13" s="656">
        <f t="shared" si="4"/>
        <v>20.5</v>
      </c>
      <c r="N13" s="8">
        <f t="shared" si="4"/>
        <v>34</v>
      </c>
      <c r="O13" s="657">
        <f t="shared" si="4"/>
        <v>28</v>
      </c>
      <c r="Q13" s="232" t="s">
        <v>1056</v>
      </c>
      <c r="R13" s="656">
        <f>S4</f>
        <v>3</v>
      </c>
      <c r="S13" s="8">
        <f>DEVSQ(J5:K14)*R13</f>
        <v>2647.25</v>
      </c>
      <c r="T13" s="8">
        <f>R4*T4-1</f>
        <v>19</v>
      </c>
      <c r="U13" s="657">
        <f t="shared" si="7"/>
        <v>139.32894736842104</v>
      </c>
      <c r="W13" s="31" t="s">
        <v>12</v>
      </c>
      <c r="X13" s="31">
        <f>S7</f>
        <v>4852.5833333333312</v>
      </c>
      <c r="Y13" s="31">
        <f>T7</f>
        <v>59</v>
      </c>
      <c r="Z13" s="31">
        <f>X13/Y13</f>
        <v>82.247175141242906</v>
      </c>
      <c r="AA13" s="31"/>
      <c r="AB13" s="31"/>
      <c r="AC13" s="31"/>
      <c r="AI13" t="s">
        <v>1432</v>
      </c>
      <c r="AJ13" s="654">
        <f>T4</f>
        <v>10</v>
      </c>
      <c r="AK13" s="8"/>
      <c r="AQ13" t="s">
        <v>1432</v>
      </c>
      <c r="AR13" s="654">
        <f>T4</f>
        <v>10</v>
      </c>
      <c r="AU13" t="s">
        <v>1528</v>
      </c>
      <c r="AV13">
        <f>AV12</f>
        <v>1365.2333333333331</v>
      </c>
      <c r="AW13" t="e">
        <f ca="1">AW12*AR11</f>
        <v>#NAME?</v>
      </c>
      <c r="AX13" s="8" t="e">
        <f ca="1">AV13/AW13</f>
        <v>#NAME?</v>
      </c>
      <c r="AY13" s="28" t="e">
        <f ca="1">AX13/AX17</f>
        <v>#NAME?</v>
      </c>
      <c r="AZ13" t="e">
        <f ca="1">FDIST(AY13,AW13,AW17)</f>
        <v>#NAME?</v>
      </c>
      <c r="BA13" t="e">
        <f ca="1">FINV(0.05,AW13,AW17)</f>
        <v>#NAME?</v>
      </c>
    </row>
    <row r="14" spans="1:53">
      <c r="A14" s="632">
        <f t="shared" si="6"/>
        <v>10</v>
      </c>
      <c r="B14" s="533">
        <v>18</v>
      </c>
      <c r="C14" s="534">
        <v>12</v>
      </c>
      <c r="D14" s="541">
        <v>24</v>
      </c>
      <c r="E14" s="533">
        <v>24</v>
      </c>
      <c r="F14" s="534">
        <v>25</v>
      </c>
      <c r="G14" s="541">
        <v>34</v>
      </c>
      <c r="H14">
        <f t="shared" si="3"/>
        <v>22.833333333333332</v>
      </c>
      <c r="J14" s="533">
        <f t="shared" si="0"/>
        <v>18</v>
      </c>
      <c r="K14" s="541">
        <f t="shared" si="0"/>
        <v>27.666666666666668</v>
      </c>
      <c r="M14" s="533">
        <f t="shared" si="4"/>
        <v>21</v>
      </c>
      <c r="N14" s="534">
        <f t="shared" si="4"/>
        <v>18.5</v>
      </c>
      <c r="O14" s="541">
        <f t="shared" si="4"/>
        <v>29</v>
      </c>
      <c r="Q14" s="8" t="s">
        <v>1045</v>
      </c>
      <c r="R14" s="656"/>
      <c r="S14" s="8">
        <f>S13-S8-S10</f>
        <v>220.35000000000036</v>
      </c>
      <c r="T14" s="8">
        <f>T13-T8-T10</f>
        <v>9</v>
      </c>
      <c r="U14" s="657">
        <f t="shared" si="7"/>
        <v>24.483333333333373</v>
      </c>
      <c r="AI14" t="s">
        <v>1433</v>
      </c>
      <c r="AJ14" s="627">
        <f>AJ4</f>
        <v>2</v>
      </c>
      <c r="AK14" s="8"/>
      <c r="AQ14" t="s">
        <v>1433</v>
      </c>
      <c r="AR14" s="627">
        <f>AR4</f>
        <v>3</v>
      </c>
      <c r="AU14" t="s">
        <v>1530</v>
      </c>
      <c r="AV14">
        <f>AV12</f>
        <v>1365.2333333333331</v>
      </c>
      <c r="AW14" t="e">
        <f ca="1">AW12*AR18</f>
        <v>#NAME?</v>
      </c>
      <c r="AX14" s="8" t="e">
        <f ca="1">AV14/AW14</f>
        <v>#NAME?</v>
      </c>
      <c r="AY14" s="28" t="e">
        <f ca="1">AX14/AX18</f>
        <v>#NAME?</v>
      </c>
      <c r="AZ14" t="e">
        <f ca="1">FDIST(AY14,AW14,AW18)</f>
        <v>#NAME?</v>
      </c>
      <c r="BA14" t="e">
        <f ca="1">FINV(0.05,AW14,AW18)</f>
        <v>#NAME?</v>
      </c>
    </row>
    <row r="15" spans="1:53">
      <c r="B15">
        <f t="shared" ref="B15:G15" si="8">AVERAGE(B5:B14)</f>
        <v>15.5</v>
      </c>
      <c r="C15">
        <f t="shared" si="8"/>
        <v>20.3</v>
      </c>
      <c r="D15">
        <f t="shared" si="8"/>
        <v>22.3</v>
      </c>
      <c r="E15">
        <f t="shared" si="8"/>
        <v>17.5</v>
      </c>
      <c r="F15">
        <f t="shared" si="8"/>
        <v>29.9</v>
      </c>
      <c r="G15">
        <f t="shared" si="8"/>
        <v>33</v>
      </c>
      <c r="H15">
        <f t="shared" si="3"/>
        <v>23.083333333333332</v>
      </c>
      <c r="J15">
        <f>AVERAGE(J5:J14)</f>
        <v>19.366666666666667</v>
      </c>
      <c r="K15">
        <f>AVERAGE(K5:K14)</f>
        <v>26.8</v>
      </c>
      <c r="M15">
        <f>AVERAGE(M5:M14)</f>
        <v>16.5</v>
      </c>
      <c r="N15">
        <f>AVERAGE(N5:N14)</f>
        <v>25.1</v>
      </c>
      <c r="O15">
        <f>AVERAGE(O5:O14)</f>
        <v>27.65</v>
      </c>
      <c r="Q15" s="232" t="s">
        <v>1057</v>
      </c>
      <c r="R15" s="656">
        <f>R4</f>
        <v>2</v>
      </c>
      <c r="S15" s="8">
        <f>DEVSQ(M5:O14)*R15</f>
        <v>3419.083333333333</v>
      </c>
      <c r="T15" s="8">
        <f>S4*T4-1</f>
        <v>29</v>
      </c>
      <c r="U15" s="657">
        <f t="shared" si="7"/>
        <v>117.89942528735631</v>
      </c>
      <c r="AI15" t="s">
        <v>1440</v>
      </c>
      <c r="AJ15" s="627" t="e">
        <f ca="1">AJ11</f>
        <v>#NAME?</v>
      </c>
      <c r="AK15" s="8"/>
      <c r="AQ15" t="s">
        <v>1440</v>
      </c>
      <c r="AR15" s="627" t="e">
        <f ca="1">AR11</f>
        <v>#NAME?</v>
      </c>
      <c r="AT15" s="534"/>
      <c r="AU15" s="534" t="s">
        <v>1489</v>
      </c>
      <c r="AV15" s="534">
        <f>AV12</f>
        <v>1365.2333333333331</v>
      </c>
      <c r="AW15" s="534">
        <f>AW12*AR20</f>
        <v>1</v>
      </c>
      <c r="AX15" s="534">
        <f>AV15/AW15</f>
        <v>1365.2333333333331</v>
      </c>
      <c r="AY15" s="534">
        <f>AX15/AX19</f>
        <v>26.959189643823574</v>
      </c>
      <c r="AZ15" s="534">
        <f>FDIST(AY15,AW15,AW19)</f>
        <v>5.6995007547536039E-4</v>
      </c>
      <c r="BA15" s="534">
        <f>FINV(0.05,AW15,AW19)</f>
        <v>5.1173550291992269</v>
      </c>
    </row>
    <row r="16" spans="1:53">
      <c r="Q16" s="174" t="s">
        <v>1047</v>
      </c>
      <c r="R16" s="656"/>
      <c r="S16" s="8">
        <f>S15-S9-S10</f>
        <v>455.76666666666688</v>
      </c>
      <c r="T16" s="8">
        <f>T15-T9-T10</f>
        <v>18</v>
      </c>
      <c r="U16" s="657">
        <f t="shared" si="7"/>
        <v>25.320370370370384</v>
      </c>
      <c r="AI16" t="s">
        <v>1441</v>
      </c>
      <c r="AJ16" s="627" t="e">
        <f ca="1">AJ13*(AJ14-1)*AJ15-2</f>
        <v>#NAME?</v>
      </c>
      <c r="AK16" s="8"/>
      <c r="AQ16" t="s">
        <v>1441</v>
      </c>
      <c r="AR16" s="627" t="e">
        <f ca="1">AR13*(AR14-1)*AR15-2</f>
        <v>#NAME?</v>
      </c>
      <c r="AT16" s="28" t="s">
        <v>1532</v>
      </c>
      <c r="AU16" s="28" t="s">
        <v>1527</v>
      </c>
      <c r="AV16">
        <f>X8</f>
        <v>455.76666666666688</v>
      </c>
      <c r="AW16">
        <f>Y8</f>
        <v>18</v>
      </c>
      <c r="AX16" s="8">
        <f>AV16/AW16</f>
        <v>25.320370370370384</v>
      </c>
      <c r="AY16" s="28"/>
      <c r="AZ16" s="28"/>
      <c r="BA16" s="28"/>
    </row>
    <row r="17" spans="17:53">
      <c r="Q17" s="25" t="s">
        <v>1049</v>
      </c>
      <c r="R17" s="533"/>
      <c r="S17" s="534">
        <f>S7-S8-S9-S10-S12-S14-S16</f>
        <v>159.89999999999782</v>
      </c>
      <c r="T17" s="534">
        <f>T7-T8-T9-T10-T12-T14-T16</f>
        <v>18</v>
      </c>
      <c r="U17" s="541">
        <f t="shared" si="7"/>
        <v>8.8833333333332121</v>
      </c>
      <c r="AI17" t="s">
        <v>1442</v>
      </c>
      <c r="AJ17" s="627" t="e">
        <f ca="1">(AJ14-1)*(AJ13-1-(AJ14-1)*AJ15)</f>
        <v>#NAME?</v>
      </c>
      <c r="AK17" s="8"/>
      <c r="AQ17" t="s">
        <v>1442</v>
      </c>
      <c r="AR17" s="627" t="e">
        <f ca="1">(AR14-1)*(AR13-1-(AR14-1)*AR15)</f>
        <v>#NAME?</v>
      </c>
      <c r="AU17" t="s">
        <v>1528</v>
      </c>
      <c r="AV17">
        <f>AV16</f>
        <v>455.76666666666688</v>
      </c>
      <c r="AW17" t="e">
        <f ca="1">AW16*AR11</f>
        <v>#NAME?</v>
      </c>
      <c r="AX17" s="8" t="e">
        <f t="shared" ref="AX17:AX25" ca="1" si="9">AV17/AW17</f>
        <v>#NAME?</v>
      </c>
      <c r="AY17" s="28"/>
      <c r="AZ17" s="28"/>
      <c r="BA17" s="28"/>
    </row>
    <row r="18" spans="17:53">
      <c r="AI18" t="s">
        <v>1443</v>
      </c>
      <c r="AJ18" s="544" t="e">
        <f ca="1">MIN(AJ16/AJ17,1)</f>
        <v>#NAME?</v>
      </c>
      <c r="AK18" s="8"/>
      <c r="AQ18" t="s">
        <v>1443</v>
      </c>
      <c r="AR18" s="544" t="e">
        <f ca="1">MIN(AR16/AR17,1)</f>
        <v>#NAME?</v>
      </c>
      <c r="AU18" t="s">
        <v>1530</v>
      </c>
      <c r="AV18">
        <f>AV16</f>
        <v>455.76666666666688</v>
      </c>
      <c r="AW18" t="e">
        <f ca="1">AW16*AR18</f>
        <v>#NAME?</v>
      </c>
      <c r="AX18" s="8" t="e">
        <f t="shared" ca="1" si="9"/>
        <v>#NAME?</v>
      </c>
      <c r="AY18" s="28"/>
      <c r="AZ18" s="28"/>
      <c r="BA18" s="28"/>
    </row>
    <row r="19" spans="17:53" ht="15" thickBot="1">
      <c r="AT19" s="37"/>
      <c r="AU19" s="37" t="s">
        <v>1489</v>
      </c>
      <c r="AV19" s="37">
        <f>AV16</f>
        <v>455.76666666666688</v>
      </c>
      <c r="AW19" s="37">
        <f>AW16*AR20</f>
        <v>9</v>
      </c>
      <c r="AX19" s="37">
        <f t="shared" si="9"/>
        <v>50.640740740740767</v>
      </c>
      <c r="AY19" s="37"/>
      <c r="AZ19" s="37"/>
      <c r="BA19" s="37"/>
    </row>
    <row r="20" spans="17:53">
      <c r="AI20" t="s">
        <v>1489</v>
      </c>
      <c r="AJ20" s="655">
        <f>1/(AJ4-1)</f>
        <v>1</v>
      </c>
      <c r="AK20" s="8"/>
      <c r="AQ20" t="s">
        <v>1489</v>
      </c>
      <c r="AR20" s="655">
        <f>1/(AR4-1)</f>
        <v>0.5</v>
      </c>
      <c r="AT20" s="28" t="s">
        <v>1043</v>
      </c>
      <c r="AU20" s="28" t="s">
        <v>1527</v>
      </c>
      <c r="AV20" s="28">
        <f>X9</f>
        <v>224.43333333333339</v>
      </c>
      <c r="AW20" s="28">
        <f>Y9</f>
        <v>2</v>
      </c>
      <c r="AX20" s="8">
        <f t="shared" si="9"/>
        <v>112.2166666666667</v>
      </c>
      <c r="AY20" s="28">
        <f>AX20/AX22</f>
        <v>12.63227016885571</v>
      </c>
      <c r="AZ20">
        <f>FDIST(AY20,AW20,AW22)</f>
        <v>3.7347686147367487E-4</v>
      </c>
      <c r="BA20">
        <f>FINV(0.05,AW20,AW22)</f>
        <v>3.5545571456617879</v>
      </c>
    </row>
    <row r="21" spans="17:53">
      <c r="AT21" s="534"/>
      <c r="AU21" s="534" t="s">
        <v>1489</v>
      </c>
      <c r="AV21" s="534">
        <f>AV20</f>
        <v>224.43333333333339</v>
      </c>
      <c r="AW21" s="534">
        <f>AW20*0.5</f>
        <v>1</v>
      </c>
      <c r="AX21" s="534">
        <f t="shared" si="9"/>
        <v>224.43333333333339</v>
      </c>
      <c r="AY21" s="534">
        <f>AX21/AX23</f>
        <v>12.63227016885571</v>
      </c>
      <c r="AZ21" s="534">
        <f>FDIST(AY21,AW21,AW23)</f>
        <v>6.1752137631104539E-3</v>
      </c>
      <c r="BA21" s="534">
        <f>FINV(0.05,AW21,AW23)</f>
        <v>5.1173550291992269</v>
      </c>
    </row>
    <row r="22" spans="17:53">
      <c r="AT22" s="28" t="s">
        <v>1535</v>
      </c>
      <c r="AU22" s="28" t="s">
        <v>1527</v>
      </c>
      <c r="AV22" s="28">
        <f>X10</f>
        <v>159.89999999999782</v>
      </c>
      <c r="AW22" s="28">
        <f>Y10</f>
        <v>18</v>
      </c>
      <c r="AX22" s="8">
        <f t="shared" si="9"/>
        <v>8.8833333333332121</v>
      </c>
      <c r="AY22" s="28"/>
      <c r="AZ22" s="28"/>
      <c r="BA22" s="28"/>
    </row>
    <row r="23" spans="17:53" ht="15" thickBot="1">
      <c r="AJ23" t="s">
        <v>1536</v>
      </c>
      <c r="AT23" s="37"/>
      <c r="AU23" s="37" t="s">
        <v>1489</v>
      </c>
      <c r="AV23" s="37">
        <f>AV22</f>
        <v>159.89999999999782</v>
      </c>
      <c r="AW23" s="37">
        <f>AW22*0.5</f>
        <v>9</v>
      </c>
      <c r="AX23" s="37">
        <f t="shared" si="9"/>
        <v>17.766666666666424</v>
      </c>
      <c r="AY23" s="37"/>
      <c r="AZ23" s="37"/>
      <c r="BA23" s="37"/>
    </row>
    <row r="24" spans="17:53">
      <c r="AT24" t="s">
        <v>1534</v>
      </c>
      <c r="AV24">
        <f>X11</f>
        <v>1598.083333333333</v>
      </c>
      <c r="AW24">
        <f>Y11</f>
        <v>9</v>
      </c>
      <c r="AX24">
        <f t="shared" si="9"/>
        <v>177.56481481481478</v>
      </c>
    </row>
    <row r="25" spans="17:53" ht="15" thickBot="1">
      <c r="AJ25">
        <v>1</v>
      </c>
      <c r="AK25">
        <f>AJ25+1</f>
        <v>2</v>
      </c>
      <c r="AL25">
        <f>AK25+1</f>
        <v>3</v>
      </c>
      <c r="AM25">
        <f>AL25+1</f>
        <v>4</v>
      </c>
      <c r="AN25">
        <f>AM25+1</f>
        <v>5</v>
      </c>
      <c r="AO25">
        <f>AN25+1</f>
        <v>6</v>
      </c>
      <c r="AT25" s="37" t="s">
        <v>12</v>
      </c>
      <c r="AU25" s="37"/>
      <c r="AV25" s="37">
        <f>X13</f>
        <v>4852.5833333333312</v>
      </c>
      <c r="AW25" s="37">
        <f>Y13</f>
        <v>59</v>
      </c>
      <c r="AX25" s="37">
        <f t="shared" si="9"/>
        <v>82.247175141242906</v>
      </c>
      <c r="AY25" s="37"/>
      <c r="AZ25" s="37"/>
      <c r="BA25" s="37"/>
    </row>
    <row r="26" spans="17:53">
      <c r="AJ26" s="651" t="e">
        <f t="array" aca="1" ref="AJ26:AO31" ca="1">[1]!COV(B5:G14)</f>
        <v>#NAME?</v>
      </c>
      <c r="AK26" s="652" t="e">
        <f ca="1"/>
        <v>#NAME?</v>
      </c>
      <c r="AL26" s="652" t="e">
        <f ca="1"/>
        <v>#NAME?</v>
      </c>
      <c r="AM26" s="652" t="e">
        <f ca="1"/>
        <v>#NAME?</v>
      </c>
      <c r="AN26" s="652" t="e">
        <f ca="1"/>
        <v>#NAME?</v>
      </c>
      <c r="AO26" s="653" t="e">
        <f ca="1"/>
        <v>#NAME?</v>
      </c>
      <c r="AP26" t="e">
        <f ca="1">AVERAGE(AJ26:AO26)</f>
        <v>#NAME?</v>
      </c>
    </row>
    <row r="27" spans="17:53">
      <c r="AJ27" s="656" t="e">
        <f ca="1"/>
        <v>#NAME?</v>
      </c>
      <c r="AK27" s="8" t="e">
        <f ca="1"/>
        <v>#NAME?</v>
      </c>
      <c r="AL27" s="8" t="e">
        <f ca="1"/>
        <v>#NAME?</v>
      </c>
      <c r="AM27" s="8" t="e">
        <f ca="1"/>
        <v>#NAME?</v>
      </c>
      <c r="AN27" s="8" t="e">
        <f ca="1"/>
        <v>#NAME?</v>
      </c>
      <c r="AO27" s="657" t="e">
        <f ca="1"/>
        <v>#NAME?</v>
      </c>
      <c r="AP27" t="e">
        <f t="shared" ref="AP27:AP32" ca="1" si="10">AVERAGE(AJ27:AO27)</f>
        <v>#NAME?</v>
      </c>
    </row>
    <row r="28" spans="17:53">
      <c r="AJ28" s="656" t="e">
        <f ca="1"/>
        <v>#NAME?</v>
      </c>
      <c r="AK28" s="8" t="e">
        <f ca="1"/>
        <v>#NAME?</v>
      </c>
      <c r="AL28" s="8" t="e">
        <f ca="1"/>
        <v>#NAME?</v>
      </c>
      <c r="AM28" s="8" t="e">
        <f ca="1"/>
        <v>#NAME?</v>
      </c>
      <c r="AN28" s="8" t="e">
        <f ca="1"/>
        <v>#NAME?</v>
      </c>
      <c r="AO28" s="657" t="e">
        <f ca="1"/>
        <v>#NAME?</v>
      </c>
      <c r="AP28" t="e">
        <f t="shared" ca="1" si="10"/>
        <v>#NAME?</v>
      </c>
    </row>
    <row r="29" spans="17:53">
      <c r="AJ29" s="656" t="e">
        <f ca="1"/>
        <v>#NAME?</v>
      </c>
      <c r="AK29" s="8" t="e">
        <f ca="1"/>
        <v>#NAME?</v>
      </c>
      <c r="AL29" s="8" t="e">
        <f ca="1"/>
        <v>#NAME?</v>
      </c>
      <c r="AM29" s="8" t="e">
        <f ca="1"/>
        <v>#NAME?</v>
      </c>
      <c r="AN29" s="8" t="e">
        <f ca="1"/>
        <v>#NAME?</v>
      </c>
      <c r="AO29" s="657" t="e">
        <f ca="1"/>
        <v>#NAME?</v>
      </c>
      <c r="AP29" t="e">
        <f t="shared" ca="1" si="10"/>
        <v>#NAME?</v>
      </c>
    </row>
    <row r="30" spans="17:53">
      <c r="AJ30" s="656" t="e">
        <f ca="1"/>
        <v>#NAME?</v>
      </c>
      <c r="AK30" s="8" t="e">
        <f ca="1"/>
        <v>#NAME?</v>
      </c>
      <c r="AL30" s="8" t="e">
        <f ca="1"/>
        <v>#NAME?</v>
      </c>
      <c r="AM30" s="8" t="e">
        <f ca="1"/>
        <v>#NAME?</v>
      </c>
      <c r="AN30" s="8" t="e">
        <f ca="1"/>
        <v>#NAME?</v>
      </c>
      <c r="AO30" s="657" t="e">
        <f ca="1"/>
        <v>#NAME?</v>
      </c>
      <c r="AP30" t="e">
        <f t="shared" ca="1" si="10"/>
        <v>#NAME?</v>
      </c>
    </row>
    <row r="31" spans="17:53">
      <c r="AJ31" s="533" t="e">
        <f ca="1"/>
        <v>#NAME?</v>
      </c>
      <c r="AK31" s="534" t="e">
        <f ca="1"/>
        <v>#NAME?</v>
      </c>
      <c r="AL31" s="534" t="e">
        <f ca="1"/>
        <v>#NAME?</v>
      </c>
      <c r="AM31" s="534" t="e">
        <f ca="1"/>
        <v>#NAME?</v>
      </c>
      <c r="AN31" s="534" t="e">
        <f ca="1"/>
        <v>#NAME?</v>
      </c>
      <c r="AO31" s="541" t="e">
        <f ca="1"/>
        <v>#NAME?</v>
      </c>
      <c r="AP31" t="e">
        <f t="shared" ca="1" si="10"/>
        <v>#NAME?</v>
      </c>
    </row>
    <row r="32" spans="17:53">
      <c r="AJ32" t="e">
        <f t="shared" ref="AJ32:AO32" ca="1" si="11">AVERAGE(AJ26:AJ31)</f>
        <v>#NAME?</v>
      </c>
      <c r="AK32" t="e">
        <f t="shared" ca="1" si="11"/>
        <v>#NAME?</v>
      </c>
      <c r="AL32" t="e">
        <f t="shared" ca="1" si="11"/>
        <v>#NAME?</v>
      </c>
      <c r="AM32" t="e">
        <f t="shared" ca="1" si="11"/>
        <v>#NAME?</v>
      </c>
      <c r="AN32" t="e">
        <f t="shared" ca="1" si="11"/>
        <v>#NAME?</v>
      </c>
      <c r="AO32" t="e">
        <f t="shared" ca="1" si="11"/>
        <v>#NAME?</v>
      </c>
      <c r="AP32" t="e">
        <f t="shared" ca="1" si="10"/>
        <v>#NAME?</v>
      </c>
    </row>
    <row r="35" spans="36:44">
      <c r="AJ35" s="651" t="e">
        <f t="shared" ref="AJ35:AO35" ca="1" si="12">AJ26-$AP26-AJ$32+$AP$32</f>
        <v>#NAME?</v>
      </c>
      <c r="AK35" s="652" t="e">
        <f t="shared" ca="1" si="12"/>
        <v>#NAME?</v>
      </c>
      <c r="AL35" s="652" t="e">
        <f t="shared" ca="1" si="12"/>
        <v>#NAME?</v>
      </c>
      <c r="AM35" s="652" t="e">
        <f t="shared" ca="1" si="12"/>
        <v>#NAME?</v>
      </c>
      <c r="AN35" s="652" t="e">
        <f t="shared" ca="1" si="12"/>
        <v>#NAME?</v>
      </c>
      <c r="AO35" s="653" t="e">
        <f t="shared" ca="1" si="12"/>
        <v>#NAME?</v>
      </c>
      <c r="AQ35" t="s">
        <v>1537</v>
      </c>
      <c r="AR35">
        <f>R4</f>
        <v>2</v>
      </c>
    </row>
    <row r="36" spans="36:44">
      <c r="AJ36" s="656" t="e">
        <f t="shared" ref="AJ36:AO40" ca="1" si="13">AJ27-$AP27-AJ$32+$AP$32</f>
        <v>#NAME?</v>
      </c>
      <c r="AK36" s="8" t="e">
        <f t="shared" ca="1" si="13"/>
        <v>#NAME?</v>
      </c>
      <c r="AL36" s="8" t="e">
        <f t="shared" ca="1" si="13"/>
        <v>#NAME?</v>
      </c>
      <c r="AM36" s="8" t="e">
        <f t="shared" ca="1" si="13"/>
        <v>#NAME?</v>
      </c>
      <c r="AN36" s="8" t="e">
        <f t="shared" ca="1" si="13"/>
        <v>#NAME?</v>
      </c>
      <c r="AO36" s="657" t="e">
        <f t="shared" ca="1" si="13"/>
        <v>#NAME?</v>
      </c>
      <c r="AQ36" t="s">
        <v>1538</v>
      </c>
      <c r="AR36">
        <f>S4</f>
        <v>3</v>
      </c>
    </row>
    <row r="37" spans="36:44">
      <c r="AJ37" s="656" t="e">
        <f t="shared" ca="1" si="13"/>
        <v>#NAME?</v>
      </c>
      <c r="AK37" s="8" t="e">
        <f t="shared" ca="1" si="13"/>
        <v>#NAME?</v>
      </c>
      <c r="AL37" s="8" t="e">
        <f t="shared" ca="1" si="13"/>
        <v>#NAME?</v>
      </c>
      <c r="AM37" s="8" t="e">
        <f t="shared" ca="1" si="13"/>
        <v>#NAME?</v>
      </c>
      <c r="AN37" s="8" t="e">
        <f t="shared" ca="1" si="13"/>
        <v>#NAME?</v>
      </c>
      <c r="AO37" s="657" t="e">
        <f t="shared" ca="1" si="13"/>
        <v>#NAME?</v>
      </c>
      <c r="AQ37" t="s">
        <v>1539</v>
      </c>
      <c r="AR37" t="e">
        <f ca="1">SUM(AJ42:AN42)^2</f>
        <v>#NAME?</v>
      </c>
    </row>
    <row r="38" spans="36:44">
      <c r="AJ38" s="656" t="e">
        <f t="shared" ca="1" si="13"/>
        <v>#NAME?</v>
      </c>
      <c r="AK38" s="8" t="e">
        <f t="shared" ca="1" si="13"/>
        <v>#NAME?</v>
      </c>
      <c r="AL38" s="8" t="e">
        <f t="shared" ca="1" si="13"/>
        <v>#NAME?</v>
      </c>
      <c r="AM38" s="8" t="e">
        <f t="shared" ca="1" si="13"/>
        <v>#NAME?</v>
      </c>
      <c r="AN38" s="8" t="e">
        <f t="shared" ca="1" si="13"/>
        <v>#NAME?</v>
      </c>
      <c r="AO38" s="657" t="e">
        <f t="shared" ca="1" si="13"/>
        <v>#NAME?</v>
      </c>
      <c r="AQ38" t="s">
        <v>1540</v>
      </c>
      <c r="AR38" t="e">
        <f ca="1">SUMSQ(AJ42:AN42)*(AR35-1)*(AR36-1)</f>
        <v>#NAME?</v>
      </c>
    </row>
    <row r="39" spans="36:44">
      <c r="AJ39" s="656" t="e">
        <f t="shared" ca="1" si="13"/>
        <v>#NAME?</v>
      </c>
      <c r="AK39" s="8" t="e">
        <f t="shared" ca="1" si="13"/>
        <v>#NAME?</v>
      </c>
      <c r="AL39" s="8" t="e">
        <f t="shared" ca="1" si="13"/>
        <v>#NAME?</v>
      </c>
      <c r="AM39" s="8" t="e">
        <f t="shared" ca="1" si="13"/>
        <v>#NAME?</v>
      </c>
      <c r="AN39" s="8" t="e">
        <f t="shared" ca="1" si="13"/>
        <v>#NAME?</v>
      </c>
      <c r="AO39" s="657" t="e">
        <f t="shared" ca="1" si="13"/>
        <v>#NAME?</v>
      </c>
      <c r="AQ39" t="s">
        <v>1440</v>
      </c>
      <c r="AR39" t="e">
        <f ca="1">AR37/AR38</f>
        <v>#NAME?</v>
      </c>
    </row>
    <row r="40" spans="36:44">
      <c r="AJ40" s="533" t="e">
        <f t="shared" ca="1" si="13"/>
        <v>#NAME?</v>
      </c>
      <c r="AK40" s="534" t="e">
        <f t="shared" ca="1" si="13"/>
        <v>#NAME?</v>
      </c>
      <c r="AL40" s="534" t="e">
        <f t="shared" ca="1" si="13"/>
        <v>#NAME?</v>
      </c>
      <c r="AM40" s="534" t="e">
        <f t="shared" ca="1" si="13"/>
        <v>#NAME?</v>
      </c>
      <c r="AN40" s="534" t="e">
        <f t="shared" ca="1" si="13"/>
        <v>#NAME?</v>
      </c>
      <c r="AO40" s="541" t="e">
        <f t="shared" ca="1" si="13"/>
        <v>#NAME?</v>
      </c>
    </row>
    <row r="42" spans="36:44">
      <c r="AJ42" s="658" t="e">
        <f t="array" aca="1" ref="AJ42:AN42" ca="1">[1]!eVALUES(AJ35:AO40)</f>
        <v>#NAME?</v>
      </c>
      <c r="AK42" s="659" t="e">
        <f ca="1"/>
        <v>#NAME?</v>
      </c>
      <c r="AL42" s="659" t="e">
        <f ca="1"/>
        <v>#NAME?</v>
      </c>
      <c r="AM42" s="659" t="e">
        <f ca="1"/>
        <v>#NAME?</v>
      </c>
      <c r="AN42" s="660" t="e">
        <f ca="1"/>
        <v>#NAME?</v>
      </c>
    </row>
  </sheetData>
  <mergeCells count="1">
    <mergeCell ref="AT3:AU3"/>
  </mergeCells>
  <pageMargins left="0.7" right="0.7" top="0.75" bottom="0.75" header="0.3" footer="0.3"/>
  <ignoredErrors>
    <ignoredError sqref="H5" formulaRange="1"/>
  </ignoredErrors>
</worksheet>
</file>

<file path=xl/worksheets/sheet282.xml><?xml version="1.0" encoding="utf-8"?>
<worksheet xmlns="http://schemas.openxmlformats.org/spreadsheetml/2006/main" xmlns:r="http://schemas.openxmlformats.org/officeDocument/2006/relationships">
  <sheetPr codeName="Sheet179"/>
  <dimension ref="A1:AE53"/>
  <sheetViews>
    <sheetView workbookViewId="0"/>
  </sheetViews>
  <sheetFormatPr defaultRowHeight="14.4"/>
  <sheetData>
    <row r="1" spans="1:28">
      <c r="A1" s="1" t="s">
        <v>1578</v>
      </c>
    </row>
    <row r="3" spans="1:28">
      <c r="A3" s="1" t="s">
        <v>1518</v>
      </c>
      <c r="I3" s="1" t="s">
        <v>1519</v>
      </c>
      <c r="Q3" s="1" t="s">
        <v>1520</v>
      </c>
      <c r="Y3" s="1" t="s">
        <v>1580</v>
      </c>
    </row>
    <row r="5" spans="1:28">
      <c r="A5" s="632" t="s">
        <v>178</v>
      </c>
      <c r="B5" s="632" t="s">
        <v>1523</v>
      </c>
      <c r="C5" s="632" t="s">
        <v>1524</v>
      </c>
      <c r="I5" s="632" t="s">
        <v>178</v>
      </c>
      <c r="J5" s="632" t="s">
        <v>1523</v>
      </c>
      <c r="K5" s="632" t="s">
        <v>1524</v>
      </c>
      <c r="Q5" s="632" t="s">
        <v>178</v>
      </c>
      <c r="R5" s="632" t="s">
        <v>1523</v>
      </c>
      <c r="S5" s="632" t="s">
        <v>1524</v>
      </c>
      <c r="Y5" s="635" t="s">
        <v>178</v>
      </c>
      <c r="Z5" s="635" t="s">
        <v>1519</v>
      </c>
      <c r="AA5" s="635" t="s">
        <v>1520</v>
      </c>
    </row>
    <row r="6" spans="1:28">
      <c r="A6" s="632" t="s">
        <v>977</v>
      </c>
      <c r="B6" s="637">
        <v>1</v>
      </c>
      <c r="C6" s="639">
        <v>-1</v>
      </c>
      <c r="D6" s="640" t="s">
        <v>1468</v>
      </c>
      <c r="I6" s="632" t="s">
        <v>977</v>
      </c>
      <c r="J6" s="637">
        <v>1</v>
      </c>
      <c r="K6" s="639">
        <v>-1</v>
      </c>
      <c r="L6" s="640" t="s">
        <v>1468</v>
      </c>
      <c r="Q6" s="632" t="s">
        <v>977</v>
      </c>
      <c r="R6" s="637">
        <v>1</v>
      </c>
      <c r="S6" s="639">
        <v>-1</v>
      </c>
      <c r="T6" s="640" t="s">
        <v>1468</v>
      </c>
      <c r="Y6" s="635" t="s">
        <v>977</v>
      </c>
      <c r="Z6" s="637">
        <v>1</v>
      </c>
      <c r="AA6" s="639">
        <v>-1</v>
      </c>
      <c r="AB6" s="640" t="s">
        <v>1468</v>
      </c>
    </row>
    <row r="7" spans="1:28">
      <c r="A7" s="632">
        <v>1</v>
      </c>
      <c r="B7" s="649">
        <f>'ANOVA Match 2.1'!B5</f>
        <v>13</v>
      </c>
      <c r="C7" s="643">
        <f>'ANOVA Match 2.1'!E5</f>
        <v>18</v>
      </c>
      <c r="D7" s="627">
        <f>SUMPRODUCT(B$6:C$6,B7:C7)</f>
        <v>-5</v>
      </c>
      <c r="I7" s="632">
        <v>1</v>
      </c>
      <c r="J7" s="649">
        <f>'ANOVA Match 2.1'!C5</f>
        <v>12</v>
      </c>
      <c r="K7" s="643">
        <f>'ANOVA Match 2.1'!F5</f>
        <v>30</v>
      </c>
      <c r="L7" s="627">
        <f>SUMPRODUCT(J$6:K$6,J7:K7)</f>
        <v>-18</v>
      </c>
      <c r="Q7" s="632">
        <v>1</v>
      </c>
      <c r="R7" s="649">
        <f>'ANOVA Match 2.1'!D5</f>
        <v>17</v>
      </c>
      <c r="S7" s="643">
        <f>'ANOVA Match 2.1'!G5</f>
        <v>34</v>
      </c>
      <c r="T7" s="627">
        <f>SUMPRODUCT(R$6:S$6,R7:S7)</f>
        <v>-17</v>
      </c>
      <c r="Y7" s="635">
        <v>1</v>
      </c>
      <c r="Z7" s="610">
        <f>K7-J7</f>
        <v>18</v>
      </c>
      <c r="AA7" s="626">
        <f>S7-R7</f>
        <v>17</v>
      </c>
      <c r="AB7" s="627">
        <f>SUMPRODUCT(Z$6:AA$6,Z7:AA7)</f>
        <v>1</v>
      </c>
    </row>
    <row r="8" spans="1:28">
      <c r="A8" s="632">
        <f>A7+1</f>
        <v>2</v>
      </c>
      <c r="B8" s="664">
        <f>'ANOVA Match 2.1'!B6</f>
        <v>12</v>
      </c>
      <c r="C8" s="618">
        <f>'ANOVA Match 2.1'!E6</f>
        <v>6</v>
      </c>
      <c r="D8" s="627">
        <f t="shared" ref="D8:D16" si="0">SUMPRODUCT(B$6:C$6,B8:C8)</f>
        <v>6</v>
      </c>
      <c r="I8" s="632">
        <f>I7+1</f>
        <v>2</v>
      </c>
      <c r="J8" s="664">
        <f>'ANOVA Match 2.1'!C6</f>
        <v>19</v>
      </c>
      <c r="K8" s="618">
        <f>'ANOVA Match 2.1'!F6</f>
        <v>18</v>
      </c>
      <c r="L8" s="627">
        <f t="shared" ref="L8:L16" si="1">SUMPRODUCT(J$6:K$6,J8:K8)</f>
        <v>1</v>
      </c>
      <c r="Q8" s="632">
        <f>Q7+1</f>
        <v>2</v>
      </c>
      <c r="R8" s="664">
        <f>'ANOVA Match 2.1'!D6</f>
        <v>18</v>
      </c>
      <c r="S8" s="618">
        <f>'ANOVA Match 2.1'!G6</f>
        <v>30</v>
      </c>
      <c r="T8" s="627">
        <f t="shared" ref="T8:T16" si="2">SUMPRODUCT(R$6:S$6,R8:S8)</f>
        <v>-12</v>
      </c>
      <c r="Y8" s="635">
        <f>Y7+1</f>
        <v>2</v>
      </c>
      <c r="Z8" s="664">
        <f t="shared" ref="Z8:Z16" si="3">K8-J8</f>
        <v>-1</v>
      </c>
      <c r="AA8" s="618">
        <f t="shared" ref="AA8:AA16" si="4">S8-R8</f>
        <v>12</v>
      </c>
      <c r="AB8" s="627">
        <f t="shared" ref="AB8:AB16" si="5">SUMPRODUCT(Z$6:AA$6,Z8:AA8)</f>
        <v>-13</v>
      </c>
    </row>
    <row r="9" spans="1:28">
      <c r="A9" s="632">
        <f t="shared" ref="A9:A16" si="6">A8+1</f>
        <v>3</v>
      </c>
      <c r="B9" s="664">
        <f>'ANOVA Match 2.1'!B7</f>
        <v>17</v>
      </c>
      <c r="C9" s="618">
        <f>'ANOVA Match 2.1'!E7</f>
        <v>21</v>
      </c>
      <c r="D9" s="627">
        <f t="shared" si="0"/>
        <v>-4</v>
      </c>
      <c r="I9" s="632">
        <f t="shared" ref="I9:I16" si="7">I8+1</f>
        <v>3</v>
      </c>
      <c r="J9" s="664">
        <f>'ANOVA Match 2.1'!C7</f>
        <v>19</v>
      </c>
      <c r="K9" s="618">
        <f>'ANOVA Match 2.1'!F7</f>
        <v>31</v>
      </c>
      <c r="L9" s="627">
        <f t="shared" si="1"/>
        <v>-12</v>
      </c>
      <c r="Q9" s="632">
        <f t="shared" ref="Q9:Q16" si="8">Q8+1</f>
        <v>3</v>
      </c>
      <c r="R9" s="664">
        <f>'ANOVA Match 2.1'!D7</f>
        <v>24</v>
      </c>
      <c r="S9" s="618">
        <f>'ANOVA Match 2.1'!G7</f>
        <v>32</v>
      </c>
      <c r="T9" s="627">
        <f t="shared" si="2"/>
        <v>-8</v>
      </c>
      <c r="Y9" s="635">
        <f t="shared" ref="Y9:Y16" si="9">Y8+1</f>
        <v>3</v>
      </c>
      <c r="Z9" s="664">
        <f t="shared" si="3"/>
        <v>12</v>
      </c>
      <c r="AA9" s="618">
        <f t="shared" si="4"/>
        <v>8</v>
      </c>
      <c r="AB9" s="627">
        <f t="shared" si="5"/>
        <v>4</v>
      </c>
    </row>
    <row r="10" spans="1:28">
      <c r="A10" s="632">
        <f t="shared" si="6"/>
        <v>4</v>
      </c>
      <c r="B10" s="664">
        <f>'ANOVA Match 2.1'!B8</f>
        <v>12</v>
      </c>
      <c r="C10" s="618">
        <f>'ANOVA Match 2.1'!E8</f>
        <v>18</v>
      </c>
      <c r="D10" s="627">
        <f t="shared" si="0"/>
        <v>-6</v>
      </c>
      <c r="I10" s="632">
        <f t="shared" si="7"/>
        <v>4</v>
      </c>
      <c r="J10" s="664">
        <f>'ANOVA Match 2.1'!C8</f>
        <v>25</v>
      </c>
      <c r="K10" s="618">
        <f>'ANOVA Match 2.1'!F8</f>
        <v>39</v>
      </c>
      <c r="L10" s="627">
        <f t="shared" si="1"/>
        <v>-14</v>
      </c>
      <c r="Q10" s="632">
        <f t="shared" si="8"/>
        <v>4</v>
      </c>
      <c r="R10" s="664">
        <f>'ANOVA Match 2.1'!D8</f>
        <v>25</v>
      </c>
      <c r="S10" s="618">
        <f>'ANOVA Match 2.1'!G8</f>
        <v>40</v>
      </c>
      <c r="T10" s="627">
        <f t="shared" si="2"/>
        <v>-15</v>
      </c>
      <c r="Y10" s="635">
        <f t="shared" si="9"/>
        <v>4</v>
      </c>
      <c r="Z10" s="664">
        <f t="shared" si="3"/>
        <v>14</v>
      </c>
      <c r="AA10" s="618">
        <f t="shared" si="4"/>
        <v>15</v>
      </c>
      <c r="AB10" s="627">
        <f t="shared" si="5"/>
        <v>-1</v>
      </c>
    </row>
    <row r="11" spans="1:28">
      <c r="A11" s="632">
        <f t="shared" si="6"/>
        <v>5</v>
      </c>
      <c r="B11" s="664">
        <f>'ANOVA Match 2.1'!B9</f>
        <v>19</v>
      </c>
      <c r="C11" s="618">
        <f>'ANOVA Match 2.1'!E9</f>
        <v>18</v>
      </c>
      <c r="D11" s="627">
        <f t="shared" si="0"/>
        <v>1</v>
      </c>
      <c r="I11" s="632">
        <f t="shared" si="7"/>
        <v>5</v>
      </c>
      <c r="J11" s="664">
        <f>'ANOVA Match 2.1'!C9</f>
        <v>27</v>
      </c>
      <c r="K11" s="618">
        <f>'ANOVA Match 2.1'!F9</f>
        <v>28</v>
      </c>
      <c r="L11" s="627">
        <f t="shared" si="1"/>
        <v>-1</v>
      </c>
      <c r="Q11" s="632">
        <f t="shared" si="8"/>
        <v>5</v>
      </c>
      <c r="R11" s="664">
        <f>'ANOVA Match 2.1'!D9</f>
        <v>19</v>
      </c>
      <c r="S11" s="618">
        <f>'ANOVA Match 2.1'!G9</f>
        <v>27</v>
      </c>
      <c r="T11" s="627">
        <f t="shared" si="2"/>
        <v>-8</v>
      </c>
      <c r="Y11" s="635">
        <f t="shared" si="9"/>
        <v>5</v>
      </c>
      <c r="Z11" s="664">
        <f t="shared" si="3"/>
        <v>1</v>
      </c>
      <c r="AA11" s="618">
        <f t="shared" si="4"/>
        <v>8</v>
      </c>
      <c r="AB11" s="627">
        <f t="shared" si="5"/>
        <v>-7</v>
      </c>
    </row>
    <row r="12" spans="1:28">
      <c r="A12" s="632">
        <f t="shared" si="6"/>
        <v>6</v>
      </c>
      <c r="B12" s="664">
        <f>'ANOVA Match 2.1'!B10</f>
        <v>6</v>
      </c>
      <c r="C12" s="618">
        <f>'ANOVA Match 2.1'!E10</f>
        <v>6</v>
      </c>
      <c r="D12" s="627">
        <f t="shared" si="0"/>
        <v>0</v>
      </c>
      <c r="I12" s="632">
        <f t="shared" si="7"/>
        <v>6</v>
      </c>
      <c r="J12" s="664">
        <f>'ANOVA Match 2.1'!C10</f>
        <v>12</v>
      </c>
      <c r="K12" s="618">
        <f>'ANOVA Match 2.1'!F10</f>
        <v>18</v>
      </c>
      <c r="L12" s="627">
        <f t="shared" si="1"/>
        <v>-6</v>
      </c>
      <c r="Q12" s="632">
        <f t="shared" si="8"/>
        <v>6</v>
      </c>
      <c r="R12" s="664">
        <f>'ANOVA Match 2.1'!D10</f>
        <v>6</v>
      </c>
      <c r="S12" s="618">
        <f>'ANOVA Match 2.1'!G10</f>
        <v>23</v>
      </c>
      <c r="T12" s="627">
        <f t="shared" si="2"/>
        <v>-17</v>
      </c>
      <c r="Y12" s="635">
        <f t="shared" si="9"/>
        <v>6</v>
      </c>
      <c r="Z12" s="664">
        <f t="shared" si="3"/>
        <v>6</v>
      </c>
      <c r="AA12" s="618">
        <f t="shared" si="4"/>
        <v>17</v>
      </c>
      <c r="AB12" s="627">
        <f t="shared" si="5"/>
        <v>-11</v>
      </c>
    </row>
    <row r="13" spans="1:28">
      <c r="A13" s="632">
        <f t="shared" si="6"/>
        <v>7</v>
      </c>
      <c r="B13" s="664">
        <f>'ANOVA Match 2.1'!B11</f>
        <v>17</v>
      </c>
      <c r="C13" s="618">
        <f>'ANOVA Match 2.1'!E11</f>
        <v>24</v>
      </c>
      <c r="D13" s="627">
        <f t="shared" si="0"/>
        <v>-7</v>
      </c>
      <c r="I13" s="632">
        <f t="shared" si="7"/>
        <v>7</v>
      </c>
      <c r="J13" s="664">
        <f>'ANOVA Match 2.1'!C11</f>
        <v>18</v>
      </c>
      <c r="K13" s="618">
        <f>'ANOVA Match 2.1'!F11</f>
        <v>36</v>
      </c>
      <c r="L13" s="627">
        <f t="shared" si="1"/>
        <v>-18</v>
      </c>
      <c r="Q13" s="632">
        <f t="shared" si="8"/>
        <v>7</v>
      </c>
      <c r="R13" s="664">
        <f>'ANOVA Match 2.1'!D11</f>
        <v>30</v>
      </c>
      <c r="S13" s="618">
        <f>'ANOVA Match 2.1'!G11</f>
        <v>38</v>
      </c>
      <c r="T13" s="627">
        <f t="shared" si="2"/>
        <v>-8</v>
      </c>
      <c r="Y13" s="635">
        <f t="shared" si="9"/>
        <v>7</v>
      </c>
      <c r="Z13" s="664">
        <f t="shared" si="3"/>
        <v>18</v>
      </c>
      <c r="AA13" s="618">
        <f t="shared" si="4"/>
        <v>8</v>
      </c>
      <c r="AB13" s="627">
        <f t="shared" si="5"/>
        <v>10</v>
      </c>
    </row>
    <row r="14" spans="1:28">
      <c r="A14" s="632">
        <f t="shared" si="6"/>
        <v>8</v>
      </c>
      <c r="B14" s="664">
        <f>'ANOVA Match 2.1'!B12</f>
        <v>18</v>
      </c>
      <c r="C14" s="618">
        <f>'ANOVA Match 2.1'!E12</f>
        <v>22</v>
      </c>
      <c r="D14" s="627">
        <f t="shared" si="0"/>
        <v>-4</v>
      </c>
      <c r="I14" s="632">
        <f t="shared" si="7"/>
        <v>8</v>
      </c>
      <c r="J14" s="664">
        <f>'ANOVA Match 2.1'!C12</f>
        <v>29</v>
      </c>
      <c r="K14" s="618">
        <f>'ANOVA Match 2.1'!F12</f>
        <v>36</v>
      </c>
      <c r="L14" s="627">
        <f t="shared" si="1"/>
        <v>-7</v>
      </c>
      <c r="Q14" s="632">
        <f t="shared" si="8"/>
        <v>8</v>
      </c>
      <c r="R14" s="664">
        <f>'ANOVA Match 2.1'!D12</f>
        <v>36</v>
      </c>
      <c r="S14" s="618">
        <f>'ANOVA Match 2.1'!G12</f>
        <v>40</v>
      </c>
      <c r="T14" s="627">
        <f t="shared" si="2"/>
        <v>-4</v>
      </c>
      <c r="Y14" s="635">
        <f t="shared" si="9"/>
        <v>8</v>
      </c>
      <c r="Z14" s="664">
        <f t="shared" si="3"/>
        <v>7</v>
      </c>
      <c r="AA14" s="618">
        <f t="shared" si="4"/>
        <v>4</v>
      </c>
      <c r="AB14" s="627">
        <f t="shared" si="5"/>
        <v>3</v>
      </c>
    </row>
    <row r="15" spans="1:28">
      <c r="A15" s="632">
        <f t="shared" si="6"/>
        <v>9</v>
      </c>
      <c r="B15" s="664">
        <f>'ANOVA Match 2.1'!B13</f>
        <v>23</v>
      </c>
      <c r="C15" s="618">
        <f>'ANOVA Match 2.1'!E13</f>
        <v>18</v>
      </c>
      <c r="D15" s="627">
        <f t="shared" si="0"/>
        <v>5</v>
      </c>
      <c r="I15" s="632">
        <f t="shared" si="7"/>
        <v>9</v>
      </c>
      <c r="J15" s="664">
        <f>'ANOVA Match 2.1'!C13</f>
        <v>30</v>
      </c>
      <c r="K15" s="618">
        <f>'ANOVA Match 2.1'!F13</f>
        <v>38</v>
      </c>
      <c r="L15" s="627">
        <f t="shared" si="1"/>
        <v>-8</v>
      </c>
      <c r="Q15" s="632">
        <f t="shared" si="8"/>
        <v>9</v>
      </c>
      <c r="R15" s="664">
        <f>'ANOVA Match 2.1'!D13</f>
        <v>24</v>
      </c>
      <c r="S15" s="618">
        <f>'ANOVA Match 2.1'!G13</f>
        <v>32</v>
      </c>
      <c r="T15" s="627">
        <f t="shared" si="2"/>
        <v>-8</v>
      </c>
      <c r="Y15" s="635">
        <f t="shared" si="9"/>
        <v>9</v>
      </c>
      <c r="Z15" s="664">
        <f t="shared" si="3"/>
        <v>8</v>
      </c>
      <c r="AA15" s="618">
        <f t="shared" si="4"/>
        <v>8</v>
      </c>
      <c r="AB15" s="627">
        <f t="shared" si="5"/>
        <v>0</v>
      </c>
    </row>
    <row r="16" spans="1:28">
      <c r="A16" s="632">
        <f t="shared" si="6"/>
        <v>10</v>
      </c>
      <c r="B16" s="560">
        <f>'ANOVA Match 2.1'!B14</f>
        <v>18</v>
      </c>
      <c r="C16" s="536">
        <f>'ANOVA Match 2.1'!E14</f>
        <v>24</v>
      </c>
      <c r="D16" s="627">
        <f t="shared" si="0"/>
        <v>-6</v>
      </c>
      <c r="I16" s="632">
        <f t="shared" si="7"/>
        <v>10</v>
      </c>
      <c r="J16" s="560">
        <f>'ANOVA Match 2.1'!C14</f>
        <v>12</v>
      </c>
      <c r="K16" s="536">
        <f>'ANOVA Match 2.1'!F14</f>
        <v>25</v>
      </c>
      <c r="L16" s="627">
        <f t="shared" si="1"/>
        <v>-13</v>
      </c>
      <c r="Q16" s="632">
        <f t="shared" si="8"/>
        <v>10</v>
      </c>
      <c r="R16" s="560">
        <f>'ANOVA Match 2.1'!D14</f>
        <v>24</v>
      </c>
      <c r="S16" s="536">
        <f>'ANOVA Match 2.1'!G14</f>
        <v>34</v>
      </c>
      <c r="T16" s="627">
        <f t="shared" si="2"/>
        <v>-10</v>
      </c>
      <c r="Y16" s="635">
        <f t="shared" si="9"/>
        <v>10</v>
      </c>
      <c r="Z16" s="560">
        <f t="shared" si="3"/>
        <v>13</v>
      </c>
      <c r="AA16" s="536">
        <f t="shared" si="4"/>
        <v>10</v>
      </c>
      <c r="AB16" s="627">
        <f t="shared" si="5"/>
        <v>3</v>
      </c>
    </row>
    <row r="17" spans="1:31">
      <c r="A17" s="632" t="s">
        <v>63</v>
      </c>
      <c r="D17" s="644">
        <f>AVERAGE(D7:D16)</f>
        <v>-2</v>
      </c>
      <c r="I17" s="632" t="s">
        <v>63</v>
      </c>
      <c r="L17" s="644">
        <f>AVERAGE(L7:L16)</f>
        <v>-9.6</v>
      </c>
      <c r="Q17" s="632" t="s">
        <v>63</v>
      </c>
      <c r="T17" s="644">
        <f>AVERAGE(T7:T16)</f>
        <v>-10.7</v>
      </c>
      <c r="Y17" s="635" t="s">
        <v>63</v>
      </c>
      <c r="AB17" s="644">
        <f>AVERAGE(AB7:AB16)</f>
        <v>-1.1000000000000001</v>
      </c>
    </row>
    <row r="18" spans="1:31">
      <c r="A18" s="632" t="s">
        <v>218</v>
      </c>
      <c r="D18" s="627">
        <f>STDEV(D7:D16)</f>
        <v>4.714045207910317</v>
      </c>
      <c r="I18" s="632" t="s">
        <v>218</v>
      </c>
      <c r="L18" s="627">
        <f>STDEV(L7:L16)</f>
        <v>6.5523532668296607</v>
      </c>
      <c r="Q18" s="632" t="s">
        <v>218</v>
      </c>
      <c r="T18" s="627">
        <f>STDEV(T7:T16)</f>
        <v>4.3982319680121957</v>
      </c>
      <c r="Y18" s="635" t="s">
        <v>218</v>
      </c>
      <c r="AB18" s="627">
        <f>STDEV(AB7:AB16)</f>
        <v>7.1717036562683854</v>
      </c>
    </row>
    <row r="19" spans="1:31">
      <c r="A19" s="632" t="s">
        <v>1469</v>
      </c>
      <c r="D19" s="544">
        <f>D18/SQRT(COUNTA($A$5:$A$14))</f>
        <v>1.4907119849998598</v>
      </c>
      <c r="I19" s="632" t="s">
        <v>1469</v>
      </c>
      <c r="L19" s="544">
        <f>L18/SQRT(COUNTA($A$5:$A$14))</f>
        <v>2.0720360357226735</v>
      </c>
      <c r="Q19" s="632" t="s">
        <v>1469</v>
      </c>
      <c r="T19" s="544">
        <f>T18/SQRT(COUNTA($A$5:$A$14))</f>
        <v>1.3908430696683372</v>
      </c>
      <c r="Y19" s="635" t="s">
        <v>1469</v>
      </c>
      <c r="AB19" s="544">
        <f>AB18/SQRT(COUNTA($A$5:$A$14))</f>
        <v>2.2678918257565401</v>
      </c>
    </row>
    <row r="21" spans="1:31" ht="15" thickBot="1">
      <c r="A21" t="s">
        <v>930</v>
      </c>
      <c r="I21" t="s">
        <v>930</v>
      </c>
      <c r="Q21" t="s">
        <v>930</v>
      </c>
      <c r="Y21" t="s">
        <v>930</v>
      </c>
    </row>
    <row r="22" spans="1:31">
      <c r="A22" s="633" t="s">
        <v>63</v>
      </c>
      <c r="B22" s="633" t="s">
        <v>522</v>
      </c>
      <c r="C22" s="633" t="s">
        <v>1470</v>
      </c>
      <c r="D22" s="633" t="s">
        <v>186</v>
      </c>
      <c r="E22" s="630" t="s">
        <v>200</v>
      </c>
      <c r="F22" s="630" t="s">
        <v>1477</v>
      </c>
      <c r="G22" s="630" t="s">
        <v>1478</v>
      </c>
      <c r="I22" s="633" t="s">
        <v>63</v>
      </c>
      <c r="J22" s="633" t="s">
        <v>522</v>
      </c>
      <c r="K22" s="633" t="s">
        <v>1470</v>
      </c>
      <c r="L22" s="633" t="s">
        <v>186</v>
      </c>
      <c r="M22" s="630" t="s">
        <v>200</v>
      </c>
      <c r="N22" s="630" t="s">
        <v>1477</v>
      </c>
      <c r="O22" s="630" t="s">
        <v>1478</v>
      </c>
      <c r="Q22" s="633" t="s">
        <v>63</v>
      </c>
      <c r="R22" s="633" t="s">
        <v>522</v>
      </c>
      <c r="S22" s="633" t="s">
        <v>1470</v>
      </c>
      <c r="T22" s="633" t="s">
        <v>186</v>
      </c>
      <c r="U22" s="630" t="s">
        <v>200</v>
      </c>
      <c r="V22" s="630" t="s">
        <v>1477</v>
      </c>
      <c r="W22" s="630" t="s">
        <v>1478</v>
      </c>
      <c r="Y22" s="636" t="s">
        <v>63</v>
      </c>
      <c r="Z22" s="636" t="s">
        <v>522</v>
      </c>
      <c r="AA22" s="636" t="s">
        <v>1470</v>
      </c>
      <c r="AB22" s="636" t="s">
        <v>186</v>
      </c>
      <c r="AC22" s="630" t="s">
        <v>200</v>
      </c>
      <c r="AD22" s="630" t="s">
        <v>1477</v>
      </c>
      <c r="AE22" s="630" t="s">
        <v>1478</v>
      </c>
    </row>
    <row r="23" spans="1:31" ht="15" thickBot="1">
      <c r="A23" s="37">
        <f>D17</f>
        <v>-2</v>
      </c>
      <c r="B23" s="37">
        <f>D19</f>
        <v>1.4907119849998598</v>
      </c>
      <c r="C23" s="37">
        <f>A23/B23</f>
        <v>-1.3416407864998738</v>
      </c>
      <c r="D23" s="631">
        <f>A16-1</f>
        <v>9</v>
      </c>
      <c r="E23" s="37">
        <f>TDIST(ABS(C23),D23,2)</f>
        <v>0.21257989232273572</v>
      </c>
      <c r="F23" s="37">
        <f>ABS(D17/D18)</f>
        <v>0.42426406871192851</v>
      </c>
      <c r="G23" s="37">
        <f>SQRT(C23^2/(C23^2+D23))</f>
        <v>0.40824829046386302</v>
      </c>
      <c r="I23" s="37">
        <f>L17</f>
        <v>-9.6</v>
      </c>
      <c r="J23" s="37">
        <f>L19</f>
        <v>2.0720360357226735</v>
      </c>
      <c r="K23" s="37">
        <f>I23/J23</f>
        <v>-4.6331240550320656</v>
      </c>
      <c r="L23" s="631">
        <f>I16-1</f>
        <v>9</v>
      </c>
      <c r="M23" s="37">
        <f>TDIST(ABS(K23),L23,2)</f>
        <v>1.2312062054452308E-3</v>
      </c>
      <c r="N23" s="37">
        <f>ABS(L17/L18)</f>
        <v>1.4651224696016634</v>
      </c>
      <c r="O23" s="37">
        <f>SQRT(K23^2/(K23^2+L23))</f>
        <v>0.83939690013920276</v>
      </c>
      <c r="Q23" s="37">
        <f>T17</f>
        <v>-10.7</v>
      </c>
      <c r="R23" s="37">
        <f>T19</f>
        <v>1.3908430696683372</v>
      </c>
      <c r="S23" s="37">
        <f>Q23/R23</f>
        <v>-7.6931756237255007</v>
      </c>
      <c r="T23" s="631">
        <f>Q16-1</f>
        <v>9</v>
      </c>
      <c r="U23" s="37">
        <f>TDIST(ABS(S23),T23,2)</f>
        <v>3.0211257637859244E-5</v>
      </c>
      <c r="V23" s="37">
        <f>ABS(T17/T18)</f>
        <v>2.4327957410659087</v>
      </c>
      <c r="W23" s="37">
        <f>SQRT(S23^2/(S23^2+T23))</f>
        <v>0.9316684309350135</v>
      </c>
      <c r="Y23" s="37">
        <f>AB17</f>
        <v>-1.1000000000000001</v>
      </c>
      <c r="Z23" s="37">
        <f>AB19</f>
        <v>2.2678918257565401</v>
      </c>
      <c r="AA23" s="37">
        <f>Y23/Z23</f>
        <v>-0.48503195236530028</v>
      </c>
      <c r="AB23" s="631">
        <f>Y16-1</f>
        <v>9</v>
      </c>
      <c r="AC23" s="37">
        <f>TDIST(ABS(AA23),AB23,2)</f>
        <v>0.63924107339333402</v>
      </c>
      <c r="AD23" s="37">
        <f>ABS(AB17/AB18)</f>
        <v>0.15338057074326428</v>
      </c>
      <c r="AE23" s="37">
        <f>SQRT(AA23^2/(AA23^2+AB23))</f>
        <v>0.15960477502420259</v>
      </c>
    </row>
    <row r="26" spans="1:31">
      <c r="A26" s="1" t="s">
        <v>838</v>
      </c>
    </row>
    <row r="27" spans="1:31">
      <c r="A27" s="1"/>
    </row>
    <row r="28" spans="1:31">
      <c r="B28" t="s">
        <v>1518</v>
      </c>
      <c r="C28" t="s">
        <v>1519</v>
      </c>
      <c r="D28" t="s">
        <v>1520</v>
      </c>
    </row>
    <row r="29" spans="1:31">
      <c r="A29" t="s">
        <v>1523</v>
      </c>
      <c r="B29" s="651">
        <f>'ANOVA Match 2.1'!B15</f>
        <v>15.5</v>
      </c>
      <c r="C29" s="652">
        <f>'ANOVA Match 2.1'!C15</f>
        <v>20.3</v>
      </c>
      <c r="D29" s="653">
        <f>'ANOVA Match 2.1'!D15</f>
        <v>22.3</v>
      </c>
    </row>
    <row r="30" spans="1:31">
      <c r="A30" t="s">
        <v>1524</v>
      </c>
      <c r="B30" s="533">
        <f>'ANOVA Match 2.1'!E15</f>
        <v>17.5</v>
      </c>
      <c r="C30" s="534">
        <f>'ANOVA Match 2.1'!F15</f>
        <v>29.9</v>
      </c>
      <c r="D30" s="541">
        <f>'ANOVA Match 2.1'!G15</f>
        <v>33</v>
      </c>
    </row>
    <row r="40" spans="1:2">
      <c r="A40" s="1" t="s">
        <v>953</v>
      </c>
    </row>
    <row r="42" spans="1:2">
      <c r="A42" t="s">
        <v>1542</v>
      </c>
    </row>
    <row r="44" spans="1:2">
      <c r="A44" t="s">
        <v>141</v>
      </c>
      <c r="B44" s="654">
        <f>COUNTA(A29:A30)</f>
        <v>2</v>
      </c>
    </row>
    <row r="45" spans="1:2">
      <c r="A45" t="s">
        <v>142</v>
      </c>
      <c r="B45" s="627">
        <f>COUNTA(B28:D28)</f>
        <v>3</v>
      </c>
    </row>
    <row r="46" spans="1:2">
      <c r="A46" t="s">
        <v>169</v>
      </c>
      <c r="B46" s="627">
        <f>B44*B45</f>
        <v>6</v>
      </c>
    </row>
    <row r="47" spans="1:2">
      <c r="A47" t="s">
        <v>106</v>
      </c>
      <c r="B47" s="627">
        <f>COUNTA(A7:A16)</f>
        <v>10</v>
      </c>
    </row>
    <row r="48" spans="1:2">
      <c r="A48" t="s">
        <v>186</v>
      </c>
      <c r="B48" s="627">
        <f>B47-1</f>
        <v>9</v>
      </c>
    </row>
    <row r="49" spans="1:2">
      <c r="A49" s="65" t="s">
        <v>157</v>
      </c>
      <c r="B49" s="627">
        <v>0.05</v>
      </c>
    </row>
    <row r="50" spans="1:2">
      <c r="A50" s="65" t="s">
        <v>955</v>
      </c>
      <c r="B50" s="627">
        <f>'Stud. Q Table'!F64</f>
        <v>5.024</v>
      </c>
    </row>
    <row r="51" spans="1:2">
      <c r="A51" s="65" t="s">
        <v>201</v>
      </c>
      <c r="B51" s="627">
        <f>B50/SQRT(2)</f>
        <v>3.5525044686812146</v>
      </c>
    </row>
    <row r="52" spans="1:2">
      <c r="A52" s="65" t="s">
        <v>1543</v>
      </c>
      <c r="B52" s="627">
        <f>C23</f>
        <v>-1.3416407864998738</v>
      </c>
    </row>
    <row r="53" spans="1:2">
      <c r="A53" s="65" t="s">
        <v>948</v>
      </c>
      <c r="B53" s="538" t="str">
        <f>IF(ABS(B52)&gt;B51,"yes","no")</f>
        <v>no</v>
      </c>
    </row>
  </sheetData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sheetPr codeName="Sheet183"/>
  <dimension ref="A1:CS104"/>
  <sheetViews>
    <sheetView workbookViewId="0"/>
  </sheetViews>
  <sheetFormatPr defaultRowHeight="14.4"/>
  <cols>
    <col min="2" max="7" width="6.5546875" customWidth="1"/>
    <col min="10" max="15" width="9.109375" customWidth="1"/>
    <col min="17" max="17" width="17.33203125" customWidth="1"/>
    <col min="18" max="19" width="9.109375" customWidth="1"/>
    <col min="23" max="23" width="20.5546875" customWidth="1"/>
    <col min="28" max="28" width="9.109375" customWidth="1"/>
    <col min="35" max="35" width="17.109375" customWidth="1"/>
    <col min="40" max="40" width="8.6640625" customWidth="1"/>
    <col min="49" max="49" width="6.5546875" customWidth="1"/>
    <col min="50" max="50" width="17" customWidth="1"/>
    <col min="51" max="51" width="10" bestFit="1" customWidth="1"/>
    <col min="52" max="52" width="10.109375" customWidth="1"/>
    <col min="53" max="53" width="16.44140625" customWidth="1"/>
    <col min="76" max="79" width="9.109375" style="289"/>
    <col min="81" max="81" width="17.44140625" customWidth="1"/>
    <col min="89" max="89" width="10.44140625" customWidth="1"/>
    <col min="90" max="90" width="11" customWidth="1"/>
    <col min="93" max="97" width="11.5546875" customWidth="1"/>
  </cols>
  <sheetData>
    <row r="1" spans="1:97">
      <c r="A1" s="1" t="s">
        <v>1579</v>
      </c>
    </row>
    <row r="3" spans="1:97">
      <c r="A3" s="611" t="s">
        <v>22</v>
      </c>
      <c r="B3" s="19" t="s">
        <v>1555</v>
      </c>
      <c r="C3" s="19" t="s">
        <v>1556</v>
      </c>
      <c r="D3" s="19" t="s">
        <v>1557</v>
      </c>
      <c r="E3" s="19" t="s">
        <v>1558</v>
      </c>
      <c r="F3" s="19" t="s">
        <v>1559</v>
      </c>
      <c r="G3" s="19" t="s">
        <v>76</v>
      </c>
      <c r="I3" t="s">
        <v>1073</v>
      </c>
      <c r="Q3" t="s">
        <v>1525</v>
      </c>
      <c r="AI3" t="s">
        <v>1618</v>
      </c>
      <c r="AQ3" t="s">
        <v>1550</v>
      </c>
      <c r="AX3" t="s">
        <v>1552</v>
      </c>
      <c r="BD3" t="s">
        <v>1142</v>
      </c>
      <c r="BU3" t="s">
        <v>1597</v>
      </c>
      <c r="CK3" t="s">
        <v>1599</v>
      </c>
      <c r="CO3" s="635" t="s">
        <v>1603</v>
      </c>
      <c r="CP3" s="635" t="s">
        <v>1604</v>
      </c>
      <c r="CQ3" s="635" t="s">
        <v>1612</v>
      </c>
      <c r="CR3" s="635" t="s">
        <v>1613</v>
      </c>
      <c r="CS3" s="635" t="s">
        <v>1614</v>
      </c>
    </row>
    <row r="4" spans="1:97" ht="15" thickBot="1">
      <c r="A4" s="651" t="s">
        <v>1553</v>
      </c>
      <c r="B4" s="668">
        <v>250</v>
      </c>
      <c r="C4" s="669">
        <v>278</v>
      </c>
      <c r="D4" s="669">
        <v>442</v>
      </c>
      <c r="E4" s="669">
        <v>368</v>
      </c>
      <c r="F4" s="670">
        <v>456</v>
      </c>
      <c r="G4" s="8">
        <f>AVERAGE(B4:F4)</f>
        <v>358.8</v>
      </c>
      <c r="J4" s="665" t="s">
        <v>22</v>
      </c>
      <c r="K4" s="665" t="s">
        <v>1560</v>
      </c>
      <c r="L4" s="665" t="s">
        <v>178</v>
      </c>
      <c r="R4" s="19" t="s">
        <v>554</v>
      </c>
      <c r="S4" s="19" t="s">
        <v>578</v>
      </c>
      <c r="T4" s="19" t="s">
        <v>186</v>
      </c>
      <c r="U4" s="19" t="s">
        <v>641</v>
      </c>
      <c r="W4" t="s">
        <v>695</v>
      </c>
      <c r="AE4" t="s">
        <v>1544</v>
      </c>
      <c r="CN4" t="s">
        <v>1553</v>
      </c>
      <c r="CO4" s="553" t="e">
        <f ca="1">MDETERM(AR15:AV19)</f>
        <v>#NAME?</v>
      </c>
      <c r="CP4" s="666" t="e">
        <f ca="1">LN(CO4)</f>
        <v>#NAME?</v>
      </c>
      <c r="CQ4" s="666" t="e">
        <f ca="1">CP4*($CL$7-1)</f>
        <v>#NAME?</v>
      </c>
      <c r="CR4" s="666">
        <f>1/($CL$7-1)</f>
        <v>0.16666666666666666</v>
      </c>
      <c r="CS4" s="667">
        <f>CR4^2</f>
        <v>2.7777777777777776E-2</v>
      </c>
    </row>
    <row r="5" spans="1:97" ht="15" thickBot="1">
      <c r="A5" s="656"/>
      <c r="B5" s="671">
        <v>65</v>
      </c>
      <c r="C5" s="672">
        <v>207</v>
      </c>
      <c r="D5" s="672">
        <v>341</v>
      </c>
      <c r="E5" s="672">
        <v>382</v>
      </c>
      <c r="F5" s="673">
        <v>298</v>
      </c>
      <c r="G5" s="8">
        <f t="shared" ref="G5:G24" si="0">AVERAGE(B5:F5)</f>
        <v>258.60000000000002</v>
      </c>
      <c r="J5" s="665">
        <f>COUNT(O9:O11)</f>
        <v>3</v>
      </c>
      <c r="K5" s="665">
        <f>COUNT(J12:N12)</f>
        <v>5</v>
      </c>
      <c r="L5" s="665">
        <f>COUNT(B4:B10)</f>
        <v>7</v>
      </c>
      <c r="Q5" s="126" t="s">
        <v>12</v>
      </c>
      <c r="R5" s="651">
        <v>1</v>
      </c>
      <c r="S5" s="652">
        <f>DEVSQ(B4:F24)</f>
        <v>1597343.4285714282</v>
      </c>
      <c r="T5" s="652">
        <f>J5*K5*L5-1</f>
        <v>104</v>
      </c>
      <c r="U5" s="653">
        <f t="shared" ref="U5:U13" si="1">S5/T5</f>
        <v>15359.071428571424</v>
      </c>
      <c r="W5" s="633" t="s">
        <v>887</v>
      </c>
      <c r="X5" s="633" t="s">
        <v>578</v>
      </c>
      <c r="Y5" s="633" t="s">
        <v>186</v>
      </c>
      <c r="Z5" s="633" t="s">
        <v>641</v>
      </c>
      <c r="AA5" s="633" t="s">
        <v>388</v>
      </c>
      <c r="AB5" s="633" t="s">
        <v>367</v>
      </c>
      <c r="AC5" s="633" t="s">
        <v>888</v>
      </c>
      <c r="AI5" t="s">
        <v>1572</v>
      </c>
      <c r="AR5">
        <v>1</v>
      </c>
      <c r="AS5">
        <f>AR5+1</f>
        <v>2</v>
      </c>
      <c r="AT5">
        <f>AS5+1</f>
        <v>3</v>
      </c>
      <c r="AU5">
        <f>AT5+1</f>
        <v>4</v>
      </c>
      <c r="AV5">
        <f>AU5+1</f>
        <v>5</v>
      </c>
      <c r="AX5" t="s">
        <v>1433</v>
      </c>
      <c r="AY5" s="644">
        <f>$K$5</f>
        <v>5</v>
      </c>
      <c r="BA5" t="s">
        <v>1432</v>
      </c>
      <c r="BB5" s="654">
        <f>$L$5*$J$5</f>
        <v>21</v>
      </c>
      <c r="BD5" s="635" t="s">
        <v>1553</v>
      </c>
      <c r="BE5" s="635" t="s">
        <v>1554</v>
      </c>
      <c r="BF5" s="635" t="s">
        <v>217</v>
      </c>
      <c r="BI5" s="635" t="s">
        <v>1553</v>
      </c>
      <c r="BJ5" s="635" t="s">
        <v>1554</v>
      </c>
      <c r="BK5" s="635" t="s">
        <v>217</v>
      </c>
      <c r="BU5" t="s">
        <v>1555</v>
      </c>
      <c r="CC5" t="s">
        <v>885</v>
      </c>
      <c r="CK5" t="s">
        <v>1600</v>
      </c>
      <c r="CL5">
        <f>J5</f>
        <v>3</v>
      </c>
      <c r="CN5" t="s">
        <v>1554</v>
      </c>
      <c r="CO5" s="656" t="e">
        <f ca="1">MDETERM(AR24:AV28)</f>
        <v>#NAME?</v>
      </c>
      <c r="CP5" s="8" t="e">
        <f ca="1">LN(CO5)</f>
        <v>#NAME?</v>
      </c>
      <c r="CQ5" s="8" t="e">
        <f ca="1">CP5*($CL$7-1)</f>
        <v>#NAME?</v>
      </c>
      <c r="CR5" s="8">
        <f>1/($CL$7-1)</f>
        <v>0.16666666666666666</v>
      </c>
      <c r="CS5" s="657">
        <f>CR5^2</f>
        <v>2.7777777777777776E-2</v>
      </c>
    </row>
    <row r="6" spans="1:97">
      <c r="A6" s="656"/>
      <c r="B6" s="671">
        <v>251</v>
      </c>
      <c r="C6" s="672">
        <v>261</v>
      </c>
      <c r="D6" s="672">
        <v>384</v>
      </c>
      <c r="E6" s="672">
        <v>421</v>
      </c>
      <c r="F6" s="673">
        <v>342</v>
      </c>
      <c r="G6" s="8">
        <f t="shared" si="0"/>
        <v>331.8</v>
      </c>
      <c r="Q6" s="126" t="s">
        <v>22</v>
      </c>
      <c r="R6" s="656">
        <f>K5*L5</f>
        <v>35</v>
      </c>
      <c r="S6" s="8">
        <f>DEVSQ(O9:O11)*R6</f>
        <v>178358.11428571431</v>
      </c>
      <c r="T6">
        <f>J5-1</f>
        <v>2</v>
      </c>
      <c r="U6" s="657">
        <f t="shared" si="1"/>
        <v>89179.057142857157</v>
      </c>
      <c r="W6" t="s">
        <v>1545</v>
      </c>
      <c r="X6">
        <f>S9</f>
        <v>371727.82857142854</v>
      </c>
      <c r="Y6">
        <f>T9</f>
        <v>20</v>
      </c>
      <c r="AE6" s="19" t="s">
        <v>1553</v>
      </c>
      <c r="AF6" s="19" t="s">
        <v>1554</v>
      </c>
      <c r="AG6" s="19" t="s">
        <v>217</v>
      </c>
      <c r="AH6" s="19"/>
      <c r="AI6" s="636" t="s">
        <v>887</v>
      </c>
      <c r="AJ6" s="636" t="s">
        <v>578</v>
      </c>
      <c r="AK6" s="636" t="s">
        <v>186</v>
      </c>
      <c r="AL6" s="636" t="s">
        <v>641</v>
      </c>
      <c r="AM6" s="636" t="s">
        <v>388</v>
      </c>
      <c r="AN6" s="636" t="s">
        <v>367</v>
      </c>
      <c r="AO6" s="636" t="s">
        <v>888</v>
      </c>
      <c r="AQ6" t="s">
        <v>12</v>
      </c>
      <c r="AR6" s="651" t="e">
        <f t="array" aca="1" ref="AR6:AV10" ca="1">[1]!COV(B4:F24)</f>
        <v>#NAME?</v>
      </c>
      <c r="AS6" s="652" t="e">
        <f ca="1"/>
        <v>#NAME?</v>
      </c>
      <c r="AT6" s="652" t="e">
        <f ca="1"/>
        <v>#NAME?</v>
      </c>
      <c r="AU6" s="652" t="e">
        <f ca="1"/>
        <v>#NAME?</v>
      </c>
      <c r="AV6" s="653" t="e">
        <f ca="1"/>
        <v>#NAME?</v>
      </c>
      <c r="AX6" t="s">
        <v>1434</v>
      </c>
      <c r="AY6" s="627" t="e">
        <f ca="1">AVERAGE(AR12:AV12)</f>
        <v>#NAME?</v>
      </c>
      <c r="BA6" t="s">
        <v>1433</v>
      </c>
      <c r="BB6" s="627">
        <f>AY5</f>
        <v>5</v>
      </c>
      <c r="BD6" s="553">
        <f t="shared" ref="BD6:BD12" si="2">G4</f>
        <v>358.8</v>
      </c>
      <c r="BE6" s="666">
        <f t="shared" ref="BE6:BE12" si="3">G11</f>
        <v>230.8</v>
      </c>
      <c r="BF6" s="667">
        <f t="shared" ref="BF6:BF12" si="4">G18</f>
        <v>249.8</v>
      </c>
      <c r="BH6" t="s">
        <v>160</v>
      </c>
      <c r="BI6">
        <f>MIN(BD6:BD12)</f>
        <v>237</v>
      </c>
      <c r="BJ6">
        <f>MIN(BE6:BE12)</f>
        <v>155.19999999999999</v>
      </c>
      <c r="BK6">
        <f>MIN(BF6:BF12)</f>
        <v>249.8</v>
      </c>
      <c r="CK6" t="s">
        <v>1601</v>
      </c>
      <c r="CL6">
        <f>K5</f>
        <v>5</v>
      </c>
      <c r="CN6" t="s">
        <v>217</v>
      </c>
      <c r="CO6" s="656" t="e">
        <f ca="1">MDETERM(AR33:AV37)</f>
        <v>#NAME?</v>
      </c>
      <c r="CP6" s="8" t="e">
        <f ca="1">LN(CO6)</f>
        <v>#NAME?</v>
      </c>
      <c r="CQ6" s="8" t="e">
        <f ca="1">CP6*($CL$7-1)</f>
        <v>#NAME?</v>
      </c>
      <c r="CR6" s="8">
        <f>1/($CL$7-1)</f>
        <v>0.16666666666666666</v>
      </c>
      <c r="CS6" s="657">
        <f>CR6^2</f>
        <v>2.7777777777777776E-2</v>
      </c>
    </row>
    <row r="7" spans="1:97" ht="15" thickBot="1">
      <c r="A7" s="656"/>
      <c r="B7" s="671">
        <v>241</v>
      </c>
      <c r="C7" s="672">
        <v>314</v>
      </c>
      <c r="D7" s="672">
        <v>423</v>
      </c>
      <c r="E7" s="672">
        <v>415</v>
      </c>
      <c r="F7" s="673">
        <v>468</v>
      </c>
      <c r="G7" s="8">
        <f t="shared" si="0"/>
        <v>372.2</v>
      </c>
      <c r="I7" s="126" t="s">
        <v>838</v>
      </c>
      <c r="Q7" s="126" t="s">
        <v>1560</v>
      </c>
      <c r="R7" s="656">
        <f>J5*L5</f>
        <v>21</v>
      </c>
      <c r="S7" s="8">
        <f>DEVSQ(J12:N12)*R7</f>
        <v>1025800.38095238</v>
      </c>
      <c r="T7" s="8">
        <f>K5-1</f>
        <v>4</v>
      </c>
      <c r="U7" s="657">
        <f t="shared" si="1"/>
        <v>256450.095238095</v>
      </c>
      <c r="W7" s="28" t="s">
        <v>1581</v>
      </c>
      <c r="X7" s="28">
        <f>S6</f>
        <v>178358.11428571431</v>
      </c>
      <c r="Y7" s="28">
        <f>T6</f>
        <v>2</v>
      </c>
      <c r="Z7" s="28">
        <f>X7/Y7</f>
        <v>89179.057142857157</v>
      </c>
      <c r="AA7" s="28">
        <f>Z7/Z8</f>
        <v>8.3013156145001332</v>
      </c>
      <c r="AB7">
        <f>FDIST(AA7,Y7,Y8)</f>
        <v>2.7891407228899608E-3</v>
      </c>
      <c r="AC7">
        <f>FINV(0.05,Y7,Y8)</f>
        <v>3.5545571456617879</v>
      </c>
      <c r="AE7" s="651">
        <f t="shared" ref="AE7:AE13" si="5">G4</f>
        <v>358.8</v>
      </c>
      <c r="AF7" s="652">
        <f t="shared" ref="AF7:AF13" si="6">G11</f>
        <v>230.8</v>
      </c>
      <c r="AG7" s="653">
        <f t="shared" ref="AG7:AG13" si="7">G18</f>
        <v>249.8</v>
      </c>
      <c r="AH7" s="8"/>
      <c r="AI7" s="28" t="s">
        <v>390</v>
      </c>
      <c r="AJ7" s="28">
        <v>85072.171428571397</v>
      </c>
      <c r="AK7" s="28">
        <v>6</v>
      </c>
      <c r="AL7" s="28">
        <v>14178.695238095233</v>
      </c>
      <c r="AM7" s="28">
        <v>8.6115148903433116</v>
      </c>
      <c r="AN7" s="28">
        <v>4.7218804282676579E-5</v>
      </c>
      <c r="AO7" s="28">
        <v>2.5081888234232559</v>
      </c>
      <c r="AR7" s="656" t="e">
        <f ca="1"/>
        <v>#NAME?</v>
      </c>
      <c r="AS7" s="8" t="e">
        <f ca="1"/>
        <v>#NAME?</v>
      </c>
      <c r="AT7" s="8" t="e">
        <f ca="1"/>
        <v>#NAME?</v>
      </c>
      <c r="AU7" s="8" t="e">
        <f ca="1"/>
        <v>#NAME?</v>
      </c>
      <c r="AV7" s="657" t="e">
        <f ca="1"/>
        <v>#NAME?</v>
      </c>
      <c r="AX7" t="s">
        <v>1435</v>
      </c>
      <c r="AY7" s="627" t="e">
        <f ca="1">AVERAGE(AR6:AV10)</f>
        <v>#NAME?</v>
      </c>
      <c r="BA7" t="s">
        <v>1440</v>
      </c>
      <c r="BB7" s="627" t="e">
        <f ca="1">AY12</f>
        <v>#NAME?</v>
      </c>
      <c r="BD7" s="656">
        <f t="shared" si="2"/>
        <v>258.60000000000002</v>
      </c>
      <c r="BE7" s="8">
        <f t="shared" si="3"/>
        <v>245.4</v>
      </c>
      <c r="BF7" s="657">
        <f t="shared" si="4"/>
        <v>279</v>
      </c>
      <c r="BH7" t="s">
        <v>161</v>
      </c>
      <c r="BI7">
        <f>QUARTILE(BD6:BD12,1)-BI6</f>
        <v>37.100000000000023</v>
      </c>
      <c r="BJ7">
        <f>QUARTILE(BE6:BE12,1)-BJ6</f>
        <v>32.199999999999989</v>
      </c>
      <c r="BK7">
        <f>QUARTILE(BF6:BF12,1)-BK6</f>
        <v>9.6999999999999886</v>
      </c>
      <c r="BU7" s="635" t="s">
        <v>1553</v>
      </c>
      <c r="BV7" s="635" t="s">
        <v>1554</v>
      </c>
      <c r="BW7" s="635" t="s">
        <v>217</v>
      </c>
      <c r="BX7" s="348"/>
      <c r="BY7" s="635" t="s">
        <v>1553</v>
      </c>
      <c r="BZ7" s="635" t="s">
        <v>1554</v>
      </c>
      <c r="CA7" s="635" t="s">
        <v>217</v>
      </c>
      <c r="CC7" t="s">
        <v>194</v>
      </c>
      <c r="CK7" t="s">
        <v>1602</v>
      </c>
      <c r="CL7">
        <f>L5</f>
        <v>7</v>
      </c>
      <c r="CN7" t="s">
        <v>225</v>
      </c>
      <c r="CO7" s="533" t="e">
        <f ca="1">MDETERM(AR51:AV55)</f>
        <v>#NAME?</v>
      </c>
      <c r="CP7" s="534" t="e">
        <f ca="1">LN(CO7)</f>
        <v>#NAME?</v>
      </c>
      <c r="CQ7" s="534" t="e">
        <f ca="1">CP7*(CL8-CL5)</f>
        <v>#NAME?</v>
      </c>
      <c r="CR7" s="534">
        <f>1/(CL8-CL5)</f>
        <v>5.5555555555555552E-2</v>
      </c>
      <c r="CS7" s="541">
        <f>CR7^2</f>
        <v>3.0864197530864196E-3</v>
      </c>
    </row>
    <row r="8" spans="1:97">
      <c r="A8" s="656"/>
      <c r="B8" s="671">
        <v>154</v>
      </c>
      <c r="C8" s="672">
        <v>167</v>
      </c>
      <c r="D8" s="672">
        <v>257</v>
      </c>
      <c r="E8" s="672">
        <v>275</v>
      </c>
      <c r="F8" s="673">
        <v>332</v>
      </c>
      <c r="G8" s="8">
        <f t="shared" si="0"/>
        <v>237</v>
      </c>
      <c r="J8" s="19" t="s">
        <v>1555</v>
      </c>
      <c r="K8" s="19" t="s">
        <v>1556</v>
      </c>
      <c r="L8" s="19" t="s">
        <v>1557</v>
      </c>
      <c r="M8" s="19" t="s">
        <v>1558</v>
      </c>
      <c r="N8" s="19" t="s">
        <v>1559</v>
      </c>
      <c r="Q8" s="126" t="s">
        <v>1564</v>
      </c>
      <c r="R8" s="656">
        <f>L5</f>
        <v>7</v>
      </c>
      <c r="S8" s="8">
        <f>DEVSQ(J9:N11)*R8</f>
        <v>1242898.5714285714</v>
      </c>
      <c r="T8" s="8">
        <f>J5*K5-1</f>
        <v>14</v>
      </c>
      <c r="U8" s="657">
        <f t="shared" si="1"/>
        <v>88778.469387755104</v>
      </c>
      <c r="W8" s="28" t="s">
        <v>1565</v>
      </c>
      <c r="X8">
        <f>S12</f>
        <v>193369.71428571423</v>
      </c>
      <c r="Y8">
        <f>T12</f>
        <v>18</v>
      </c>
      <c r="Z8" s="28">
        <f>X8/Y8</f>
        <v>10742.761904761901</v>
      </c>
      <c r="AE8" s="656">
        <f t="shared" si="5"/>
        <v>258.60000000000002</v>
      </c>
      <c r="AF8" s="8">
        <f t="shared" si="6"/>
        <v>245.4</v>
      </c>
      <c r="AG8" s="657">
        <f t="shared" si="7"/>
        <v>279</v>
      </c>
      <c r="AH8" s="8"/>
      <c r="AI8" s="28" t="s">
        <v>1010</v>
      </c>
      <c r="AJ8" s="28">
        <v>220968.45714285711</v>
      </c>
      <c r="AK8" s="28">
        <v>4</v>
      </c>
      <c r="AL8" s="28">
        <v>55242.114285714277</v>
      </c>
      <c r="AM8" s="28">
        <v>33.551626701681158</v>
      </c>
      <c r="AN8" s="28">
        <v>1.6606146059093755E-9</v>
      </c>
      <c r="AO8" s="28">
        <v>2.7762892892514786</v>
      </c>
      <c r="AR8" s="656" t="e">
        <f ca="1"/>
        <v>#NAME?</v>
      </c>
      <c r="AS8" s="8" t="e">
        <f ca="1"/>
        <v>#NAME?</v>
      </c>
      <c r="AT8" s="8" t="e">
        <f ca="1"/>
        <v>#NAME?</v>
      </c>
      <c r="AU8" s="8" t="e">
        <f ca="1"/>
        <v>#NAME?</v>
      </c>
      <c r="AV8" s="657" t="e">
        <f ca="1"/>
        <v>#NAME?</v>
      </c>
      <c r="AX8" t="s">
        <v>1436</v>
      </c>
      <c r="AY8" s="627" t="e">
        <f ca="1">SUMSQ(AR6:AV10)</f>
        <v>#NAME?</v>
      </c>
      <c r="BA8" t="s">
        <v>1441</v>
      </c>
      <c r="BB8" s="627" t="e">
        <f ca="1">BB5*(BB6-1)*BB7-2</f>
        <v>#NAME?</v>
      </c>
      <c r="BD8" s="656">
        <f t="shared" si="2"/>
        <v>331.8</v>
      </c>
      <c r="BE8" s="8">
        <f t="shared" si="3"/>
        <v>274.8</v>
      </c>
      <c r="BF8" s="657">
        <f t="shared" si="4"/>
        <v>258.39999999999998</v>
      </c>
      <c r="BH8" t="s">
        <v>162</v>
      </c>
      <c r="BI8">
        <f>MEDIAN(BD6:BD12)-QUARTILE(BD6:BD12,1)</f>
        <v>57.699999999999989</v>
      </c>
      <c r="BJ8">
        <f>MEDIAN(BE6:BE12)-QUARTILE(BE6:BE12,1)</f>
        <v>43.400000000000034</v>
      </c>
      <c r="BK8">
        <f>MEDIAN(BF6:BF12)-QUARTILE(BF6:BF12,1)</f>
        <v>5.1000000000000227</v>
      </c>
      <c r="BU8" s="553">
        <f t="shared" ref="BU8:BU14" si="8">B4</f>
        <v>250</v>
      </c>
      <c r="BV8" s="666">
        <f t="shared" ref="BV8:BV14" si="9">B11</f>
        <v>54</v>
      </c>
      <c r="BW8" s="667">
        <f t="shared" ref="BW8:BW14" si="10">B18</f>
        <v>118</v>
      </c>
      <c r="BX8" s="397"/>
      <c r="BY8" s="553">
        <f>ABS(BU8-$BU$15)</f>
        <v>65.142857142857139</v>
      </c>
      <c r="BZ8" s="666">
        <f>ABS(BV8-BV$15)</f>
        <v>0.4285714285714306</v>
      </c>
      <c r="CA8" s="667">
        <f>ABS(BW8-BW$15)</f>
        <v>30.571428571428569</v>
      </c>
      <c r="CC8" s="636" t="s">
        <v>222</v>
      </c>
      <c r="CD8" s="636" t="s">
        <v>88</v>
      </c>
      <c r="CE8" s="636" t="s">
        <v>87</v>
      </c>
      <c r="CF8" s="636" t="s">
        <v>886</v>
      </c>
      <c r="CG8" s="636" t="s">
        <v>223</v>
      </c>
      <c r="CK8" t="s">
        <v>106</v>
      </c>
      <c r="CL8">
        <f>CL5*CL7</f>
        <v>21</v>
      </c>
      <c r="CN8" t="s">
        <v>1605</v>
      </c>
      <c r="CQ8" s="655" t="e">
        <f ca="1">CQ7-SUM(CQ4:CQ6)</f>
        <v>#NAME?</v>
      </c>
      <c r="CR8">
        <f>SUM(CR4:CR6)-CR7</f>
        <v>0.44444444444444442</v>
      </c>
      <c r="CS8">
        <f>SUM(CS4:CS6)-CS7</f>
        <v>8.0246913580246909E-2</v>
      </c>
    </row>
    <row r="9" spans="1:97">
      <c r="A9" s="656"/>
      <c r="B9" s="671">
        <v>103</v>
      </c>
      <c r="C9" s="672">
        <v>286</v>
      </c>
      <c r="D9" s="672">
        <v>401</v>
      </c>
      <c r="E9" s="672">
        <v>291</v>
      </c>
      <c r="F9" s="673">
        <v>367</v>
      </c>
      <c r="G9" s="8">
        <f t="shared" si="0"/>
        <v>289.60000000000002</v>
      </c>
      <c r="I9" t="s">
        <v>1553</v>
      </c>
      <c r="J9" s="651">
        <f>AVERAGE(B4:B10)</f>
        <v>184.85714285714286</v>
      </c>
      <c r="K9" s="652">
        <f>AVERAGE(C4:C10)</f>
        <v>259.85714285714283</v>
      </c>
      <c r="L9" s="652">
        <f>AVERAGE(D4:D10)</f>
        <v>382.85714285714283</v>
      </c>
      <c r="M9" s="652">
        <f>AVERAGE(E4:E10)</f>
        <v>362.57142857142856</v>
      </c>
      <c r="N9" s="653">
        <f>AVERAGE(F4:F10)</f>
        <v>383.71428571428572</v>
      </c>
      <c r="O9" s="66">
        <f>AVERAGE(J9:N9)</f>
        <v>314.77142857142854</v>
      </c>
      <c r="Q9" s="8" t="s">
        <v>1546</v>
      </c>
      <c r="R9" s="656">
        <f>K5</f>
        <v>5</v>
      </c>
      <c r="S9" s="8">
        <f>DEVSQ(G4:G24)*R9</f>
        <v>371727.82857142854</v>
      </c>
      <c r="T9" s="8">
        <f>J5*L5-1</f>
        <v>20</v>
      </c>
      <c r="U9" s="657">
        <f t="shared" si="1"/>
        <v>18586.391428571427</v>
      </c>
      <c r="W9" s="28" t="s">
        <v>1547</v>
      </c>
      <c r="X9">
        <f>S10</f>
        <v>1225615.5999999996</v>
      </c>
      <c r="Y9">
        <f>T10</f>
        <v>84</v>
      </c>
      <c r="AE9" s="656">
        <f t="shared" si="5"/>
        <v>331.8</v>
      </c>
      <c r="AF9" s="8">
        <f t="shared" si="6"/>
        <v>274.8</v>
      </c>
      <c r="AG9" s="657">
        <f t="shared" si="7"/>
        <v>258.39999999999998</v>
      </c>
      <c r="AH9" s="8"/>
      <c r="AI9" s="28" t="s">
        <v>1009</v>
      </c>
      <c r="AJ9" s="28">
        <v>39515.542857142922</v>
      </c>
      <c r="AK9" s="28">
        <v>24</v>
      </c>
      <c r="AL9" s="28">
        <v>1646.4809523809552</v>
      </c>
      <c r="AM9" s="28"/>
      <c r="AN9" s="28"/>
      <c r="AO9" s="28"/>
      <c r="AR9" s="656" t="e">
        <f ca="1"/>
        <v>#NAME?</v>
      </c>
      <c r="AS9" s="8" t="e">
        <f ca="1"/>
        <v>#NAME?</v>
      </c>
      <c r="AT9" s="8" t="e">
        <f ca="1"/>
        <v>#NAME?</v>
      </c>
      <c r="AU9" s="8" t="e">
        <f ca="1"/>
        <v>#NAME?</v>
      </c>
      <c r="AV9" s="657" t="e">
        <f ca="1"/>
        <v>#NAME?</v>
      </c>
      <c r="AX9" t="s">
        <v>1437</v>
      </c>
      <c r="AY9" s="627" t="e">
        <f ca="1">SUMSQ(AR11:AV11)</f>
        <v>#NAME?</v>
      </c>
      <c r="BA9" t="s">
        <v>1442</v>
      </c>
      <c r="BB9" s="627" t="e">
        <f ca="1">(BB6-1)*(BB5-1-(BB6-1)*BB7)</f>
        <v>#NAME?</v>
      </c>
      <c r="BD9" s="656">
        <f t="shared" si="2"/>
        <v>372.2</v>
      </c>
      <c r="BE9" s="8">
        <f t="shared" si="3"/>
        <v>234.4</v>
      </c>
      <c r="BF9" s="657">
        <f t="shared" si="4"/>
        <v>264.60000000000002</v>
      </c>
      <c r="BH9" t="s">
        <v>163</v>
      </c>
      <c r="BI9">
        <f>QUARTILE(BD6:BD12,3)-MEDIAN(BD6:BD12)</f>
        <v>25.300000000000011</v>
      </c>
      <c r="BJ9">
        <f>QUARTILE(BE6:BE12,3)-MEDIAN(BE6:BE12)</f>
        <v>9.0999999999999943</v>
      </c>
      <c r="BK9">
        <f>QUARTILE(BF6:BF12,3)-MEDIAN(BF6:BF12)</f>
        <v>41.599999999999966</v>
      </c>
      <c r="BU9" s="656">
        <f t="shared" si="8"/>
        <v>65</v>
      </c>
      <c r="BV9" s="8">
        <f t="shared" si="9"/>
        <v>20</v>
      </c>
      <c r="BW9" s="657">
        <f t="shared" si="10"/>
        <v>83</v>
      </c>
      <c r="BX9" s="397"/>
      <c r="BY9" s="656">
        <f t="shared" ref="BY9:BY14" si="11">ABS(BU9-BU$15)</f>
        <v>119.85714285714286</v>
      </c>
      <c r="BZ9" s="8">
        <f t="shared" ref="BZ9:BZ14" si="12">ABS(BV9-BV$15)</f>
        <v>34.428571428571431</v>
      </c>
      <c r="CA9" s="657">
        <f t="shared" ref="CA9:CA14" si="13">ABS(BW9-BW$15)</f>
        <v>4.4285714285714306</v>
      </c>
      <c r="CC9" s="28" t="s">
        <v>1553</v>
      </c>
      <c r="CD9" s="28">
        <v>7</v>
      </c>
      <c r="CE9" s="28">
        <v>465.14285714285711</v>
      </c>
      <c r="CF9" s="28">
        <v>66.448979591836732</v>
      </c>
      <c r="CG9" s="28">
        <v>819.7648202138007</v>
      </c>
    </row>
    <row r="10" spans="1:97">
      <c r="A10" s="533"/>
      <c r="B10" s="674">
        <v>230</v>
      </c>
      <c r="C10" s="672">
        <v>306</v>
      </c>
      <c r="D10" s="675">
        <v>432</v>
      </c>
      <c r="E10" s="675">
        <v>386</v>
      </c>
      <c r="F10" s="676">
        <v>423</v>
      </c>
      <c r="G10" s="8">
        <f t="shared" si="0"/>
        <v>355.4</v>
      </c>
      <c r="I10" t="s">
        <v>1554</v>
      </c>
      <c r="J10" s="656">
        <f>AVERAGE(B11:B17)</f>
        <v>54.428571428571431</v>
      </c>
      <c r="K10" s="8">
        <f>AVERAGE(C11:C17)</f>
        <v>119.14285714285714</v>
      </c>
      <c r="L10" s="8">
        <f>AVERAGE(D11:D17)</f>
        <v>317.42857142857144</v>
      </c>
      <c r="M10" s="8">
        <f>AVERAGE(E11:E17)</f>
        <v>281.57142857142856</v>
      </c>
      <c r="N10" s="657">
        <f>AVERAGE(F11:F17)</f>
        <v>309.85714285714283</v>
      </c>
      <c r="O10" s="66">
        <f>AVERAGE(J10:N10)</f>
        <v>216.48571428571427</v>
      </c>
      <c r="Q10" s="126" t="s">
        <v>1548</v>
      </c>
      <c r="R10" s="656"/>
      <c r="S10" s="8">
        <f>S5-S9</f>
        <v>1225615.5999999996</v>
      </c>
      <c r="T10" s="8">
        <f>T5-T9</f>
        <v>84</v>
      </c>
      <c r="U10" s="657">
        <f t="shared" si="1"/>
        <v>14590.661904761901</v>
      </c>
      <c r="W10" s="28" t="s">
        <v>1566</v>
      </c>
      <c r="X10" s="28">
        <f>S7</f>
        <v>1025800.38095238</v>
      </c>
      <c r="Y10" s="28">
        <f>T7</f>
        <v>4</v>
      </c>
      <c r="Z10" s="28">
        <f>X10/Y10</f>
        <v>256450.095238095</v>
      </c>
      <c r="AA10" s="28">
        <f>Z10/Z12</f>
        <v>114.63225504334284</v>
      </c>
      <c r="AB10">
        <f>FDIST(AA10,Y10,Y12)</f>
        <v>1.9104657472457449E-30</v>
      </c>
      <c r="AC10">
        <f>FINV(0.05,Y10,Y12)</f>
        <v>2.4989185828063061</v>
      </c>
      <c r="AE10" s="656">
        <f t="shared" si="5"/>
        <v>372.2</v>
      </c>
      <c r="AF10" s="8">
        <f t="shared" si="6"/>
        <v>234.4</v>
      </c>
      <c r="AG10" s="657">
        <f t="shared" si="7"/>
        <v>264.60000000000002</v>
      </c>
      <c r="AH10" s="8"/>
      <c r="AI10" s="28"/>
      <c r="AJ10" s="28"/>
      <c r="AK10" s="28"/>
      <c r="AL10" s="28"/>
      <c r="AM10" s="28"/>
      <c r="AN10" s="28"/>
      <c r="AO10" s="28"/>
      <c r="AR10" s="533" t="e">
        <f ca="1"/>
        <v>#NAME?</v>
      </c>
      <c r="AS10" s="534" t="e">
        <f ca="1"/>
        <v>#NAME?</v>
      </c>
      <c r="AT10" s="534" t="e">
        <f ca="1"/>
        <v>#NAME?</v>
      </c>
      <c r="AU10" s="534" t="e">
        <f ca="1"/>
        <v>#NAME?</v>
      </c>
      <c r="AV10" s="541" t="e">
        <f ca="1"/>
        <v>#NAME?</v>
      </c>
      <c r="AX10" t="s">
        <v>1438</v>
      </c>
      <c r="AY10" s="627" t="e">
        <f ca="1">(AY5*(AY6-AY7))^2</f>
        <v>#NAME?</v>
      </c>
      <c r="BA10" t="s">
        <v>1443</v>
      </c>
      <c r="BB10" s="544" t="e">
        <f ca="1">MIN(BB8/BB9,1)</f>
        <v>#NAME?</v>
      </c>
      <c r="BD10" s="656">
        <f t="shared" si="2"/>
        <v>237</v>
      </c>
      <c r="BE10" s="8">
        <f t="shared" si="3"/>
        <v>214.2</v>
      </c>
      <c r="BF10" s="657">
        <f t="shared" si="4"/>
        <v>353.4</v>
      </c>
      <c r="BH10" t="s">
        <v>164</v>
      </c>
      <c r="BI10">
        <f>MAX(BD6:BD12)-QUARTILE(BD6:BD12,3)</f>
        <v>15.099999999999966</v>
      </c>
      <c r="BJ10">
        <f>MAX(BE6:BE12)-QUARTILE(BE6:BE12,3)</f>
        <v>34.900000000000006</v>
      </c>
      <c r="BK10">
        <f>MAX(BF6:BF12)-QUARTILE(BF6:BF12,3)</f>
        <v>47.199999999999989</v>
      </c>
      <c r="BU10" s="656">
        <f t="shared" si="8"/>
        <v>251</v>
      </c>
      <c r="BV10" s="8">
        <f t="shared" si="9"/>
        <v>41</v>
      </c>
      <c r="BW10" s="657">
        <f t="shared" si="10"/>
        <v>38</v>
      </c>
      <c r="BX10" s="397"/>
      <c r="BY10" s="656">
        <f t="shared" si="11"/>
        <v>66.142857142857139</v>
      </c>
      <c r="BZ10" s="8">
        <f t="shared" si="12"/>
        <v>13.428571428571431</v>
      </c>
      <c r="CA10" s="657">
        <f t="shared" si="13"/>
        <v>49.428571428571431</v>
      </c>
      <c r="CC10" s="28" t="s">
        <v>1554</v>
      </c>
      <c r="CD10" s="28">
        <v>7</v>
      </c>
      <c r="CE10" s="28">
        <v>291.14285714285717</v>
      </c>
      <c r="CF10" s="28">
        <v>41.591836734693878</v>
      </c>
      <c r="CG10" s="28">
        <v>2359.4246841593772</v>
      </c>
    </row>
    <row r="11" spans="1:97" ht="15" thickBot="1">
      <c r="A11" s="654" t="s">
        <v>1554</v>
      </c>
      <c r="B11" s="668">
        <v>54</v>
      </c>
      <c r="C11" s="669">
        <v>172</v>
      </c>
      <c r="D11" s="669">
        <v>307</v>
      </c>
      <c r="E11" s="669">
        <v>261</v>
      </c>
      <c r="F11" s="670">
        <v>360</v>
      </c>
      <c r="G11" s="8">
        <f t="shared" si="0"/>
        <v>230.8</v>
      </c>
      <c r="I11" t="s">
        <v>217</v>
      </c>
      <c r="J11" s="533">
        <f>AVERAGE(B18:B24)</f>
        <v>87.428571428571431</v>
      </c>
      <c r="K11" s="534">
        <f>AVERAGE(C18:C24)</f>
        <v>238.71428571428572</v>
      </c>
      <c r="L11" s="534">
        <f>AVERAGE(D18:D24)</f>
        <v>369.57142857142856</v>
      </c>
      <c r="M11" s="534">
        <f>AVERAGE(E18:E24)</f>
        <v>374.28571428571428</v>
      </c>
      <c r="N11" s="541">
        <f>AVERAGE(F18:F24)</f>
        <v>358</v>
      </c>
      <c r="O11" s="66">
        <f>AVERAGE(J11:N11)</f>
        <v>285.60000000000002</v>
      </c>
      <c r="Q11" s="126" t="s">
        <v>1563</v>
      </c>
      <c r="R11" s="656"/>
      <c r="S11" s="8">
        <f>S8-S6-S7</f>
        <v>38740.076190477121</v>
      </c>
      <c r="T11" s="8">
        <f>T8-T6-T7</f>
        <v>8</v>
      </c>
      <c r="U11" s="657">
        <f t="shared" si="1"/>
        <v>4842.5095238096401</v>
      </c>
      <c r="W11" s="126" t="s">
        <v>1615</v>
      </c>
      <c r="X11">
        <f>S11</f>
        <v>38740.076190477121</v>
      </c>
      <c r="Y11">
        <f>T11</f>
        <v>8</v>
      </c>
      <c r="Z11" s="28">
        <f>X11/Y11</f>
        <v>4842.5095238096401</v>
      </c>
      <c r="AA11">
        <f>Z11/Z12</f>
        <v>2.1645840539376158</v>
      </c>
      <c r="AB11">
        <f>FDIST(AA11,Y11,Y12)</f>
        <v>4.0346173311157994E-2</v>
      </c>
      <c r="AC11">
        <f>FINV(0.05,Y11,Y12)</f>
        <v>2.0698316419588703</v>
      </c>
      <c r="AE11" s="656">
        <f t="shared" si="5"/>
        <v>237</v>
      </c>
      <c r="AF11" s="8">
        <f t="shared" si="6"/>
        <v>214.2</v>
      </c>
      <c r="AG11" s="657">
        <f t="shared" si="7"/>
        <v>353.4</v>
      </c>
      <c r="AH11" s="8"/>
      <c r="AI11" s="31" t="s">
        <v>12</v>
      </c>
      <c r="AJ11" s="31">
        <v>345556.1714285714</v>
      </c>
      <c r="AK11" s="31">
        <v>34</v>
      </c>
      <c r="AL11" s="31"/>
      <c r="AM11" s="31"/>
      <c r="AN11" s="31"/>
      <c r="AO11" s="31"/>
      <c r="AQ11" t="s">
        <v>63</v>
      </c>
      <c r="AR11" t="e">
        <f ca="1">AVERAGE(AR6:AR10)</f>
        <v>#NAME?</v>
      </c>
      <c r="AS11" t="e">
        <f ca="1">AVERAGE(AS6:AS10)</f>
        <v>#NAME?</v>
      </c>
      <c r="AT11" t="e">
        <f ca="1">AVERAGE(AT6:AT10)</f>
        <v>#NAME?</v>
      </c>
      <c r="AU11" t="e">
        <f ca="1">AVERAGE(AU6:AU10)</f>
        <v>#NAME?</v>
      </c>
      <c r="AV11" t="e">
        <f ca="1">AVERAGE(AV6:AV10)</f>
        <v>#NAME?</v>
      </c>
      <c r="AX11" t="s">
        <v>1439</v>
      </c>
      <c r="AY11" s="627" t="e">
        <f ca="1">(AY5-1)*(AY8-2*AY5*AY9+AY5^2*AY7^2)</f>
        <v>#NAME?</v>
      </c>
      <c r="BD11" s="656">
        <f t="shared" si="2"/>
        <v>289.60000000000002</v>
      </c>
      <c r="BE11" s="8">
        <f t="shared" si="3"/>
        <v>155.19999999999999</v>
      </c>
      <c r="BF11" s="657">
        <f t="shared" si="4"/>
        <v>333.4</v>
      </c>
      <c r="BU11" s="656">
        <f t="shared" si="8"/>
        <v>241</v>
      </c>
      <c r="BV11" s="8">
        <f t="shared" si="9"/>
        <v>200</v>
      </c>
      <c r="BW11" s="657">
        <f t="shared" si="10"/>
        <v>71</v>
      </c>
      <c r="BX11" s="397"/>
      <c r="BY11" s="656">
        <f t="shared" si="11"/>
        <v>56.142857142857139</v>
      </c>
      <c r="BZ11" s="8">
        <f t="shared" si="12"/>
        <v>145.57142857142856</v>
      </c>
      <c r="CA11" s="657">
        <f t="shared" si="13"/>
        <v>16.428571428571431</v>
      </c>
      <c r="CC11" s="31" t="s">
        <v>217</v>
      </c>
      <c r="CD11" s="31">
        <v>7</v>
      </c>
      <c r="CE11" s="31">
        <v>173.42857142857144</v>
      </c>
      <c r="CF11" s="31">
        <v>24.775510204081634</v>
      </c>
      <c r="CG11" s="31">
        <v>221.48882410106884</v>
      </c>
      <c r="CK11" t="s">
        <v>1605</v>
      </c>
      <c r="CL11" s="542" t="e">
        <f ca="1">CQ8</f>
        <v>#NAME?</v>
      </c>
      <c r="CN11" t="s">
        <v>1606</v>
      </c>
      <c r="CO11" s="542">
        <f>(CL6-1)*(CL6+2)/(6*(CL5-1))*CS8</f>
        <v>0.18724279835390947</v>
      </c>
    </row>
    <row r="12" spans="1:97">
      <c r="A12" s="627"/>
      <c r="B12" s="671">
        <v>20</v>
      </c>
      <c r="C12" s="672">
        <v>116</v>
      </c>
      <c r="D12" s="672">
        <v>425</v>
      </c>
      <c r="E12" s="672">
        <v>398</v>
      </c>
      <c r="F12" s="673">
        <v>268</v>
      </c>
      <c r="G12" s="8">
        <f t="shared" si="0"/>
        <v>245.4</v>
      </c>
      <c r="J12">
        <f>AVERAGE(J9:J11)</f>
        <v>108.90476190476191</v>
      </c>
      <c r="K12">
        <f>AVERAGE(K9:K11)</f>
        <v>205.90476190476193</v>
      </c>
      <c r="L12">
        <f>AVERAGE(L9:L11)</f>
        <v>356.61904761904754</v>
      </c>
      <c r="M12">
        <f>AVERAGE(M9:M11)</f>
        <v>339.47619047619042</v>
      </c>
      <c r="N12">
        <f>AVERAGE(N9:N11)</f>
        <v>350.52380952380946</v>
      </c>
      <c r="O12">
        <f>AVERAGE(J9:N11)</f>
        <v>272.28571428571428</v>
      </c>
      <c r="Q12" s="28" t="s">
        <v>1562</v>
      </c>
      <c r="R12" s="656"/>
      <c r="S12" s="8">
        <f>S9-S6</f>
        <v>193369.71428571423</v>
      </c>
      <c r="T12" s="8">
        <f>T9-T6</f>
        <v>18</v>
      </c>
      <c r="U12" s="657">
        <f t="shared" si="1"/>
        <v>10742.761904761901</v>
      </c>
      <c r="W12" s="28" t="s">
        <v>1567</v>
      </c>
      <c r="X12" s="28">
        <f>S13</f>
        <v>161075.14285714249</v>
      </c>
      <c r="Y12" s="28">
        <f>T13</f>
        <v>72</v>
      </c>
      <c r="Z12" s="28">
        <f>X12/Y12</f>
        <v>2237.1547619047569</v>
      </c>
      <c r="AE12" s="656">
        <f t="shared" si="5"/>
        <v>289.60000000000002</v>
      </c>
      <c r="AF12" s="8">
        <f t="shared" si="6"/>
        <v>155.19999999999999</v>
      </c>
      <c r="AG12" s="657">
        <f t="shared" si="7"/>
        <v>333.4</v>
      </c>
      <c r="AH12" s="8"/>
      <c r="AQ12" t="s">
        <v>66</v>
      </c>
      <c r="AR12" t="e">
        <f ca="1">INDEX(AR6:AR10,AR5)</f>
        <v>#NAME?</v>
      </c>
      <c r="AS12" t="e">
        <f ca="1">INDEX(AS6:AS10,AS5)</f>
        <v>#NAME?</v>
      </c>
      <c r="AT12" t="e">
        <f ca="1">INDEX(AT6:AT10,AT5)</f>
        <v>#NAME?</v>
      </c>
      <c r="AU12" t="e">
        <f ca="1">INDEX(AU6:AU10,AU5)</f>
        <v>#NAME?</v>
      </c>
      <c r="AV12" t="e">
        <f ca="1">INDEX(AV6:AV10,AV5)</f>
        <v>#NAME?</v>
      </c>
      <c r="AX12" t="s">
        <v>1440</v>
      </c>
      <c r="AY12" s="268" t="e">
        <f ca="1">AY10/AY11</f>
        <v>#NAME?</v>
      </c>
      <c r="BA12" t="s">
        <v>1489</v>
      </c>
      <c r="BB12" s="655">
        <f>1/(BB6-1)</f>
        <v>0.25</v>
      </c>
      <c r="BD12" s="533">
        <f t="shared" si="2"/>
        <v>355.4</v>
      </c>
      <c r="BE12" s="534">
        <f t="shared" si="3"/>
        <v>160.6</v>
      </c>
      <c r="BF12" s="541">
        <f t="shared" si="4"/>
        <v>260.60000000000002</v>
      </c>
      <c r="BU12" s="656">
        <f t="shared" si="8"/>
        <v>154</v>
      </c>
      <c r="BV12" s="8">
        <f t="shared" si="9"/>
        <v>34</v>
      </c>
      <c r="BW12" s="657">
        <f t="shared" si="10"/>
        <v>123</v>
      </c>
      <c r="BX12" s="397"/>
      <c r="BY12" s="656">
        <f t="shared" si="11"/>
        <v>30.857142857142861</v>
      </c>
      <c r="BZ12" s="8">
        <f t="shared" si="12"/>
        <v>20.428571428571431</v>
      </c>
      <c r="CA12" s="657">
        <f t="shared" si="13"/>
        <v>35.571428571428569</v>
      </c>
      <c r="CK12" t="s">
        <v>143</v>
      </c>
      <c r="CL12" s="627">
        <f>(2*CL6^2+3*CL6-1)/(6*(CL6+1)*(CL5-1))*CR8</f>
        <v>0.39506172839506171</v>
      </c>
      <c r="CN12" t="s">
        <v>1607</v>
      </c>
      <c r="CO12" s="627">
        <f>(CL14+2)/ABS(CO11-CL12^2)</f>
        <v>1026.6601466992654</v>
      </c>
    </row>
    <row r="13" spans="1:97" ht="15" thickBot="1">
      <c r="A13" s="627"/>
      <c r="B13" s="671">
        <v>41</v>
      </c>
      <c r="C13" s="672">
        <v>168</v>
      </c>
      <c r="D13" s="672">
        <v>378</v>
      </c>
      <c r="E13" s="672">
        <v>317</v>
      </c>
      <c r="F13" s="673">
        <v>470</v>
      </c>
      <c r="G13" s="8">
        <f t="shared" si="0"/>
        <v>274.8</v>
      </c>
      <c r="Q13" s="28" t="s">
        <v>1561</v>
      </c>
      <c r="R13" s="533"/>
      <c r="S13" s="534">
        <f>S10-S7-S11</f>
        <v>161075.14285714249</v>
      </c>
      <c r="T13" s="534">
        <f>T10-T7-T11</f>
        <v>72</v>
      </c>
      <c r="U13" s="541">
        <f t="shared" si="1"/>
        <v>2237.1547619047569</v>
      </c>
      <c r="AA13" s="28"/>
      <c r="AB13" s="28"/>
      <c r="AC13" s="28"/>
      <c r="AE13" s="533">
        <f t="shared" si="5"/>
        <v>355.4</v>
      </c>
      <c r="AF13" s="534">
        <f t="shared" si="6"/>
        <v>160.6</v>
      </c>
      <c r="AG13" s="541">
        <f t="shared" si="7"/>
        <v>260.60000000000002</v>
      </c>
      <c r="AH13" s="8"/>
      <c r="AI13" t="s">
        <v>1573</v>
      </c>
      <c r="BU13" s="656">
        <f t="shared" si="8"/>
        <v>103</v>
      </c>
      <c r="BV13" s="8">
        <f t="shared" si="9"/>
        <v>29</v>
      </c>
      <c r="BW13" s="657">
        <f t="shared" si="10"/>
        <v>71</v>
      </c>
      <c r="BX13" s="397"/>
      <c r="BY13" s="656">
        <f t="shared" si="11"/>
        <v>81.857142857142861</v>
      </c>
      <c r="BZ13" s="8">
        <f t="shared" si="12"/>
        <v>25.428571428571431</v>
      </c>
      <c r="CA13" s="657">
        <f t="shared" si="13"/>
        <v>16.428571428571431</v>
      </c>
      <c r="CK13" s="65" t="s">
        <v>346</v>
      </c>
      <c r="CL13" s="627" t="e">
        <f ca="1">CL11*(1-CL12)</f>
        <v>#NAME?</v>
      </c>
      <c r="CN13" t="s">
        <v>1609</v>
      </c>
      <c r="CO13" s="627">
        <f>CL14/(1-CL12-CL14/CO12)</f>
        <v>52.108907696507906</v>
      </c>
    </row>
    <row r="14" spans="1:97" ht="15" thickBot="1">
      <c r="A14" s="627"/>
      <c r="B14" s="671">
        <v>200</v>
      </c>
      <c r="C14" s="672">
        <v>157</v>
      </c>
      <c r="D14" s="672">
        <v>283</v>
      </c>
      <c r="E14" s="672">
        <v>259</v>
      </c>
      <c r="F14" s="673">
        <v>273</v>
      </c>
      <c r="G14" s="8">
        <f t="shared" si="0"/>
        <v>234.4</v>
      </c>
      <c r="W14" s="31" t="s">
        <v>12</v>
      </c>
      <c r="X14" s="31">
        <f>S5</f>
        <v>1597343.4285714282</v>
      </c>
      <c r="Y14" s="31">
        <f>T5</f>
        <v>104</v>
      </c>
      <c r="Z14" s="31"/>
      <c r="AA14" s="31"/>
      <c r="AB14" s="31"/>
      <c r="AC14" s="31"/>
      <c r="AH14" s="8"/>
      <c r="AI14" s="636" t="s">
        <v>887</v>
      </c>
      <c r="AJ14" s="636" t="s">
        <v>578</v>
      </c>
      <c r="AK14" s="636" t="s">
        <v>186</v>
      </c>
      <c r="AL14" s="636" t="s">
        <v>641</v>
      </c>
      <c r="AM14" s="636" t="s">
        <v>388</v>
      </c>
      <c r="AN14" s="636" t="s">
        <v>367</v>
      </c>
      <c r="AO14" s="636" t="s">
        <v>888</v>
      </c>
      <c r="AR14">
        <v>1</v>
      </c>
      <c r="AS14">
        <f>AR14+1</f>
        <v>2</v>
      </c>
      <c r="AT14">
        <f>AS14+1</f>
        <v>3</v>
      </c>
      <c r="AU14">
        <f>AT14+1</f>
        <v>4</v>
      </c>
      <c r="AV14">
        <f>AU14+1</f>
        <v>5</v>
      </c>
      <c r="AX14" t="s">
        <v>1433</v>
      </c>
      <c r="AY14" s="644">
        <f>$K$5</f>
        <v>5</v>
      </c>
      <c r="BA14" t="s">
        <v>1432</v>
      </c>
      <c r="BB14" s="654">
        <f>$L$5</f>
        <v>7</v>
      </c>
      <c r="BD14" s="635" t="s">
        <v>1582</v>
      </c>
      <c r="BE14" s="635" t="s">
        <v>1583</v>
      </c>
      <c r="BF14" s="635" t="s">
        <v>1586</v>
      </c>
      <c r="BG14" s="635" t="s">
        <v>1584</v>
      </c>
      <c r="BH14" s="635" t="s">
        <v>1585</v>
      </c>
      <c r="BI14" s="635" t="s">
        <v>1591</v>
      </c>
      <c r="BJ14" s="635" t="s">
        <v>1587</v>
      </c>
      <c r="BK14" s="635" t="s">
        <v>1588</v>
      </c>
      <c r="BL14" s="635" t="s">
        <v>1589</v>
      </c>
      <c r="BM14" s="635" t="s">
        <v>1590</v>
      </c>
      <c r="BN14" s="635" t="s">
        <v>1592</v>
      </c>
      <c r="BO14" s="635" t="s">
        <v>1593</v>
      </c>
      <c r="BP14" s="635" t="s">
        <v>1594</v>
      </c>
      <c r="BQ14" s="635" t="s">
        <v>1595</v>
      </c>
      <c r="BR14" s="635" t="s">
        <v>1596</v>
      </c>
      <c r="BU14" s="533">
        <f t="shared" si="8"/>
        <v>230</v>
      </c>
      <c r="BV14" s="534">
        <f t="shared" si="9"/>
        <v>3</v>
      </c>
      <c r="BW14" s="541">
        <f t="shared" si="10"/>
        <v>108</v>
      </c>
      <c r="BX14" s="397"/>
      <c r="BY14" s="533">
        <f t="shared" si="11"/>
        <v>45.142857142857139</v>
      </c>
      <c r="BZ14" s="534">
        <f t="shared" si="12"/>
        <v>51.428571428571431</v>
      </c>
      <c r="CA14" s="541">
        <f t="shared" si="13"/>
        <v>20.571428571428569</v>
      </c>
      <c r="CC14" t="s">
        <v>695</v>
      </c>
      <c r="CK14" s="65" t="s">
        <v>186</v>
      </c>
      <c r="CL14" s="627">
        <f>CL6*(CL6+1)*(CL5-1)/2</f>
        <v>30</v>
      </c>
      <c r="CN14" t="s">
        <v>1610</v>
      </c>
      <c r="CO14" s="627">
        <f>CO12/(1-CL12+2/CO12)</f>
        <v>1691.6843994114142</v>
      </c>
    </row>
    <row r="15" spans="1:97">
      <c r="A15" s="627"/>
      <c r="B15" s="671">
        <v>34</v>
      </c>
      <c r="C15" s="672">
        <v>86</v>
      </c>
      <c r="D15" s="672">
        <v>351</v>
      </c>
      <c r="E15" s="672">
        <v>280</v>
      </c>
      <c r="F15" s="673">
        <v>320</v>
      </c>
      <c r="G15" s="8">
        <f t="shared" si="0"/>
        <v>214.2</v>
      </c>
      <c r="AI15" s="28" t="s">
        <v>390</v>
      </c>
      <c r="AJ15" s="28">
        <v>58233.942857142829</v>
      </c>
      <c r="AK15" s="28">
        <v>6</v>
      </c>
      <c r="AL15" s="28">
        <v>9705.6571428571388</v>
      </c>
      <c r="AM15" s="28">
        <v>2.9519576278182553</v>
      </c>
      <c r="AN15" s="28">
        <v>2.6540423840703348E-2</v>
      </c>
      <c r="AO15" s="28">
        <v>2.5081888234232559</v>
      </c>
      <c r="AQ15" t="str">
        <f>A4</f>
        <v>Young</v>
      </c>
      <c r="AR15" s="651" t="e">
        <f t="array" aca="1" ref="AR15:AV19" ca="1">[1]!COV(B4:F10)</f>
        <v>#NAME?</v>
      </c>
      <c r="AS15" s="652" t="e">
        <f ca="1"/>
        <v>#NAME?</v>
      </c>
      <c r="AT15" s="652" t="e">
        <f ca="1"/>
        <v>#NAME?</v>
      </c>
      <c r="AU15" s="652" t="e">
        <f ca="1"/>
        <v>#NAME?</v>
      </c>
      <c r="AV15" s="653" t="e">
        <f ca="1"/>
        <v>#NAME?</v>
      </c>
      <c r="AX15" t="s">
        <v>1434</v>
      </c>
      <c r="AY15" s="627" t="e">
        <f ca="1">AVERAGE(AR21:AV21)</f>
        <v>#NAME?</v>
      </c>
      <c r="BA15" t="s">
        <v>1433</v>
      </c>
      <c r="BB15" s="627">
        <f>AY14</f>
        <v>5</v>
      </c>
      <c r="BD15" s="677">
        <v>250</v>
      </c>
      <c r="BE15" s="678">
        <v>278</v>
      </c>
      <c r="BF15" s="678">
        <v>442</v>
      </c>
      <c r="BG15" s="678">
        <v>368</v>
      </c>
      <c r="BH15" s="679">
        <v>456</v>
      </c>
      <c r="BI15" s="677">
        <v>54</v>
      </c>
      <c r="BJ15" s="678">
        <v>172</v>
      </c>
      <c r="BK15" s="678">
        <v>307</v>
      </c>
      <c r="BL15" s="678">
        <v>261</v>
      </c>
      <c r="BM15" s="679">
        <v>360</v>
      </c>
      <c r="BN15" s="677">
        <v>118</v>
      </c>
      <c r="BO15" s="678">
        <v>124</v>
      </c>
      <c r="BP15" s="678">
        <v>365</v>
      </c>
      <c r="BQ15" s="678">
        <v>311</v>
      </c>
      <c r="BR15" s="679">
        <v>331</v>
      </c>
      <c r="BT15" t="s">
        <v>63</v>
      </c>
      <c r="BU15" s="66">
        <f>AVERAGE(BU8:BU14)</f>
        <v>184.85714285714286</v>
      </c>
      <c r="BV15" s="66">
        <f>AVERAGE(BV8:BV14)</f>
        <v>54.428571428571431</v>
      </c>
      <c r="BW15" s="66">
        <f>AVERAGE(BW8:BW14)</f>
        <v>87.428571428571431</v>
      </c>
      <c r="BX15" s="685"/>
      <c r="BY15" s="685"/>
      <c r="BZ15" s="685"/>
      <c r="CA15" s="685"/>
      <c r="CC15" s="636" t="s">
        <v>887</v>
      </c>
      <c r="CD15" s="636" t="s">
        <v>578</v>
      </c>
      <c r="CE15" s="636" t="s">
        <v>186</v>
      </c>
      <c r="CF15" s="636" t="s">
        <v>641</v>
      </c>
      <c r="CG15" s="636" t="s">
        <v>388</v>
      </c>
      <c r="CH15" s="636" t="s">
        <v>367</v>
      </c>
      <c r="CI15" s="636" t="s">
        <v>888</v>
      </c>
      <c r="CK15" s="65" t="s">
        <v>200</v>
      </c>
      <c r="CL15" s="627" t="e">
        <f ca="1">CHIDIST(CL13,CL14)</f>
        <v>#NAME?</v>
      </c>
      <c r="CN15" t="s">
        <v>1608</v>
      </c>
      <c r="CO15" s="627" t="e">
        <f ca="1">CL11/CO13</f>
        <v>#NAME?</v>
      </c>
    </row>
    <row r="16" spans="1:97">
      <c r="A16" s="627"/>
      <c r="B16" s="671">
        <v>29</v>
      </c>
      <c r="C16" s="672">
        <v>81</v>
      </c>
      <c r="D16" s="672">
        <v>193</v>
      </c>
      <c r="E16" s="672">
        <v>240</v>
      </c>
      <c r="F16" s="673">
        <v>233</v>
      </c>
      <c r="G16" s="8">
        <f t="shared" si="0"/>
        <v>155.19999999999999</v>
      </c>
      <c r="AI16" s="28" t="s">
        <v>1010</v>
      </c>
      <c r="AJ16" s="28">
        <v>412173.88571428566</v>
      </c>
      <c r="AK16" s="28">
        <v>4</v>
      </c>
      <c r="AL16" s="28">
        <v>103043.47142857141</v>
      </c>
      <c r="AM16" s="28">
        <v>31.340480814769411</v>
      </c>
      <c r="AN16" s="28">
        <v>3.2800032757234696E-9</v>
      </c>
      <c r="AO16" s="28">
        <v>2.7762892892514786</v>
      </c>
      <c r="AR16" s="656" t="e">
        <f ca="1"/>
        <v>#NAME?</v>
      </c>
      <c r="AS16" s="8" t="e">
        <f ca="1"/>
        <v>#NAME?</v>
      </c>
      <c r="AT16" s="8" t="e">
        <f ca="1"/>
        <v>#NAME?</v>
      </c>
      <c r="AU16" s="8" t="e">
        <f ca="1"/>
        <v>#NAME?</v>
      </c>
      <c r="AV16" s="657" t="e">
        <f ca="1"/>
        <v>#NAME?</v>
      </c>
      <c r="AX16" t="s">
        <v>1435</v>
      </c>
      <c r="AY16" s="627" t="e">
        <f ca="1">AVERAGE(AR15:AV19)</f>
        <v>#NAME?</v>
      </c>
      <c r="BA16" t="s">
        <v>1440</v>
      </c>
      <c r="BB16" s="627" t="e">
        <f ca="1">AY21</f>
        <v>#NAME?</v>
      </c>
      <c r="BD16" s="680">
        <v>65</v>
      </c>
      <c r="BE16" s="66">
        <v>207</v>
      </c>
      <c r="BF16" s="66">
        <v>341</v>
      </c>
      <c r="BG16" s="66">
        <v>382</v>
      </c>
      <c r="BH16" s="681">
        <v>298</v>
      </c>
      <c r="BI16" s="680">
        <v>20</v>
      </c>
      <c r="BJ16" s="66">
        <v>116</v>
      </c>
      <c r="BK16" s="66">
        <v>425</v>
      </c>
      <c r="BL16" s="66">
        <v>398</v>
      </c>
      <c r="BM16" s="681">
        <v>268</v>
      </c>
      <c r="BN16" s="680">
        <v>83</v>
      </c>
      <c r="BO16" s="66">
        <v>266</v>
      </c>
      <c r="BP16" s="66">
        <v>382</v>
      </c>
      <c r="BQ16" s="66">
        <v>369</v>
      </c>
      <c r="BR16" s="681">
        <v>295</v>
      </c>
      <c r="BT16" t="s">
        <v>66</v>
      </c>
      <c r="BU16" s="66">
        <f>VAR(BU8:BU15)</f>
        <v>5118.1224489795941</v>
      </c>
      <c r="BV16" s="66">
        <f>VAR(BV8:BV14)</f>
        <v>4377.6190476190477</v>
      </c>
      <c r="BW16" s="66">
        <f>VAR(BW8:BW14)</f>
        <v>937.61904761904714</v>
      </c>
      <c r="CC16" s="28" t="s">
        <v>883</v>
      </c>
      <c r="CD16" s="28">
        <v>6153.8036929057344</v>
      </c>
      <c r="CE16" s="28">
        <v>2</v>
      </c>
      <c r="CF16" s="28">
        <v>3076.9018464528672</v>
      </c>
      <c r="CG16" s="28">
        <v>2.7143718540118629</v>
      </c>
      <c r="CH16" s="28">
        <v>9.3263461825975183E-2</v>
      </c>
      <c r="CI16" s="28">
        <v>3.5545571456617879</v>
      </c>
      <c r="CK16" s="65" t="s">
        <v>157</v>
      </c>
      <c r="CL16" s="627">
        <v>0.05</v>
      </c>
      <c r="CN16" t="s">
        <v>1611</v>
      </c>
      <c r="CO16" s="627" t="e">
        <f ca="1">CO12*CL11/(CL14*(CO14-CO12))</f>
        <v>#NAME?</v>
      </c>
    </row>
    <row r="17" spans="1:93" ht="15" thickBot="1">
      <c r="A17" s="544"/>
      <c r="B17" s="674">
        <v>3</v>
      </c>
      <c r="C17" s="675">
        <v>54</v>
      </c>
      <c r="D17" s="675">
        <v>285</v>
      </c>
      <c r="E17" s="675">
        <v>216</v>
      </c>
      <c r="F17" s="676">
        <v>245</v>
      </c>
      <c r="G17" s="8">
        <f t="shared" si="0"/>
        <v>160.6</v>
      </c>
      <c r="W17" t="s">
        <v>1444</v>
      </c>
      <c r="AI17" s="28" t="s">
        <v>1009</v>
      </c>
      <c r="AJ17" s="28">
        <v>78908.914285714331</v>
      </c>
      <c r="AK17" s="28">
        <v>24</v>
      </c>
      <c r="AL17" s="28">
        <v>3287.8714285714304</v>
      </c>
      <c r="AM17" s="28"/>
      <c r="AN17" s="28"/>
      <c r="AO17" s="28"/>
      <c r="AR17" s="656" t="e">
        <f ca="1"/>
        <v>#NAME?</v>
      </c>
      <c r="AS17" s="8" t="e">
        <f ca="1"/>
        <v>#NAME?</v>
      </c>
      <c r="AT17" s="8" t="e">
        <f ca="1"/>
        <v>#NAME?</v>
      </c>
      <c r="AU17" s="8" t="e">
        <f ca="1"/>
        <v>#NAME?</v>
      </c>
      <c r="AV17" s="657" t="e">
        <f ca="1"/>
        <v>#NAME?</v>
      </c>
      <c r="AX17" t="s">
        <v>1436</v>
      </c>
      <c r="AY17" s="627" t="e">
        <f ca="1">SUMSQ(AR15:AV19)</f>
        <v>#NAME?</v>
      </c>
      <c r="BA17" t="s">
        <v>1441</v>
      </c>
      <c r="BB17" s="627" t="e">
        <f ca="1">BB14*(BB15-1)*BB16-2</f>
        <v>#NAME?</v>
      </c>
      <c r="BD17" s="680">
        <v>251</v>
      </c>
      <c r="BE17" s="66">
        <v>261</v>
      </c>
      <c r="BF17" s="66">
        <v>384</v>
      </c>
      <c r="BG17" s="66">
        <v>421</v>
      </c>
      <c r="BH17" s="681">
        <v>342</v>
      </c>
      <c r="BI17" s="680">
        <v>41</v>
      </c>
      <c r="BJ17" s="66">
        <v>168</v>
      </c>
      <c r="BK17" s="66">
        <v>378</v>
      </c>
      <c r="BL17" s="66">
        <v>317</v>
      </c>
      <c r="BM17" s="681">
        <v>470</v>
      </c>
      <c r="BN17" s="680">
        <v>38</v>
      </c>
      <c r="BO17" s="66">
        <v>207</v>
      </c>
      <c r="BP17" s="66">
        <v>289</v>
      </c>
      <c r="BQ17" s="66">
        <v>385</v>
      </c>
      <c r="BR17" s="681">
        <v>373</v>
      </c>
      <c r="CC17" s="28" t="s">
        <v>884</v>
      </c>
      <c r="CD17" s="28">
        <v>20404.069970845478</v>
      </c>
      <c r="CE17" s="28">
        <v>18</v>
      </c>
      <c r="CF17" s="28">
        <v>1133.5594428247487</v>
      </c>
      <c r="CG17" s="28"/>
      <c r="CH17" s="28"/>
      <c r="CI17" s="28"/>
      <c r="CK17" s="65" t="s">
        <v>347</v>
      </c>
      <c r="CL17" s="627">
        <f>CHIINV(CL16,CL14)</f>
        <v>43.772971825742189</v>
      </c>
      <c r="CN17" t="s">
        <v>388</v>
      </c>
      <c r="CO17" s="627" t="e">
        <f ca="1">IF(CO11&gt;CL12^2,CO15,CO16)</f>
        <v>#NAME?</v>
      </c>
    </row>
    <row r="18" spans="1:93">
      <c r="A18" s="654" t="s">
        <v>217</v>
      </c>
      <c r="B18" s="671">
        <v>118</v>
      </c>
      <c r="C18" s="672">
        <v>124</v>
      </c>
      <c r="D18" s="672">
        <v>365</v>
      </c>
      <c r="E18" s="672">
        <v>311</v>
      </c>
      <c r="F18" s="673">
        <v>331</v>
      </c>
      <c r="G18" s="8">
        <f t="shared" si="0"/>
        <v>249.8</v>
      </c>
      <c r="W18" s="633" t="s">
        <v>887</v>
      </c>
      <c r="X18" s="633" t="s">
        <v>578</v>
      </c>
      <c r="Y18" s="633" t="s">
        <v>186</v>
      </c>
      <c r="Z18" s="633" t="s">
        <v>641</v>
      </c>
      <c r="AA18" s="633" t="s">
        <v>388</v>
      </c>
      <c r="AB18" s="633" t="s">
        <v>367</v>
      </c>
      <c r="AC18" s="633" t="s">
        <v>888</v>
      </c>
      <c r="AI18" s="28"/>
      <c r="AJ18" s="28"/>
      <c r="AK18" s="28"/>
      <c r="AL18" s="28"/>
      <c r="AM18" s="28"/>
      <c r="AN18" s="28"/>
      <c r="AO18" s="28"/>
      <c r="AR18" s="656" t="e">
        <f ca="1"/>
        <v>#NAME?</v>
      </c>
      <c r="AS18" s="8" t="e">
        <f ca="1"/>
        <v>#NAME?</v>
      </c>
      <c r="AT18" s="8" t="e">
        <f ca="1"/>
        <v>#NAME?</v>
      </c>
      <c r="AU18" s="8" t="e">
        <f ca="1"/>
        <v>#NAME?</v>
      </c>
      <c r="AV18" s="657" t="e">
        <f ca="1"/>
        <v>#NAME?</v>
      </c>
      <c r="AX18" t="s">
        <v>1437</v>
      </c>
      <c r="AY18" s="627" t="e">
        <f ca="1">SUMSQ(AR20:AV20)</f>
        <v>#NAME?</v>
      </c>
      <c r="BA18" t="s">
        <v>1442</v>
      </c>
      <c r="BB18" s="627" t="e">
        <f ca="1">(BB15-1)*(BB14-1-(BB15-1)*BB16)</f>
        <v>#NAME?</v>
      </c>
      <c r="BD18" s="680">
        <v>241</v>
      </c>
      <c r="BE18" s="66">
        <v>314</v>
      </c>
      <c r="BF18" s="66">
        <v>423</v>
      </c>
      <c r="BG18" s="66">
        <v>415</v>
      </c>
      <c r="BH18" s="681">
        <v>468</v>
      </c>
      <c r="BI18" s="680">
        <v>200</v>
      </c>
      <c r="BJ18" s="66">
        <v>157</v>
      </c>
      <c r="BK18" s="66">
        <v>283</v>
      </c>
      <c r="BL18" s="66">
        <v>259</v>
      </c>
      <c r="BM18" s="681">
        <v>273</v>
      </c>
      <c r="BN18" s="680">
        <v>71</v>
      </c>
      <c r="BO18" s="66">
        <v>211</v>
      </c>
      <c r="BP18" s="66">
        <v>356</v>
      </c>
      <c r="BQ18" s="66">
        <v>380</v>
      </c>
      <c r="BR18" s="681">
        <v>305</v>
      </c>
      <c r="CC18" s="28"/>
      <c r="CD18" s="28"/>
      <c r="CE18" s="28"/>
      <c r="CF18" s="28"/>
      <c r="CG18" s="28"/>
      <c r="CH18" s="28"/>
      <c r="CI18" s="28"/>
      <c r="CK18" s="65" t="s">
        <v>948</v>
      </c>
      <c r="CL18" s="538" t="e">
        <f ca="1">IF(CL15&lt;CL16,"yes","no")</f>
        <v>#NAME?</v>
      </c>
      <c r="CN18" t="s">
        <v>200</v>
      </c>
      <c r="CO18" s="627" t="e">
        <f ca="1">FDIST(CO17,CL14,CO12)</f>
        <v>#NAME?</v>
      </c>
    </row>
    <row r="19" spans="1:93" ht="15" thickBot="1">
      <c r="A19" s="627"/>
      <c r="B19" s="671">
        <v>83</v>
      </c>
      <c r="C19" s="672">
        <v>266</v>
      </c>
      <c r="D19" s="672">
        <v>382</v>
      </c>
      <c r="E19" s="672">
        <v>369</v>
      </c>
      <c r="F19" s="673">
        <v>295</v>
      </c>
      <c r="G19" s="8">
        <f t="shared" si="0"/>
        <v>279</v>
      </c>
      <c r="W19" s="28" t="s">
        <v>1560</v>
      </c>
      <c r="X19" s="28">
        <f>X10</f>
        <v>1025800.38095238</v>
      </c>
      <c r="Y19" s="28" t="e">
        <f ca="1">Y10*$AY$48</f>
        <v>#NAME?</v>
      </c>
      <c r="Z19" s="28" t="e">
        <f ca="1">X19/Y19</f>
        <v>#NAME?</v>
      </c>
      <c r="AA19" s="28" t="e">
        <f ca="1">Z19/Z21</f>
        <v>#NAME?</v>
      </c>
      <c r="AB19" t="e">
        <f ca="1">FDIST(AA19,Y19,Y21)</f>
        <v>#NAME?</v>
      </c>
      <c r="AC19" t="e">
        <f ca="1">FINV(0.05,Y19,Y21)</f>
        <v>#NAME?</v>
      </c>
      <c r="AI19" s="31" t="s">
        <v>12</v>
      </c>
      <c r="AJ19" s="31">
        <v>549316.74285714282</v>
      </c>
      <c r="AK19" s="31">
        <v>34</v>
      </c>
      <c r="AL19" s="31"/>
      <c r="AM19" s="31"/>
      <c r="AN19" s="31"/>
      <c r="AO19" s="31"/>
      <c r="AR19" s="533" t="e">
        <f ca="1"/>
        <v>#NAME?</v>
      </c>
      <c r="AS19" s="534" t="e">
        <f ca="1"/>
        <v>#NAME?</v>
      </c>
      <c r="AT19" s="534" t="e">
        <f ca="1"/>
        <v>#NAME?</v>
      </c>
      <c r="AU19" s="534" t="e">
        <f ca="1"/>
        <v>#NAME?</v>
      </c>
      <c r="AV19" s="541" t="e">
        <f ca="1"/>
        <v>#NAME?</v>
      </c>
      <c r="AX19" t="s">
        <v>1438</v>
      </c>
      <c r="AY19" s="627" t="e">
        <f ca="1">(AY14*(AY15-AY16))^2</f>
        <v>#NAME?</v>
      </c>
      <c r="BA19" t="s">
        <v>1443</v>
      </c>
      <c r="BB19" s="544" t="e">
        <f ca="1">MIN(BB17/BB18,1)</f>
        <v>#NAME?</v>
      </c>
      <c r="BD19" s="680">
        <v>154</v>
      </c>
      <c r="BE19" s="66">
        <v>167</v>
      </c>
      <c r="BF19" s="66">
        <v>257</v>
      </c>
      <c r="BG19" s="66">
        <v>275</v>
      </c>
      <c r="BH19" s="681">
        <v>332</v>
      </c>
      <c r="BI19" s="680">
        <v>34</v>
      </c>
      <c r="BJ19" s="66">
        <v>86</v>
      </c>
      <c r="BK19" s="66">
        <v>351</v>
      </c>
      <c r="BL19" s="66">
        <v>280</v>
      </c>
      <c r="BM19" s="681">
        <v>320</v>
      </c>
      <c r="BN19" s="680">
        <v>123</v>
      </c>
      <c r="BO19" s="66">
        <v>331</v>
      </c>
      <c r="BP19" s="66">
        <v>407</v>
      </c>
      <c r="BQ19" s="66">
        <v>461</v>
      </c>
      <c r="BR19" s="681">
        <v>445</v>
      </c>
      <c r="CC19" s="31" t="s">
        <v>12</v>
      </c>
      <c r="CD19" s="31">
        <v>26557.873663751212</v>
      </c>
      <c r="CE19" s="31">
        <v>20</v>
      </c>
      <c r="CF19" s="31"/>
      <c r="CG19" s="31"/>
      <c r="CH19" s="31"/>
      <c r="CI19" s="31"/>
      <c r="CN19" t="s">
        <v>647</v>
      </c>
      <c r="CO19" s="627">
        <f>FINV(CL16,CL14,CO12)</f>
        <v>1.4703025266685064</v>
      </c>
    </row>
    <row r="20" spans="1:93">
      <c r="A20" s="627"/>
      <c r="B20" s="671">
        <v>38</v>
      </c>
      <c r="C20" s="672">
        <v>207</v>
      </c>
      <c r="D20" s="672">
        <v>289</v>
      </c>
      <c r="E20" s="672">
        <v>385</v>
      </c>
      <c r="F20" s="673">
        <v>373</v>
      </c>
      <c r="G20" s="8">
        <f t="shared" si="0"/>
        <v>258.39999999999998</v>
      </c>
      <c r="W20" s="126" t="s">
        <v>1563</v>
      </c>
      <c r="X20">
        <f>X11</f>
        <v>38740.076190477121</v>
      </c>
      <c r="Y20" s="28" t="e">
        <f ca="1">Y11*$AY$48</f>
        <v>#NAME?</v>
      </c>
      <c r="Z20" s="28" t="e">
        <f ca="1">X20/Y20</f>
        <v>#NAME?</v>
      </c>
      <c r="AA20" t="e">
        <f ca="1">Z20/Z21</f>
        <v>#NAME?</v>
      </c>
      <c r="AB20" t="e">
        <f ca="1">FDIST(AA20,Y20,Y21)</f>
        <v>#NAME?</v>
      </c>
      <c r="AC20" t="e">
        <f ca="1">FINV(0.05,Y20,Y21)</f>
        <v>#NAME?</v>
      </c>
      <c r="AQ20" t="s">
        <v>63</v>
      </c>
      <c r="AR20" t="e">
        <f ca="1">AVERAGE(AR15:AR19)</f>
        <v>#NAME?</v>
      </c>
      <c r="AS20" t="e">
        <f ca="1">AVERAGE(AS15:AS19)</f>
        <v>#NAME?</v>
      </c>
      <c r="AT20" t="e">
        <f ca="1">AVERAGE(AT15:AT19)</f>
        <v>#NAME?</v>
      </c>
      <c r="AU20" t="e">
        <f ca="1">AVERAGE(AU15:AU19)</f>
        <v>#NAME?</v>
      </c>
      <c r="AV20" t="e">
        <f ca="1">AVERAGE(AV15:AV19)</f>
        <v>#NAME?</v>
      </c>
      <c r="AX20" t="s">
        <v>1439</v>
      </c>
      <c r="AY20" s="627" t="e">
        <f ca="1">(AY14-1)*(AY17-2*AY14*AY18+AY14^2*AY16^2)</f>
        <v>#NAME?</v>
      </c>
      <c r="BD20" s="680">
        <v>103</v>
      </c>
      <c r="BE20" s="66">
        <v>286</v>
      </c>
      <c r="BF20" s="66">
        <v>401</v>
      </c>
      <c r="BG20" s="66">
        <v>291</v>
      </c>
      <c r="BH20" s="681">
        <v>367</v>
      </c>
      <c r="BI20" s="680">
        <v>29</v>
      </c>
      <c r="BJ20" s="66">
        <v>81</v>
      </c>
      <c r="BK20" s="66">
        <v>193</v>
      </c>
      <c r="BL20" s="66">
        <v>240</v>
      </c>
      <c r="BM20" s="681">
        <v>233</v>
      </c>
      <c r="BN20" s="680">
        <v>71</v>
      </c>
      <c r="BO20" s="66">
        <v>285</v>
      </c>
      <c r="BP20" s="66">
        <v>471</v>
      </c>
      <c r="BQ20" s="66">
        <v>407</v>
      </c>
      <c r="BR20" s="681">
        <v>433</v>
      </c>
      <c r="CN20" t="s">
        <v>948</v>
      </c>
      <c r="CO20" s="538" t="e">
        <f ca="1">IF(CO18&lt;CL16,"yes","no")</f>
        <v>#NAME?</v>
      </c>
    </row>
    <row r="21" spans="1:93" ht="15" thickBot="1">
      <c r="A21" s="627"/>
      <c r="B21" s="671">
        <v>71</v>
      </c>
      <c r="C21" s="672">
        <v>211</v>
      </c>
      <c r="D21" s="672">
        <v>356</v>
      </c>
      <c r="E21" s="672">
        <v>380</v>
      </c>
      <c r="F21" s="673">
        <v>305</v>
      </c>
      <c r="G21" s="8">
        <f t="shared" si="0"/>
        <v>264.60000000000002</v>
      </c>
      <c r="W21" s="28" t="s">
        <v>1009</v>
      </c>
      <c r="X21">
        <f>X12</f>
        <v>161075.14285714249</v>
      </c>
      <c r="Y21" s="28" t="e">
        <f ca="1">Y12*$AY$48</f>
        <v>#NAME?</v>
      </c>
      <c r="Z21" s="28" t="e">
        <f ca="1">X21/Y21</f>
        <v>#NAME?</v>
      </c>
      <c r="AI21" t="s">
        <v>1574</v>
      </c>
      <c r="AQ21" t="s">
        <v>66</v>
      </c>
      <c r="AR21" t="e">
        <f ca="1">INDEX(AR15:AR19,AR14)</f>
        <v>#NAME?</v>
      </c>
      <c r="AS21" t="e">
        <f ca="1">INDEX(AS15:AS19,AS14)</f>
        <v>#NAME?</v>
      </c>
      <c r="AT21" t="e">
        <f ca="1">INDEX(AT15:AT19,AT14)</f>
        <v>#NAME?</v>
      </c>
      <c r="AU21" t="e">
        <f ca="1">INDEX(AU15:AU19,AU14)</f>
        <v>#NAME?</v>
      </c>
      <c r="AV21" t="e">
        <f ca="1">INDEX(AV15:AV19,AV14)</f>
        <v>#NAME?</v>
      </c>
      <c r="AX21" t="s">
        <v>1440</v>
      </c>
      <c r="AY21" s="268" t="e">
        <f ca="1">AY19/AY20</f>
        <v>#NAME?</v>
      </c>
      <c r="BA21" t="s">
        <v>1489</v>
      </c>
      <c r="BB21" s="655">
        <f>1/(BB15-1)</f>
        <v>0.25</v>
      </c>
      <c r="BD21" s="682">
        <v>230</v>
      </c>
      <c r="BE21" s="683">
        <v>306</v>
      </c>
      <c r="BF21" s="683">
        <v>432</v>
      </c>
      <c r="BG21" s="683">
        <v>386</v>
      </c>
      <c r="BH21" s="684">
        <v>423</v>
      </c>
      <c r="BI21" s="682">
        <v>3</v>
      </c>
      <c r="BJ21" s="683">
        <v>54</v>
      </c>
      <c r="BK21" s="683">
        <v>285</v>
      </c>
      <c r="BL21" s="683">
        <v>216</v>
      </c>
      <c r="BM21" s="684">
        <v>245</v>
      </c>
      <c r="BN21" s="682">
        <v>108</v>
      </c>
      <c r="BO21" s="683">
        <v>247</v>
      </c>
      <c r="BP21" s="683">
        <v>317</v>
      </c>
      <c r="BQ21" s="683">
        <v>307</v>
      </c>
      <c r="BR21" s="684">
        <v>324</v>
      </c>
    </row>
    <row r="22" spans="1:93">
      <c r="A22" s="627"/>
      <c r="B22" s="671">
        <v>123</v>
      </c>
      <c r="C22" s="672">
        <v>331</v>
      </c>
      <c r="D22" s="672">
        <v>407</v>
      </c>
      <c r="E22" s="672">
        <v>461</v>
      </c>
      <c r="F22" s="673">
        <v>445</v>
      </c>
      <c r="G22" s="8">
        <f t="shared" si="0"/>
        <v>353.4</v>
      </c>
      <c r="AI22" s="636" t="s">
        <v>887</v>
      </c>
      <c r="AJ22" s="636" t="s">
        <v>578</v>
      </c>
      <c r="AK22" s="636" t="s">
        <v>186</v>
      </c>
      <c r="AL22" s="636" t="s">
        <v>641</v>
      </c>
      <c r="AM22" s="636" t="s">
        <v>388</v>
      </c>
      <c r="AN22" s="636" t="s">
        <v>367</v>
      </c>
      <c r="AO22" s="636" t="s">
        <v>888</v>
      </c>
      <c r="BU22" t="s">
        <v>1556</v>
      </c>
      <c r="CC22" t="s">
        <v>885</v>
      </c>
    </row>
    <row r="23" spans="1:93" ht="15" thickBot="1">
      <c r="A23" s="627"/>
      <c r="B23" s="671">
        <v>71</v>
      </c>
      <c r="C23" s="672">
        <v>285</v>
      </c>
      <c r="D23" s="672">
        <v>471</v>
      </c>
      <c r="E23" s="672">
        <v>407</v>
      </c>
      <c r="F23" s="673">
        <v>433</v>
      </c>
      <c r="G23" s="8">
        <f t="shared" si="0"/>
        <v>333.4</v>
      </c>
      <c r="W23" t="s">
        <v>1549</v>
      </c>
      <c r="AI23" s="28" t="s">
        <v>390</v>
      </c>
      <c r="AJ23" s="28">
        <v>50063.599999999977</v>
      </c>
      <c r="AK23" s="28">
        <v>6</v>
      </c>
      <c r="AL23" s="28">
        <v>8343.9333333333288</v>
      </c>
      <c r="AM23" s="28">
        <v>4.6952211118360836</v>
      </c>
      <c r="AN23" s="28">
        <v>2.7144649208904891E-3</v>
      </c>
      <c r="AO23" s="28">
        <v>2.5081888234232559</v>
      </c>
      <c r="AR23">
        <v>1</v>
      </c>
      <c r="AS23">
        <f>AR23+1</f>
        <v>2</v>
      </c>
      <c r="AT23">
        <f>AS23+1</f>
        <v>3</v>
      </c>
      <c r="AU23">
        <f>AT23+1</f>
        <v>4</v>
      </c>
      <c r="AV23">
        <f>AU23+1</f>
        <v>5</v>
      </c>
      <c r="AX23" t="s">
        <v>1433</v>
      </c>
      <c r="AY23" s="644">
        <f>$K$5</f>
        <v>5</v>
      </c>
      <c r="BA23" t="s">
        <v>1432</v>
      </c>
      <c r="BB23" s="654">
        <f>$L$5</f>
        <v>7</v>
      </c>
      <c r="BE23" s="635" t="s">
        <v>1582</v>
      </c>
      <c r="BF23" s="635" t="s">
        <v>1583</v>
      </c>
      <c r="BG23" s="635" t="s">
        <v>1586</v>
      </c>
      <c r="BH23" s="635" t="s">
        <v>1584</v>
      </c>
      <c r="BI23" s="635" t="s">
        <v>1585</v>
      </c>
      <c r="BJ23" s="635" t="s">
        <v>1591</v>
      </c>
      <c r="BK23" s="635" t="s">
        <v>1587</v>
      </c>
      <c r="BL23" s="635" t="s">
        <v>1588</v>
      </c>
      <c r="BM23" s="635" t="s">
        <v>1589</v>
      </c>
      <c r="BN23" s="635" t="s">
        <v>1590</v>
      </c>
      <c r="BO23" s="635" t="s">
        <v>1592</v>
      </c>
      <c r="BP23" s="635" t="s">
        <v>1593</v>
      </c>
      <c r="BQ23" s="635" t="s">
        <v>1594</v>
      </c>
      <c r="BR23" s="635" t="s">
        <v>1595</v>
      </c>
      <c r="BS23" s="635" t="s">
        <v>1596</v>
      </c>
    </row>
    <row r="24" spans="1:93" ht="15" thickBot="1">
      <c r="A24" s="544"/>
      <c r="B24" s="674">
        <v>108</v>
      </c>
      <c r="C24" s="675">
        <v>247</v>
      </c>
      <c r="D24" s="675">
        <v>317</v>
      </c>
      <c r="E24" s="675">
        <v>307</v>
      </c>
      <c r="F24" s="676">
        <v>324</v>
      </c>
      <c r="G24" s="8">
        <f t="shared" si="0"/>
        <v>260.60000000000002</v>
      </c>
      <c r="W24" s="633" t="s">
        <v>887</v>
      </c>
      <c r="X24" s="633" t="s">
        <v>578</v>
      </c>
      <c r="Y24" s="633" t="s">
        <v>186</v>
      </c>
      <c r="Z24" s="633" t="s">
        <v>641</v>
      </c>
      <c r="AA24" s="633" t="s">
        <v>388</v>
      </c>
      <c r="AB24" s="633" t="s">
        <v>367</v>
      </c>
      <c r="AC24" s="633" t="s">
        <v>888</v>
      </c>
      <c r="AI24" s="28" t="s">
        <v>1010</v>
      </c>
      <c r="AJ24" s="28">
        <v>431398.11428571434</v>
      </c>
      <c r="AK24" s="28">
        <v>4</v>
      </c>
      <c r="AL24" s="28">
        <v>107849.52857142859</v>
      </c>
      <c r="AM24" s="28">
        <v>60.688090762566894</v>
      </c>
      <c r="AN24" s="28">
        <v>3.3537021761768956E-12</v>
      </c>
      <c r="AO24" s="28">
        <v>2.7762892892514786</v>
      </c>
      <c r="AQ24" t="str">
        <f>A11</f>
        <v>Middle</v>
      </c>
      <c r="AR24" s="651" t="e">
        <f t="array" aca="1" ref="AR24:AV28" ca="1">[1]!COV(B11:F17)</f>
        <v>#NAME?</v>
      </c>
      <c r="AS24" s="652" t="e">
        <f ca="1"/>
        <v>#NAME?</v>
      </c>
      <c r="AT24" s="652" t="e">
        <f ca="1"/>
        <v>#NAME?</v>
      </c>
      <c r="AU24" s="652" t="e">
        <f ca="1"/>
        <v>#NAME?</v>
      </c>
      <c r="AV24" s="653" t="e">
        <f ca="1"/>
        <v>#NAME?</v>
      </c>
      <c r="AX24" t="s">
        <v>1434</v>
      </c>
      <c r="AY24" s="627" t="e">
        <f ca="1">AVERAGE(AR30:AV30)</f>
        <v>#NAME?</v>
      </c>
      <c r="BA24" t="s">
        <v>1433</v>
      </c>
      <c r="BB24" s="627">
        <f>AY23</f>
        <v>5</v>
      </c>
      <c r="BD24" t="s">
        <v>160</v>
      </c>
      <c r="BE24">
        <f>MIN(BD15:BD21)</f>
        <v>65</v>
      </c>
      <c r="BF24">
        <f t="shared" ref="BF24:BS24" si="14">MIN(BE15:BE21)</f>
        <v>167</v>
      </c>
      <c r="BG24">
        <f t="shared" si="14"/>
        <v>257</v>
      </c>
      <c r="BH24">
        <f t="shared" si="14"/>
        <v>275</v>
      </c>
      <c r="BI24">
        <f t="shared" si="14"/>
        <v>298</v>
      </c>
      <c r="BJ24">
        <f t="shared" si="14"/>
        <v>3</v>
      </c>
      <c r="BK24">
        <f t="shared" si="14"/>
        <v>54</v>
      </c>
      <c r="BL24">
        <f t="shared" si="14"/>
        <v>193</v>
      </c>
      <c r="BM24">
        <f t="shared" si="14"/>
        <v>216</v>
      </c>
      <c r="BN24">
        <f t="shared" si="14"/>
        <v>233</v>
      </c>
      <c r="BO24">
        <f t="shared" si="14"/>
        <v>38</v>
      </c>
      <c r="BP24">
        <f t="shared" si="14"/>
        <v>124</v>
      </c>
      <c r="BQ24">
        <f t="shared" si="14"/>
        <v>289</v>
      </c>
      <c r="BR24">
        <f t="shared" si="14"/>
        <v>307</v>
      </c>
      <c r="BS24">
        <f t="shared" si="14"/>
        <v>295</v>
      </c>
      <c r="BU24" s="635" t="s">
        <v>1553</v>
      </c>
      <c r="BV24" s="635" t="s">
        <v>1554</v>
      </c>
      <c r="BW24" s="635" t="s">
        <v>217</v>
      </c>
      <c r="BX24" s="348"/>
      <c r="BY24" s="635" t="s">
        <v>1553</v>
      </c>
      <c r="BZ24" s="635" t="s">
        <v>1554</v>
      </c>
      <c r="CA24" s="635" t="s">
        <v>217</v>
      </c>
      <c r="CC24" t="s">
        <v>194</v>
      </c>
    </row>
    <row r="25" spans="1:93">
      <c r="W25" s="28" t="s">
        <v>1560</v>
      </c>
      <c r="X25" s="28">
        <f>X10</f>
        <v>1025800.38095238</v>
      </c>
      <c r="Y25" s="28" t="e">
        <f ca="1">Y10*$BB$47</f>
        <v>#NAME?</v>
      </c>
      <c r="Z25" s="28" t="e">
        <f ca="1">X25/Y25</f>
        <v>#NAME?</v>
      </c>
      <c r="AA25" s="28" t="e">
        <f ca="1">Z25/Z27</f>
        <v>#NAME?</v>
      </c>
      <c r="AB25" t="e">
        <f ca="1">FDIST(AA25,Y25,Y27)</f>
        <v>#NAME?</v>
      </c>
      <c r="AC25" t="e">
        <f ca="1">FINV(0.05,Y25,Y27)</f>
        <v>#NAME?</v>
      </c>
      <c r="AI25" s="28" t="s">
        <v>1009</v>
      </c>
      <c r="AJ25" s="28">
        <v>42650.685714285704</v>
      </c>
      <c r="AK25" s="28">
        <v>24</v>
      </c>
      <c r="AL25" s="28">
        <v>1777.1119047619043</v>
      </c>
      <c r="AM25" s="28"/>
      <c r="AN25" s="28"/>
      <c r="AO25" s="28"/>
      <c r="AR25" s="656" t="e">
        <f ca="1"/>
        <v>#NAME?</v>
      </c>
      <c r="AS25" s="8" t="e">
        <f ca="1"/>
        <v>#NAME?</v>
      </c>
      <c r="AT25" s="8" t="e">
        <f ca="1"/>
        <v>#NAME?</v>
      </c>
      <c r="AU25" s="8" t="e">
        <f ca="1"/>
        <v>#NAME?</v>
      </c>
      <c r="AV25" s="657" t="e">
        <f ca="1"/>
        <v>#NAME?</v>
      </c>
      <c r="AX25" t="s">
        <v>1435</v>
      </c>
      <c r="AY25" s="627" t="e">
        <f ca="1">AVERAGE(AR24:AV28)</f>
        <v>#NAME?</v>
      </c>
      <c r="BA25" t="s">
        <v>1440</v>
      </c>
      <c r="BB25" s="627" t="e">
        <f ca="1">AY30</f>
        <v>#NAME?</v>
      </c>
      <c r="BD25" t="s">
        <v>161</v>
      </c>
      <c r="BE25">
        <f>QUARTILE(BD15:BD21,1)-BE24</f>
        <v>63.5</v>
      </c>
      <c r="BF25">
        <f t="shared" ref="BF25:BS25" si="15">QUARTILE(BE15:BE21,1)-BF24</f>
        <v>67</v>
      </c>
      <c r="BG25">
        <f t="shared" si="15"/>
        <v>105.5</v>
      </c>
      <c r="BH25">
        <f t="shared" si="15"/>
        <v>54.5</v>
      </c>
      <c r="BI25">
        <f t="shared" si="15"/>
        <v>39</v>
      </c>
      <c r="BJ25">
        <f t="shared" si="15"/>
        <v>21.5</v>
      </c>
      <c r="BK25">
        <f t="shared" si="15"/>
        <v>29.5</v>
      </c>
      <c r="BL25">
        <f t="shared" si="15"/>
        <v>91</v>
      </c>
      <c r="BM25">
        <f t="shared" si="15"/>
        <v>33.5</v>
      </c>
      <c r="BN25">
        <f t="shared" si="15"/>
        <v>23.5</v>
      </c>
      <c r="BO25">
        <f t="shared" si="15"/>
        <v>33</v>
      </c>
      <c r="BP25">
        <f t="shared" si="15"/>
        <v>85</v>
      </c>
      <c r="BQ25">
        <f t="shared" si="15"/>
        <v>47.5</v>
      </c>
      <c r="BR25">
        <f t="shared" si="15"/>
        <v>33</v>
      </c>
      <c r="BS25">
        <f t="shared" si="15"/>
        <v>19.5</v>
      </c>
      <c r="BU25" s="553">
        <f t="shared" ref="BU25:BU31" si="16">C4</f>
        <v>278</v>
      </c>
      <c r="BV25" s="666">
        <f t="shared" ref="BV25:BV31" si="17">C11</f>
        <v>172</v>
      </c>
      <c r="BW25" s="667">
        <f t="shared" ref="BW25:BW31" si="18">C18</f>
        <v>124</v>
      </c>
      <c r="BX25" s="397"/>
      <c r="BY25" s="553">
        <f>ABS(BU25-BU$32)</f>
        <v>18.142857142857167</v>
      </c>
      <c r="BZ25" s="666">
        <f>ABS(BV25-BV$32)</f>
        <v>52.857142857142861</v>
      </c>
      <c r="CA25" s="667">
        <f>ABS(BW25-BW$32)</f>
        <v>114.71428571428572</v>
      </c>
      <c r="CC25" s="636" t="s">
        <v>222</v>
      </c>
      <c r="CD25" s="636" t="s">
        <v>88</v>
      </c>
      <c r="CE25" s="636" t="s">
        <v>87</v>
      </c>
      <c r="CF25" s="636" t="s">
        <v>886</v>
      </c>
      <c r="CG25" s="636" t="s">
        <v>223</v>
      </c>
    </row>
    <row r="26" spans="1:93">
      <c r="W26" s="126" t="s">
        <v>1563</v>
      </c>
      <c r="X26">
        <f>X11</f>
        <v>38740.076190477121</v>
      </c>
      <c r="Y26" s="28" t="e">
        <f ca="1">Y11*$BB$47</f>
        <v>#NAME?</v>
      </c>
      <c r="Z26" s="28" t="e">
        <f ca="1">X26/Y26</f>
        <v>#NAME?</v>
      </c>
      <c r="AA26" t="e">
        <f ca="1">Z26/Z27</f>
        <v>#NAME?</v>
      </c>
      <c r="AB26" t="e">
        <f ca="1">FDIST(AA26,Y26,Y27)</f>
        <v>#NAME?</v>
      </c>
      <c r="AC26" t="e">
        <f ca="1">FINV(0.05,Y26,Y27)</f>
        <v>#NAME?</v>
      </c>
      <c r="AI26" s="28"/>
      <c r="AJ26" s="28"/>
      <c r="AK26" s="28"/>
      <c r="AL26" s="28"/>
      <c r="AM26" s="28"/>
      <c r="AN26" s="28"/>
      <c r="AO26" s="28"/>
      <c r="AR26" s="656" t="e">
        <f ca="1"/>
        <v>#NAME?</v>
      </c>
      <c r="AS26" s="8" t="e">
        <f ca="1"/>
        <v>#NAME?</v>
      </c>
      <c r="AT26" s="8" t="e">
        <f ca="1"/>
        <v>#NAME?</v>
      </c>
      <c r="AU26" s="8" t="e">
        <f ca="1"/>
        <v>#NAME?</v>
      </c>
      <c r="AV26" s="657" t="e">
        <f ca="1"/>
        <v>#NAME?</v>
      </c>
      <c r="AX26" t="s">
        <v>1436</v>
      </c>
      <c r="AY26" s="627" t="e">
        <f ca="1">SUMSQ(AR24:AV28)</f>
        <v>#NAME?</v>
      </c>
      <c r="BA26" t="s">
        <v>1441</v>
      </c>
      <c r="BB26" s="627" t="e">
        <f ca="1">BB23*(BB24-1)*BB25-2</f>
        <v>#NAME?</v>
      </c>
      <c r="BD26" t="s">
        <v>162</v>
      </c>
      <c r="BE26">
        <f>MEDIAN(BD15:BD21)-QUARTILE(BD15:BD21,1)</f>
        <v>101.5</v>
      </c>
      <c r="BF26">
        <f t="shared" ref="BF26:BS26" si="19">MEDIAN(BE15:BE21)-QUARTILE(BE15:BE21,1)</f>
        <v>44</v>
      </c>
      <c r="BG26">
        <f t="shared" si="19"/>
        <v>38.5</v>
      </c>
      <c r="BH26">
        <f t="shared" si="19"/>
        <v>52.5</v>
      </c>
      <c r="BI26">
        <f t="shared" si="19"/>
        <v>30</v>
      </c>
      <c r="BJ26">
        <f t="shared" si="19"/>
        <v>9.5</v>
      </c>
      <c r="BK26">
        <f t="shared" si="19"/>
        <v>32.5</v>
      </c>
      <c r="BL26">
        <f t="shared" si="19"/>
        <v>23</v>
      </c>
      <c r="BM26">
        <f t="shared" si="19"/>
        <v>11.5</v>
      </c>
      <c r="BN26">
        <f t="shared" si="19"/>
        <v>16.5</v>
      </c>
      <c r="BO26">
        <f t="shared" si="19"/>
        <v>12</v>
      </c>
      <c r="BP26">
        <f t="shared" si="19"/>
        <v>38</v>
      </c>
      <c r="BQ26">
        <f t="shared" si="19"/>
        <v>28.5</v>
      </c>
      <c r="BR26">
        <f t="shared" si="19"/>
        <v>40</v>
      </c>
      <c r="BS26">
        <f t="shared" si="19"/>
        <v>16.5</v>
      </c>
      <c r="BU26" s="656">
        <f t="shared" si="16"/>
        <v>207</v>
      </c>
      <c r="BV26" s="8">
        <f t="shared" si="17"/>
        <v>116</v>
      </c>
      <c r="BW26" s="657">
        <f t="shared" si="18"/>
        <v>266</v>
      </c>
      <c r="BX26" s="397"/>
      <c r="BY26" s="656">
        <f t="shared" ref="BY26:BY31" si="20">ABS(BU26-BU$32)</f>
        <v>52.857142857142833</v>
      </c>
      <c r="BZ26" s="8">
        <f t="shared" ref="BZ26:BZ31" si="21">ABS(BV26-BV$32)</f>
        <v>3.1428571428571388</v>
      </c>
      <c r="CA26" s="657">
        <f t="shared" ref="CA26:CA31" si="22">ABS(BW26-BW$32)</f>
        <v>27.285714285714278</v>
      </c>
      <c r="CC26" s="28" t="s">
        <v>1553</v>
      </c>
      <c r="CD26" s="28">
        <v>7</v>
      </c>
      <c r="CE26" s="28">
        <v>291.4285714285715</v>
      </c>
      <c r="CF26" s="28">
        <v>41.632653061224502</v>
      </c>
      <c r="CG26" s="28">
        <v>892.98542274052397</v>
      </c>
    </row>
    <row r="27" spans="1:93" ht="15" thickBot="1">
      <c r="W27" s="28" t="s">
        <v>1009</v>
      </c>
      <c r="X27">
        <f>X12</f>
        <v>161075.14285714249</v>
      </c>
      <c r="Y27" s="28" t="e">
        <f ca="1">Y12*$BB$47</f>
        <v>#NAME?</v>
      </c>
      <c r="Z27" s="28" t="e">
        <f ca="1">X27/Y27</f>
        <v>#NAME?</v>
      </c>
      <c r="AI27" s="31" t="s">
        <v>12</v>
      </c>
      <c r="AJ27" s="31">
        <v>524112.4</v>
      </c>
      <c r="AK27" s="31">
        <v>34</v>
      </c>
      <c r="AL27" s="31"/>
      <c r="AM27" s="31"/>
      <c r="AN27" s="31"/>
      <c r="AO27" s="31"/>
      <c r="AR27" s="656" t="e">
        <f ca="1"/>
        <v>#NAME?</v>
      </c>
      <c r="AS27" s="8" t="e">
        <f ca="1"/>
        <v>#NAME?</v>
      </c>
      <c r="AT27" s="8" t="e">
        <f ca="1"/>
        <v>#NAME?</v>
      </c>
      <c r="AU27" s="8" t="e">
        <f ca="1"/>
        <v>#NAME?</v>
      </c>
      <c r="AV27" s="657" t="e">
        <f ca="1"/>
        <v>#NAME?</v>
      </c>
      <c r="AX27" t="s">
        <v>1437</v>
      </c>
      <c r="AY27" s="627" t="e">
        <f ca="1">SUMSQ(AR29:AV29)</f>
        <v>#NAME?</v>
      </c>
      <c r="BA27" t="s">
        <v>1442</v>
      </c>
      <c r="BB27" s="627" t="e">
        <f ca="1">(BB24-1)*(BB23-1-(BB24-1)*BB25)</f>
        <v>#NAME?</v>
      </c>
      <c r="BD27" t="s">
        <v>163</v>
      </c>
      <c r="BE27">
        <f>QUARTILE(BD15:BD21,3)-MEDIAN(BD15:BD21)</f>
        <v>15.5</v>
      </c>
      <c r="BF27">
        <f t="shared" ref="BF27:BS27" si="23">QUARTILE(BE15:BE21,3)-MEDIAN(BE15:BE21)</f>
        <v>18</v>
      </c>
      <c r="BG27">
        <f t="shared" si="23"/>
        <v>26.5</v>
      </c>
      <c r="BH27">
        <f t="shared" si="23"/>
        <v>18.5</v>
      </c>
      <c r="BI27">
        <f t="shared" si="23"/>
        <v>72.5</v>
      </c>
      <c r="BJ27">
        <f t="shared" si="23"/>
        <v>13.5</v>
      </c>
      <c r="BK27">
        <f t="shared" si="23"/>
        <v>46.5</v>
      </c>
      <c r="BL27">
        <f t="shared" si="23"/>
        <v>57.5</v>
      </c>
      <c r="BM27">
        <f t="shared" si="23"/>
        <v>37.5</v>
      </c>
      <c r="BN27">
        <f t="shared" si="23"/>
        <v>67</v>
      </c>
      <c r="BO27">
        <f t="shared" si="23"/>
        <v>30</v>
      </c>
      <c r="BP27">
        <f t="shared" si="23"/>
        <v>28.5</v>
      </c>
      <c r="BQ27">
        <f t="shared" si="23"/>
        <v>29.5</v>
      </c>
      <c r="BR27">
        <f t="shared" si="23"/>
        <v>16</v>
      </c>
      <c r="BS27">
        <f t="shared" si="23"/>
        <v>72</v>
      </c>
      <c r="BU27" s="656">
        <f t="shared" si="16"/>
        <v>261</v>
      </c>
      <c r="BV27" s="8">
        <f t="shared" si="17"/>
        <v>168</v>
      </c>
      <c r="BW27" s="657">
        <f t="shared" si="18"/>
        <v>207</v>
      </c>
      <c r="BX27" s="397"/>
      <c r="BY27" s="656">
        <f t="shared" si="20"/>
        <v>1.1428571428571672</v>
      </c>
      <c r="BZ27" s="8">
        <f t="shared" si="21"/>
        <v>48.857142857142861</v>
      </c>
      <c r="CA27" s="657">
        <f t="shared" si="22"/>
        <v>31.714285714285722</v>
      </c>
      <c r="CC27" s="28" t="s">
        <v>1554</v>
      </c>
      <c r="CD27" s="28">
        <v>7</v>
      </c>
      <c r="CE27" s="28">
        <v>279.14285714285711</v>
      </c>
      <c r="CF27" s="28">
        <v>39.877551020408156</v>
      </c>
      <c r="CG27" s="28">
        <v>381.55393586005874</v>
      </c>
    </row>
    <row r="28" spans="1:93" ht="15" thickBot="1">
      <c r="AR28" s="533" t="e">
        <f ca="1"/>
        <v>#NAME?</v>
      </c>
      <c r="AS28" s="534" t="e">
        <f ca="1"/>
        <v>#NAME?</v>
      </c>
      <c r="AT28" s="534" t="e">
        <f ca="1"/>
        <v>#NAME?</v>
      </c>
      <c r="AU28" s="534" t="e">
        <f ca="1"/>
        <v>#NAME?</v>
      </c>
      <c r="AV28" s="541" t="e">
        <f ca="1"/>
        <v>#NAME?</v>
      </c>
      <c r="AX28" t="s">
        <v>1438</v>
      </c>
      <c r="AY28" s="627" t="e">
        <f ca="1">(AY23*(AY24-AY25))^2</f>
        <v>#NAME?</v>
      </c>
      <c r="BA28" t="s">
        <v>1443</v>
      </c>
      <c r="BB28" s="544" t="e">
        <f ca="1">MIN(BB26/BB27,1)</f>
        <v>#NAME?</v>
      </c>
      <c r="BD28" t="s">
        <v>164</v>
      </c>
      <c r="BE28">
        <f>MAX(BD15:BD21)-QUARTILE(BD15:BD21,3)</f>
        <v>5.5</v>
      </c>
      <c r="BF28">
        <f t="shared" ref="BF28:BS28" si="24">MAX(BE15:BE21)-QUARTILE(BE15:BE21,3)</f>
        <v>18</v>
      </c>
      <c r="BG28">
        <f t="shared" si="24"/>
        <v>14.5</v>
      </c>
      <c r="BH28">
        <f t="shared" si="24"/>
        <v>20.5</v>
      </c>
      <c r="BI28">
        <f t="shared" si="24"/>
        <v>28.5</v>
      </c>
      <c r="BJ28">
        <f t="shared" si="24"/>
        <v>152.5</v>
      </c>
      <c r="BK28">
        <f t="shared" si="24"/>
        <v>9.5</v>
      </c>
      <c r="BL28">
        <f t="shared" si="24"/>
        <v>60.5</v>
      </c>
      <c r="BM28">
        <f t="shared" si="24"/>
        <v>99.5</v>
      </c>
      <c r="BN28">
        <f t="shared" si="24"/>
        <v>130</v>
      </c>
      <c r="BO28">
        <f t="shared" si="24"/>
        <v>10</v>
      </c>
      <c r="BP28">
        <f t="shared" si="24"/>
        <v>55.5</v>
      </c>
      <c r="BQ28">
        <f t="shared" si="24"/>
        <v>76.5</v>
      </c>
      <c r="BR28">
        <f t="shared" si="24"/>
        <v>65</v>
      </c>
      <c r="BS28">
        <f t="shared" si="24"/>
        <v>42</v>
      </c>
      <c r="BU28" s="656">
        <f t="shared" si="16"/>
        <v>314</v>
      </c>
      <c r="BV28" s="8">
        <f t="shared" si="17"/>
        <v>157</v>
      </c>
      <c r="BW28" s="657">
        <f t="shared" si="18"/>
        <v>211</v>
      </c>
      <c r="BX28" s="397"/>
      <c r="BY28" s="656">
        <f t="shared" si="20"/>
        <v>54.142857142857167</v>
      </c>
      <c r="BZ28" s="8">
        <f t="shared" si="21"/>
        <v>37.857142857142861</v>
      </c>
      <c r="CA28" s="657">
        <f t="shared" si="22"/>
        <v>27.714285714285722</v>
      </c>
      <c r="CC28" s="31" t="s">
        <v>217</v>
      </c>
      <c r="CD28" s="31">
        <v>7</v>
      </c>
      <c r="CE28" s="31">
        <v>348.28571428571428</v>
      </c>
      <c r="CF28" s="31">
        <v>49.755102040816325</v>
      </c>
      <c r="CG28" s="31">
        <v>1512.7395529640442</v>
      </c>
    </row>
    <row r="29" spans="1:93">
      <c r="AI29" t="s">
        <v>1551</v>
      </c>
      <c r="AL29">
        <f>(AL9+AL17+AL25)/3</f>
        <v>2237.1547619047633</v>
      </c>
      <c r="AQ29" t="s">
        <v>63</v>
      </c>
      <c r="AR29" t="e">
        <f ca="1">AVERAGE(AR24:AR28)</f>
        <v>#NAME?</v>
      </c>
      <c r="AS29" t="e">
        <f ca="1">AVERAGE(AS24:AS28)</f>
        <v>#NAME?</v>
      </c>
      <c r="AT29" t="e">
        <f ca="1">AVERAGE(AT24:AT28)</f>
        <v>#NAME?</v>
      </c>
      <c r="AU29" t="e">
        <f ca="1">AVERAGE(AU24:AU28)</f>
        <v>#NAME?</v>
      </c>
      <c r="AV29" t="e">
        <f ca="1">AVERAGE(AV24:AV28)</f>
        <v>#NAME?</v>
      </c>
      <c r="AX29" t="s">
        <v>1439</v>
      </c>
      <c r="AY29" s="627" t="e">
        <f ca="1">(AY23-1)*(AY26-2*AY23*AY27+AY23^2*AY25^2)</f>
        <v>#NAME?</v>
      </c>
      <c r="BU29" s="656">
        <f t="shared" si="16"/>
        <v>167</v>
      </c>
      <c r="BV29" s="8">
        <f t="shared" si="17"/>
        <v>86</v>
      </c>
      <c r="BW29" s="657">
        <f t="shared" si="18"/>
        <v>331</v>
      </c>
      <c r="BX29" s="397"/>
      <c r="BY29" s="656">
        <f t="shared" si="20"/>
        <v>92.857142857142833</v>
      </c>
      <c r="BZ29" s="8">
        <f t="shared" si="21"/>
        <v>33.142857142857139</v>
      </c>
      <c r="CA29" s="657">
        <f t="shared" si="22"/>
        <v>92.285714285714278</v>
      </c>
    </row>
    <row r="30" spans="1:93">
      <c r="AQ30" t="s">
        <v>66</v>
      </c>
      <c r="AR30" t="e">
        <f ca="1">INDEX(AR24:AR28,AR23)</f>
        <v>#NAME?</v>
      </c>
      <c r="AS30" t="e">
        <f ca="1">INDEX(AS24:AS28,AS23)</f>
        <v>#NAME?</v>
      </c>
      <c r="AT30" t="e">
        <f ca="1">INDEX(AT24:AT28,AT23)</f>
        <v>#NAME?</v>
      </c>
      <c r="AU30" t="e">
        <f ca="1">INDEX(AU24:AU28,AU23)</f>
        <v>#NAME?</v>
      </c>
      <c r="AV30" t="e">
        <f ca="1">INDEX(AV24:AV28,AV23)</f>
        <v>#NAME?</v>
      </c>
      <c r="AX30" t="s">
        <v>1440</v>
      </c>
      <c r="AY30" s="268" t="e">
        <f ca="1">AY28/AY29</f>
        <v>#NAME?</v>
      </c>
      <c r="BA30" t="s">
        <v>1489</v>
      </c>
      <c r="BB30" s="655">
        <f>1/(BB24-1)</f>
        <v>0.25</v>
      </c>
      <c r="BU30" s="656">
        <f t="shared" si="16"/>
        <v>286</v>
      </c>
      <c r="BV30" s="8">
        <f t="shared" si="17"/>
        <v>81</v>
      </c>
      <c r="BW30" s="657">
        <f t="shared" si="18"/>
        <v>285</v>
      </c>
      <c r="BX30" s="397"/>
      <c r="BY30" s="656">
        <f t="shared" si="20"/>
        <v>26.142857142857167</v>
      </c>
      <c r="BZ30" s="8">
        <f t="shared" si="21"/>
        <v>38.142857142857139</v>
      </c>
      <c r="CA30" s="657">
        <f t="shared" si="22"/>
        <v>46.285714285714278</v>
      </c>
    </row>
    <row r="31" spans="1:93" ht="15" thickBot="1">
      <c r="AI31" t="s">
        <v>1617</v>
      </c>
      <c r="BU31" s="533">
        <f t="shared" si="16"/>
        <v>306</v>
      </c>
      <c r="BV31" s="534">
        <f t="shared" si="17"/>
        <v>54</v>
      </c>
      <c r="BW31" s="541">
        <f t="shared" si="18"/>
        <v>247</v>
      </c>
      <c r="BX31" s="397"/>
      <c r="BY31" s="533">
        <f t="shared" si="20"/>
        <v>46.142857142857167</v>
      </c>
      <c r="BZ31" s="534">
        <f t="shared" si="21"/>
        <v>65.142857142857139</v>
      </c>
      <c r="CA31" s="541">
        <f t="shared" si="22"/>
        <v>8.2857142857142776</v>
      </c>
      <c r="CC31" t="s">
        <v>695</v>
      </c>
    </row>
    <row r="32" spans="1:93">
      <c r="AR32">
        <v>1</v>
      </c>
      <c r="AS32">
        <f>AR32+1</f>
        <v>2</v>
      </c>
      <c r="AT32">
        <f>AS32+1</f>
        <v>3</v>
      </c>
      <c r="AU32">
        <f>AT32+1</f>
        <v>4</v>
      </c>
      <c r="AV32">
        <f>AU32+1</f>
        <v>5</v>
      </c>
      <c r="AX32" t="s">
        <v>1433</v>
      </c>
      <c r="AY32" s="644">
        <f>$K$5</f>
        <v>5</v>
      </c>
      <c r="BA32" t="s">
        <v>1432</v>
      </c>
      <c r="BB32" s="654">
        <f>$L$5</f>
        <v>7</v>
      </c>
      <c r="BT32" t="s">
        <v>63</v>
      </c>
      <c r="BU32" s="66">
        <f>AVERAGE(BU25:BU31)</f>
        <v>259.85714285714283</v>
      </c>
      <c r="BV32" s="66">
        <f>AVERAGE(BV25:BV31)</f>
        <v>119.14285714285714</v>
      </c>
      <c r="BW32" s="66">
        <f>AVERAGE(BW25:BW31)</f>
        <v>238.71428571428572</v>
      </c>
      <c r="BX32" s="685"/>
      <c r="BY32" s="685"/>
      <c r="BZ32" s="685"/>
      <c r="CA32" s="685"/>
      <c r="CC32" s="636" t="s">
        <v>887</v>
      </c>
      <c r="CD32" s="636" t="s">
        <v>578</v>
      </c>
      <c r="CE32" s="636" t="s">
        <v>186</v>
      </c>
      <c r="CF32" s="636" t="s">
        <v>641</v>
      </c>
      <c r="CG32" s="636" t="s">
        <v>388</v>
      </c>
      <c r="CH32" s="636" t="s">
        <v>367</v>
      </c>
      <c r="CI32" s="636" t="s">
        <v>888</v>
      </c>
    </row>
    <row r="33" spans="17:87" ht="15" thickBot="1">
      <c r="Q33" t="s">
        <v>1634</v>
      </c>
      <c r="AI33" t="s">
        <v>1616</v>
      </c>
      <c r="AQ33" t="str">
        <f>A18</f>
        <v>Old</v>
      </c>
      <c r="AR33" s="651" t="e">
        <f t="array" aca="1" ref="AR33:AV37" ca="1">[1]!COV(B18:F24)</f>
        <v>#NAME?</v>
      </c>
      <c r="AS33" s="652" t="e">
        <f ca="1"/>
        <v>#NAME?</v>
      </c>
      <c r="AT33" s="652" t="e">
        <f ca="1"/>
        <v>#NAME?</v>
      </c>
      <c r="AU33" s="652" t="e">
        <f ca="1"/>
        <v>#NAME?</v>
      </c>
      <c r="AV33" s="653" t="e">
        <f ca="1"/>
        <v>#NAME?</v>
      </c>
      <c r="AX33" t="s">
        <v>1434</v>
      </c>
      <c r="AY33" s="627" t="e">
        <f ca="1">AVERAGE(AR39:AV39)</f>
        <v>#NAME?</v>
      </c>
      <c r="BA33" t="s">
        <v>1433</v>
      </c>
      <c r="BB33" s="627">
        <f>AY32</f>
        <v>5</v>
      </c>
      <c r="BT33" t="s">
        <v>66</v>
      </c>
      <c r="BU33" s="66">
        <f>VAR(BU25:BU32)</f>
        <v>2498.693877551023</v>
      </c>
      <c r="BV33" s="66">
        <f>VAR(BV25:BV31)</f>
        <v>2236.8095238095243</v>
      </c>
      <c r="BW33" s="66">
        <f>VAR(BW25:BW31)</f>
        <v>4400.9047619047633</v>
      </c>
      <c r="CC33" s="28" t="s">
        <v>883</v>
      </c>
      <c r="CD33" s="28">
        <v>388.78134110786777</v>
      </c>
      <c r="CE33" s="28">
        <v>2</v>
      </c>
      <c r="CF33" s="28">
        <v>194.39067055393389</v>
      </c>
      <c r="CG33" s="28">
        <v>0.20922628490538858</v>
      </c>
      <c r="CH33" s="28">
        <v>0.8131567763088754</v>
      </c>
      <c r="CI33" s="28">
        <v>3.5545571456617879</v>
      </c>
    </row>
    <row r="34" spans="17:87">
      <c r="AI34" s="633" t="s">
        <v>887</v>
      </c>
      <c r="AJ34" s="633" t="s">
        <v>578</v>
      </c>
      <c r="AK34" s="633" t="s">
        <v>186</v>
      </c>
      <c r="AL34" s="633" t="s">
        <v>641</v>
      </c>
      <c r="AM34" s="633" t="s">
        <v>388</v>
      </c>
      <c r="AN34" s="633" t="s">
        <v>367</v>
      </c>
      <c r="AO34" s="633" t="s">
        <v>888</v>
      </c>
      <c r="AR34" s="656" t="e">
        <f ca="1"/>
        <v>#NAME?</v>
      </c>
      <c r="AS34" s="8" t="e">
        <f ca="1"/>
        <v>#NAME?</v>
      </c>
      <c r="AT34" s="8" t="e">
        <f ca="1"/>
        <v>#NAME?</v>
      </c>
      <c r="AU34" s="8" t="e">
        <f ca="1"/>
        <v>#NAME?</v>
      </c>
      <c r="AV34" s="657" t="e">
        <f ca="1"/>
        <v>#NAME?</v>
      </c>
      <c r="AX34" t="s">
        <v>1435</v>
      </c>
      <c r="AY34" s="627" t="e">
        <f ca="1">AVERAGE(AR33:AV37)</f>
        <v>#NAME?</v>
      </c>
      <c r="BA34" t="s">
        <v>1440</v>
      </c>
      <c r="BB34" s="627" t="e">
        <f ca="1">AY39</f>
        <v>#NAME?</v>
      </c>
      <c r="CC34" s="28" t="s">
        <v>884</v>
      </c>
      <c r="CD34" s="28">
        <v>16723.673469387752</v>
      </c>
      <c r="CE34" s="28">
        <v>18</v>
      </c>
      <c r="CF34" s="28">
        <v>929.0929705215417</v>
      </c>
      <c r="CG34" s="28"/>
      <c r="CH34" s="28"/>
      <c r="CI34" s="28"/>
    </row>
    <row r="35" spans="17:87">
      <c r="R35" s="19" t="s">
        <v>554</v>
      </c>
      <c r="S35" s="19" t="s">
        <v>578</v>
      </c>
      <c r="T35" s="19" t="s">
        <v>186</v>
      </c>
      <c r="U35" s="19" t="s">
        <v>641</v>
      </c>
      <c r="AI35" s="28" t="s">
        <v>1010</v>
      </c>
      <c r="AJ35" s="28">
        <f>AJ8</f>
        <v>220968.45714285711</v>
      </c>
      <c r="AK35" s="28" t="e">
        <f ca="1">AK8*AY53</f>
        <v>#NAME?</v>
      </c>
      <c r="AL35" s="28" t="e">
        <f ca="1">AJ35/AK35</f>
        <v>#NAME?</v>
      </c>
      <c r="AM35" s="28" t="e">
        <f ca="1">AL35/AL36</f>
        <v>#NAME?</v>
      </c>
      <c r="AN35" s="28" t="e">
        <f ca="1">FDIST(AM35,AK35,AK36)</f>
        <v>#NAME?</v>
      </c>
      <c r="AO35" s="28" t="e">
        <f ca="1">FINV(0.05,AK35,AK36)</f>
        <v>#NAME?</v>
      </c>
      <c r="AR35" s="656" t="e">
        <f ca="1"/>
        <v>#NAME?</v>
      </c>
      <c r="AS35" s="8" t="e">
        <f ca="1"/>
        <v>#NAME?</v>
      </c>
      <c r="AT35" s="8" t="e">
        <f ca="1"/>
        <v>#NAME?</v>
      </c>
      <c r="AU35" s="8" t="e">
        <f ca="1"/>
        <v>#NAME?</v>
      </c>
      <c r="AV35" s="657" t="e">
        <f ca="1"/>
        <v>#NAME?</v>
      </c>
      <c r="AX35" t="s">
        <v>1436</v>
      </c>
      <c r="AY35" s="627" t="e">
        <f ca="1">SUMSQ(AR33:AV37)</f>
        <v>#NAME?</v>
      </c>
      <c r="BA35" t="s">
        <v>1441</v>
      </c>
      <c r="BB35" s="627" t="e">
        <f ca="1">BB32*(BB33-1)*BB34-2</f>
        <v>#NAME?</v>
      </c>
      <c r="CC35" s="28"/>
      <c r="CD35" s="28"/>
      <c r="CE35" s="28"/>
      <c r="CF35" s="28"/>
      <c r="CG35" s="28"/>
      <c r="CH35" s="28"/>
      <c r="CI35" s="28"/>
    </row>
    <row r="36" spans="17:87" ht="15" thickBot="1">
      <c r="Q36" s="126" t="s">
        <v>1568</v>
      </c>
      <c r="R36" s="651">
        <f>L5</f>
        <v>7</v>
      </c>
      <c r="S36" s="652">
        <f>DEVSQ(J9:J11)*R36</f>
        <v>64383.523809523816</v>
      </c>
      <c r="T36" s="652">
        <f>J5-1</f>
        <v>2</v>
      </c>
      <c r="U36" s="653">
        <f>S36/T36</f>
        <v>32191.761904761908</v>
      </c>
      <c r="AI36" s="686" t="s">
        <v>1009</v>
      </c>
      <c r="AJ36" s="686">
        <f>AJ9</f>
        <v>39515.542857142922</v>
      </c>
      <c r="AK36" s="686" t="e">
        <f ca="1">AK9*AY53</f>
        <v>#NAME?</v>
      </c>
      <c r="AL36" s="686" t="e">
        <f ca="1">AJ36/AK36</f>
        <v>#NAME?</v>
      </c>
      <c r="AM36" s="686"/>
      <c r="AN36" s="686"/>
      <c r="AO36" s="686"/>
      <c r="AR36" s="656" t="e">
        <f ca="1"/>
        <v>#NAME?</v>
      </c>
      <c r="AS36" s="8" t="e">
        <f ca="1"/>
        <v>#NAME?</v>
      </c>
      <c r="AT36" s="8" t="e">
        <f ca="1"/>
        <v>#NAME?</v>
      </c>
      <c r="AU36" s="8" t="e">
        <f ca="1"/>
        <v>#NAME?</v>
      </c>
      <c r="AV36" s="657" t="e">
        <f ca="1"/>
        <v>#NAME?</v>
      </c>
      <c r="AX36" t="s">
        <v>1437</v>
      </c>
      <c r="AY36" s="627" t="e">
        <f ca="1">SUMSQ(AR38:AV38)</f>
        <v>#NAME?</v>
      </c>
      <c r="BA36" t="s">
        <v>1442</v>
      </c>
      <c r="BB36" s="627" t="e">
        <f ca="1">(BB33-1)*(BB32-1-(BB33-1)*BB34)</f>
        <v>#NAME?</v>
      </c>
      <c r="CC36" s="31" t="s">
        <v>12</v>
      </c>
      <c r="CD36" s="31">
        <v>17112.454810495619</v>
      </c>
      <c r="CE36" s="31">
        <v>20</v>
      </c>
      <c r="CF36" s="31"/>
      <c r="CG36" s="31"/>
      <c r="CH36" s="31"/>
      <c r="CI36" s="31"/>
    </row>
    <row r="37" spans="17:87">
      <c r="Q37" s="126" t="s">
        <v>1569</v>
      </c>
      <c r="R37" s="656">
        <f>L5</f>
        <v>7</v>
      </c>
      <c r="S37" s="8">
        <f>DEVSQ(N9:N11)*R37</f>
        <v>19678.952380952396</v>
      </c>
      <c r="T37" s="8">
        <f>J5-1</f>
        <v>2</v>
      </c>
      <c r="U37" s="657">
        <f>S37/T37</f>
        <v>9839.4761904761981</v>
      </c>
      <c r="AR37" s="533" t="e">
        <f ca="1"/>
        <v>#NAME?</v>
      </c>
      <c r="AS37" s="534" t="e">
        <f ca="1"/>
        <v>#NAME?</v>
      </c>
      <c r="AT37" s="534" t="e">
        <f ca="1"/>
        <v>#NAME?</v>
      </c>
      <c r="AU37" s="534" t="e">
        <f ca="1"/>
        <v>#NAME?</v>
      </c>
      <c r="AV37" s="541" t="e">
        <f ca="1"/>
        <v>#NAME?</v>
      </c>
      <c r="AX37" t="s">
        <v>1438</v>
      </c>
      <c r="AY37" s="627" t="e">
        <f ca="1">(AY32*(AY33-AY34))^2</f>
        <v>#NAME?</v>
      </c>
      <c r="BA37" t="s">
        <v>1443</v>
      </c>
      <c r="BB37" s="544" t="e">
        <f ca="1">MIN(BB35/BB36,1)</f>
        <v>#NAME?</v>
      </c>
    </row>
    <row r="38" spans="17:87" ht="15" thickBot="1">
      <c r="Q38" s="66" t="s">
        <v>1009</v>
      </c>
      <c r="R38" s="533"/>
      <c r="S38" s="534">
        <f>S5-S8</f>
        <v>354444.85714285681</v>
      </c>
      <c r="T38" s="534">
        <f>T5-T8</f>
        <v>90</v>
      </c>
      <c r="U38" s="541">
        <f>S38/T38</f>
        <v>3938.2761904761869</v>
      </c>
      <c r="AI38" t="s">
        <v>1619</v>
      </c>
      <c r="AQ38" t="s">
        <v>63</v>
      </c>
      <c r="AR38" t="e">
        <f ca="1">AVERAGE(AR33:AR37)</f>
        <v>#NAME?</v>
      </c>
      <c r="AS38" t="e">
        <f ca="1">AVERAGE(AS33:AS37)</f>
        <v>#NAME?</v>
      </c>
      <c r="AT38" t="e">
        <f ca="1">AVERAGE(AT33:AT37)</f>
        <v>#NAME?</v>
      </c>
      <c r="AU38" t="e">
        <f ca="1">AVERAGE(AU33:AU37)</f>
        <v>#NAME?</v>
      </c>
      <c r="AV38" t="e">
        <f ca="1">AVERAGE(AV33:AV37)</f>
        <v>#NAME?</v>
      </c>
      <c r="AX38" t="s">
        <v>1439</v>
      </c>
      <c r="AY38" s="627" t="e">
        <f ca="1">(AY32-1)*(AY35-2*AY32*AY36+AY32^2*AY34^2)</f>
        <v>#NAME?</v>
      </c>
    </row>
    <row r="39" spans="17:87">
      <c r="AI39" s="636" t="s">
        <v>887</v>
      </c>
      <c r="AJ39" s="636" t="s">
        <v>578</v>
      </c>
      <c r="AK39" s="636" t="s">
        <v>186</v>
      </c>
      <c r="AL39" s="636" t="s">
        <v>641</v>
      </c>
      <c r="AM39" s="636" t="s">
        <v>388</v>
      </c>
      <c r="AN39" s="636" t="s">
        <v>367</v>
      </c>
      <c r="AO39" s="636" t="s">
        <v>888</v>
      </c>
      <c r="AQ39" t="s">
        <v>66</v>
      </c>
      <c r="AR39" t="e">
        <f ca="1">INDEX(AR33:AR37,AR32)</f>
        <v>#NAME?</v>
      </c>
      <c r="AS39" t="e">
        <f ca="1">INDEX(AS33:AS37,AS32)</f>
        <v>#NAME?</v>
      </c>
      <c r="AT39" t="e">
        <f ca="1">INDEX(AT33:AT37,AT32)</f>
        <v>#NAME?</v>
      </c>
      <c r="AU39" t="e">
        <f ca="1">INDEX(AU33:AU37,AU32)</f>
        <v>#NAME?</v>
      </c>
      <c r="AV39" t="e">
        <f ca="1">INDEX(AV33:AV37,AV32)</f>
        <v>#NAME?</v>
      </c>
      <c r="AX39" t="s">
        <v>1440</v>
      </c>
      <c r="AY39" s="268" t="e">
        <f ca="1">AY37/AY38</f>
        <v>#NAME?</v>
      </c>
      <c r="BA39" t="s">
        <v>1489</v>
      </c>
      <c r="BB39" s="655">
        <f>1/(BB33-1)</f>
        <v>0.25</v>
      </c>
      <c r="BU39" t="s">
        <v>1557</v>
      </c>
      <c r="CC39" t="s">
        <v>885</v>
      </c>
    </row>
    <row r="40" spans="17:87" ht="15" thickBot="1">
      <c r="Q40" t="s">
        <v>695</v>
      </c>
      <c r="AI40" s="28" t="s">
        <v>1010</v>
      </c>
      <c r="AJ40" s="28">
        <f>AJ16</f>
        <v>412173.88571428566</v>
      </c>
      <c r="AK40" s="28" t="e">
        <f ca="1">AK16*AY54</f>
        <v>#NAME?</v>
      </c>
      <c r="AL40" s="28" t="e">
        <f ca="1">AJ40/AK40</f>
        <v>#NAME?</v>
      </c>
      <c r="AM40" s="28" t="e">
        <f ca="1">AL40/AL41</f>
        <v>#NAME?</v>
      </c>
      <c r="AN40" s="28" t="e">
        <f ca="1">FDIST(AM40,AK40,AK41)</f>
        <v>#NAME?</v>
      </c>
      <c r="AO40" s="28" t="e">
        <f ca="1">FINV(0.05,AK40,AK41)</f>
        <v>#NAME?</v>
      </c>
    </row>
    <row r="41" spans="17:87" ht="15" thickBot="1">
      <c r="Q41" s="633" t="s">
        <v>887</v>
      </c>
      <c r="R41" s="633" t="s">
        <v>578</v>
      </c>
      <c r="S41" s="633" t="s">
        <v>186</v>
      </c>
      <c r="T41" s="633" t="s">
        <v>641</v>
      </c>
      <c r="U41" s="633" t="s">
        <v>388</v>
      </c>
      <c r="V41" s="633" t="s">
        <v>367</v>
      </c>
      <c r="AI41" s="686" t="s">
        <v>1009</v>
      </c>
      <c r="AJ41" s="686">
        <f>AJ17</f>
        <v>78908.914285714331</v>
      </c>
      <c r="AK41" s="686" t="e">
        <f ca="1">AK17*AY54</f>
        <v>#NAME?</v>
      </c>
      <c r="AL41" s="686" t="e">
        <f ca="1">AJ41/AK41</f>
        <v>#NAME?</v>
      </c>
      <c r="AM41" s="686"/>
      <c r="AN41" s="686"/>
      <c r="AO41" s="686"/>
      <c r="AR41">
        <v>1</v>
      </c>
      <c r="AS41">
        <f>AR41+1</f>
        <v>2</v>
      </c>
      <c r="AT41">
        <f>AS41+1</f>
        <v>3</v>
      </c>
      <c r="AU41">
        <f>AT41+1</f>
        <v>4</v>
      </c>
      <c r="AV41">
        <f>AU41+1</f>
        <v>5</v>
      </c>
      <c r="AX41" t="s">
        <v>1433</v>
      </c>
      <c r="AY41" s="644">
        <f>$K$5</f>
        <v>5</v>
      </c>
      <c r="BA41" t="s">
        <v>1432</v>
      </c>
      <c r="BB41" s="654">
        <f>$L$5</f>
        <v>7</v>
      </c>
      <c r="BU41" s="635" t="s">
        <v>1553</v>
      </c>
      <c r="BV41" s="635" t="s">
        <v>1554</v>
      </c>
      <c r="BW41" s="635" t="s">
        <v>217</v>
      </c>
      <c r="BX41" s="348"/>
      <c r="BY41" s="635" t="s">
        <v>1553</v>
      </c>
      <c r="BZ41" s="635" t="s">
        <v>1554</v>
      </c>
      <c r="CA41" s="635" t="s">
        <v>217</v>
      </c>
      <c r="CC41" t="s">
        <v>194</v>
      </c>
    </row>
    <row r="42" spans="17:87">
      <c r="Q42" s="126" t="s">
        <v>1568</v>
      </c>
      <c r="R42">
        <f t="shared" ref="R42:S44" si="25">S36</f>
        <v>64383.523809523816</v>
      </c>
      <c r="S42">
        <f t="shared" si="25"/>
        <v>2</v>
      </c>
      <c r="T42">
        <f>R42/S42</f>
        <v>32191.761904761908</v>
      </c>
      <c r="U42">
        <f>T42/T44</f>
        <v>8.1740742263354367</v>
      </c>
      <c r="V42">
        <f>FDIST(U42,S42,S44)</f>
        <v>5.4709901625173965E-4</v>
      </c>
      <c r="AQ42" t="s">
        <v>886</v>
      </c>
      <c r="AR42" s="651" t="e">
        <f t="shared" ref="AR42:AV46" ca="1" si="26">(AR15+AR24+AR33)/$J$5</f>
        <v>#NAME?</v>
      </c>
      <c r="AS42" s="652" t="e">
        <f t="shared" ca="1" si="26"/>
        <v>#NAME?</v>
      </c>
      <c r="AT42" s="652" t="e">
        <f t="shared" ca="1" si="26"/>
        <v>#NAME?</v>
      </c>
      <c r="AU42" s="652" t="e">
        <f t="shared" ca="1" si="26"/>
        <v>#NAME?</v>
      </c>
      <c r="AV42" s="653" t="e">
        <f t="shared" ca="1" si="26"/>
        <v>#NAME?</v>
      </c>
      <c r="AX42" t="s">
        <v>1434</v>
      </c>
      <c r="AY42" s="627" t="e">
        <f ca="1">AVERAGE(AR48:AV48)</f>
        <v>#NAME?</v>
      </c>
      <c r="BA42" t="s">
        <v>1570</v>
      </c>
      <c r="BB42" s="627">
        <f>AY41</f>
        <v>5</v>
      </c>
      <c r="BU42" s="553">
        <f t="shared" ref="BU42:BU48" si="27">D4</f>
        <v>442</v>
      </c>
      <c r="BV42" s="666">
        <f t="shared" ref="BV42:BV48" si="28">D12</f>
        <v>425</v>
      </c>
      <c r="BW42" s="667">
        <f t="shared" ref="BW42:BW48" si="29">D18</f>
        <v>365</v>
      </c>
      <c r="BX42" s="397"/>
      <c r="BY42" s="553">
        <f>ABS(BU42-BU$49)</f>
        <v>59.142857142857167</v>
      </c>
      <c r="BZ42" s="666">
        <f t="shared" ref="BZ42:CA48" si="30">ABS(BV42-BV$49)</f>
        <v>99.285714285714278</v>
      </c>
      <c r="CA42" s="667">
        <f t="shared" si="30"/>
        <v>4.5714285714285552</v>
      </c>
      <c r="CC42" s="636" t="s">
        <v>222</v>
      </c>
      <c r="CD42" s="636" t="s">
        <v>88</v>
      </c>
      <c r="CE42" s="636" t="s">
        <v>87</v>
      </c>
      <c r="CF42" s="636" t="s">
        <v>886</v>
      </c>
      <c r="CG42" s="636" t="s">
        <v>223</v>
      </c>
    </row>
    <row r="43" spans="17:87" ht="15" thickBot="1">
      <c r="Q43" s="126" t="s">
        <v>1569</v>
      </c>
      <c r="R43">
        <f t="shared" si="25"/>
        <v>19678.952380952396</v>
      </c>
      <c r="S43">
        <f t="shared" si="25"/>
        <v>2</v>
      </c>
      <c r="T43">
        <f>R43/S43</f>
        <v>9839.4761904761981</v>
      </c>
      <c r="U43" s="28">
        <f>T43/T44</f>
        <v>2.4984220797593379</v>
      </c>
      <c r="V43">
        <f>FDIST(U43,S43,S44)</f>
        <v>8.7902233898368043E-2</v>
      </c>
      <c r="AI43" t="s">
        <v>1632</v>
      </c>
      <c r="AR43" s="656" t="e">
        <f t="shared" ca="1" si="26"/>
        <v>#NAME?</v>
      </c>
      <c r="AS43" s="8" t="e">
        <f t="shared" ca="1" si="26"/>
        <v>#NAME?</v>
      </c>
      <c r="AT43" s="8" t="e">
        <f t="shared" ca="1" si="26"/>
        <v>#NAME?</v>
      </c>
      <c r="AU43" s="8" t="e">
        <f t="shared" ca="1" si="26"/>
        <v>#NAME?</v>
      </c>
      <c r="AV43" s="657" t="e">
        <f t="shared" ca="1" si="26"/>
        <v>#NAME?</v>
      </c>
      <c r="AX43" t="s">
        <v>1435</v>
      </c>
      <c r="AY43" s="627" t="e">
        <f ca="1">AVERAGE(AR42:AV46)</f>
        <v>#NAME?</v>
      </c>
      <c r="BA43" t="s">
        <v>1571</v>
      </c>
      <c r="BB43" s="627">
        <f>J5</f>
        <v>3</v>
      </c>
      <c r="BU43" s="656">
        <f t="shared" si="27"/>
        <v>341</v>
      </c>
      <c r="BV43" s="8">
        <f t="shared" si="28"/>
        <v>378</v>
      </c>
      <c r="BW43" s="657">
        <f t="shared" si="29"/>
        <v>382</v>
      </c>
      <c r="BX43" s="397"/>
      <c r="BY43" s="656">
        <f t="shared" ref="BY43:BY48" si="31">ABS(BU43-BU$49)</f>
        <v>41.857142857142833</v>
      </c>
      <c r="BZ43" s="8">
        <f t="shared" si="30"/>
        <v>52.285714285714278</v>
      </c>
      <c r="CA43" s="657">
        <f t="shared" si="30"/>
        <v>12.428571428571445</v>
      </c>
      <c r="CC43" s="28" t="s">
        <v>1553</v>
      </c>
      <c r="CD43" s="28">
        <v>7</v>
      </c>
      <c r="CE43" s="28">
        <v>335.4285714285715</v>
      </c>
      <c r="CF43" s="28">
        <v>47.918367346938787</v>
      </c>
      <c r="CG43" s="28">
        <v>1562.2779397473269</v>
      </c>
    </row>
    <row r="44" spans="17:87">
      <c r="Q44" s="534" t="s">
        <v>1009</v>
      </c>
      <c r="R44" s="534">
        <f t="shared" si="25"/>
        <v>354444.85714285681</v>
      </c>
      <c r="S44" s="534">
        <f t="shared" si="25"/>
        <v>90</v>
      </c>
      <c r="T44" s="534">
        <f>R44/S44</f>
        <v>3938.2761904761869</v>
      </c>
      <c r="U44" s="534"/>
      <c r="V44" s="534"/>
      <c r="AI44" s="636" t="s">
        <v>887</v>
      </c>
      <c r="AJ44" s="636" t="s">
        <v>578</v>
      </c>
      <c r="AK44" s="636" t="s">
        <v>186</v>
      </c>
      <c r="AL44" s="636" t="s">
        <v>641</v>
      </c>
      <c r="AM44" s="636" t="s">
        <v>388</v>
      </c>
      <c r="AN44" s="636" t="s">
        <v>367</v>
      </c>
      <c r="AO44" s="636" t="s">
        <v>888</v>
      </c>
      <c r="AR44" s="656" t="e">
        <f t="shared" ca="1" si="26"/>
        <v>#NAME?</v>
      </c>
      <c r="AS44" s="8" t="e">
        <f t="shared" ca="1" si="26"/>
        <v>#NAME?</v>
      </c>
      <c r="AT44" s="8" t="e">
        <f t="shared" ca="1" si="26"/>
        <v>#NAME?</v>
      </c>
      <c r="AU44" s="8" t="e">
        <f t="shared" ca="1" si="26"/>
        <v>#NAME?</v>
      </c>
      <c r="AV44" s="657" t="e">
        <f t="shared" ca="1" si="26"/>
        <v>#NAME?</v>
      </c>
      <c r="AX44" t="s">
        <v>1436</v>
      </c>
      <c r="AY44" s="627" t="e">
        <f ca="1">SUMSQ(AR42:AV46)</f>
        <v>#NAME?</v>
      </c>
      <c r="BA44" t="s">
        <v>1440</v>
      </c>
      <c r="BB44" s="627" t="e">
        <f ca="1">AY48</f>
        <v>#NAME?</v>
      </c>
      <c r="BU44" s="656">
        <f t="shared" si="27"/>
        <v>384</v>
      </c>
      <c r="BV44" s="8">
        <f t="shared" si="28"/>
        <v>283</v>
      </c>
      <c r="BW44" s="657">
        <f t="shared" si="29"/>
        <v>289</v>
      </c>
      <c r="BX44" s="397"/>
      <c r="BY44" s="656">
        <f t="shared" si="31"/>
        <v>1.1428571428571672</v>
      </c>
      <c r="BZ44" s="8">
        <f t="shared" si="30"/>
        <v>42.714285714285722</v>
      </c>
      <c r="CA44" s="657">
        <f t="shared" si="30"/>
        <v>80.571428571428555</v>
      </c>
      <c r="CC44" s="28" t="s">
        <v>1554</v>
      </c>
      <c r="CD44" s="28">
        <v>7</v>
      </c>
      <c r="CE44" s="28">
        <v>432.28571428571428</v>
      </c>
      <c r="CF44" s="28">
        <v>61.755102040816325</v>
      </c>
      <c r="CG44" s="28">
        <v>1528.930029154518</v>
      </c>
    </row>
    <row r="45" spans="17:87" ht="15" thickBot="1">
      <c r="AI45" s="28" t="s">
        <v>1010</v>
      </c>
      <c r="AJ45" s="28">
        <f>AJ24</f>
        <v>431398.11428571434</v>
      </c>
      <c r="AK45" s="28" t="e">
        <f ca="1">AK23*AZ55</f>
        <v>#NAME?</v>
      </c>
      <c r="AL45" s="28" t="e">
        <f ca="1">AJ45/AK45</f>
        <v>#NAME?</v>
      </c>
      <c r="AM45" s="28" t="e">
        <f ca="1">AL45/AL46</f>
        <v>#NAME?</v>
      </c>
      <c r="AN45" s="28" t="e">
        <f ca="1">FDIST(AM45,AK45,AK46)</f>
        <v>#NAME?</v>
      </c>
      <c r="AO45" s="28" t="e">
        <f ca="1">FINV(0.05,AK45,AK46)</f>
        <v>#NAME?</v>
      </c>
      <c r="AR45" s="656" t="e">
        <f t="shared" ca="1" si="26"/>
        <v>#NAME?</v>
      </c>
      <c r="AS45" s="8" t="e">
        <f t="shared" ca="1" si="26"/>
        <v>#NAME?</v>
      </c>
      <c r="AT45" s="8" t="e">
        <f t="shared" ca="1" si="26"/>
        <v>#NAME?</v>
      </c>
      <c r="AU45" s="8" t="e">
        <f t="shared" ca="1" si="26"/>
        <v>#NAME?</v>
      </c>
      <c r="AV45" s="657" t="e">
        <f t="shared" ca="1" si="26"/>
        <v>#NAME?</v>
      </c>
      <c r="AX45" t="s">
        <v>1437</v>
      </c>
      <c r="AY45" s="627" t="e">
        <f ca="1">SUMSQ(AR47:AV47)</f>
        <v>#NAME?</v>
      </c>
      <c r="BA45" t="s">
        <v>1441</v>
      </c>
      <c r="BB45" s="627" t="e">
        <f ca="1">(BB43*BB41-BB43+1)*(BB42-1)*BB44-2</f>
        <v>#NAME?</v>
      </c>
      <c r="BU45" s="656">
        <f t="shared" si="27"/>
        <v>423</v>
      </c>
      <c r="BV45" s="8">
        <f t="shared" si="28"/>
        <v>351</v>
      </c>
      <c r="BW45" s="657">
        <f t="shared" si="29"/>
        <v>356</v>
      </c>
      <c r="BX45" s="397"/>
      <c r="BY45" s="656">
        <f t="shared" si="31"/>
        <v>40.142857142857167</v>
      </c>
      <c r="BZ45" s="8">
        <f t="shared" si="30"/>
        <v>25.285714285714278</v>
      </c>
      <c r="CA45" s="657">
        <f t="shared" si="30"/>
        <v>13.571428571428555</v>
      </c>
      <c r="CC45" s="31" t="s">
        <v>217</v>
      </c>
      <c r="CD45" s="31">
        <v>7</v>
      </c>
      <c r="CE45" s="31">
        <v>302.57142857142856</v>
      </c>
      <c r="CF45" s="31">
        <v>43.224489795918366</v>
      </c>
      <c r="CG45" s="31">
        <v>1370.8697764820211</v>
      </c>
    </row>
    <row r="46" spans="17:87">
      <c r="Q46" t="s">
        <v>1633</v>
      </c>
      <c r="AI46" s="686" t="s">
        <v>1009</v>
      </c>
      <c r="AJ46" s="686">
        <f>AJ25</f>
        <v>42650.685714285704</v>
      </c>
      <c r="AK46" s="686" t="e">
        <f ca="1">AK24*AZ55</f>
        <v>#NAME?</v>
      </c>
      <c r="AL46" s="686" t="e">
        <f ca="1">AJ46/AK46</f>
        <v>#NAME?</v>
      </c>
      <c r="AM46" s="686"/>
      <c r="AN46" s="686"/>
      <c r="AO46" s="686"/>
      <c r="AR46" s="533" t="e">
        <f t="shared" ca="1" si="26"/>
        <v>#NAME?</v>
      </c>
      <c r="AS46" s="534" t="e">
        <f t="shared" ca="1" si="26"/>
        <v>#NAME?</v>
      </c>
      <c r="AT46" s="534" t="e">
        <f t="shared" ca="1" si="26"/>
        <v>#NAME?</v>
      </c>
      <c r="AU46" s="534" t="e">
        <f t="shared" ca="1" si="26"/>
        <v>#NAME?</v>
      </c>
      <c r="AV46" s="541" t="e">
        <f t="shared" ca="1" si="26"/>
        <v>#NAME?</v>
      </c>
      <c r="AX46" t="s">
        <v>1438</v>
      </c>
      <c r="AY46" s="627" t="e">
        <f ca="1">(AY41*(AY42-AY43))^2</f>
        <v>#NAME?</v>
      </c>
      <c r="BA46" t="s">
        <v>1442</v>
      </c>
      <c r="BB46" s="627" t="e">
        <f ca="1">(BB42-1)*(BB41*BB43-BB43-(BB42-1)*BB44)</f>
        <v>#NAME?</v>
      </c>
      <c r="BU46" s="656">
        <f t="shared" si="27"/>
        <v>257</v>
      </c>
      <c r="BV46" s="8">
        <f t="shared" si="28"/>
        <v>193</v>
      </c>
      <c r="BW46" s="657">
        <f t="shared" si="29"/>
        <v>407</v>
      </c>
      <c r="BX46" s="397"/>
      <c r="BY46" s="656">
        <f t="shared" si="31"/>
        <v>125.85714285714283</v>
      </c>
      <c r="BZ46" s="8">
        <f t="shared" si="30"/>
        <v>132.71428571428572</v>
      </c>
      <c r="CA46" s="657">
        <f t="shared" si="30"/>
        <v>37.428571428571445</v>
      </c>
    </row>
    <row r="47" spans="17:87">
      <c r="AQ47" t="s">
        <v>63</v>
      </c>
      <c r="AR47" t="e">
        <f ca="1">AVERAGE(AR42:AR46)</f>
        <v>#NAME?</v>
      </c>
      <c r="AS47" t="e">
        <f ca="1">AVERAGE(AS42:AS46)</f>
        <v>#NAME?</v>
      </c>
      <c r="AT47" t="e">
        <f ca="1">AVERAGE(AT42:AT46)</f>
        <v>#NAME?</v>
      </c>
      <c r="AU47" t="e">
        <f ca="1">AVERAGE(AU42:AU46)</f>
        <v>#NAME?</v>
      </c>
      <c r="AV47" t="e">
        <f ca="1">AVERAGE(AV42:AV46)</f>
        <v>#NAME?</v>
      </c>
      <c r="AX47" t="s">
        <v>1439</v>
      </c>
      <c r="AY47" s="627" t="e">
        <f ca="1">(AY41-1)*(AY44-2*AY41*AY45+AY41^2*AY43^2)</f>
        <v>#NAME?</v>
      </c>
      <c r="BA47" t="s">
        <v>1443</v>
      </c>
      <c r="BB47" s="544" t="e">
        <f ca="1">MIN(BB45/BB46,1)</f>
        <v>#NAME?</v>
      </c>
      <c r="BU47" s="656">
        <f t="shared" si="27"/>
        <v>401</v>
      </c>
      <c r="BV47" s="8">
        <f t="shared" si="28"/>
        <v>285</v>
      </c>
      <c r="BW47" s="657">
        <f t="shared" si="29"/>
        <v>471</v>
      </c>
      <c r="BX47" s="397"/>
      <c r="BY47" s="656">
        <f t="shared" si="31"/>
        <v>18.142857142857167</v>
      </c>
      <c r="BZ47" s="8">
        <f t="shared" si="30"/>
        <v>40.714285714285722</v>
      </c>
      <c r="CA47" s="657">
        <f t="shared" si="30"/>
        <v>101.42857142857144</v>
      </c>
    </row>
    <row r="48" spans="17:87" ht="15" thickBot="1">
      <c r="R48" s="834" t="s">
        <v>578</v>
      </c>
      <c r="S48" s="834" t="s">
        <v>186</v>
      </c>
      <c r="AQ48" t="s">
        <v>66</v>
      </c>
      <c r="AR48" t="e">
        <f ca="1">INDEX(AR42:AR46,AR41)</f>
        <v>#NAME?</v>
      </c>
      <c r="AS48" t="e">
        <f ca="1">INDEX(AS42:AS46,AS41)</f>
        <v>#NAME?</v>
      </c>
      <c r="AT48" t="e">
        <f ca="1">INDEX(AT42:AT46,AT41)</f>
        <v>#NAME?</v>
      </c>
      <c r="AU48" t="e">
        <f ca="1">INDEX(AU42:AU46,AU41)</f>
        <v>#NAME?</v>
      </c>
      <c r="AV48" t="e">
        <f ca="1">INDEX(AV42:AV46,AV41)</f>
        <v>#NAME?</v>
      </c>
      <c r="AX48" t="s">
        <v>1440</v>
      </c>
      <c r="AY48" s="268" t="e">
        <f ca="1">AY46/AY47</f>
        <v>#NAME?</v>
      </c>
      <c r="BU48" s="533">
        <f t="shared" si="27"/>
        <v>432</v>
      </c>
      <c r="BV48" s="534">
        <f t="shared" si="28"/>
        <v>365</v>
      </c>
      <c r="BW48" s="541">
        <f t="shared" si="29"/>
        <v>317</v>
      </c>
      <c r="BX48" s="397"/>
      <c r="BY48" s="533">
        <f t="shared" si="31"/>
        <v>49.142857142857167</v>
      </c>
      <c r="BZ48" s="534">
        <f t="shared" si="30"/>
        <v>39.285714285714278</v>
      </c>
      <c r="CA48" s="541">
        <f t="shared" si="30"/>
        <v>52.571428571428555</v>
      </c>
      <c r="CC48" t="s">
        <v>695</v>
      </c>
    </row>
    <row r="49" spans="17:87">
      <c r="R49" s="848">
        <f>S12+S13</f>
        <v>354444.85714285669</v>
      </c>
      <c r="S49" s="849">
        <f>T12+T13</f>
        <v>90</v>
      </c>
      <c r="BA49" t="s">
        <v>1489</v>
      </c>
      <c r="BB49" s="655">
        <f>1/(BB42-1)</f>
        <v>0.25</v>
      </c>
      <c r="BT49" t="s">
        <v>63</v>
      </c>
      <c r="BU49" s="66">
        <f>AVERAGE(BU42:BU48)</f>
        <v>382.85714285714283</v>
      </c>
      <c r="BV49" s="66">
        <f>AVERAGE(BV42:BV48)</f>
        <v>325.71428571428572</v>
      </c>
      <c r="BW49" s="66">
        <f>AVERAGE(BW42:BW48)</f>
        <v>369.57142857142856</v>
      </c>
      <c r="BX49" s="685"/>
      <c r="BY49" s="685"/>
      <c r="BZ49" s="685"/>
      <c r="CA49" s="685"/>
      <c r="CC49" s="636" t="s">
        <v>887</v>
      </c>
      <c r="CD49" s="636" t="s">
        <v>578</v>
      </c>
      <c r="CE49" s="636" t="s">
        <v>186</v>
      </c>
      <c r="CF49" s="636" t="s">
        <v>641</v>
      </c>
      <c r="CG49" s="636" t="s">
        <v>388</v>
      </c>
      <c r="CH49" s="636" t="s">
        <v>367</v>
      </c>
      <c r="CI49" s="636" t="s">
        <v>888</v>
      </c>
    </row>
    <row r="50" spans="17:87">
      <c r="BT50" t="s">
        <v>66</v>
      </c>
      <c r="BU50" s="66">
        <f>VAR(BU42:BU49)</f>
        <v>3635.2653061224678</v>
      </c>
      <c r="BV50" s="66">
        <f>VAR(BV42:BV48)</f>
        <v>5978.2380952380872</v>
      </c>
      <c r="BW50" s="66">
        <f>VAR(BW42:BW48)</f>
        <v>3550.6190476190532</v>
      </c>
      <c r="CC50" s="28" t="s">
        <v>883</v>
      </c>
      <c r="CD50" s="28">
        <v>1299.3663751214772</v>
      </c>
      <c r="CE50" s="28">
        <v>2</v>
      </c>
      <c r="CF50" s="28">
        <v>649.68318756073859</v>
      </c>
      <c r="CG50" s="28">
        <v>0.43680313833584755</v>
      </c>
      <c r="CH50" s="28">
        <v>0.65276750542828776</v>
      </c>
      <c r="CI50" s="28">
        <v>3.5545571456617879</v>
      </c>
    </row>
    <row r="51" spans="17:87">
      <c r="AQ51" t="s">
        <v>225</v>
      </c>
      <c r="AR51" s="651" t="e">
        <f t="array" ref="AR51:AV55" ca="1">(AR15:AV19+AR24:AV28+AR33:AV37)*(CL7-1)/(CL8-CL5)</f>
        <v>#NAME?</v>
      </c>
      <c r="AS51" s="652" t="e">
        <f ca="1"/>
        <v>#NAME?</v>
      </c>
      <c r="AT51" s="652" t="e">
        <f ca="1"/>
        <v>#NAME?</v>
      </c>
      <c r="AU51" s="652" t="e">
        <f ca="1"/>
        <v>#NAME?</v>
      </c>
      <c r="AV51" s="653" t="e">
        <f ca="1"/>
        <v>#NAME?</v>
      </c>
      <c r="AX51" t="s">
        <v>1552</v>
      </c>
      <c r="CC51" s="28" t="s">
        <v>884</v>
      </c>
      <c r="CD51" s="28">
        <v>26772.4664723032</v>
      </c>
      <c r="CE51" s="28">
        <v>18</v>
      </c>
      <c r="CF51" s="28">
        <v>1487.3592484612889</v>
      </c>
      <c r="CG51" s="28"/>
      <c r="CH51" s="28"/>
      <c r="CI51" s="28"/>
    </row>
    <row r="52" spans="17:87">
      <c r="Q52" t="s">
        <v>2027</v>
      </c>
      <c r="AR52" s="656" t="e">
        <f ca="1"/>
        <v>#NAME?</v>
      </c>
      <c r="AS52" s="8" t="e">
        <f ca="1"/>
        <v>#NAME?</v>
      </c>
      <c r="AT52" s="8" t="e">
        <f ca="1"/>
        <v>#NAME?</v>
      </c>
      <c r="AU52" s="8" t="e">
        <f ca="1"/>
        <v>#NAME?</v>
      </c>
      <c r="AV52" s="657" t="e">
        <f ca="1"/>
        <v>#NAME?</v>
      </c>
      <c r="AY52" s="19" t="s">
        <v>1528</v>
      </c>
      <c r="AZ52" s="19" t="s">
        <v>1530</v>
      </c>
      <c r="CC52" s="28"/>
      <c r="CD52" s="28"/>
      <c r="CE52" s="28"/>
      <c r="CF52" s="28"/>
      <c r="CG52" s="28"/>
      <c r="CH52" s="28"/>
      <c r="CI52" s="28"/>
    </row>
    <row r="53" spans="17:87" ht="15" thickBot="1">
      <c r="AR53" s="656" t="e">
        <f ca="1"/>
        <v>#NAME?</v>
      </c>
      <c r="AS53" s="8" t="e">
        <f ca="1"/>
        <v>#NAME?</v>
      </c>
      <c r="AT53" s="8" t="e">
        <f ca="1"/>
        <v>#NAME?</v>
      </c>
      <c r="AU53" s="8" t="e">
        <f ca="1"/>
        <v>#NAME?</v>
      </c>
      <c r="AV53" s="657" t="e">
        <f ca="1"/>
        <v>#NAME?</v>
      </c>
      <c r="AX53" t="s">
        <v>1553</v>
      </c>
      <c r="AY53" s="651" t="e">
        <f ca="1">AY21</f>
        <v>#NAME?</v>
      </c>
      <c r="AZ53" s="653" t="e">
        <f ca="1">BB19</f>
        <v>#NAME?</v>
      </c>
      <c r="CC53" s="31" t="s">
        <v>12</v>
      </c>
      <c r="CD53" s="31">
        <v>28071.832847424677</v>
      </c>
      <c r="CE53" s="31">
        <v>20</v>
      </c>
      <c r="CF53" s="31"/>
      <c r="CG53" s="31"/>
      <c r="CH53" s="31"/>
      <c r="CI53" s="31"/>
    </row>
    <row r="54" spans="17:87" ht="15" thickBot="1">
      <c r="Q54" t="s">
        <v>695</v>
      </c>
      <c r="AR54" s="656" t="e">
        <f ca="1"/>
        <v>#NAME?</v>
      </c>
      <c r="AS54" s="8" t="e">
        <f ca="1"/>
        <v>#NAME?</v>
      </c>
      <c r="AT54" s="8" t="e">
        <f ca="1"/>
        <v>#NAME?</v>
      </c>
      <c r="AU54" s="8" t="e">
        <f ca="1"/>
        <v>#NAME?</v>
      </c>
      <c r="AV54" s="657" t="e">
        <f ca="1"/>
        <v>#NAME?</v>
      </c>
      <c r="AX54" t="s">
        <v>1554</v>
      </c>
      <c r="AY54" s="656" t="e">
        <f ca="1">AY30</f>
        <v>#NAME?</v>
      </c>
      <c r="AZ54" s="657" t="e">
        <f ca="1">BB28</f>
        <v>#NAME?</v>
      </c>
    </row>
    <row r="55" spans="17:87">
      <c r="Q55" s="633" t="s">
        <v>887</v>
      </c>
      <c r="R55" s="633" t="s">
        <v>578</v>
      </c>
      <c r="S55" s="633" t="s">
        <v>186</v>
      </c>
      <c r="T55" s="633" t="s">
        <v>641</v>
      </c>
      <c r="U55" s="633" t="s">
        <v>388</v>
      </c>
      <c r="V55" s="633" t="s">
        <v>367</v>
      </c>
      <c r="AR55" s="533" t="e">
        <f ca="1"/>
        <v>#NAME?</v>
      </c>
      <c r="AS55" s="534" t="e">
        <f ca="1"/>
        <v>#NAME?</v>
      </c>
      <c r="AT55" s="534" t="e">
        <f ca="1"/>
        <v>#NAME?</v>
      </c>
      <c r="AU55" s="534" t="e">
        <f ca="1"/>
        <v>#NAME?</v>
      </c>
      <c r="AV55" s="541" t="e">
        <f ca="1"/>
        <v>#NAME?</v>
      </c>
      <c r="AX55" t="s">
        <v>217</v>
      </c>
      <c r="AY55" s="533" t="e">
        <f ca="1">AY39</f>
        <v>#NAME?</v>
      </c>
      <c r="AZ55" s="541" t="e">
        <f ca="1">BB37</f>
        <v>#NAME?</v>
      </c>
    </row>
    <row r="56" spans="17:87">
      <c r="Q56" s="126" t="s">
        <v>1568</v>
      </c>
      <c r="R56">
        <f t="shared" ref="R56:T57" si="32">R42</f>
        <v>64383.523809523816</v>
      </c>
      <c r="S56">
        <f t="shared" si="32"/>
        <v>2</v>
      </c>
      <c r="T56">
        <f t="shared" si="32"/>
        <v>32191.761904761908</v>
      </c>
      <c r="U56">
        <f>T56/T58</f>
        <v>4.6807738020301644</v>
      </c>
      <c r="V56">
        <f>FDIST(U56,S56,S58)</f>
        <v>1.3603484164813702E-2</v>
      </c>
      <c r="BU56" t="s">
        <v>1558</v>
      </c>
      <c r="CC56" t="s">
        <v>885</v>
      </c>
    </row>
    <row r="57" spans="17:87">
      <c r="Q57" s="126" t="s">
        <v>1569</v>
      </c>
      <c r="R57">
        <f t="shared" si="32"/>
        <v>19678.952380952396</v>
      </c>
      <c r="S57">
        <f t="shared" si="32"/>
        <v>2</v>
      </c>
      <c r="T57">
        <f t="shared" si="32"/>
        <v>9839.4761904761981</v>
      </c>
      <c r="U57" s="28">
        <f>T57/T58</f>
        <v>1.4306878422602816</v>
      </c>
      <c r="V57">
        <f>FDIST(U57,S57,S58)</f>
        <v>0.24857916745048914</v>
      </c>
    </row>
    <row r="58" spans="17:87" ht="15" thickBot="1">
      <c r="Q58" s="534" t="str">
        <f>Q44</f>
        <v>Error</v>
      </c>
      <c r="R58" s="534">
        <f>S12+S13</f>
        <v>354444.85714285669</v>
      </c>
      <c r="S58" s="534">
        <f>R58^2/(S12^2/T12+S13^2/T13)</f>
        <v>51.537291015226842</v>
      </c>
      <c r="T58" s="534">
        <f>R58/S58</f>
        <v>6877.4444709974168</v>
      </c>
      <c r="U58" s="534"/>
      <c r="V58" s="534"/>
      <c r="BU58" s="635" t="s">
        <v>1553</v>
      </c>
      <c r="BV58" s="635" t="s">
        <v>1554</v>
      </c>
      <c r="BW58" s="635" t="s">
        <v>217</v>
      </c>
      <c r="BX58" s="348"/>
      <c r="BY58" s="635" t="s">
        <v>1553</v>
      </c>
      <c r="BZ58" s="635" t="s">
        <v>1554</v>
      </c>
      <c r="CA58" s="635" t="s">
        <v>217</v>
      </c>
      <c r="CC58" t="s">
        <v>194</v>
      </c>
    </row>
    <row r="59" spans="17:87">
      <c r="BU59" s="553">
        <f t="shared" ref="BU59:BU65" si="33">E4</f>
        <v>368</v>
      </c>
      <c r="BV59" s="666">
        <f t="shared" ref="BV59:BV65" si="34">E12</f>
        <v>398</v>
      </c>
      <c r="BW59" s="667">
        <f t="shared" ref="BW59:BW65" si="35">E18</f>
        <v>311</v>
      </c>
      <c r="BX59" s="397"/>
      <c r="BY59" s="553">
        <f>ABS(BU59-BU$66)</f>
        <v>5.4285714285714448</v>
      </c>
      <c r="BZ59" s="666">
        <f>ABS(BV59-BV$66)</f>
        <v>109.28571428571428</v>
      </c>
      <c r="CA59" s="667">
        <f>ABS(BW59-BW$66)</f>
        <v>63.285714285714278</v>
      </c>
      <c r="CC59" s="636" t="s">
        <v>222</v>
      </c>
      <c r="CD59" s="636" t="s">
        <v>88</v>
      </c>
      <c r="CE59" s="636" t="s">
        <v>87</v>
      </c>
      <c r="CF59" s="636" t="s">
        <v>886</v>
      </c>
      <c r="CG59" s="636" t="s">
        <v>223</v>
      </c>
    </row>
    <row r="60" spans="17:87">
      <c r="BU60" s="656">
        <f t="shared" si="33"/>
        <v>382</v>
      </c>
      <c r="BV60" s="8">
        <f t="shared" si="34"/>
        <v>317</v>
      </c>
      <c r="BW60" s="657">
        <f t="shared" si="35"/>
        <v>369</v>
      </c>
      <c r="BX60" s="397"/>
      <c r="BY60" s="656">
        <f t="shared" ref="BY60:BY65" si="36">ABS(BU60-BU$66)</f>
        <v>19.428571428571445</v>
      </c>
      <c r="BZ60" s="8">
        <f t="shared" ref="BZ60:BZ65" si="37">ABS(BV60-BV$66)</f>
        <v>28.285714285714278</v>
      </c>
      <c r="CA60" s="657">
        <f t="shared" ref="CA60:CA65" si="38">ABS(BW60-BW$66)</f>
        <v>5.2857142857142776</v>
      </c>
      <c r="CC60" s="28" t="s">
        <v>1553</v>
      </c>
      <c r="CD60" s="28">
        <v>7</v>
      </c>
      <c r="CE60" s="28">
        <v>318.28571428571433</v>
      </c>
      <c r="CF60" s="28">
        <v>45.469387755102048</v>
      </c>
      <c r="CG60" s="28">
        <v>906.24295432458678</v>
      </c>
    </row>
    <row r="61" spans="17:87">
      <c r="BU61" s="656">
        <f t="shared" si="33"/>
        <v>421</v>
      </c>
      <c r="BV61" s="8">
        <f t="shared" si="34"/>
        <v>259</v>
      </c>
      <c r="BW61" s="657">
        <f t="shared" si="35"/>
        <v>385</v>
      </c>
      <c r="BX61" s="397"/>
      <c r="BY61" s="656">
        <f t="shared" si="36"/>
        <v>58.428571428571445</v>
      </c>
      <c r="BZ61" s="8">
        <f t="shared" si="37"/>
        <v>29.714285714285722</v>
      </c>
      <c r="CA61" s="657">
        <f t="shared" si="38"/>
        <v>10.714285714285722</v>
      </c>
      <c r="CC61" s="28" t="s">
        <v>1554</v>
      </c>
      <c r="CD61" s="28">
        <v>7</v>
      </c>
      <c r="CE61" s="28">
        <v>319.71428571428572</v>
      </c>
      <c r="CF61" s="28">
        <v>45.673469387755105</v>
      </c>
      <c r="CG61" s="28">
        <v>1209.4946550048592</v>
      </c>
    </row>
    <row r="62" spans="17:87" ht="15" thickBot="1">
      <c r="BU62" s="656">
        <f t="shared" si="33"/>
        <v>415</v>
      </c>
      <c r="BV62" s="8">
        <f t="shared" si="34"/>
        <v>280</v>
      </c>
      <c r="BW62" s="657">
        <f t="shared" si="35"/>
        <v>380</v>
      </c>
      <c r="BX62" s="397"/>
      <c r="BY62" s="656">
        <f t="shared" si="36"/>
        <v>52.428571428571445</v>
      </c>
      <c r="BZ62" s="8">
        <f t="shared" si="37"/>
        <v>8.7142857142857224</v>
      </c>
      <c r="CA62" s="657">
        <f t="shared" si="38"/>
        <v>5.7142857142857224</v>
      </c>
      <c r="CC62" s="31" t="s">
        <v>217</v>
      </c>
      <c r="CD62" s="31">
        <v>7</v>
      </c>
      <c r="CE62" s="31">
        <v>271.71428571428572</v>
      </c>
      <c r="CF62" s="31">
        <v>38.816326530612244</v>
      </c>
      <c r="CG62" s="31">
        <v>1125.0796890184645</v>
      </c>
    </row>
    <row r="63" spans="17:87">
      <c r="BU63" s="656">
        <f t="shared" si="33"/>
        <v>275</v>
      </c>
      <c r="BV63" s="8">
        <f t="shared" si="34"/>
        <v>240</v>
      </c>
      <c r="BW63" s="657">
        <f t="shared" si="35"/>
        <v>461</v>
      </c>
      <c r="BX63" s="397"/>
      <c r="BY63" s="656">
        <f t="shared" si="36"/>
        <v>87.571428571428555</v>
      </c>
      <c r="BZ63" s="8">
        <f t="shared" si="37"/>
        <v>48.714285714285722</v>
      </c>
      <c r="CA63" s="657">
        <f t="shared" si="38"/>
        <v>86.714285714285722</v>
      </c>
    </row>
    <row r="64" spans="17:87">
      <c r="BU64" s="656">
        <f t="shared" si="33"/>
        <v>291</v>
      </c>
      <c r="BV64" s="8">
        <f t="shared" si="34"/>
        <v>216</v>
      </c>
      <c r="BW64" s="657">
        <f t="shared" si="35"/>
        <v>407</v>
      </c>
      <c r="BX64" s="397"/>
      <c r="BY64" s="656">
        <f t="shared" si="36"/>
        <v>71.571428571428555</v>
      </c>
      <c r="BZ64" s="8">
        <f t="shared" si="37"/>
        <v>72.714285714285722</v>
      </c>
      <c r="CA64" s="657">
        <f t="shared" si="38"/>
        <v>32.714285714285722</v>
      </c>
    </row>
    <row r="65" spans="72:87" ht="15" thickBot="1">
      <c r="BU65" s="533">
        <f t="shared" si="33"/>
        <v>386</v>
      </c>
      <c r="BV65" s="534">
        <f t="shared" si="34"/>
        <v>311</v>
      </c>
      <c r="BW65" s="541">
        <f t="shared" si="35"/>
        <v>307</v>
      </c>
      <c r="BX65" s="397"/>
      <c r="BY65" s="533">
        <f t="shared" si="36"/>
        <v>23.428571428571445</v>
      </c>
      <c r="BZ65" s="534">
        <f t="shared" si="37"/>
        <v>22.285714285714278</v>
      </c>
      <c r="CA65" s="541">
        <f t="shared" si="38"/>
        <v>67.285714285714278</v>
      </c>
      <c r="CC65" t="s">
        <v>695</v>
      </c>
    </row>
    <row r="66" spans="72:87">
      <c r="BT66" t="s">
        <v>63</v>
      </c>
      <c r="BU66" s="66">
        <f>AVERAGE(BU59:BU65)</f>
        <v>362.57142857142856</v>
      </c>
      <c r="BV66" s="66">
        <f>AVERAGE(BV59:BV65)</f>
        <v>288.71428571428572</v>
      </c>
      <c r="BW66" s="66">
        <f>AVERAGE(BW59:BW65)</f>
        <v>374.28571428571428</v>
      </c>
      <c r="BX66" s="685"/>
      <c r="BY66" s="685"/>
      <c r="BZ66" s="685"/>
      <c r="CA66" s="685"/>
      <c r="CC66" s="636" t="s">
        <v>887</v>
      </c>
      <c r="CD66" s="636" t="s">
        <v>578</v>
      </c>
      <c r="CE66" s="636" t="s">
        <v>186</v>
      </c>
      <c r="CF66" s="636" t="s">
        <v>641</v>
      </c>
      <c r="CG66" s="636" t="s">
        <v>388</v>
      </c>
      <c r="CH66" s="636" t="s">
        <v>367</v>
      </c>
      <c r="CI66" s="636" t="s">
        <v>888</v>
      </c>
    </row>
    <row r="67" spans="72:87">
      <c r="BT67" t="s">
        <v>66</v>
      </c>
      <c r="BU67" s="66">
        <f>VAR(BU59:BU66)</f>
        <v>2844.2448979592218</v>
      </c>
      <c r="BV67" s="66">
        <f>VAR(BV59:BV65)</f>
        <v>3643.2380952380868</v>
      </c>
      <c r="BW67" s="66">
        <f>VAR(BW59:BW65)</f>
        <v>2882.9047619047537</v>
      </c>
      <c r="CC67" s="28" t="s">
        <v>883</v>
      </c>
      <c r="CD67" s="28">
        <v>213.09232264334059</v>
      </c>
      <c r="CE67" s="28">
        <v>2</v>
      </c>
      <c r="CF67" s="28">
        <v>106.5461613216703</v>
      </c>
      <c r="CG67" s="28">
        <v>9.8628973662895122E-2</v>
      </c>
      <c r="CH67" s="28">
        <v>0.90656507578072709</v>
      </c>
      <c r="CI67" s="28">
        <v>3.5545571456617879</v>
      </c>
    </row>
    <row r="68" spans="72:87">
      <c r="CC68" s="28" t="s">
        <v>884</v>
      </c>
      <c r="CD68" s="28">
        <v>19444.903790087457</v>
      </c>
      <c r="CE68" s="28">
        <v>18</v>
      </c>
      <c r="CF68" s="28">
        <v>1080.2724327826365</v>
      </c>
      <c r="CG68" s="28"/>
      <c r="CH68" s="28"/>
      <c r="CI68" s="28"/>
    </row>
    <row r="69" spans="72:87">
      <c r="CC69" s="28"/>
      <c r="CD69" s="28"/>
      <c r="CE69" s="28"/>
      <c r="CF69" s="28"/>
      <c r="CG69" s="28"/>
      <c r="CH69" s="28"/>
      <c r="CI69" s="28"/>
    </row>
    <row r="70" spans="72:87" ht="15" thickBot="1">
      <c r="CC70" s="31" t="s">
        <v>12</v>
      </c>
      <c r="CD70" s="31">
        <v>19657.996112730798</v>
      </c>
      <c r="CE70" s="31">
        <v>20</v>
      </c>
      <c r="CF70" s="31"/>
      <c r="CG70" s="31"/>
      <c r="CH70" s="31"/>
      <c r="CI70" s="31"/>
    </row>
    <row r="73" spans="72:87">
      <c r="BU73" t="s">
        <v>1559</v>
      </c>
      <c r="CC73" t="s">
        <v>885</v>
      </c>
    </row>
    <row r="75" spans="72:87" ht="15" thickBot="1">
      <c r="BU75" s="635" t="s">
        <v>1553</v>
      </c>
      <c r="BV75" s="635" t="s">
        <v>1554</v>
      </c>
      <c r="BW75" s="635" t="s">
        <v>217</v>
      </c>
      <c r="BX75" s="348"/>
      <c r="BY75" s="635" t="s">
        <v>1553</v>
      </c>
      <c r="BZ75" s="635" t="s">
        <v>1554</v>
      </c>
      <c r="CA75" s="635" t="s">
        <v>217</v>
      </c>
      <c r="CC75" t="s">
        <v>194</v>
      </c>
    </row>
    <row r="76" spans="72:87">
      <c r="BU76" s="553">
        <f t="shared" ref="BU76:BU82" si="39">F4</f>
        <v>456</v>
      </c>
      <c r="BV76" s="666">
        <f t="shared" ref="BV76:BV82" si="40">F12</f>
        <v>268</v>
      </c>
      <c r="BW76" s="667">
        <f t="shared" ref="BW76:BW82" si="41">F18</f>
        <v>331</v>
      </c>
      <c r="BX76" s="397"/>
      <c r="BY76" s="553">
        <f>ABS(BU76-BU$83)</f>
        <v>72.285714285714278</v>
      </c>
      <c r="BZ76" s="666">
        <f>ABS(BV76-BV$83)</f>
        <v>37.714285714285722</v>
      </c>
      <c r="CA76" s="667">
        <f>ABS(BW76-BW$83)</f>
        <v>27</v>
      </c>
      <c r="CC76" s="636" t="s">
        <v>222</v>
      </c>
      <c r="CD76" s="636" t="s">
        <v>88</v>
      </c>
      <c r="CE76" s="636" t="s">
        <v>87</v>
      </c>
      <c r="CF76" s="636" t="s">
        <v>886</v>
      </c>
      <c r="CG76" s="636" t="s">
        <v>223</v>
      </c>
    </row>
    <row r="77" spans="72:87">
      <c r="BU77" s="656">
        <f t="shared" si="39"/>
        <v>298</v>
      </c>
      <c r="BV77" s="8">
        <f t="shared" si="40"/>
        <v>470</v>
      </c>
      <c r="BW77" s="657">
        <f t="shared" si="41"/>
        <v>295</v>
      </c>
      <c r="BX77" s="397"/>
      <c r="BY77" s="656">
        <f t="shared" ref="BY77:BY82" si="42">ABS(BU77-BU$83)</f>
        <v>85.714285714285722</v>
      </c>
      <c r="BZ77" s="8">
        <f t="shared" ref="BZ77:BZ82" si="43">ABS(BV77-BV$83)</f>
        <v>164.28571428571428</v>
      </c>
      <c r="CA77" s="657">
        <f t="shared" ref="CA77:CA82" si="44">ABS(BW77-BW$83)</f>
        <v>63</v>
      </c>
      <c r="CC77" s="28" t="s">
        <v>1553</v>
      </c>
      <c r="CD77" s="28">
        <v>7</v>
      </c>
      <c r="CE77" s="28">
        <v>391.71428571428572</v>
      </c>
      <c r="CF77" s="28">
        <v>55.95918367346939</v>
      </c>
      <c r="CG77" s="28">
        <v>665.56948493683194</v>
      </c>
    </row>
    <row r="78" spans="72:87">
      <c r="BU78" s="656">
        <f t="shared" si="39"/>
        <v>342</v>
      </c>
      <c r="BV78" s="8">
        <f t="shared" si="40"/>
        <v>273</v>
      </c>
      <c r="BW78" s="657">
        <f t="shared" si="41"/>
        <v>373</v>
      </c>
      <c r="BX78" s="397"/>
      <c r="BY78" s="656">
        <f t="shared" si="42"/>
        <v>41.714285714285722</v>
      </c>
      <c r="BZ78" s="8">
        <f t="shared" si="43"/>
        <v>32.714285714285722</v>
      </c>
      <c r="CA78" s="657">
        <f t="shared" si="44"/>
        <v>15</v>
      </c>
      <c r="CC78" s="28" t="s">
        <v>1554</v>
      </c>
      <c r="CD78" s="28">
        <v>7</v>
      </c>
      <c r="CE78" s="28">
        <v>407.71428571428572</v>
      </c>
      <c r="CF78" s="28">
        <v>58.244897959183675</v>
      </c>
      <c r="CG78" s="28">
        <v>2592.0252672497572</v>
      </c>
    </row>
    <row r="79" spans="72:87" ht="15" thickBot="1">
      <c r="BU79" s="656">
        <f t="shared" si="39"/>
        <v>468</v>
      </c>
      <c r="BV79" s="8">
        <f t="shared" si="40"/>
        <v>320</v>
      </c>
      <c r="BW79" s="657">
        <f t="shared" si="41"/>
        <v>305</v>
      </c>
      <c r="BX79" s="397"/>
      <c r="BY79" s="656">
        <f t="shared" si="42"/>
        <v>84.285714285714278</v>
      </c>
      <c r="BZ79" s="8">
        <f t="shared" si="43"/>
        <v>14.285714285714278</v>
      </c>
      <c r="CA79" s="657">
        <f t="shared" si="44"/>
        <v>53</v>
      </c>
      <c r="CC79" s="31" t="s">
        <v>217</v>
      </c>
      <c r="CD79" s="31">
        <v>7</v>
      </c>
      <c r="CE79" s="31">
        <v>354</v>
      </c>
      <c r="CF79" s="31">
        <v>50.571428571428569</v>
      </c>
      <c r="CG79" s="31">
        <v>696.61904761904771</v>
      </c>
    </row>
    <row r="80" spans="72:87">
      <c r="BU80" s="656">
        <f t="shared" si="39"/>
        <v>332</v>
      </c>
      <c r="BV80" s="8">
        <f t="shared" si="40"/>
        <v>233</v>
      </c>
      <c r="BW80" s="657">
        <f t="shared" si="41"/>
        <v>445</v>
      </c>
      <c r="BX80" s="397"/>
      <c r="BY80" s="656">
        <f t="shared" si="42"/>
        <v>51.714285714285722</v>
      </c>
      <c r="BZ80" s="8">
        <f t="shared" si="43"/>
        <v>72.714285714285722</v>
      </c>
      <c r="CA80" s="657">
        <f t="shared" si="44"/>
        <v>87</v>
      </c>
    </row>
    <row r="81" spans="72:87">
      <c r="BU81" s="656">
        <f t="shared" si="39"/>
        <v>367</v>
      </c>
      <c r="BV81" s="8">
        <f t="shared" si="40"/>
        <v>245</v>
      </c>
      <c r="BW81" s="657">
        <f t="shared" si="41"/>
        <v>433</v>
      </c>
      <c r="BX81" s="397"/>
      <c r="BY81" s="656">
        <f t="shared" si="42"/>
        <v>16.714285714285722</v>
      </c>
      <c r="BZ81" s="8">
        <f t="shared" si="43"/>
        <v>60.714285714285722</v>
      </c>
      <c r="CA81" s="657">
        <f t="shared" si="44"/>
        <v>75</v>
      </c>
    </row>
    <row r="82" spans="72:87" ht="15" thickBot="1">
      <c r="BU82" s="533">
        <f t="shared" si="39"/>
        <v>423</v>
      </c>
      <c r="BV82" s="534">
        <f t="shared" si="40"/>
        <v>331</v>
      </c>
      <c r="BW82" s="541">
        <f t="shared" si="41"/>
        <v>324</v>
      </c>
      <c r="BX82" s="397"/>
      <c r="BY82" s="533">
        <f t="shared" si="42"/>
        <v>39.285714285714278</v>
      </c>
      <c r="BZ82" s="534">
        <f t="shared" si="43"/>
        <v>25.285714285714278</v>
      </c>
      <c r="CA82" s="541">
        <f t="shared" si="44"/>
        <v>34</v>
      </c>
      <c r="CC82" t="s">
        <v>695</v>
      </c>
    </row>
    <row r="83" spans="72:87">
      <c r="BT83" t="s">
        <v>63</v>
      </c>
      <c r="BU83" s="66">
        <f>AVERAGE(BU76:BU82)</f>
        <v>383.71428571428572</v>
      </c>
      <c r="BV83" s="66">
        <f>AVERAGE(BV76:BV82)</f>
        <v>305.71428571428572</v>
      </c>
      <c r="BW83" s="66">
        <f>AVERAGE(BW76:BW82)</f>
        <v>358</v>
      </c>
      <c r="BX83" s="685"/>
      <c r="BY83" s="685"/>
      <c r="BZ83" s="685"/>
      <c r="CA83" s="685"/>
      <c r="CC83" s="636" t="s">
        <v>887</v>
      </c>
      <c r="CD83" s="636" t="s">
        <v>578</v>
      </c>
      <c r="CE83" s="636" t="s">
        <v>186</v>
      </c>
      <c r="CF83" s="636" t="s">
        <v>641</v>
      </c>
      <c r="CG83" s="636" t="s">
        <v>388</v>
      </c>
      <c r="CH83" s="636" t="s">
        <v>367</v>
      </c>
      <c r="CI83" s="636" t="s">
        <v>888</v>
      </c>
    </row>
    <row r="84" spans="72:87">
      <c r="BT84" t="s">
        <v>66</v>
      </c>
      <c r="BU84" s="66">
        <f>VAR(BU76:BU83)</f>
        <v>3701.9183673469483</v>
      </c>
      <c r="BV84" s="66">
        <f>VAR(BV76:BV82)</f>
        <v>6549.9047619047533</v>
      </c>
      <c r="BW84" s="66">
        <f>VAR(BW76:BW82)</f>
        <v>3680.3333333333335</v>
      </c>
      <c r="CC84" s="28" t="s">
        <v>883</v>
      </c>
      <c r="CD84" s="28">
        <v>217.3138969873653</v>
      </c>
      <c r="CE84" s="28">
        <v>2</v>
      </c>
      <c r="CF84" s="28">
        <v>108.65694849368265</v>
      </c>
      <c r="CG84" s="28">
        <v>8.243632286576677E-2</v>
      </c>
      <c r="CH84" s="28">
        <v>0.92121569737530185</v>
      </c>
      <c r="CI84" s="28">
        <v>3.5545571456617879</v>
      </c>
    </row>
    <row r="85" spans="72:87">
      <c r="CC85" s="28" t="s">
        <v>884</v>
      </c>
      <c r="CD85" s="28">
        <v>23725.282798833821</v>
      </c>
      <c r="CE85" s="28">
        <v>18</v>
      </c>
      <c r="CF85" s="28">
        <v>1318.071266601879</v>
      </c>
      <c r="CG85" s="28"/>
      <c r="CH85" s="28"/>
      <c r="CI85" s="28"/>
    </row>
    <row r="86" spans="72:87">
      <c r="CC86" s="28"/>
      <c r="CD86" s="28"/>
      <c r="CE86" s="28"/>
      <c r="CF86" s="28"/>
      <c r="CG86" s="28"/>
      <c r="CH86" s="28"/>
      <c r="CI86" s="28"/>
    </row>
    <row r="87" spans="72:87" ht="15" thickBot="1">
      <c r="CC87" s="31" t="s">
        <v>12</v>
      </c>
      <c r="CD87" s="31">
        <v>23942.596695821187</v>
      </c>
      <c r="CE87" s="31">
        <v>20</v>
      </c>
      <c r="CF87" s="31"/>
      <c r="CG87" s="31"/>
      <c r="CH87" s="31"/>
      <c r="CI87" s="31"/>
    </row>
    <row r="90" spans="72:87">
      <c r="BU90" t="s">
        <v>1598</v>
      </c>
      <c r="CC90" t="s">
        <v>885</v>
      </c>
    </row>
    <row r="92" spans="72:87" ht="15" thickBot="1">
      <c r="BU92" s="635" t="s">
        <v>1553</v>
      </c>
      <c r="BV92" s="635" t="s">
        <v>1554</v>
      </c>
      <c r="BW92" s="635" t="s">
        <v>217</v>
      </c>
      <c r="BX92" s="348"/>
      <c r="BY92" s="635" t="s">
        <v>1553</v>
      </c>
      <c r="BZ92" s="635" t="s">
        <v>1554</v>
      </c>
      <c r="CA92" s="635" t="s">
        <v>217</v>
      </c>
      <c r="CC92" t="s">
        <v>194</v>
      </c>
    </row>
    <row r="93" spans="72:87">
      <c r="BU93" s="553">
        <f t="shared" ref="BU93:BW99" si="45">BD6</f>
        <v>358.8</v>
      </c>
      <c r="BV93" s="666">
        <f t="shared" si="45"/>
        <v>230.8</v>
      </c>
      <c r="BW93" s="667">
        <f t="shared" si="45"/>
        <v>249.8</v>
      </c>
      <c r="BX93" s="397"/>
      <c r="BY93" s="553">
        <f>ABS(BU93-BU$100)</f>
        <v>44.028571428571411</v>
      </c>
      <c r="BZ93" s="666">
        <f>ABS(BV93-BV$100)</f>
        <v>14.314285714285745</v>
      </c>
      <c r="CA93" s="667">
        <f>ABS(BW93-BW$100)</f>
        <v>35.799999999999955</v>
      </c>
      <c r="CC93" s="636" t="s">
        <v>222</v>
      </c>
      <c r="CD93" s="636" t="s">
        <v>88</v>
      </c>
      <c r="CE93" s="636" t="s">
        <v>87</v>
      </c>
      <c r="CF93" s="636" t="s">
        <v>886</v>
      </c>
      <c r="CG93" s="636" t="s">
        <v>223</v>
      </c>
    </row>
    <row r="94" spans="72:87">
      <c r="BU94" s="656">
        <f t="shared" si="45"/>
        <v>258.60000000000002</v>
      </c>
      <c r="BV94" s="8">
        <f t="shared" si="45"/>
        <v>245.4</v>
      </c>
      <c r="BW94" s="657">
        <f t="shared" si="45"/>
        <v>279</v>
      </c>
      <c r="BX94" s="397"/>
      <c r="BY94" s="656">
        <f t="shared" ref="BY94:BY99" si="46">ABS(BU94-BU$100)</f>
        <v>56.171428571428578</v>
      </c>
      <c r="BZ94" s="8">
        <f t="shared" ref="BZ94:BZ99" si="47">ABS(BV94-BV$100)</f>
        <v>28.914285714285739</v>
      </c>
      <c r="CA94" s="657">
        <f t="shared" ref="CA94:CA99" si="48">ABS(BW94-BW$100)</f>
        <v>6.5999999999999659</v>
      </c>
      <c r="CC94" s="28" t="s">
        <v>1553</v>
      </c>
      <c r="CD94" s="28">
        <v>7</v>
      </c>
      <c r="CE94" s="28">
        <v>318.22857142857134</v>
      </c>
      <c r="CF94" s="28">
        <v>45.461224489795903</v>
      </c>
      <c r="CG94" s="28">
        <v>424.56229348882454</v>
      </c>
    </row>
    <row r="95" spans="72:87">
      <c r="BU95" s="656">
        <f t="shared" si="45"/>
        <v>331.8</v>
      </c>
      <c r="BV95" s="8">
        <f t="shared" si="45"/>
        <v>274.8</v>
      </c>
      <c r="BW95" s="657">
        <f t="shared" si="45"/>
        <v>258.39999999999998</v>
      </c>
      <c r="BX95" s="397"/>
      <c r="BY95" s="656">
        <f t="shared" si="46"/>
        <v>17.028571428571411</v>
      </c>
      <c r="BZ95" s="8">
        <f t="shared" si="47"/>
        <v>58.314285714285745</v>
      </c>
      <c r="CA95" s="657">
        <f t="shared" si="48"/>
        <v>27.199999999999989</v>
      </c>
      <c r="CC95" s="28" t="s">
        <v>1554</v>
      </c>
      <c r="CD95" s="28">
        <v>7</v>
      </c>
      <c r="CE95" s="28">
        <v>238.9142857142858</v>
      </c>
      <c r="CF95" s="28">
        <v>34.130612244897968</v>
      </c>
      <c r="CG95" s="28">
        <v>582.08295432458692</v>
      </c>
    </row>
    <row r="96" spans="72:87" ht="15" thickBot="1">
      <c r="BU96" s="656">
        <f t="shared" si="45"/>
        <v>372.2</v>
      </c>
      <c r="BV96" s="8">
        <f t="shared" si="45"/>
        <v>234.4</v>
      </c>
      <c r="BW96" s="657">
        <f t="shared" si="45"/>
        <v>264.60000000000002</v>
      </c>
      <c r="BX96" s="397"/>
      <c r="BY96" s="656">
        <f t="shared" si="46"/>
        <v>57.428571428571388</v>
      </c>
      <c r="BZ96" s="8">
        <f t="shared" si="47"/>
        <v>17.914285714285739</v>
      </c>
      <c r="CA96" s="657">
        <f t="shared" si="48"/>
        <v>20.999999999999943</v>
      </c>
      <c r="CC96" s="31" t="s">
        <v>217</v>
      </c>
      <c r="CD96" s="31">
        <v>7</v>
      </c>
      <c r="CE96" s="31">
        <v>231.19999999999982</v>
      </c>
      <c r="CF96" s="31">
        <v>33.028571428571404</v>
      </c>
      <c r="CG96" s="31">
        <v>396.08571428571531</v>
      </c>
    </row>
    <row r="97" spans="72:87">
      <c r="BU97" s="656">
        <f t="shared" si="45"/>
        <v>237</v>
      </c>
      <c r="BV97" s="8">
        <f t="shared" si="45"/>
        <v>214.2</v>
      </c>
      <c r="BW97" s="657">
        <f t="shared" si="45"/>
        <v>353.4</v>
      </c>
      <c r="BX97" s="397"/>
      <c r="BY97" s="656">
        <f t="shared" si="46"/>
        <v>77.771428571428601</v>
      </c>
      <c r="BZ97" s="8">
        <f t="shared" si="47"/>
        <v>2.2857142857142776</v>
      </c>
      <c r="CA97" s="657">
        <f t="shared" si="48"/>
        <v>67.800000000000011</v>
      </c>
    </row>
    <row r="98" spans="72:87">
      <c r="BU98" s="656">
        <f t="shared" si="45"/>
        <v>289.60000000000002</v>
      </c>
      <c r="BV98" s="8">
        <f t="shared" si="45"/>
        <v>155.19999999999999</v>
      </c>
      <c r="BW98" s="657">
        <f t="shared" si="45"/>
        <v>333.4</v>
      </c>
      <c r="BX98" s="397"/>
      <c r="BY98" s="656">
        <f t="shared" si="46"/>
        <v>25.171428571428578</v>
      </c>
      <c r="BZ98" s="8">
        <f t="shared" si="47"/>
        <v>61.285714285714278</v>
      </c>
      <c r="CA98" s="657">
        <f t="shared" si="48"/>
        <v>47.800000000000011</v>
      </c>
    </row>
    <row r="99" spans="72:87" ht="15" thickBot="1">
      <c r="BU99" s="533">
        <f t="shared" si="45"/>
        <v>355.4</v>
      </c>
      <c r="BV99" s="534">
        <f t="shared" si="45"/>
        <v>160.6</v>
      </c>
      <c r="BW99" s="541">
        <f t="shared" si="45"/>
        <v>260.60000000000002</v>
      </c>
      <c r="BX99" s="397"/>
      <c r="BY99" s="533">
        <f t="shared" si="46"/>
        <v>40.628571428571377</v>
      </c>
      <c r="BZ99" s="534">
        <f t="shared" si="47"/>
        <v>55.885714285714272</v>
      </c>
      <c r="CA99" s="541">
        <f t="shared" si="48"/>
        <v>24.999999999999943</v>
      </c>
      <c r="CC99" t="s">
        <v>695</v>
      </c>
    </row>
    <row r="100" spans="72:87">
      <c r="BT100" t="s">
        <v>63</v>
      </c>
      <c r="BU100" s="66">
        <f>AVERAGE(BU93:BU99)</f>
        <v>314.7714285714286</v>
      </c>
      <c r="BV100" s="66">
        <f>AVERAGE(BV93:BV99)</f>
        <v>216.48571428571427</v>
      </c>
      <c r="BW100" s="66">
        <f>AVERAGE(BW93:BW99)</f>
        <v>285.59999999999997</v>
      </c>
      <c r="BX100" s="685"/>
      <c r="BY100" s="685"/>
      <c r="BZ100" s="685"/>
      <c r="CA100" s="685"/>
      <c r="CC100" s="636" t="s">
        <v>887</v>
      </c>
      <c r="CD100" s="636" t="s">
        <v>578</v>
      </c>
      <c r="CE100" s="636" t="s">
        <v>186</v>
      </c>
      <c r="CF100" s="636" t="s">
        <v>641</v>
      </c>
      <c r="CG100" s="636" t="s">
        <v>388</v>
      </c>
      <c r="CH100" s="636" t="s">
        <v>367</v>
      </c>
      <c r="CI100" s="636" t="s">
        <v>888</v>
      </c>
    </row>
    <row r="101" spans="72:87">
      <c r="BT101" t="s">
        <v>66</v>
      </c>
      <c r="BU101" s="66">
        <f>VAR(BU93:BU100)</f>
        <v>2430.6334693877393</v>
      </c>
      <c r="BV101" s="66">
        <f>VAR(BV93:BV99)</f>
        <v>1941.1314285714373</v>
      </c>
      <c r="BW101" s="66">
        <f>VAR(BW93:BW99)</f>
        <v>1668.7866666666814</v>
      </c>
      <c r="CC101" s="28" t="s">
        <v>883</v>
      </c>
      <c r="CD101" s="28">
        <v>663.05896987366395</v>
      </c>
      <c r="CE101" s="28">
        <v>2</v>
      </c>
      <c r="CF101" s="28">
        <v>331.52948493683198</v>
      </c>
      <c r="CG101" s="28">
        <v>0.70903721503526029</v>
      </c>
      <c r="CH101" s="28">
        <v>0.50535561227403336</v>
      </c>
      <c r="CI101" s="28">
        <v>3.5545571456617879</v>
      </c>
    </row>
    <row r="102" spans="72:87">
      <c r="CC102" s="28" t="s">
        <v>884</v>
      </c>
      <c r="CD102" s="28">
        <v>8416.3857725947582</v>
      </c>
      <c r="CE102" s="28">
        <v>18</v>
      </c>
      <c r="CF102" s="28">
        <v>467.57698736637548</v>
      </c>
      <c r="CG102" s="28"/>
      <c r="CH102" s="28"/>
      <c r="CI102" s="28"/>
    </row>
    <row r="103" spans="72:87">
      <c r="CC103" s="28"/>
      <c r="CD103" s="28"/>
      <c r="CE103" s="28"/>
      <c r="CF103" s="28"/>
      <c r="CG103" s="28"/>
      <c r="CH103" s="28"/>
      <c r="CI103" s="28"/>
    </row>
    <row r="104" spans="72:87" ht="15" thickBot="1">
      <c r="CC104" s="31" t="s">
        <v>12</v>
      </c>
      <c r="CD104" s="31">
        <v>9079.4447424684222</v>
      </c>
      <c r="CE104" s="31">
        <v>20</v>
      </c>
      <c r="CF104" s="31"/>
      <c r="CG104" s="31"/>
      <c r="CH104" s="31"/>
      <c r="CI104" s="31"/>
    </row>
  </sheetData>
  <pageMargins left="0.7" right="0.7" top="0.75" bottom="0.75" header="0.3" footer="0.3"/>
  <ignoredErrors>
    <ignoredError sqref="L5 J9:N11" formulaRange="1"/>
  </ignoredErrors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sheetPr codeName="Sheet180"/>
  <dimension ref="A1:W25"/>
  <sheetViews>
    <sheetView workbookViewId="0"/>
  </sheetViews>
  <sheetFormatPr defaultRowHeight="14.4"/>
  <cols>
    <col min="1" max="1" width="18.109375" customWidth="1"/>
    <col min="9" max="9" width="17.5546875" customWidth="1"/>
    <col min="17" max="17" width="18.33203125" customWidth="1"/>
    <col min="18" max="23" width="9.44140625" customWidth="1"/>
  </cols>
  <sheetData>
    <row r="1" spans="1:21">
      <c r="A1" t="s">
        <v>2069</v>
      </c>
      <c r="I1" t="s">
        <v>2070</v>
      </c>
      <c r="Q1" t="s">
        <v>2071</v>
      </c>
    </row>
    <row r="2" spans="1:21" ht="15" thickBot="1"/>
    <row r="3" spans="1:21">
      <c r="A3" s="636" t="s">
        <v>194</v>
      </c>
      <c r="B3" s="636" t="s">
        <v>88</v>
      </c>
      <c r="C3" s="636" t="s">
        <v>87</v>
      </c>
      <c r="D3" s="636" t="s">
        <v>886</v>
      </c>
      <c r="E3" s="636" t="s">
        <v>223</v>
      </c>
      <c r="I3" s="909" t="s">
        <v>194</v>
      </c>
      <c r="J3" s="909" t="s">
        <v>88</v>
      </c>
      <c r="K3" s="909" t="s">
        <v>87</v>
      </c>
      <c r="L3" s="909" t="s">
        <v>886</v>
      </c>
      <c r="M3" s="909" t="s">
        <v>223</v>
      </c>
      <c r="Q3" s="909" t="s">
        <v>194</v>
      </c>
      <c r="R3" s="909" t="s">
        <v>88</v>
      </c>
      <c r="S3" s="909" t="s">
        <v>87</v>
      </c>
      <c r="T3" s="909" t="s">
        <v>886</v>
      </c>
      <c r="U3" s="909" t="s">
        <v>223</v>
      </c>
    </row>
    <row r="4" spans="1:21">
      <c r="A4" s="28" t="s">
        <v>1620</v>
      </c>
      <c r="B4" s="28">
        <v>5</v>
      </c>
      <c r="C4" s="28">
        <v>1794</v>
      </c>
      <c r="D4" s="28">
        <v>358.8</v>
      </c>
      <c r="E4" s="28">
        <v>8705.2000000000116</v>
      </c>
      <c r="I4" s="28" t="s">
        <v>1620</v>
      </c>
      <c r="J4" s="28">
        <v>5</v>
      </c>
      <c r="K4" s="28">
        <v>1154</v>
      </c>
      <c r="L4" s="28">
        <v>230.8</v>
      </c>
      <c r="M4" s="28">
        <v>14531.699999999997</v>
      </c>
      <c r="Q4" s="28" t="s">
        <v>1620</v>
      </c>
      <c r="R4" s="28">
        <v>5</v>
      </c>
      <c r="S4" s="28">
        <v>1249</v>
      </c>
      <c r="T4" s="28">
        <v>249.8</v>
      </c>
      <c r="U4" s="28">
        <v>14201.699999999997</v>
      </c>
    </row>
    <row r="5" spans="1:21">
      <c r="A5" s="28" t="s">
        <v>1621</v>
      </c>
      <c r="B5" s="28">
        <v>5</v>
      </c>
      <c r="C5" s="28">
        <v>1293</v>
      </c>
      <c r="D5" s="28">
        <v>258.60000000000002</v>
      </c>
      <c r="E5" s="28">
        <v>15928.300000000003</v>
      </c>
      <c r="I5" s="28" t="s">
        <v>1621</v>
      </c>
      <c r="J5" s="28">
        <v>5</v>
      </c>
      <c r="K5" s="28">
        <v>1227</v>
      </c>
      <c r="L5" s="28">
        <v>245.4</v>
      </c>
      <c r="M5" s="28">
        <v>30900.800000000003</v>
      </c>
      <c r="Q5" s="28" t="s">
        <v>1621</v>
      </c>
      <c r="R5" s="28">
        <v>5</v>
      </c>
      <c r="S5" s="28">
        <v>1395</v>
      </c>
      <c r="T5" s="28">
        <v>279</v>
      </c>
      <c r="U5" s="28">
        <v>14387.5</v>
      </c>
    </row>
    <row r="6" spans="1:21">
      <c r="A6" s="28" t="s">
        <v>1622</v>
      </c>
      <c r="B6" s="28">
        <v>5</v>
      </c>
      <c r="C6" s="28">
        <v>1659</v>
      </c>
      <c r="D6" s="28">
        <v>331.8</v>
      </c>
      <c r="E6" s="28">
        <v>5581.7000000000116</v>
      </c>
      <c r="I6" s="28" t="s">
        <v>1622</v>
      </c>
      <c r="J6" s="28">
        <v>5</v>
      </c>
      <c r="K6" s="28">
        <v>1374</v>
      </c>
      <c r="L6" s="28">
        <v>274.8</v>
      </c>
      <c r="M6" s="28">
        <v>29150.699999999997</v>
      </c>
      <c r="Q6" s="28" t="s">
        <v>1622</v>
      </c>
      <c r="R6" s="28">
        <v>5</v>
      </c>
      <c r="S6" s="28">
        <v>1292</v>
      </c>
      <c r="T6" s="28">
        <v>258.39999999999998</v>
      </c>
      <c r="U6" s="28">
        <v>20328.800000000003</v>
      </c>
    </row>
    <row r="7" spans="1:21">
      <c r="A7" s="28" t="s">
        <v>1623</v>
      </c>
      <c r="B7" s="28">
        <v>5</v>
      </c>
      <c r="C7" s="28">
        <v>1861</v>
      </c>
      <c r="D7" s="28">
        <v>372.2</v>
      </c>
      <c r="E7" s="28">
        <v>8547.7000000000116</v>
      </c>
      <c r="I7" s="28" t="s">
        <v>1623</v>
      </c>
      <c r="J7" s="28">
        <v>5</v>
      </c>
      <c r="K7" s="28">
        <v>1172</v>
      </c>
      <c r="L7" s="28">
        <v>234.4</v>
      </c>
      <c r="M7" s="28">
        <v>2907.8000000000029</v>
      </c>
      <c r="Q7" s="28" t="s">
        <v>1623</v>
      </c>
      <c r="R7" s="28">
        <v>5</v>
      </c>
      <c r="S7" s="28">
        <v>1323</v>
      </c>
      <c r="T7" s="28">
        <v>264.60000000000002</v>
      </c>
      <c r="U7" s="28">
        <v>15914.300000000003</v>
      </c>
    </row>
    <row r="8" spans="1:21">
      <c r="A8" s="28" t="s">
        <v>1624</v>
      </c>
      <c r="B8" s="28">
        <v>5</v>
      </c>
      <c r="C8" s="28">
        <v>1185</v>
      </c>
      <c r="D8" s="28">
        <v>237</v>
      </c>
      <c r="E8" s="28">
        <v>5664.5</v>
      </c>
      <c r="I8" s="28" t="s">
        <v>1624</v>
      </c>
      <c r="J8" s="28">
        <v>5</v>
      </c>
      <c r="K8" s="28">
        <v>1071</v>
      </c>
      <c r="L8" s="28">
        <v>214.2</v>
      </c>
      <c r="M8" s="28">
        <v>20786.199999999997</v>
      </c>
      <c r="Q8" s="28" t="s">
        <v>1624</v>
      </c>
      <c r="R8" s="28">
        <v>5</v>
      </c>
      <c r="S8" s="28">
        <v>1767</v>
      </c>
      <c r="T8" s="28">
        <v>353.4</v>
      </c>
      <c r="U8" s="28">
        <v>19106.799999999988</v>
      </c>
    </row>
    <row r="9" spans="1:21">
      <c r="A9" s="28" t="s">
        <v>1625</v>
      </c>
      <c r="B9" s="28">
        <v>5</v>
      </c>
      <c r="C9" s="28">
        <v>1448</v>
      </c>
      <c r="D9" s="28">
        <v>289.60000000000002</v>
      </c>
      <c r="E9" s="28">
        <v>13308.800000000003</v>
      </c>
      <c r="I9" s="28" t="s">
        <v>1625</v>
      </c>
      <c r="J9" s="28">
        <v>5</v>
      </c>
      <c r="K9" s="28">
        <v>776</v>
      </c>
      <c r="L9" s="28">
        <v>155.19999999999999</v>
      </c>
      <c r="M9" s="28">
        <v>9026.2000000000007</v>
      </c>
      <c r="Q9" s="28" t="s">
        <v>1625</v>
      </c>
      <c r="R9" s="28">
        <v>5</v>
      </c>
      <c r="S9" s="28">
        <v>1667</v>
      </c>
      <c r="T9" s="28">
        <v>333.4</v>
      </c>
      <c r="U9" s="28">
        <v>26366.799999999988</v>
      </c>
    </row>
    <row r="10" spans="1:21">
      <c r="A10" s="28" t="s">
        <v>1626</v>
      </c>
      <c r="B10" s="28">
        <v>5</v>
      </c>
      <c r="C10" s="28">
        <v>1777</v>
      </c>
      <c r="D10" s="28">
        <v>355.4</v>
      </c>
      <c r="E10" s="28">
        <v>7384.7999999999884</v>
      </c>
      <c r="I10" s="28" t="s">
        <v>1626</v>
      </c>
      <c r="J10" s="28">
        <v>5</v>
      </c>
      <c r="K10" s="28">
        <v>803</v>
      </c>
      <c r="L10" s="28">
        <v>160.6</v>
      </c>
      <c r="M10" s="28">
        <v>15467.3</v>
      </c>
      <c r="Q10" s="28" t="s">
        <v>1626</v>
      </c>
      <c r="R10" s="28">
        <v>5</v>
      </c>
      <c r="S10" s="28">
        <v>1303</v>
      </c>
      <c r="T10" s="28">
        <v>260.60000000000002</v>
      </c>
      <c r="U10" s="28">
        <v>8206.3000000000029</v>
      </c>
    </row>
    <row r="11" spans="1:21">
      <c r="A11" s="28"/>
      <c r="B11" s="28"/>
      <c r="C11" s="28"/>
      <c r="D11" s="28"/>
      <c r="E11" s="28"/>
      <c r="I11" s="28"/>
      <c r="J11" s="28"/>
      <c r="K11" s="28"/>
      <c r="L11" s="28"/>
      <c r="M11" s="28"/>
      <c r="Q11" s="28"/>
      <c r="R11" s="28"/>
      <c r="S11" s="28"/>
      <c r="T11" s="28"/>
      <c r="U11" s="28"/>
    </row>
    <row r="12" spans="1:21">
      <c r="A12" s="28" t="s">
        <v>1627</v>
      </c>
      <c r="B12" s="28">
        <v>7</v>
      </c>
      <c r="C12" s="28">
        <v>1294</v>
      </c>
      <c r="D12" s="28">
        <v>184.85714285714286</v>
      </c>
      <c r="E12" s="28">
        <v>5971.1428571428551</v>
      </c>
      <c r="I12" s="28" t="s">
        <v>1627</v>
      </c>
      <c r="J12" s="28">
        <v>7</v>
      </c>
      <c r="K12" s="28">
        <v>381</v>
      </c>
      <c r="L12" s="28">
        <v>54.428571428571431</v>
      </c>
      <c r="M12" s="28">
        <v>4377.6190476190477</v>
      </c>
      <c r="Q12" s="28" t="s">
        <v>1627</v>
      </c>
      <c r="R12" s="28">
        <v>7</v>
      </c>
      <c r="S12" s="28">
        <v>612</v>
      </c>
      <c r="T12" s="28">
        <v>87.428571428571431</v>
      </c>
      <c r="U12" s="28">
        <v>937.61904761904714</v>
      </c>
    </row>
    <row r="13" spans="1:21">
      <c r="A13" s="28" t="s">
        <v>1628</v>
      </c>
      <c r="B13" s="28">
        <v>7</v>
      </c>
      <c r="C13" s="28">
        <v>1819</v>
      </c>
      <c r="D13" s="28">
        <v>259.85714285714283</v>
      </c>
      <c r="E13" s="28">
        <v>2915.1428571428601</v>
      </c>
      <c r="I13" s="28" t="s">
        <v>1628</v>
      </c>
      <c r="J13" s="28">
        <v>7</v>
      </c>
      <c r="K13" s="28">
        <v>834</v>
      </c>
      <c r="L13" s="28">
        <v>119.14285714285714</v>
      </c>
      <c r="M13" s="28">
        <v>2236.8095238095243</v>
      </c>
      <c r="Q13" s="28" t="s">
        <v>1628</v>
      </c>
      <c r="R13" s="28">
        <v>7</v>
      </c>
      <c r="S13" s="28">
        <v>1671</v>
      </c>
      <c r="T13" s="28">
        <v>238.71428571428572</v>
      </c>
      <c r="U13" s="28">
        <v>4400.9047619047633</v>
      </c>
    </row>
    <row r="14" spans="1:21">
      <c r="A14" s="28" t="s">
        <v>1629</v>
      </c>
      <c r="B14" s="28">
        <v>7</v>
      </c>
      <c r="C14" s="28">
        <v>2680</v>
      </c>
      <c r="D14" s="28">
        <v>382.85714285714283</v>
      </c>
      <c r="E14" s="28">
        <v>4241.1428571428596</v>
      </c>
      <c r="I14" s="28" t="s">
        <v>1629</v>
      </c>
      <c r="J14" s="28">
        <v>7</v>
      </c>
      <c r="K14" s="28">
        <v>2222</v>
      </c>
      <c r="L14" s="28">
        <v>317.42857142857144</v>
      </c>
      <c r="M14" s="28">
        <v>5699.2857142857201</v>
      </c>
      <c r="Q14" s="28" t="s">
        <v>1629</v>
      </c>
      <c r="R14" s="28">
        <v>7</v>
      </c>
      <c r="S14" s="28">
        <v>2587</v>
      </c>
      <c r="T14" s="28">
        <v>369.57142857142856</v>
      </c>
      <c r="U14" s="28">
        <v>3550.6190476190532</v>
      </c>
    </row>
    <row r="15" spans="1:21">
      <c r="A15" s="28" t="s">
        <v>1630</v>
      </c>
      <c r="B15" s="28">
        <v>7</v>
      </c>
      <c r="C15" s="28">
        <v>2538</v>
      </c>
      <c r="D15" s="28">
        <v>362.57142857142856</v>
      </c>
      <c r="E15" s="28">
        <v>3318.2857142857197</v>
      </c>
      <c r="I15" s="28" t="s">
        <v>1630</v>
      </c>
      <c r="J15" s="28">
        <v>7</v>
      </c>
      <c r="K15" s="28">
        <v>1971</v>
      </c>
      <c r="L15" s="28">
        <v>281.57142857142856</v>
      </c>
      <c r="M15" s="28">
        <v>3628.9523809523866</v>
      </c>
      <c r="Q15" s="28" t="s">
        <v>1630</v>
      </c>
      <c r="R15" s="28">
        <v>7</v>
      </c>
      <c r="S15" s="28">
        <v>2620</v>
      </c>
      <c r="T15" s="28">
        <v>374.28571428571428</v>
      </c>
      <c r="U15" s="28">
        <v>2882.9047619047537</v>
      </c>
    </row>
    <row r="16" spans="1:21" ht="15" thickBot="1">
      <c r="A16" s="31" t="s">
        <v>1631</v>
      </c>
      <c r="B16" s="31">
        <v>7</v>
      </c>
      <c r="C16" s="31">
        <v>2686</v>
      </c>
      <c r="D16" s="31">
        <v>383.71428571428572</v>
      </c>
      <c r="E16" s="31">
        <v>4318.9047619047533</v>
      </c>
      <c r="I16" s="31" t="s">
        <v>1631</v>
      </c>
      <c r="J16" s="31">
        <v>7</v>
      </c>
      <c r="K16" s="31">
        <v>2169</v>
      </c>
      <c r="L16" s="31">
        <v>309.85714285714283</v>
      </c>
      <c r="M16" s="31">
        <v>6914.4761904761936</v>
      </c>
      <c r="Q16" s="31" t="s">
        <v>1631</v>
      </c>
      <c r="R16" s="31">
        <v>7</v>
      </c>
      <c r="S16" s="31">
        <v>2506</v>
      </c>
      <c r="T16" s="31">
        <v>358</v>
      </c>
      <c r="U16" s="31">
        <v>3680.3333333333335</v>
      </c>
    </row>
    <row r="19" spans="1:23" ht="15" thickBot="1">
      <c r="A19" t="s">
        <v>695</v>
      </c>
      <c r="I19" t="s">
        <v>695</v>
      </c>
      <c r="Q19" t="s">
        <v>695</v>
      </c>
    </row>
    <row r="20" spans="1:23">
      <c r="A20" s="636" t="s">
        <v>887</v>
      </c>
      <c r="B20" s="636" t="s">
        <v>578</v>
      </c>
      <c r="C20" s="636" t="s">
        <v>186</v>
      </c>
      <c r="D20" s="636" t="s">
        <v>641</v>
      </c>
      <c r="E20" s="636" t="s">
        <v>388</v>
      </c>
      <c r="F20" s="636" t="s">
        <v>367</v>
      </c>
      <c r="G20" s="636" t="s">
        <v>888</v>
      </c>
      <c r="I20" s="909" t="s">
        <v>887</v>
      </c>
      <c r="J20" s="909" t="s">
        <v>578</v>
      </c>
      <c r="K20" s="909" t="s">
        <v>186</v>
      </c>
      <c r="L20" s="909" t="s">
        <v>641</v>
      </c>
      <c r="M20" s="909" t="s">
        <v>388</v>
      </c>
      <c r="N20" s="909" t="s">
        <v>367</v>
      </c>
      <c r="O20" s="909" t="s">
        <v>888</v>
      </c>
      <c r="Q20" s="909" t="s">
        <v>887</v>
      </c>
      <c r="R20" s="909" t="s">
        <v>578</v>
      </c>
      <c r="S20" s="909" t="s">
        <v>186</v>
      </c>
      <c r="T20" s="909" t="s">
        <v>641</v>
      </c>
      <c r="U20" s="909" t="s">
        <v>388</v>
      </c>
      <c r="V20" s="909" t="s">
        <v>367</v>
      </c>
      <c r="W20" s="909" t="s">
        <v>888</v>
      </c>
    </row>
    <row r="21" spans="1:23">
      <c r="A21" s="28" t="s">
        <v>390</v>
      </c>
      <c r="B21" s="28">
        <v>85072.171428571397</v>
      </c>
      <c r="C21" s="28">
        <v>6</v>
      </c>
      <c r="D21" s="28">
        <v>14178.695238095233</v>
      </c>
      <c r="E21" s="28">
        <v>8.6115148903433116</v>
      </c>
      <c r="F21" s="28">
        <v>4.7218804282676579E-5</v>
      </c>
      <c r="G21" s="28">
        <v>2.5081888234232559</v>
      </c>
      <c r="I21" s="28" t="s">
        <v>390</v>
      </c>
      <c r="J21" s="28">
        <v>58233.942857142829</v>
      </c>
      <c r="K21" s="28">
        <v>6</v>
      </c>
      <c r="L21" s="28">
        <v>9705.6571428571388</v>
      </c>
      <c r="M21" s="28">
        <v>2.9519576278182553</v>
      </c>
      <c r="N21" s="28">
        <v>2.6540423840703348E-2</v>
      </c>
      <c r="O21" s="28">
        <v>2.5081888234232559</v>
      </c>
      <c r="Q21" s="28" t="s">
        <v>390</v>
      </c>
      <c r="R21" s="28">
        <v>50063.599999999977</v>
      </c>
      <c r="S21" s="28">
        <v>6</v>
      </c>
      <c r="T21" s="28">
        <v>8343.9333333333288</v>
      </c>
      <c r="U21" s="28">
        <v>4.6952211118360836</v>
      </c>
      <c r="V21" s="28">
        <v>2.7144649208904891E-3</v>
      </c>
      <c r="W21" s="28">
        <v>2.5081888234232559</v>
      </c>
    </row>
    <row r="22" spans="1:23">
      <c r="A22" s="28" t="s">
        <v>1010</v>
      </c>
      <c r="B22" s="28">
        <v>220968.45714285711</v>
      </c>
      <c r="C22" s="28">
        <v>4</v>
      </c>
      <c r="D22" s="28">
        <v>55242.114285714277</v>
      </c>
      <c r="E22" s="28">
        <v>33.551626701681158</v>
      </c>
      <c r="F22" s="28">
        <v>1.6606146059093755E-9</v>
      </c>
      <c r="G22" s="28">
        <v>2.7762892892514786</v>
      </c>
      <c r="I22" s="28" t="s">
        <v>1010</v>
      </c>
      <c r="J22" s="28">
        <v>412173.88571428566</v>
      </c>
      <c r="K22" s="28">
        <v>4</v>
      </c>
      <c r="L22" s="28">
        <v>103043.47142857141</v>
      </c>
      <c r="M22" s="28">
        <v>31.340480814769411</v>
      </c>
      <c r="N22" s="28">
        <v>3.2800032757234696E-9</v>
      </c>
      <c r="O22" s="28">
        <v>2.7762892892514786</v>
      </c>
      <c r="Q22" s="28" t="s">
        <v>1010</v>
      </c>
      <c r="R22" s="28">
        <v>431398.11428571434</v>
      </c>
      <c r="S22" s="28">
        <v>4</v>
      </c>
      <c r="T22" s="28">
        <v>107849.52857142859</v>
      </c>
      <c r="U22" s="28">
        <v>60.688090762566894</v>
      </c>
      <c r="V22" s="28">
        <v>3.3537021761768956E-12</v>
      </c>
      <c r="W22" s="28">
        <v>2.7762892892514786</v>
      </c>
    </row>
    <row r="23" spans="1:23">
      <c r="A23" s="28" t="s">
        <v>1009</v>
      </c>
      <c r="B23" s="28">
        <v>39515.542857142922</v>
      </c>
      <c r="C23" s="28">
        <v>24</v>
      </c>
      <c r="D23" s="28">
        <v>1646.4809523809552</v>
      </c>
      <c r="E23" s="28"/>
      <c r="F23" s="28"/>
      <c r="G23" s="28"/>
      <c r="I23" s="28" t="s">
        <v>1009</v>
      </c>
      <c r="J23" s="28">
        <v>78908.914285714331</v>
      </c>
      <c r="K23" s="28">
        <v>24</v>
      </c>
      <c r="L23" s="28">
        <v>3287.8714285714304</v>
      </c>
      <c r="M23" s="28"/>
      <c r="N23" s="28"/>
      <c r="O23" s="28"/>
      <c r="Q23" s="28" t="s">
        <v>1009</v>
      </c>
      <c r="R23" s="28">
        <v>42650.685714285704</v>
      </c>
      <c r="S23" s="28">
        <v>24</v>
      </c>
      <c r="T23" s="28">
        <v>1777.1119047619043</v>
      </c>
      <c r="U23" s="28"/>
      <c r="V23" s="28"/>
      <c r="W23" s="28"/>
    </row>
    <row r="24" spans="1:23">
      <c r="A24" s="28"/>
      <c r="B24" s="28"/>
      <c r="C24" s="28"/>
      <c r="D24" s="28"/>
      <c r="E24" s="28"/>
      <c r="F24" s="28"/>
      <c r="G24" s="28"/>
      <c r="I24" s="28"/>
      <c r="J24" s="28"/>
      <c r="K24" s="28"/>
      <c r="L24" s="28"/>
      <c r="M24" s="28"/>
      <c r="N24" s="28"/>
      <c r="O24" s="28"/>
      <c r="Q24" s="28"/>
      <c r="R24" s="28"/>
      <c r="S24" s="28"/>
      <c r="T24" s="28"/>
      <c r="U24" s="28"/>
      <c r="V24" s="28"/>
      <c r="W24" s="28"/>
    </row>
    <row r="25" spans="1:23" ht="15" thickBot="1">
      <c r="A25" s="31" t="s">
        <v>12</v>
      </c>
      <c r="B25" s="31">
        <v>345556.1714285714</v>
      </c>
      <c r="C25" s="31">
        <v>34</v>
      </c>
      <c r="D25" s="31"/>
      <c r="E25" s="31"/>
      <c r="F25" s="31"/>
      <c r="G25" s="31"/>
      <c r="I25" s="31" t="s">
        <v>12</v>
      </c>
      <c r="J25" s="31">
        <v>549316.74285714282</v>
      </c>
      <c r="K25" s="31">
        <v>34</v>
      </c>
      <c r="L25" s="31"/>
      <c r="M25" s="31"/>
      <c r="N25" s="31"/>
      <c r="O25" s="31"/>
      <c r="Q25" s="31" t="s">
        <v>12</v>
      </c>
      <c r="R25" s="31">
        <v>524112.4</v>
      </c>
      <c r="S25" s="31">
        <v>34</v>
      </c>
      <c r="T25" s="31"/>
      <c r="U25" s="31"/>
      <c r="V25" s="31"/>
      <c r="W25" s="31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sheetPr codeName="Sheet369"/>
  <dimension ref="A1:AK28"/>
  <sheetViews>
    <sheetView zoomScale="96" zoomScaleNormal="96" workbookViewId="0"/>
  </sheetViews>
  <sheetFormatPr defaultRowHeight="14.4"/>
  <cols>
    <col min="2" max="6" width="6.5546875" customWidth="1"/>
    <col min="8" max="8" width="11.109375" customWidth="1"/>
    <col min="16" max="16" width="17" customWidth="1"/>
  </cols>
  <sheetData>
    <row r="1" spans="1:37">
      <c r="A1" s="1" t="s">
        <v>1579</v>
      </c>
      <c r="Y1" t="s">
        <v>4132</v>
      </c>
      <c r="AF1" t="s">
        <v>4133</v>
      </c>
    </row>
    <row r="3" spans="1:37">
      <c r="A3" s="1505" t="s">
        <v>22</v>
      </c>
      <c r="B3" s="19" t="s">
        <v>1555</v>
      </c>
      <c r="C3" s="19" t="s">
        <v>1556</v>
      </c>
      <c r="D3" s="19" t="s">
        <v>1557</v>
      </c>
      <c r="E3" s="19" t="s">
        <v>1558</v>
      </c>
      <c r="F3" s="19" t="s">
        <v>1559</v>
      </c>
      <c r="H3" t="s">
        <v>95</v>
      </c>
      <c r="P3" t="s">
        <v>4127</v>
      </c>
      <c r="Y3" s="1505" t="s">
        <v>22</v>
      </c>
      <c r="Z3" s="19" t="s">
        <v>1555</v>
      </c>
      <c r="AA3" s="19" t="s">
        <v>1556</v>
      </c>
      <c r="AB3" s="19" t="s">
        <v>1557</v>
      </c>
      <c r="AC3" s="19" t="s">
        <v>1558</v>
      </c>
      <c r="AD3" s="19" t="s">
        <v>1559</v>
      </c>
      <c r="AF3" t="e">
        <f t="array" aca="1" ref="AF3:AK24" ca="1">[1]!QSORTRows(Y3:AD24,1,TRUE)</f>
        <v>#NAME?</v>
      </c>
      <c r="AG3" t="e">
        <f ca="1"/>
        <v>#NAME?</v>
      </c>
      <c r="AH3" t="e">
        <f ca="1"/>
        <v>#NAME?</v>
      </c>
      <c r="AI3" t="e">
        <f ca="1"/>
        <v>#NAME?</v>
      </c>
      <c r="AJ3" t="e">
        <f ca="1"/>
        <v>#NAME?</v>
      </c>
      <c r="AK3" t="e">
        <f ca="1"/>
        <v>#NAME?</v>
      </c>
    </row>
    <row r="4" spans="1:37">
      <c r="A4" s="651" t="s">
        <v>1553</v>
      </c>
      <c r="B4" s="668">
        <v>250</v>
      </c>
      <c r="C4" s="669">
        <v>278</v>
      </c>
      <c r="D4" s="669">
        <v>442</v>
      </c>
      <c r="E4" s="669">
        <v>368</v>
      </c>
      <c r="F4" s="670">
        <v>456</v>
      </c>
      <c r="Y4" s="1235" t="s">
        <v>1553</v>
      </c>
      <c r="Z4" s="1507">
        <v>230</v>
      </c>
      <c r="AA4" s="1507">
        <v>306</v>
      </c>
      <c r="AB4" s="1507">
        <v>432</v>
      </c>
      <c r="AC4" s="1507">
        <v>386</v>
      </c>
      <c r="AD4" s="1508">
        <v>423</v>
      </c>
      <c r="AF4" t="e">
        <f ca="1"/>
        <v>#NAME?</v>
      </c>
      <c r="AG4" s="1236" t="e">
        <f ca="1"/>
        <v>#NAME?</v>
      </c>
      <c r="AH4" s="1234" t="e">
        <f ca="1"/>
        <v>#NAME?</v>
      </c>
      <c r="AI4" s="1234" t="e">
        <f ca="1"/>
        <v>#NAME?</v>
      </c>
      <c r="AJ4" s="1234" t="e">
        <f ca="1"/>
        <v>#NAME?</v>
      </c>
      <c r="AK4" s="1237" t="e">
        <f ca="1"/>
        <v>#NAME?</v>
      </c>
    </row>
    <row r="5" spans="1:37" ht="15" thickBot="1">
      <c r="A5" s="656"/>
      <c r="B5" s="671">
        <v>65</v>
      </c>
      <c r="C5" s="672">
        <v>207</v>
      </c>
      <c r="D5" s="672">
        <v>341</v>
      </c>
      <c r="E5" s="672">
        <v>382</v>
      </c>
      <c r="F5" s="673">
        <v>298</v>
      </c>
      <c r="H5" t="s">
        <v>2821</v>
      </c>
      <c r="I5" t="str">
        <f>IF(COUNTIF(I7:M9,I7)=COUNT(I7:M9),"balanced","unbalanced")</f>
        <v>balanced</v>
      </c>
      <c r="P5" t="s">
        <v>695</v>
      </c>
      <c r="T5" s="1503" t="s">
        <v>116</v>
      </c>
      <c r="U5" s="1503">
        <v>0.05</v>
      </c>
      <c r="Y5" s="627" t="s">
        <v>1554</v>
      </c>
      <c r="Z5" s="672">
        <v>54</v>
      </c>
      <c r="AA5" s="672">
        <v>172</v>
      </c>
      <c r="AB5" s="672">
        <v>307</v>
      </c>
      <c r="AC5" s="672">
        <v>261</v>
      </c>
      <c r="AD5" s="673">
        <v>360</v>
      </c>
      <c r="AF5" t="e">
        <f ca="1"/>
        <v>#NAME?</v>
      </c>
      <c r="AG5" s="656" t="e">
        <f ca="1"/>
        <v>#NAME?</v>
      </c>
      <c r="AH5" s="8" t="e">
        <f ca="1"/>
        <v>#NAME?</v>
      </c>
      <c r="AI5" s="8" t="e">
        <f ca="1"/>
        <v>#NAME?</v>
      </c>
      <c r="AJ5" s="8" t="e">
        <f ca="1"/>
        <v>#NAME?</v>
      </c>
      <c r="AK5" s="657" t="e">
        <f ca="1"/>
        <v>#NAME?</v>
      </c>
    </row>
    <row r="6" spans="1:37" ht="15" thickTop="1">
      <c r="A6" s="656"/>
      <c r="B6" s="671">
        <v>251</v>
      </c>
      <c r="C6" s="672">
        <v>261</v>
      </c>
      <c r="D6" s="672">
        <v>384</v>
      </c>
      <c r="E6" s="672">
        <v>421</v>
      </c>
      <c r="F6" s="673">
        <v>342</v>
      </c>
      <c r="I6" s="1503" t="str">
        <f>B3</f>
        <v>Day 1</v>
      </c>
      <c r="J6" s="1503" t="str">
        <f>C3</f>
        <v>Day 2</v>
      </c>
      <c r="K6" s="1503" t="str">
        <f>D3</f>
        <v>Day 3</v>
      </c>
      <c r="L6" s="1503" t="str">
        <f>E3</f>
        <v>Day 4</v>
      </c>
      <c r="M6" s="1503" t="str">
        <f>F3</f>
        <v>Day 5</v>
      </c>
      <c r="P6" s="1151"/>
      <c r="Q6" s="1151" t="s">
        <v>578</v>
      </c>
      <c r="R6" s="1151" t="s">
        <v>186</v>
      </c>
      <c r="S6" s="1151" t="s">
        <v>641</v>
      </c>
      <c r="T6" s="1151" t="s">
        <v>388</v>
      </c>
      <c r="U6" s="1151" t="s">
        <v>881</v>
      </c>
      <c r="V6" s="1151" t="s">
        <v>888</v>
      </c>
      <c r="Y6" s="627" t="s">
        <v>217</v>
      </c>
      <c r="Z6" s="672">
        <v>118</v>
      </c>
      <c r="AA6" s="672">
        <v>124</v>
      </c>
      <c r="AB6" s="672">
        <v>365</v>
      </c>
      <c r="AC6" s="672">
        <v>311</v>
      </c>
      <c r="AD6" s="673">
        <v>331</v>
      </c>
      <c r="AF6" t="e">
        <f ca="1"/>
        <v>#NAME?</v>
      </c>
      <c r="AG6" s="656" t="e">
        <f ca="1"/>
        <v>#NAME?</v>
      </c>
      <c r="AH6" s="8" t="e">
        <f ca="1"/>
        <v>#NAME?</v>
      </c>
      <c r="AI6" s="8" t="e">
        <f ca="1"/>
        <v>#NAME?</v>
      </c>
      <c r="AJ6" s="8" t="e">
        <f ca="1"/>
        <v>#NAME?</v>
      </c>
      <c r="AK6" s="657" t="e">
        <f ca="1"/>
        <v>#NAME?</v>
      </c>
    </row>
    <row r="7" spans="1:37">
      <c r="A7" s="656"/>
      <c r="B7" s="671">
        <v>241</v>
      </c>
      <c r="C7" s="672">
        <v>314</v>
      </c>
      <c r="D7" s="672">
        <v>423</v>
      </c>
      <c r="E7" s="672">
        <v>415</v>
      </c>
      <c r="F7" s="673">
        <v>468</v>
      </c>
      <c r="H7" t="str">
        <f>A4</f>
        <v>Young</v>
      </c>
      <c r="I7" s="1232">
        <f>COUNT(B4:B10)</f>
        <v>7</v>
      </c>
      <c r="J7" s="1114">
        <f>COUNT(C4:C10)</f>
        <v>7</v>
      </c>
      <c r="K7" s="1114">
        <f>COUNT(D4:D10)</f>
        <v>7</v>
      </c>
      <c r="L7" s="1114">
        <f>COUNT(E4:E10)</f>
        <v>7</v>
      </c>
      <c r="M7" s="1233">
        <f>COUNT(F4:F10)</f>
        <v>7</v>
      </c>
      <c r="N7">
        <f>COUNT(B4:F10)</f>
        <v>35</v>
      </c>
      <c r="P7" t="s">
        <v>1545</v>
      </c>
      <c r="Q7" t="e">
        <f ca="1">DEVSQ([1]!MEANROW(B4:F24))*(R11+1)</f>
        <v>#NAME?</v>
      </c>
      <c r="R7">
        <f>I10-1</f>
        <v>20</v>
      </c>
      <c r="Y7" s="627" t="s">
        <v>1554</v>
      </c>
      <c r="Z7" s="672">
        <v>41</v>
      </c>
      <c r="AA7" s="672">
        <v>168</v>
      </c>
      <c r="AB7" s="672">
        <v>378</v>
      </c>
      <c r="AC7" s="672">
        <v>317</v>
      </c>
      <c r="AD7" s="673">
        <v>470</v>
      </c>
      <c r="AF7" t="e">
        <f ca="1"/>
        <v>#NAME?</v>
      </c>
      <c r="AG7" s="656" t="e">
        <f ca="1"/>
        <v>#NAME?</v>
      </c>
      <c r="AH7" s="8" t="e">
        <f ca="1"/>
        <v>#NAME?</v>
      </c>
      <c r="AI7" s="8" t="e">
        <f ca="1"/>
        <v>#NAME?</v>
      </c>
      <c r="AJ7" s="8" t="e">
        <f ca="1"/>
        <v>#NAME?</v>
      </c>
      <c r="AK7" s="657" t="e">
        <f ca="1"/>
        <v>#NAME?</v>
      </c>
    </row>
    <row r="8" spans="1:37">
      <c r="A8" s="656"/>
      <c r="B8" s="671">
        <v>154</v>
      </c>
      <c r="C8" s="672">
        <v>167</v>
      </c>
      <c r="D8" s="672">
        <v>257</v>
      </c>
      <c r="E8" s="672">
        <v>275</v>
      </c>
      <c r="F8" s="673">
        <v>332</v>
      </c>
      <c r="H8" t="str">
        <f>A11</f>
        <v>Middle</v>
      </c>
      <c r="I8" s="625">
        <f>COUNT(B11:B17)</f>
        <v>7</v>
      </c>
      <c r="J8" s="8">
        <f>COUNT(C11:C17)</f>
        <v>7</v>
      </c>
      <c r="K8" s="8">
        <f>COUNT(D11:D17)</f>
        <v>7</v>
      </c>
      <c r="L8" s="8">
        <f>COUNT(E11:E17)</f>
        <v>7</v>
      </c>
      <c r="M8" s="132">
        <f>COUNT(F11:F17)</f>
        <v>7</v>
      </c>
      <c r="N8">
        <f>COUNT(B11:F17)</f>
        <v>35</v>
      </c>
      <c r="P8" t="s">
        <v>4128</v>
      </c>
      <c r="Q8">
        <f>DEVSQ(N14:N16)*N7</f>
        <v>178358.1142857142</v>
      </c>
      <c r="R8">
        <f>COUNT(N14:N16)-1</f>
        <v>2</v>
      </c>
      <c r="S8">
        <f>Q8/R8</f>
        <v>89179.057142857098</v>
      </c>
      <c r="T8" t="e">
        <f ca="1">S8/S9</f>
        <v>#NAME?</v>
      </c>
      <c r="U8" t="e">
        <f ca="1">FDIST(T8,R8,R9)</f>
        <v>#NAME?</v>
      </c>
      <c r="V8">
        <f>FINV(U5,R8,S8)</f>
        <v>2.9958329094964773</v>
      </c>
      <c r="Y8" s="627" t="s">
        <v>217</v>
      </c>
      <c r="Z8" s="672">
        <v>83</v>
      </c>
      <c r="AA8" s="672">
        <v>266</v>
      </c>
      <c r="AB8" s="672">
        <v>382</v>
      </c>
      <c r="AC8" s="672">
        <v>369</v>
      </c>
      <c r="AD8" s="673">
        <v>295</v>
      </c>
      <c r="AF8" t="e">
        <f ca="1"/>
        <v>#NAME?</v>
      </c>
      <c r="AG8" s="656" t="e">
        <f ca="1"/>
        <v>#NAME?</v>
      </c>
      <c r="AH8" s="8" t="e">
        <f ca="1"/>
        <v>#NAME?</v>
      </c>
      <c r="AI8" s="8" t="e">
        <f ca="1"/>
        <v>#NAME?</v>
      </c>
      <c r="AJ8" s="8" t="e">
        <f ca="1"/>
        <v>#NAME?</v>
      </c>
      <c r="AK8" s="657" t="e">
        <f ca="1"/>
        <v>#NAME?</v>
      </c>
    </row>
    <row r="9" spans="1:37">
      <c r="A9" s="656"/>
      <c r="B9" s="671">
        <v>103</v>
      </c>
      <c r="C9" s="672">
        <v>286</v>
      </c>
      <c r="D9" s="672">
        <v>401</v>
      </c>
      <c r="E9" s="672">
        <v>291</v>
      </c>
      <c r="F9" s="673">
        <v>367</v>
      </c>
      <c r="H9" t="str">
        <f>A18</f>
        <v>Old</v>
      </c>
      <c r="I9" s="1075">
        <f>COUNT(B18:B24)</f>
        <v>7</v>
      </c>
      <c r="J9" s="1076">
        <f>COUNT(C18:C24)</f>
        <v>7</v>
      </c>
      <c r="K9" s="1076">
        <f>COUNT(D18:D24)</f>
        <v>7</v>
      </c>
      <c r="L9" s="1076">
        <f>COUNT(E18:E24)</f>
        <v>7</v>
      </c>
      <c r="M9" s="1077">
        <f>COUNT(F18:F24)</f>
        <v>7</v>
      </c>
      <c r="N9">
        <f>COUNT(B18:F24)</f>
        <v>35</v>
      </c>
      <c r="P9" t="s">
        <v>4129</v>
      </c>
      <c r="Q9" t="e">
        <f ca="1">Q7-Q8</f>
        <v>#NAME?</v>
      </c>
      <c r="R9">
        <f>R7-R8</f>
        <v>18</v>
      </c>
      <c r="S9" t="e">
        <f ca="1">Q9/R9</f>
        <v>#NAME?</v>
      </c>
      <c r="Y9" s="627" t="s">
        <v>1553</v>
      </c>
      <c r="Z9" s="672">
        <v>103</v>
      </c>
      <c r="AA9" s="672">
        <v>286</v>
      </c>
      <c r="AB9" s="672">
        <v>401</v>
      </c>
      <c r="AC9" s="672">
        <v>291</v>
      </c>
      <c r="AD9" s="673">
        <v>367</v>
      </c>
      <c r="AF9" t="e">
        <f ca="1"/>
        <v>#NAME?</v>
      </c>
      <c r="AG9" s="656" t="e">
        <f ca="1"/>
        <v>#NAME?</v>
      </c>
      <c r="AH9" s="8" t="e">
        <f ca="1"/>
        <v>#NAME?</v>
      </c>
      <c r="AI9" s="8" t="e">
        <f ca="1"/>
        <v>#NAME?</v>
      </c>
      <c r="AJ9" s="8" t="e">
        <f ca="1"/>
        <v>#NAME?</v>
      </c>
      <c r="AK9" s="657" t="e">
        <f ca="1"/>
        <v>#NAME?</v>
      </c>
    </row>
    <row r="10" spans="1:37">
      <c r="A10" s="533"/>
      <c r="B10" s="674">
        <v>230</v>
      </c>
      <c r="C10" s="672">
        <v>306</v>
      </c>
      <c r="D10" s="675">
        <v>432</v>
      </c>
      <c r="E10" s="675">
        <v>386</v>
      </c>
      <c r="F10" s="676">
        <v>423</v>
      </c>
      <c r="I10">
        <f>COUNT(B4:B24)</f>
        <v>21</v>
      </c>
      <c r="J10">
        <f>COUNT(C4:C24)</f>
        <v>21</v>
      </c>
      <c r="K10">
        <f>COUNT(D4:D24)</f>
        <v>21</v>
      </c>
      <c r="L10">
        <f>COUNT(E4:E24)</f>
        <v>21</v>
      </c>
      <c r="M10">
        <f>COUNT(F4:F24)</f>
        <v>21</v>
      </c>
      <c r="N10">
        <f>COUNT(B4:F24)</f>
        <v>105</v>
      </c>
      <c r="P10" t="s">
        <v>1547</v>
      </c>
      <c r="Q10" t="e">
        <f ca="1">Q14-Q7</f>
        <v>#NAME?</v>
      </c>
      <c r="R10">
        <f>R14-R7</f>
        <v>84</v>
      </c>
      <c r="Y10" s="627" t="s">
        <v>217</v>
      </c>
      <c r="Z10" s="672">
        <v>123</v>
      </c>
      <c r="AA10" s="672">
        <v>331</v>
      </c>
      <c r="AB10" s="672">
        <v>407</v>
      </c>
      <c r="AC10" s="672">
        <v>461</v>
      </c>
      <c r="AD10" s="673">
        <v>445</v>
      </c>
      <c r="AF10" t="e">
        <f ca="1"/>
        <v>#NAME?</v>
      </c>
      <c r="AG10" s="656" t="e">
        <f ca="1"/>
        <v>#NAME?</v>
      </c>
      <c r="AH10" s="8" t="e">
        <f ca="1"/>
        <v>#NAME?</v>
      </c>
      <c r="AI10" s="8" t="e">
        <f ca="1"/>
        <v>#NAME?</v>
      </c>
      <c r="AJ10" s="8" t="e">
        <f ca="1"/>
        <v>#NAME?</v>
      </c>
      <c r="AK10" s="657" t="e">
        <f ca="1"/>
        <v>#NAME?</v>
      </c>
    </row>
    <row r="11" spans="1:37">
      <c r="A11" s="654" t="s">
        <v>1554</v>
      </c>
      <c r="B11" s="668">
        <v>54</v>
      </c>
      <c r="C11" s="669">
        <v>172</v>
      </c>
      <c r="D11" s="669">
        <v>307</v>
      </c>
      <c r="E11" s="669">
        <v>261</v>
      </c>
      <c r="F11" s="670">
        <v>360</v>
      </c>
      <c r="P11" t="s">
        <v>4130</v>
      </c>
      <c r="Q11">
        <f>DEVSQ(I17:M17)*I10</f>
        <v>1025800.3809523809</v>
      </c>
      <c r="R11">
        <f>COUNT(I17:M17)-1</f>
        <v>4</v>
      </c>
      <c r="S11">
        <f>Q11/R11</f>
        <v>256450.09523809524</v>
      </c>
      <c r="T11" t="e">
        <f ca="1">S11/S13</f>
        <v>#NAME?</v>
      </c>
      <c r="U11" t="e">
        <f ca="1">FDIST(T11,R11,R13)</f>
        <v>#NAME?</v>
      </c>
      <c r="V11">
        <f>FINV(U5,R11,R13)</f>
        <v>2.4989185828063061</v>
      </c>
      <c r="Y11" s="627" t="s">
        <v>1554</v>
      </c>
      <c r="Z11" s="672">
        <v>200</v>
      </c>
      <c r="AA11" s="672">
        <v>157</v>
      </c>
      <c r="AB11" s="672">
        <v>283</v>
      </c>
      <c r="AC11" s="672">
        <v>259</v>
      </c>
      <c r="AD11" s="673">
        <v>273</v>
      </c>
      <c r="AF11" t="e">
        <f ca="1"/>
        <v>#NAME?</v>
      </c>
      <c r="AG11" s="656" t="e">
        <f ca="1"/>
        <v>#NAME?</v>
      </c>
      <c r="AH11" s="8" t="e">
        <f ca="1"/>
        <v>#NAME?</v>
      </c>
      <c r="AI11" s="8" t="e">
        <f ca="1"/>
        <v>#NAME?</v>
      </c>
      <c r="AJ11" s="8" t="e">
        <f ca="1"/>
        <v>#NAME?</v>
      </c>
      <c r="AK11" s="657" t="e">
        <f ca="1"/>
        <v>#NAME?</v>
      </c>
    </row>
    <row r="12" spans="1:37">
      <c r="A12" s="627"/>
      <c r="B12" s="671">
        <v>20</v>
      </c>
      <c r="C12" s="672">
        <v>116</v>
      </c>
      <c r="D12" s="672">
        <v>425</v>
      </c>
      <c r="E12" s="672">
        <v>398</v>
      </c>
      <c r="F12" s="673">
        <v>268</v>
      </c>
      <c r="H12" t="s">
        <v>1031</v>
      </c>
      <c r="P12" t="s">
        <v>4131</v>
      </c>
      <c r="Q12" t="e">
        <f ca="1">Q10-Q11-Q13</f>
        <v>#NAME?</v>
      </c>
      <c r="R12">
        <f>R8*R11</f>
        <v>8</v>
      </c>
      <c r="S12" t="e">
        <f ca="1">Q12/R12</f>
        <v>#NAME?</v>
      </c>
      <c r="T12" t="e">
        <f ca="1">S12/S13</f>
        <v>#NAME?</v>
      </c>
      <c r="U12" t="e">
        <f ca="1">FDIST(T12,R12,R13)</f>
        <v>#NAME?</v>
      </c>
      <c r="V12">
        <f>FINV(U5,R12,R13)</f>
        <v>2.0698316419588703</v>
      </c>
      <c r="Y12" s="627" t="s">
        <v>1553</v>
      </c>
      <c r="Z12" s="672">
        <v>251</v>
      </c>
      <c r="AA12" s="672">
        <v>261</v>
      </c>
      <c r="AB12" s="672">
        <v>384</v>
      </c>
      <c r="AC12" s="672">
        <v>421</v>
      </c>
      <c r="AD12" s="673">
        <v>342</v>
      </c>
      <c r="AF12" t="e">
        <f ca="1"/>
        <v>#NAME?</v>
      </c>
      <c r="AG12" s="656" t="e">
        <f ca="1"/>
        <v>#NAME?</v>
      </c>
      <c r="AH12" s="8" t="e">
        <f ca="1"/>
        <v>#NAME?</v>
      </c>
      <c r="AI12" s="8" t="e">
        <f ca="1"/>
        <v>#NAME?</v>
      </c>
      <c r="AJ12" s="8" t="e">
        <f ca="1"/>
        <v>#NAME?</v>
      </c>
      <c r="AK12" s="657" t="e">
        <f ca="1"/>
        <v>#NAME?</v>
      </c>
    </row>
    <row r="13" spans="1:37">
      <c r="A13" s="627"/>
      <c r="B13" s="671">
        <v>41</v>
      </c>
      <c r="C13" s="672">
        <v>168</v>
      </c>
      <c r="D13" s="672">
        <v>378</v>
      </c>
      <c r="E13" s="672">
        <v>317</v>
      </c>
      <c r="F13" s="673">
        <v>470</v>
      </c>
      <c r="I13" s="1503" t="str">
        <f>B3</f>
        <v>Day 1</v>
      </c>
      <c r="J13" s="1503" t="str">
        <f>C3</f>
        <v>Day 2</v>
      </c>
      <c r="K13" s="1503" t="str">
        <f>D3</f>
        <v>Day 3</v>
      </c>
      <c r="L13" s="1503" t="str">
        <f>E3</f>
        <v>Day 4</v>
      </c>
      <c r="M13" s="1503" t="str">
        <f>F3</f>
        <v>Day 5</v>
      </c>
      <c r="P13" t="s">
        <v>4129</v>
      </c>
      <c r="Q13" t="e">
        <f ca="1">SUM(I21:M23)*(I7-1)-Q9</f>
        <v>#NAME?</v>
      </c>
      <c r="R13">
        <f>R10-R11-R12</f>
        <v>72</v>
      </c>
      <c r="S13" t="e">
        <f ca="1">Q13/R13</f>
        <v>#NAME?</v>
      </c>
      <c r="Y13" s="627" t="s">
        <v>217</v>
      </c>
      <c r="Z13" s="672">
        <v>71</v>
      </c>
      <c r="AA13" s="672">
        <v>285</v>
      </c>
      <c r="AB13" s="672">
        <v>471</v>
      </c>
      <c r="AC13" s="672">
        <v>407</v>
      </c>
      <c r="AD13" s="673">
        <v>433</v>
      </c>
      <c r="AF13" t="e">
        <f ca="1"/>
        <v>#NAME?</v>
      </c>
      <c r="AG13" s="656" t="e">
        <f ca="1"/>
        <v>#NAME?</v>
      </c>
      <c r="AH13" s="8" t="e">
        <f ca="1"/>
        <v>#NAME?</v>
      </c>
      <c r="AI13" s="8" t="e">
        <f ca="1"/>
        <v>#NAME?</v>
      </c>
      <c r="AJ13" s="8" t="e">
        <f ca="1"/>
        <v>#NAME?</v>
      </c>
      <c r="AK13" s="657" t="e">
        <f ca="1"/>
        <v>#NAME?</v>
      </c>
    </row>
    <row r="14" spans="1:37">
      <c r="A14" s="627"/>
      <c r="B14" s="671">
        <v>200</v>
      </c>
      <c r="C14" s="672">
        <v>157</v>
      </c>
      <c r="D14" s="672">
        <v>283</v>
      </c>
      <c r="E14" s="672">
        <v>259</v>
      </c>
      <c r="F14" s="673">
        <v>273</v>
      </c>
      <c r="H14" t="str">
        <f>A4</f>
        <v>Young</v>
      </c>
      <c r="I14" s="1232">
        <f>AVERAGE(B4:B10)</f>
        <v>184.85714285714286</v>
      </c>
      <c r="J14" s="1114">
        <f>AVERAGE(C4:C10)</f>
        <v>259.85714285714283</v>
      </c>
      <c r="K14" s="1114">
        <f>AVERAGE(D4:D10)</f>
        <v>382.85714285714283</v>
      </c>
      <c r="L14" s="1114">
        <f>AVERAGE(E4:E10)</f>
        <v>362.57142857142856</v>
      </c>
      <c r="M14" s="1233">
        <f>AVERAGE(F4:F10)</f>
        <v>383.71428571428572</v>
      </c>
      <c r="N14">
        <f>AVERAGE(B4:F10)</f>
        <v>314.77142857142854</v>
      </c>
      <c r="P14" s="1078" t="s">
        <v>12</v>
      </c>
      <c r="Q14" s="1078">
        <f>S14*R14</f>
        <v>1597343.4285714282</v>
      </c>
      <c r="R14" s="1078">
        <f>N10-1</f>
        <v>104</v>
      </c>
      <c r="S14" s="1078">
        <f>N24</f>
        <v>15359.071428571424</v>
      </c>
      <c r="T14" s="1078"/>
      <c r="U14" s="1078"/>
      <c r="V14" s="1078"/>
      <c r="Y14" s="627" t="s">
        <v>1554</v>
      </c>
      <c r="Z14" s="672">
        <v>3</v>
      </c>
      <c r="AA14" s="672">
        <v>54</v>
      </c>
      <c r="AB14" s="672">
        <v>285</v>
      </c>
      <c r="AC14" s="672">
        <v>216</v>
      </c>
      <c r="AD14" s="673">
        <v>245</v>
      </c>
      <c r="AF14" t="e">
        <f ca="1"/>
        <v>#NAME?</v>
      </c>
      <c r="AG14" s="656" t="e">
        <f ca="1"/>
        <v>#NAME?</v>
      </c>
      <c r="AH14" s="8" t="e">
        <f ca="1"/>
        <v>#NAME?</v>
      </c>
      <c r="AI14" s="8" t="e">
        <f ca="1"/>
        <v>#NAME?</v>
      </c>
      <c r="AJ14" s="8" t="e">
        <f ca="1"/>
        <v>#NAME?</v>
      </c>
      <c r="AK14" s="657" t="e">
        <f ca="1"/>
        <v>#NAME?</v>
      </c>
    </row>
    <row r="15" spans="1:37">
      <c r="A15" s="627"/>
      <c r="B15" s="671">
        <v>34</v>
      </c>
      <c r="C15" s="672">
        <v>86</v>
      </c>
      <c r="D15" s="672">
        <v>351</v>
      </c>
      <c r="E15" s="672">
        <v>280</v>
      </c>
      <c r="F15" s="673">
        <v>320</v>
      </c>
      <c r="H15" t="str">
        <f>A11</f>
        <v>Middle</v>
      </c>
      <c r="I15" s="625">
        <f>AVERAGE(B11:B17)</f>
        <v>54.428571428571431</v>
      </c>
      <c r="J15" s="8">
        <f>AVERAGE(C11:C17)</f>
        <v>119.14285714285714</v>
      </c>
      <c r="K15" s="8">
        <f>AVERAGE(D11:D17)</f>
        <v>317.42857142857144</v>
      </c>
      <c r="L15" s="8">
        <f>AVERAGE(E11:E17)</f>
        <v>281.57142857142856</v>
      </c>
      <c r="M15" s="132">
        <f>AVERAGE(F11:F17)</f>
        <v>309.85714285714283</v>
      </c>
      <c r="N15">
        <f>AVERAGE(B11:F17)</f>
        <v>216.48571428571429</v>
      </c>
      <c r="Y15" s="627" t="s">
        <v>1553</v>
      </c>
      <c r="Z15" s="672">
        <v>241</v>
      </c>
      <c r="AA15" s="672">
        <v>314</v>
      </c>
      <c r="AB15" s="672">
        <v>423</v>
      </c>
      <c r="AC15" s="672">
        <v>415</v>
      </c>
      <c r="AD15" s="673">
        <v>468</v>
      </c>
      <c r="AF15" t="e">
        <f ca="1"/>
        <v>#NAME?</v>
      </c>
      <c r="AG15" s="656" t="e">
        <f ca="1"/>
        <v>#NAME?</v>
      </c>
      <c r="AH15" s="8" t="e">
        <f ca="1"/>
        <v>#NAME?</v>
      </c>
      <c r="AI15" s="8" t="e">
        <f ca="1"/>
        <v>#NAME?</v>
      </c>
      <c r="AJ15" s="8" t="e">
        <f ca="1"/>
        <v>#NAME?</v>
      </c>
      <c r="AK15" s="657" t="e">
        <f ca="1"/>
        <v>#NAME?</v>
      </c>
    </row>
    <row r="16" spans="1:37">
      <c r="A16" s="627"/>
      <c r="B16" s="671">
        <v>29</v>
      </c>
      <c r="C16" s="672">
        <v>81</v>
      </c>
      <c r="D16" s="672">
        <v>193</v>
      </c>
      <c r="E16" s="672">
        <v>240</v>
      </c>
      <c r="F16" s="673">
        <v>233</v>
      </c>
      <c r="H16" t="str">
        <f>A18</f>
        <v>Old</v>
      </c>
      <c r="I16" s="1075">
        <f>AVERAGE(B18:B24)</f>
        <v>87.428571428571431</v>
      </c>
      <c r="J16" s="1076">
        <f>AVERAGE(C18:C24)</f>
        <v>238.71428571428572</v>
      </c>
      <c r="K16" s="1076">
        <f>AVERAGE(D18:D24)</f>
        <v>369.57142857142856</v>
      </c>
      <c r="L16" s="1076">
        <f>AVERAGE(E18:E24)</f>
        <v>374.28571428571428</v>
      </c>
      <c r="M16" s="1077">
        <f>AVERAGE(F18:F24)</f>
        <v>358</v>
      </c>
      <c r="N16">
        <f>AVERAGE(B18:F24)</f>
        <v>285.60000000000002</v>
      </c>
      <c r="Y16" s="627" t="s">
        <v>1554</v>
      </c>
      <c r="Z16" s="672">
        <v>29</v>
      </c>
      <c r="AA16" s="672">
        <v>81</v>
      </c>
      <c r="AB16" s="672">
        <v>193</v>
      </c>
      <c r="AC16" s="672">
        <v>240</v>
      </c>
      <c r="AD16" s="673">
        <v>233</v>
      </c>
      <c r="AF16" t="e">
        <f ca="1"/>
        <v>#NAME?</v>
      </c>
      <c r="AG16" s="656" t="e">
        <f ca="1"/>
        <v>#NAME?</v>
      </c>
      <c r="AH16" s="8" t="e">
        <f ca="1"/>
        <v>#NAME?</v>
      </c>
      <c r="AI16" s="8" t="e">
        <f ca="1"/>
        <v>#NAME?</v>
      </c>
      <c r="AJ16" s="8" t="e">
        <f ca="1"/>
        <v>#NAME?</v>
      </c>
      <c r="AK16" s="657" t="e">
        <f ca="1"/>
        <v>#NAME?</v>
      </c>
    </row>
    <row r="17" spans="1:37" ht="15" thickBot="1">
      <c r="A17" s="544"/>
      <c r="B17" s="674">
        <v>3</v>
      </c>
      <c r="C17" s="675">
        <v>54</v>
      </c>
      <c r="D17" s="675">
        <v>285</v>
      </c>
      <c r="E17" s="675">
        <v>216</v>
      </c>
      <c r="F17" s="676">
        <v>245</v>
      </c>
      <c r="I17">
        <f>AVERAGE(B4:B24)</f>
        <v>108.9047619047619</v>
      </c>
      <c r="J17">
        <f>AVERAGE(C4:C24)</f>
        <v>205.9047619047619</v>
      </c>
      <c r="K17">
        <f>AVERAGE(D4:D24)</f>
        <v>356.61904761904759</v>
      </c>
      <c r="L17">
        <f>AVERAGE(E4:E24)</f>
        <v>339.47619047619048</v>
      </c>
      <c r="M17">
        <f>AVERAGE(F4:F24)</f>
        <v>350.52380952380952</v>
      </c>
      <c r="N17">
        <f>AVERAGE(B4:F24)</f>
        <v>272.28571428571428</v>
      </c>
      <c r="P17" t="s">
        <v>1444</v>
      </c>
      <c r="T17" t="s">
        <v>116</v>
      </c>
      <c r="U17">
        <v>0.05</v>
      </c>
      <c r="Y17" s="627" t="s">
        <v>217</v>
      </c>
      <c r="Z17" s="672">
        <v>38</v>
      </c>
      <c r="AA17" s="672">
        <v>207</v>
      </c>
      <c r="AB17" s="672">
        <v>289</v>
      </c>
      <c r="AC17" s="672">
        <v>385</v>
      </c>
      <c r="AD17" s="673">
        <v>373</v>
      </c>
      <c r="AF17" t="e">
        <f ca="1"/>
        <v>#NAME?</v>
      </c>
      <c r="AG17" s="656" t="e">
        <f ca="1"/>
        <v>#NAME?</v>
      </c>
      <c r="AH17" s="8" t="e">
        <f ca="1"/>
        <v>#NAME?</v>
      </c>
      <c r="AI17" s="8" t="e">
        <f ca="1"/>
        <v>#NAME?</v>
      </c>
      <c r="AJ17" s="8" t="e">
        <f ca="1"/>
        <v>#NAME?</v>
      </c>
      <c r="AK17" s="657" t="e">
        <f ca="1"/>
        <v>#NAME?</v>
      </c>
    </row>
    <row r="18" spans="1:37" ht="15" thickTop="1">
      <c r="A18" s="654" t="s">
        <v>217</v>
      </c>
      <c r="B18" s="671">
        <v>118</v>
      </c>
      <c r="C18" s="672">
        <v>124</v>
      </c>
      <c r="D18" s="672">
        <v>365</v>
      </c>
      <c r="E18" s="672">
        <v>311</v>
      </c>
      <c r="F18" s="673">
        <v>331</v>
      </c>
      <c r="P18" s="1151" t="s">
        <v>880</v>
      </c>
      <c r="Q18" s="1151" t="s">
        <v>578</v>
      </c>
      <c r="R18" s="1151" t="s">
        <v>186</v>
      </c>
      <c r="S18" s="1151" t="s">
        <v>641</v>
      </c>
      <c r="T18" s="1151" t="s">
        <v>388</v>
      </c>
      <c r="U18" s="1151" t="s">
        <v>881</v>
      </c>
      <c r="V18" s="1151" t="s">
        <v>882</v>
      </c>
      <c r="Y18" s="627" t="s">
        <v>1554</v>
      </c>
      <c r="Z18" s="672">
        <v>20</v>
      </c>
      <c r="AA18" s="672">
        <v>116</v>
      </c>
      <c r="AB18" s="672">
        <v>425</v>
      </c>
      <c r="AC18" s="672">
        <v>398</v>
      </c>
      <c r="AD18" s="673">
        <v>268</v>
      </c>
      <c r="AF18" t="e">
        <f ca="1"/>
        <v>#NAME?</v>
      </c>
      <c r="AG18" s="656" t="e">
        <f ca="1"/>
        <v>#NAME?</v>
      </c>
      <c r="AH18" s="8" t="e">
        <f ca="1"/>
        <v>#NAME?</v>
      </c>
      <c r="AI18" s="8" t="e">
        <f ca="1"/>
        <v>#NAME?</v>
      </c>
      <c r="AJ18" s="8" t="e">
        <f ca="1"/>
        <v>#NAME?</v>
      </c>
      <c r="AK18" s="657" t="e">
        <f ca="1"/>
        <v>#NAME?</v>
      </c>
    </row>
    <row r="19" spans="1:37">
      <c r="A19" s="627"/>
      <c r="B19" s="671">
        <v>83</v>
      </c>
      <c r="C19" s="672">
        <v>266</v>
      </c>
      <c r="D19" s="672">
        <v>382</v>
      </c>
      <c r="E19" s="672">
        <v>369</v>
      </c>
      <c r="F19" s="673">
        <v>295</v>
      </c>
      <c r="H19" t="s">
        <v>2822</v>
      </c>
      <c r="P19" t="s">
        <v>1010</v>
      </c>
      <c r="Q19">
        <f>Q11</f>
        <v>1025800.3809523809</v>
      </c>
      <c r="R19" t="e">
        <f ca="1">R11*I$26</f>
        <v>#NAME?</v>
      </c>
      <c r="S19" t="e">
        <f ca="1">Q19/R19</f>
        <v>#NAME?</v>
      </c>
      <c r="T19" t="e">
        <f ca="1">S19/S21</f>
        <v>#NAME?</v>
      </c>
      <c r="U19" t="e">
        <f ca="1">FDIST(T19,R19,R21)</f>
        <v>#NAME?</v>
      </c>
      <c r="V19" t="e">
        <f ca="1">FINV(U17,R19,R21)</f>
        <v>#NAME?</v>
      </c>
      <c r="Y19" s="627" t="s">
        <v>1553</v>
      </c>
      <c r="Z19" s="672">
        <v>154</v>
      </c>
      <c r="AA19" s="672">
        <v>167</v>
      </c>
      <c r="AB19" s="672">
        <v>257</v>
      </c>
      <c r="AC19" s="672">
        <v>275</v>
      </c>
      <c r="AD19" s="673">
        <v>332</v>
      </c>
      <c r="AF19" t="e">
        <f ca="1"/>
        <v>#NAME?</v>
      </c>
      <c r="AG19" s="656" t="e">
        <f ca="1"/>
        <v>#NAME?</v>
      </c>
      <c r="AH19" s="8" t="e">
        <f ca="1"/>
        <v>#NAME?</v>
      </c>
      <c r="AI19" s="8" t="e">
        <f ca="1"/>
        <v>#NAME?</v>
      </c>
      <c r="AJ19" s="8" t="e">
        <f ca="1"/>
        <v>#NAME?</v>
      </c>
      <c r="AK19" s="657" t="e">
        <f ca="1"/>
        <v>#NAME?</v>
      </c>
    </row>
    <row r="20" spans="1:37">
      <c r="A20" s="627"/>
      <c r="B20" s="671">
        <v>38</v>
      </c>
      <c r="C20" s="672">
        <v>207</v>
      </c>
      <c r="D20" s="672">
        <v>289</v>
      </c>
      <c r="E20" s="672">
        <v>385</v>
      </c>
      <c r="F20" s="673">
        <v>373</v>
      </c>
      <c r="I20" s="1503" t="str">
        <f>B3</f>
        <v>Day 1</v>
      </c>
      <c r="J20" s="1503" t="str">
        <f>C3</f>
        <v>Day 2</v>
      </c>
      <c r="K20" s="1503" t="str">
        <f>D3</f>
        <v>Day 3</v>
      </c>
      <c r="L20" s="1503" t="str">
        <f>E3</f>
        <v>Day 4</v>
      </c>
      <c r="M20" s="1503" t="str">
        <f>F3</f>
        <v>Day 5</v>
      </c>
      <c r="P20" t="s">
        <v>838</v>
      </c>
      <c r="Q20" t="e">
        <f ca="1">Q12</f>
        <v>#NAME?</v>
      </c>
      <c r="R20" t="e">
        <f ca="1">R12*I$26</f>
        <v>#NAME?</v>
      </c>
      <c r="S20" t="e">
        <f ca="1">Q20/R20</f>
        <v>#NAME?</v>
      </c>
      <c r="T20" t="e">
        <f ca="1">S20/S21</f>
        <v>#NAME?</v>
      </c>
      <c r="U20" t="e">
        <f ca="1">FDIST(T20,R20,R21)</f>
        <v>#NAME?</v>
      </c>
      <c r="V20" t="e">
        <f ca="1">FINV(U17,R20,R21)</f>
        <v>#NAME?</v>
      </c>
      <c r="Y20" s="627" t="s">
        <v>1554</v>
      </c>
      <c r="Z20" s="672">
        <v>34</v>
      </c>
      <c r="AA20" s="672">
        <v>86</v>
      </c>
      <c r="AB20" s="672">
        <v>351</v>
      </c>
      <c r="AC20" s="672">
        <v>280</v>
      </c>
      <c r="AD20" s="673">
        <v>320</v>
      </c>
      <c r="AF20" t="e">
        <f ca="1"/>
        <v>#NAME?</v>
      </c>
      <c r="AG20" s="656" t="e">
        <f ca="1"/>
        <v>#NAME?</v>
      </c>
      <c r="AH20" s="8" t="e">
        <f ca="1"/>
        <v>#NAME?</v>
      </c>
      <c r="AI20" s="8" t="e">
        <f ca="1"/>
        <v>#NAME?</v>
      </c>
      <c r="AJ20" s="8" t="e">
        <f ca="1"/>
        <v>#NAME?</v>
      </c>
      <c r="AK20" s="657" t="e">
        <f ca="1"/>
        <v>#NAME?</v>
      </c>
    </row>
    <row r="21" spans="1:37">
      <c r="A21" s="627"/>
      <c r="B21" s="671">
        <v>71</v>
      </c>
      <c r="C21" s="672">
        <v>211</v>
      </c>
      <c r="D21" s="672">
        <v>356</v>
      </c>
      <c r="E21" s="672">
        <v>380</v>
      </c>
      <c r="F21" s="673">
        <v>305</v>
      </c>
      <c r="H21" t="str">
        <f>A4</f>
        <v>Young</v>
      </c>
      <c r="I21" s="1232">
        <f>VAR(B4:B10)</f>
        <v>5971.1428571428551</v>
      </c>
      <c r="J21" s="1114">
        <f>VAR(C4:C10)</f>
        <v>2915.1428571428601</v>
      </c>
      <c r="K21" s="1114">
        <f>VAR(D4:D10)</f>
        <v>4241.1428571428596</v>
      </c>
      <c r="L21" s="1114">
        <f>VAR(E4:E10)</f>
        <v>3318.2857142857197</v>
      </c>
      <c r="M21" s="1233">
        <f>VAR(F4:F10)</f>
        <v>4318.9047619047533</v>
      </c>
      <c r="N21">
        <f>VAR(B4:F10)</f>
        <v>10163.416806722689</v>
      </c>
      <c r="P21" t="s">
        <v>1009</v>
      </c>
      <c r="Q21" t="e">
        <f ca="1">Q13</f>
        <v>#NAME?</v>
      </c>
      <c r="R21" t="e">
        <f ca="1">R13*I$26</f>
        <v>#NAME?</v>
      </c>
      <c r="S21" t="e">
        <f ca="1">Q21/R21</f>
        <v>#NAME?</v>
      </c>
      <c r="Y21" s="627" t="s">
        <v>217</v>
      </c>
      <c r="Z21" s="672">
        <v>108</v>
      </c>
      <c r="AA21" s="672">
        <v>247</v>
      </c>
      <c r="AB21" s="672">
        <v>317</v>
      </c>
      <c r="AC21" s="672">
        <v>307</v>
      </c>
      <c r="AD21" s="673">
        <v>324</v>
      </c>
      <c r="AF21" t="e">
        <f ca="1"/>
        <v>#NAME?</v>
      </c>
      <c r="AG21" s="656" t="e">
        <f ca="1"/>
        <v>#NAME?</v>
      </c>
      <c r="AH21" s="8" t="e">
        <f ca="1"/>
        <v>#NAME?</v>
      </c>
      <c r="AI21" s="8" t="e">
        <f ca="1"/>
        <v>#NAME?</v>
      </c>
      <c r="AJ21" s="8" t="e">
        <f ca="1"/>
        <v>#NAME?</v>
      </c>
      <c r="AK21" s="657" t="e">
        <f ca="1"/>
        <v>#NAME?</v>
      </c>
    </row>
    <row r="22" spans="1:37">
      <c r="A22" s="627"/>
      <c r="B22" s="671">
        <v>123</v>
      </c>
      <c r="C22" s="672">
        <v>331</v>
      </c>
      <c r="D22" s="672">
        <v>407</v>
      </c>
      <c r="E22" s="672">
        <v>461</v>
      </c>
      <c r="F22" s="673">
        <v>445</v>
      </c>
      <c r="H22" t="str">
        <f>A11</f>
        <v>Middle</v>
      </c>
      <c r="I22" s="625">
        <f>VAR(B11:B17)</f>
        <v>4377.6190476190477</v>
      </c>
      <c r="J22" s="8">
        <f>VAR(C11:C17)</f>
        <v>2236.8095238095243</v>
      </c>
      <c r="K22" s="8">
        <f>VAR(D11:D17)</f>
        <v>5699.2857142857201</v>
      </c>
      <c r="L22" s="8">
        <f>VAR(E11:E17)</f>
        <v>3628.9523809523866</v>
      </c>
      <c r="M22" s="132">
        <f>VAR(F11:F17)</f>
        <v>6914.4761904761936</v>
      </c>
      <c r="N22">
        <f>VAR(B11:F17)</f>
        <v>16156.374789915964</v>
      </c>
      <c r="P22" s="1234"/>
      <c r="Q22" s="1234"/>
      <c r="R22" s="1234"/>
      <c r="S22" s="1234"/>
      <c r="T22" s="1234"/>
      <c r="U22" s="1234"/>
      <c r="V22" s="1234"/>
      <c r="Y22" s="627" t="s">
        <v>1553</v>
      </c>
      <c r="Z22" s="672">
        <v>250</v>
      </c>
      <c r="AA22" s="672">
        <v>278</v>
      </c>
      <c r="AB22" s="672">
        <v>442</v>
      </c>
      <c r="AC22" s="672">
        <v>368</v>
      </c>
      <c r="AD22" s="673">
        <v>456</v>
      </c>
      <c r="AF22" t="e">
        <f ca="1"/>
        <v>#NAME?</v>
      </c>
      <c r="AG22" s="656" t="e">
        <f ca="1"/>
        <v>#NAME?</v>
      </c>
      <c r="AH22" s="8" t="e">
        <f ca="1"/>
        <v>#NAME?</v>
      </c>
      <c r="AI22" s="8" t="e">
        <f ca="1"/>
        <v>#NAME?</v>
      </c>
      <c r="AJ22" s="8" t="e">
        <f ca="1"/>
        <v>#NAME?</v>
      </c>
      <c r="AK22" s="657" t="e">
        <f ca="1"/>
        <v>#NAME?</v>
      </c>
    </row>
    <row r="23" spans="1:37" ht="15" thickBot="1">
      <c r="A23" s="627"/>
      <c r="B23" s="671">
        <v>71</v>
      </c>
      <c r="C23" s="672">
        <v>285</v>
      </c>
      <c r="D23" s="672">
        <v>471</v>
      </c>
      <c r="E23" s="672">
        <v>407</v>
      </c>
      <c r="F23" s="673">
        <v>433</v>
      </c>
      <c r="H23" t="str">
        <f>A18</f>
        <v>Old</v>
      </c>
      <c r="I23" s="1075">
        <f>VAR(B18:B24)</f>
        <v>937.61904761904714</v>
      </c>
      <c r="J23" s="1076">
        <f>VAR(C18:C24)</f>
        <v>4400.9047619047633</v>
      </c>
      <c r="K23" s="1076">
        <f>VAR(D18:D24)</f>
        <v>3550.6190476190532</v>
      </c>
      <c r="L23" s="1076">
        <f>VAR(E18:E24)</f>
        <v>2882.9047619047537</v>
      </c>
      <c r="M23" s="1077">
        <f>VAR(F18:F24)</f>
        <v>3680.3333333333335</v>
      </c>
      <c r="N23">
        <f>VAR(B18:F24)</f>
        <v>15415.070588235292</v>
      </c>
      <c r="P23" t="s">
        <v>1445</v>
      </c>
      <c r="T23" t="s">
        <v>116</v>
      </c>
      <c r="U23">
        <v>0.05</v>
      </c>
      <c r="Y23" s="627" t="s">
        <v>1553</v>
      </c>
      <c r="Z23" s="672">
        <v>65</v>
      </c>
      <c r="AA23" s="672">
        <v>207</v>
      </c>
      <c r="AB23" s="672">
        <v>341</v>
      </c>
      <c r="AC23" s="672">
        <v>382</v>
      </c>
      <c r="AD23" s="673">
        <v>298</v>
      </c>
      <c r="AF23" t="e">
        <f ca="1"/>
        <v>#NAME?</v>
      </c>
      <c r="AG23" s="656" t="e">
        <f ca="1"/>
        <v>#NAME?</v>
      </c>
      <c r="AH23" s="8" t="e">
        <f ca="1"/>
        <v>#NAME?</v>
      </c>
      <c r="AI23" s="8" t="e">
        <f ca="1"/>
        <v>#NAME?</v>
      </c>
      <c r="AJ23" s="8" t="e">
        <f ca="1"/>
        <v>#NAME?</v>
      </c>
      <c r="AK23" s="657" t="e">
        <f ca="1"/>
        <v>#NAME?</v>
      </c>
    </row>
    <row r="24" spans="1:37" ht="15" thickTop="1">
      <c r="A24" s="544"/>
      <c r="B24" s="674">
        <v>108</v>
      </c>
      <c r="C24" s="675">
        <v>247</v>
      </c>
      <c r="D24" s="675">
        <v>317</v>
      </c>
      <c r="E24" s="675">
        <v>307</v>
      </c>
      <c r="F24" s="676">
        <v>324</v>
      </c>
      <c r="I24">
        <f>VAR(B4:B24)</f>
        <v>6605.0904761904767</v>
      </c>
      <c r="J24">
        <f>VAR(C4:C24)</f>
        <v>6896.0904761904731</v>
      </c>
      <c r="K24">
        <f>VAR(D4:D24)</f>
        <v>4884.5476190476211</v>
      </c>
      <c r="L24">
        <f>VAR(E4:E24)</f>
        <v>4733.361904761894</v>
      </c>
      <c r="M24">
        <f>VAR(F4:F24)</f>
        <v>5458.0619047618939</v>
      </c>
      <c r="N24">
        <f>VAR(B4:F24)</f>
        <v>15359.071428571424</v>
      </c>
      <c r="P24" s="1151" t="s">
        <v>880</v>
      </c>
      <c r="Q24" s="1151" t="s">
        <v>578</v>
      </c>
      <c r="R24" s="1151" t="s">
        <v>186</v>
      </c>
      <c r="S24" s="1151" t="s">
        <v>641</v>
      </c>
      <c r="T24" s="1151" t="s">
        <v>388</v>
      </c>
      <c r="U24" s="1151" t="s">
        <v>881</v>
      </c>
      <c r="V24" s="1151" t="s">
        <v>882</v>
      </c>
      <c r="Y24" s="544" t="s">
        <v>217</v>
      </c>
      <c r="Z24" s="1509">
        <v>71</v>
      </c>
      <c r="AA24" s="1509">
        <v>211</v>
      </c>
      <c r="AB24" s="1509">
        <v>356</v>
      </c>
      <c r="AC24" s="1509">
        <v>380</v>
      </c>
      <c r="AD24" s="676">
        <v>305</v>
      </c>
      <c r="AF24" t="e">
        <f ca="1"/>
        <v>#NAME?</v>
      </c>
      <c r="AG24" s="533" t="e">
        <f ca="1"/>
        <v>#NAME?</v>
      </c>
      <c r="AH24" s="1078" t="e">
        <f ca="1"/>
        <v>#NAME?</v>
      </c>
      <c r="AI24" s="1078" t="e">
        <f ca="1"/>
        <v>#NAME?</v>
      </c>
      <c r="AJ24" s="1078" t="e">
        <f ca="1"/>
        <v>#NAME?</v>
      </c>
      <c r="AK24" s="541" t="e">
        <f ca="1"/>
        <v>#NAME?</v>
      </c>
    </row>
    <row r="25" spans="1:37">
      <c r="P25" t="s">
        <v>1010</v>
      </c>
      <c r="Q25">
        <f>Q11</f>
        <v>1025800.3809523809</v>
      </c>
      <c r="R25" t="e">
        <f ca="1">R11*I$27</f>
        <v>#NAME?</v>
      </c>
      <c r="S25" t="e">
        <f ca="1">Q25/R25</f>
        <v>#NAME?</v>
      </c>
      <c r="T25" t="e">
        <f ca="1">S25/S27</f>
        <v>#NAME?</v>
      </c>
      <c r="U25" t="e">
        <f ca="1">FDIST(T25,R25,R27)</f>
        <v>#NAME?</v>
      </c>
      <c r="V25" t="e">
        <f ca="1">FINV(U23,R25,R27)</f>
        <v>#NAME?</v>
      </c>
    </row>
    <row r="26" spans="1:37">
      <c r="H26" t="s">
        <v>4125</v>
      </c>
      <c r="I26" s="1441" t="e">
        <f ca="1">[1]!GGEpsilon(B4:F24,R8+1)</f>
        <v>#NAME?</v>
      </c>
      <c r="P26" t="s">
        <v>838</v>
      </c>
      <c r="Q26" t="e">
        <f ca="1">Q12</f>
        <v>#NAME?</v>
      </c>
      <c r="R26" t="e">
        <f ca="1">R12*I$27</f>
        <v>#NAME?</v>
      </c>
      <c r="S26" t="e">
        <f ca="1">Q26/R26</f>
        <v>#NAME?</v>
      </c>
      <c r="T26" t="e">
        <f ca="1">S26/S27</f>
        <v>#NAME?</v>
      </c>
      <c r="U26" t="e">
        <f ca="1">FDIST(T26,R26,R27)</f>
        <v>#NAME?</v>
      </c>
      <c r="V26" t="e">
        <f ca="1">FINV(U23,R26,R27)</f>
        <v>#NAME?</v>
      </c>
    </row>
    <row r="27" spans="1:37">
      <c r="H27" t="s">
        <v>4126</v>
      </c>
      <c r="I27" s="1073" t="e">
        <f ca="1">[1]!HFEpsilon(B4:F24,R8+1)</f>
        <v>#NAME?</v>
      </c>
      <c r="P27" t="s">
        <v>1009</v>
      </c>
      <c r="Q27" t="e">
        <f ca="1">Q13</f>
        <v>#NAME?</v>
      </c>
      <c r="R27" t="e">
        <f ca="1">R13*I$27</f>
        <v>#NAME?</v>
      </c>
      <c r="S27" t="e">
        <f ca="1">Q27/R27</f>
        <v>#NAME?</v>
      </c>
    </row>
    <row r="28" spans="1:37">
      <c r="P28" s="1234"/>
      <c r="Q28" s="1234"/>
      <c r="R28" s="1234"/>
      <c r="S28" s="1234"/>
      <c r="T28" s="1234"/>
      <c r="U28" s="1234"/>
      <c r="V28" s="1234"/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sheetPr codeName="Sheet184"/>
  <dimension ref="A1:V33"/>
  <sheetViews>
    <sheetView zoomScaleNormal="100" workbookViewId="0"/>
  </sheetViews>
  <sheetFormatPr defaultRowHeight="14.4"/>
  <cols>
    <col min="6" max="6" width="6.33203125" customWidth="1"/>
    <col min="12" max="12" width="6.33203125" customWidth="1"/>
    <col min="13" max="14" width="10.88671875" customWidth="1"/>
    <col min="15" max="15" width="6.44140625" customWidth="1"/>
    <col min="16" max="21" width="10.88671875" customWidth="1"/>
    <col min="22" max="22" width="10.44140625" customWidth="1"/>
  </cols>
  <sheetData>
    <row r="1" spans="1:22">
      <c r="A1" s="1" t="s">
        <v>1599</v>
      </c>
    </row>
    <row r="3" spans="1:22">
      <c r="A3" t="s">
        <v>1553</v>
      </c>
      <c r="G3" t="s">
        <v>217</v>
      </c>
      <c r="M3" t="s">
        <v>1599</v>
      </c>
      <c r="Q3" s="1038" t="s">
        <v>2721</v>
      </c>
      <c r="R3" s="1038" t="s">
        <v>2718</v>
      </c>
      <c r="S3" s="1038" t="s">
        <v>2719</v>
      </c>
      <c r="T3" s="1038" t="s">
        <v>1603</v>
      </c>
      <c r="U3" s="1038" t="s">
        <v>1604</v>
      </c>
      <c r="V3" s="1038" t="s">
        <v>2720</v>
      </c>
    </row>
    <row r="4" spans="1:22">
      <c r="P4" t="s">
        <v>1553</v>
      </c>
      <c r="Q4" s="115">
        <f>'ANOVA Match 2.3'!L5-1</f>
        <v>6</v>
      </c>
      <c r="R4" s="5">
        <f>1/Q4</f>
        <v>0.16666666666666666</v>
      </c>
      <c r="S4" s="5">
        <f>R4^2</f>
        <v>2.7777777777777776E-2</v>
      </c>
      <c r="T4" s="5" t="e">
        <f ca="1">MDETERM(A5:E9)</f>
        <v>#NAME?</v>
      </c>
      <c r="U4" s="5" t="e">
        <f ca="1">LN(T4)</f>
        <v>#NAME?</v>
      </c>
      <c r="V4" s="5" t="e">
        <f ca="1">U4*Q4</f>
        <v>#NAME?</v>
      </c>
    </row>
    <row r="5" spans="1:22">
      <c r="A5" s="553" t="e">
        <f t="array" aca="1" ref="A5:E9" ca="1">[1]!COV('ANOVA Match 2.3'!B4:F10)</f>
        <v>#NAME?</v>
      </c>
      <c r="B5" s="666" t="e">
        <f ca="1"/>
        <v>#NAME?</v>
      </c>
      <c r="C5" s="666" t="e">
        <f ca="1"/>
        <v>#NAME?</v>
      </c>
      <c r="D5" s="666" t="e">
        <f ca="1"/>
        <v>#NAME?</v>
      </c>
      <c r="E5" s="667" t="e">
        <f ca="1"/>
        <v>#NAME?</v>
      </c>
      <c r="F5" s="8"/>
      <c r="G5" s="553" t="e">
        <f t="array" aca="1" ref="G5:K9" ca="1">[1]!COV('ANOVA Match 2.3'!B18:F24)</f>
        <v>#NAME?</v>
      </c>
      <c r="H5" s="666" t="e">
        <f ca="1"/>
        <v>#NAME?</v>
      </c>
      <c r="I5" s="666" t="e">
        <f ca="1"/>
        <v>#NAME?</v>
      </c>
      <c r="J5" s="666" t="e">
        <f ca="1"/>
        <v>#NAME?</v>
      </c>
      <c r="K5" s="667" t="e">
        <f ca="1"/>
        <v>#NAME?</v>
      </c>
      <c r="M5" t="s">
        <v>169</v>
      </c>
      <c r="N5" s="929">
        <f>'ANOVA Match 2.3'!K5</f>
        <v>5</v>
      </c>
      <c r="P5" t="s">
        <v>1554</v>
      </c>
      <c r="Q5" s="1040">
        <f>Q4</f>
        <v>6</v>
      </c>
      <c r="R5" s="8">
        <f>1/Q5</f>
        <v>0.16666666666666666</v>
      </c>
      <c r="S5" s="8">
        <f>R5^2</f>
        <v>2.7777777777777776E-2</v>
      </c>
      <c r="T5" s="8" t="e">
        <f ca="1">MDETERM(A13:E17)</f>
        <v>#NAME?</v>
      </c>
      <c r="U5" s="8" t="e">
        <f ca="1">LN(T5)</f>
        <v>#NAME?</v>
      </c>
      <c r="V5" s="8" t="e">
        <f ca="1">U5*Q5</f>
        <v>#NAME?</v>
      </c>
    </row>
    <row r="6" spans="1:22">
      <c r="A6" s="656" t="e">
        <f ca="1"/>
        <v>#NAME?</v>
      </c>
      <c r="B6" s="8" t="e">
        <f ca="1"/>
        <v>#NAME?</v>
      </c>
      <c r="C6" s="8" t="e">
        <f ca="1"/>
        <v>#NAME?</v>
      </c>
      <c r="D6" s="8" t="e">
        <f ca="1"/>
        <v>#NAME?</v>
      </c>
      <c r="E6" s="657" t="e">
        <f ca="1"/>
        <v>#NAME?</v>
      </c>
      <c r="F6" s="8"/>
      <c r="G6" s="656" t="e">
        <f ca="1"/>
        <v>#NAME?</v>
      </c>
      <c r="H6" s="8" t="e">
        <f ca="1"/>
        <v>#NAME?</v>
      </c>
      <c r="I6" s="8" t="e">
        <f ca="1"/>
        <v>#NAME?</v>
      </c>
      <c r="J6" s="8" t="e">
        <f ca="1"/>
        <v>#NAME?</v>
      </c>
      <c r="K6" s="657" t="e">
        <f ca="1"/>
        <v>#NAME?</v>
      </c>
      <c r="M6" t="s">
        <v>994</v>
      </c>
      <c r="N6" s="544">
        <f>'ANOVA Match 2.3'!J5</f>
        <v>3</v>
      </c>
      <c r="P6" t="s">
        <v>217</v>
      </c>
      <c r="Q6" s="1040">
        <f>Q4</f>
        <v>6</v>
      </c>
      <c r="R6" s="8">
        <f>1/Q6</f>
        <v>0.16666666666666666</v>
      </c>
      <c r="S6" s="8">
        <f>R6^2</f>
        <v>2.7777777777777776E-2</v>
      </c>
      <c r="T6" s="8" t="e">
        <f ca="1">MDETERM(G5:K9)</f>
        <v>#NAME?</v>
      </c>
      <c r="U6" s="8" t="e">
        <f ca="1">LN(T6)</f>
        <v>#NAME?</v>
      </c>
      <c r="V6" s="8" t="e">
        <f ca="1">U6*Q6</f>
        <v>#NAME?</v>
      </c>
    </row>
    <row r="7" spans="1:22">
      <c r="A7" s="656" t="e">
        <f ca="1"/>
        <v>#NAME?</v>
      </c>
      <c r="B7" s="8" t="e">
        <f ca="1"/>
        <v>#NAME?</v>
      </c>
      <c r="C7" s="8" t="e">
        <f ca="1"/>
        <v>#NAME?</v>
      </c>
      <c r="D7" s="8" t="e">
        <f ca="1"/>
        <v>#NAME?</v>
      </c>
      <c r="E7" s="657" t="e">
        <f ca="1"/>
        <v>#NAME?</v>
      </c>
      <c r="F7" s="8"/>
      <c r="G7" s="656" t="e">
        <f ca="1"/>
        <v>#NAME?</v>
      </c>
      <c r="H7" s="8" t="e">
        <f ca="1"/>
        <v>#NAME?</v>
      </c>
      <c r="I7" s="8" t="e">
        <f ca="1"/>
        <v>#NAME?</v>
      </c>
      <c r="J7" s="8" t="e">
        <f ca="1"/>
        <v>#NAME?</v>
      </c>
      <c r="K7" s="657" t="e">
        <f ca="1"/>
        <v>#NAME?</v>
      </c>
      <c r="P7" t="s">
        <v>225</v>
      </c>
      <c r="Q7" s="1039">
        <f>SUM(Q4:Q6)</f>
        <v>18</v>
      </c>
      <c r="R7" s="534">
        <f>1/Q7</f>
        <v>5.5555555555555552E-2</v>
      </c>
      <c r="S7" s="534">
        <f>R7^2</f>
        <v>3.0864197530864196E-3</v>
      </c>
      <c r="T7" s="534" t="e">
        <f ca="1">MDETERM(G13:K17)</f>
        <v>#NAME?</v>
      </c>
      <c r="U7" s="534" t="e">
        <f ca="1">LN(T7)</f>
        <v>#NAME?</v>
      </c>
      <c r="V7" s="534" t="e">
        <f ca="1">U7*Q7</f>
        <v>#NAME?</v>
      </c>
    </row>
    <row r="8" spans="1:22">
      <c r="A8" s="656" t="e">
        <f ca="1"/>
        <v>#NAME?</v>
      </c>
      <c r="B8" s="8" t="e">
        <f ca="1"/>
        <v>#NAME?</v>
      </c>
      <c r="C8" s="8" t="e">
        <f ca="1"/>
        <v>#NAME?</v>
      </c>
      <c r="D8" s="8" t="e">
        <f ca="1"/>
        <v>#NAME?</v>
      </c>
      <c r="E8" s="657" t="e">
        <f ca="1"/>
        <v>#NAME?</v>
      </c>
      <c r="F8" s="8"/>
      <c r="G8" s="656" t="e">
        <f ca="1"/>
        <v>#NAME?</v>
      </c>
      <c r="H8" s="8" t="e">
        <f ca="1"/>
        <v>#NAME?</v>
      </c>
      <c r="I8" s="8" t="e">
        <f ca="1"/>
        <v>#NAME?</v>
      </c>
      <c r="J8" s="8" t="e">
        <f ca="1"/>
        <v>#NAME?</v>
      </c>
      <c r="K8" s="657" t="e">
        <f ca="1"/>
        <v>#NAME?</v>
      </c>
      <c r="P8" t="s">
        <v>1468</v>
      </c>
      <c r="R8">
        <f>SUM(R4:R6)-R7</f>
        <v>0.44444444444444442</v>
      </c>
      <c r="S8">
        <f>SUM(S4:S6)-S7</f>
        <v>8.0246913580246909E-2</v>
      </c>
      <c r="V8" s="8" t="e">
        <f ca="1">V7-SUM(V4:V6)</f>
        <v>#NAME?</v>
      </c>
    </row>
    <row r="9" spans="1:22">
      <c r="A9" s="533" t="e">
        <f ca="1"/>
        <v>#NAME?</v>
      </c>
      <c r="B9" s="534" t="e">
        <f ca="1"/>
        <v>#NAME?</v>
      </c>
      <c r="C9" s="534" t="e">
        <f ca="1"/>
        <v>#NAME?</v>
      </c>
      <c r="D9" s="534" t="e">
        <f ca="1"/>
        <v>#NAME?</v>
      </c>
      <c r="E9" s="541" t="e">
        <f ca="1"/>
        <v>#NAME?</v>
      </c>
      <c r="F9" s="8"/>
      <c r="G9" s="533" t="e">
        <f ca="1"/>
        <v>#NAME?</v>
      </c>
      <c r="H9" s="534" t="e">
        <f ca="1"/>
        <v>#NAME?</v>
      </c>
      <c r="I9" s="534" t="e">
        <f ca="1"/>
        <v>#NAME?</v>
      </c>
      <c r="J9" s="534" t="e">
        <f ca="1"/>
        <v>#NAME?</v>
      </c>
      <c r="K9" s="541" t="e">
        <f ca="1"/>
        <v>#NAME?</v>
      </c>
    </row>
    <row r="11" spans="1:22">
      <c r="A11" t="s">
        <v>1554</v>
      </c>
      <c r="G11" t="s">
        <v>225</v>
      </c>
      <c r="M11" t="s">
        <v>1605</v>
      </c>
      <c r="N11" s="542" t="e">
        <f ca="1">V8</f>
        <v>#NAME?</v>
      </c>
      <c r="P11" t="s">
        <v>2717</v>
      </c>
      <c r="Q11" s="542">
        <f>(N5-1)*(N5+2)/(6*(N6-1))*S8</f>
        <v>0.18724279835390947</v>
      </c>
    </row>
    <row r="12" spans="1:22">
      <c r="M12" t="s">
        <v>143</v>
      </c>
      <c r="N12" s="627">
        <f>(2*N5^2+3*N5-1)/(6*(N5+1)*(N6-1))*R8</f>
        <v>0.39506172839506171</v>
      </c>
      <c r="P12" t="s">
        <v>823</v>
      </c>
      <c r="Q12" s="627">
        <f>(N14+2)/ABS(Q11-N12^2)</f>
        <v>1026.6601466992654</v>
      </c>
    </row>
    <row r="13" spans="1:22">
      <c r="A13" s="553" t="e">
        <f t="array" aca="1" ref="A13:E17" ca="1">[1]!COV('ANOVA Match 2.3'!B11:F17)</f>
        <v>#NAME?</v>
      </c>
      <c r="B13" s="666" t="e">
        <f ca="1"/>
        <v>#NAME?</v>
      </c>
      <c r="C13" s="666" t="e">
        <f ca="1"/>
        <v>#NAME?</v>
      </c>
      <c r="D13" s="666" t="e">
        <f ca="1"/>
        <v>#NAME?</v>
      </c>
      <c r="E13" s="667" t="e">
        <f ca="1"/>
        <v>#NAME?</v>
      </c>
      <c r="F13" s="8"/>
      <c r="G13" s="553" t="e">
        <f t="array" ref="G13:K17" ca="1">(A5:E9+A13:E17+G5:K9)/3</f>
        <v>#NAME?</v>
      </c>
      <c r="H13" s="666" t="e">
        <f ca="1"/>
        <v>#NAME?</v>
      </c>
      <c r="I13" s="666" t="e">
        <f ca="1"/>
        <v>#NAME?</v>
      </c>
      <c r="J13" s="666" t="e">
        <f ca="1"/>
        <v>#NAME?</v>
      </c>
      <c r="K13" s="667" t="e">
        <f ca="1"/>
        <v>#NAME?</v>
      </c>
      <c r="M13" s="65" t="s">
        <v>346</v>
      </c>
      <c r="N13" s="627" t="e">
        <f ca="1">N11*(1-N12)</f>
        <v>#NAME?</v>
      </c>
      <c r="P13" t="s">
        <v>1609</v>
      </c>
      <c r="Q13" s="627">
        <f>N14/(1-N12-N14/Q12)</f>
        <v>52.108907696507906</v>
      </c>
    </row>
    <row r="14" spans="1:22">
      <c r="A14" s="656" t="e">
        <f ca="1"/>
        <v>#NAME?</v>
      </c>
      <c r="B14" s="8" t="e">
        <f ca="1"/>
        <v>#NAME?</v>
      </c>
      <c r="C14" s="8" t="e">
        <f ca="1"/>
        <v>#NAME?</v>
      </c>
      <c r="D14" s="8" t="e">
        <f ca="1"/>
        <v>#NAME?</v>
      </c>
      <c r="E14" s="657" t="e">
        <f ca="1"/>
        <v>#NAME?</v>
      </c>
      <c r="F14" s="8"/>
      <c r="G14" s="656" t="e">
        <f ca="1"/>
        <v>#NAME?</v>
      </c>
      <c r="H14" s="8" t="e">
        <f ca="1"/>
        <v>#NAME?</v>
      </c>
      <c r="I14" s="8" t="e">
        <f ca="1"/>
        <v>#NAME?</v>
      </c>
      <c r="J14" s="8" t="e">
        <f ca="1"/>
        <v>#NAME?</v>
      </c>
      <c r="K14" s="657" t="e">
        <f ca="1"/>
        <v>#NAME?</v>
      </c>
      <c r="M14" s="65" t="s">
        <v>186</v>
      </c>
      <c r="N14" s="627">
        <f>N5*(N5+1)*(N6-1)/2</f>
        <v>30</v>
      </c>
      <c r="P14" t="s">
        <v>1610</v>
      </c>
      <c r="Q14" s="627">
        <f>Q12/(1-N12+2/Q12)</f>
        <v>1691.6843994114142</v>
      </c>
    </row>
    <row r="15" spans="1:22">
      <c r="A15" s="656" t="e">
        <f ca="1"/>
        <v>#NAME?</v>
      </c>
      <c r="B15" s="8" t="e">
        <f ca="1"/>
        <v>#NAME?</v>
      </c>
      <c r="C15" s="8" t="e">
        <f ca="1"/>
        <v>#NAME?</v>
      </c>
      <c r="D15" s="8" t="e">
        <f ca="1"/>
        <v>#NAME?</v>
      </c>
      <c r="E15" s="657" t="e">
        <f ca="1"/>
        <v>#NAME?</v>
      </c>
      <c r="F15" s="8"/>
      <c r="G15" s="656" t="e">
        <f ca="1"/>
        <v>#NAME?</v>
      </c>
      <c r="H15" s="8" t="e">
        <f ca="1"/>
        <v>#NAME?</v>
      </c>
      <c r="I15" s="8" t="e">
        <f ca="1"/>
        <v>#NAME?</v>
      </c>
      <c r="J15" s="8" t="e">
        <f ca="1"/>
        <v>#NAME?</v>
      </c>
      <c r="K15" s="657" t="e">
        <f ca="1"/>
        <v>#NAME?</v>
      </c>
      <c r="M15" s="65" t="s">
        <v>200</v>
      </c>
      <c r="N15" s="627" t="e">
        <f ca="1">CHIDIST(N13,N14)</f>
        <v>#NAME?</v>
      </c>
      <c r="P15" t="s">
        <v>1608</v>
      </c>
      <c r="Q15" s="627" t="e">
        <f ca="1">N11/Q13</f>
        <v>#NAME?</v>
      </c>
    </row>
    <row r="16" spans="1:22">
      <c r="A16" s="656" t="e">
        <f ca="1"/>
        <v>#NAME?</v>
      </c>
      <c r="B16" s="8" t="e">
        <f ca="1"/>
        <v>#NAME?</v>
      </c>
      <c r="C16" s="8" t="e">
        <f ca="1"/>
        <v>#NAME?</v>
      </c>
      <c r="D16" s="8" t="e">
        <f ca="1"/>
        <v>#NAME?</v>
      </c>
      <c r="E16" s="657" t="e">
        <f ca="1"/>
        <v>#NAME?</v>
      </c>
      <c r="F16" s="8"/>
      <c r="G16" s="656" t="e">
        <f ca="1"/>
        <v>#NAME?</v>
      </c>
      <c r="H16" s="8" t="e">
        <f ca="1"/>
        <v>#NAME?</v>
      </c>
      <c r="I16" s="8" t="e">
        <f ca="1"/>
        <v>#NAME?</v>
      </c>
      <c r="J16" s="8" t="e">
        <f ca="1"/>
        <v>#NAME?</v>
      </c>
      <c r="K16" s="657" t="e">
        <f ca="1"/>
        <v>#NAME?</v>
      </c>
      <c r="M16" s="65" t="s">
        <v>157</v>
      </c>
      <c r="N16" s="627">
        <v>1E-3</v>
      </c>
      <c r="P16" t="s">
        <v>1611</v>
      </c>
      <c r="Q16" s="627" t="e">
        <f ca="1">Q12*N11/(N14*(Q14-Q12))</f>
        <v>#NAME?</v>
      </c>
    </row>
    <row r="17" spans="1:17">
      <c r="A17" s="533" t="e">
        <f ca="1"/>
        <v>#NAME?</v>
      </c>
      <c r="B17" s="534" t="e">
        <f ca="1"/>
        <v>#NAME?</v>
      </c>
      <c r="C17" s="534" t="e">
        <f ca="1"/>
        <v>#NAME?</v>
      </c>
      <c r="D17" s="534" t="e">
        <f ca="1"/>
        <v>#NAME?</v>
      </c>
      <c r="E17" s="541" t="e">
        <f ca="1"/>
        <v>#NAME?</v>
      </c>
      <c r="F17" s="8"/>
      <c r="G17" s="533" t="e">
        <f ca="1"/>
        <v>#NAME?</v>
      </c>
      <c r="H17" s="534" t="e">
        <f ca="1"/>
        <v>#NAME?</v>
      </c>
      <c r="I17" s="534" t="e">
        <f ca="1"/>
        <v>#NAME?</v>
      </c>
      <c r="J17" s="534" t="e">
        <f ca="1"/>
        <v>#NAME?</v>
      </c>
      <c r="K17" s="541" t="e">
        <f ca="1"/>
        <v>#NAME?</v>
      </c>
      <c r="M17" s="65" t="s">
        <v>347</v>
      </c>
      <c r="N17" s="627">
        <f>CHIINV(N16,N14)</f>
        <v>59.70306430442993</v>
      </c>
      <c r="P17" t="s">
        <v>388</v>
      </c>
      <c r="Q17" s="627" t="e">
        <f ca="1">IF(Q11&gt;N12^2,Q15,Q16)</f>
        <v>#NAME?</v>
      </c>
    </row>
    <row r="18" spans="1:17">
      <c r="M18" s="65" t="s">
        <v>948</v>
      </c>
      <c r="N18" s="538" t="e">
        <f ca="1">IF(N15&lt;N16,"yes","no")</f>
        <v>#NAME?</v>
      </c>
      <c r="P18" t="s">
        <v>200</v>
      </c>
      <c r="Q18" s="627" t="e">
        <f ca="1">FDIST(Q17,N14,Q12)</f>
        <v>#NAME?</v>
      </c>
    </row>
    <row r="19" spans="1:17">
      <c r="P19" t="s">
        <v>647</v>
      </c>
      <c r="Q19" s="627">
        <f>FINV(N16,N14,Q12)</f>
        <v>2.020965765571419</v>
      </c>
    </row>
    <row r="20" spans="1:17">
      <c r="P20" t="s">
        <v>948</v>
      </c>
      <c r="Q20" s="538" t="e">
        <f ca="1">IF(Q18&lt;N16,"yes","no")</f>
        <v>#NAME?</v>
      </c>
    </row>
    <row r="21" spans="1:17">
      <c r="F21" s="8"/>
      <c r="G21" s="8"/>
      <c r="J21" s="8"/>
      <c r="K21" s="8"/>
    </row>
    <row r="22" spans="1:17">
      <c r="F22" s="8"/>
      <c r="G22" s="8"/>
      <c r="J22" s="8"/>
      <c r="K22" s="8"/>
    </row>
    <row r="23" spans="1:17">
      <c r="F23" s="8"/>
      <c r="G23" s="8"/>
      <c r="J23" s="8"/>
      <c r="K23" s="8"/>
    </row>
    <row r="24" spans="1:17">
      <c r="F24" s="8"/>
      <c r="G24" s="8"/>
      <c r="J24" s="8"/>
      <c r="K24" s="8"/>
    </row>
    <row r="25" spans="1:17">
      <c r="F25" s="8"/>
      <c r="G25" s="8"/>
      <c r="J25" s="8"/>
      <c r="K25" s="8"/>
    </row>
    <row r="29" spans="1:17">
      <c r="F29" s="8"/>
      <c r="G29" s="8"/>
      <c r="H29" s="8"/>
      <c r="I29" s="8"/>
      <c r="J29" s="8"/>
      <c r="K29" s="8"/>
    </row>
    <row r="30" spans="1:17">
      <c r="F30" s="8"/>
      <c r="G30" s="8"/>
      <c r="H30" s="8"/>
      <c r="I30" s="8"/>
      <c r="J30" s="8"/>
      <c r="K30" s="8"/>
    </row>
    <row r="31" spans="1:17">
      <c r="F31" s="8"/>
      <c r="G31" s="8"/>
      <c r="H31" s="8"/>
      <c r="I31" s="8"/>
      <c r="J31" s="8"/>
      <c r="K31" s="8"/>
    </row>
    <row r="32" spans="1:17">
      <c r="F32" s="8"/>
      <c r="G32" s="8"/>
      <c r="H32" s="8"/>
      <c r="I32" s="8"/>
      <c r="J32" s="8"/>
      <c r="K32" s="8"/>
    </row>
    <row r="33" spans="6:11">
      <c r="F33" s="8"/>
      <c r="G33" s="8"/>
      <c r="H33" s="8"/>
      <c r="I33" s="8"/>
      <c r="J33" s="8"/>
      <c r="K33" s="8"/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sheetPr codeName="Sheet234"/>
  <dimension ref="A1:T34"/>
  <sheetViews>
    <sheetView workbookViewId="0"/>
  </sheetViews>
  <sheetFormatPr defaultRowHeight="14.4"/>
  <cols>
    <col min="1" max="1" width="8.44140625" customWidth="1"/>
    <col min="2" max="4" width="6.88671875" customWidth="1"/>
    <col min="6" max="6" width="8.6640625" customWidth="1"/>
    <col min="7" max="9" width="8" customWidth="1"/>
    <col min="14" max="14" width="17.6640625" customWidth="1"/>
  </cols>
  <sheetData>
    <row r="1" spans="1:18">
      <c r="A1" s="1" t="s">
        <v>2018</v>
      </c>
    </row>
    <row r="3" spans="1:18" ht="15" customHeight="1">
      <c r="A3" s="843" t="s">
        <v>1429</v>
      </c>
      <c r="B3" s="843" t="s">
        <v>418</v>
      </c>
      <c r="C3" s="843" t="s">
        <v>2019</v>
      </c>
      <c r="D3" s="843" t="s">
        <v>2020</v>
      </c>
      <c r="F3" s="843" t="s">
        <v>1429</v>
      </c>
      <c r="G3" s="19" t="s">
        <v>418</v>
      </c>
      <c r="H3" s="19" t="s">
        <v>2019</v>
      </c>
      <c r="I3" s="19" t="s">
        <v>2020</v>
      </c>
      <c r="K3" s="126" t="s">
        <v>1983</v>
      </c>
      <c r="L3" s="853" t="e">
        <f ca="1">J17</f>
        <v>#NAME?</v>
      </c>
      <c r="N3" t="s">
        <v>1008</v>
      </c>
    </row>
    <row r="4" spans="1:18" ht="15" thickBot="1">
      <c r="A4" s="843">
        <v>1</v>
      </c>
      <c r="B4" s="867">
        <v>10</v>
      </c>
      <c r="C4" s="868">
        <v>7</v>
      </c>
      <c r="D4" s="869">
        <v>8</v>
      </c>
      <c r="F4" s="843">
        <v>1</v>
      </c>
      <c r="G4" s="864" t="e">
        <f ca="1">[1]!RANK_AVG(B4,$B4:$D4,1)</f>
        <v>#NAME?</v>
      </c>
      <c r="H4" s="865" t="e">
        <f ca="1">[1]!RANK_AVG(C4,$B4:$D4,1)</f>
        <v>#NAME?</v>
      </c>
      <c r="I4" s="866" t="e">
        <f ca="1">[1]!RANK_AVG(D4,$B4:$D4,1)</f>
        <v>#NAME?</v>
      </c>
      <c r="K4" t="s">
        <v>169</v>
      </c>
      <c r="L4" s="627">
        <f>COUNTA(B3:D3)</f>
        <v>3</v>
      </c>
    </row>
    <row r="5" spans="1:18">
      <c r="A5" s="843">
        <f>A4+1</f>
        <v>2</v>
      </c>
      <c r="B5" s="664">
        <v>8</v>
      </c>
      <c r="C5" s="844">
        <v>5</v>
      </c>
      <c r="D5" s="618">
        <v>5</v>
      </c>
      <c r="F5" s="843">
        <f>F4+1</f>
        <v>2</v>
      </c>
      <c r="G5" s="656" t="e">
        <f ca="1">[1]!RANK_AVG(B5,$B5:$D5,1)</f>
        <v>#NAME?</v>
      </c>
      <c r="H5" s="8" t="e">
        <f ca="1">[1]!RANK_AVG(C5,$B5:$D5,1)</f>
        <v>#NAME?</v>
      </c>
      <c r="I5" s="657" t="e">
        <f ca="1">[1]!RANK_AVG(D5,$B5:$D5,1)</f>
        <v>#NAME?</v>
      </c>
      <c r="K5" t="s">
        <v>994</v>
      </c>
      <c r="L5" s="627">
        <f>COUNT(B4:B15)</f>
        <v>12</v>
      </c>
      <c r="N5" s="846" t="s">
        <v>194</v>
      </c>
      <c r="O5" s="846" t="s">
        <v>88</v>
      </c>
      <c r="P5" s="846" t="s">
        <v>87</v>
      </c>
      <c r="Q5" s="846" t="s">
        <v>886</v>
      </c>
      <c r="R5" s="846" t="s">
        <v>223</v>
      </c>
    </row>
    <row r="6" spans="1:18">
      <c r="A6" s="843">
        <f t="shared" ref="A6:A15" si="0">A5+1</f>
        <v>3</v>
      </c>
      <c r="B6" s="664">
        <v>7</v>
      </c>
      <c r="C6" s="844">
        <v>8</v>
      </c>
      <c r="D6" s="618">
        <v>6</v>
      </c>
      <c r="F6" s="843">
        <f t="shared" ref="F6:F15" si="1">F5+1</f>
        <v>3</v>
      </c>
      <c r="G6" s="656" t="e">
        <f ca="1">[1]!RANK_AVG(B6,$B6:$D6,1)</f>
        <v>#NAME?</v>
      </c>
      <c r="H6" s="8" t="e">
        <f ca="1">[1]!RANK_AVG(C6,$B6:$D6,1)</f>
        <v>#NAME?</v>
      </c>
      <c r="I6" s="657" t="e">
        <f ca="1">[1]!RANK_AVG(D6,$B6:$D6,1)</f>
        <v>#NAME?</v>
      </c>
      <c r="K6" s="493" t="s">
        <v>2023</v>
      </c>
      <c r="L6" s="627" t="e">
        <f ca="1">12/(L5*L4*(L4+1))*J17-3*L5*(L4+1)</f>
        <v>#NAME?</v>
      </c>
      <c r="N6" s="28">
        <v>1</v>
      </c>
      <c r="O6" s="28">
        <v>3</v>
      </c>
      <c r="P6" s="28">
        <v>6</v>
      </c>
      <c r="Q6" s="28">
        <v>2</v>
      </c>
      <c r="R6" s="28">
        <v>1</v>
      </c>
    </row>
    <row r="7" spans="1:18">
      <c r="A7" s="843">
        <f t="shared" si="0"/>
        <v>4</v>
      </c>
      <c r="B7" s="664">
        <v>9</v>
      </c>
      <c r="C7" s="844">
        <v>6</v>
      </c>
      <c r="D7" s="618">
        <v>4</v>
      </c>
      <c r="F7" s="843">
        <f t="shared" si="1"/>
        <v>4</v>
      </c>
      <c r="G7" s="656" t="e">
        <f ca="1">[1]!RANK_AVG(B7,$B7:$D7,1)</f>
        <v>#NAME?</v>
      </c>
      <c r="H7" s="8" t="e">
        <f ca="1">[1]!RANK_AVG(C7,$B7:$D7,1)</f>
        <v>#NAME?</v>
      </c>
      <c r="I7" s="657" t="e">
        <f ca="1">[1]!RANK_AVG(D7,$B7:$D7,1)</f>
        <v>#NAME?</v>
      </c>
      <c r="K7" s="493" t="s">
        <v>186</v>
      </c>
      <c r="L7" s="627">
        <f ca="1">COUNTA(G5:I5)-1</f>
        <v>2</v>
      </c>
      <c r="N7" s="28">
        <v>2</v>
      </c>
      <c r="O7" s="28">
        <v>3</v>
      </c>
      <c r="P7" s="28">
        <v>6</v>
      </c>
      <c r="Q7" s="28">
        <v>2</v>
      </c>
      <c r="R7" s="28">
        <v>0.75</v>
      </c>
    </row>
    <row r="8" spans="1:18">
      <c r="A8" s="843">
        <f t="shared" si="0"/>
        <v>5</v>
      </c>
      <c r="B8" s="664">
        <v>7</v>
      </c>
      <c r="C8" s="844">
        <v>5</v>
      </c>
      <c r="D8" s="618">
        <v>7</v>
      </c>
      <c r="F8" s="843">
        <f t="shared" si="1"/>
        <v>5</v>
      </c>
      <c r="G8" s="656" t="e">
        <f ca="1">[1]!RANK_AVG(B8,$B8:$D8,1)</f>
        <v>#NAME?</v>
      </c>
      <c r="H8" s="8" t="e">
        <f ca="1">[1]!RANK_AVG(C8,$B8:$D8,1)</f>
        <v>#NAME?</v>
      </c>
      <c r="I8" s="657" t="e">
        <f ca="1">[1]!RANK_AVG(D8,$B8:$D8,1)</f>
        <v>#NAME?</v>
      </c>
      <c r="K8" s="493" t="s">
        <v>325</v>
      </c>
      <c r="L8" s="627" t="e">
        <f ca="1">CHIDIST(L6,L7)</f>
        <v>#NAME?</v>
      </c>
      <c r="N8" s="28">
        <v>3</v>
      </c>
      <c r="O8" s="28">
        <v>3</v>
      </c>
      <c r="P8" s="28">
        <v>6</v>
      </c>
      <c r="Q8" s="28">
        <v>2</v>
      </c>
      <c r="R8" s="28">
        <v>1</v>
      </c>
    </row>
    <row r="9" spans="1:18">
      <c r="A9" s="843">
        <f t="shared" si="0"/>
        <v>6</v>
      </c>
      <c r="B9" s="664">
        <v>4</v>
      </c>
      <c r="C9" s="844">
        <v>7</v>
      </c>
      <c r="D9" s="618">
        <v>5</v>
      </c>
      <c r="F9" s="843">
        <f t="shared" si="1"/>
        <v>6</v>
      </c>
      <c r="G9" s="656" t="e">
        <f ca="1">[1]!RANK_AVG(B9,$B9:$D9,1)</f>
        <v>#NAME?</v>
      </c>
      <c r="H9" s="8" t="e">
        <f ca="1">[1]!RANK_AVG(C9,$B9:$D9,1)</f>
        <v>#NAME?</v>
      </c>
      <c r="I9" s="657" t="e">
        <f ca="1">[1]!RANK_AVG(D9,$B9:$D9,1)</f>
        <v>#NAME?</v>
      </c>
      <c r="K9" s="493" t="s">
        <v>157</v>
      </c>
      <c r="L9" s="627">
        <v>0.05</v>
      </c>
      <c r="N9" s="28">
        <v>4</v>
      </c>
      <c r="O9" s="28">
        <v>3</v>
      </c>
      <c r="P9" s="28">
        <v>6</v>
      </c>
      <c r="Q9" s="28">
        <v>2</v>
      </c>
      <c r="R9" s="28">
        <v>1</v>
      </c>
    </row>
    <row r="10" spans="1:18">
      <c r="A10" s="843">
        <f t="shared" si="0"/>
        <v>7</v>
      </c>
      <c r="B10" s="664">
        <v>5</v>
      </c>
      <c r="C10" s="844">
        <v>9</v>
      </c>
      <c r="D10" s="618">
        <v>3</v>
      </c>
      <c r="F10" s="843">
        <f t="shared" si="1"/>
        <v>7</v>
      </c>
      <c r="G10" s="656" t="e">
        <f ca="1">[1]!RANK_AVG(B10,$B10:$D10,1)</f>
        <v>#NAME?</v>
      </c>
      <c r="H10" s="8" t="e">
        <f ca="1">[1]!RANK_AVG(C10,$B10:$D10,1)</f>
        <v>#NAME?</v>
      </c>
      <c r="I10" s="657" t="e">
        <f ca="1">[1]!RANK_AVG(D10,$B10:$D10,1)</f>
        <v>#NAME?</v>
      </c>
      <c r="K10" s="493" t="s">
        <v>948</v>
      </c>
      <c r="L10" s="538" t="e">
        <f ca="1">IF(L8&lt;L9,"yes","no")</f>
        <v>#NAME?</v>
      </c>
      <c r="N10" s="28">
        <v>5</v>
      </c>
      <c r="O10" s="28">
        <v>3</v>
      </c>
      <c r="P10" s="28">
        <v>6</v>
      </c>
      <c r="Q10" s="28">
        <v>2</v>
      </c>
      <c r="R10" s="28">
        <v>0.75</v>
      </c>
    </row>
    <row r="11" spans="1:18">
      <c r="A11" s="843">
        <f t="shared" si="0"/>
        <v>8</v>
      </c>
      <c r="B11" s="664">
        <v>6</v>
      </c>
      <c r="C11" s="844">
        <v>6</v>
      </c>
      <c r="D11" s="618">
        <v>7</v>
      </c>
      <c r="F11" s="843">
        <f t="shared" si="1"/>
        <v>8</v>
      </c>
      <c r="G11" s="656" t="e">
        <f ca="1">[1]!RANK_AVG(B11,$B11:$D11,1)</f>
        <v>#NAME?</v>
      </c>
      <c r="H11" s="8" t="e">
        <f ca="1">[1]!RANK_AVG(C11,$B11:$D11,1)</f>
        <v>#NAME?</v>
      </c>
      <c r="I11" s="657" t="e">
        <f ca="1">[1]!RANK_AVG(D11,$B11:$D11,1)</f>
        <v>#NAME?</v>
      </c>
      <c r="N11" s="28">
        <v>6</v>
      </c>
      <c r="O11" s="28">
        <v>3</v>
      </c>
      <c r="P11" s="28">
        <v>6</v>
      </c>
      <c r="Q11" s="28">
        <v>2</v>
      </c>
      <c r="R11" s="28">
        <v>1</v>
      </c>
    </row>
    <row r="12" spans="1:18">
      <c r="A12" s="843">
        <f t="shared" si="0"/>
        <v>9</v>
      </c>
      <c r="B12" s="664">
        <v>5</v>
      </c>
      <c r="C12" s="844">
        <v>4</v>
      </c>
      <c r="D12" s="618">
        <v>6</v>
      </c>
      <c r="F12" s="843">
        <f t="shared" si="1"/>
        <v>9</v>
      </c>
      <c r="G12" s="656" t="e">
        <f ca="1">[1]!RANK_AVG(B12,$B12:$D12,1)</f>
        <v>#NAME?</v>
      </c>
      <c r="H12" s="8" t="e">
        <f ca="1">[1]!RANK_AVG(C12,$B12:$D12,1)</f>
        <v>#NAME?</v>
      </c>
      <c r="I12" s="657" t="e">
        <f ca="1">[1]!RANK_AVG(D12,$B12:$D12,1)</f>
        <v>#NAME?</v>
      </c>
      <c r="N12" s="28">
        <v>7</v>
      </c>
      <c r="O12" s="28">
        <v>3</v>
      </c>
      <c r="P12" s="28">
        <v>6</v>
      </c>
      <c r="Q12" s="28">
        <v>2</v>
      </c>
      <c r="R12" s="28">
        <v>1</v>
      </c>
    </row>
    <row r="13" spans="1:18">
      <c r="A13" s="843">
        <f t="shared" si="0"/>
        <v>10</v>
      </c>
      <c r="B13" s="664">
        <v>10</v>
      </c>
      <c r="C13" s="844">
        <v>6</v>
      </c>
      <c r="D13" s="618">
        <v>4</v>
      </c>
      <c r="F13" s="843">
        <f t="shared" si="1"/>
        <v>10</v>
      </c>
      <c r="G13" s="656" t="e">
        <f ca="1">[1]!RANK_AVG(B13,$B13:$D13,1)</f>
        <v>#NAME?</v>
      </c>
      <c r="H13" s="8" t="e">
        <f ca="1">[1]!RANK_AVG(C13,$B13:$D13,1)</f>
        <v>#NAME?</v>
      </c>
      <c r="I13" s="657" t="e">
        <f ca="1">[1]!RANK_AVG(D13,$B13:$D13,1)</f>
        <v>#NAME?</v>
      </c>
      <c r="N13" s="28">
        <v>8</v>
      </c>
      <c r="O13" s="28">
        <v>3</v>
      </c>
      <c r="P13" s="28">
        <v>6</v>
      </c>
      <c r="Q13" s="28">
        <v>2</v>
      </c>
      <c r="R13" s="28">
        <v>0.75</v>
      </c>
    </row>
    <row r="14" spans="1:18">
      <c r="A14" s="843">
        <f t="shared" si="0"/>
        <v>11</v>
      </c>
      <c r="B14" s="664">
        <v>4</v>
      </c>
      <c r="C14" s="844">
        <v>7</v>
      </c>
      <c r="D14" s="618">
        <v>4</v>
      </c>
      <c r="F14" s="843">
        <f t="shared" si="1"/>
        <v>11</v>
      </c>
      <c r="G14" s="656" t="e">
        <f ca="1">[1]!RANK_AVG(B14,$B14:$D14,1)</f>
        <v>#NAME?</v>
      </c>
      <c r="H14" s="8" t="e">
        <f ca="1">[1]!RANK_AVG(C14,$B14:$D14,1)</f>
        <v>#NAME?</v>
      </c>
      <c r="I14" s="657" t="e">
        <f ca="1">[1]!RANK_AVG(D14,$B14:$D14,1)</f>
        <v>#NAME?</v>
      </c>
      <c r="N14" s="28">
        <v>9</v>
      </c>
      <c r="O14" s="28">
        <v>3</v>
      </c>
      <c r="P14" s="28">
        <v>6</v>
      </c>
      <c r="Q14" s="28">
        <v>2</v>
      </c>
      <c r="R14" s="28">
        <v>1</v>
      </c>
    </row>
    <row r="15" spans="1:18">
      <c r="A15" s="843">
        <f t="shared" si="0"/>
        <v>12</v>
      </c>
      <c r="B15" s="89">
        <v>7</v>
      </c>
      <c r="C15" s="847">
        <v>3</v>
      </c>
      <c r="D15" s="90">
        <v>3</v>
      </c>
      <c r="F15" s="843">
        <f t="shared" si="1"/>
        <v>12</v>
      </c>
      <c r="G15" s="10" t="e">
        <f ca="1">[1]!RANK_AVG(B15,$B15:$D15,1)</f>
        <v>#NAME?</v>
      </c>
      <c r="H15" s="11" t="e">
        <f ca="1">[1]!RANK_AVG(C15,$B15:$D15,1)</f>
        <v>#NAME?</v>
      </c>
      <c r="I15" s="12" t="e">
        <f ca="1">[1]!RANK_AVG(D15,$B15:$D15,1)</f>
        <v>#NAME?</v>
      </c>
      <c r="N15" s="28">
        <v>10</v>
      </c>
      <c r="O15" s="28">
        <v>3</v>
      </c>
      <c r="P15" s="28">
        <v>6</v>
      </c>
      <c r="Q15" s="28">
        <v>2</v>
      </c>
      <c r="R15" s="28">
        <v>1</v>
      </c>
    </row>
    <row r="16" spans="1:18">
      <c r="F16" s="843" t="s">
        <v>1111</v>
      </c>
      <c r="G16" s="864" t="e">
        <f ca="1">SUM(G4:G15)</f>
        <v>#NAME?</v>
      </c>
      <c r="H16" s="865" t="e">
        <f ca="1">SUM(H4:H15)</f>
        <v>#NAME?</v>
      </c>
      <c r="I16" s="866" t="e">
        <f ca="1">SUM(I4:I15)</f>
        <v>#NAME?</v>
      </c>
      <c r="N16" s="28">
        <v>11</v>
      </c>
      <c r="O16" s="28">
        <v>3</v>
      </c>
      <c r="P16" s="28">
        <v>6</v>
      </c>
      <c r="Q16" s="28">
        <v>2</v>
      </c>
      <c r="R16" s="28">
        <v>0.75</v>
      </c>
    </row>
    <row r="17" spans="6:20" ht="16.2">
      <c r="F17" s="843" t="s">
        <v>1983</v>
      </c>
      <c r="G17" s="10" t="e">
        <f ca="1">G16^2</f>
        <v>#NAME?</v>
      </c>
      <c r="H17" s="11" t="e">
        <f ca="1">H16^2</f>
        <v>#NAME?</v>
      </c>
      <c r="I17" s="12" t="e">
        <f ca="1">I16^2</f>
        <v>#NAME?</v>
      </c>
      <c r="J17" s="756" t="e">
        <f ca="1">SUM(G17:I17)</f>
        <v>#NAME?</v>
      </c>
      <c r="N17" s="28">
        <v>12</v>
      </c>
      <c r="O17" s="28">
        <v>3</v>
      </c>
      <c r="P17" s="28">
        <v>6</v>
      </c>
      <c r="Q17" s="28">
        <v>2</v>
      </c>
      <c r="R17" s="28">
        <v>0.75</v>
      </c>
    </row>
    <row r="18" spans="6:20">
      <c r="N18" s="28"/>
      <c r="O18" s="28"/>
      <c r="P18" s="28"/>
      <c r="Q18" s="28"/>
      <c r="R18" s="28"/>
    </row>
    <row r="19" spans="6:20">
      <c r="N19" s="28" t="s">
        <v>418</v>
      </c>
      <c r="O19" s="28">
        <v>12</v>
      </c>
      <c r="P19" s="28">
        <v>27.5</v>
      </c>
      <c r="Q19" s="28">
        <v>2.2916666666666665</v>
      </c>
      <c r="R19" s="28">
        <v>0.52083333333333315</v>
      </c>
    </row>
    <row r="20" spans="6:20">
      <c r="F20" t="s">
        <v>2024</v>
      </c>
      <c r="N20" s="28" t="s">
        <v>2019</v>
      </c>
      <c r="O20" s="28">
        <v>12</v>
      </c>
      <c r="P20" s="28">
        <v>23.5</v>
      </c>
      <c r="Q20" s="28">
        <v>1.9583333333333333</v>
      </c>
      <c r="R20" s="28">
        <v>0.70265151515151492</v>
      </c>
    </row>
    <row r="21" spans="6:20" ht="15" thickBot="1">
      <c r="N21" s="31" t="s">
        <v>2020</v>
      </c>
      <c r="O21" s="31">
        <v>12</v>
      </c>
      <c r="P21" s="31">
        <v>21</v>
      </c>
      <c r="Q21" s="31">
        <v>1.75</v>
      </c>
      <c r="R21" s="31">
        <v>0.56818181818181823</v>
      </c>
    </row>
    <row r="22" spans="6:20">
      <c r="F22" t="s">
        <v>2023</v>
      </c>
      <c r="G22" s="853" t="e">
        <f ca="1">[1]!FRIEDMAN(B4:D15)</f>
        <v>#NAME?</v>
      </c>
    </row>
    <row r="23" spans="6:20">
      <c r="F23" t="s">
        <v>200</v>
      </c>
      <c r="G23" s="544" t="e">
        <f ca="1">[1]!FrTEST(B4:D15)</f>
        <v>#NAME?</v>
      </c>
    </row>
    <row r="24" spans="6:20" ht="15" thickBot="1">
      <c r="N24" t="s">
        <v>695</v>
      </c>
    </row>
    <row r="25" spans="6:20">
      <c r="N25" s="846" t="s">
        <v>887</v>
      </c>
      <c r="O25" s="846" t="s">
        <v>578</v>
      </c>
      <c r="P25" s="846" t="s">
        <v>186</v>
      </c>
      <c r="Q25" s="846" t="s">
        <v>641</v>
      </c>
      <c r="R25" s="846" t="s">
        <v>388</v>
      </c>
      <c r="S25" s="846" t="s">
        <v>367</v>
      </c>
      <c r="T25" s="846" t="s">
        <v>888</v>
      </c>
    </row>
    <row r="26" spans="6:20">
      <c r="N26" s="28" t="s">
        <v>390</v>
      </c>
      <c r="O26" s="28">
        <v>0</v>
      </c>
      <c r="P26" s="28">
        <v>11</v>
      </c>
      <c r="Q26" s="28">
        <v>0</v>
      </c>
      <c r="R26" s="28">
        <v>0</v>
      </c>
      <c r="S26" s="28">
        <v>1</v>
      </c>
      <c r="T26" s="28">
        <v>2.2585183566229916</v>
      </c>
    </row>
    <row r="27" spans="6:20">
      <c r="N27" s="28" t="s">
        <v>1010</v>
      </c>
      <c r="O27" s="28">
        <v>1.7916666666666643</v>
      </c>
      <c r="P27" s="28">
        <v>2</v>
      </c>
      <c r="Q27" s="28">
        <v>0.89583333333333215</v>
      </c>
      <c r="R27" s="28">
        <v>0.99999999999999856</v>
      </c>
      <c r="S27" s="28">
        <v>0.38399523056087737</v>
      </c>
      <c r="T27" s="28">
        <v>3.4433567793667246</v>
      </c>
    </row>
    <row r="28" spans="6:20">
      <c r="N28" s="28" t="s">
        <v>1009</v>
      </c>
      <c r="O28" s="28">
        <v>19.708333333333336</v>
      </c>
      <c r="P28" s="28">
        <v>22</v>
      </c>
      <c r="Q28" s="28">
        <v>0.89583333333333348</v>
      </c>
      <c r="R28" s="28"/>
      <c r="S28" s="28"/>
      <c r="T28" s="28"/>
    </row>
    <row r="29" spans="6:20">
      <c r="N29" s="28"/>
      <c r="O29" s="28"/>
      <c r="P29" s="28"/>
      <c r="Q29" s="28"/>
      <c r="R29" s="28"/>
      <c r="S29" s="28"/>
      <c r="T29" s="28"/>
    </row>
    <row r="30" spans="6:20" ht="15" thickBot="1">
      <c r="N30" s="31" t="s">
        <v>12</v>
      </c>
      <c r="O30" s="31">
        <v>21.5</v>
      </c>
      <c r="P30" s="31">
        <v>35</v>
      </c>
      <c r="Q30" s="31"/>
      <c r="R30" s="31"/>
      <c r="S30" s="31"/>
      <c r="T30" s="31"/>
    </row>
    <row r="32" spans="6:20" ht="15.6">
      <c r="N32" t="s">
        <v>2021</v>
      </c>
      <c r="O32" s="853">
        <f>O27</f>
        <v>1.7916666666666643</v>
      </c>
    </row>
    <row r="33" spans="14:15">
      <c r="N33" t="s">
        <v>2022</v>
      </c>
      <c r="O33" s="627">
        <f>L4*(L4+1)/12</f>
        <v>1</v>
      </c>
    </row>
    <row r="34" spans="14:15">
      <c r="N34" t="s">
        <v>2023</v>
      </c>
      <c r="O34" s="544">
        <f>O32/O33</f>
        <v>1.7916666666666643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sheetPr codeName="Sheet185"/>
  <dimension ref="A1:AA17"/>
  <sheetViews>
    <sheetView workbookViewId="0"/>
  </sheetViews>
  <sheetFormatPr defaultRowHeight="14.4"/>
  <cols>
    <col min="1" max="1" width="5.88671875" customWidth="1"/>
    <col min="2" max="5" width="10.109375" customWidth="1"/>
    <col min="6" max="6" width="10.6640625" customWidth="1"/>
    <col min="7" max="12" width="10.109375" customWidth="1"/>
  </cols>
  <sheetData>
    <row r="1" spans="1:27">
      <c r="A1" s="1" t="s">
        <v>1640</v>
      </c>
    </row>
    <row r="3" spans="1:27">
      <c r="B3" t="s">
        <v>131</v>
      </c>
      <c r="G3" t="s">
        <v>23</v>
      </c>
      <c r="M3" t="s">
        <v>1142</v>
      </c>
      <c r="T3" t="s">
        <v>1663</v>
      </c>
    </row>
    <row r="5" spans="1:27">
      <c r="B5" s="687" t="s">
        <v>139</v>
      </c>
      <c r="C5" s="687" t="s">
        <v>140</v>
      </c>
      <c r="D5" s="687" t="s">
        <v>150</v>
      </c>
      <c r="E5" s="689" t="s">
        <v>151</v>
      </c>
      <c r="G5" s="687" t="s">
        <v>139</v>
      </c>
      <c r="H5" s="687" t="s">
        <v>140</v>
      </c>
      <c r="I5" s="687" t="s">
        <v>150</v>
      </c>
      <c r="J5" s="689" t="s">
        <v>151</v>
      </c>
      <c r="K5" s="691"/>
      <c r="N5" s="687" t="s">
        <v>139</v>
      </c>
      <c r="O5" s="687" t="s">
        <v>140</v>
      </c>
      <c r="P5" s="687" t="s">
        <v>150</v>
      </c>
      <c r="Q5" s="689" t="s">
        <v>151</v>
      </c>
      <c r="T5" s="1597" t="s">
        <v>139</v>
      </c>
      <c r="U5" s="1598"/>
      <c r="V5" s="1597" t="s">
        <v>140</v>
      </c>
      <c r="W5" s="1598"/>
      <c r="X5" s="1597" t="s">
        <v>150</v>
      </c>
      <c r="Y5" s="1598"/>
      <c r="Z5" s="1599" t="s">
        <v>151</v>
      </c>
      <c r="AA5" s="1600"/>
    </row>
    <row r="6" spans="1:27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M6" t="s">
        <v>160</v>
      </c>
      <c r="N6">
        <f>MIN(B6:B15)</f>
        <v>8</v>
      </c>
      <c r="O6">
        <f>MIN(C6:C15)</f>
        <v>13</v>
      </c>
      <c r="P6">
        <f>MIN(D6:D15)</f>
        <v>9</v>
      </c>
      <c r="Q6">
        <f>MIN(E6:E15)</f>
        <v>7</v>
      </c>
      <c r="T6" s="656">
        <v>17.5</v>
      </c>
      <c r="U6" s="657">
        <v>12</v>
      </c>
      <c r="V6" s="656">
        <v>70.8</v>
      </c>
      <c r="W6" s="657">
        <v>45</v>
      </c>
      <c r="X6" s="656">
        <v>71.400000000000006</v>
      </c>
      <c r="Y6" s="657">
        <v>20</v>
      </c>
      <c r="Z6" s="656">
        <v>35</v>
      </c>
      <c r="AA6" s="657">
        <v>12</v>
      </c>
    </row>
    <row r="7" spans="1:27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  <c r="M7" t="s">
        <v>161</v>
      </c>
      <c r="N7">
        <f>QUARTILE(B6:B15,1)-N6</f>
        <v>6.25</v>
      </c>
      <c r="O7">
        <f>QUARTILE(C6:C15,1)-O6</f>
        <v>16</v>
      </c>
      <c r="P7">
        <f>QUARTILE(D6:D15,1)-P6</f>
        <v>4.5</v>
      </c>
      <c r="Q7">
        <f>QUARTILE(E6:E15,1)-Q6</f>
        <v>3.5</v>
      </c>
      <c r="T7" s="656">
        <v>104.60000000000001</v>
      </c>
      <c r="U7" s="657">
        <v>39</v>
      </c>
      <c r="V7" s="656">
        <v>45.9</v>
      </c>
      <c r="W7" s="657">
        <v>37</v>
      </c>
      <c r="X7" s="656">
        <v>55</v>
      </c>
      <c r="Y7" s="657">
        <v>42</v>
      </c>
      <c r="Z7" s="656">
        <v>33</v>
      </c>
      <c r="AA7" s="657">
        <v>10</v>
      </c>
    </row>
    <row r="8" spans="1:27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M8" t="s">
        <v>162</v>
      </c>
      <c r="N8">
        <f>MEDIAN(B6:B15)-QUARTILE(B6:B15,1)</f>
        <v>6.75</v>
      </c>
      <c r="O8">
        <f>MEDIAN(C6:C15)-QUARTILE(C6:C15,1)</f>
        <v>7</v>
      </c>
      <c r="P8">
        <f>MEDIAN(D6:D15)-QUARTILE(D6:D15,1)</f>
        <v>7</v>
      </c>
      <c r="Q8">
        <f>MEDIAN(E6:E15)-QUARTILE(E6:E15,1)</f>
        <v>5.5</v>
      </c>
      <c r="T8" s="656">
        <v>64.7</v>
      </c>
      <c r="U8" s="657">
        <v>36</v>
      </c>
      <c r="V8" s="656">
        <v>47.5</v>
      </c>
      <c r="W8" s="657">
        <v>13</v>
      </c>
      <c r="X8" s="656">
        <v>54</v>
      </c>
      <c r="Y8" s="657">
        <v>31</v>
      </c>
      <c r="Z8" s="656">
        <v>34.200000000000003</v>
      </c>
      <c r="AA8" s="657">
        <v>19</v>
      </c>
    </row>
    <row r="9" spans="1:27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M9" t="s">
        <v>163</v>
      </c>
      <c r="N9">
        <f>QUARTILE(B6:B15,3)-MEDIAN(B6:B15)</f>
        <v>11.25</v>
      </c>
      <c r="O9">
        <f>QUARTILE(C6:C15,3)-MEDIAN(C6:C15)</f>
        <v>5.25</v>
      </c>
      <c r="P9">
        <f>QUARTILE(D6:D15,3)-MEDIAN(D6:D15)</f>
        <v>8.75</v>
      </c>
      <c r="Q9">
        <f>QUARTILE(E6:E15,3)-MEDIAN(E6:E15)</f>
        <v>3</v>
      </c>
      <c r="T9" s="656">
        <v>47</v>
      </c>
      <c r="U9" s="657">
        <v>17</v>
      </c>
      <c r="V9" s="656">
        <v>77.8</v>
      </c>
      <c r="W9" s="657">
        <v>50</v>
      </c>
      <c r="X9" s="656">
        <v>27.9</v>
      </c>
      <c r="Y9" s="657">
        <v>24</v>
      </c>
      <c r="Z9" s="656">
        <v>43.2</v>
      </c>
      <c r="AA9" s="657">
        <v>18</v>
      </c>
    </row>
    <row r="10" spans="1:27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  <c r="M10" t="s">
        <v>164</v>
      </c>
      <c r="N10">
        <f>MAX(B6:B15)-QUARTILE(B6:B15,3)</f>
        <v>6.75</v>
      </c>
      <c r="O10">
        <f>MAX(C6:C15)-QUARTILE(C6:C15,3)</f>
        <v>8.75</v>
      </c>
      <c r="P10">
        <f>MAX(D6:D15)-QUARTILE(D6:D15,3)</f>
        <v>12.75</v>
      </c>
      <c r="Q10">
        <f>MAX(E6:E15)-QUARTILE(E6:E15,3)</f>
        <v>7</v>
      </c>
      <c r="T10" s="656">
        <v>22</v>
      </c>
      <c r="U10" s="657">
        <v>25</v>
      </c>
      <c r="V10" s="656">
        <v>70.900000000000006</v>
      </c>
      <c r="W10" s="657">
        <v>35</v>
      </c>
      <c r="X10" s="656">
        <v>40.599999999999994</v>
      </c>
      <c r="Y10" s="657">
        <v>15</v>
      </c>
      <c r="Z10" s="656">
        <v>20</v>
      </c>
      <c r="AA10" s="657">
        <v>14</v>
      </c>
    </row>
    <row r="11" spans="1:27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T11" s="656">
        <v>12.4</v>
      </c>
      <c r="U11" s="657">
        <v>15</v>
      </c>
      <c r="V11" s="656">
        <v>84.8</v>
      </c>
      <c r="W11" s="657">
        <v>40</v>
      </c>
      <c r="X11" s="656">
        <v>33</v>
      </c>
      <c r="Y11" s="657">
        <v>13</v>
      </c>
      <c r="Z11" s="656">
        <v>37</v>
      </c>
      <c r="AA11" s="657">
        <v>8</v>
      </c>
    </row>
    <row r="12" spans="1:27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T12" s="656">
        <v>20</v>
      </c>
      <c r="U12" s="657">
        <v>8</v>
      </c>
      <c r="V12" s="656">
        <v>49.8</v>
      </c>
      <c r="W12" s="657">
        <v>33</v>
      </c>
      <c r="X12" s="656">
        <v>22.2</v>
      </c>
      <c r="Y12" s="657">
        <v>9</v>
      </c>
      <c r="Z12" s="656">
        <v>28.2</v>
      </c>
      <c r="AA12" s="657">
        <v>7</v>
      </c>
    </row>
    <row r="13" spans="1:27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T13" s="656">
        <v>79.7</v>
      </c>
      <c r="U13" s="657">
        <v>31</v>
      </c>
      <c r="V13" s="656">
        <v>34.599999999999994</v>
      </c>
      <c r="W13" s="657">
        <v>17</v>
      </c>
      <c r="X13" s="656">
        <v>80.5</v>
      </c>
      <c r="Y13" s="657">
        <v>21</v>
      </c>
      <c r="Z13" s="656">
        <v>46.400000000000006</v>
      </c>
      <c r="AA13" s="657">
        <v>19</v>
      </c>
    </row>
    <row r="14" spans="1:27">
      <c r="D14">
        <v>31</v>
      </c>
      <c r="E14">
        <v>25</v>
      </c>
      <c r="I14">
        <v>80</v>
      </c>
      <c r="J14">
        <v>64.900000000000006</v>
      </c>
      <c r="T14" s="656"/>
      <c r="U14" s="657"/>
      <c r="V14" s="656"/>
      <c r="W14" s="657"/>
      <c r="X14" s="656">
        <v>80</v>
      </c>
      <c r="Y14" s="657">
        <v>31</v>
      </c>
      <c r="Z14" s="656">
        <v>64.900000000000006</v>
      </c>
      <c r="AA14" s="657">
        <v>25</v>
      </c>
    </row>
    <row r="15" spans="1:27">
      <c r="B15" s="534"/>
      <c r="C15" s="534"/>
      <c r="D15" s="534">
        <v>13</v>
      </c>
      <c r="E15" s="534">
        <v>26</v>
      </c>
      <c r="G15" s="534"/>
      <c r="H15" s="534"/>
      <c r="I15" s="534">
        <v>41</v>
      </c>
      <c r="J15" s="534">
        <v>59.4</v>
      </c>
      <c r="K15" s="8"/>
      <c r="T15" s="533"/>
      <c r="U15" s="541"/>
      <c r="V15" s="533"/>
      <c r="W15" s="541"/>
      <c r="X15" s="533">
        <v>41</v>
      </c>
      <c r="Y15" s="541">
        <v>13</v>
      </c>
      <c r="Z15" s="533">
        <v>59.4</v>
      </c>
      <c r="AA15" s="541">
        <v>26</v>
      </c>
    </row>
    <row r="16" spans="1:27">
      <c r="A16" t="s">
        <v>63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</row>
    <row r="17" spans="1:11">
      <c r="A17" t="s">
        <v>66</v>
      </c>
      <c r="B17" s="534">
        <f>VAR(B6:B15)</f>
        <v>134.125</v>
      </c>
      <c r="C17" s="534">
        <f>VAR(C6:C15)</f>
        <v>164.78571428571428</v>
      </c>
      <c r="D17" s="534">
        <f>VAR(D6:D15)</f>
        <v>105.65555555555551</v>
      </c>
      <c r="E17" s="534">
        <f>VAR(E6:E15)</f>
        <v>44.844444444444434</v>
      </c>
      <c r="G17" s="534">
        <f>VAR(G6:G15)</f>
        <v>1159.0783928571432</v>
      </c>
      <c r="H17" s="534">
        <f>VAR(H6:H15)</f>
        <v>324.43410714285659</v>
      </c>
      <c r="I17" s="534">
        <f>VAR(I6:I15)</f>
        <v>449.52044444444499</v>
      </c>
      <c r="J17" s="534">
        <f>VAR(J6:J15)</f>
        <v>189.25344444444514</v>
      </c>
      <c r="K17" s="8"/>
    </row>
  </sheetData>
  <mergeCells count="4">
    <mergeCell ref="T5:U5"/>
    <mergeCell ref="V5:W5"/>
    <mergeCell ref="X5:Y5"/>
    <mergeCell ref="Z5:AA5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sheetPr codeName="Sheet186"/>
  <dimension ref="A1:AB87"/>
  <sheetViews>
    <sheetView zoomScaleNormal="100" workbookViewId="0"/>
  </sheetViews>
  <sheetFormatPr defaultRowHeight="14.4"/>
  <cols>
    <col min="10" max="10" width="18.44140625" customWidth="1"/>
    <col min="15" max="15" width="13" customWidth="1"/>
    <col min="18" max="18" width="17.6640625" customWidth="1"/>
    <col min="19" max="19" width="11.6640625" customWidth="1"/>
    <col min="20" max="20" width="13.109375" customWidth="1"/>
    <col min="21" max="22" width="11.5546875" customWidth="1"/>
    <col min="23" max="23" width="12.6640625" customWidth="1"/>
    <col min="24" max="24" width="8.5546875" customWidth="1"/>
    <col min="28" max="28" width="10.33203125" customWidth="1"/>
  </cols>
  <sheetData>
    <row r="1" spans="1:28">
      <c r="A1" s="1" t="s">
        <v>1690</v>
      </c>
    </row>
    <row r="3" spans="1:28">
      <c r="A3" s="687" t="s">
        <v>400</v>
      </c>
      <c r="B3" s="687" t="s">
        <v>28</v>
      </c>
      <c r="C3" s="687" t="s">
        <v>989</v>
      </c>
      <c r="D3" s="687" t="s">
        <v>990</v>
      </c>
      <c r="E3" s="687" t="s">
        <v>1084</v>
      </c>
      <c r="F3" s="687" t="s">
        <v>1636</v>
      </c>
      <c r="G3" s="687" t="s">
        <v>1637</v>
      </c>
      <c r="H3" s="687" t="s">
        <v>1638</v>
      </c>
      <c r="J3" s="690" t="s">
        <v>1658</v>
      </c>
      <c r="K3" s="28"/>
      <c r="L3" s="28"/>
      <c r="M3" s="28"/>
      <c r="N3" s="28"/>
      <c r="O3" s="28"/>
      <c r="R3" t="s">
        <v>1652</v>
      </c>
      <c r="Y3" s="1" t="s">
        <v>1664</v>
      </c>
    </row>
    <row r="4" spans="1:28" ht="15" thickBot="1">
      <c r="A4">
        <v>12</v>
      </c>
      <c r="B4">
        <v>17.5</v>
      </c>
      <c r="C4">
        <v>1</v>
      </c>
      <c r="D4">
        <v>0</v>
      </c>
      <c r="E4">
        <v>0</v>
      </c>
      <c r="F4">
        <f t="shared" ref="F4:F39" si="0">$B4*C4</f>
        <v>17.5</v>
      </c>
      <c r="G4">
        <f t="shared" ref="G4:G39" si="1">$B4*D4</f>
        <v>0</v>
      </c>
      <c r="H4">
        <f t="shared" ref="H4:H39" si="2">$B4*E4</f>
        <v>0</v>
      </c>
    </row>
    <row r="5" spans="1:28" ht="15" thickBot="1">
      <c r="A5">
        <v>39</v>
      </c>
      <c r="B5">
        <v>104.60000000000001</v>
      </c>
      <c r="C5">
        <v>1</v>
      </c>
      <c r="D5">
        <v>0</v>
      </c>
      <c r="E5">
        <v>0</v>
      </c>
      <c r="F5">
        <f t="shared" si="0"/>
        <v>104.60000000000001</v>
      </c>
      <c r="G5">
        <f t="shared" si="1"/>
        <v>0</v>
      </c>
      <c r="H5">
        <f t="shared" si="2"/>
        <v>0</v>
      </c>
      <c r="J5" t="s">
        <v>1659</v>
      </c>
      <c r="R5" s="35" t="s">
        <v>692</v>
      </c>
      <c r="S5" s="35"/>
      <c r="Z5" s="635" t="s">
        <v>1217</v>
      </c>
      <c r="AA5" s="635" t="s">
        <v>1218</v>
      </c>
      <c r="AB5" s="635" t="s">
        <v>1219</v>
      </c>
    </row>
    <row r="6" spans="1:28">
      <c r="A6">
        <v>36</v>
      </c>
      <c r="B6">
        <v>64.7</v>
      </c>
      <c r="C6">
        <v>1</v>
      </c>
      <c r="D6">
        <v>0</v>
      </c>
      <c r="E6">
        <v>0</v>
      </c>
      <c r="F6">
        <f t="shared" si="0"/>
        <v>64.7</v>
      </c>
      <c r="G6">
        <f t="shared" si="1"/>
        <v>0</v>
      </c>
      <c r="H6">
        <f t="shared" si="2"/>
        <v>0</v>
      </c>
      <c r="J6" s="636"/>
      <c r="K6" s="636" t="s">
        <v>186</v>
      </c>
      <c r="L6" s="636" t="s">
        <v>578</v>
      </c>
      <c r="M6" s="636" t="s">
        <v>641</v>
      </c>
      <c r="N6" s="636" t="s">
        <v>388</v>
      </c>
      <c r="O6" s="636" t="s">
        <v>698</v>
      </c>
      <c r="R6" s="28" t="s">
        <v>693</v>
      </c>
      <c r="S6" s="28">
        <v>0.81879231765840588</v>
      </c>
      <c r="Y6" s="492" t="s">
        <v>1230</v>
      </c>
      <c r="Z6" s="553">
        <f>S7</f>
        <v>0.67042085945642382</v>
      </c>
      <c r="AA6" s="666">
        <f>S23</f>
        <v>0.63921615672529453</v>
      </c>
      <c r="AB6" s="542">
        <f>Z6-AA6</f>
        <v>3.1204702731129297E-2</v>
      </c>
    </row>
    <row r="7" spans="1:28">
      <c r="A7">
        <v>17</v>
      </c>
      <c r="B7">
        <v>47</v>
      </c>
      <c r="C7">
        <v>1</v>
      </c>
      <c r="D7">
        <v>0</v>
      </c>
      <c r="E7">
        <v>0</v>
      </c>
      <c r="F7">
        <f t="shared" si="0"/>
        <v>47</v>
      </c>
      <c r="G7">
        <f t="shared" si="1"/>
        <v>0</v>
      </c>
      <c r="H7">
        <f t="shared" si="2"/>
        <v>0</v>
      </c>
      <c r="J7" s="28" t="s">
        <v>623</v>
      </c>
      <c r="K7" s="28">
        <v>4</v>
      </c>
      <c r="L7" s="28">
        <v>3133.3665762499804</v>
      </c>
      <c r="M7" s="28">
        <v>783.34164406249511</v>
      </c>
      <c r="N7" s="28">
        <v>13.731006271389626</v>
      </c>
      <c r="O7" s="28">
        <v>1.4964731310688181E-6</v>
      </c>
      <c r="R7" s="28" t="s">
        <v>686</v>
      </c>
      <c r="S7" s="28">
        <v>0.67042085945642382</v>
      </c>
      <c r="Y7" t="s">
        <v>1214</v>
      </c>
      <c r="Z7" s="533">
        <f>S15</f>
        <v>28</v>
      </c>
      <c r="AA7" s="534">
        <f>S31</f>
        <v>31</v>
      </c>
      <c r="AB7" s="544">
        <f>AA7-Z7</f>
        <v>3</v>
      </c>
    </row>
    <row r="8" spans="1:28">
      <c r="A8">
        <v>25</v>
      </c>
      <c r="B8">
        <v>22</v>
      </c>
      <c r="C8">
        <v>1</v>
      </c>
      <c r="D8">
        <v>0</v>
      </c>
      <c r="E8">
        <v>0</v>
      </c>
      <c r="F8">
        <f t="shared" si="0"/>
        <v>22</v>
      </c>
      <c r="G8">
        <f t="shared" si="1"/>
        <v>0</v>
      </c>
      <c r="H8">
        <f t="shared" si="2"/>
        <v>0</v>
      </c>
      <c r="J8" s="28" t="s">
        <v>696</v>
      </c>
      <c r="K8" s="28">
        <v>31</v>
      </c>
      <c r="L8" s="28">
        <v>1768.5223126389094</v>
      </c>
      <c r="M8" s="28">
        <v>57.049106859319657</v>
      </c>
      <c r="N8" s="28"/>
      <c r="O8" s="28"/>
      <c r="R8" s="28" t="s">
        <v>694</v>
      </c>
      <c r="S8" s="28">
        <v>0.58802607432052978</v>
      </c>
      <c r="Y8" t="s">
        <v>388</v>
      </c>
      <c r="AB8" s="627">
        <f>AB6*Z7/(AB7*(1-Z6))</f>
        <v>0.88368423947236796</v>
      </c>
    </row>
    <row r="9" spans="1:28" ht="15" thickBot="1">
      <c r="A9">
        <v>15</v>
      </c>
      <c r="B9">
        <v>12.4</v>
      </c>
      <c r="C9">
        <v>1</v>
      </c>
      <c r="D9">
        <v>0</v>
      </c>
      <c r="E9">
        <v>0</v>
      </c>
      <c r="F9">
        <f t="shared" si="0"/>
        <v>12.4</v>
      </c>
      <c r="G9">
        <f t="shared" si="1"/>
        <v>0</v>
      </c>
      <c r="H9">
        <f t="shared" si="2"/>
        <v>0</v>
      </c>
      <c r="J9" s="31" t="s">
        <v>12</v>
      </c>
      <c r="K9" s="31">
        <v>35</v>
      </c>
      <c r="L9" s="31">
        <v>4901.8888888888896</v>
      </c>
      <c r="M9" s="31"/>
      <c r="N9" s="31"/>
      <c r="O9" s="31"/>
      <c r="R9" s="28" t="s">
        <v>77</v>
      </c>
      <c r="S9" s="28">
        <v>7.5959583403659607</v>
      </c>
      <c r="Y9" s="65" t="s">
        <v>157</v>
      </c>
      <c r="AB9" s="627">
        <v>0.05</v>
      </c>
    </row>
    <row r="10" spans="1:28" ht="15" thickBot="1">
      <c r="A10">
        <v>8</v>
      </c>
      <c r="B10">
        <v>20</v>
      </c>
      <c r="C10">
        <v>1</v>
      </c>
      <c r="D10">
        <v>0</v>
      </c>
      <c r="E10">
        <v>0</v>
      </c>
      <c r="F10">
        <f t="shared" si="0"/>
        <v>20</v>
      </c>
      <c r="G10">
        <f t="shared" si="1"/>
        <v>0</v>
      </c>
      <c r="H10">
        <f t="shared" si="2"/>
        <v>0</v>
      </c>
      <c r="R10" s="31" t="s">
        <v>224</v>
      </c>
      <c r="S10" s="31">
        <v>36</v>
      </c>
      <c r="Y10" s="492" t="s">
        <v>200</v>
      </c>
      <c r="AB10" s="627">
        <f>FDIST(AB8,AB7,Z7)</f>
        <v>0.46150436492324942</v>
      </c>
    </row>
    <row r="11" spans="1:28" ht="15" thickBot="1">
      <c r="A11">
        <v>31</v>
      </c>
      <c r="B11">
        <v>79.7</v>
      </c>
      <c r="C11">
        <v>1</v>
      </c>
      <c r="D11">
        <v>0</v>
      </c>
      <c r="E11">
        <v>0</v>
      </c>
      <c r="F11">
        <f t="shared" si="0"/>
        <v>79.7</v>
      </c>
      <c r="G11">
        <f t="shared" si="1"/>
        <v>0</v>
      </c>
      <c r="H11">
        <f t="shared" si="2"/>
        <v>0</v>
      </c>
      <c r="J11" t="s">
        <v>1655</v>
      </c>
      <c r="Y11" s="493" t="s">
        <v>948</v>
      </c>
      <c r="AB11" s="538" t="str">
        <f>IF(AB10&lt;AB9,"yes","no")</f>
        <v>no</v>
      </c>
    </row>
    <row r="12" spans="1:28" ht="15" thickBot="1">
      <c r="A12">
        <v>45</v>
      </c>
      <c r="B12">
        <v>70.8</v>
      </c>
      <c r="C12">
        <v>0</v>
      </c>
      <c r="D12">
        <v>1</v>
      </c>
      <c r="E12">
        <v>0</v>
      </c>
      <c r="F12">
        <f t="shared" si="0"/>
        <v>0</v>
      </c>
      <c r="G12">
        <f t="shared" si="1"/>
        <v>70.8</v>
      </c>
      <c r="H12">
        <f t="shared" si="2"/>
        <v>0</v>
      </c>
      <c r="J12" s="636"/>
      <c r="K12" s="636" t="s">
        <v>186</v>
      </c>
      <c r="L12" s="636" t="s">
        <v>578</v>
      </c>
      <c r="M12" s="636" t="s">
        <v>641</v>
      </c>
      <c r="N12" s="636" t="s">
        <v>388</v>
      </c>
      <c r="O12" s="636" t="s">
        <v>698</v>
      </c>
      <c r="R12" t="s">
        <v>695</v>
      </c>
    </row>
    <row r="13" spans="1:28">
      <c r="A13">
        <v>37</v>
      </c>
      <c r="B13">
        <v>45.9</v>
      </c>
      <c r="C13">
        <v>0</v>
      </c>
      <c r="D13">
        <v>1</v>
      </c>
      <c r="E13">
        <v>0</v>
      </c>
      <c r="F13">
        <f t="shared" si="0"/>
        <v>0</v>
      </c>
      <c r="G13">
        <f t="shared" si="1"/>
        <v>45.9</v>
      </c>
      <c r="H13">
        <f t="shared" si="2"/>
        <v>0</v>
      </c>
      <c r="J13" s="28" t="s">
        <v>623</v>
      </c>
      <c r="K13" s="28">
        <v>3</v>
      </c>
      <c r="L13" s="28">
        <v>1897.0572222222254</v>
      </c>
      <c r="M13" s="28">
        <v>632.35240740740846</v>
      </c>
      <c r="N13" s="28">
        <v>1.2542356704784683</v>
      </c>
      <c r="O13" s="28">
        <v>0.30655018520822414</v>
      </c>
      <c r="R13" s="636"/>
      <c r="S13" s="636" t="s">
        <v>186</v>
      </c>
      <c r="T13" s="636" t="s">
        <v>578</v>
      </c>
      <c r="U13" s="636" t="s">
        <v>641</v>
      </c>
      <c r="V13" s="636" t="s">
        <v>388</v>
      </c>
      <c r="W13" s="636" t="s">
        <v>698</v>
      </c>
      <c r="Y13" s="492" t="s">
        <v>1989</v>
      </c>
      <c r="AB13" s="756" t="e">
        <f ca="1">[1]!RSquareTest(B4:H39,B4:E39,A4:A39)</f>
        <v>#NAME?</v>
      </c>
    </row>
    <row r="14" spans="1:28">
      <c r="A14">
        <v>13</v>
      </c>
      <c r="B14">
        <v>47.5</v>
      </c>
      <c r="C14">
        <v>0</v>
      </c>
      <c r="D14">
        <v>1</v>
      </c>
      <c r="E14">
        <v>0</v>
      </c>
      <c r="F14">
        <f t="shared" si="0"/>
        <v>0</v>
      </c>
      <c r="G14">
        <f t="shared" si="1"/>
        <v>47.5</v>
      </c>
      <c r="H14">
        <f t="shared" si="2"/>
        <v>0</v>
      </c>
      <c r="J14" s="28" t="s">
        <v>696</v>
      </c>
      <c r="K14" s="28">
        <v>32</v>
      </c>
      <c r="L14" s="28">
        <v>16133.552500000002</v>
      </c>
      <c r="M14" s="28">
        <v>504.17351562500005</v>
      </c>
      <c r="N14" s="28"/>
      <c r="O14" s="28"/>
      <c r="R14" s="28" t="s">
        <v>623</v>
      </c>
      <c r="S14" s="28">
        <v>7</v>
      </c>
      <c r="T14" s="28">
        <v>3286.3285618487839</v>
      </c>
      <c r="U14" s="28">
        <v>469.47550883554055</v>
      </c>
      <c r="V14" s="28">
        <v>8.1366904270785607</v>
      </c>
      <c r="W14" s="28">
        <v>2.1072042596181117E-5</v>
      </c>
    </row>
    <row r="15" spans="1:28" ht="15" thickBot="1">
      <c r="A15">
        <v>50</v>
      </c>
      <c r="B15">
        <v>77.8</v>
      </c>
      <c r="C15">
        <v>0</v>
      </c>
      <c r="D15">
        <v>1</v>
      </c>
      <c r="E15">
        <v>0</v>
      </c>
      <c r="F15">
        <f t="shared" si="0"/>
        <v>0</v>
      </c>
      <c r="G15">
        <f t="shared" si="1"/>
        <v>77.8</v>
      </c>
      <c r="H15">
        <f t="shared" si="2"/>
        <v>0</v>
      </c>
      <c r="J15" s="31" t="s">
        <v>12</v>
      </c>
      <c r="K15" s="31">
        <v>35</v>
      </c>
      <c r="L15" s="31">
        <v>18030.609722222227</v>
      </c>
      <c r="M15" s="31"/>
      <c r="N15" s="31"/>
      <c r="O15" s="31"/>
      <c r="R15" s="28" t="s">
        <v>696</v>
      </c>
      <c r="S15" s="28">
        <v>28</v>
      </c>
      <c r="T15" s="28">
        <v>1615.5603270401057</v>
      </c>
      <c r="U15" s="28">
        <v>57.6985831085752</v>
      </c>
      <c r="V15" s="28"/>
      <c r="W15" s="28"/>
    </row>
    <row r="16" spans="1:28" ht="15" thickBot="1">
      <c r="A16">
        <v>35</v>
      </c>
      <c r="B16">
        <v>70.900000000000006</v>
      </c>
      <c r="C16">
        <v>0</v>
      </c>
      <c r="D16">
        <v>1</v>
      </c>
      <c r="E16">
        <v>0</v>
      </c>
      <c r="F16">
        <f t="shared" si="0"/>
        <v>0</v>
      </c>
      <c r="G16">
        <f t="shared" si="1"/>
        <v>70.900000000000006</v>
      </c>
      <c r="H16">
        <f t="shared" si="2"/>
        <v>0</v>
      </c>
      <c r="R16" s="31" t="s">
        <v>12</v>
      </c>
      <c r="S16" s="31">
        <v>35</v>
      </c>
      <c r="T16" s="31">
        <v>4901.8888888888896</v>
      </c>
      <c r="U16" s="31"/>
      <c r="V16" s="31"/>
      <c r="W16" s="31"/>
    </row>
    <row r="17" spans="1:23" ht="15" thickBot="1">
      <c r="A17">
        <v>40</v>
      </c>
      <c r="B17">
        <v>84.8</v>
      </c>
      <c r="C17">
        <v>0</v>
      </c>
      <c r="D17">
        <v>1</v>
      </c>
      <c r="E17">
        <v>0</v>
      </c>
      <c r="F17">
        <f t="shared" si="0"/>
        <v>0</v>
      </c>
      <c r="G17">
        <f t="shared" si="1"/>
        <v>84.8</v>
      </c>
      <c r="H17">
        <f t="shared" si="2"/>
        <v>0</v>
      </c>
      <c r="J17" t="s">
        <v>1656</v>
      </c>
    </row>
    <row r="18" spans="1:23">
      <c r="A18">
        <v>33</v>
      </c>
      <c r="B18">
        <v>49.8</v>
      </c>
      <c r="C18">
        <v>0</v>
      </c>
      <c r="D18">
        <v>1</v>
      </c>
      <c r="E18">
        <v>0</v>
      </c>
      <c r="F18">
        <f t="shared" si="0"/>
        <v>0</v>
      </c>
      <c r="G18">
        <f t="shared" si="1"/>
        <v>49.8</v>
      </c>
      <c r="H18">
        <f t="shared" si="2"/>
        <v>0</v>
      </c>
      <c r="J18" s="636"/>
      <c r="K18" s="636" t="s">
        <v>186</v>
      </c>
      <c r="L18" s="636" t="s">
        <v>578</v>
      </c>
      <c r="M18" s="636" t="s">
        <v>641</v>
      </c>
      <c r="N18" s="636" t="s">
        <v>388</v>
      </c>
      <c r="O18" s="636" t="s">
        <v>698</v>
      </c>
    </row>
    <row r="19" spans="1:23">
      <c r="A19">
        <v>17</v>
      </c>
      <c r="B19">
        <v>34.599999999999994</v>
      </c>
      <c r="C19">
        <v>0</v>
      </c>
      <c r="D19">
        <v>1</v>
      </c>
      <c r="E19">
        <v>0</v>
      </c>
      <c r="F19">
        <f t="shared" si="0"/>
        <v>0</v>
      </c>
      <c r="G19">
        <f t="shared" si="1"/>
        <v>34.599999999999994</v>
      </c>
      <c r="H19">
        <f t="shared" si="2"/>
        <v>0</v>
      </c>
      <c r="J19" s="28" t="s">
        <v>623</v>
      </c>
      <c r="K19" s="28">
        <v>3</v>
      </c>
      <c r="L19" s="28">
        <v>1455.0138888888901</v>
      </c>
      <c r="M19" s="28">
        <v>485.00462962963002</v>
      </c>
      <c r="N19" s="28">
        <v>4.5026721735334654</v>
      </c>
      <c r="O19" s="28">
        <v>9.5805875705777723E-3</v>
      </c>
      <c r="R19" t="s">
        <v>1666</v>
      </c>
    </row>
    <row r="20" spans="1:23" ht="15" thickBot="1">
      <c r="A20">
        <v>20</v>
      </c>
      <c r="B20">
        <v>71.400000000000006</v>
      </c>
      <c r="C20">
        <v>0</v>
      </c>
      <c r="D20">
        <v>0</v>
      </c>
      <c r="E20">
        <v>1</v>
      </c>
      <c r="F20">
        <f t="shared" si="0"/>
        <v>0</v>
      </c>
      <c r="G20">
        <f t="shared" si="1"/>
        <v>0</v>
      </c>
      <c r="H20">
        <f t="shared" si="2"/>
        <v>71.400000000000006</v>
      </c>
      <c r="J20" s="28" t="s">
        <v>696</v>
      </c>
      <c r="K20" s="28">
        <v>32</v>
      </c>
      <c r="L20" s="28">
        <v>3446.8749999999995</v>
      </c>
      <c r="M20" s="28">
        <v>107.71484374999999</v>
      </c>
      <c r="N20" s="28"/>
      <c r="O20" s="28"/>
    </row>
    <row r="21" spans="1:23" ht="15" thickBot="1">
      <c r="A21">
        <v>42</v>
      </c>
      <c r="B21">
        <v>55</v>
      </c>
      <c r="C21">
        <v>0</v>
      </c>
      <c r="D21">
        <v>0</v>
      </c>
      <c r="E21">
        <v>1</v>
      </c>
      <c r="F21">
        <f t="shared" si="0"/>
        <v>0</v>
      </c>
      <c r="G21">
        <f t="shared" si="1"/>
        <v>0</v>
      </c>
      <c r="H21">
        <f t="shared" si="2"/>
        <v>55</v>
      </c>
      <c r="J21" s="31" t="s">
        <v>12</v>
      </c>
      <c r="K21" s="31">
        <v>35</v>
      </c>
      <c r="L21" s="31">
        <v>4901.8888888888896</v>
      </c>
      <c r="M21" s="31"/>
      <c r="N21" s="31"/>
      <c r="O21" s="31"/>
      <c r="R21" s="35" t="s">
        <v>692</v>
      </c>
      <c r="S21" s="35"/>
    </row>
    <row r="22" spans="1:23">
      <c r="A22">
        <v>31</v>
      </c>
      <c r="B22">
        <v>54</v>
      </c>
      <c r="C22">
        <v>0</v>
      </c>
      <c r="D22">
        <v>0</v>
      </c>
      <c r="E22">
        <v>1</v>
      </c>
      <c r="F22">
        <f t="shared" si="0"/>
        <v>0</v>
      </c>
      <c r="G22">
        <f t="shared" si="1"/>
        <v>0</v>
      </c>
      <c r="H22">
        <f t="shared" si="2"/>
        <v>54</v>
      </c>
      <c r="R22" s="28" t="s">
        <v>693</v>
      </c>
      <c r="S22" s="28">
        <v>0.79950994785887097</v>
      </c>
    </row>
    <row r="23" spans="1:23" ht="15" thickBot="1">
      <c r="A23">
        <v>24</v>
      </c>
      <c r="B23">
        <v>27.9</v>
      </c>
      <c r="C23">
        <v>0</v>
      </c>
      <c r="D23">
        <v>0</v>
      </c>
      <c r="E23">
        <v>1</v>
      </c>
      <c r="F23">
        <f t="shared" si="0"/>
        <v>0</v>
      </c>
      <c r="G23">
        <f t="shared" si="1"/>
        <v>0</v>
      </c>
      <c r="H23">
        <f t="shared" si="2"/>
        <v>27.9</v>
      </c>
      <c r="J23" t="s">
        <v>1657</v>
      </c>
      <c r="R23" s="28" t="s">
        <v>686</v>
      </c>
      <c r="S23" s="28">
        <v>0.63921615672529453</v>
      </c>
    </row>
    <row r="24" spans="1:23">
      <c r="A24">
        <v>15</v>
      </c>
      <c r="B24">
        <v>40.599999999999994</v>
      </c>
      <c r="C24">
        <v>0</v>
      </c>
      <c r="D24">
        <v>0</v>
      </c>
      <c r="E24">
        <v>1</v>
      </c>
      <c r="F24">
        <f t="shared" si="0"/>
        <v>0</v>
      </c>
      <c r="G24">
        <f t="shared" si="1"/>
        <v>0</v>
      </c>
      <c r="H24">
        <f t="shared" si="2"/>
        <v>40.599999999999994</v>
      </c>
      <c r="J24" s="636"/>
      <c r="K24" s="636" t="s">
        <v>186</v>
      </c>
      <c r="L24" s="636" t="s">
        <v>578</v>
      </c>
      <c r="M24" s="636" t="s">
        <v>641</v>
      </c>
      <c r="N24" s="636" t="s">
        <v>388</v>
      </c>
      <c r="O24" s="636" t="s">
        <v>698</v>
      </c>
      <c r="R24" s="28" t="s">
        <v>694</v>
      </c>
      <c r="S24" s="28">
        <v>0.5926634027543648</v>
      </c>
    </row>
    <row r="25" spans="1:23">
      <c r="A25">
        <v>13</v>
      </c>
      <c r="B25">
        <v>33</v>
      </c>
      <c r="C25">
        <v>0</v>
      </c>
      <c r="D25">
        <v>0</v>
      </c>
      <c r="E25">
        <v>1</v>
      </c>
      <c r="F25">
        <f t="shared" si="0"/>
        <v>0</v>
      </c>
      <c r="G25">
        <f t="shared" si="1"/>
        <v>0</v>
      </c>
      <c r="H25">
        <f t="shared" si="2"/>
        <v>33</v>
      </c>
      <c r="J25" s="28" t="s">
        <v>623</v>
      </c>
      <c r="K25" s="28">
        <v>1</v>
      </c>
      <c r="L25" s="28">
        <v>2562.3366929048839</v>
      </c>
      <c r="M25" s="28">
        <v>2562.3366929048839</v>
      </c>
      <c r="N25" s="28">
        <v>37.237659287239794</v>
      </c>
      <c r="O25" s="28">
        <v>6.3463662804716112E-7</v>
      </c>
      <c r="R25" s="28" t="s">
        <v>77</v>
      </c>
      <c r="S25" s="28">
        <v>7.5530859163205379</v>
      </c>
    </row>
    <row r="26" spans="1:23" ht="15" thickBot="1">
      <c r="A26">
        <v>9</v>
      </c>
      <c r="B26">
        <v>22.2</v>
      </c>
      <c r="C26">
        <v>0</v>
      </c>
      <c r="D26">
        <v>0</v>
      </c>
      <c r="E26">
        <v>1</v>
      </c>
      <c r="F26">
        <f t="shared" si="0"/>
        <v>0</v>
      </c>
      <c r="G26">
        <f t="shared" si="1"/>
        <v>0</v>
      </c>
      <c r="H26">
        <f t="shared" si="2"/>
        <v>22.2</v>
      </c>
      <c r="J26" s="28" t="s">
        <v>696</v>
      </c>
      <c r="K26" s="28">
        <v>34</v>
      </c>
      <c r="L26" s="28">
        <v>2339.5521959840057</v>
      </c>
      <c r="M26" s="28">
        <v>68.810358705411929</v>
      </c>
      <c r="N26" s="28"/>
      <c r="O26" s="28"/>
      <c r="R26" s="31" t="s">
        <v>224</v>
      </c>
      <c r="S26" s="31">
        <v>36</v>
      </c>
    </row>
    <row r="27" spans="1:23" ht="15" thickBot="1">
      <c r="A27">
        <v>21</v>
      </c>
      <c r="B27">
        <v>80.5</v>
      </c>
      <c r="C27">
        <v>0</v>
      </c>
      <c r="D27">
        <v>0</v>
      </c>
      <c r="E27">
        <v>1</v>
      </c>
      <c r="F27">
        <f t="shared" si="0"/>
        <v>0</v>
      </c>
      <c r="G27">
        <f t="shared" si="1"/>
        <v>0</v>
      </c>
      <c r="H27">
        <f t="shared" si="2"/>
        <v>80.5</v>
      </c>
      <c r="J27" s="31" t="s">
        <v>12</v>
      </c>
      <c r="K27" s="31">
        <v>35</v>
      </c>
      <c r="L27" s="31">
        <v>4901.8888888888896</v>
      </c>
      <c r="M27" s="31"/>
      <c r="N27" s="31"/>
      <c r="O27" s="31"/>
    </row>
    <row r="28" spans="1:23" ht="15" thickBot="1">
      <c r="A28">
        <v>31</v>
      </c>
      <c r="B28">
        <v>80</v>
      </c>
      <c r="C28">
        <v>0</v>
      </c>
      <c r="D28">
        <v>0</v>
      </c>
      <c r="E28">
        <v>1</v>
      </c>
      <c r="F28">
        <f t="shared" si="0"/>
        <v>0</v>
      </c>
      <c r="G28">
        <f t="shared" si="1"/>
        <v>0</v>
      </c>
      <c r="H28">
        <f t="shared" si="2"/>
        <v>80</v>
      </c>
      <c r="R28" t="s">
        <v>695</v>
      </c>
    </row>
    <row r="29" spans="1:23">
      <c r="A29">
        <v>13</v>
      </c>
      <c r="B29">
        <v>41</v>
      </c>
      <c r="C29">
        <v>0</v>
      </c>
      <c r="D29">
        <v>0</v>
      </c>
      <c r="E29">
        <v>1</v>
      </c>
      <c r="F29">
        <f t="shared" si="0"/>
        <v>0</v>
      </c>
      <c r="G29">
        <f t="shared" si="1"/>
        <v>0</v>
      </c>
      <c r="H29">
        <f t="shared" si="2"/>
        <v>41</v>
      </c>
      <c r="R29" s="636"/>
      <c r="S29" s="636" t="s">
        <v>186</v>
      </c>
      <c r="T29" s="636" t="s">
        <v>578</v>
      </c>
      <c r="U29" s="636" t="s">
        <v>641</v>
      </c>
      <c r="V29" s="636" t="s">
        <v>388</v>
      </c>
      <c r="W29" s="636" t="s">
        <v>698</v>
      </c>
    </row>
    <row r="30" spans="1:23" ht="15" thickBot="1">
      <c r="A30">
        <v>12</v>
      </c>
      <c r="B30">
        <v>35</v>
      </c>
      <c r="C30">
        <v>0</v>
      </c>
      <c r="D30">
        <v>0</v>
      </c>
      <c r="E30">
        <v>0</v>
      </c>
      <c r="F30">
        <f t="shared" si="0"/>
        <v>0</v>
      </c>
      <c r="G30">
        <f t="shared" si="1"/>
        <v>0</v>
      </c>
      <c r="H30">
        <f t="shared" si="2"/>
        <v>0</v>
      </c>
      <c r="J30" t="s">
        <v>1640</v>
      </c>
      <c r="R30" s="28" t="s">
        <v>623</v>
      </c>
      <c r="S30" s="28">
        <v>4</v>
      </c>
      <c r="T30" s="28">
        <v>3133.3665762499804</v>
      </c>
      <c r="U30" s="28">
        <v>783.34164406249511</v>
      </c>
      <c r="V30" s="28">
        <v>13.731006271389626</v>
      </c>
      <c r="W30" s="28">
        <v>1.4964731310688181E-6</v>
      </c>
    </row>
    <row r="31" spans="1:23">
      <c r="A31">
        <v>10</v>
      </c>
      <c r="B31">
        <v>33</v>
      </c>
      <c r="C31">
        <v>0</v>
      </c>
      <c r="D31">
        <v>0</v>
      </c>
      <c r="E31">
        <v>0</v>
      </c>
      <c r="F31">
        <f t="shared" si="0"/>
        <v>0</v>
      </c>
      <c r="G31">
        <f t="shared" si="1"/>
        <v>0</v>
      </c>
      <c r="H31">
        <f t="shared" si="2"/>
        <v>0</v>
      </c>
      <c r="J31" s="636" t="s">
        <v>887</v>
      </c>
      <c r="K31" s="636" t="s">
        <v>186</v>
      </c>
      <c r="L31" s="636" t="s">
        <v>578</v>
      </c>
      <c r="M31" s="636" t="s">
        <v>641</v>
      </c>
      <c r="N31" s="636" t="s">
        <v>388</v>
      </c>
      <c r="O31" s="636" t="s">
        <v>698</v>
      </c>
      <c r="R31" s="28" t="s">
        <v>696</v>
      </c>
      <c r="S31" s="28">
        <v>31</v>
      </c>
      <c r="T31" s="28">
        <v>1768.5223126389094</v>
      </c>
      <c r="U31" s="28">
        <v>57.049106859319657</v>
      </c>
      <c r="V31" s="28"/>
      <c r="W31" s="28"/>
    </row>
    <row r="32" spans="1:23" ht="15" thickBot="1">
      <c r="A32">
        <v>19</v>
      </c>
      <c r="B32">
        <v>34.200000000000003</v>
      </c>
      <c r="C32">
        <v>0</v>
      </c>
      <c r="D32">
        <v>0</v>
      </c>
      <c r="E32">
        <v>0</v>
      </c>
      <c r="F32">
        <f t="shared" si="0"/>
        <v>0</v>
      </c>
      <c r="G32">
        <f t="shared" si="1"/>
        <v>0</v>
      </c>
      <c r="H32">
        <f t="shared" si="2"/>
        <v>0</v>
      </c>
      <c r="J32" t="s">
        <v>1648</v>
      </c>
      <c r="K32">
        <f>K7-K19</f>
        <v>1</v>
      </c>
      <c r="L32">
        <f>L7-L19</f>
        <v>1678.3526873610904</v>
      </c>
      <c r="M32" s="28">
        <f>L32/K32</f>
        <v>1678.3526873610904</v>
      </c>
      <c r="N32" s="28">
        <f>M32/M34</f>
        <v>29.419438440987815</v>
      </c>
      <c r="O32" s="28">
        <f>FDIST(N32,K32,K34)</f>
        <v>6.3670620361677781E-6</v>
      </c>
      <c r="R32" s="31" t="s">
        <v>12</v>
      </c>
      <c r="S32" s="31">
        <v>35</v>
      </c>
      <c r="T32" s="31">
        <v>4901.8888888888896</v>
      </c>
      <c r="U32" s="31"/>
      <c r="V32" s="31"/>
      <c r="W32" s="31"/>
    </row>
    <row r="33" spans="1:24" ht="15" thickBot="1">
      <c r="A33">
        <v>18</v>
      </c>
      <c r="B33">
        <v>43.2</v>
      </c>
      <c r="C33">
        <v>0</v>
      </c>
      <c r="D33">
        <v>0</v>
      </c>
      <c r="E33">
        <v>0</v>
      </c>
      <c r="F33">
        <f t="shared" si="0"/>
        <v>0</v>
      </c>
      <c r="G33">
        <f t="shared" si="1"/>
        <v>0</v>
      </c>
      <c r="H33">
        <f t="shared" si="2"/>
        <v>0</v>
      </c>
      <c r="J33" s="28" t="s">
        <v>1649</v>
      </c>
      <c r="K33" s="28">
        <f>K7-K25</f>
        <v>3</v>
      </c>
      <c r="L33" s="28">
        <f>L7-L25</f>
        <v>571.02988334509655</v>
      </c>
      <c r="M33" s="28">
        <f>L33/K33</f>
        <v>190.34329444836553</v>
      </c>
      <c r="N33" s="28">
        <f>M33/M34</f>
        <v>3.3364815845012772</v>
      </c>
      <c r="O33" s="28">
        <f>FDIST(N33,K33,K34)</f>
        <v>3.1940102263091678E-2</v>
      </c>
    </row>
    <row r="34" spans="1:24">
      <c r="A34">
        <v>14</v>
      </c>
      <c r="B34">
        <v>20</v>
      </c>
      <c r="C34">
        <v>0</v>
      </c>
      <c r="D34">
        <v>0</v>
      </c>
      <c r="E34">
        <v>0</v>
      </c>
      <c r="F34">
        <f t="shared" si="0"/>
        <v>0</v>
      </c>
      <c r="G34">
        <f t="shared" si="1"/>
        <v>0</v>
      </c>
      <c r="H34">
        <f t="shared" si="2"/>
        <v>0</v>
      </c>
      <c r="J34" s="28" t="s">
        <v>696</v>
      </c>
      <c r="K34" s="28">
        <f>K8</f>
        <v>31</v>
      </c>
      <c r="L34" s="28">
        <f>L8</f>
        <v>1768.5223126389094</v>
      </c>
      <c r="M34" s="28">
        <f>L34/K34</f>
        <v>57.049106859319657</v>
      </c>
      <c r="N34" s="28"/>
      <c r="O34" s="28"/>
      <c r="R34" s="636"/>
      <c r="S34" s="636" t="s">
        <v>699</v>
      </c>
      <c r="T34" s="636" t="s">
        <v>77</v>
      </c>
      <c r="U34" s="636" t="s">
        <v>229</v>
      </c>
      <c r="V34" s="636" t="s">
        <v>367</v>
      </c>
      <c r="W34" s="636" t="s">
        <v>700</v>
      </c>
      <c r="X34" s="636" t="s">
        <v>701</v>
      </c>
    </row>
    <row r="35" spans="1:24" ht="15" thickBot="1">
      <c r="A35">
        <v>8</v>
      </c>
      <c r="B35">
        <v>37</v>
      </c>
      <c r="C35">
        <v>0</v>
      </c>
      <c r="D35">
        <v>0</v>
      </c>
      <c r="E35">
        <v>0</v>
      </c>
      <c r="F35">
        <f t="shared" si="0"/>
        <v>0</v>
      </c>
      <c r="G35">
        <f t="shared" si="1"/>
        <v>0</v>
      </c>
      <c r="H35">
        <f t="shared" si="2"/>
        <v>0</v>
      </c>
      <c r="J35" s="31" t="s">
        <v>12</v>
      </c>
      <c r="K35" s="31">
        <f>K9</f>
        <v>35</v>
      </c>
      <c r="L35" s="31">
        <f>L9</f>
        <v>4901.8888888888896</v>
      </c>
      <c r="M35" s="31"/>
      <c r="N35" s="31"/>
      <c r="O35" s="31"/>
      <c r="R35" s="28" t="s">
        <v>697</v>
      </c>
      <c r="S35" s="28">
        <v>2.856677552882414</v>
      </c>
      <c r="T35" s="28">
        <v>3.3763043714517851</v>
      </c>
      <c r="U35" s="28">
        <v>0.8460959790938708</v>
      </c>
      <c r="V35" s="28">
        <v>0.40398325617209507</v>
      </c>
      <c r="W35" s="28">
        <v>-4.0293406118204746</v>
      </c>
      <c r="X35" s="28">
        <v>9.7426957175853026</v>
      </c>
    </row>
    <row r="36" spans="1:24">
      <c r="A36">
        <v>7</v>
      </c>
      <c r="B36">
        <v>28.2</v>
      </c>
      <c r="C36">
        <v>0</v>
      </c>
      <c r="D36">
        <v>0</v>
      </c>
      <c r="E36">
        <v>0</v>
      </c>
      <c r="F36">
        <f t="shared" si="0"/>
        <v>0</v>
      </c>
      <c r="G36">
        <f t="shared" si="1"/>
        <v>0</v>
      </c>
      <c r="H36">
        <f t="shared" si="2"/>
        <v>0</v>
      </c>
      <c r="R36" s="28" t="s">
        <v>28</v>
      </c>
      <c r="S36" s="28">
        <v>0.32253482300317932</v>
      </c>
      <c r="T36" s="28">
        <v>5.946472591854892E-2</v>
      </c>
      <c r="U36" s="28">
        <v>5.4239688827451662</v>
      </c>
      <c r="V36" s="28">
        <v>6.3670620361677307E-6</v>
      </c>
      <c r="W36" s="28">
        <v>0.20125571490602179</v>
      </c>
      <c r="X36" s="28">
        <v>0.44381393110033684</v>
      </c>
    </row>
    <row r="37" spans="1:24">
      <c r="A37">
        <v>19</v>
      </c>
      <c r="B37">
        <v>46.400000000000006</v>
      </c>
      <c r="C37">
        <v>0</v>
      </c>
      <c r="D37">
        <v>0</v>
      </c>
      <c r="E37">
        <v>0</v>
      </c>
      <c r="F37">
        <f t="shared" si="0"/>
        <v>0</v>
      </c>
      <c r="G37">
        <f t="shared" si="1"/>
        <v>0</v>
      </c>
      <c r="H37">
        <f t="shared" si="2"/>
        <v>0</v>
      </c>
      <c r="R37" s="28" t="s">
        <v>989</v>
      </c>
      <c r="S37" s="28">
        <v>5.1857522742588777</v>
      </c>
      <c r="T37" s="28">
        <v>3.5996349990324723</v>
      </c>
      <c r="U37" s="28">
        <v>1.4406328073965082</v>
      </c>
      <c r="V37" s="28">
        <v>0.15971307178846195</v>
      </c>
      <c r="W37" s="28">
        <v>-2.1557517083869717</v>
      </c>
      <c r="X37" s="28">
        <v>12.527256256904728</v>
      </c>
    </row>
    <row r="38" spans="1:24" ht="15" thickBot="1">
      <c r="A38">
        <v>25</v>
      </c>
      <c r="B38">
        <v>64.900000000000006</v>
      </c>
      <c r="C38">
        <v>0</v>
      </c>
      <c r="D38">
        <v>0</v>
      </c>
      <c r="E38">
        <v>0</v>
      </c>
      <c r="F38">
        <f t="shared" si="0"/>
        <v>0</v>
      </c>
      <c r="G38">
        <f t="shared" si="1"/>
        <v>0</v>
      </c>
      <c r="H38">
        <f t="shared" si="2"/>
        <v>0</v>
      </c>
      <c r="J38" t="s">
        <v>1653</v>
      </c>
      <c r="R38" s="28" t="s">
        <v>990</v>
      </c>
      <c r="S38" s="28">
        <v>11.456567675888499</v>
      </c>
      <c r="T38" s="28">
        <v>3.7774692134876644</v>
      </c>
      <c r="U38" s="28">
        <v>3.0328685763955892</v>
      </c>
      <c r="V38" s="28">
        <v>4.8651077362410929E-3</v>
      </c>
      <c r="W38" s="28">
        <v>3.7523684216319424</v>
      </c>
      <c r="X38" s="28">
        <v>19.160766930145055</v>
      </c>
    </row>
    <row r="39" spans="1:24" ht="15" thickBot="1">
      <c r="A39" s="534">
        <v>26</v>
      </c>
      <c r="B39" s="534">
        <v>59.4</v>
      </c>
      <c r="C39" s="534">
        <v>0</v>
      </c>
      <c r="D39" s="534">
        <v>0</v>
      </c>
      <c r="E39" s="534">
        <v>0</v>
      </c>
      <c r="F39" s="534">
        <f t="shared" si="0"/>
        <v>0</v>
      </c>
      <c r="G39" s="534">
        <f t="shared" si="1"/>
        <v>0</v>
      </c>
      <c r="H39" s="534">
        <f t="shared" si="2"/>
        <v>0</v>
      </c>
      <c r="J39" s="636" t="s">
        <v>887</v>
      </c>
      <c r="K39" s="636" t="s">
        <v>186</v>
      </c>
      <c r="L39" s="636" t="s">
        <v>578</v>
      </c>
      <c r="M39" s="636" t="s">
        <v>641</v>
      </c>
      <c r="N39" s="636" t="s">
        <v>388</v>
      </c>
      <c r="O39" s="636" t="s">
        <v>698</v>
      </c>
      <c r="R39" s="31" t="s">
        <v>1084</v>
      </c>
      <c r="S39" s="31">
        <v>2.7359617960768428</v>
      </c>
      <c r="T39" s="31">
        <v>3.4343107914459856</v>
      </c>
      <c r="U39" s="31">
        <v>0.79665527152971816</v>
      </c>
      <c r="V39" s="31">
        <v>0.43171050712537717</v>
      </c>
      <c r="W39" s="31">
        <v>-4.2683612421815358</v>
      </c>
      <c r="X39" s="31">
        <v>9.7402848343352204</v>
      </c>
    </row>
    <row r="40" spans="1:24">
      <c r="J40" s="28" t="s">
        <v>1642</v>
      </c>
      <c r="K40" s="28">
        <f>K33</f>
        <v>3</v>
      </c>
      <c r="L40" s="28">
        <f>L33</f>
        <v>571.02988334509655</v>
      </c>
      <c r="M40" s="28">
        <f>L40/K40</f>
        <v>190.34329444836553</v>
      </c>
      <c r="N40" s="28">
        <f>M40/M41</f>
        <v>3.3364815845012772</v>
      </c>
      <c r="O40" s="28">
        <f>FDIST(N40,K40,K41)</f>
        <v>3.1940102263091678E-2</v>
      </c>
    </row>
    <row r="41" spans="1:24" ht="15.6">
      <c r="A41" t="s">
        <v>1639</v>
      </c>
      <c r="B41" s="756">
        <f>DEVSQ(B4:B39)</f>
        <v>18030.609722222227</v>
      </c>
      <c r="J41" s="28" t="s">
        <v>696</v>
      </c>
      <c r="K41" s="28">
        <f>K34</f>
        <v>31</v>
      </c>
      <c r="L41" s="28">
        <f>L34</f>
        <v>1768.5223126389094</v>
      </c>
      <c r="M41" s="28">
        <f>L41/K41</f>
        <v>57.049106859319657</v>
      </c>
      <c r="N41" s="28"/>
      <c r="O41" s="28"/>
    </row>
    <row r="42" spans="1:24" ht="15" thickBot="1">
      <c r="F42" s="102"/>
      <c r="J42" s="31" t="s">
        <v>1644</v>
      </c>
      <c r="K42" s="31">
        <f>K40+K41</f>
        <v>34</v>
      </c>
      <c r="L42" s="31">
        <f>T32-B43^2*B41</f>
        <v>2339.5521959840053</v>
      </c>
      <c r="M42" s="31"/>
      <c r="N42" s="31"/>
      <c r="O42" s="31"/>
      <c r="R42" t="s">
        <v>1645</v>
      </c>
    </row>
    <row r="43" spans="1:24" ht="16.2" thickBot="1">
      <c r="A43" t="s">
        <v>1641</v>
      </c>
      <c r="B43" s="756">
        <f>SLOPE(A4:A39,B4:B39)</f>
        <v>0.37697529640759825</v>
      </c>
    </row>
    <row r="44" spans="1:24">
      <c r="R44" s="35" t="s">
        <v>692</v>
      </c>
      <c r="S44" s="35"/>
    </row>
    <row r="45" spans="1:24" ht="15" thickBot="1">
      <c r="A45" s="1" t="s">
        <v>1661</v>
      </c>
      <c r="J45" t="s">
        <v>1660</v>
      </c>
      <c r="R45" s="28" t="s">
        <v>693</v>
      </c>
      <c r="S45" s="28">
        <v>0.32436576379192761</v>
      </c>
    </row>
    <row r="46" spans="1:24" ht="15" thickBot="1">
      <c r="J46" s="636" t="s">
        <v>887</v>
      </c>
      <c r="K46" s="636" t="s">
        <v>186</v>
      </c>
      <c r="L46" s="636" t="s">
        <v>578</v>
      </c>
      <c r="M46" s="636" t="s">
        <v>641</v>
      </c>
      <c r="N46" s="636" t="s">
        <v>388</v>
      </c>
      <c r="O46" s="636" t="s">
        <v>698</v>
      </c>
      <c r="R46" s="28" t="s">
        <v>686</v>
      </c>
      <c r="S46" s="28">
        <v>0.10521314872032059</v>
      </c>
    </row>
    <row r="47" spans="1:24">
      <c r="A47" s="636" t="s">
        <v>1643</v>
      </c>
      <c r="B47" s="636" t="s">
        <v>779</v>
      </c>
      <c r="C47" s="636" t="s">
        <v>778</v>
      </c>
      <c r="D47" s="636" t="s">
        <v>1667</v>
      </c>
      <c r="J47" s="28" t="s">
        <v>1642</v>
      </c>
      <c r="K47" s="28">
        <f>K7-1</f>
        <v>3</v>
      </c>
      <c r="L47" s="28">
        <f>L49-L48</f>
        <v>571.02988334509587</v>
      </c>
      <c r="M47" s="28">
        <f>L47/K47</f>
        <v>190.3432944483653</v>
      </c>
      <c r="N47" s="28">
        <f>M47/M48</f>
        <v>3.3364815845012732</v>
      </c>
      <c r="O47" s="28">
        <f>FDIST(N47,K47,K48)</f>
        <v>3.1940102263091824E-2</v>
      </c>
      <c r="R47" s="28" t="s">
        <v>694</v>
      </c>
      <c r="S47" s="28">
        <v>2.1326881412850648E-2</v>
      </c>
    </row>
    <row r="48" spans="1:24">
      <c r="A48" s="635" t="s">
        <v>139</v>
      </c>
      <c r="B48">
        <f>AVERAGE(A4:A11)</f>
        <v>22.875</v>
      </c>
      <c r="C48">
        <f>AVERAGE(B4:B11)</f>
        <v>45.987499999999997</v>
      </c>
      <c r="D48">
        <f>B48-$S$36*(C48-C$52)</f>
        <v>23.783025119760339</v>
      </c>
      <c r="J48" s="28" t="s">
        <v>696</v>
      </c>
      <c r="K48" s="28">
        <f>K34</f>
        <v>31</v>
      </c>
      <c r="L48" s="28">
        <f>L34</f>
        <v>1768.5223126389094</v>
      </c>
      <c r="M48" s="28">
        <f>L48/K48</f>
        <v>57.049106859319657</v>
      </c>
      <c r="N48" s="28"/>
      <c r="O48" s="28"/>
      <c r="R48" s="28" t="s">
        <v>77</v>
      </c>
      <c r="S48" s="28">
        <v>22.453808488205294</v>
      </c>
    </row>
    <row r="49" spans="1:23" ht="15" thickBot="1">
      <c r="A49" s="635" t="s">
        <v>140</v>
      </c>
      <c r="B49">
        <f>AVERAGE(A12:A19)</f>
        <v>33.75</v>
      </c>
      <c r="C49">
        <f>AVERAGE(B12:B19)</f>
        <v>60.262500000000003</v>
      </c>
      <c r="D49">
        <f>B49-$S$36*(C49-C$52)</f>
        <v>30.053840521389954</v>
      </c>
      <c r="J49" s="31" t="s">
        <v>1644</v>
      </c>
      <c r="K49" s="31">
        <f>K47+K48</f>
        <v>34</v>
      </c>
      <c r="L49" s="31">
        <f>L9-B43^2*B41</f>
        <v>2339.5521959840053</v>
      </c>
      <c r="M49" s="31"/>
      <c r="N49" s="31"/>
      <c r="O49" s="31"/>
      <c r="R49" s="31" t="s">
        <v>224</v>
      </c>
      <c r="S49" s="31">
        <v>36</v>
      </c>
    </row>
    <row r="50" spans="1:23">
      <c r="A50" s="635" t="s">
        <v>150</v>
      </c>
      <c r="B50">
        <f>AVERAGE(A20:A29)</f>
        <v>21.9</v>
      </c>
      <c r="C50">
        <f>AVERAGE(B20:B29)</f>
        <v>50.559999999999995</v>
      </c>
      <c r="D50">
        <f>B50-$S$36*(C50-C$52)</f>
        <v>21.333234641578301</v>
      </c>
    </row>
    <row r="51" spans="1:23" ht="15" thickBot="1">
      <c r="A51" s="688" t="s">
        <v>151</v>
      </c>
      <c r="B51" s="31">
        <f>AVERAGE(A30:A39)</f>
        <v>15.8</v>
      </c>
      <c r="C51" s="31">
        <f>AVERAGE(B30:B39)</f>
        <v>40.129999999999995</v>
      </c>
      <c r="D51" s="31">
        <f>B51-$S$36*(C51-C$52)</f>
        <v>18.597272845501465</v>
      </c>
      <c r="R51" t="s">
        <v>695</v>
      </c>
    </row>
    <row r="52" spans="1:23">
      <c r="B52">
        <f>AVERAGE(A4:A39)</f>
        <v>23.055555555555557</v>
      </c>
      <c r="C52">
        <f>AVERAGE(B4:B39)</f>
        <v>48.802777777777777</v>
      </c>
      <c r="D52">
        <f>AVERAGE(D48:D51)</f>
        <v>23.441843282057516</v>
      </c>
      <c r="J52" s="1" t="s">
        <v>1692</v>
      </c>
      <c r="R52" s="636"/>
      <c r="S52" s="636" t="s">
        <v>186</v>
      </c>
      <c r="T52" s="636" t="s">
        <v>578</v>
      </c>
      <c r="U52" s="636" t="s">
        <v>641</v>
      </c>
      <c r="V52" s="636" t="s">
        <v>388</v>
      </c>
      <c r="W52" s="636" t="s">
        <v>698</v>
      </c>
    </row>
    <row r="53" spans="1:23">
      <c r="R53" s="28" t="s">
        <v>623</v>
      </c>
      <c r="S53" s="28">
        <v>3</v>
      </c>
      <c r="T53" s="28">
        <v>1897.0572222222254</v>
      </c>
      <c r="U53" s="28">
        <v>632.35240740740846</v>
      </c>
      <c r="V53" s="28">
        <v>1.2542356704784683</v>
      </c>
      <c r="W53" s="28">
        <v>0.30655018520822414</v>
      </c>
    </row>
    <row r="54" spans="1:23" ht="15" thickBot="1">
      <c r="J54" t="s">
        <v>1686</v>
      </c>
      <c r="R54" s="28" t="s">
        <v>696</v>
      </c>
      <c r="S54" s="28">
        <v>32</v>
      </c>
      <c r="T54" s="28">
        <v>16133.552500000002</v>
      </c>
      <c r="U54" s="28">
        <v>504.17351562500005</v>
      </c>
      <c r="V54" s="28"/>
      <c r="W54" s="28"/>
    </row>
    <row r="55" spans="1:23" ht="15" thickBot="1">
      <c r="A55" s="636" t="s">
        <v>1643</v>
      </c>
      <c r="B55" s="636" t="s">
        <v>779</v>
      </c>
      <c r="C55" s="636" t="s">
        <v>1662</v>
      </c>
      <c r="R55" s="31" t="s">
        <v>12</v>
      </c>
      <c r="S55" s="31">
        <v>35</v>
      </c>
      <c r="T55" s="31">
        <v>18030.609722222227</v>
      </c>
      <c r="U55" s="31"/>
      <c r="V55" s="31"/>
      <c r="W55" s="31"/>
    </row>
    <row r="56" spans="1:23">
      <c r="A56" s="635" t="s">
        <v>139</v>
      </c>
      <c r="B56">
        <f>AVERAGE(A4:A11)</f>
        <v>22.875</v>
      </c>
      <c r="C56">
        <f>C59+S37</f>
        <v>23.783025119760339</v>
      </c>
      <c r="J56" t="s">
        <v>1684</v>
      </c>
      <c r="K56" s="542">
        <f>L33/L35</f>
        <v>0.11649180474886933</v>
      </c>
    </row>
    <row r="57" spans="1:23">
      <c r="A57" s="635" t="s">
        <v>140</v>
      </c>
      <c r="B57">
        <f>AVERAGE(A12:A19)</f>
        <v>33.75</v>
      </c>
      <c r="C57">
        <f>C59+S38</f>
        <v>30.053840521389958</v>
      </c>
      <c r="J57" t="s">
        <v>1685</v>
      </c>
      <c r="K57" s="544">
        <f>L33/(L33+L34)</f>
        <v>0.24407657342516512</v>
      </c>
    </row>
    <row r="58" spans="1:23">
      <c r="A58" s="635" t="s">
        <v>150</v>
      </c>
      <c r="B58">
        <f>AVERAGE(A20:A29)</f>
        <v>21.9</v>
      </c>
      <c r="C58">
        <f>C59+S39</f>
        <v>21.333234641578304</v>
      </c>
      <c r="R58" t="s">
        <v>1646</v>
      </c>
    </row>
    <row r="59" spans="1:23" ht="15" thickBot="1">
      <c r="A59" s="688" t="s">
        <v>151</v>
      </c>
      <c r="B59" s="31">
        <f>AVERAGE(A30:A39)</f>
        <v>15.8</v>
      </c>
      <c r="C59" s="31">
        <f>S35+C52*S36</f>
        <v>18.597272845501461</v>
      </c>
      <c r="J59" t="s">
        <v>1687</v>
      </c>
    </row>
    <row r="60" spans="1:23">
      <c r="B60">
        <f>AVERAGE(A12:A48)</f>
        <v>23.107142857142858</v>
      </c>
      <c r="C60">
        <f>AVERAGE(C56:C59)</f>
        <v>23.441843282057516</v>
      </c>
      <c r="R60" s="35" t="s">
        <v>692</v>
      </c>
      <c r="S60" s="35"/>
    </row>
    <row r="61" spans="1:23">
      <c r="J61" t="s">
        <v>1684</v>
      </c>
      <c r="K61" s="542">
        <f>L32/L35</f>
        <v>0.34238896992655465</v>
      </c>
      <c r="R61" s="28" t="s">
        <v>693</v>
      </c>
      <c r="S61" s="28">
        <v>0.54481848977319036</v>
      </c>
    </row>
    <row r="62" spans="1:23">
      <c r="J62" t="s">
        <v>1685</v>
      </c>
      <c r="K62" s="544">
        <f>L32/(L32+L34)</f>
        <v>0.48692009062153119</v>
      </c>
      <c r="R62" s="28" t="s">
        <v>686</v>
      </c>
      <c r="S62" s="28">
        <v>0.29682718679873993</v>
      </c>
    </row>
    <row r="63" spans="1:23">
      <c r="R63" s="28" t="s">
        <v>694</v>
      </c>
      <c r="S63" s="28">
        <v>0.23090473556112179</v>
      </c>
    </row>
    <row r="64" spans="1:23">
      <c r="J64" t="s">
        <v>1688</v>
      </c>
      <c r="R64" s="28" t="s">
        <v>77</v>
      </c>
      <c r="S64" s="28">
        <v>10.378576190884759</v>
      </c>
    </row>
    <row r="65" spans="10:23" ht="15" thickBot="1">
      <c r="R65" s="31" t="s">
        <v>224</v>
      </c>
      <c r="S65" s="31">
        <v>36</v>
      </c>
    </row>
    <row r="66" spans="10:23">
      <c r="J66" t="s">
        <v>368</v>
      </c>
      <c r="K66" s="655">
        <f>SQRT(U36^2/(U36^2+S31))</f>
        <v>0.69779659688302542</v>
      </c>
    </row>
    <row r="67" spans="10:23" ht="15" thickBot="1">
      <c r="R67" t="s">
        <v>695</v>
      </c>
    </row>
    <row r="68" spans="10:23">
      <c r="R68" s="636"/>
      <c r="S68" s="636" t="s">
        <v>186</v>
      </c>
      <c r="T68" s="636" t="s">
        <v>578</v>
      </c>
      <c r="U68" s="636" t="s">
        <v>641</v>
      </c>
      <c r="V68" s="636" t="s">
        <v>388</v>
      </c>
      <c r="W68" s="636" t="s">
        <v>698</v>
      </c>
    </row>
    <row r="69" spans="10:23">
      <c r="R69" s="28" t="s">
        <v>623</v>
      </c>
      <c r="S69" s="28">
        <v>3</v>
      </c>
      <c r="T69" s="28">
        <v>1455.0138888888901</v>
      </c>
      <c r="U69" s="28">
        <v>485.00462962963002</v>
      </c>
      <c r="V69" s="28">
        <v>4.5026721735334654</v>
      </c>
      <c r="W69" s="28">
        <v>9.5805875705777723E-3</v>
      </c>
    </row>
    <row r="70" spans="10:23">
      <c r="R70" s="28" t="s">
        <v>696</v>
      </c>
      <c r="S70" s="28">
        <v>32</v>
      </c>
      <c r="T70" s="28">
        <v>3446.8749999999995</v>
      </c>
      <c r="U70" s="28">
        <v>107.71484374999999</v>
      </c>
      <c r="V70" s="28"/>
      <c r="W70" s="28"/>
    </row>
    <row r="71" spans="10:23" ht="15" thickBot="1">
      <c r="R71" s="31" t="s">
        <v>12</v>
      </c>
      <c r="S71" s="31">
        <v>35</v>
      </c>
      <c r="T71" s="31">
        <v>4901.8888888888896</v>
      </c>
      <c r="U71" s="31"/>
      <c r="V71" s="31"/>
      <c r="W71" s="31"/>
    </row>
    <row r="74" spans="10:23">
      <c r="R74" t="s">
        <v>1647</v>
      </c>
    </row>
    <row r="75" spans="10:23" ht="15" thickBot="1"/>
    <row r="76" spans="10:23">
      <c r="R76" s="35" t="s">
        <v>692</v>
      </c>
      <c r="S76" s="35"/>
    </row>
    <row r="77" spans="10:23">
      <c r="R77" s="28" t="s">
        <v>693</v>
      </c>
      <c r="S77" s="28">
        <v>0.72299678559204206</v>
      </c>
    </row>
    <row r="78" spans="10:23">
      <c r="R78" s="28" t="s">
        <v>686</v>
      </c>
      <c r="S78" s="28">
        <v>0.52272435197642519</v>
      </c>
    </row>
    <row r="79" spans="10:23">
      <c r="R79" s="28" t="s">
        <v>694</v>
      </c>
      <c r="S79" s="28">
        <v>0.5086868329169083</v>
      </c>
    </row>
    <row r="80" spans="10:23">
      <c r="R80" s="28" t="s">
        <v>77</v>
      </c>
      <c r="S80" s="28">
        <v>8.2952009442455292</v>
      </c>
    </row>
    <row r="81" spans="18:23" ht="15" thickBot="1">
      <c r="R81" s="31" t="s">
        <v>224</v>
      </c>
      <c r="S81" s="31">
        <v>36</v>
      </c>
    </row>
    <row r="83" spans="18:23" ht="15" thickBot="1">
      <c r="R83" t="s">
        <v>695</v>
      </c>
    </row>
    <row r="84" spans="18:23">
      <c r="R84" s="636"/>
      <c r="S84" s="636" t="s">
        <v>186</v>
      </c>
      <c r="T84" s="636" t="s">
        <v>578</v>
      </c>
      <c r="U84" s="636" t="s">
        <v>641</v>
      </c>
      <c r="V84" s="636" t="s">
        <v>388</v>
      </c>
      <c r="W84" s="636" t="s">
        <v>698</v>
      </c>
    </row>
    <row r="85" spans="18:23">
      <c r="R85" s="28" t="s">
        <v>623</v>
      </c>
      <c r="S85" s="28">
        <v>1</v>
      </c>
      <c r="T85" s="28">
        <v>2562.3366929048839</v>
      </c>
      <c r="U85" s="28">
        <v>2562.3366929048839</v>
      </c>
      <c r="V85" s="28">
        <v>37.237659287239794</v>
      </c>
      <c r="W85" s="28">
        <v>6.3463662804716112E-7</v>
      </c>
    </row>
    <row r="86" spans="18:23">
      <c r="R86" s="28" t="s">
        <v>696</v>
      </c>
      <c r="S86" s="28">
        <v>34</v>
      </c>
      <c r="T86" s="28">
        <v>2339.5521959840057</v>
      </c>
      <c r="U86" s="28">
        <v>68.810358705411929</v>
      </c>
      <c r="V86" s="28"/>
      <c r="W86" s="28"/>
    </row>
    <row r="87" spans="18:23" ht="15" thickBot="1">
      <c r="R87" s="31" t="s">
        <v>12</v>
      </c>
      <c r="S87" s="31">
        <v>35</v>
      </c>
      <c r="T87" s="31">
        <v>4901.8888888888896</v>
      </c>
      <c r="U87" s="31"/>
      <c r="V87" s="31"/>
      <c r="W87" s="31"/>
    </row>
  </sheetData>
  <pageMargins left="0.7" right="0.7" top="0.75" bottom="0.75" header="0.3" footer="0.3"/>
  <ignoredErrors>
    <ignoredError sqref="B56:B57 B48:C48 B58:B59 B49:C51" formulaRange="1"/>
  </ignoredErrors>
</worksheet>
</file>

<file path=xl/worksheets/sheet290.xml><?xml version="1.0" encoding="utf-8"?>
<worksheet xmlns="http://schemas.openxmlformats.org/spreadsheetml/2006/main" xmlns:r="http://schemas.openxmlformats.org/officeDocument/2006/relationships">
  <sheetPr codeName="Sheet187"/>
  <dimension ref="A1:AA57"/>
  <sheetViews>
    <sheetView workbookViewId="0"/>
  </sheetViews>
  <sheetFormatPr defaultRowHeight="14.4"/>
  <cols>
    <col min="1" max="1" width="5.88671875" customWidth="1"/>
    <col min="2" max="5" width="10.109375" customWidth="1"/>
    <col min="6" max="6" width="10.6640625" customWidth="1"/>
    <col min="7" max="11" width="10.109375" customWidth="1"/>
    <col min="13" max="13" width="17.33203125" customWidth="1"/>
    <col min="18" max="18" width="9.109375" customWidth="1"/>
    <col min="21" max="21" width="16.6640625" customWidth="1"/>
    <col min="27" max="27" width="12" bestFit="1" customWidth="1"/>
  </cols>
  <sheetData>
    <row r="1" spans="1:27">
      <c r="A1" s="1" t="s">
        <v>1691</v>
      </c>
    </row>
    <row r="3" spans="1:27" ht="15" thickBot="1">
      <c r="B3" t="s">
        <v>1671</v>
      </c>
      <c r="G3" t="s">
        <v>1672</v>
      </c>
      <c r="M3" t="s">
        <v>1677</v>
      </c>
      <c r="U3" t="s">
        <v>1670</v>
      </c>
    </row>
    <row r="4" spans="1:27">
      <c r="M4" s="636" t="s">
        <v>887</v>
      </c>
      <c r="N4" s="636" t="s">
        <v>578</v>
      </c>
      <c r="O4" s="636" t="s">
        <v>186</v>
      </c>
      <c r="P4" s="636" t="s">
        <v>641</v>
      </c>
      <c r="Q4" s="636" t="s">
        <v>388</v>
      </c>
      <c r="R4" s="636" t="s">
        <v>367</v>
      </c>
      <c r="S4" s="636" t="s">
        <v>888</v>
      </c>
    </row>
    <row r="5" spans="1:27" ht="15" thickBot="1">
      <c r="B5" s="687" t="s">
        <v>139</v>
      </c>
      <c r="C5" s="687" t="s">
        <v>140</v>
      </c>
      <c r="D5" s="687" t="s">
        <v>150</v>
      </c>
      <c r="E5" s="689" t="s">
        <v>151</v>
      </c>
      <c r="G5" s="687" t="s">
        <v>139</v>
      </c>
      <c r="H5" s="687" t="s">
        <v>140</v>
      </c>
      <c r="I5" s="687" t="s">
        <v>150</v>
      </c>
      <c r="J5" s="689" t="s">
        <v>151</v>
      </c>
      <c r="K5" s="691"/>
      <c r="M5" s="28" t="s">
        <v>883</v>
      </c>
      <c r="N5" s="28">
        <v>1455.0138888888878</v>
      </c>
      <c r="O5" s="28">
        <v>3</v>
      </c>
      <c r="P5" s="28">
        <v>485.00462962962928</v>
      </c>
      <c r="Q5" s="28">
        <v>4.5026721735334574</v>
      </c>
      <c r="R5" s="28">
        <v>9.5805875705778556E-3</v>
      </c>
      <c r="S5" s="28">
        <v>2.9011195838408388</v>
      </c>
      <c r="U5" t="s">
        <v>194</v>
      </c>
    </row>
    <row r="6" spans="1:27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M6" s="28" t="s">
        <v>884</v>
      </c>
      <c r="N6" s="28">
        <v>3446.875</v>
      </c>
      <c r="O6" s="28">
        <v>32</v>
      </c>
      <c r="P6" s="28">
        <v>107.71484375</v>
      </c>
      <c r="Q6" s="28"/>
      <c r="R6" s="28"/>
      <c r="S6" s="28"/>
      <c r="U6" s="636" t="s">
        <v>222</v>
      </c>
      <c r="V6" s="636" t="s">
        <v>88</v>
      </c>
      <c r="W6" s="636" t="s">
        <v>87</v>
      </c>
      <c r="X6" s="636" t="s">
        <v>886</v>
      </c>
      <c r="Y6" s="636" t="s">
        <v>223</v>
      </c>
    </row>
    <row r="7" spans="1:27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  <c r="M7" s="28"/>
      <c r="N7" s="28"/>
      <c r="O7" s="28"/>
      <c r="P7" s="28"/>
      <c r="Q7" s="28"/>
      <c r="R7" s="28"/>
      <c r="S7" s="28"/>
      <c r="U7" s="28" t="s">
        <v>139</v>
      </c>
      <c r="V7" s="28">
        <v>8</v>
      </c>
      <c r="W7" s="28">
        <v>183</v>
      </c>
      <c r="X7" s="28">
        <v>22.875</v>
      </c>
      <c r="Y7" s="28">
        <v>134.125</v>
      </c>
    </row>
    <row r="8" spans="1:27" ht="15" thickBot="1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M8" s="31" t="s">
        <v>12</v>
      </c>
      <c r="N8" s="31">
        <v>4901.8888888888878</v>
      </c>
      <c r="O8" s="31">
        <v>35</v>
      </c>
      <c r="P8" s="31"/>
      <c r="Q8" s="31"/>
      <c r="R8" s="31"/>
      <c r="S8" s="31"/>
      <c r="U8" s="28" t="s">
        <v>140</v>
      </c>
      <c r="V8" s="28">
        <v>8</v>
      </c>
      <c r="W8" s="28">
        <v>270</v>
      </c>
      <c r="X8" s="28">
        <v>33.75</v>
      </c>
      <c r="Y8" s="28">
        <v>164.78571428571428</v>
      </c>
    </row>
    <row r="9" spans="1:27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U9" s="28" t="s">
        <v>150</v>
      </c>
      <c r="V9" s="28">
        <v>10</v>
      </c>
      <c r="W9" s="28">
        <v>219</v>
      </c>
      <c r="X9" s="28">
        <v>21.9</v>
      </c>
      <c r="Y9" s="28">
        <v>105.65555555555551</v>
      </c>
    </row>
    <row r="10" spans="1:27" ht="15" thickBot="1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  <c r="U10" s="31" t="s">
        <v>151</v>
      </c>
      <c r="V10" s="31">
        <v>10</v>
      </c>
      <c r="W10" s="31">
        <v>158</v>
      </c>
      <c r="X10" s="31">
        <v>15.8</v>
      </c>
      <c r="Y10" s="31">
        <v>44.844444444444434</v>
      </c>
    </row>
    <row r="11" spans="1:27" ht="15" thickBot="1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M11" t="s">
        <v>1678</v>
      </c>
    </row>
    <row r="12" spans="1:27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M12" s="636" t="s">
        <v>887</v>
      </c>
      <c r="N12" s="636" t="s">
        <v>578</v>
      </c>
      <c r="O12" s="636" t="s">
        <v>186</v>
      </c>
      <c r="P12" s="636" t="s">
        <v>641</v>
      </c>
      <c r="Q12" s="636" t="s">
        <v>388</v>
      </c>
      <c r="R12" s="636" t="s">
        <v>367</v>
      </c>
      <c r="S12" s="636" t="s">
        <v>888</v>
      </c>
    </row>
    <row r="13" spans="1:27" ht="15" thickBot="1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M13" s="28" t="s">
        <v>883</v>
      </c>
      <c r="N13" s="28">
        <v>1897.0572222222163</v>
      </c>
      <c r="O13" s="28">
        <v>3</v>
      </c>
      <c r="P13" s="28">
        <v>632.35240740740539</v>
      </c>
      <c r="Q13" s="28">
        <v>1.2542356704784621</v>
      </c>
      <c r="R13" s="28">
        <v>0.30655018520822608</v>
      </c>
      <c r="S13" s="28">
        <v>2.9011195838408388</v>
      </c>
      <c r="U13" t="s">
        <v>695</v>
      </c>
    </row>
    <row r="14" spans="1:27">
      <c r="D14">
        <v>31</v>
      </c>
      <c r="E14">
        <v>25</v>
      </c>
      <c r="I14">
        <v>80</v>
      </c>
      <c r="J14">
        <v>64.900000000000006</v>
      </c>
      <c r="M14" s="28" t="s">
        <v>884</v>
      </c>
      <c r="N14" s="28">
        <v>16133.552500000003</v>
      </c>
      <c r="O14" s="28">
        <v>32</v>
      </c>
      <c r="P14" s="28">
        <v>504.17351562500011</v>
      </c>
      <c r="Q14" s="28"/>
      <c r="R14" s="28"/>
      <c r="S14" s="28"/>
      <c r="U14" s="636" t="s">
        <v>887</v>
      </c>
      <c r="V14" s="636" t="s">
        <v>578</v>
      </c>
      <c r="W14" s="636" t="s">
        <v>186</v>
      </c>
      <c r="X14" s="636" t="s">
        <v>641</v>
      </c>
      <c r="Y14" s="636" t="s">
        <v>388</v>
      </c>
      <c r="Z14" s="636" t="s">
        <v>367</v>
      </c>
      <c r="AA14" s="636" t="s">
        <v>888</v>
      </c>
    </row>
    <row r="15" spans="1:27">
      <c r="B15" s="534"/>
      <c r="C15" s="534"/>
      <c r="D15" s="534">
        <v>13</v>
      </c>
      <c r="E15" s="534">
        <v>26</v>
      </c>
      <c r="G15" s="534"/>
      <c r="H15" s="534"/>
      <c r="I15" s="534">
        <v>41</v>
      </c>
      <c r="J15" s="534">
        <v>59.4</v>
      </c>
      <c r="K15" s="8"/>
      <c r="M15" s="28"/>
      <c r="N15" s="28"/>
      <c r="O15" s="28"/>
      <c r="P15" s="28"/>
      <c r="Q15" s="28"/>
      <c r="R15" s="28"/>
      <c r="S15" s="28"/>
      <c r="U15" s="28" t="s">
        <v>883</v>
      </c>
      <c r="V15" s="28">
        <v>1455.0138888888878</v>
      </c>
      <c r="W15" s="28">
        <v>3</v>
      </c>
      <c r="X15" s="28">
        <v>485.00462962962928</v>
      </c>
      <c r="Y15" s="28">
        <v>4.5026721735334574</v>
      </c>
      <c r="Z15" s="28">
        <v>9.5805875705778556E-3</v>
      </c>
      <c r="AA15" s="28">
        <v>2.9011195838408388</v>
      </c>
    </row>
    <row r="16" spans="1:27" ht="15" thickBot="1">
      <c r="A16" t="s">
        <v>63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  <c r="M16" s="31" t="s">
        <v>12</v>
      </c>
      <c r="N16" s="31">
        <v>18030.60972222222</v>
      </c>
      <c r="O16" s="31">
        <v>35</v>
      </c>
      <c r="P16" s="31"/>
      <c r="Q16" s="31"/>
      <c r="R16" s="31"/>
      <c r="S16" s="31"/>
      <c r="U16" s="28" t="s">
        <v>884</v>
      </c>
      <c r="V16" s="28">
        <v>3446.875</v>
      </c>
      <c r="W16" s="28">
        <v>32</v>
      </c>
      <c r="X16" s="28">
        <v>107.71484375</v>
      </c>
      <c r="Y16" s="28"/>
      <c r="Z16" s="28"/>
      <c r="AA16" s="28"/>
    </row>
    <row r="17" spans="1:27">
      <c r="A17" t="s">
        <v>66</v>
      </c>
      <c r="B17" s="534">
        <f>VAR(B6:B15)</f>
        <v>134.125</v>
      </c>
      <c r="C17" s="534">
        <f>VAR(C6:C15)</f>
        <v>164.78571428571428</v>
      </c>
      <c r="D17" s="534">
        <f>VAR(D6:D15)</f>
        <v>105.65555555555551</v>
      </c>
      <c r="E17" s="534">
        <f>VAR(E6:E15)</f>
        <v>44.844444444444434</v>
      </c>
      <c r="G17" s="534">
        <f>VAR(G6:G15)</f>
        <v>1159.0783928571432</v>
      </c>
      <c r="H17" s="534">
        <f>VAR(H6:H15)</f>
        <v>324.43410714285659</v>
      </c>
      <c r="I17" s="534">
        <f>VAR(I6:I15)</f>
        <v>449.52044444444499</v>
      </c>
      <c r="J17" s="534">
        <f>VAR(J6:J15)</f>
        <v>189.25344444444514</v>
      </c>
      <c r="K17" s="8"/>
      <c r="U17" s="28"/>
      <c r="V17" s="28"/>
      <c r="W17" s="28"/>
      <c r="X17" s="28"/>
      <c r="Y17" s="28"/>
      <c r="Z17" s="28"/>
      <c r="AA17" s="28"/>
    </row>
    <row r="18" spans="1:27" ht="15" thickBot="1">
      <c r="U18" s="31" t="s">
        <v>12</v>
      </c>
      <c r="V18" s="31">
        <v>4901.8888888888878</v>
      </c>
      <c r="W18" s="31">
        <v>35</v>
      </c>
      <c r="X18" s="31"/>
      <c r="Y18" s="31"/>
      <c r="Z18" s="31"/>
      <c r="AA18" s="31"/>
    </row>
    <row r="19" spans="1:27" ht="15" thickBot="1">
      <c r="G19" t="s">
        <v>1665</v>
      </c>
      <c r="M19" t="s">
        <v>1653</v>
      </c>
    </row>
    <row r="20" spans="1:27">
      <c r="M20" s="636" t="s">
        <v>887</v>
      </c>
      <c r="N20" s="636" t="s">
        <v>578</v>
      </c>
      <c r="O20" s="636" t="s">
        <v>186</v>
      </c>
      <c r="P20" s="636" t="s">
        <v>641</v>
      </c>
      <c r="Q20" s="636" t="s">
        <v>388</v>
      </c>
      <c r="R20" s="636" t="s">
        <v>367</v>
      </c>
    </row>
    <row r="21" spans="1:27">
      <c r="F21" t="s">
        <v>578</v>
      </c>
      <c r="G21" s="553">
        <f>DEVSQ(G6:G15)</f>
        <v>8113.5487500000008</v>
      </c>
      <c r="H21" s="666">
        <f>DEVSQ(H6:H15)</f>
        <v>2271.0387499999997</v>
      </c>
      <c r="I21" s="666">
        <f>DEVSQ(I6:I15)</f>
        <v>4045.6840000000007</v>
      </c>
      <c r="J21" s="667">
        <f>DEVSQ(J6:J15)</f>
        <v>1703.2810000000002</v>
      </c>
      <c r="K21">
        <f>SUM(G21:J21)</f>
        <v>16133.552500000003</v>
      </c>
      <c r="M21" s="28" t="s">
        <v>1674</v>
      </c>
      <c r="N21" s="28">
        <f>N24-N22</f>
        <v>571.02988334509268</v>
      </c>
      <c r="O21" s="28">
        <f>O5</f>
        <v>3</v>
      </c>
      <c r="P21" s="28">
        <f>N21/O21</f>
        <v>190.34329444836422</v>
      </c>
      <c r="Q21" s="28">
        <f>P21/P22</f>
        <v>3.336481584501255</v>
      </c>
      <c r="R21" s="28">
        <f>FDIST(Q21,O21,O22)</f>
        <v>3.1940102263092449E-2</v>
      </c>
      <c r="U21" t="s">
        <v>1673</v>
      </c>
    </row>
    <row r="22" spans="1:27">
      <c r="F22" t="s">
        <v>1650</v>
      </c>
      <c r="G22" s="656">
        <f>SLOPE(B6:B15,G6:G15)</f>
        <v>0.29192990305259459</v>
      </c>
      <c r="H22" s="8">
        <f>SLOPE(C6:C15,H6:H15)</f>
        <v>0.53985208310514299</v>
      </c>
      <c r="I22" s="8">
        <f>SLOPE(D6:D15,I6:I15)</f>
        <v>0.2348824080180261</v>
      </c>
      <c r="J22" s="657">
        <f>SLOPE(E6:E15,J6:J15)</f>
        <v>0.3867594366402255</v>
      </c>
      <c r="M22" s="28" t="s">
        <v>1675</v>
      </c>
      <c r="N22" s="28">
        <f>N6-G25^2*N14</f>
        <v>1768.5223126389089</v>
      </c>
      <c r="O22" s="28">
        <f>O6-1</f>
        <v>31</v>
      </c>
      <c r="P22" s="28">
        <f>N22/O22</f>
        <v>57.049106859319643</v>
      </c>
      <c r="Q22" s="28"/>
      <c r="R22" s="28"/>
    </row>
    <row r="23" spans="1:27" ht="15" thickBot="1">
      <c r="F23" t="s">
        <v>1669</v>
      </c>
      <c r="G23" s="533">
        <f>G21*G22</f>
        <v>2368.5875000000001</v>
      </c>
      <c r="H23" s="534">
        <f>H21*H22</f>
        <v>1226.0249999999999</v>
      </c>
      <c r="I23" s="534">
        <f>I21*I22</f>
        <v>950.26</v>
      </c>
      <c r="J23" s="541">
        <f>J21*J22</f>
        <v>658.76</v>
      </c>
      <c r="K23">
        <f>SUM(G23:J23)</f>
        <v>5203.6325000000006</v>
      </c>
      <c r="M23" s="28"/>
      <c r="N23" s="28"/>
      <c r="O23" s="28"/>
      <c r="P23" s="28"/>
      <c r="Q23" s="28"/>
      <c r="R23" s="28"/>
      <c r="U23" t="s">
        <v>194</v>
      </c>
    </row>
    <row r="24" spans="1:27" ht="15" thickBot="1">
      <c r="M24" s="31" t="s">
        <v>1644</v>
      </c>
      <c r="N24" s="31">
        <f>N8-G26^2*N16</f>
        <v>2339.5521959840016</v>
      </c>
      <c r="O24" s="31">
        <f>O21+O22</f>
        <v>34</v>
      </c>
      <c r="P24" s="31"/>
      <c r="Q24" s="31"/>
      <c r="R24" s="31"/>
      <c r="U24" s="636" t="s">
        <v>222</v>
      </c>
      <c r="V24" s="636" t="s">
        <v>88</v>
      </c>
      <c r="W24" s="636" t="s">
        <v>87</v>
      </c>
      <c r="X24" s="636" t="s">
        <v>886</v>
      </c>
      <c r="Y24" s="636" t="s">
        <v>223</v>
      </c>
    </row>
    <row r="25" spans="1:27" ht="15.6">
      <c r="F25" t="s">
        <v>1651</v>
      </c>
      <c r="G25">
        <f>K23/K21</f>
        <v>0.32253482300317921</v>
      </c>
      <c r="U25" s="28" t="s">
        <v>139</v>
      </c>
      <c r="V25" s="28">
        <v>8</v>
      </c>
      <c r="W25" s="28">
        <v>367.9</v>
      </c>
      <c r="X25" s="28">
        <v>45.987499999999997</v>
      </c>
      <c r="Y25" s="28">
        <v>1159.0783928571432</v>
      </c>
    </row>
    <row r="26" spans="1:27" ht="15.6">
      <c r="F26" t="s">
        <v>1641</v>
      </c>
      <c r="G26">
        <f>SLOPE(B6:E15,G6:J15)</f>
        <v>0.37697529640759841</v>
      </c>
      <c r="U26" s="28" t="s">
        <v>140</v>
      </c>
      <c r="V26" s="28">
        <v>8</v>
      </c>
      <c r="W26" s="28">
        <v>482.1</v>
      </c>
      <c r="X26" s="28">
        <v>60.262500000000003</v>
      </c>
      <c r="Y26" s="28">
        <v>324.43410714285659</v>
      </c>
    </row>
    <row r="27" spans="1:27" ht="15" thickBot="1">
      <c r="M27" t="s">
        <v>1654</v>
      </c>
      <c r="U27" s="28" t="s">
        <v>150</v>
      </c>
      <c r="V27" s="28">
        <v>10</v>
      </c>
      <c r="W27" s="28">
        <v>505.59999999999997</v>
      </c>
      <c r="X27" s="28">
        <v>50.559999999999995</v>
      </c>
      <c r="Y27" s="28">
        <v>449.52044444444499</v>
      </c>
    </row>
    <row r="28" spans="1:27" ht="15" thickBot="1">
      <c r="M28" s="636" t="s">
        <v>887</v>
      </c>
      <c r="N28" s="636" t="s">
        <v>578</v>
      </c>
      <c r="O28" s="636" t="s">
        <v>186</v>
      </c>
      <c r="P28" s="636" t="s">
        <v>641</v>
      </c>
      <c r="Q28" s="636" t="s">
        <v>388</v>
      </c>
      <c r="R28" s="636" t="s">
        <v>367</v>
      </c>
      <c r="U28" s="31" t="s">
        <v>151</v>
      </c>
      <c r="V28" s="31">
        <v>10</v>
      </c>
      <c r="W28" s="31">
        <v>401.29999999999995</v>
      </c>
      <c r="X28" s="31">
        <v>40.129999999999995</v>
      </c>
      <c r="Y28" s="31">
        <v>189.25344444444514</v>
      </c>
    </row>
    <row r="29" spans="1:27">
      <c r="M29" t="s">
        <v>1648</v>
      </c>
      <c r="N29">
        <f>G25*K23</f>
        <v>1678.3526873610911</v>
      </c>
      <c r="O29">
        <v>1</v>
      </c>
      <c r="P29" s="28">
        <f>N29/O29</f>
        <v>1678.3526873610911</v>
      </c>
      <c r="Q29" s="28">
        <f>P29/P31</f>
        <v>29.419438440987836</v>
      </c>
      <c r="R29" s="28">
        <f>FDIST(Q29,O29,O31)</f>
        <v>6.3670620361677544E-6</v>
      </c>
    </row>
    <row r="30" spans="1:27">
      <c r="M30" s="28" t="s">
        <v>1676</v>
      </c>
      <c r="N30">
        <f>N21</f>
        <v>571.02988334509268</v>
      </c>
      <c r="O30">
        <f>O21</f>
        <v>3</v>
      </c>
      <c r="P30" s="28">
        <f>N30/O30</f>
        <v>190.34329444836422</v>
      </c>
      <c r="Q30" s="28">
        <f>P30/P31</f>
        <v>3.336481584501255</v>
      </c>
      <c r="R30" s="28">
        <f>FDIST(Q30,O30,O31)</f>
        <v>3.1940102263092449E-2</v>
      </c>
    </row>
    <row r="31" spans="1:27" ht="15" thickBot="1">
      <c r="M31" s="28" t="s">
        <v>1675</v>
      </c>
      <c r="N31" s="28">
        <f>N22</f>
        <v>1768.5223126389089</v>
      </c>
      <c r="O31" s="28">
        <f>O22</f>
        <v>31</v>
      </c>
      <c r="P31" s="28">
        <f>N31/O31</f>
        <v>57.049106859319643</v>
      </c>
      <c r="Q31" s="28"/>
      <c r="R31" s="28"/>
      <c r="U31" t="s">
        <v>695</v>
      </c>
    </row>
    <row r="32" spans="1:27">
      <c r="M32" s="28"/>
      <c r="N32" s="28"/>
      <c r="O32" s="28"/>
      <c r="P32" s="28"/>
      <c r="Q32" s="28"/>
      <c r="R32" s="28"/>
      <c r="U32" s="636" t="s">
        <v>887</v>
      </c>
      <c r="V32" s="636" t="s">
        <v>578</v>
      </c>
      <c r="W32" s="636" t="s">
        <v>186</v>
      </c>
      <c r="X32" s="636" t="s">
        <v>641</v>
      </c>
      <c r="Y32" s="636" t="s">
        <v>388</v>
      </c>
      <c r="Z32" s="636" t="s">
        <v>367</v>
      </c>
      <c r="AA32" s="636" t="s">
        <v>888</v>
      </c>
    </row>
    <row r="33" spans="13:27" ht="15" thickBot="1">
      <c r="M33" s="31" t="s">
        <v>12</v>
      </c>
      <c r="N33" s="31">
        <f>N8</f>
        <v>4901.8888888888878</v>
      </c>
      <c r="O33" s="31">
        <f>O8</f>
        <v>35</v>
      </c>
      <c r="P33" s="31"/>
      <c r="Q33" s="31"/>
      <c r="R33" s="31"/>
      <c r="U33" s="28" t="s">
        <v>883</v>
      </c>
      <c r="V33" s="28">
        <v>1897.0572222222163</v>
      </c>
      <c r="W33" s="28">
        <v>3</v>
      </c>
      <c r="X33" s="28">
        <v>632.35240740740539</v>
      </c>
      <c r="Y33" s="28">
        <v>1.2542356704784621</v>
      </c>
      <c r="Z33" s="28">
        <v>0.30655018520822608</v>
      </c>
      <c r="AA33" s="28">
        <v>2.9011195838408388</v>
      </c>
    </row>
    <row r="34" spans="13:27">
      <c r="U34" s="28" t="s">
        <v>884</v>
      </c>
      <c r="V34" s="28">
        <v>16133.552500000003</v>
      </c>
      <c r="W34" s="28">
        <v>32</v>
      </c>
      <c r="X34" s="28">
        <v>504.17351562500011</v>
      </c>
      <c r="Y34" s="28"/>
      <c r="Z34" s="28"/>
      <c r="AA34" s="28"/>
    </row>
    <row r="35" spans="13:27">
      <c r="U35" s="28"/>
      <c r="V35" s="28"/>
      <c r="W35" s="28"/>
      <c r="X35" s="28"/>
      <c r="Y35" s="28"/>
      <c r="Z35" s="28"/>
      <c r="AA35" s="28"/>
    </row>
    <row r="36" spans="13:27" ht="15" thickBot="1">
      <c r="U36" s="31" t="s">
        <v>12</v>
      </c>
      <c r="V36" s="31">
        <v>18030.60972222222</v>
      </c>
      <c r="W36" s="31">
        <v>35</v>
      </c>
      <c r="X36" s="31"/>
      <c r="Y36" s="31"/>
      <c r="Z36" s="31"/>
      <c r="AA36" s="31"/>
    </row>
    <row r="56" spans="22:22">
      <c r="V56">
        <f>'ANCOVA 2'!L7</f>
        <v>3133.3665762499804</v>
      </c>
    </row>
    <row r="57" spans="22:22">
      <c r="V57">
        <f>V15</f>
        <v>1455.0138888888878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sheetPr codeName="Sheet373"/>
  <dimension ref="A1:Q17"/>
  <sheetViews>
    <sheetView workbookViewId="0">
      <selection activeCell="I20" sqref="I20"/>
    </sheetView>
  </sheetViews>
  <sheetFormatPr defaultRowHeight="14.4"/>
  <cols>
    <col min="1" max="1" width="5.88671875" customWidth="1"/>
    <col min="2" max="5" width="10.109375" customWidth="1"/>
    <col min="6" max="6" width="10.6640625" customWidth="1"/>
    <col min="7" max="11" width="10.109375" customWidth="1"/>
  </cols>
  <sheetData>
    <row r="1" spans="1:17">
      <c r="A1" s="1" t="s">
        <v>4170</v>
      </c>
      <c r="L1" t="s">
        <v>4165</v>
      </c>
    </row>
    <row r="3" spans="1:17">
      <c r="B3" t="s">
        <v>1671</v>
      </c>
      <c r="G3" t="s">
        <v>1672</v>
      </c>
      <c r="M3" t="str">
        <f>B5</f>
        <v>Method 1</v>
      </c>
      <c r="N3" t="str">
        <f>C5</f>
        <v>Method 2</v>
      </c>
      <c r="O3" t="str">
        <f>D5</f>
        <v>Method 3</v>
      </c>
      <c r="P3" t="str">
        <f>E5</f>
        <v>Method 4</v>
      </c>
    </row>
    <row r="4" spans="1:17">
      <c r="L4" t="s">
        <v>578</v>
      </c>
      <c r="M4" s="1232">
        <f>DEVSQ(G6:G15)</f>
        <v>8113.5487500000008</v>
      </c>
      <c r="N4" s="1114">
        <f>DEVSQ(H6:H15)</f>
        <v>2271.0387499999997</v>
      </c>
      <c r="O4" s="1114">
        <f>DEVSQ(I6:I15)</f>
        <v>4045.6840000000007</v>
      </c>
      <c r="P4" s="1233">
        <f>DEVSQ(J6:J15)</f>
        <v>1703.2810000000002</v>
      </c>
    </row>
    <row r="5" spans="1:17">
      <c r="B5" s="687" t="s">
        <v>139</v>
      </c>
      <c r="C5" s="687" t="s">
        <v>140</v>
      </c>
      <c r="D5" s="687" t="s">
        <v>150</v>
      </c>
      <c r="E5" s="689" t="s">
        <v>151</v>
      </c>
      <c r="G5" s="687" t="s">
        <v>139</v>
      </c>
      <c r="H5" s="687" t="s">
        <v>140</v>
      </c>
      <c r="I5" s="687" t="s">
        <v>150</v>
      </c>
      <c r="J5" s="689" t="s">
        <v>151</v>
      </c>
      <c r="K5" s="691"/>
      <c r="L5" t="s">
        <v>1650</v>
      </c>
      <c r="M5" s="625">
        <f>SLOPE(B6:B15,G6:G15)</f>
        <v>0.29192990305259459</v>
      </c>
      <c r="N5" s="8">
        <f>SLOPE(C6:C15,H6:H15)</f>
        <v>0.53985208310514299</v>
      </c>
      <c r="O5" s="8">
        <f>SLOPE(D6:D15,I6:I15)</f>
        <v>0.2348824080180261</v>
      </c>
      <c r="P5" s="132">
        <f>SLOPE(E6:E15,J6:J15)</f>
        <v>0.3867594366402255</v>
      </c>
    </row>
    <row r="6" spans="1:17">
      <c r="B6">
        <v>12</v>
      </c>
      <c r="C6">
        <v>45</v>
      </c>
      <c r="D6">
        <v>20</v>
      </c>
      <c r="E6">
        <v>12</v>
      </c>
      <c r="G6">
        <v>17.5</v>
      </c>
      <c r="H6">
        <v>70.8</v>
      </c>
      <c r="I6">
        <v>71.400000000000006</v>
      </c>
      <c r="J6">
        <v>35</v>
      </c>
      <c r="L6" t="s">
        <v>4166</v>
      </c>
      <c r="M6" s="1075">
        <f>AVERAGE(B6:B15)*$M8</f>
        <v>7.3779840761977242</v>
      </c>
      <c r="N6" s="1076">
        <f>AVERAGE(C6:C15)*$M8</f>
        <v>10.885550276357298</v>
      </c>
      <c r="O6" s="1076">
        <f>AVERAGE(D6:D15)*$M8</f>
        <v>7.0635126237696237</v>
      </c>
      <c r="P6" s="1077">
        <f>AVERAGE(E6:E15)*$M8</f>
        <v>5.0960502034502317</v>
      </c>
    </row>
    <row r="7" spans="1:17">
      <c r="B7">
        <v>39</v>
      </c>
      <c r="C7">
        <v>37</v>
      </c>
      <c r="D7">
        <v>42</v>
      </c>
      <c r="E7">
        <v>10</v>
      </c>
      <c r="G7">
        <v>104.60000000000001</v>
      </c>
      <c r="H7">
        <v>45.9</v>
      </c>
      <c r="I7">
        <v>55</v>
      </c>
      <c r="J7">
        <v>33</v>
      </c>
    </row>
    <row r="8" spans="1:17">
      <c r="B8">
        <v>36</v>
      </c>
      <c r="C8">
        <v>13</v>
      </c>
      <c r="D8">
        <v>31</v>
      </c>
      <c r="E8">
        <v>19</v>
      </c>
      <c r="G8">
        <v>64.7</v>
      </c>
      <c r="H8">
        <v>47.5</v>
      </c>
      <c r="I8">
        <v>54</v>
      </c>
      <c r="J8">
        <v>34.200000000000003</v>
      </c>
      <c r="L8" t="s">
        <v>4167</v>
      </c>
      <c r="M8" s="1441">
        <f>SUM(SUMPRODUCT(M4:P4,M5:P5))/SUM(M4:P4)</f>
        <v>0.32253482300317921</v>
      </c>
    </row>
    <row r="9" spans="1:17">
      <c r="B9">
        <v>17</v>
      </c>
      <c r="C9">
        <v>50</v>
      </c>
      <c r="D9">
        <v>24</v>
      </c>
      <c r="E9">
        <v>18</v>
      </c>
      <c r="G9">
        <v>47</v>
      </c>
      <c r="H9">
        <v>77.8</v>
      </c>
      <c r="I9">
        <v>27.9</v>
      </c>
      <c r="J9">
        <v>43.2</v>
      </c>
      <c r="L9" t="s">
        <v>4168</v>
      </c>
      <c r="M9" s="1073">
        <f>SLOPE(B6:E15,G6:J15)</f>
        <v>0.37697529640759841</v>
      </c>
    </row>
    <row r="10" spans="1:17">
      <c r="B10">
        <v>25</v>
      </c>
      <c r="C10">
        <v>35</v>
      </c>
      <c r="D10">
        <v>15</v>
      </c>
      <c r="E10">
        <v>14</v>
      </c>
      <c r="G10">
        <v>22</v>
      </c>
      <c r="H10">
        <v>70.900000000000006</v>
      </c>
      <c r="I10">
        <v>40.599999999999994</v>
      </c>
      <c r="J10">
        <v>20</v>
      </c>
    </row>
    <row r="11" spans="1:17" ht="15" thickBot="1">
      <c r="B11">
        <v>15</v>
      </c>
      <c r="C11">
        <v>40</v>
      </c>
      <c r="D11">
        <v>13</v>
      </c>
      <c r="E11">
        <v>8</v>
      </c>
      <c r="G11">
        <v>12.4</v>
      </c>
      <c r="H11">
        <v>84.8</v>
      </c>
      <c r="I11">
        <v>33</v>
      </c>
      <c r="J11">
        <v>37</v>
      </c>
      <c r="L11" t="s">
        <v>1640</v>
      </c>
    </row>
    <row r="12" spans="1:17" ht="15" thickTop="1">
      <c r="B12">
        <v>8</v>
      </c>
      <c r="C12">
        <v>33</v>
      </c>
      <c r="D12">
        <v>9</v>
      </c>
      <c r="E12">
        <v>7</v>
      </c>
      <c r="G12">
        <v>20</v>
      </c>
      <c r="H12">
        <v>49.8</v>
      </c>
      <c r="I12">
        <v>22.2</v>
      </c>
      <c r="J12">
        <v>28.2</v>
      </c>
      <c r="L12" s="1151"/>
      <c r="M12" s="1151" t="s">
        <v>578</v>
      </c>
      <c r="N12" s="1151" t="s">
        <v>186</v>
      </c>
      <c r="O12" s="1151" t="s">
        <v>641</v>
      </c>
      <c r="P12" s="1151" t="s">
        <v>388</v>
      </c>
      <c r="Q12" s="1151" t="s">
        <v>200</v>
      </c>
    </row>
    <row r="13" spans="1:17">
      <c r="B13">
        <v>31</v>
      </c>
      <c r="C13">
        <v>17</v>
      </c>
      <c r="D13">
        <v>21</v>
      </c>
      <c r="E13">
        <v>19</v>
      </c>
      <c r="G13">
        <v>79.7</v>
      </c>
      <c r="H13">
        <v>34.599999999999994</v>
      </c>
      <c r="I13">
        <v>80.5</v>
      </c>
      <c r="J13">
        <v>46.400000000000006</v>
      </c>
      <c r="L13" t="s">
        <v>1648</v>
      </c>
      <c r="M13">
        <f>M8^2*SUM(M4:P4)</f>
        <v>1678.3526873610911</v>
      </c>
      <c r="N13">
        <v>1</v>
      </c>
      <c r="O13">
        <f>M13/N13</f>
        <v>1678.3526873610911</v>
      </c>
      <c r="P13" t="e">
        <f ca="1">O13/O15</f>
        <v>#NAME?</v>
      </c>
      <c r="Q13" t="e">
        <f ca="1">FDIST(P13,N13,N15)</f>
        <v>#NAME?</v>
      </c>
    </row>
    <row r="14" spans="1:17">
      <c r="D14">
        <v>31</v>
      </c>
      <c r="E14">
        <v>25</v>
      </c>
      <c r="I14">
        <v>80</v>
      </c>
      <c r="J14">
        <v>64.900000000000006</v>
      </c>
      <c r="L14" t="s">
        <v>4169</v>
      </c>
      <c r="M14" t="e">
        <f ca="1">M16-M13-M15</f>
        <v>#NAME?</v>
      </c>
      <c r="N14">
        <f>COUNT(M5:P5)-1</f>
        <v>3</v>
      </c>
      <c r="O14" t="e">
        <f ca="1">M14/N14</f>
        <v>#NAME?</v>
      </c>
      <c r="P14" t="e">
        <f ca="1">O14/O15</f>
        <v>#NAME?</v>
      </c>
      <c r="Q14" t="e">
        <f ca="1">FDIST(P14,N14,N15)</f>
        <v>#NAME?</v>
      </c>
    </row>
    <row r="15" spans="1:17">
      <c r="B15" s="534"/>
      <c r="C15" s="534"/>
      <c r="D15" s="534">
        <v>13</v>
      </c>
      <c r="E15" s="534">
        <v>26</v>
      </c>
      <c r="G15" s="534"/>
      <c r="H15" s="534"/>
      <c r="I15" s="534">
        <v>41</v>
      </c>
      <c r="J15" s="534">
        <v>59.4</v>
      </c>
      <c r="K15" s="8"/>
      <c r="L15" t="s">
        <v>1021</v>
      </c>
      <c r="M15" t="e">
        <f ca="1">SUMPRODUCT([1]!VARCOL(B6:E15),[1]!COUNTCOL(B6:E15)-1)-SUMPRODUCT([1]!VARCOL(G6:J15),[1]!COUNTCOL(G6:J15)-1)*M8^2</f>
        <v>#NAME?</v>
      </c>
      <c r="N15">
        <f>N16-N13-N14</f>
        <v>31</v>
      </c>
      <c r="O15" t="e">
        <f ca="1">M15/N15</f>
        <v>#NAME?</v>
      </c>
    </row>
    <row r="16" spans="1:17">
      <c r="A16" t="s">
        <v>63</v>
      </c>
      <c r="B16">
        <f>AVERAGE(B6:B15)</f>
        <v>22.875</v>
      </c>
      <c r="C16">
        <f>AVERAGE(C6:C15)</f>
        <v>33.75</v>
      </c>
      <c r="D16">
        <f>AVERAGE(D6:D15)</f>
        <v>21.9</v>
      </c>
      <c r="E16">
        <f>AVERAGE(E6:E15)</f>
        <v>15.8</v>
      </c>
      <c r="G16">
        <f>AVERAGE(G6:G15)</f>
        <v>45.987499999999997</v>
      </c>
      <c r="H16">
        <f>AVERAGE(H6:H15)</f>
        <v>60.262500000000003</v>
      </c>
      <c r="I16">
        <f>AVERAGE(I6:I15)</f>
        <v>50.559999999999995</v>
      </c>
      <c r="J16">
        <f>AVERAGE(J6:J15)</f>
        <v>40.129999999999995</v>
      </c>
      <c r="L16" s="1078" t="s">
        <v>12</v>
      </c>
      <c r="M16" s="1078">
        <f>DEVSQ(B6:E15)</f>
        <v>4901.8888888888878</v>
      </c>
      <c r="N16" s="1078">
        <f>COUNT(B6:E15)-1</f>
        <v>35</v>
      </c>
      <c r="O16" s="1078"/>
      <c r="P16" s="1078"/>
      <c r="Q16" s="1078"/>
    </row>
    <row r="17" spans="1:11">
      <c r="A17" t="s">
        <v>66</v>
      </c>
      <c r="B17" s="534">
        <f>VAR(B6:B15)</f>
        <v>134.125</v>
      </c>
      <c r="C17" s="534">
        <f>VAR(C6:C15)</f>
        <v>164.78571428571428</v>
      </c>
      <c r="D17" s="534">
        <f>VAR(D6:D15)</f>
        <v>105.65555555555551</v>
      </c>
      <c r="E17" s="534">
        <f>VAR(E6:E15)</f>
        <v>44.844444444444434</v>
      </c>
      <c r="G17" s="534">
        <f>VAR(G6:G15)</f>
        <v>1159.0783928571432</v>
      </c>
      <c r="H17" s="534">
        <f>VAR(H6:H15)</f>
        <v>324.43410714285659</v>
      </c>
      <c r="I17" s="534">
        <f>VAR(I6:I15)</f>
        <v>449.52044444444499</v>
      </c>
      <c r="J17" s="534">
        <f>VAR(J6:J15)</f>
        <v>189.25344444444514</v>
      </c>
      <c r="K17" s="8"/>
    </row>
  </sheetData>
  <pageMargins left="0.7" right="0.7" top="0.75" bottom="0.75" header="0.3" footer="0.3"/>
  <pageSetup paperSize="9" orientation="portrait" verticalDpi="0" r:id="rId1"/>
</worksheet>
</file>

<file path=xl/worksheets/sheet292.xml><?xml version="1.0" encoding="utf-8"?>
<worksheet xmlns="http://schemas.openxmlformats.org/spreadsheetml/2006/main" xmlns:r="http://schemas.openxmlformats.org/officeDocument/2006/relationships">
  <sheetPr codeName="Sheet188"/>
  <dimension ref="A1:F17"/>
  <sheetViews>
    <sheetView workbookViewId="0"/>
  </sheetViews>
  <sheetFormatPr defaultRowHeight="14.4"/>
  <cols>
    <col min="1" max="1" width="16.44140625" customWidth="1"/>
    <col min="5" max="5" width="3.44140625" customWidth="1"/>
    <col min="6" max="6" width="23.6640625" customWidth="1"/>
  </cols>
  <sheetData>
    <row r="1" spans="1:6">
      <c r="A1" s="1" t="s">
        <v>1668</v>
      </c>
    </row>
    <row r="3" spans="1:6">
      <c r="B3" s="692" t="s">
        <v>140</v>
      </c>
      <c r="C3" s="692" t="s">
        <v>151</v>
      </c>
    </row>
    <row r="4" spans="1:6">
      <c r="A4" t="s">
        <v>1679</v>
      </c>
      <c r="B4" s="553">
        <f>'ANCOVA 2'!C57</f>
        <v>30.053840521389958</v>
      </c>
      <c r="C4" s="667">
        <f>'ANCOVA 2'!C59</f>
        <v>18.597272845501461</v>
      </c>
      <c r="D4" s="542">
        <f>ABS(B4-C4)</f>
        <v>11.456567675888497</v>
      </c>
      <c r="F4" s="23" t="s">
        <v>1991</v>
      </c>
    </row>
    <row r="5" spans="1:6">
      <c r="A5" t="s">
        <v>1680</v>
      </c>
      <c r="B5" s="656">
        <f>'ANCOVA 1'!H16</f>
        <v>60.262500000000003</v>
      </c>
      <c r="C5" s="657">
        <f>'ANCOVA 1'!J16</f>
        <v>40.129999999999995</v>
      </c>
      <c r="D5" s="627">
        <f>(B5-C5)^2</f>
        <v>405.31755625000028</v>
      </c>
      <c r="F5" s="23" t="s">
        <v>1992</v>
      </c>
    </row>
    <row r="6" spans="1:6">
      <c r="A6" t="s">
        <v>1681</v>
      </c>
      <c r="B6" s="533">
        <f>COUNT('ANCOVA 1'!C6:C15)</f>
        <v>8</v>
      </c>
      <c r="C6" s="541">
        <f>COUNT('ANCOVA 1'!E6:E15)</f>
        <v>10</v>
      </c>
      <c r="D6" s="544">
        <f>1/B6+1/C6</f>
        <v>0.22500000000000001</v>
      </c>
      <c r="F6" s="23" t="s">
        <v>1993</v>
      </c>
    </row>
    <row r="7" spans="1:6">
      <c r="A7" t="s">
        <v>1682</v>
      </c>
      <c r="B7" s="8"/>
      <c r="C7" s="8"/>
      <c r="D7" s="627">
        <f>'ANCOVA 2'!M8</f>
        <v>57.049106859319657</v>
      </c>
      <c r="F7" s="23" t="s">
        <v>1994</v>
      </c>
    </row>
    <row r="8" spans="1:6">
      <c r="A8" t="s">
        <v>1683</v>
      </c>
      <c r="B8" s="8"/>
      <c r="C8" s="8"/>
      <c r="D8" s="627">
        <f>'ANCOVA 2'!L14</f>
        <v>16133.552500000002</v>
      </c>
      <c r="F8" s="23" t="s">
        <v>1995</v>
      </c>
    </row>
    <row r="9" spans="1:6">
      <c r="A9" t="s">
        <v>826</v>
      </c>
      <c r="D9" s="627">
        <f>SQRT(D7*(D6+D5/D8))</f>
        <v>3.777469213487664</v>
      </c>
      <c r="F9" s="23" t="s">
        <v>1996</v>
      </c>
    </row>
    <row r="10" spans="1:6">
      <c r="A10" t="s">
        <v>195</v>
      </c>
      <c r="D10" s="627">
        <f>D4/D9</f>
        <v>3.0328685763955892</v>
      </c>
      <c r="F10" s="23" t="s">
        <v>1997</v>
      </c>
    </row>
    <row r="11" spans="1:6">
      <c r="A11" t="s">
        <v>186</v>
      </c>
      <c r="D11" s="627">
        <f>'ANCOVA 2'!K8</f>
        <v>31</v>
      </c>
      <c r="F11" s="23" t="s">
        <v>1998</v>
      </c>
    </row>
    <row r="12" spans="1:6">
      <c r="A12" s="65" t="s">
        <v>157</v>
      </c>
      <c r="D12" s="627">
        <v>0.05</v>
      </c>
    </row>
    <row r="13" spans="1:6">
      <c r="A13" s="65" t="s">
        <v>200</v>
      </c>
      <c r="D13" s="627">
        <f>TDIST(D10,D11,2)</f>
        <v>4.8651077362410929E-3</v>
      </c>
      <c r="F13" s="23" t="s">
        <v>1999</v>
      </c>
    </row>
    <row r="14" spans="1:6">
      <c r="A14" s="65" t="s">
        <v>201</v>
      </c>
      <c r="D14" s="627">
        <f>TINV(D12,D11)</f>
        <v>2.0395134463964082</v>
      </c>
      <c r="F14" s="23" t="s">
        <v>2000</v>
      </c>
    </row>
    <row r="15" spans="1:6">
      <c r="A15" s="65" t="s">
        <v>948</v>
      </c>
      <c r="D15" s="538" t="str">
        <f>IF(D13&lt;D12,"yes","no")</f>
        <v>yes</v>
      </c>
      <c r="F15" s="23" t="s">
        <v>2001</v>
      </c>
    </row>
    <row r="17" spans="1:4">
      <c r="A17" t="s">
        <v>1689</v>
      </c>
      <c r="D17" s="655">
        <f>SQRT(D10^2/(D10^2+D11))</f>
        <v>0.47835442106865922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sheetPr codeName="Sheet148"/>
  <dimension ref="A1:H16"/>
  <sheetViews>
    <sheetView workbookViewId="0"/>
  </sheetViews>
  <sheetFormatPr defaultRowHeight="14.4"/>
  <cols>
    <col min="6" max="6" width="26.109375" customWidth="1"/>
  </cols>
  <sheetData>
    <row r="1" spans="1:8" ht="15.6">
      <c r="A1" s="1" t="s">
        <v>1390</v>
      </c>
    </row>
    <row r="3" spans="1:8">
      <c r="A3" s="590" t="s">
        <v>1391</v>
      </c>
      <c r="B3" s="590" t="s">
        <v>131</v>
      </c>
      <c r="C3" s="590" t="s">
        <v>1394</v>
      </c>
      <c r="D3" s="590" t="s">
        <v>1395</v>
      </c>
      <c r="F3" s="593" t="s">
        <v>1392</v>
      </c>
      <c r="G3" s="542">
        <f>CORREL(C4:C15,D4:D15)</f>
        <v>0.66727701559191543</v>
      </c>
    </row>
    <row r="4" spans="1:8">
      <c r="A4" s="588">
        <v>1</v>
      </c>
      <c r="B4" s="588">
        <f>C4+D4</f>
        <v>42</v>
      </c>
      <c r="C4" s="588">
        <v>22</v>
      </c>
      <c r="D4" s="588">
        <v>20</v>
      </c>
      <c r="F4" s="25" t="s">
        <v>1393</v>
      </c>
      <c r="G4" s="544">
        <f>2*G3/(1+G3)</f>
        <v>0.8004392903539419</v>
      </c>
    </row>
    <row r="5" spans="1:8">
      <c r="A5" s="588">
        <f>A4+1</f>
        <v>2</v>
      </c>
      <c r="B5" s="588">
        <f t="shared" ref="B5:B13" si="0">C5+D5</f>
        <v>33</v>
      </c>
      <c r="C5" s="588">
        <v>18</v>
      </c>
      <c r="D5" s="588">
        <v>15</v>
      </c>
    </row>
    <row r="6" spans="1:8">
      <c r="A6" s="588">
        <f t="shared" ref="A6:A13" si="1">A5+1</f>
        <v>3</v>
      </c>
      <c r="B6" s="588">
        <f t="shared" si="0"/>
        <v>44</v>
      </c>
      <c r="C6" s="588">
        <v>23</v>
      </c>
      <c r="D6" s="588">
        <v>21</v>
      </c>
      <c r="F6" t="s">
        <v>2112</v>
      </c>
      <c r="G6" s="756" t="e">
        <f ca="1">[1]!SPLIT_HALF(C4:C15,D4:D15)</f>
        <v>#NAME?</v>
      </c>
    </row>
    <row r="7" spans="1:8">
      <c r="A7" s="588">
        <f t="shared" si="1"/>
        <v>4</v>
      </c>
      <c r="B7" s="588">
        <f t="shared" si="0"/>
        <v>45</v>
      </c>
      <c r="C7" s="588">
        <v>21</v>
      </c>
      <c r="D7" s="588">
        <v>24</v>
      </c>
    </row>
    <row r="8" spans="1:8">
      <c r="A8" s="588">
        <f t="shared" si="1"/>
        <v>5</v>
      </c>
      <c r="B8" s="588">
        <f t="shared" si="0"/>
        <v>30</v>
      </c>
      <c r="C8" s="588">
        <v>14</v>
      </c>
      <c r="D8" s="588">
        <v>16</v>
      </c>
    </row>
    <row r="9" spans="1:8">
      <c r="A9" s="588">
        <f t="shared" si="1"/>
        <v>6</v>
      </c>
      <c r="B9" s="588">
        <f t="shared" si="0"/>
        <v>26</v>
      </c>
      <c r="C9" s="588">
        <v>15</v>
      </c>
      <c r="D9" s="588">
        <v>11</v>
      </c>
    </row>
    <row r="10" spans="1:8">
      <c r="A10" s="588">
        <f t="shared" si="1"/>
        <v>7</v>
      </c>
      <c r="B10" s="588">
        <f t="shared" si="0"/>
        <v>45</v>
      </c>
      <c r="C10" s="588">
        <v>21</v>
      </c>
      <c r="D10" s="588">
        <v>24</v>
      </c>
    </row>
    <row r="11" spans="1:8">
      <c r="A11" s="588">
        <f t="shared" si="1"/>
        <v>8</v>
      </c>
      <c r="B11" s="588">
        <f t="shared" si="0"/>
        <v>35</v>
      </c>
      <c r="C11" s="588">
        <v>17</v>
      </c>
      <c r="D11" s="588">
        <v>18</v>
      </c>
    </row>
    <row r="12" spans="1:8">
      <c r="A12" s="588">
        <f t="shared" si="1"/>
        <v>9</v>
      </c>
      <c r="B12" s="588">
        <f t="shared" si="0"/>
        <v>40</v>
      </c>
      <c r="C12" s="588">
        <v>17</v>
      </c>
      <c r="D12" s="588">
        <v>23</v>
      </c>
    </row>
    <row r="13" spans="1:8">
      <c r="A13" s="588">
        <f t="shared" si="1"/>
        <v>10</v>
      </c>
      <c r="B13" s="588">
        <f t="shared" si="0"/>
        <v>32</v>
      </c>
      <c r="C13" s="588">
        <v>16</v>
      </c>
      <c r="D13" s="588">
        <v>16</v>
      </c>
    </row>
    <row r="14" spans="1:8">
      <c r="A14" s="588">
        <f>A13+1</f>
        <v>11</v>
      </c>
      <c r="B14" s="588">
        <f>C14+D14</f>
        <v>34</v>
      </c>
      <c r="C14" s="588">
        <v>19</v>
      </c>
      <c r="D14" s="588">
        <v>15</v>
      </c>
    </row>
    <row r="15" spans="1:8">
      <c r="A15" s="591">
        <f>A14+1</f>
        <v>12</v>
      </c>
      <c r="B15" s="591">
        <f>C15+D15</f>
        <v>45</v>
      </c>
      <c r="C15" s="591">
        <v>23</v>
      </c>
      <c r="D15" s="591">
        <v>22</v>
      </c>
    </row>
    <row r="16" spans="1:8">
      <c r="A16" s="588"/>
      <c r="B16" s="588"/>
      <c r="C16" s="588"/>
      <c r="D16" s="588"/>
      <c r="E16" s="588"/>
      <c r="F16" s="588"/>
      <c r="G16" s="588"/>
      <c r="H16" s="588"/>
    </row>
  </sheetData>
  <pageMargins left="0.7" right="0.7" top="0.75" bottom="0.75" header="0.3" footer="0.3"/>
  <pageSetup paperSize="9" orientation="portrait" horizontalDpi="300" verticalDpi="300" r:id="rId1"/>
</worksheet>
</file>

<file path=xl/worksheets/sheet294.xml><?xml version="1.0" encoding="utf-8"?>
<worksheet xmlns="http://schemas.openxmlformats.org/spreadsheetml/2006/main" xmlns:r="http://schemas.openxmlformats.org/officeDocument/2006/relationships">
  <sheetPr codeName="Sheet358"/>
  <dimension ref="A1:R37"/>
  <sheetViews>
    <sheetView workbookViewId="0"/>
  </sheetViews>
  <sheetFormatPr defaultRowHeight="14.4"/>
  <sheetData>
    <row r="1" spans="1:11">
      <c r="A1" s="1" t="s">
        <v>4050</v>
      </c>
    </row>
    <row r="3" spans="1:11">
      <c r="B3" s="1446" t="s">
        <v>166</v>
      </c>
      <c r="C3" s="1446" t="s">
        <v>1397</v>
      </c>
      <c r="D3" s="1446" t="s">
        <v>1398</v>
      </c>
      <c r="E3" s="1446" t="s">
        <v>1399</v>
      </c>
      <c r="F3" s="1446" t="s">
        <v>1400</v>
      </c>
      <c r="G3" s="1446" t="s">
        <v>1401</v>
      </c>
      <c r="H3" s="1446" t="s">
        <v>1402</v>
      </c>
      <c r="I3" s="1446" t="s">
        <v>1403</v>
      </c>
      <c r="J3" s="1446" t="s">
        <v>1404</v>
      </c>
      <c r="K3" s="1446" t="s">
        <v>1405</v>
      </c>
    </row>
    <row r="4" spans="1:11">
      <c r="A4" s="589">
        <v>1</v>
      </c>
      <c r="B4" s="594">
        <v>3</v>
      </c>
      <c r="C4" s="595">
        <v>2</v>
      </c>
      <c r="D4" s="595">
        <v>4</v>
      </c>
      <c r="E4" s="595">
        <v>1</v>
      </c>
      <c r="F4" s="595">
        <v>4</v>
      </c>
      <c r="G4" s="595">
        <v>5</v>
      </c>
      <c r="H4" s="595">
        <v>1</v>
      </c>
      <c r="I4" s="595">
        <v>4</v>
      </c>
      <c r="J4" s="595">
        <v>3</v>
      </c>
      <c r="K4" s="596">
        <v>2</v>
      </c>
    </row>
    <row r="5" spans="1:11">
      <c r="A5" s="589">
        <f>A4+1</f>
        <v>2</v>
      </c>
      <c r="B5" s="597">
        <v>5</v>
      </c>
      <c r="C5" s="589">
        <v>4</v>
      </c>
      <c r="D5" s="589">
        <v>6</v>
      </c>
      <c r="E5" s="589">
        <v>3</v>
      </c>
      <c r="F5" s="589">
        <v>5</v>
      </c>
      <c r="G5" s="589">
        <v>1</v>
      </c>
      <c r="H5" s="589">
        <v>2</v>
      </c>
      <c r="I5" s="589">
        <v>5</v>
      </c>
      <c r="J5" s="589">
        <v>5</v>
      </c>
      <c r="K5" s="598">
        <v>5</v>
      </c>
    </row>
    <row r="6" spans="1:11">
      <c r="A6" s="589">
        <f t="shared" ref="A6:A18" si="0">A5+1</f>
        <v>3</v>
      </c>
      <c r="B6" s="597">
        <v>7</v>
      </c>
      <c r="C6" s="589">
        <v>3</v>
      </c>
      <c r="D6" s="589">
        <v>5</v>
      </c>
      <c r="E6" s="589">
        <v>5</v>
      </c>
      <c r="F6" s="589">
        <v>6</v>
      </c>
      <c r="G6" s="589">
        <v>4</v>
      </c>
      <c r="H6" s="589">
        <v>3</v>
      </c>
      <c r="I6" s="589">
        <v>3</v>
      </c>
      <c r="J6" s="589">
        <v>6</v>
      </c>
      <c r="K6" s="598">
        <v>5</v>
      </c>
    </row>
    <row r="7" spans="1:11">
      <c r="A7" s="589">
        <f t="shared" si="0"/>
        <v>4</v>
      </c>
      <c r="B7" s="597">
        <v>2</v>
      </c>
      <c r="C7" s="589">
        <v>4</v>
      </c>
      <c r="D7" s="589">
        <v>3</v>
      </c>
      <c r="E7" s="589">
        <v>3</v>
      </c>
      <c r="F7" s="589">
        <v>2</v>
      </c>
      <c r="G7" s="589">
        <v>2</v>
      </c>
      <c r="H7" s="589">
        <v>2</v>
      </c>
      <c r="I7" s="589">
        <v>6</v>
      </c>
      <c r="J7" s="589">
        <v>6</v>
      </c>
      <c r="K7" s="598">
        <v>3</v>
      </c>
    </row>
    <row r="8" spans="1:11">
      <c r="A8" s="589">
        <f t="shared" si="0"/>
        <v>5</v>
      </c>
      <c r="B8" s="597">
        <v>6</v>
      </c>
      <c r="C8" s="589">
        <v>5</v>
      </c>
      <c r="D8" s="589">
        <v>6</v>
      </c>
      <c r="E8" s="589">
        <v>5</v>
      </c>
      <c r="F8" s="589">
        <v>4</v>
      </c>
      <c r="G8" s="589">
        <v>4</v>
      </c>
      <c r="H8" s="589">
        <v>4</v>
      </c>
      <c r="I8" s="589">
        <v>6</v>
      </c>
      <c r="J8" s="589">
        <v>7</v>
      </c>
      <c r="K8" s="598">
        <v>5</v>
      </c>
    </row>
    <row r="9" spans="1:11">
      <c r="A9" s="589">
        <f t="shared" si="0"/>
        <v>6</v>
      </c>
      <c r="B9" s="597">
        <v>1</v>
      </c>
      <c r="C9" s="589">
        <v>2</v>
      </c>
      <c r="D9" s="589">
        <v>3</v>
      </c>
      <c r="E9" s="589">
        <v>4</v>
      </c>
      <c r="F9" s="589">
        <v>2</v>
      </c>
      <c r="G9" s="589">
        <v>5</v>
      </c>
      <c r="H9" s="589">
        <v>2</v>
      </c>
      <c r="I9" s="589">
        <v>3</v>
      </c>
      <c r="J9" s="589">
        <v>5</v>
      </c>
      <c r="K9" s="598">
        <v>2</v>
      </c>
    </row>
    <row r="10" spans="1:11">
      <c r="A10" s="589">
        <f t="shared" si="0"/>
        <v>7</v>
      </c>
      <c r="B10" s="597">
        <v>4</v>
      </c>
      <c r="C10" s="589">
        <v>3</v>
      </c>
      <c r="D10" s="589">
        <v>5</v>
      </c>
      <c r="E10" s="589">
        <v>3</v>
      </c>
      <c r="F10" s="589">
        <v>5</v>
      </c>
      <c r="G10" s="589">
        <v>2</v>
      </c>
      <c r="H10" s="589">
        <v>1</v>
      </c>
      <c r="I10" s="589">
        <v>2</v>
      </c>
      <c r="J10" s="589">
        <v>4</v>
      </c>
      <c r="K10" s="1023">
        <v>3</v>
      </c>
    </row>
    <row r="11" spans="1:11">
      <c r="A11" s="589">
        <f t="shared" si="0"/>
        <v>8</v>
      </c>
      <c r="B11" s="597">
        <v>2</v>
      </c>
      <c r="C11" s="589">
        <v>4</v>
      </c>
      <c r="D11" s="589">
        <v>4</v>
      </c>
      <c r="E11" s="589">
        <v>3</v>
      </c>
      <c r="F11" s="589">
        <v>7</v>
      </c>
      <c r="G11" s="589">
        <v>2</v>
      </c>
      <c r="H11" s="589">
        <v>2</v>
      </c>
      <c r="I11" s="589">
        <v>4</v>
      </c>
      <c r="J11" s="589">
        <v>6</v>
      </c>
      <c r="K11" s="1023">
        <v>5</v>
      </c>
    </row>
    <row r="12" spans="1:11">
      <c r="A12" s="589">
        <f t="shared" si="0"/>
        <v>9</v>
      </c>
      <c r="B12" s="597">
        <v>6</v>
      </c>
      <c r="C12" s="589">
        <v>5</v>
      </c>
      <c r="D12" s="589">
        <v>5</v>
      </c>
      <c r="E12" s="589">
        <v>5</v>
      </c>
      <c r="F12" s="589">
        <v>1</v>
      </c>
      <c r="G12" s="589">
        <v>6</v>
      </c>
      <c r="H12" s="589">
        <v>5</v>
      </c>
      <c r="I12" s="589">
        <v>2</v>
      </c>
      <c r="J12" s="589">
        <v>3</v>
      </c>
      <c r="K12" s="1023">
        <v>2</v>
      </c>
    </row>
    <row r="13" spans="1:11">
      <c r="A13" s="589">
        <f t="shared" si="0"/>
        <v>10</v>
      </c>
      <c r="B13" s="597">
        <v>5</v>
      </c>
      <c r="C13" s="589">
        <v>4</v>
      </c>
      <c r="D13" s="589">
        <v>6</v>
      </c>
      <c r="E13" s="589">
        <v>4</v>
      </c>
      <c r="F13" s="589">
        <v>3</v>
      </c>
      <c r="G13" s="589">
        <v>5</v>
      </c>
      <c r="H13" s="589">
        <v>3</v>
      </c>
      <c r="I13" s="589">
        <v>1</v>
      </c>
      <c r="J13" s="589">
        <v>7</v>
      </c>
      <c r="K13" s="598">
        <v>2</v>
      </c>
    </row>
    <row r="14" spans="1:11">
      <c r="A14" s="589">
        <f t="shared" si="0"/>
        <v>11</v>
      </c>
      <c r="B14" s="597">
        <v>4</v>
      </c>
      <c r="C14" s="589">
        <v>3</v>
      </c>
      <c r="D14" s="589">
        <v>5</v>
      </c>
      <c r="E14" s="589">
        <v>2</v>
      </c>
      <c r="F14" s="589">
        <v>5</v>
      </c>
      <c r="G14" s="589">
        <v>3</v>
      </c>
      <c r="H14" s="589">
        <v>2</v>
      </c>
      <c r="I14" s="589">
        <v>3</v>
      </c>
      <c r="J14" s="589">
        <v>4</v>
      </c>
      <c r="K14" s="598">
        <v>1</v>
      </c>
    </row>
    <row r="15" spans="1:11">
      <c r="A15" s="589">
        <f t="shared" si="0"/>
        <v>12</v>
      </c>
      <c r="B15" s="597">
        <v>4</v>
      </c>
      <c r="C15" s="589">
        <v>2</v>
      </c>
      <c r="D15" s="589">
        <v>3</v>
      </c>
      <c r="E15" s="589">
        <v>2</v>
      </c>
      <c r="F15" s="589">
        <v>5</v>
      </c>
      <c r="G15" s="589">
        <v>3</v>
      </c>
      <c r="H15" s="589">
        <v>4</v>
      </c>
      <c r="I15" s="589">
        <v>2</v>
      </c>
      <c r="J15" s="589">
        <v>3</v>
      </c>
      <c r="K15" s="598">
        <v>4</v>
      </c>
    </row>
    <row r="16" spans="1:11">
      <c r="A16" s="589">
        <f t="shared" si="0"/>
        <v>13</v>
      </c>
      <c r="B16" s="597">
        <v>5</v>
      </c>
      <c r="C16" s="589">
        <v>5</v>
      </c>
      <c r="D16" s="589">
        <v>6</v>
      </c>
      <c r="E16" s="589">
        <v>2</v>
      </c>
      <c r="F16" s="589">
        <v>3</v>
      </c>
      <c r="G16" s="589">
        <v>3</v>
      </c>
      <c r="H16" s="589">
        <v>2</v>
      </c>
      <c r="I16" s="589">
        <v>4</v>
      </c>
      <c r="J16" s="589">
        <v>4</v>
      </c>
      <c r="K16" s="598">
        <v>5</v>
      </c>
    </row>
    <row r="17" spans="1:18">
      <c r="A17" s="589">
        <f t="shared" si="0"/>
        <v>14</v>
      </c>
      <c r="B17" s="597">
        <v>6</v>
      </c>
      <c r="C17" s="589">
        <v>5</v>
      </c>
      <c r="D17" s="589">
        <v>5</v>
      </c>
      <c r="E17" s="589">
        <v>4</v>
      </c>
      <c r="F17" s="589">
        <v>2</v>
      </c>
      <c r="G17" s="589">
        <v>2</v>
      </c>
      <c r="H17" s="589">
        <v>1</v>
      </c>
      <c r="I17" s="589">
        <v>4</v>
      </c>
      <c r="J17" s="589">
        <v>6</v>
      </c>
      <c r="K17" s="598">
        <v>5</v>
      </c>
    </row>
    <row r="18" spans="1:18">
      <c r="A18" s="589">
        <f t="shared" si="0"/>
        <v>15</v>
      </c>
      <c r="B18" s="599">
        <v>4</v>
      </c>
      <c r="C18" s="600">
        <v>3</v>
      </c>
      <c r="D18" s="600">
        <v>5</v>
      </c>
      <c r="E18" s="600">
        <v>5</v>
      </c>
      <c r="F18" s="600">
        <v>3</v>
      </c>
      <c r="G18" s="600">
        <v>1</v>
      </c>
      <c r="H18" s="600">
        <v>3</v>
      </c>
      <c r="I18" s="600">
        <v>2</v>
      </c>
      <c r="J18" s="600">
        <v>3</v>
      </c>
      <c r="K18" s="601">
        <v>4</v>
      </c>
    </row>
    <row r="20" spans="1:18">
      <c r="A20" t="s">
        <v>4049</v>
      </c>
      <c r="K20" t="s">
        <v>4051</v>
      </c>
    </row>
    <row r="22" spans="1:18">
      <c r="B22" s="1446" t="s">
        <v>3540</v>
      </c>
      <c r="C22" s="1446" t="s">
        <v>4048</v>
      </c>
      <c r="L22" s="1446" t="s">
        <v>1395</v>
      </c>
      <c r="M22" s="1446" t="s">
        <v>1394</v>
      </c>
    </row>
    <row r="23" spans="1:18" ht="15" customHeight="1">
      <c r="A23" s="589">
        <v>1</v>
      </c>
      <c r="B23" s="1236">
        <f t="shared" ref="B23:B37" si="1">SUM(B4:F4)</f>
        <v>14</v>
      </c>
      <c r="C23" s="1237">
        <f t="shared" ref="C23:C37" si="2">SUM(G4:K4)</f>
        <v>15</v>
      </c>
      <c r="E23" s="1450" t="s">
        <v>1392</v>
      </c>
      <c r="H23" s="542">
        <f>CORREL(B23:B37,C23:C37)</f>
        <v>0.47548080490631189</v>
      </c>
      <c r="K23" s="589">
        <v>1</v>
      </c>
      <c r="L23" s="1236">
        <f>B4+D4+F4+H4+J4</f>
        <v>15</v>
      </c>
      <c r="M23" s="1237">
        <f>C4+E4+G4+I4+K4</f>
        <v>14</v>
      </c>
      <c r="O23" s="1450" t="s">
        <v>1392</v>
      </c>
      <c r="R23" s="542">
        <f>CORREL(L23:L37,M23:M37)</f>
        <v>0.53705795401524947</v>
      </c>
    </row>
    <row r="24" spans="1:18">
      <c r="A24" s="589">
        <f>A23+1</f>
        <v>2</v>
      </c>
      <c r="B24" s="656">
        <f t="shared" si="1"/>
        <v>23</v>
      </c>
      <c r="C24" s="657">
        <f t="shared" si="2"/>
        <v>18</v>
      </c>
      <c r="E24" s="25" t="s">
        <v>1393</v>
      </c>
      <c r="H24" s="544">
        <f>2*H23/(1+H23)</f>
        <v>0.64450964502585084</v>
      </c>
      <c r="K24" s="589">
        <f>K23+1</f>
        <v>2</v>
      </c>
      <c r="L24" s="656">
        <f t="shared" ref="L24:M37" si="3">B5+D5+F5+H5+J5</f>
        <v>23</v>
      </c>
      <c r="M24" s="657">
        <f t="shared" si="3"/>
        <v>18</v>
      </c>
      <c r="O24" s="25" t="s">
        <v>1393</v>
      </c>
      <c r="R24" s="544">
        <f>2*R23/(1+R23)</f>
        <v>0.69881288810522135</v>
      </c>
    </row>
    <row r="25" spans="1:18">
      <c r="A25" s="589">
        <f t="shared" ref="A25:A37" si="4">A24+1</f>
        <v>3</v>
      </c>
      <c r="B25" s="656">
        <f t="shared" si="1"/>
        <v>26</v>
      </c>
      <c r="C25" s="657">
        <f t="shared" si="2"/>
        <v>21</v>
      </c>
      <c r="K25" s="589">
        <f t="shared" ref="K25:K37" si="5">K24+1</f>
        <v>3</v>
      </c>
      <c r="L25" s="656">
        <f t="shared" si="3"/>
        <v>27</v>
      </c>
      <c r="M25" s="657">
        <f t="shared" si="3"/>
        <v>20</v>
      </c>
    </row>
    <row r="26" spans="1:18">
      <c r="A26" s="589">
        <f t="shared" si="4"/>
        <v>4</v>
      </c>
      <c r="B26" s="656">
        <f t="shared" si="1"/>
        <v>14</v>
      </c>
      <c r="C26" s="657">
        <f t="shared" si="2"/>
        <v>19</v>
      </c>
      <c r="E26" t="s">
        <v>2112</v>
      </c>
      <c r="H26" s="756" t="e">
        <f ca="1">[1]!SPLIT_HALF(B23:B37,C23:C37)</f>
        <v>#NAME?</v>
      </c>
      <c r="K26" s="589">
        <f t="shared" si="5"/>
        <v>4</v>
      </c>
      <c r="L26" s="656">
        <f t="shared" si="3"/>
        <v>15</v>
      </c>
      <c r="M26" s="657">
        <f t="shared" si="3"/>
        <v>18</v>
      </c>
      <c r="O26" t="s">
        <v>2112</v>
      </c>
      <c r="R26" s="756" t="e">
        <f ca="1">[1]!SPLIT_HALF(L23:L37,M23:M37)</f>
        <v>#NAME?</v>
      </c>
    </row>
    <row r="27" spans="1:18">
      <c r="A27" s="589">
        <f t="shared" si="4"/>
        <v>5</v>
      </c>
      <c r="B27" s="656">
        <f t="shared" si="1"/>
        <v>26</v>
      </c>
      <c r="C27" s="657">
        <f t="shared" si="2"/>
        <v>26</v>
      </c>
      <c r="K27" s="589">
        <f t="shared" si="5"/>
        <v>5</v>
      </c>
      <c r="L27" s="656">
        <f t="shared" si="3"/>
        <v>27</v>
      </c>
      <c r="M27" s="657">
        <f t="shared" si="3"/>
        <v>25</v>
      </c>
    </row>
    <row r="28" spans="1:18">
      <c r="A28" s="589">
        <f t="shared" si="4"/>
        <v>6</v>
      </c>
      <c r="B28" s="656">
        <f t="shared" si="1"/>
        <v>12</v>
      </c>
      <c r="C28" s="657">
        <f t="shared" si="2"/>
        <v>17</v>
      </c>
      <c r="K28" s="589">
        <f t="shared" si="5"/>
        <v>6</v>
      </c>
      <c r="L28" s="656">
        <f t="shared" si="3"/>
        <v>13</v>
      </c>
      <c r="M28" s="657">
        <f t="shared" si="3"/>
        <v>16</v>
      </c>
    </row>
    <row r="29" spans="1:18">
      <c r="A29" s="589">
        <f t="shared" si="4"/>
        <v>7</v>
      </c>
      <c r="B29" s="656">
        <f t="shared" si="1"/>
        <v>20</v>
      </c>
      <c r="C29" s="657">
        <f t="shared" si="2"/>
        <v>12</v>
      </c>
      <c r="K29" s="589">
        <f t="shared" si="5"/>
        <v>7</v>
      </c>
      <c r="L29" s="656">
        <f t="shared" si="3"/>
        <v>19</v>
      </c>
      <c r="M29" s="657">
        <f t="shared" si="3"/>
        <v>13</v>
      </c>
    </row>
    <row r="30" spans="1:18">
      <c r="A30" s="589">
        <f t="shared" si="4"/>
        <v>8</v>
      </c>
      <c r="B30" s="656">
        <f t="shared" si="1"/>
        <v>20</v>
      </c>
      <c r="C30" s="657">
        <f t="shared" si="2"/>
        <v>19</v>
      </c>
      <c r="K30" s="589">
        <f t="shared" si="5"/>
        <v>8</v>
      </c>
      <c r="L30" s="656">
        <f t="shared" si="3"/>
        <v>21</v>
      </c>
      <c r="M30" s="657">
        <f t="shared" si="3"/>
        <v>18</v>
      </c>
    </row>
    <row r="31" spans="1:18">
      <c r="A31" s="589">
        <f t="shared" si="4"/>
        <v>9</v>
      </c>
      <c r="B31" s="656">
        <f t="shared" si="1"/>
        <v>22</v>
      </c>
      <c r="C31" s="657">
        <f t="shared" si="2"/>
        <v>18</v>
      </c>
      <c r="K31" s="589">
        <f t="shared" si="5"/>
        <v>9</v>
      </c>
      <c r="L31" s="656">
        <f t="shared" si="3"/>
        <v>20</v>
      </c>
      <c r="M31" s="657">
        <f t="shared" si="3"/>
        <v>20</v>
      </c>
    </row>
    <row r="32" spans="1:18">
      <c r="A32" s="589">
        <f t="shared" si="4"/>
        <v>10</v>
      </c>
      <c r="B32" s="656">
        <f t="shared" si="1"/>
        <v>22</v>
      </c>
      <c r="C32" s="657">
        <f t="shared" si="2"/>
        <v>18</v>
      </c>
      <c r="K32" s="589">
        <f t="shared" si="5"/>
        <v>10</v>
      </c>
      <c r="L32" s="656">
        <f t="shared" si="3"/>
        <v>24</v>
      </c>
      <c r="M32" s="657">
        <f t="shared" si="3"/>
        <v>16</v>
      </c>
    </row>
    <row r="33" spans="1:13">
      <c r="A33" s="589">
        <f t="shared" si="4"/>
        <v>11</v>
      </c>
      <c r="B33" s="656">
        <f t="shared" si="1"/>
        <v>19</v>
      </c>
      <c r="C33" s="657">
        <f t="shared" si="2"/>
        <v>13</v>
      </c>
      <c r="K33" s="589">
        <f t="shared" si="5"/>
        <v>11</v>
      </c>
      <c r="L33" s="656">
        <f t="shared" si="3"/>
        <v>20</v>
      </c>
      <c r="M33" s="657">
        <f t="shared" si="3"/>
        <v>12</v>
      </c>
    </row>
    <row r="34" spans="1:13">
      <c r="A34" s="589">
        <f t="shared" si="4"/>
        <v>12</v>
      </c>
      <c r="B34" s="656">
        <f t="shared" si="1"/>
        <v>16</v>
      </c>
      <c r="C34" s="657">
        <f t="shared" si="2"/>
        <v>16</v>
      </c>
      <c r="K34" s="589">
        <f t="shared" si="5"/>
        <v>12</v>
      </c>
      <c r="L34" s="656">
        <f t="shared" si="3"/>
        <v>19</v>
      </c>
      <c r="M34" s="657">
        <f t="shared" si="3"/>
        <v>13</v>
      </c>
    </row>
    <row r="35" spans="1:13">
      <c r="A35" s="589">
        <f t="shared" si="4"/>
        <v>13</v>
      </c>
      <c r="B35" s="656">
        <f t="shared" si="1"/>
        <v>21</v>
      </c>
      <c r="C35" s="657">
        <f t="shared" si="2"/>
        <v>18</v>
      </c>
      <c r="K35" s="589">
        <f t="shared" si="5"/>
        <v>13</v>
      </c>
      <c r="L35" s="656">
        <f t="shared" si="3"/>
        <v>20</v>
      </c>
      <c r="M35" s="657">
        <f t="shared" si="3"/>
        <v>19</v>
      </c>
    </row>
    <row r="36" spans="1:13">
      <c r="A36" s="589">
        <f t="shared" si="4"/>
        <v>14</v>
      </c>
      <c r="B36" s="656">
        <f t="shared" si="1"/>
        <v>22</v>
      </c>
      <c r="C36" s="657">
        <f t="shared" si="2"/>
        <v>18</v>
      </c>
      <c r="K36" s="589">
        <f t="shared" si="5"/>
        <v>14</v>
      </c>
      <c r="L36" s="656">
        <f t="shared" si="3"/>
        <v>20</v>
      </c>
      <c r="M36" s="657">
        <f t="shared" si="3"/>
        <v>20</v>
      </c>
    </row>
    <row r="37" spans="1:13">
      <c r="A37" s="589">
        <f t="shared" si="4"/>
        <v>15</v>
      </c>
      <c r="B37" s="533">
        <f t="shared" si="1"/>
        <v>20</v>
      </c>
      <c r="C37" s="541">
        <f t="shared" si="2"/>
        <v>13</v>
      </c>
      <c r="K37" s="589">
        <f t="shared" si="5"/>
        <v>15</v>
      </c>
      <c r="L37" s="533">
        <f t="shared" si="3"/>
        <v>18</v>
      </c>
      <c r="M37" s="541">
        <f t="shared" si="3"/>
        <v>15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sheetPr codeName="Sheet151"/>
  <dimension ref="A1:S25"/>
  <sheetViews>
    <sheetView workbookViewId="0">
      <selection activeCell="O19" sqref="O19"/>
    </sheetView>
  </sheetViews>
  <sheetFormatPr defaultRowHeight="14.4"/>
  <cols>
    <col min="1" max="13" width="7.6640625" customWidth="1"/>
    <col min="15" max="15" width="22.33203125" customWidth="1"/>
  </cols>
  <sheetData>
    <row r="1" spans="1:19">
      <c r="A1" s="1" t="s">
        <v>1396</v>
      </c>
    </row>
    <row r="3" spans="1:19">
      <c r="B3" s="539" t="s">
        <v>166</v>
      </c>
      <c r="C3" s="539" t="s">
        <v>1397</v>
      </c>
      <c r="D3" s="539" t="s">
        <v>1398</v>
      </c>
      <c r="E3" s="539" t="s">
        <v>1399</v>
      </c>
      <c r="F3" s="539" t="s">
        <v>1400</v>
      </c>
      <c r="G3" s="539" t="s">
        <v>1401</v>
      </c>
      <c r="H3" s="539" t="s">
        <v>1402</v>
      </c>
      <c r="I3" s="539" t="s">
        <v>1403</v>
      </c>
      <c r="J3" s="539" t="s">
        <v>1404</v>
      </c>
      <c r="K3" s="539" t="s">
        <v>1405</v>
      </c>
      <c r="L3" s="539" t="s">
        <v>1406</v>
      </c>
      <c r="M3" s="539" t="s">
        <v>12</v>
      </c>
      <c r="O3" t="s">
        <v>2112</v>
      </c>
      <c r="P3" s="756" t="e">
        <f ca="1">[1]!KUDER(B4:L15)</f>
        <v>#NAME?</v>
      </c>
      <c r="R3" t="s">
        <v>2809</v>
      </c>
    </row>
    <row r="4" spans="1:19">
      <c r="A4" s="589">
        <v>1</v>
      </c>
      <c r="B4" s="594">
        <v>1</v>
      </c>
      <c r="C4" s="595">
        <v>1</v>
      </c>
      <c r="D4" s="595">
        <v>1</v>
      </c>
      <c r="E4" s="595">
        <v>1</v>
      </c>
      <c r="F4" s="595">
        <v>1</v>
      </c>
      <c r="G4" s="595">
        <v>1</v>
      </c>
      <c r="H4" s="595">
        <v>1</v>
      </c>
      <c r="I4" s="595">
        <v>1</v>
      </c>
      <c r="J4" s="595">
        <v>1</v>
      </c>
      <c r="K4" s="595">
        <v>1</v>
      </c>
      <c r="L4" s="596">
        <v>1</v>
      </c>
      <c r="M4" s="589">
        <f t="shared" ref="M4:M16" si="0">SUM(B4:L4)</f>
        <v>11</v>
      </c>
    </row>
    <row r="5" spans="1:19">
      <c r="A5" s="589">
        <f>A4+1</f>
        <v>2</v>
      </c>
      <c r="B5" s="597">
        <v>1</v>
      </c>
      <c r="C5" s="589">
        <v>1</v>
      </c>
      <c r="D5" s="589">
        <v>1</v>
      </c>
      <c r="E5" s="589">
        <v>1</v>
      </c>
      <c r="F5" s="589">
        <v>1</v>
      </c>
      <c r="G5" s="589">
        <v>1</v>
      </c>
      <c r="H5" s="589">
        <v>1</v>
      </c>
      <c r="I5" s="589">
        <v>1</v>
      </c>
      <c r="J5" s="589">
        <v>0</v>
      </c>
      <c r="K5" s="589">
        <v>1</v>
      </c>
      <c r="L5" s="598">
        <v>0</v>
      </c>
      <c r="M5" s="589">
        <f t="shared" si="0"/>
        <v>9</v>
      </c>
      <c r="R5" t="s">
        <v>169</v>
      </c>
      <c r="S5" s="1072">
        <f>B22</f>
        <v>11</v>
      </c>
    </row>
    <row r="6" spans="1:19">
      <c r="A6" s="589">
        <f t="shared" ref="A6:A15" si="1">A5+1</f>
        <v>3</v>
      </c>
      <c r="B6" s="597">
        <v>1</v>
      </c>
      <c r="C6" s="589">
        <v>0</v>
      </c>
      <c r="D6" s="589">
        <v>1</v>
      </c>
      <c r="E6" s="589">
        <v>1</v>
      </c>
      <c r="F6" s="589">
        <v>1</v>
      </c>
      <c r="G6" s="589">
        <v>1</v>
      </c>
      <c r="H6" s="589">
        <v>1</v>
      </c>
      <c r="I6" s="589">
        <v>1</v>
      </c>
      <c r="J6" s="589">
        <v>1</v>
      </c>
      <c r="K6" s="589">
        <v>0</v>
      </c>
      <c r="L6" s="598">
        <v>0</v>
      </c>
      <c r="M6" s="589">
        <f t="shared" si="0"/>
        <v>8</v>
      </c>
      <c r="R6" t="s">
        <v>63</v>
      </c>
      <c r="S6" s="627">
        <f>AVERAGE(M4:M15)</f>
        <v>5.75</v>
      </c>
    </row>
    <row r="7" spans="1:19">
      <c r="A7" s="589">
        <f t="shared" si="1"/>
        <v>4</v>
      </c>
      <c r="B7" s="597">
        <v>1</v>
      </c>
      <c r="C7" s="589">
        <v>1</v>
      </c>
      <c r="D7" s="589">
        <v>1</v>
      </c>
      <c r="E7" s="589">
        <v>0</v>
      </c>
      <c r="F7" s="589">
        <v>1</v>
      </c>
      <c r="G7" s="589">
        <v>1</v>
      </c>
      <c r="H7" s="589">
        <v>0</v>
      </c>
      <c r="I7" s="589">
        <v>1</v>
      </c>
      <c r="J7" s="589">
        <v>1</v>
      </c>
      <c r="K7" s="589">
        <v>0</v>
      </c>
      <c r="L7" s="598">
        <v>0</v>
      </c>
      <c r="M7" s="589">
        <f t="shared" si="0"/>
        <v>7</v>
      </c>
      <c r="R7" t="s">
        <v>66</v>
      </c>
      <c r="S7" s="627">
        <f>B24</f>
        <v>6.520833333333333</v>
      </c>
    </row>
    <row r="8" spans="1:19">
      <c r="A8" s="589">
        <f t="shared" si="1"/>
        <v>5</v>
      </c>
      <c r="B8" s="597">
        <v>1</v>
      </c>
      <c r="C8" s="589">
        <v>1</v>
      </c>
      <c r="D8" s="589">
        <v>1</v>
      </c>
      <c r="E8" s="589">
        <v>1</v>
      </c>
      <c r="F8" s="589">
        <v>1</v>
      </c>
      <c r="G8" s="589">
        <v>0</v>
      </c>
      <c r="H8" s="589">
        <v>0</v>
      </c>
      <c r="I8" s="589">
        <v>0</v>
      </c>
      <c r="J8" s="589">
        <v>1</v>
      </c>
      <c r="K8" s="589">
        <v>0</v>
      </c>
      <c r="L8" s="598">
        <v>0</v>
      </c>
      <c r="M8" s="589">
        <f t="shared" si="0"/>
        <v>6</v>
      </c>
      <c r="R8" s="593" t="s">
        <v>485</v>
      </c>
      <c r="S8" s="544">
        <f>(S5/(S5-1))*(1-S6*(S5-S6)/(S5*S7))</f>
        <v>0.6370607028753994</v>
      </c>
    </row>
    <row r="9" spans="1:19">
      <c r="A9" s="589">
        <f t="shared" si="1"/>
        <v>6</v>
      </c>
      <c r="B9" s="597">
        <v>0</v>
      </c>
      <c r="C9" s="589">
        <v>1</v>
      </c>
      <c r="D9" s="589">
        <v>1</v>
      </c>
      <c r="E9" s="589">
        <v>0</v>
      </c>
      <c r="F9" s="589">
        <v>1</v>
      </c>
      <c r="G9" s="589">
        <v>1</v>
      </c>
      <c r="H9" s="589">
        <v>1</v>
      </c>
      <c r="I9" s="589">
        <v>1</v>
      </c>
      <c r="J9" s="589">
        <v>0</v>
      </c>
      <c r="K9" s="589">
        <v>0</v>
      </c>
      <c r="L9" s="598">
        <v>0</v>
      </c>
      <c r="M9" s="589">
        <f t="shared" si="0"/>
        <v>6</v>
      </c>
    </row>
    <row r="10" spans="1:19">
      <c r="A10" s="589">
        <f t="shared" si="1"/>
        <v>7</v>
      </c>
      <c r="B10" s="597">
        <v>1</v>
      </c>
      <c r="C10" s="589">
        <v>1</v>
      </c>
      <c r="D10" s="589">
        <v>1</v>
      </c>
      <c r="E10" s="589">
        <v>1</v>
      </c>
      <c r="F10" s="589">
        <v>0</v>
      </c>
      <c r="G10" s="589">
        <v>0</v>
      </c>
      <c r="H10" s="589">
        <v>1</v>
      </c>
      <c r="I10" s="589">
        <v>0</v>
      </c>
      <c r="J10" s="589">
        <v>0</v>
      </c>
      <c r="K10" s="589">
        <v>0</v>
      </c>
      <c r="L10" s="598">
        <v>0</v>
      </c>
      <c r="M10" s="589">
        <f t="shared" si="0"/>
        <v>5</v>
      </c>
    </row>
    <row r="11" spans="1:19">
      <c r="A11" s="589">
        <f t="shared" si="1"/>
        <v>8</v>
      </c>
      <c r="B11" s="597">
        <v>1</v>
      </c>
      <c r="C11" s="589">
        <v>1</v>
      </c>
      <c r="D11" s="589">
        <v>1</v>
      </c>
      <c r="E11" s="589">
        <v>1</v>
      </c>
      <c r="F11" s="589">
        <v>1</v>
      </c>
      <c r="G11" s="589">
        <v>0</v>
      </c>
      <c r="H11" s="589">
        <v>0</v>
      </c>
      <c r="I11" s="589">
        <v>0</v>
      </c>
      <c r="J11" s="589">
        <v>0</v>
      </c>
      <c r="K11" s="589">
        <v>0</v>
      </c>
      <c r="L11" s="598">
        <v>0</v>
      </c>
      <c r="M11" s="589">
        <f t="shared" si="0"/>
        <v>5</v>
      </c>
    </row>
    <row r="12" spans="1:19">
      <c r="A12" s="589">
        <f t="shared" si="1"/>
        <v>9</v>
      </c>
      <c r="B12" s="597">
        <v>0</v>
      </c>
      <c r="C12" s="589">
        <v>1</v>
      </c>
      <c r="D12" s="589">
        <v>0</v>
      </c>
      <c r="E12" s="589">
        <v>1</v>
      </c>
      <c r="F12" s="589">
        <v>1</v>
      </c>
      <c r="G12" s="589">
        <v>0</v>
      </c>
      <c r="H12" s="589">
        <v>0</v>
      </c>
      <c r="I12" s="589">
        <v>0</v>
      </c>
      <c r="J12" s="589">
        <v>0</v>
      </c>
      <c r="K12" s="589">
        <v>1</v>
      </c>
      <c r="L12" s="598">
        <v>0</v>
      </c>
      <c r="M12" s="589">
        <f t="shared" si="0"/>
        <v>4</v>
      </c>
    </row>
    <row r="13" spans="1:19">
      <c r="A13" s="589">
        <f t="shared" si="1"/>
        <v>10</v>
      </c>
      <c r="B13" s="597">
        <v>1</v>
      </c>
      <c r="C13" s="589">
        <v>0</v>
      </c>
      <c r="D13" s="589">
        <v>0</v>
      </c>
      <c r="E13" s="589">
        <v>1</v>
      </c>
      <c r="F13" s="589">
        <v>0</v>
      </c>
      <c r="G13" s="589">
        <v>1</v>
      </c>
      <c r="H13" s="589">
        <v>0</v>
      </c>
      <c r="I13" s="589">
        <v>0</v>
      </c>
      <c r="J13" s="589">
        <v>0</v>
      </c>
      <c r="K13" s="589">
        <v>0</v>
      </c>
      <c r="L13" s="598">
        <v>0</v>
      </c>
      <c r="M13" s="589">
        <f t="shared" si="0"/>
        <v>3</v>
      </c>
    </row>
    <row r="14" spans="1:19">
      <c r="A14" s="589">
        <f t="shared" si="1"/>
        <v>11</v>
      </c>
      <c r="B14" s="597">
        <v>1</v>
      </c>
      <c r="C14" s="589">
        <v>1</v>
      </c>
      <c r="D14" s="589">
        <v>1</v>
      </c>
      <c r="E14" s="589">
        <v>0</v>
      </c>
      <c r="F14" s="589">
        <v>0</v>
      </c>
      <c r="G14" s="589">
        <v>0</v>
      </c>
      <c r="H14" s="589">
        <v>0</v>
      </c>
      <c r="I14" s="589">
        <v>0</v>
      </c>
      <c r="J14" s="589">
        <v>0</v>
      </c>
      <c r="K14" s="589">
        <v>0</v>
      </c>
      <c r="L14" s="598">
        <v>0</v>
      </c>
      <c r="M14" s="589">
        <f t="shared" si="0"/>
        <v>3</v>
      </c>
    </row>
    <row r="15" spans="1:19">
      <c r="A15" s="589">
        <f t="shared" si="1"/>
        <v>12</v>
      </c>
      <c r="B15" s="599">
        <v>1</v>
      </c>
      <c r="C15" s="600">
        <v>0</v>
      </c>
      <c r="D15" s="600">
        <v>0</v>
      </c>
      <c r="E15" s="600">
        <v>1</v>
      </c>
      <c r="F15" s="600">
        <v>0</v>
      </c>
      <c r="G15" s="600">
        <v>0</v>
      </c>
      <c r="H15" s="600">
        <v>0</v>
      </c>
      <c r="I15" s="600">
        <v>0</v>
      </c>
      <c r="J15" s="600">
        <v>0</v>
      </c>
      <c r="K15" s="600">
        <v>0</v>
      </c>
      <c r="L15" s="601">
        <v>0</v>
      </c>
      <c r="M15" s="589">
        <f t="shared" si="0"/>
        <v>2</v>
      </c>
    </row>
    <row r="16" spans="1:19">
      <c r="A16" s="589" t="s">
        <v>12</v>
      </c>
      <c r="B16" s="589">
        <f>SUM(B4:B15)</f>
        <v>10</v>
      </c>
      <c r="C16" s="589">
        <f t="shared" ref="C16:L16" si="2">SUM(C4:C15)</f>
        <v>9</v>
      </c>
      <c r="D16" s="589">
        <f t="shared" si="2"/>
        <v>9</v>
      </c>
      <c r="E16" s="589">
        <f t="shared" si="2"/>
        <v>9</v>
      </c>
      <c r="F16" s="589">
        <f t="shared" si="2"/>
        <v>8</v>
      </c>
      <c r="G16" s="589">
        <f t="shared" si="2"/>
        <v>6</v>
      </c>
      <c r="H16" s="589">
        <f t="shared" si="2"/>
        <v>5</v>
      </c>
      <c r="I16" s="589">
        <f t="shared" si="2"/>
        <v>5</v>
      </c>
      <c r="J16" s="589">
        <f t="shared" si="2"/>
        <v>4</v>
      </c>
      <c r="K16" s="589">
        <f t="shared" si="2"/>
        <v>3</v>
      </c>
      <c r="L16" s="589">
        <f t="shared" si="2"/>
        <v>1</v>
      </c>
      <c r="M16" s="589">
        <f t="shared" si="0"/>
        <v>69</v>
      </c>
    </row>
    <row r="17" spans="1:13">
      <c r="A17" s="589"/>
      <c r="B17" s="589"/>
      <c r="C17" s="589"/>
      <c r="D17" s="589"/>
      <c r="E17" s="589"/>
      <c r="F17" s="589"/>
      <c r="G17" s="589"/>
      <c r="H17" s="589"/>
      <c r="I17" s="589"/>
      <c r="J17" s="589"/>
      <c r="K17" s="589"/>
      <c r="L17" s="589"/>
      <c r="M17" s="589"/>
    </row>
    <row r="18" spans="1:13">
      <c r="A18" s="598" t="s">
        <v>325</v>
      </c>
      <c r="B18" s="594">
        <f>B16/COUNT(B4:B15)</f>
        <v>0.83333333333333337</v>
      </c>
      <c r="C18" s="595">
        <f t="shared" ref="C18:L18" si="3">C16/COUNT(C4:C15)</f>
        <v>0.75</v>
      </c>
      <c r="D18" s="595">
        <f t="shared" si="3"/>
        <v>0.75</v>
      </c>
      <c r="E18" s="595">
        <f t="shared" si="3"/>
        <v>0.75</v>
      </c>
      <c r="F18" s="595">
        <f t="shared" si="3"/>
        <v>0.66666666666666663</v>
      </c>
      <c r="G18" s="595">
        <f t="shared" si="3"/>
        <v>0.5</v>
      </c>
      <c r="H18" s="595">
        <f t="shared" si="3"/>
        <v>0.41666666666666669</v>
      </c>
      <c r="I18" s="595">
        <f t="shared" si="3"/>
        <v>0.41666666666666669</v>
      </c>
      <c r="J18" s="595">
        <f t="shared" si="3"/>
        <v>0.33333333333333331</v>
      </c>
      <c r="K18" s="595">
        <f t="shared" si="3"/>
        <v>0.25</v>
      </c>
      <c r="L18" s="596">
        <f t="shared" si="3"/>
        <v>8.3333333333333329E-2</v>
      </c>
    </row>
    <row r="19" spans="1:13">
      <c r="A19" s="589" t="s">
        <v>978</v>
      </c>
      <c r="B19" s="597">
        <f>1-B18</f>
        <v>0.16666666666666663</v>
      </c>
      <c r="C19" s="589">
        <f t="shared" ref="C19:L19" si="4">1-C18</f>
        <v>0.25</v>
      </c>
      <c r="D19" s="589">
        <f t="shared" si="4"/>
        <v>0.25</v>
      </c>
      <c r="E19" s="589">
        <f t="shared" si="4"/>
        <v>0.25</v>
      </c>
      <c r="F19" s="589">
        <f t="shared" si="4"/>
        <v>0.33333333333333337</v>
      </c>
      <c r="G19" s="589">
        <f t="shared" si="4"/>
        <v>0.5</v>
      </c>
      <c r="H19" s="589">
        <f t="shared" si="4"/>
        <v>0.58333333333333326</v>
      </c>
      <c r="I19" s="589">
        <f t="shared" si="4"/>
        <v>0.58333333333333326</v>
      </c>
      <c r="J19" s="589">
        <f t="shared" si="4"/>
        <v>0.66666666666666674</v>
      </c>
      <c r="K19" s="589">
        <f t="shared" si="4"/>
        <v>0.75</v>
      </c>
      <c r="L19" s="598">
        <f t="shared" si="4"/>
        <v>0.91666666666666663</v>
      </c>
    </row>
    <row r="20" spans="1:13">
      <c r="A20" s="589" t="s">
        <v>1407</v>
      </c>
      <c r="B20" s="599">
        <f>B18*B19</f>
        <v>0.13888888888888887</v>
      </c>
      <c r="C20" s="600">
        <f t="shared" ref="C20:L20" si="5">C18*C19</f>
        <v>0.1875</v>
      </c>
      <c r="D20" s="600">
        <f t="shared" si="5"/>
        <v>0.1875</v>
      </c>
      <c r="E20" s="600">
        <f t="shared" si="5"/>
        <v>0.1875</v>
      </c>
      <c r="F20" s="600">
        <f t="shared" si="5"/>
        <v>0.22222222222222224</v>
      </c>
      <c r="G20" s="600">
        <f t="shared" si="5"/>
        <v>0.25</v>
      </c>
      <c r="H20" s="600">
        <f t="shared" si="5"/>
        <v>0.24305555555555552</v>
      </c>
      <c r="I20" s="600">
        <f t="shared" si="5"/>
        <v>0.24305555555555552</v>
      </c>
      <c r="J20" s="600">
        <f t="shared" si="5"/>
        <v>0.22222222222222224</v>
      </c>
      <c r="K20" s="600">
        <f t="shared" si="5"/>
        <v>0.1875</v>
      </c>
      <c r="L20" s="601">
        <f t="shared" si="5"/>
        <v>7.6388888888888881E-2</v>
      </c>
      <c r="M20" s="602">
        <f>SUM(B20:L20)</f>
        <v>2.1458333333333335</v>
      </c>
    </row>
    <row r="22" spans="1:13">
      <c r="A22" s="592" t="s">
        <v>169</v>
      </c>
      <c r="B22" s="542">
        <f>COUNTA(B3:L3)</f>
        <v>11</v>
      </c>
    </row>
    <row r="23" spans="1:13">
      <c r="A23" s="162" t="s">
        <v>1408</v>
      </c>
      <c r="B23" s="376">
        <f>M20</f>
        <v>2.1458333333333335</v>
      </c>
    </row>
    <row r="24" spans="1:13">
      <c r="A24" s="592" t="s">
        <v>66</v>
      </c>
      <c r="B24" s="376">
        <f xml:space="preserve"> VARP(M4:M15)</f>
        <v>6.520833333333333</v>
      </c>
    </row>
    <row r="25" spans="1:13">
      <c r="A25" s="592" t="s">
        <v>485</v>
      </c>
      <c r="B25" s="544">
        <f>(B22/(B22-1))*(1-B23/B24)</f>
        <v>0.73801916932907352</v>
      </c>
    </row>
  </sheetData>
  <pageMargins left="0.7" right="0.7" top="0.75" bottom="0.75" header="0.3" footer="0.3"/>
  <ignoredErrors>
    <ignoredError sqref="M4" formulaRange="1"/>
  </ignoredErrors>
</worksheet>
</file>

<file path=xl/worksheets/sheet296.xml><?xml version="1.0" encoding="utf-8"?>
<worksheet xmlns="http://schemas.openxmlformats.org/spreadsheetml/2006/main" xmlns:r="http://schemas.openxmlformats.org/officeDocument/2006/relationships">
  <sheetPr codeName="Sheet152"/>
  <dimension ref="A1:AI95"/>
  <sheetViews>
    <sheetView workbookViewId="0"/>
  </sheetViews>
  <sheetFormatPr defaultRowHeight="14.4"/>
  <cols>
    <col min="1" max="13" width="7.6640625" customWidth="1"/>
    <col min="15" max="15" width="17.6640625" customWidth="1"/>
  </cols>
  <sheetData>
    <row r="1" spans="1:19">
      <c r="A1" s="1" t="s">
        <v>1411</v>
      </c>
    </row>
    <row r="3" spans="1:19">
      <c r="B3" s="549" t="s">
        <v>166</v>
      </c>
      <c r="C3" s="549" t="s">
        <v>1397</v>
      </c>
      <c r="D3" s="549" t="s">
        <v>1398</v>
      </c>
      <c r="E3" s="549" t="s">
        <v>1399</v>
      </c>
      <c r="F3" s="549" t="s">
        <v>1400</v>
      </c>
      <c r="G3" s="549" t="s">
        <v>1401</v>
      </c>
      <c r="H3" s="549" t="s">
        <v>1402</v>
      </c>
      <c r="I3" s="549" t="s">
        <v>1403</v>
      </c>
      <c r="J3" s="549" t="s">
        <v>1404</v>
      </c>
      <c r="K3" s="549" t="s">
        <v>1405</v>
      </c>
      <c r="L3" s="549" t="s">
        <v>1406</v>
      </c>
      <c r="M3" s="549" t="s">
        <v>12</v>
      </c>
      <c r="O3" t="s">
        <v>1008</v>
      </c>
    </row>
    <row r="4" spans="1:19" ht="15" thickBot="1">
      <c r="A4" s="589">
        <v>1</v>
      </c>
      <c r="B4" s="594">
        <v>1</v>
      </c>
      <c r="C4" s="595">
        <v>1</v>
      </c>
      <c r="D4" s="595">
        <v>1</v>
      </c>
      <c r="E4" s="595">
        <v>1</v>
      </c>
      <c r="F4" s="595">
        <v>1</v>
      </c>
      <c r="G4" s="595">
        <v>1</v>
      </c>
      <c r="H4" s="595">
        <v>1</v>
      </c>
      <c r="I4" s="595">
        <v>1</v>
      </c>
      <c r="J4" s="595">
        <v>1</v>
      </c>
      <c r="K4" s="595">
        <v>1</v>
      </c>
      <c r="L4" s="596">
        <v>1</v>
      </c>
      <c r="M4" s="589">
        <f t="shared" ref="M4:M16" si="0">SUM(B4:L4)</f>
        <v>11</v>
      </c>
    </row>
    <row r="5" spans="1:19">
      <c r="A5" s="589">
        <f>A4+1</f>
        <v>2</v>
      </c>
      <c r="B5" s="597">
        <v>1</v>
      </c>
      <c r="C5" s="589">
        <v>1</v>
      </c>
      <c r="D5" s="589">
        <v>1</v>
      </c>
      <c r="E5" s="589">
        <v>1</v>
      </c>
      <c r="F5" s="589">
        <v>1</v>
      </c>
      <c r="G5" s="589">
        <v>1</v>
      </c>
      <c r="H5" s="589">
        <v>1</v>
      </c>
      <c r="I5" s="589">
        <v>1</v>
      </c>
      <c r="J5" s="589">
        <v>0</v>
      </c>
      <c r="K5" s="589">
        <v>1</v>
      </c>
      <c r="L5" s="598">
        <v>0</v>
      </c>
      <c r="M5" s="589">
        <f t="shared" si="0"/>
        <v>9</v>
      </c>
      <c r="O5" s="550" t="s">
        <v>194</v>
      </c>
      <c r="P5" s="550" t="s">
        <v>88</v>
      </c>
      <c r="Q5" s="550" t="s">
        <v>87</v>
      </c>
      <c r="R5" s="550" t="s">
        <v>886</v>
      </c>
      <c r="S5" s="550" t="s">
        <v>223</v>
      </c>
    </row>
    <row r="6" spans="1:19">
      <c r="A6" s="589">
        <f t="shared" ref="A6:A15" si="1">A5+1</f>
        <v>3</v>
      </c>
      <c r="B6" s="597">
        <v>1</v>
      </c>
      <c r="C6" s="589">
        <v>0</v>
      </c>
      <c r="D6" s="589">
        <v>1</v>
      </c>
      <c r="E6" s="589">
        <v>1</v>
      </c>
      <c r="F6" s="589">
        <v>1</v>
      </c>
      <c r="G6" s="589">
        <v>1</v>
      </c>
      <c r="H6" s="589">
        <v>1</v>
      </c>
      <c r="I6" s="589">
        <v>1</v>
      </c>
      <c r="J6" s="589">
        <v>1</v>
      </c>
      <c r="K6" s="589">
        <v>0</v>
      </c>
      <c r="L6" s="598">
        <v>0</v>
      </c>
      <c r="M6" s="589">
        <f t="shared" si="0"/>
        <v>8</v>
      </c>
      <c r="O6" s="28">
        <v>1</v>
      </c>
      <c r="P6" s="28">
        <v>11</v>
      </c>
      <c r="Q6" s="28">
        <v>11</v>
      </c>
      <c r="R6" s="28">
        <v>1</v>
      </c>
      <c r="S6" s="28">
        <v>0</v>
      </c>
    </row>
    <row r="7" spans="1:19">
      <c r="A7" s="589">
        <f t="shared" si="1"/>
        <v>4</v>
      </c>
      <c r="B7" s="597">
        <v>1</v>
      </c>
      <c r="C7" s="589">
        <v>1</v>
      </c>
      <c r="D7" s="589">
        <v>1</v>
      </c>
      <c r="E7" s="589">
        <v>0</v>
      </c>
      <c r="F7" s="589">
        <v>1</v>
      </c>
      <c r="G7" s="589">
        <v>1</v>
      </c>
      <c r="H7" s="589">
        <v>0</v>
      </c>
      <c r="I7" s="589">
        <v>1</v>
      </c>
      <c r="J7" s="589">
        <v>1</v>
      </c>
      <c r="K7" s="589">
        <v>0</v>
      </c>
      <c r="L7" s="598">
        <v>0</v>
      </c>
      <c r="M7" s="589">
        <f t="shared" si="0"/>
        <v>7</v>
      </c>
      <c r="O7" s="28">
        <v>2</v>
      </c>
      <c r="P7" s="28">
        <v>11</v>
      </c>
      <c r="Q7" s="28">
        <v>9</v>
      </c>
      <c r="R7" s="28">
        <v>0.81818181818181823</v>
      </c>
      <c r="S7" s="28">
        <v>0.16363636363636366</v>
      </c>
    </row>
    <row r="8" spans="1:19">
      <c r="A8" s="589">
        <f t="shared" si="1"/>
        <v>5</v>
      </c>
      <c r="B8" s="597">
        <v>1</v>
      </c>
      <c r="C8" s="589">
        <v>1</v>
      </c>
      <c r="D8" s="589">
        <v>1</v>
      </c>
      <c r="E8" s="589">
        <v>1</v>
      </c>
      <c r="F8" s="589">
        <v>1</v>
      </c>
      <c r="G8" s="589">
        <v>0</v>
      </c>
      <c r="H8" s="589">
        <v>0</v>
      </c>
      <c r="I8" s="589">
        <v>0</v>
      </c>
      <c r="J8" s="589">
        <v>1</v>
      </c>
      <c r="K8" s="589">
        <v>0</v>
      </c>
      <c r="L8" s="598">
        <v>0</v>
      </c>
      <c r="M8" s="589">
        <f t="shared" si="0"/>
        <v>6</v>
      </c>
      <c r="O8" s="28">
        <v>3</v>
      </c>
      <c r="P8" s="28">
        <v>11</v>
      </c>
      <c r="Q8" s="28">
        <v>8</v>
      </c>
      <c r="R8" s="28">
        <v>0.72727272727272729</v>
      </c>
      <c r="S8" s="28">
        <v>0.21818181818181817</v>
      </c>
    </row>
    <row r="9" spans="1:19">
      <c r="A9" s="589">
        <f t="shared" si="1"/>
        <v>6</v>
      </c>
      <c r="B9" s="597">
        <v>0</v>
      </c>
      <c r="C9" s="589">
        <v>1</v>
      </c>
      <c r="D9" s="589">
        <v>1</v>
      </c>
      <c r="E9" s="589">
        <v>0</v>
      </c>
      <c r="F9" s="589">
        <v>1</v>
      </c>
      <c r="G9" s="589">
        <v>1</v>
      </c>
      <c r="H9" s="589">
        <v>1</v>
      </c>
      <c r="I9" s="589">
        <v>1</v>
      </c>
      <c r="J9" s="589">
        <v>0</v>
      </c>
      <c r="K9" s="589">
        <v>0</v>
      </c>
      <c r="L9" s="598">
        <v>0</v>
      </c>
      <c r="M9" s="589">
        <f t="shared" si="0"/>
        <v>6</v>
      </c>
      <c r="O9" s="28">
        <v>4</v>
      </c>
      <c r="P9" s="28">
        <v>11</v>
      </c>
      <c r="Q9" s="28">
        <v>7</v>
      </c>
      <c r="R9" s="28">
        <v>0.63636363636363635</v>
      </c>
      <c r="S9" s="28">
        <v>0.25454545454545457</v>
      </c>
    </row>
    <row r="10" spans="1:19">
      <c r="A10" s="589">
        <f t="shared" si="1"/>
        <v>7</v>
      </c>
      <c r="B10" s="597">
        <v>1</v>
      </c>
      <c r="C10" s="589">
        <v>1</v>
      </c>
      <c r="D10" s="589">
        <v>1</v>
      </c>
      <c r="E10" s="589">
        <v>1</v>
      </c>
      <c r="F10" s="589">
        <v>0</v>
      </c>
      <c r="G10" s="589">
        <v>0</v>
      </c>
      <c r="H10" s="589">
        <v>1</v>
      </c>
      <c r="I10" s="589">
        <v>0</v>
      </c>
      <c r="J10" s="589">
        <v>0</v>
      </c>
      <c r="K10" s="589">
        <v>0</v>
      </c>
      <c r="L10" s="598">
        <v>0</v>
      </c>
      <c r="M10" s="589">
        <f t="shared" si="0"/>
        <v>5</v>
      </c>
      <c r="O10" s="28">
        <v>5</v>
      </c>
      <c r="P10" s="28">
        <v>11</v>
      </c>
      <c r="Q10" s="28">
        <v>6</v>
      </c>
      <c r="R10" s="28">
        <v>0.54545454545454541</v>
      </c>
      <c r="S10" s="28">
        <v>0.27272727272727271</v>
      </c>
    </row>
    <row r="11" spans="1:19">
      <c r="A11" s="589">
        <f t="shared" si="1"/>
        <v>8</v>
      </c>
      <c r="B11" s="597">
        <v>1</v>
      </c>
      <c r="C11" s="589">
        <v>1</v>
      </c>
      <c r="D11" s="589">
        <v>1</v>
      </c>
      <c r="E11" s="589">
        <v>1</v>
      </c>
      <c r="F11" s="589">
        <v>1</v>
      </c>
      <c r="G11" s="589">
        <v>0</v>
      </c>
      <c r="H11" s="589">
        <v>0</v>
      </c>
      <c r="I11" s="589">
        <v>0</v>
      </c>
      <c r="J11" s="589">
        <v>0</v>
      </c>
      <c r="K11" s="589">
        <v>0</v>
      </c>
      <c r="L11" s="598">
        <v>0</v>
      </c>
      <c r="M11" s="589">
        <f t="shared" si="0"/>
        <v>5</v>
      </c>
      <c r="O11" s="28">
        <v>6</v>
      </c>
      <c r="P11" s="28">
        <v>11</v>
      </c>
      <c r="Q11" s="28">
        <v>6</v>
      </c>
      <c r="R11" s="28">
        <v>0.54545454545454541</v>
      </c>
      <c r="S11" s="28">
        <v>0.27272727272727271</v>
      </c>
    </row>
    <row r="12" spans="1:19">
      <c r="A12" s="589">
        <f t="shared" si="1"/>
        <v>9</v>
      </c>
      <c r="B12" s="597">
        <v>0</v>
      </c>
      <c r="C12" s="589">
        <v>1</v>
      </c>
      <c r="D12" s="589">
        <v>0</v>
      </c>
      <c r="E12" s="589">
        <v>1</v>
      </c>
      <c r="F12" s="589">
        <v>1</v>
      </c>
      <c r="G12" s="589">
        <v>0</v>
      </c>
      <c r="H12" s="589">
        <v>0</v>
      </c>
      <c r="I12" s="589">
        <v>0</v>
      </c>
      <c r="J12" s="589">
        <v>0</v>
      </c>
      <c r="K12" s="589">
        <v>1</v>
      </c>
      <c r="L12" s="598">
        <v>0</v>
      </c>
      <c r="M12" s="589">
        <f t="shared" si="0"/>
        <v>4</v>
      </c>
      <c r="O12" s="28">
        <v>7</v>
      </c>
      <c r="P12" s="28">
        <v>11</v>
      </c>
      <c r="Q12" s="28">
        <v>5</v>
      </c>
      <c r="R12" s="28">
        <v>0.45454545454545453</v>
      </c>
      <c r="S12" s="28">
        <v>0.27272727272727271</v>
      </c>
    </row>
    <row r="13" spans="1:19">
      <c r="A13" s="589">
        <f t="shared" si="1"/>
        <v>10</v>
      </c>
      <c r="B13" s="597">
        <v>1</v>
      </c>
      <c r="C13" s="589">
        <v>0</v>
      </c>
      <c r="D13" s="589">
        <v>0</v>
      </c>
      <c r="E13" s="589">
        <v>1</v>
      </c>
      <c r="F13" s="589">
        <v>0</v>
      </c>
      <c r="G13" s="589">
        <v>1</v>
      </c>
      <c r="H13" s="589">
        <v>0</v>
      </c>
      <c r="I13" s="589">
        <v>0</v>
      </c>
      <c r="J13" s="589">
        <v>0</v>
      </c>
      <c r="K13" s="589">
        <v>0</v>
      </c>
      <c r="L13" s="598">
        <v>0</v>
      </c>
      <c r="M13" s="589">
        <f t="shared" si="0"/>
        <v>3</v>
      </c>
      <c r="O13" s="28">
        <v>8</v>
      </c>
      <c r="P13" s="28">
        <v>11</v>
      </c>
      <c r="Q13" s="28">
        <v>5</v>
      </c>
      <c r="R13" s="28">
        <v>0.45454545454545453</v>
      </c>
      <c r="S13" s="28">
        <v>0.27272727272727271</v>
      </c>
    </row>
    <row r="14" spans="1:19">
      <c r="A14" s="589">
        <f t="shared" si="1"/>
        <v>11</v>
      </c>
      <c r="B14" s="597">
        <v>1</v>
      </c>
      <c r="C14" s="589">
        <v>1</v>
      </c>
      <c r="D14" s="589">
        <v>1</v>
      </c>
      <c r="E14" s="589">
        <v>0</v>
      </c>
      <c r="F14" s="589">
        <v>0</v>
      </c>
      <c r="G14" s="589">
        <v>0</v>
      </c>
      <c r="H14" s="589">
        <v>0</v>
      </c>
      <c r="I14" s="589">
        <v>0</v>
      </c>
      <c r="J14" s="589">
        <v>0</v>
      </c>
      <c r="K14" s="589">
        <v>0</v>
      </c>
      <c r="L14" s="598">
        <v>0</v>
      </c>
      <c r="M14" s="589">
        <f t="shared" si="0"/>
        <v>3</v>
      </c>
      <c r="O14" s="28">
        <v>9</v>
      </c>
      <c r="P14" s="28">
        <v>11</v>
      </c>
      <c r="Q14" s="28">
        <v>4</v>
      </c>
      <c r="R14" s="28">
        <v>0.36363636363636365</v>
      </c>
      <c r="S14" s="28">
        <v>0.25454545454545452</v>
      </c>
    </row>
    <row r="15" spans="1:19">
      <c r="A15" s="589">
        <f t="shared" si="1"/>
        <v>12</v>
      </c>
      <c r="B15" s="599">
        <v>1</v>
      </c>
      <c r="C15" s="600">
        <v>0</v>
      </c>
      <c r="D15" s="600">
        <v>0</v>
      </c>
      <c r="E15" s="600">
        <v>1</v>
      </c>
      <c r="F15" s="600">
        <v>0</v>
      </c>
      <c r="G15" s="600">
        <v>0</v>
      </c>
      <c r="H15" s="600">
        <v>0</v>
      </c>
      <c r="I15" s="600">
        <v>0</v>
      </c>
      <c r="J15" s="600">
        <v>0</v>
      </c>
      <c r="K15" s="600">
        <v>0</v>
      </c>
      <c r="L15" s="601">
        <v>0</v>
      </c>
      <c r="M15" s="589">
        <f t="shared" si="0"/>
        <v>2</v>
      </c>
      <c r="O15" s="28">
        <v>10</v>
      </c>
      <c r="P15" s="28">
        <v>11</v>
      </c>
      <c r="Q15" s="28">
        <v>3</v>
      </c>
      <c r="R15" s="28">
        <v>0.27272727272727271</v>
      </c>
      <c r="S15" s="28">
        <v>0.21818181818181817</v>
      </c>
    </row>
    <row r="16" spans="1:19">
      <c r="A16" s="589" t="s">
        <v>12</v>
      </c>
      <c r="B16" s="589">
        <f>SUM(B4:B15)</f>
        <v>10</v>
      </c>
      <c r="C16" s="589">
        <f t="shared" ref="C16:L16" si="2">SUM(C4:C15)</f>
        <v>9</v>
      </c>
      <c r="D16" s="589">
        <f t="shared" si="2"/>
        <v>9</v>
      </c>
      <c r="E16" s="589">
        <f t="shared" si="2"/>
        <v>9</v>
      </c>
      <c r="F16" s="589">
        <f t="shared" si="2"/>
        <v>8</v>
      </c>
      <c r="G16" s="589">
        <f t="shared" si="2"/>
        <v>6</v>
      </c>
      <c r="H16" s="589">
        <f t="shared" si="2"/>
        <v>5</v>
      </c>
      <c r="I16" s="589">
        <f t="shared" si="2"/>
        <v>5</v>
      </c>
      <c r="J16" s="589">
        <f t="shared" si="2"/>
        <v>4</v>
      </c>
      <c r="K16" s="589">
        <f t="shared" si="2"/>
        <v>3</v>
      </c>
      <c r="L16" s="589">
        <f t="shared" si="2"/>
        <v>1</v>
      </c>
      <c r="M16" s="589">
        <f t="shared" si="0"/>
        <v>69</v>
      </c>
      <c r="O16" s="28">
        <v>11</v>
      </c>
      <c r="P16" s="28">
        <v>11</v>
      </c>
      <c r="Q16" s="28">
        <v>3</v>
      </c>
      <c r="R16" s="28">
        <v>0.27272727272727271</v>
      </c>
      <c r="S16" s="28">
        <v>0.21818181818181817</v>
      </c>
    </row>
    <row r="17" spans="1:19">
      <c r="A17" s="589" t="s">
        <v>1409</v>
      </c>
      <c r="B17" s="589">
        <f>VARP(B4:B15)</f>
        <v>0.1388888888888889</v>
      </c>
      <c r="C17" s="589">
        <f t="shared" ref="C17:L17" si="3">VARP(C4:C15)</f>
        <v>0.1875</v>
      </c>
      <c r="D17" s="589">
        <f t="shared" si="3"/>
        <v>0.1875</v>
      </c>
      <c r="E17" s="589">
        <f t="shared" si="3"/>
        <v>0.1875</v>
      </c>
      <c r="F17" s="589">
        <f t="shared" si="3"/>
        <v>0.22222222222222221</v>
      </c>
      <c r="G17" s="589">
        <f t="shared" si="3"/>
        <v>0.25</v>
      </c>
      <c r="H17" s="589">
        <f t="shared" si="3"/>
        <v>0.24305555555555555</v>
      </c>
      <c r="I17" s="589">
        <f t="shared" si="3"/>
        <v>0.24305555555555555</v>
      </c>
      <c r="J17" s="589">
        <f t="shared" si="3"/>
        <v>0.22222222222222221</v>
      </c>
      <c r="K17" s="589">
        <f t="shared" si="3"/>
        <v>0.1875</v>
      </c>
      <c r="L17" s="589">
        <f t="shared" si="3"/>
        <v>7.6388888888888895E-2</v>
      </c>
      <c r="M17" s="589">
        <f>SUM(B17:L17)</f>
        <v>2.1458333333333335</v>
      </c>
      <c r="O17" s="28">
        <v>12</v>
      </c>
      <c r="P17" s="28">
        <v>11</v>
      </c>
      <c r="Q17" s="28">
        <v>2</v>
      </c>
      <c r="R17" s="28">
        <v>0.18181818181818182</v>
      </c>
      <c r="S17" s="28">
        <v>0.16363636363636364</v>
      </c>
    </row>
    <row r="18" spans="1:19">
      <c r="O18" s="28"/>
      <c r="P18" s="28"/>
      <c r="Q18" s="28"/>
      <c r="R18" s="28"/>
      <c r="S18" s="28"/>
    </row>
    <row r="19" spans="1:19">
      <c r="A19" s="592" t="s">
        <v>169</v>
      </c>
      <c r="B19" s="542">
        <f>COUNTA(B3:L3)</f>
        <v>11</v>
      </c>
      <c r="O19" s="28" t="s">
        <v>166</v>
      </c>
      <c r="P19" s="28">
        <v>12</v>
      </c>
      <c r="Q19" s="28">
        <v>10</v>
      </c>
      <c r="R19" s="28">
        <v>0.83333333333333337</v>
      </c>
      <c r="S19" s="28">
        <v>0.15151515151515146</v>
      </c>
    </row>
    <row r="20" spans="1:19">
      <c r="A20" s="162" t="s">
        <v>1410</v>
      </c>
      <c r="B20" s="376">
        <f>M17</f>
        <v>2.1458333333333335</v>
      </c>
      <c r="O20" s="28" t="s">
        <v>1397</v>
      </c>
      <c r="P20" s="28">
        <v>12</v>
      </c>
      <c r="Q20" s="28">
        <v>9</v>
      </c>
      <c r="R20" s="28">
        <v>0.75</v>
      </c>
      <c r="S20" s="28">
        <v>0.20454545454545456</v>
      </c>
    </row>
    <row r="21" spans="1:19">
      <c r="A21" s="592" t="s">
        <v>66</v>
      </c>
      <c r="B21" s="376">
        <f xml:space="preserve"> VARP(M4:M15)</f>
        <v>6.520833333333333</v>
      </c>
      <c r="O21" s="28" t="s">
        <v>1398</v>
      </c>
      <c r="P21" s="28">
        <v>12</v>
      </c>
      <c r="Q21" s="28">
        <v>9</v>
      </c>
      <c r="R21" s="28">
        <v>0.75</v>
      </c>
      <c r="S21" s="28">
        <v>0.20454545454545456</v>
      </c>
    </row>
    <row r="22" spans="1:19">
      <c r="A22" s="604" t="s">
        <v>157</v>
      </c>
      <c r="B22" s="544">
        <f>(B19/(B19-1))*(1-B20/B21)</f>
        <v>0.73801916932907352</v>
      </c>
      <c r="O22" s="28" t="s">
        <v>1399</v>
      </c>
      <c r="P22" s="28">
        <v>12</v>
      </c>
      <c r="Q22" s="28">
        <v>9</v>
      </c>
      <c r="R22" s="28">
        <v>0.75</v>
      </c>
      <c r="S22" s="28">
        <v>0.20454545454545456</v>
      </c>
    </row>
    <row r="23" spans="1:19">
      <c r="A23" s="604"/>
      <c r="B23" s="8"/>
      <c r="O23" s="28" t="s">
        <v>1400</v>
      </c>
      <c r="P23" s="28">
        <v>12</v>
      </c>
      <c r="Q23" s="28">
        <v>8</v>
      </c>
      <c r="R23" s="28">
        <v>0.66666666666666663</v>
      </c>
      <c r="S23" s="28">
        <v>0.24242424242424246</v>
      </c>
    </row>
    <row r="24" spans="1:19">
      <c r="A24" s="1447" t="s">
        <v>1412</v>
      </c>
      <c r="B24" s="8"/>
      <c r="O24" s="28" t="s">
        <v>1401</v>
      </c>
      <c r="P24" s="28">
        <v>12</v>
      </c>
      <c r="Q24" s="28">
        <v>6</v>
      </c>
      <c r="R24" s="28">
        <v>0.5</v>
      </c>
      <c r="S24" s="28">
        <v>0.27272727272727271</v>
      </c>
    </row>
    <row r="25" spans="1:19">
      <c r="O25" s="28" t="s">
        <v>1402</v>
      </c>
      <c r="P25" s="28">
        <v>12</v>
      </c>
      <c r="Q25" s="28">
        <v>5</v>
      </c>
      <c r="R25" s="28">
        <v>0.41666666666666669</v>
      </c>
      <c r="S25" s="28">
        <v>0.26515151515151514</v>
      </c>
    </row>
    <row r="26" spans="1:19">
      <c r="B26" s="549" t="s">
        <v>166</v>
      </c>
      <c r="C26" s="549" t="s">
        <v>1397</v>
      </c>
      <c r="D26" s="549" t="s">
        <v>1398</v>
      </c>
      <c r="E26" s="549" t="s">
        <v>1399</v>
      </c>
      <c r="F26" s="549" t="s">
        <v>1400</v>
      </c>
      <c r="G26" s="549" t="s">
        <v>1401</v>
      </c>
      <c r="H26" s="549" t="s">
        <v>1402</v>
      </c>
      <c r="I26" s="549" t="s">
        <v>1403</v>
      </c>
      <c r="J26" s="549" t="s">
        <v>1404</v>
      </c>
      <c r="K26" s="549" t="s">
        <v>1405</v>
      </c>
      <c r="L26" s="549" t="s">
        <v>1406</v>
      </c>
      <c r="O26" s="28" t="s">
        <v>1403</v>
      </c>
      <c r="P26" s="28">
        <v>12</v>
      </c>
      <c r="Q26" s="28">
        <v>5</v>
      </c>
      <c r="R26" s="28">
        <v>0.41666666666666669</v>
      </c>
      <c r="S26" s="28">
        <v>0.26515151515151514</v>
      </c>
    </row>
    <row r="27" spans="1:19">
      <c r="A27" s="589">
        <v>1</v>
      </c>
      <c r="B27" s="594">
        <f>$M4-B4</f>
        <v>10</v>
      </c>
      <c r="C27" s="595">
        <f t="shared" ref="C27:L27" si="4">$M4-C4</f>
        <v>10</v>
      </c>
      <c r="D27" s="595">
        <f t="shared" si="4"/>
        <v>10</v>
      </c>
      <c r="E27" s="595">
        <f t="shared" si="4"/>
        <v>10</v>
      </c>
      <c r="F27" s="595">
        <f t="shared" si="4"/>
        <v>10</v>
      </c>
      <c r="G27" s="595">
        <f t="shared" si="4"/>
        <v>10</v>
      </c>
      <c r="H27" s="595">
        <f t="shared" si="4"/>
        <v>10</v>
      </c>
      <c r="I27" s="595">
        <f t="shared" si="4"/>
        <v>10</v>
      </c>
      <c r="J27" s="595">
        <f t="shared" si="4"/>
        <v>10</v>
      </c>
      <c r="K27" s="595">
        <f t="shared" si="4"/>
        <v>10</v>
      </c>
      <c r="L27" s="596">
        <f t="shared" si="4"/>
        <v>10</v>
      </c>
      <c r="O27" s="28" t="s">
        <v>1404</v>
      </c>
      <c r="P27" s="28">
        <v>12</v>
      </c>
      <c r="Q27" s="28">
        <v>4</v>
      </c>
      <c r="R27" s="28">
        <v>0.33333333333333331</v>
      </c>
      <c r="S27" s="28">
        <v>0.24242424242424246</v>
      </c>
    </row>
    <row r="28" spans="1:19">
      <c r="A28" s="589">
        <f>A27+1</f>
        <v>2</v>
      </c>
      <c r="B28" s="605">
        <f t="shared" ref="B28:L28" si="5">$M5-B5</f>
        <v>8</v>
      </c>
      <c r="C28" s="589">
        <f t="shared" si="5"/>
        <v>8</v>
      </c>
      <c r="D28" s="589">
        <f t="shared" si="5"/>
        <v>8</v>
      </c>
      <c r="E28" s="589">
        <f t="shared" si="5"/>
        <v>8</v>
      </c>
      <c r="F28" s="589">
        <f t="shared" si="5"/>
        <v>8</v>
      </c>
      <c r="G28" s="589">
        <f t="shared" si="5"/>
        <v>8</v>
      </c>
      <c r="H28" s="589">
        <f t="shared" si="5"/>
        <v>8</v>
      </c>
      <c r="I28" s="589">
        <f t="shared" si="5"/>
        <v>8</v>
      </c>
      <c r="J28" s="589">
        <f t="shared" si="5"/>
        <v>9</v>
      </c>
      <c r="K28" s="589">
        <f t="shared" si="5"/>
        <v>8</v>
      </c>
      <c r="L28" s="598">
        <f t="shared" si="5"/>
        <v>9</v>
      </c>
      <c r="O28" s="28" t="s">
        <v>1405</v>
      </c>
      <c r="P28" s="28">
        <v>12</v>
      </c>
      <c r="Q28" s="28">
        <v>3</v>
      </c>
      <c r="R28" s="28">
        <v>0.25</v>
      </c>
      <c r="S28" s="28">
        <v>0.20454545454545456</v>
      </c>
    </row>
    <row r="29" spans="1:19" ht="15" thickBot="1">
      <c r="A29" s="589">
        <f t="shared" ref="A29:A38" si="6">A28+1</f>
        <v>3</v>
      </c>
      <c r="B29" s="605">
        <f t="shared" ref="B29:L29" si="7">$M6-B6</f>
        <v>7</v>
      </c>
      <c r="C29" s="589">
        <f t="shared" si="7"/>
        <v>8</v>
      </c>
      <c r="D29" s="589">
        <f t="shared" si="7"/>
        <v>7</v>
      </c>
      <c r="E29" s="589">
        <f t="shared" si="7"/>
        <v>7</v>
      </c>
      <c r="F29" s="589">
        <f t="shared" si="7"/>
        <v>7</v>
      </c>
      <c r="G29" s="589">
        <f t="shared" si="7"/>
        <v>7</v>
      </c>
      <c r="H29" s="589">
        <f t="shared" si="7"/>
        <v>7</v>
      </c>
      <c r="I29" s="589">
        <f t="shared" si="7"/>
        <v>7</v>
      </c>
      <c r="J29" s="589">
        <f t="shared" si="7"/>
        <v>7</v>
      </c>
      <c r="K29" s="589">
        <f t="shared" si="7"/>
        <v>8</v>
      </c>
      <c r="L29" s="598">
        <f t="shared" si="7"/>
        <v>8</v>
      </c>
      <c r="O29" s="31" t="s">
        <v>1406</v>
      </c>
      <c r="P29" s="31">
        <v>12</v>
      </c>
      <c r="Q29" s="31">
        <v>1</v>
      </c>
      <c r="R29" s="31">
        <v>8.3333333333333329E-2</v>
      </c>
      <c r="S29" s="31">
        <v>8.3333333333333329E-2</v>
      </c>
    </row>
    <row r="30" spans="1:19">
      <c r="A30" s="589">
        <f t="shared" si="6"/>
        <v>4</v>
      </c>
      <c r="B30" s="605">
        <f t="shared" ref="B30:L30" si="8">$M7-B7</f>
        <v>6</v>
      </c>
      <c r="C30" s="589">
        <f t="shared" si="8"/>
        <v>6</v>
      </c>
      <c r="D30" s="589">
        <f t="shared" si="8"/>
        <v>6</v>
      </c>
      <c r="E30" s="589">
        <f t="shared" si="8"/>
        <v>7</v>
      </c>
      <c r="F30" s="589">
        <f t="shared" si="8"/>
        <v>6</v>
      </c>
      <c r="G30" s="589">
        <f t="shared" si="8"/>
        <v>6</v>
      </c>
      <c r="H30" s="589">
        <f t="shared" si="8"/>
        <v>7</v>
      </c>
      <c r="I30" s="589">
        <f t="shared" si="8"/>
        <v>6</v>
      </c>
      <c r="J30" s="589">
        <f t="shared" si="8"/>
        <v>6</v>
      </c>
      <c r="K30" s="589">
        <f t="shared" si="8"/>
        <v>7</v>
      </c>
      <c r="L30" s="598">
        <f t="shared" si="8"/>
        <v>7</v>
      </c>
    </row>
    <row r="31" spans="1:19">
      <c r="A31" s="589">
        <f t="shared" si="6"/>
        <v>5</v>
      </c>
      <c r="B31" s="605">
        <f t="shared" ref="B31:L31" si="9">$M8-B8</f>
        <v>5</v>
      </c>
      <c r="C31" s="589">
        <f t="shared" si="9"/>
        <v>5</v>
      </c>
      <c r="D31" s="589">
        <f t="shared" si="9"/>
        <v>5</v>
      </c>
      <c r="E31" s="589">
        <f t="shared" si="9"/>
        <v>5</v>
      </c>
      <c r="F31" s="589">
        <f t="shared" si="9"/>
        <v>5</v>
      </c>
      <c r="G31" s="589">
        <f t="shared" si="9"/>
        <v>6</v>
      </c>
      <c r="H31" s="589">
        <f t="shared" si="9"/>
        <v>6</v>
      </c>
      <c r="I31" s="589">
        <f t="shared" si="9"/>
        <v>6</v>
      </c>
      <c r="J31" s="589">
        <f t="shared" si="9"/>
        <v>5</v>
      </c>
      <c r="K31" s="589">
        <f t="shared" si="9"/>
        <v>6</v>
      </c>
      <c r="L31" s="598">
        <f t="shared" si="9"/>
        <v>6</v>
      </c>
    </row>
    <row r="32" spans="1:19" ht="15" thickBot="1">
      <c r="A32" s="589">
        <f t="shared" si="6"/>
        <v>6</v>
      </c>
      <c r="B32" s="605">
        <f t="shared" ref="B32:L32" si="10">$M9-B9</f>
        <v>6</v>
      </c>
      <c r="C32" s="589">
        <f t="shared" si="10"/>
        <v>5</v>
      </c>
      <c r="D32" s="589">
        <f t="shared" si="10"/>
        <v>5</v>
      </c>
      <c r="E32" s="589">
        <f t="shared" si="10"/>
        <v>6</v>
      </c>
      <c r="F32" s="589">
        <f t="shared" si="10"/>
        <v>5</v>
      </c>
      <c r="G32" s="589">
        <f t="shared" si="10"/>
        <v>5</v>
      </c>
      <c r="H32" s="589">
        <f t="shared" si="10"/>
        <v>5</v>
      </c>
      <c r="I32" s="589">
        <f t="shared" si="10"/>
        <v>5</v>
      </c>
      <c r="J32" s="589">
        <f t="shared" si="10"/>
        <v>6</v>
      </c>
      <c r="K32" s="589">
        <f t="shared" si="10"/>
        <v>6</v>
      </c>
      <c r="L32" s="598">
        <f t="shared" si="10"/>
        <v>6</v>
      </c>
      <c r="O32" t="s">
        <v>695</v>
      </c>
    </row>
    <row r="33" spans="1:29">
      <c r="A33" s="589">
        <f t="shared" si="6"/>
        <v>7</v>
      </c>
      <c r="B33" s="605">
        <f t="shared" ref="B33:L33" si="11">$M10-B10</f>
        <v>4</v>
      </c>
      <c r="C33" s="589">
        <f t="shared" si="11"/>
        <v>4</v>
      </c>
      <c r="D33" s="589">
        <f t="shared" si="11"/>
        <v>4</v>
      </c>
      <c r="E33" s="589">
        <f t="shared" si="11"/>
        <v>4</v>
      </c>
      <c r="F33" s="589">
        <f t="shared" si="11"/>
        <v>5</v>
      </c>
      <c r="G33" s="589">
        <f t="shared" si="11"/>
        <v>5</v>
      </c>
      <c r="H33" s="589">
        <f t="shared" si="11"/>
        <v>4</v>
      </c>
      <c r="I33" s="589">
        <f t="shared" si="11"/>
        <v>5</v>
      </c>
      <c r="J33" s="589">
        <f t="shared" si="11"/>
        <v>5</v>
      </c>
      <c r="K33" s="589">
        <f t="shared" si="11"/>
        <v>5</v>
      </c>
      <c r="L33" s="598">
        <f t="shared" si="11"/>
        <v>5</v>
      </c>
      <c r="O33" s="550" t="s">
        <v>887</v>
      </c>
      <c r="P33" s="550" t="s">
        <v>578</v>
      </c>
      <c r="Q33" s="550" t="s">
        <v>186</v>
      </c>
      <c r="R33" s="550" t="s">
        <v>641</v>
      </c>
      <c r="S33" s="550" t="s">
        <v>388</v>
      </c>
      <c r="T33" s="550" t="s">
        <v>367</v>
      </c>
      <c r="U33" s="550" t="s">
        <v>888</v>
      </c>
    </row>
    <row r="34" spans="1:29">
      <c r="A34" s="589">
        <f t="shared" si="6"/>
        <v>8</v>
      </c>
      <c r="B34" s="605">
        <f t="shared" ref="B34:L34" si="12">$M11-B11</f>
        <v>4</v>
      </c>
      <c r="C34" s="589">
        <f t="shared" si="12"/>
        <v>4</v>
      </c>
      <c r="D34" s="589">
        <f t="shared" si="12"/>
        <v>4</v>
      </c>
      <c r="E34" s="589">
        <f t="shared" si="12"/>
        <v>4</v>
      </c>
      <c r="F34" s="589">
        <f t="shared" si="12"/>
        <v>4</v>
      </c>
      <c r="G34" s="589">
        <f t="shared" si="12"/>
        <v>5</v>
      </c>
      <c r="H34" s="589">
        <f t="shared" si="12"/>
        <v>5</v>
      </c>
      <c r="I34" s="589">
        <f t="shared" si="12"/>
        <v>5</v>
      </c>
      <c r="J34" s="589">
        <f t="shared" si="12"/>
        <v>5</v>
      </c>
      <c r="K34" s="589">
        <f t="shared" si="12"/>
        <v>5</v>
      </c>
      <c r="L34" s="598">
        <f t="shared" si="12"/>
        <v>5</v>
      </c>
      <c r="O34" s="28" t="s">
        <v>390</v>
      </c>
      <c r="P34" s="28">
        <v>7.1136363636363491</v>
      </c>
      <c r="Q34" s="28">
        <v>11</v>
      </c>
      <c r="R34" s="28">
        <v>0.64669421487603174</v>
      </c>
      <c r="S34" s="28">
        <v>3.8170731707316961</v>
      </c>
      <c r="T34" s="28">
        <v>1.166989319379249E-4</v>
      </c>
      <c r="U34" s="28">
        <v>1.8767319839177952</v>
      </c>
    </row>
    <row r="35" spans="1:29">
      <c r="A35" s="589">
        <f t="shared" si="6"/>
        <v>9</v>
      </c>
      <c r="B35" s="605">
        <f t="shared" ref="B35:L35" si="13">$M12-B12</f>
        <v>4</v>
      </c>
      <c r="C35" s="589">
        <f t="shared" si="13"/>
        <v>3</v>
      </c>
      <c r="D35" s="589">
        <f t="shared" si="13"/>
        <v>4</v>
      </c>
      <c r="E35" s="589">
        <f t="shared" si="13"/>
        <v>3</v>
      </c>
      <c r="F35" s="589">
        <f t="shared" si="13"/>
        <v>3</v>
      </c>
      <c r="G35" s="589">
        <f t="shared" si="13"/>
        <v>4</v>
      </c>
      <c r="H35" s="589">
        <f t="shared" si="13"/>
        <v>4</v>
      </c>
      <c r="I35" s="589">
        <f t="shared" si="13"/>
        <v>4</v>
      </c>
      <c r="J35" s="589">
        <f t="shared" si="13"/>
        <v>4</v>
      </c>
      <c r="K35" s="589">
        <f t="shared" si="13"/>
        <v>3</v>
      </c>
      <c r="L35" s="598">
        <f t="shared" si="13"/>
        <v>4</v>
      </c>
      <c r="O35" s="28" t="s">
        <v>1010</v>
      </c>
      <c r="P35" s="28">
        <v>7.1818181818181621</v>
      </c>
      <c r="Q35" s="28">
        <v>10</v>
      </c>
      <c r="R35" s="28">
        <v>0.71818181818181626</v>
      </c>
      <c r="S35" s="28">
        <v>4.2390243902438876</v>
      </c>
      <c r="T35" s="28">
        <v>5.4099417408762222E-5</v>
      </c>
      <c r="U35" s="28">
        <v>1.9178271403928664</v>
      </c>
    </row>
    <row r="36" spans="1:29">
      <c r="A36" s="589">
        <f t="shared" si="6"/>
        <v>10</v>
      </c>
      <c r="B36" s="605">
        <f t="shared" ref="B36:L36" si="14">$M13-B13</f>
        <v>2</v>
      </c>
      <c r="C36" s="589">
        <f t="shared" si="14"/>
        <v>3</v>
      </c>
      <c r="D36" s="589">
        <f t="shared" si="14"/>
        <v>3</v>
      </c>
      <c r="E36" s="589">
        <f t="shared" si="14"/>
        <v>2</v>
      </c>
      <c r="F36" s="589">
        <f t="shared" si="14"/>
        <v>3</v>
      </c>
      <c r="G36" s="589">
        <f t="shared" si="14"/>
        <v>2</v>
      </c>
      <c r="H36" s="589">
        <f t="shared" si="14"/>
        <v>3</v>
      </c>
      <c r="I36" s="589">
        <f t="shared" si="14"/>
        <v>3</v>
      </c>
      <c r="J36" s="589">
        <f t="shared" si="14"/>
        <v>3</v>
      </c>
      <c r="K36" s="589">
        <f t="shared" si="14"/>
        <v>3</v>
      </c>
      <c r="L36" s="598">
        <f t="shared" si="14"/>
        <v>3</v>
      </c>
      <c r="O36" s="28" t="s">
        <v>1009</v>
      </c>
      <c r="P36" s="28">
        <v>18.636363636363654</v>
      </c>
      <c r="Q36" s="28">
        <v>110</v>
      </c>
      <c r="R36" s="28">
        <v>0.16942148760330594</v>
      </c>
      <c r="S36" s="28"/>
      <c r="T36" s="28"/>
      <c r="U36" s="28"/>
    </row>
    <row r="37" spans="1:29">
      <c r="A37" s="589">
        <f t="shared" si="6"/>
        <v>11</v>
      </c>
      <c r="B37" s="605">
        <f t="shared" ref="B37:L37" si="15">$M14-B14</f>
        <v>2</v>
      </c>
      <c r="C37" s="589">
        <f t="shared" si="15"/>
        <v>2</v>
      </c>
      <c r="D37" s="589">
        <f t="shared" si="15"/>
        <v>2</v>
      </c>
      <c r="E37" s="589">
        <f t="shared" si="15"/>
        <v>3</v>
      </c>
      <c r="F37" s="589">
        <f t="shared" si="15"/>
        <v>3</v>
      </c>
      <c r="G37" s="589">
        <f t="shared" si="15"/>
        <v>3</v>
      </c>
      <c r="H37" s="589">
        <f t="shared" si="15"/>
        <v>3</v>
      </c>
      <c r="I37" s="589">
        <f t="shared" si="15"/>
        <v>3</v>
      </c>
      <c r="J37" s="589">
        <f t="shared" si="15"/>
        <v>3</v>
      </c>
      <c r="K37" s="589">
        <f t="shared" si="15"/>
        <v>3</v>
      </c>
      <c r="L37" s="598">
        <f t="shared" si="15"/>
        <v>3</v>
      </c>
      <c r="O37" s="28"/>
      <c r="P37" s="28"/>
      <c r="Q37" s="28"/>
      <c r="R37" s="28"/>
      <c r="S37" s="28"/>
      <c r="T37" s="28"/>
      <c r="U37" s="28"/>
    </row>
    <row r="38" spans="1:29" ht="15" thickBot="1">
      <c r="A38" s="589">
        <f t="shared" si="6"/>
        <v>12</v>
      </c>
      <c r="B38" s="599">
        <f t="shared" ref="B38:L38" si="16">$M15-B15</f>
        <v>1</v>
      </c>
      <c r="C38" s="606">
        <f t="shared" si="16"/>
        <v>2</v>
      </c>
      <c r="D38" s="606">
        <f t="shared" si="16"/>
        <v>2</v>
      </c>
      <c r="E38" s="606">
        <f t="shared" si="16"/>
        <v>1</v>
      </c>
      <c r="F38" s="606">
        <f t="shared" si="16"/>
        <v>2</v>
      </c>
      <c r="G38" s="606">
        <f t="shared" si="16"/>
        <v>2</v>
      </c>
      <c r="H38" s="606">
        <f t="shared" si="16"/>
        <v>2</v>
      </c>
      <c r="I38" s="606">
        <f t="shared" si="16"/>
        <v>2</v>
      </c>
      <c r="J38" s="606">
        <f t="shared" si="16"/>
        <v>2</v>
      </c>
      <c r="K38" s="606">
        <f t="shared" si="16"/>
        <v>2</v>
      </c>
      <c r="L38" s="607">
        <f t="shared" si="16"/>
        <v>2</v>
      </c>
      <c r="O38" s="31" t="s">
        <v>12</v>
      </c>
      <c r="P38" s="31">
        <v>32.931818181818166</v>
      </c>
      <c r="Q38" s="31">
        <v>131</v>
      </c>
      <c r="R38" s="31"/>
      <c r="S38" s="31"/>
      <c r="T38" s="31"/>
      <c r="U38" s="31"/>
    </row>
    <row r="39" spans="1:29">
      <c r="M39" s="589"/>
    </row>
    <row r="40" spans="1:29" ht="15.6">
      <c r="A40" s="592" t="s">
        <v>169</v>
      </c>
      <c r="B40" s="553">
        <f>COUNTA($B$26:$L$26)-1</f>
        <v>10</v>
      </c>
      <c r="C40" s="557">
        <f t="shared" ref="C40:L40" si="17">COUNTA($B$26:$L$26)-1</f>
        <v>10</v>
      </c>
      <c r="D40" s="557">
        <f t="shared" si="17"/>
        <v>10</v>
      </c>
      <c r="E40" s="557">
        <f t="shared" si="17"/>
        <v>10</v>
      </c>
      <c r="F40" s="557">
        <f t="shared" si="17"/>
        <v>10</v>
      </c>
      <c r="G40" s="557">
        <f t="shared" si="17"/>
        <v>10</v>
      </c>
      <c r="H40" s="557">
        <f t="shared" si="17"/>
        <v>10</v>
      </c>
      <c r="I40" s="557">
        <f t="shared" si="17"/>
        <v>10</v>
      </c>
      <c r="J40" s="557">
        <f t="shared" si="17"/>
        <v>10</v>
      </c>
      <c r="K40" s="557">
        <f t="shared" si="17"/>
        <v>10</v>
      </c>
      <c r="L40" s="552">
        <f t="shared" si="17"/>
        <v>10</v>
      </c>
      <c r="O40" t="s">
        <v>116</v>
      </c>
      <c r="P40" s="756">
        <f>1-R36/R34</f>
        <v>0.73801916932907274</v>
      </c>
      <c r="R40" s="23" t="s">
        <v>1413</v>
      </c>
    </row>
    <row r="41" spans="1:29">
      <c r="A41" s="162" t="s">
        <v>1410</v>
      </c>
      <c r="B41" s="377">
        <f>$M17-B17</f>
        <v>2.0069444444444446</v>
      </c>
      <c r="C41" s="8">
        <f t="shared" ref="C41:L41" si="18">$M17-C17</f>
        <v>1.9583333333333335</v>
      </c>
      <c r="D41" s="8">
        <f t="shared" si="18"/>
        <v>1.9583333333333335</v>
      </c>
      <c r="E41" s="8">
        <f t="shared" si="18"/>
        <v>1.9583333333333335</v>
      </c>
      <c r="F41" s="8">
        <f t="shared" si="18"/>
        <v>1.9236111111111112</v>
      </c>
      <c r="G41" s="8">
        <f t="shared" si="18"/>
        <v>1.8958333333333335</v>
      </c>
      <c r="H41" s="8">
        <f t="shared" si="18"/>
        <v>1.9027777777777779</v>
      </c>
      <c r="I41" s="8">
        <f t="shared" si="18"/>
        <v>1.9027777777777779</v>
      </c>
      <c r="J41" s="8">
        <f t="shared" si="18"/>
        <v>1.9236111111111112</v>
      </c>
      <c r="K41" s="8">
        <f t="shared" si="18"/>
        <v>1.9583333333333335</v>
      </c>
      <c r="L41" s="9">
        <f t="shared" si="18"/>
        <v>2.0694444444444446</v>
      </c>
    </row>
    <row r="42" spans="1:29">
      <c r="A42" s="589" t="s">
        <v>66</v>
      </c>
      <c r="B42" s="605">
        <f t="shared" ref="B42:L42" si="19">VARP(B27:B38)</f>
        <v>6.4097222222222223</v>
      </c>
      <c r="C42" s="589">
        <f t="shared" si="19"/>
        <v>6</v>
      </c>
      <c r="D42" s="589">
        <f t="shared" si="19"/>
        <v>5.333333333333333</v>
      </c>
      <c r="E42" s="589">
        <f t="shared" si="19"/>
        <v>6.5</v>
      </c>
      <c r="F42" s="589">
        <f t="shared" si="19"/>
        <v>5.0763888888888893</v>
      </c>
      <c r="G42" s="589">
        <f t="shared" si="19"/>
        <v>5.1875</v>
      </c>
      <c r="H42" s="589">
        <f t="shared" si="19"/>
        <v>5.0555555555555554</v>
      </c>
      <c r="I42" s="589">
        <f t="shared" si="19"/>
        <v>4.7222222222222223</v>
      </c>
      <c r="J42" s="589">
        <f t="shared" si="19"/>
        <v>5.2430555555555554</v>
      </c>
      <c r="K42" s="589">
        <f t="shared" si="19"/>
        <v>5.583333333333333</v>
      </c>
      <c r="L42" s="598">
        <f t="shared" si="19"/>
        <v>5.7222222222222223</v>
      </c>
      <c r="O42" t="s">
        <v>2598</v>
      </c>
    </row>
    <row r="43" spans="1:29">
      <c r="A43" s="604" t="s">
        <v>157</v>
      </c>
      <c r="B43" s="558">
        <f>(B40/(B40-1))*(1-B41/B42)</f>
        <v>0.7632117491272421</v>
      </c>
      <c r="C43" s="608">
        <f t="shared" ref="C43:L43" si="20">(C40/(C40-1))*(1-C41/C42)</f>
        <v>0.74845679012345689</v>
      </c>
      <c r="D43" s="608">
        <f t="shared" si="20"/>
        <v>0.703125</v>
      </c>
      <c r="E43" s="608">
        <f t="shared" si="20"/>
        <v>0.77635327635327633</v>
      </c>
      <c r="F43" s="608">
        <f t="shared" si="20"/>
        <v>0.69007447940416478</v>
      </c>
      <c r="G43" s="608">
        <f t="shared" si="20"/>
        <v>0.70504239178937966</v>
      </c>
      <c r="H43" s="608">
        <f t="shared" si="20"/>
        <v>0.6929181929181929</v>
      </c>
      <c r="I43" s="608">
        <f t="shared" si="20"/>
        <v>0.66339869281045749</v>
      </c>
      <c r="J43" s="608">
        <f t="shared" si="20"/>
        <v>0.70345842531273006</v>
      </c>
      <c r="K43" s="608">
        <f t="shared" si="20"/>
        <v>0.72139303482587069</v>
      </c>
      <c r="L43" s="609">
        <f t="shared" si="20"/>
        <v>0.70927723840345214</v>
      </c>
    </row>
    <row r="44" spans="1:29">
      <c r="O44" t="s">
        <v>116</v>
      </c>
      <c r="P44" s="756" t="e">
        <f ca="1">[1]!CRONALPHA(B4:L15)</f>
        <v>#NAME?</v>
      </c>
      <c r="R44" s="23" t="s">
        <v>2599</v>
      </c>
    </row>
    <row r="47" spans="1:29">
      <c r="O47" t="s">
        <v>95</v>
      </c>
      <c r="AC47" t="s">
        <v>2827</v>
      </c>
    </row>
    <row r="49" spans="15:35" ht="15" thickBot="1">
      <c r="O49" t="s">
        <v>2821</v>
      </c>
      <c r="AC49" t="s">
        <v>695</v>
      </c>
      <c r="AG49" s="1238" t="s">
        <v>116</v>
      </c>
      <c r="AH49" s="1238">
        <v>0.05</v>
      </c>
    </row>
    <row r="50" spans="15:35" ht="15" thickTop="1">
      <c r="P50" s="1238" t="str">
        <f>B3</f>
        <v>Q1</v>
      </c>
      <c r="Q50" s="1238" t="str">
        <f t="shared" ref="Q50:Z50" si="21">C3</f>
        <v>Q2</v>
      </c>
      <c r="R50" s="1238" t="str">
        <f t="shared" si="21"/>
        <v>Q3</v>
      </c>
      <c r="S50" s="1238" t="str">
        <f t="shared" si="21"/>
        <v>Q4</v>
      </c>
      <c r="T50" s="1238" t="str">
        <f t="shared" si="21"/>
        <v>Q5</v>
      </c>
      <c r="U50" s="1238" t="str">
        <f t="shared" si="21"/>
        <v>Q6</v>
      </c>
      <c r="V50" s="1238" t="str">
        <f t="shared" si="21"/>
        <v>Q7</v>
      </c>
      <c r="W50" s="1238" t="str">
        <f t="shared" si="21"/>
        <v>Q8</v>
      </c>
      <c r="X50" s="1238" t="str">
        <f t="shared" si="21"/>
        <v>Q9</v>
      </c>
      <c r="Y50" s="1238" t="str">
        <f t="shared" si="21"/>
        <v>Q10</v>
      </c>
      <c r="Z50" s="1238" t="str">
        <f t="shared" si="21"/>
        <v>Q11</v>
      </c>
      <c r="AC50" s="1151"/>
      <c r="AD50" s="1151" t="s">
        <v>578</v>
      </c>
      <c r="AE50" s="1151" t="s">
        <v>186</v>
      </c>
      <c r="AF50" s="1151" t="s">
        <v>641</v>
      </c>
      <c r="AG50" s="1151" t="s">
        <v>388</v>
      </c>
      <c r="AH50" s="1151" t="s">
        <v>200</v>
      </c>
      <c r="AI50" s="1151" t="s">
        <v>948</v>
      </c>
    </row>
    <row r="51" spans="15:35">
      <c r="O51">
        <f t="shared" ref="O51:O62" si="22">A4</f>
        <v>1</v>
      </c>
      <c r="P51" s="1232">
        <f t="shared" ref="P51:P62" si="23">COUNT(B4)</f>
        <v>1</v>
      </c>
      <c r="Q51" s="1114">
        <f t="shared" ref="Q51:Z51" si="24">COUNT(C4)</f>
        <v>1</v>
      </c>
      <c r="R51" s="1114">
        <f t="shared" si="24"/>
        <v>1</v>
      </c>
      <c r="S51" s="1114">
        <f t="shared" si="24"/>
        <v>1</v>
      </c>
      <c r="T51" s="1114">
        <f t="shared" si="24"/>
        <v>1</v>
      </c>
      <c r="U51" s="1114">
        <f t="shared" si="24"/>
        <v>1</v>
      </c>
      <c r="V51" s="1114">
        <f t="shared" si="24"/>
        <v>1</v>
      </c>
      <c r="W51" s="1114">
        <f t="shared" si="24"/>
        <v>1</v>
      </c>
      <c r="X51" s="1114">
        <f t="shared" si="24"/>
        <v>1</v>
      </c>
      <c r="Y51" s="1114">
        <f t="shared" si="24"/>
        <v>1</v>
      </c>
      <c r="Z51" s="1233">
        <f t="shared" si="24"/>
        <v>1</v>
      </c>
      <c r="AA51">
        <f t="shared" ref="AA51:AA62" si="25">COUNT(B4:L4)</f>
        <v>11</v>
      </c>
      <c r="AC51" t="s">
        <v>390</v>
      </c>
      <c r="AD51">
        <f>DEVSQ(AA67:AA78)*AA51</f>
        <v>7.1136363636363633</v>
      </c>
      <c r="AE51">
        <f>COUNT(AA67:AA78)-1</f>
        <v>11</v>
      </c>
      <c r="AF51">
        <f>AD51/AE51</f>
        <v>0.64669421487603307</v>
      </c>
      <c r="AG51">
        <f>AF51/AF53</f>
        <v>3.817073170731708</v>
      </c>
      <c r="AH51">
        <f>FDIST(AG51,AE51,AE53)</f>
        <v>1.166989319379202E-4</v>
      </c>
      <c r="AI51" s="1238" t="str">
        <f>IF(AH51&lt;AH49,"yes","no")</f>
        <v>yes</v>
      </c>
    </row>
    <row r="52" spans="15:35">
      <c r="O52">
        <f t="shared" si="22"/>
        <v>2</v>
      </c>
      <c r="P52" s="625">
        <f t="shared" si="23"/>
        <v>1</v>
      </c>
      <c r="Q52" s="8">
        <f t="shared" ref="Q52:Z52" si="26">COUNT(C5)</f>
        <v>1</v>
      </c>
      <c r="R52" s="8">
        <f t="shared" si="26"/>
        <v>1</v>
      </c>
      <c r="S52" s="8">
        <f t="shared" si="26"/>
        <v>1</v>
      </c>
      <c r="T52" s="8">
        <f t="shared" si="26"/>
        <v>1</v>
      </c>
      <c r="U52" s="8">
        <f t="shared" si="26"/>
        <v>1</v>
      </c>
      <c r="V52" s="8">
        <f t="shared" si="26"/>
        <v>1</v>
      </c>
      <c r="W52" s="8">
        <f t="shared" si="26"/>
        <v>1</v>
      </c>
      <c r="X52" s="8">
        <f t="shared" si="26"/>
        <v>1</v>
      </c>
      <c r="Y52" s="8">
        <f t="shared" si="26"/>
        <v>1</v>
      </c>
      <c r="Z52" s="132">
        <f t="shared" si="26"/>
        <v>1</v>
      </c>
      <c r="AA52">
        <f t="shared" si="25"/>
        <v>11</v>
      </c>
      <c r="AC52" t="s">
        <v>1010</v>
      </c>
      <c r="AD52">
        <f>DEVSQ(P79:Z79)*P63</f>
        <v>7.1818181818181817</v>
      </c>
      <c r="AE52">
        <f>COUNT(P79:Z79)-1</f>
        <v>10</v>
      </c>
      <c r="AF52">
        <f>AD52/AE52</f>
        <v>0.71818181818181814</v>
      </c>
      <c r="AG52">
        <f>AF52/AF53</f>
        <v>4.2390243902439035</v>
      </c>
      <c r="AH52">
        <f>FDIST(AG52,AE52,AE53)</f>
        <v>5.4099417408759824E-5</v>
      </c>
      <c r="AI52" s="1238" t="str">
        <f>IF(AH52&lt;AH49,"yes","no")</f>
        <v>yes</v>
      </c>
    </row>
    <row r="53" spans="15:35">
      <c r="O53">
        <f t="shared" si="22"/>
        <v>3</v>
      </c>
      <c r="P53" s="625">
        <f t="shared" si="23"/>
        <v>1</v>
      </c>
      <c r="Q53" s="8">
        <f t="shared" ref="Q53:Z53" si="27">COUNT(C6)</f>
        <v>1</v>
      </c>
      <c r="R53" s="8">
        <f t="shared" si="27"/>
        <v>1</v>
      </c>
      <c r="S53" s="8">
        <f t="shared" si="27"/>
        <v>1</v>
      </c>
      <c r="T53" s="8">
        <f t="shared" si="27"/>
        <v>1</v>
      </c>
      <c r="U53" s="8">
        <f t="shared" si="27"/>
        <v>1</v>
      </c>
      <c r="V53" s="8">
        <f t="shared" si="27"/>
        <v>1</v>
      </c>
      <c r="W53" s="8">
        <f t="shared" si="27"/>
        <v>1</v>
      </c>
      <c r="X53" s="8">
        <f t="shared" si="27"/>
        <v>1</v>
      </c>
      <c r="Y53" s="8">
        <f t="shared" si="27"/>
        <v>1</v>
      </c>
      <c r="Z53" s="132">
        <f t="shared" si="27"/>
        <v>1</v>
      </c>
      <c r="AA53">
        <f t="shared" si="25"/>
        <v>11</v>
      </c>
      <c r="AC53" t="s">
        <v>1009</v>
      </c>
      <c r="AD53">
        <f>AD55-AD51-AD52</f>
        <v>18.636363636363633</v>
      </c>
      <c r="AE53">
        <f>AE52*AE51</f>
        <v>110</v>
      </c>
      <c r="AF53">
        <f>AD53/AE53</f>
        <v>0.16942148760330575</v>
      </c>
    </row>
    <row r="54" spans="15:35">
      <c r="O54">
        <f t="shared" si="22"/>
        <v>4</v>
      </c>
      <c r="P54" s="625">
        <f t="shared" si="23"/>
        <v>1</v>
      </c>
      <c r="Q54" s="8">
        <f t="shared" ref="Q54:Z54" si="28">COUNT(C7)</f>
        <v>1</v>
      </c>
      <c r="R54" s="8">
        <f t="shared" si="28"/>
        <v>1</v>
      </c>
      <c r="S54" s="8">
        <f t="shared" si="28"/>
        <v>1</v>
      </c>
      <c r="T54" s="8">
        <f t="shared" si="28"/>
        <v>1</v>
      </c>
      <c r="U54" s="8">
        <f t="shared" si="28"/>
        <v>1</v>
      </c>
      <c r="V54" s="8">
        <f t="shared" si="28"/>
        <v>1</v>
      </c>
      <c r="W54" s="8">
        <f t="shared" si="28"/>
        <v>1</v>
      </c>
      <c r="X54" s="8">
        <f t="shared" si="28"/>
        <v>1</v>
      </c>
      <c r="Y54" s="8">
        <f t="shared" si="28"/>
        <v>1</v>
      </c>
      <c r="Z54" s="132">
        <f t="shared" si="28"/>
        <v>1</v>
      </c>
      <c r="AA54">
        <f t="shared" si="25"/>
        <v>11</v>
      </c>
    </row>
    <row r="55" spans="15:35">
      <c r="O55">
        <f t="shared" si="22"/>
        <v>5</v>
      </c>
      <c r="P55" s="625">
        <f t="shared" si="23"/>
        <v>1</v>
      </c>
      <c r="Q55" s="8">
        <f t="shared" ref="Q55:Z55" si="29">COUNT(C8)</f>
        <v>1</v>
      </c>
      <c r="R55" s="8">
        <f t="shared" si="29"/>
        <v>1</v>
      </c>
      <c r="S55" s="8">
        <f t="shared" si="29"/>
        <v>1</v>
      </c>
      <c r="T55" s="8">
        <f t="shared" si="29"/>
        <v>1</v>
      </c>
      <c r="U55" s="8">
        <f t="shared" si="29"/>
        <v>1</v>
      </c>
      <c r="V55" s="8">
        <f t="shared" si="29"/>
        <v>1</v>
      </c>
      <c r="W55" s="8">
        <f t="shared" si="29"/>
        <v>1</v>
      </c>
      <c r="X55" s="8">
        <f t="shared" si="29"/>
        <v>1</v>
      </c>
      <c r="Y55" s="8">
        <f t="shared" si="29"/>
        <v>1</v>
      </c>
      <c r="Z55" s="132">
        <f t="shared" si="29"/>
        <v>1</v>
      </c>
      <c r="AA55">
        <f t="shared" si="25"/>
        <v>11</v>
      </c>
      <c r="AC55" s="1078" t="s">
        <v>12</v>
      </c>
      <c r="AD55" s="1078">
        <f>AF55*AE55</f>
        <v>32.93181818181818</v>
      </c>
      <c r="AE55" s="1078">
        <f>AA63-1</f>
        <v>131</v>
      </c>
      <c r="AF55" s="1078">
        <f>AA95</f>
        <v>0.25138792505204716</v>
      </c>
      <c r="AG55" s="1078"/>
      <c r="AH55" s="1078"/>
      <c r="AI55" s="1078"/>
    </row>
    <row r="56" spans="15:35">
      <c r="O56">
        <f t="shared" si="22"/>
        <v>6</v>
      </c>
      <c r="P56" s="625">
        <f t="shared" si="23"/>
        <v>1</v>
      </c>
      <c r="Q56" s="8">
        <f t="shared" ref="Q56:Z56" si="30">COUNT(C9)</f>
        <v>1</v>
      </c>
      <c r="R56" s="8">
        <f t="shared" si="30"/>
        <v>1</v>
      </c>
      <c r="S56" s="8">
        <f t="shared" si="30"/>
        <v>1</v>
      </c>
      <c r="T56" s="8">
        <f t="shared" si="30"/>
        <v>1</v>
      </c>
      <c r="U56" s="8">
        <f t="shared" si="30"/>
        <v>1</v>
      </c>
      <c r="V56" s="8">
        <f t="shared" si="30"/>
        <v>1</v>
      </c>
      <c r="W56" s="8">
        <f t="shared" si="30"/>
        <v>1</v>
      </c>
      <c r="X56" s="8">
        <f t="shared" si="30"/>
        <v>1</v>
      </c>
      <c r="Y56" s="8">
        <f t="shared" si="30"/>
        <v>1</v>
      </c>
      <c r="Z56" s="132">
        <f t="shared" si="30"/>
        <v>1</v>
      </c>
      <c r="AA56">
        <f t="shared" si="25"/>
        <v>11</v>
      </c>
    </row>
    <row r="57" spans="15:35">
      <c r="O57">
        <f t="shared" si="22"/>
        <v>7</v>
      </c>
      <c r="P57" s="625">
        <f t="shared" si="23"/>
        <v>1</v>
      </c>
      <c r="Q57" s="8">
        <f t="shared" ref="Q57:Z57" si="31">COUNT(C10)</f>
        <v>1</v>
      </c>
      <c r="R57" s="8">
        <f t="shared" si="31"/>
        <v>1</v>
      </c>
      <c r="S57" s="8">
        <f t="shared" si="31"/>
        <v>1</v>
      </c>
      <c r="T57" s="8">
        <f t="shared" si="31"/>
        <v>1</v>
      </c>
      <c r="U57" s="8">
        <f t="shared" si="31"/>
        <v>1</v>
      </c>
      <c r="V57" s="8">
        <f t="shared" si="31"/>
        <v>1</v>
      </c>
      <c r="W57" s="8">
        <f t="shared" si="31"/>
        <v>1</v>
      </c>
      <c r="X57" s="8">
        <f t="shared" si="31"/>
        <v>1</v>
      </c>
      <c r="Y57" s="8">
        <f t="shared" si="31"/>
        <v>1</v>
      </c>
      <c r="Z57" s="132">
        <f t="shared" si="31"/>
        <v>1</v>
      </c>
      <c r="AA57">
        <f t="shared" si="25"/>
        <v>11</v>
      </c>
    </row>
    <row r="58" spans="15:35">
      <c r="O58">
        <f t="shared" si="22"/>
        <v>8</v>
      </c>
      <c r="P58" s="625">
        <f t="shared" si="23"/>
        <v>1</v>
      </c>
      <c r="Q58" s="8">
        <f t="shared" ref="Q58:Z58" si="32">COUNT(C11)</f>
        <v>1</v>
      </c>
      <c r="R58" s="8">
        <f t="shared" si="32"/>
        <v>1</v>
      </c>
      <c r="S58" s="8">
        <f t="shared" si="32"/>
        <v>1</v>
      </c>
      <c r="T58" s="8">
        <f t="shared" si="32"/>
        <v>1</v>
      </c>
      <c r="U58" s="8">
        <f t="shared" si="32"/>
        <v>1</v>
      </c>
      <c r="V58" s="8">
        <f t="shared" si="32"/>
        <v>1</v>
      </c>
      <c r="W58" s="8">
        <f t="shared" si="32"/>
        <v>1</v>
      </c>
      <c r="X58" s="8">
        <f t="shared" si="32"/>
        <v>1</v>
      </c>
      <c r="Y58" s="8">
        <f t="shared" si="32"/>
        <v>1</v>
      </c>
      <c r="Z58" s="132">
        <f t="shared" si="32"/>
        <v>1</v>
      </c>
      <c r="AA58">
        <f t="shared" si="25"/>
        <v>11</v>
      </c>
    </row>
    <row r="59" spans="15:35">
      <c r="O59">
        <f t="shared" si="22"/>
        <v>9</v>
      </c>
      <c r="P59" s="625">
        <f t="shared" si="23"/>
        <v>1</v>
      </c>
      <c r="Q59" s="8">
        <f t="shared" ref="Q59:Z59" si="33">COUNT(C12)</f>
        <v>1</v>
      </c>
      <c r="R59" s="8">
        <f t="shared" si="33"/>
        <v>1</v>
      </c>
      <c r="S59" s="8">
        <f t="shared" si="33"/>
        <v>1</v>
      </c>
      <c r="T59" s="8">
        <f t="shared" si="33"/>
        <v>1</v>
      </c>
      <c r="U59" s="8">
        <f t="shared" si="33"/>
        <v>1</v>
      </c>
      <c r="V59" s="8">
        <f t="shared" si="33"/>
        <v>1</v>
      </c>
      <c r="W59" s="8">
        <f t="shared" si="33"/>
        <v>1</v>
      </c>
      <c r="X59" s="8">
        <f t="shared" si="33"/>
        <v>1</v>
      </c>
      <c r="Y59" s="8">
        <f t="shared" si="33"/>
        <v>1</v>
      </c>
      <c r="Z59" s="132">
        <f t="shared" si="33"/>
        <v>1</v>
      </c>
      <c r="AA59">
        <f t="shared" si="25"/>
        <v>11</v>
      </c>
    </row>
    <row r="60" spans="15:35">
      <c r="O60">
        <f t="shared" si="22"/>
        <v>10</v>
      </c>
      <c r="P60" s="625">
        <f t="shared" si="23"/>
        <v>1</v>
      </c>
      <c r="Q60" s="8">
        <f t="shared" ref="Q60:Z60" si="34">COUNT(C13)</f>
        <v>1</v>
      </c>
      <c r="R60" s="8">
        <f t="shared" si="34"/>
        <v>1</v>
      </c>
      <c r="S60" s="8">
        <f t="shared" si="34"/>
        <v>1</v>
      </c>
      <c r="T60" s="8">
        <f t="shared" si="34"/>
        <v>1</v>
      </c>
      <c r="U60" s="8">
        <f t="shared" si="34"/>
        <v>1</v>
      </c>
      <c r="V60" s="8">
        <f t="shared" si="34"/>
        <v>1</v>
      </c>
      <c r="W60" s="8">
        <f t="shared" si="34"/>
        <v>1</v>
      </c>
      <c r="X60" s="8">
        <f t="shared" si="34"/>
        <v>1</v>
      </c>
      <c r="Y60" s="8">
        <f t="shared" si="34"/>
        <v>1</v>
      </c>
      <c r="Z60" s="132">
        <f t="shared" si="34"/>
        <v>1</v>
      </c>
      <c r="AA60">
        <f t="shared" si="25"/>
        <v>11</v>
      </c>
    </row>
    <row r="61" spans="15:35">
      <c r="O61">
        <f t="shared" si="22"/>
        <v>11</v>
      </c>
      <c r="P61" s="625">
        <f t="shared" si="23"/>
        <v>1</v>
      </c>
      <c r="Q61" s="8">
        <f t="shared" ref="Q61:Z61" si="35">COUNT(C14)</f>
        <v>1</v>
      </c>
      <c r="R61" s="8">
        <f t="shared" si="35"/>
        <v>1</v>
      </c>
      <c r="S61" s="8">
        <f t="shared" si="35"/>
        <v>1</v>
      </c>
      <c r="T61" s="8">
        <f t="shared" si="35"/>
        <v>1</v>
      </c>
      <c r="U61" s="8">
        <f t="shared" si="35"/>
        <v>1</v>
      </c>
      <c r="V61" s="8">
        <f t="shared" si="35"/>
        <v>1</v>
      </c>
      <c r="W61" s="8">
        <f t="shared" si="35"/>
        <v>1</v>
      </c>
      <c r="X61" s="8">
        <f t="shared" si="35"/>
        <v>1</v>
      </c>
      <c r="Y61" s="8">
        <f t="shared" si="35"/>
        <v>1</v>
      </c>
      <c r="Z61" s="132">
        <f t="shared" si="35"/>
        <v>1</v>
      </c>
      <c r="AA61">
        <f t="shared" si="25"/>
        <v>11</v>
      </c>
    </row>
    <row r="62" spans="15:35">
      <c r="O62">
        <f t="shared" si="22"/>
        <v>12</v>
      </c>
      <c r="P62" s="1075">
        <f t="shared" si="23"/>
        <v>1</v>
      </c>
      <c r="Q62" s="1076">
        <f t="shared" ref="Q62:Z62" si="36">COUNT(C15)</f>
        <v>1</v>
      </c>
      <c r="R62" s="1076">
        <f t="shared" si="36"/>
        <v>1</v>
      </c>
      <c r="S62" s="1076">
        <f t="shared" si="36"/>
        <v>1</v>
      </c>
      <c r="T62" s="1076">
        <f t="shared" si="36"/>
        <v>1</v>
      </c>
      <c r="U62" s="1076">
        <f t="shared" si="36"/>
        <v>1</v>
      </c>
      <c r="V62" s="1076">
        <f t="shared" si="36"/>
        <v>1</v>
      </c>
      <c r="W62" s="1076">
        <f t="shared" si="36"/>
        <v>1</v>
      </c>
      <c r="X62" s="1076">
        <f t="shared" si="36"/>
        <v>1</v>
      </c>
      <c r="Y62" s="1076">
        <f t="shared" si="36"/>
        <v>1</v>
      </c>
      <c r="Z62" s="1077">
        <f t="shared" si="36"/>
        <v>1</v>
      </c>
      <c r="AA62">
        <f t="shared" si="25"/>
        <v>11</v>
      </c>
    </row>
    <row r="63" spans="15:35">
      <c r="P63">
        <f>COUNT(B4:B15)</f>
        <v>12</v>
      </c>
      <c r="Q63">
        <f t="shared" ref="Q63:Z63" si="37">COUNT(C4:C15)</f>
        <v>12</v>
      </c>
      <c r="R63">
        <f t="shared" si="37"/>
        <v>12</v>
      </c>
      <c r="S63">
        <f t="shared" si="37"/>
        <v>12</v>
      </c>
      <c r="T63">
        <f t="shared" si="37"/>
        <v>12</v>
      </c>
      <c r="U63">
        <f t="shared" si="37"/>
        <v>12</v>
      </c>
      <c r="V63">
        <f t="shared" si="37"/>
        <v>12</v>
      </c>
      <c r="W63">
        <f t="shared" si="37"/>
        <v>12</v>
      </c>
      <c r="X63">
        <f t="shared" si="37"/>
        <v>12</v>
      </c>
      <c r="Y63">
        <f t="shared" si="37"/>
        <v>12</v>
      </c>
      <c r="Z63">
        <f t="shared" si="37"/>
        <v>12</v>
      </c>
      <c r="AA63">
        <f>COUNT(B4:L15)</f>
        <v>132</v>
      </c>
    </row>
    <row r="65" spans="15:27">
      <c r="O65" t="s">
        <v>1031</v>
      </c>
    </row>
    <row r="66" spans="15:27">
      <c r="P66" s="1238" t="str">
        <f>B3</f>
        <v>Q1</v>
      </c>
      <c r="Q66" s="1238" t="str">
        <f t="shared" ref="Q66:Z66" si="38">C3</f>
        <v>Q2</v>
      </c>
      <c r="R66" s="1238" t="str">
        <f t="shared" si="38"/>
        <v>Q3</v>
      </c>
      <c r="S66" s="1238" t="str">
        <f t="shared" si="38"/>
        <v>Q4</v>
      </c>
      <c r="T66" s="1238" t="str">
        <f t="shared" si="38"/>
        <v>Q5</v>
      </c>
      <c r="U66" s="1238" t="str">
        <f t="shared" si="38"/>
        <v>Q6</v>
      </c>
      <c r="V66" s="1238" t="str">
        <f t="shared" si="38"/>
        <v>Q7</v>
      </c>
      <c r="W66" s="1238" t="str">
        <f t="shared" si="38"/>
        <v>Q8</v>
      </c>
      <c r="X66" s="1238" t="str">
        <f t="shared" si="38"/>
        <v>Q9</v>
      </c>
      <c r="Y66" s="1238" t="str">
        <f t="shared" si="38"/>
        <v>Q10</v>
      </c>
      <c r="Z66" s="1238" t="str">
        <f t="shared" si="38"/>
        <v>Q11</v>
      </c>
    </row>
    <row r="67" spans="15:27">
      <c r="O67">
        <f t="shared" ref="O67:O78" si="39">A4</f>
        <v>1</v>
      </c>
      <c r="P67" s="1232">
        <f t="shared" ref="P67:P78" si="40">AVERAGE(B4)</f>
        <v>1</v>
      </c>
      <c r="Q67" s="1114">
        <f t="shared" ref="Q67:Z67" si="41">AVERAGE(C4)</f>
        <v>1</v>
      </c>
      <c r="R67" s="1114">
        <f t="shared" si="41"/>
        <v>1</v>
      </c>
      <c r="S67" s="1114">
        <f t="shared" si="41"/>
        <v>1</v>
      </c>
      <c r="T67" s="1114">
        <f t="shared" si="41"/>
        <v>1</v>
      </c>
      <c r="U67" s="1114">
        <f t="shared" si="41"/>
        <v>1</v>
      </c>
      <c r="V67" s="1114">
        <f t="shared" si="41"/>
        <v>1</v>
      </c>
      <c r="W67" s="1114">
        <f t="shared" si="41"/>
        <v>1</v>
      </c>
      <c r="X67" s="1114">
        <f t="shared" si="41"/>
        <v>1</v>
      </c>
      <c r="Y67" s="1114">
        <f t="shared" si="41"/>
        <v>1</v>
      </c>
      <c r="Z67" s="1233">
        <f t="shared" si="41"/>
        <v>1</v>
      </c>
      <c r="AA67">
        <f t="shared" ref="AA67:AA78" si="42">AVERAGE(B4:L4)</f>
        <v>1</v>
      </c>
    </row>
    <row r="68" spans="15:27">
      <c r="O68">
        <f t="shared" si="39"/>
        <v>2</v>
      </c>
      <c r="P68" s="625">
        <f t="shared" si="40"/>
        <v>1</v>
      </c>
      <c r="Q68" s="8">
        <f t="shared" ref="Q68:Z68" si="43">AVERAGE(C5)</f>
        <v>1</v>
      </c>
      <c r="R68" s="8">
        <f t="shared" si="43"/>
        <v>1</v>
      </c>
      <c r="S68" s="8">
        <f t="shared" si="43"/>
        <v>1</v>
      </c>
      <c r="T68" s="8">
        <f t="shared" si="43"/>
        <v>1</v>
      </c>
      <c r="U68" s="8">
        <f t="shared" si="43"/>
        <v>1</v>
      </c>
      <c r="V68" s="8">
        <f t="shared" si="43"/>
        <v>1</v>
      </c>
      <c r="W68" s="8">
        <f t="shared" si="43"/>
        <v>1</v>
      </c>
      <c r="X68" s="8">
        <f t="shared" si="43"/>
        <v>0</v>
      </c>
      <c r="Y68" s="8">
        <f t="shared" si="43"/>
        <v>1</v>
      </c>
      <c r="Z68" s="132">
        <f t="shared" si="43"/>
        <v>0</v>
      </c>
      <c r="AA68">
        <f t="shared" si="42"/>
        <v>0.81818181818181823</v>
      </c>
    </row>
    <row r="69" spans="15:27">
      <c r="O69">
        <f t="shared" si="39"/>
        <v>3</v>
      </c>
      <c r="P69" s="625">
        <f t="shared" si="40"/>
        <v>1</v>
      </c>
      <c r="Q69" s="8">
        <f t="shared" ref="Q69:Z69" si="44">AVERAGE(C6)</f>
        <v>0</v>
      </c>
      <c r="R69" s="8">
        <f t="shared" si="44"/>
        <v>1</v>
      </c>
      <c r="S69" s="8">
        <f t="shared" si="44"/>
        <v>1</v>
      </c>
      <c r="T69" s="8">
        <f t="shared" si="44"/>
        <v>1</v>
      </c>
      <c r="U69" s="8">
        <f t="shared" si="44"/>
        <v>1</v>
      </c>
      <c r="V69" s="8">
        <f t="shared" si="44"/>
        <v>1</v>
      </c>
      <c r="W69" s="8">
        <f t="shared" si="44"/>
        <v>1</v>
      </c>
      <c r="X69" s="8">
        <f t="shared" si="44"/>
        <v>1</v>
      </c>
      <c r="Y69" s="8">
        <f t="shared" si="44"/>
        <v>0</v>
      </c>
      <c r="Z69" s="132">
        <f t="shared" si="44"/>
        <v>0</v>
      </c>
      <c r="AA69">
        <f t="shared" si="42"/>
        <v>0.72727272727272729</v>
      </c>
    </row>
    <row r="70" spans="15:27">
      <c r="O70">
        <f t="shared" si="39"/>
        <v>4</v>
      </c>
      <c r="P70" s="625">
        <f t="shared" si="40"/>
        <v>1</v>
      </c>
      <c r="Q70" s="8">
        <f t="shared" ref="Q70:Z70" si="45">AVERAGE(C7)</f>
        <v>1</v>
      </c>
      <c r="R70" s="8">
        <f t="shared" si="45"/>
        <v>1</v>
      </c>
      <c r="S70" s="8">
        <f t="shared" si="45"/>
        <v>0</v>
      </c>
      <c r="T70" s="8">
        <f t="shared" si="45"/>
        <v>1</v>
      </c>
      <c r="U70" s="8">
        <f t="shared" si="45"/>
        <v>1</v>
      </c>
      <c r="V70" s="8">
        <f t="shared" si="45"/>
        <v>0</v>
      </c>
      <c r="W70" s="8">
        <f t="shared" si="45"/>
        <v>1</v>
      </c>
      <c r="X70" s="8">
        <f t="shared" si="45"/>
        <v>1</v>
      </c>
      <c r="Y70" s="8">
        <f t="shared" si="45"/>
        <v>0</v>
      </c>
      <c r="Z70" s="132">
        <f t="shared" si="45"/>
        <v>0</v>
      </c>
      <c r="AA70">
        <f t="shared" si="42"/>
        <v>0.63636363636363635</v>
      </c>
    </row>
    <row r="71" spans="15:27">
      <c r="O71">
        <f t="shared" si="39"/>
        <v>5</v>
      </c>
      <c r="P71" s="625">
        <f t="shared" si="40"/>
        <v>1</v>
      </c>
      <c r="Q71" s="8">
        <f t="shared" ref="Q71:Z71" si="46">AVERAGE(C8)</f>
        <v>1</v>
      </c>
      <c r="R71" s="8">
        <f t="shared" si="46"/>
        <v>1</v>
      </c>
      <c r="S71" s="8">
        <f t="shared" si="46"/>
        <v>1</v>
      </c>
      <c r="T71" s="8">
        <f t="shared" si="46"/>
        <v>1</v>
      </c>
      <c r="U71" s="8">
        <f t="shared" si="46"/>
        <v>0</v>
      </c>
      <c r="V71" s="8">
        <f t="shared" si="46"/>
        <v>0</v>
      </c>
      <c r="W71" s="8">
        <f t="shared" si="46"/>
        <v>0</v>
      </c>
      <c r="X71" s="8">
        <f t="shared" si="46"/>
        <v>1</v>
      </c>
      <c r="Y71" s="8">
        <f t="shared" si="46"/>
        <v>0</v>
      </c>
      <c r="Z71" s="132">
        <f t="shared" si="46"/>
        <v>0</v>
      </c>
      <c r="AA71">
        <f t="shared" si="42"/>
        <v>0.54545454545454541</v>
      </c>
    </row>
    <row r="72" spans="15:27">
      <c r="O72">
        <f t="shared" si="39"/>
        <v>6</v>
      </c>
      <c r="P72" s="625">
        <f t="shared" si="40"/>
        <v>0</v>
      </c>
      <c r="Q72" s="8">
        <f t="shared" ref="Q72:Z72" si="47">AVERAGE(C9)</f>
        <v>1</v>
      </c>
      <c r="R72" s="8">
        <f t="shared" si="47"/>
        <v>1</v>
      </c>
      <c r="S72" s="8">
        <f t="shared" si="47"/>
        <v>0</v>
      </c>
      <c r="T72" s="8">
        <f t="shared" si="47"/>
        <v>1</v>
      </c>
      <c r="U72" s="8">
        <f t="shared" si="47"/>
        <v>1</v>
      </c>
      <c r="V72" s="8">
        <f t="shared" si="47"/>
        <v>1</v>
      </c>
      <c r="W72" s="8">
        <f t="shared" si="47"/>
        <v>1</v>
      </c>
      <c r="X72" s="8">
        <f t="shared" si="47"/>
        <v>0</v>
      </c>
      <c r="Y72" s="8">
        <f t="shared" si="47"/>
        <v>0</v>
      </c>
      <c r="Z72" s="132">
        <f t="shared" si="47"/>
        <v>0</v>
      </c>
      <c r="AA72">
        <f t="shared" si="42"/>
        <v>0.54545454545454541</v>
      </c>
    </row>
    <row r="73" spans="15:27">
      <c r="O73">
        <f t="shared" si="39"/>
        <v>7</v>
      </c>
      <c r="P73" s="625">
        <f t="shared" si="40"/>
        <v>1</v>
      </c>
      <c r="Q73" s="8">
        <f t="shared" ref="Q73:Z73" si="48">AVERAGE(C10)</f>
        <v>1</v>
      </c>
      <c r="R73" s="8">
        <f t="shared" si="48"/>
        <v>1</v>
      </c>
      <c r="S73" s="8">
        <f t="shared" si="48"/>
        <v>1</v>
      </c>
      <c r="T73" s="8">
        <f t="shared" si="48"/>
        <v>0</v>
      </c>
      <c r="U73" s="8">
        <f t="shared" si="48"/>
        <v>0</v>
      </c>
      <c r="V73" s="8">
        <f t="shared" si="48"/>
        <v>1</v>
      </c>
      <c r="W73" s="8">
        <f t="shared" si="48"/>
        <v>0</v>
      </c>
      <c r="X73" s="8">
        <f t="shared" si="48"/>
        <v>0</v>
      </c>
      <c r="Y73" s="8">
        <f t="shared" si="48"/>
        <v>0</v>
      </c>
      <c r="Z73" s="132">
        <f t="shared" si="48"/>
        <v>0</v>
      </c>
      <c r="AA73">
        <f t="shared" si="42"/>
        <v>0.45454545454545453</v>
      </c>
    </row>
    <row r="74" spans="15:27">
      <c r="O74">
        <f t="shared" si="39"/>
        <v>8</v>
      </c>
      <c r="P74" s="625">
        <f t="shared" si="40"/>
        <v>1</v>
      </c>
      <c r="Q74" s="8">
        <f t="shared" ref="Q74:Z74" si="49">AVERAGE(C11)</f>
        <v>1</v>
      </c>
      <c r="R74" s="8">
        <f t="shared" si="49"/>
        <v>1</v>
      </c>
      <c r="S74" s="8">
        <f t="shared" si="49"/>
        <v>1</v>
      </c>
      <c r="T74" s="8">
        <f t="shared" si="49"/>
        <v>1</v>
      </c>
      <c r="U74" s="8">
        <f t="shared" si="49"/>
        <v>0</v>
      </c>
      <c r="V74" s="8">
        <f t="shared" si="49"/>
        <v>0</v>
      </c>
      <c r="W74" s="8">
        <f t="shared" si="49"/>
        <v>0</v>
      </c>
      <c r="X74" s="8">
        <f t="shared" si="49"/>
        <v>0</v>
      </c>
      <c r="Y74" s="8">
        <f t="shared" si="49"/>
        <v>0</v>
      </c>
      <c r="Z74" s="132">
        <f t="shared" si="49"/>
        <v>0</v>
      </c>
      <c r="AA74">
        <f t="shared" si="42"/>
        <v>0.45454545454545453</v>
      </c>
    </row>
    <row r="75" spans="15:27">
      <c r="O75">
        <f t="shared" si="39"/>
        <v>9</v>
      </c>
      <c r="P75" s="625">
        <f t="shared" si="40"/>
        <v>0</v>
      </c>
      <c r="Q75" s="8">
        <f t="shared" ref="Q75:Z75" si="50">AVERAGE(C12)</f>
        <v>1</v>
      </c>
      <c r="R75" s="8">
        <f t="shared" si="50"/>
        <v>0</v>
      </c>
      <c r="S75" s="8">
        <f t="shared" si="50"/>
        <v>1</v>
      </c>
      <c r="T75" s="8">
        <f t="shared" si="50"/>
        <v>1</v>
      </c>
      <c r="U75" s="8">
        <f t="shared" si="50"/>
        <v>0</v>
      </c>
      <c r="V75" s="8">
        <f t="shared" si="50"/>
        <v>0</v>
      </c>
      <c r="W75" s="8">
        <f t="shared" si="50"/>
        <v>0</v>
      </c>
      <c r="X75" s="8">
        <f t="shared" si="50"/>
        <v>0</v>
      </c>
      <c r="Y75" s="8">
        <f t="shared" si="50"/>
        <v>1</v>
      </c>
      <c r="Z75" s="132">
        <f t="shared" si="50"/>
        <v>0</v>
      </c>
      <c r="AA75">
        <f t="shared" si="42"/>
        <v>0.36363636363636365</v>
      </c>
    </row>
    <row r="76" spans="15:27">
      <c r="O76">
        <f t="shared" si="39"/>
        <v>10</v>
      </c>
      <c r="P76" s="625">
        <f t="shared" si="40"/>
        <v>1</v>
      </c>
      <c r="Q76" s="8">
        <f t="shared" ref="Q76:Z76" si="51">AVERAGE(C13)</f>
        <v>0</v>
      </c>
      <c r="R76" s="8">
        <f t="shared" si="51"/>
        <v>0</v>
      </c>
      <c r="S76" s="8">
        <f t="shared" si="51"/>
        <v>1</v>
      </c>
      <c r="T76" s="8">
        <f t="shared" si="51"/>
        <v>0</v>
      </c>
      <c r="U76" s="8">
        <f t="shared" si="51"/>
        <v>1</v>
      </c>
      <c r="V76" s="8">
        <f t="shared" si="51"/>
        <v>0</v>
      </c>
      <c r="W76" s="8">
        <f t="shared" si="51"/>
        <v>0</v>
      </c>
      <c r="X76" s="8">
        <f t="shared" si="51"/>
        <v>0</v>
      </c>
      <c r="Y76" s="8">
        <f t="shared" si="51"/>
        <v>0</v>
      </c>
      <c r="Z76" s="132">
        <f t="shared" si="51"/>
        <v>0</v>
      </c>
      <c r="AA76">
        <f t="shared" si="42"/>
        <v>0.27272727272727271</v>
      </c>
    </row>
    <row r="77" spans="15:27">
      <c r="O77">
        <f t="shared" si="39"/>
        <v>11</v>
      </c>
      <c r="P77" s="625">
        <f t="shared" si="40"/>
        <v>1</v>
      </c>
      <c r="Q77" s="8">
        <f t="shared" ref="Q77:Z77" si="52">AVERAGE(C14)</f>
        <v>1</v>
      </c>
      <c r="R77" s="8">
        <f t="shared" si="52"/>
        <v>1</v>
      </c>
      <c r="S77" s="8">
        <f t="shared" si="52"/>
        <v>0</v>
      </c>
      <c r="T77" s="8">
        <f t="shared" si="52"/>
        <v>0</v>
      </c>
      <c r="U77" s="8">
        <f t="shared" si="52"/>
        <v>0</v>
      </c>
      <c r="V77" s="8">
        <f t="shared" si="52"/>
        <v>0</v>
      </c>
      <c r="W77" s="8">
        <f t="shared" si="52"/>
        <v>0</v>
      </c>
      <c r="X77" s="8">
        <f t="shared" si="52"/>
        <v>0</v>
      </c>
      <c r="Y77" s="8">
        <f t="shared" si="52"/>
        <v>0</v>
      </c>
      <c r="Z77" s="132">
        <f t="shared" si="52"/>
        <v>0</v>
      </c>
      <c r="AA77">
        <f t="shared" si="42"/>
        <v>0.27272727272727271</v>
      </c>
    </row>
    <row r="78" spans="15:27">
      <c r="O78">
        <f t="shared" si="39"/>
        <v>12</v>
      </c>
      <c r="P78" s="1075">
        <f t="shared" si="40"/>
        <v>1</v>
      </c>
      <c r="Q78" s="1076">
        <f t="shared" ref="Q78:Z78" si="53">AVERAGE(C15)</f>
        <v>0</v>
      </c>
      <c r="R78" s="1076">
        <f t="shared" si="53"/>
        <v>0</v>
      </c>
      <c r="S78" s="1076">
        <f t="shared" si="53"/>
        <v>1</v>
      </c>
      <c r="T78" s="1076">
        <f t="shared" si="53"/>
        <v>0</v>
      </c>
      <c r="U78" s="1076">
        <f t="shared" si="53"/>
        <v>0</v>
      </c>
      <c r="V78" s="1076">
        <f t="shared" si="53"/>
        <v>0</v>
      </c>
      <c r="W78" s="1076">
        <f t="shared" si="53"/>
        <v>0</v>
      </c>
      <c r="X78" s="1076">
        <f t="shared" si="53"/>
        <v>0</v>
      </c>
      <c r="Y78" s="1076">
        <f t="shared" si="53"/>
        <v>0</v>
      </c>
      <c r="Z78" s="1077">
        <f t="shared" si="53"/>
        <v>0</v>
      </c>
      <c r="AA78">
        <f t="shared" si="42"/>
        <v>0.18181818181818182</v>
      </c>
    </row>
    <row r="79" spans="15:27">
      <c r="P79">
        <f>AVERAGE(B4:B15)</f>
        <v>0.83333333333333337</v>
      </c>
      <c r="Q79">
        <f t="shared" ref="Q79:Z79" si="54">AVERAGE(C4:C15)</f>
        <v>0.75</v>
      </c>
      <c r="R79">
        <f t="shared" si="54"/>
        <v>0.75</v>
      </c>
      <c r="S79">
        <f t="shared" si="54"/>
        <v>0.75</v>
      </c>
      <c r="T79">
        <f t="shared" si="54"/>
        <v>0.66666666666666663</v>
      </c>
      <c r="U79">
        <f t="shared" si="54"/>
        <v>0.5</v>
      </c>
      <c r="V79">
        <f t="shared" si="54"/>
        <v>0.41666666666666669</v>
      </c>
      <c r="W79">
        <f t="shared" si="54"/>
        <v>0.41666666666666669</v>
      </c>
      <c r="X79">
        <f t="shared" si="54"/>
        <v>0.33333333333333331</v>
      </c>
      <c r="Y79">
        <f t="shared" si="54"/>
        <v>0.25</v>
      </c>
      <c r="Z79">
        <f t="shared" si="54"/>
        <v>8.3333333333333329E-2</v>
      </c>
      <c r="AA79">
        <f>AVERAGE(B4:L15)</f>
        <v>0.52272727272727271</v>
      </c>
    </row>
    <row r="81" spans="15:27">
      <c r="O81" t="s">
        <v>2822</v>
      </c>
    </row>
    <row r="82" spans="15:27">
      <c r="P82" s="1238" t="str">
        <f>B3</f>
        <v>Q1</v>
      </c>
      <c r="Q82" s="1238" t="str">
        <f t="shared" ref="Q82:Z82" si="55">C3</f>
        <v>Q2</v>
      </c>
      <c r="R82" s="1238" t="str">
        <f t="shared" si="55"/>
        <v>Q3</v>
      </c>
      <c r="S82" s="1238" t="str">
        <f t="shared" si="55"/>
        <v>Q4</v>
      </c>
      <c r="T82" s="1238" t="str">
        <f t="shared" si="55"/>
        <v>Q5</v>
      </c>
      <c r="U82" s="1238" t="str">
        <f t="shared" si="55"/>
        <v>Q6</v>
      </c>
      <c r="V82" s="1238" t="str">
        <f t="shared" si="55"/>
        <v>Q7</v>
      </c>
      <c r="W82" s="1238" t="str">
        <f t="shared" si="55"/>
        <v>Q8</v>
      </c>
      <c r="X82" s="1238" t="str">
        <f t="shared" si="55"/>
        <v>Q9</v>
      </c>
      <c r="Y82" s="1238" t="str">
        <f t="shared" si="55"/>
        <v>Q10</v>
      </c>
      <c r="Z82" s="1238" t="str">
        <f t="shared" si="55"/>
        <v>Q11</v>
      </c>
    </row>
    <row r="83" spans="15:27">
      <c r="O83">
        <f t="shared" ref="O83:O94" si="56">A4</f>
        <v>1</v>
      </c>
      <c r="P83" s="1232" t="e">
        <f t="shared" ref="P83:P94" si="57">VAR(B4)</f>
        <v>#DIV/0!</v>
      </c>
      <c r="Q83" s="1114" t="e">
        <f t="shared" ref="Q83:Z83" si="58">VAR(C4)</f>
        <v>#DIV/0!</v>
      </c>
      <c r="R83" s="1114" t="e">
        <f t="shared" si="58"/>
        <v>#DIV/0!</v>
      </c>
      <c r="S83" s="1114" t="e">
        <f t="shared" si="58"/>
        <v>#DIV/0!</v>
      </c>
      <c r="T83" s="1114" t="e">
        <f t="shared" si="58"/>
        <v>#DIV/0!</v>
      </c>
      <c r="U83" s="1114" t="e">
        <f t="shared" si="58"/>
        <v>#DIV/0!</v>
      </c>
      <c r="V83" s="1114" t="e">
        <f t="shared" si="58"/>
        <v>#DIV/0!</v>
      </c>
      <c r="W83" s="1114" t="e">
        <f t="shared" si="58"/>
        <v>#DIV/0!</v>
      </c>
      <c r="X83" s="1114" t="e">
        <f t="shared" si="58"/>
        <v>#DIV/0!</v>
      </c>
      <c r="Y83" s="1114" t="e">
        <f t="shared" si="58"/>
        <v>#DIV/0!</v>
      </c>
      <c r="Z83" s="1233" t="e">
        <f t="shared" si="58"/>
        <v>#DIV/0!</v>
      </c>
      <c r="AA83">
        <f t="shared" ref="AA83:AA94" si="59">VAR(B4:L4)</f>
        <v>0</v>
      </c>
    </row>
    <row r="84" spans="15:27">
      <c r="O84">
        <f t="shared" si="56"/>
        <v>2</v>
      </c>
      <c r="P84" s="625" t="e">
        <f t="shared" si="57"/>
        <v>#DIV/0!</v>
      </c>
      <c r="Q84" s="8" t="e">
        <f t="shared" ref="Q84:Z84" si="60">VAR(C5)</f>
        <v>#DIV/0!</v>
      </c>
      <c r="R84" s="8" t="e">
        <f t="shared" si="60"/>
        <v>#DIV/0!</v>
      </c>
      <c r="S84" s="8" t="e">
        <f t="shared" si="60"/>
        <v>#DIV/0!</v>
      </c>
      <c r="T84" s="8" t="e">
        <f t="shared" si="60"/>
        <v>#DIV/0!</v>
      </c>
      <c r="U84" s="8" t="e">
        <f t="shared" si="60"/>
        <v>#DIV/0!</v>
      </c>
      <c r="V84" s="8" t="e">
        <f t="shared" si="60"/>
        <v>#DIV/0!</v>
      </c>
      <c r="W84" s="8" t="e">
        <f t="shared" si="60"/>
        <v>#DIV/0!</v>
      </c>
      <c r="X84" s="8" t="e">
        <f t="shared" si="60"/>
        <v>#DIV/0!</v>
      </c>
      <c r="Y84" s="8" t="e">
        <f t="shared" si="60"/>
        <v>#DIV/0!</v>
      </c>
      <c r="Z84" s="132" t="e">
        <f t="shared" si="60"/>
        <v>#DIV/0!</v>
      </c>
      <c r="AA84">
        <f t="shared" si="59"/>
        <v>0.16363636363636366</v>
      </c>
    </row>
    <row r="85" spans="15:27">
      <c r="O85">
        <f t="shared" si="56"/>
        <v>3</v>
      </c>
      <c r="P85" s="625" t="e">
        <f t="shared" si="57"/>
        <v>#DIV/0!</v>
      </c>
      <c r="Q85" s="8" t="e">
        <f t="shared" ref="Q85:Z85" si="61">VAR(C6)</f>
        <v>#DIV/0!</v>
      </c>
      <c r="R85" s="8" t="e">
        <f t="shared" si="61"/>
        <v>#DIV/0!</v>
      </c>
      <c r="S85" s="8" t="e">
        <f t="shared" si="61"/>
        <v>#DIV/0!</v>
      </c>
      <c r="T85" s="8" t="e">
        <f t="shared" si="61"/>
        <v>#DIV/0!</v>
      </c>
      <c r="U85" s="8" t="e">
        <f t="shared" si="61"/>
        <v>#DIV/0!</v>
      </c>
      <c r="V85" s="8" t="e">
        <f t="shared" si="61"/>
        <v>#DIV/0!</v>
      </c>
      <c r="W85" s="8" t="e">
        <f t="shared" si="61"/>
        <v>#DIV/0!</v>
      </c>
      <c r="X85" s="8" t="e">
        <f t="shared" si="61"/>
        <v>#DIV/0!</v>
      </c>
      <c r="Y85" s="8" t="e">
        <f t="shared" si="61"/>
        <v>#DIV/0!</v>
      </c>
      <c r="Z85" s="132" t="e">
        <f t="shared" si="61"/>
        <v>#DIV/0!</v>
      </c>
      <c r="AA85">
        <f t="shared" si="59"/>
        <v>0.21818181818181817</v>
      </c>
    </row>
    <row r="86" spans="15:27">
      <c r="O86">
        <f t="shared" si="56"/>
        <v>4</v>
      </c>
      <c r="P86" s="625" t="e">
        <f t="shared" si="57"/>
        <v>#DIV/0!</v>
      </c>
      <c r="Q86" s="8" t="e">
        <f t="shared" ref="Q86:Z86" si="62">VAR(C7)</f>
        <v>#DIV/0!</v>
      </c>
      <c r="R86" s="8" t="e">
        <f t="shared" si="62"/>
        <v>#DIV/0!</v>
      </c>
      <c r="S86" s="8" t="e">
        <f t="shared" si="62"/>
        <v>#DIV/0!</v>
      </c>
      <c r="T86" s="8" t="e">
        <f t="shared" si="62"/>
        <v>#DIV/0!</v>
      </c>
      <c r="U86" s="8" t="e">
        <f t="shared" si="62"/>
        <v>#DIV/0!</v>
      </c>
      <c r="V86" s="8" t="e">
        <f t="shared" si="62"/>
        <v>#DIV/0!</v>
      </c>
      <c r="W86" s="8" t="e">
        <f t="shared" si="62"/>
        <v>#DIV/0!</v>
      </c>
      <c r="X86" s="8" t="e">
        <f t="shared" si="62"/>
        <v>#DIV/0!</v>
      </c>
      <c r="Y86" s="8" t="e">
        <f t="shared" si="62"/>
        <v>#DIV/0!</v>
      </c>
      <c r="Z86" s="132" t="e">
        <f t="shared" si="62"/>
        <v>#DIV/0!</v>
      </c>
      <c r="AA86">
        <f t="shared" si="59"/>
        <v>0.25454545454545457</v>
      </c>
    </row>
    <row r="87" spans="15:27">
      <c r="O87">
        <f t="shared" si="56"/>
        <v>5</v>
      </c>
      <c r="P87" s="625" t="e">
        <f t="shared" si="57"/>
        <v>#DIV/0!</v>
      </c>
      <c r="Q87" s="8" t="e">
        <f t="shared" ref="Q87:Z87" si="63">VAR(C8)</f>
        <v>#DIV/0!</v>
      </c>
      <c r="R87" s="8" t="e">
        <f t="shared" si="63"/>
        <v>#DIV/0!</v>
      </c>
      <c r="S87" s="8" t="e">
        <f t="shared" si="63"/>
        <v>#DIV/0!</v>
      </c>
      <c r="T87" s="8" t="e">
        <f t="shared" si="63"/>
        <v>#DIV/0!</v>
      </c>
      <c r="U87" s="8" t="e">
        <f t="shared" si="63"/>
        <v>#DIV/0!</v>
      </c>
      <c r="V87" s="8" t="e">
        <f t="shared" si="63"/>
        <v>#DIV/0!</v>
      </c>
      <c r="W87" s="8" t="e">
        <f t="shared" si="63"/>
        <v>#DIV/0!</v>
      </c>
      <c r="X87" s="8" t="e">
        <f t="shared" si="63"/>
        <v>#DIV/0!</v>
      </c>
      <c r="Y87" s="8" t="e">
        <f t="shared" si="63"/>
        <v>#DIV/0!</v>
      </c>
      <c r="Z87" s="132" t="e">
        <f t="shared" si="63"/>
        <v>#DIV/0!</v>
      </c>
      <c r="AA87">
        <f t="shared" si="59"/>
        <v>0.27272727272727271</v>
      </c>
    </row>
    <row r="88" spans="15:27">
      <c r="O88">
        <f t="shared" si="56"/>
        <v>6</v>
      </c>
      <c r="P88" s="625" t="e">
        <f t="shared" si="57"/>
        <v>#DIV/0!</v>
      </c>
      <c r="Q88" s="8" t="e">
        <f t="shared" ref="Q88:Z88" si="64">VAR(C9)</f>
        <v>#DIV/0!</v>
      </c>
      <c r="R88" s="8" t="e">
        <f t="shared" si="64"/>
        <v>#DIV/0!</v>
      </c>
      <c r="S88" s="8" t="e">
        <f t="shared" si="64"/>
        <v>#DIV/0!</v>
      </c>
      <c r="T88" s="8" t="e">
        <f t="shared" si="64"/>
        <v>#DIV/0!</v>
      </c>
      <c r="U88" s="8" t="e">
        <f t="shared" si="64"/>
        <v>#DIV/0!</v>
      </c>
      <c r="V88" s="8" t="e">
        <f t="shared" si="64"/>
        <v>#DIV/0!</v>
      </c>
      <c r="W88" s="8" t="e">
        <f t="shared" si="64"/>
        <v>#DIV/0!</v>
      </c>
      <c r="X88" s="8" t="e">
        <f t="shared" si="64"/>
        <v>#DIV/0!</v>
      </c>
      <c r="Y88" s="8" t="e">
        <f t="shared" si="64"/>
        <v>#DIV/0!</v>
      </c>
      <c r="Z88" s="132" t="e">
        <f t="shared" si="64"/>
        <v>#DIV/0!</v>
      </c>
      <c r="AA88">
        <f t="shared" si="59"/>
        <v>0.27272727272727271</v>
      </c>
    </row>
    <row r="89" spans="15:27">
      <c r="O89">
        <f t="shared" si="56"/>
        <v>7</v>
      </c>
      <c r="P89" s="625" t="e">
        <f t="shared" si="57"/>
        <v>#DIV/0!</v>
      </c>
      <c r="Q89" s="8" t="e">
        <f t="shared" ref="Q89:Z89" si="65">VAR(C10)</f>
        <v>#DIV/0!</v>
      </c>
      <c r="R89" s="8" t="e">
        <f t="shared" si="65"/>
        <v>#DIV/0!</v>
      </c>
      <c r="S89" s="8" t="e">
        <f t="shared" si="65"/>
        <v>#DIV/0!</v>
      </c>
      <c r="T89" s="8" t="e">
        <f t="shared" si="65"/>
        <v>#DIV/0!</v>
      </c>
      <c r="U89" s="8" t="e">
        <f t="shared" si="65"/>
        <v>#DIV/0!</v>
      </c>
      <c r="V89" s="8" t="e">
        <f t="shared" si="65"/>
        <v>#DIV/0!</v>
      </c>
      <c r="W89" s="8" t="e">
        <f t="shared" si="65"/>
        <v>#DIV/0!</v>
      </c>
      <c r="X89" s="8" t="e">
        <f t="shared" si="65"/>
        <v>#DIV/0!</v>
      </c>
      <c r="Y89" s="8" t="e">
        <f t="shared" si="65"/>
        <v>#DIV/0!</v>
      </c>
      <c r="Z89" s="132" t="e">
        <f t="shared" si="65"/>
        <v>#DIV/0!</v>
      </c>
      <c r="AA89">
        <f t="shared" si="59"/>
        <v>0.27272727272727271</v>
      </c>
    </row>
    <row r="90" spans="15:27">
      <c r="O90">
        <f t="shared" si="56"/>
        <v>8</v>
      </c>
      <c r="P90" s="625" t="e">
        <f t="shared" si="57"/>
        <v>#DIV/0!</v>
      </c>
      <c r="Q90" s="8" t="e">
        <f t="shared" ref="Q90:Z90" si="66">VAR(C11)</f>
        <v>#DIV/0!</v>
      </c>
      <c r="R90" s="8" t="e">
        <f t="shared" si="66"/>
        <v>#DIV/0!</v>
      </c>
      <c r="S90" s="8" t="e">
        <f t="shared" si="66"/>
        <v>#DIV/0!</v>
      </c>
      <c r="T90" s="8" t="e">
        <f t="shared" si="66"/>
        <v>#DIV/0!</v>
      </c>
      <c r="U90" s="8" t="e">
        <f t="shared" si="66"/>
        <v>#DIV/0!</v>
      </c>
      <c r="V90" s="8" t="e">
        <f t="shared" si="66"/>
        <v>#DIV/0!</v>
      </c>
      <c r="W90" s="8" t="e">
        <f t="shared" si="66"/>
        <v>#DIV/0!</v>
      </c>
      <c r="X90" s="8" t="e">
        <f t="shared" si="66"/>
        <v>#DIV/0!</v>
      </c>
      <c r="Y90" s="8" t="e">
        <f t="shared" si="66"/>
        <v>#DIV/0!</v>
      </c>
      <c r="Z90" s="132" t="e">
        <f t="shared" si="66"/>
        <v>#DIV/0!</v>
      </c>
      <c r="AA90">
        <f t="shared" si="59"/>
        <v>0.27272727272727271</v>
      </c>
    </row>
    <row r="91" spans="15:27">
      <c r="O91">
        <f t="shared" si="56"/>
        <v>9</v>
      </c>
      <c r="P91" s="625" t="e">
        <f t="shared" si="57"/>
        <v>#DIV/0!</v>
      </c>
      <c r="Q91" s="8" t="e">
        <f t="shared" ref="Q91:Z91" si="67">VAR(C12)</f>
        <v>#DIV/0!</v>
      </c>
      <c r="R91" s="8" t="e">
        <f t="shared" si="67"/>
        <v>#DIV/0!</v>
      </c>
      <c r="S91" s="8" t="e">
        <f t="shared" si="67"/>
        <v>#DIV/0!</v>
      </c>
      <c r="T91" s="8" t="e">
        <f t="shared" si="67"/>
        <v>#DIV/0!</v>
      </c>
      <c r="U91" s="8" t="e">
        <f t="shared" si="67"/>
        <v>#DIV/0!</v>
      </c>
      <c r="V91" s="8" t="e">
        <f t="shared" si="67"/>
        <v>#DIV/0!</v>
      </c>
      <c r="W91" s="8" t="e">
        <f t="shared" si="67"/>
        <v>#DIV/0!</v>
      </c>
      <c r="X91" s="8" t="e">
        <f t="shared" si="67"/>
        <v>#DIV/0!</v>
      </c>
      <c r="Y91" s="8" t="e">
        <f t="shared" si="67"/>
        <v>#DIV/0!</v>
      </c>
      <c r="Z91" s="132" t="e">
        <f t="shared" si="67"/>
        <v>#DIV/0!</v>
      </c>
      <c r="AA91">
        <f t="shared" si="59"/>
        <v>0.25454545454545452</v>
      </c>
    </row>
    <row r="92" spans="15:27">
      <c r="O92">
        <f t="shared" si="56"/>
        <v>10</v>
      </c>
      <c r="P92" s="625" t="e">
        <f t="shared" si="57"/>
        <v>#DIV/0!</v>
      </c>
      <c r="Q92" s="8" t="e">
        <f t="shared" ref="Q92:Z92" si="68">VAR(C13)</f>
        <v>#DIV/0!</v>
      </c>
      <c r="R92" s="8" t="e">
        <f t="shared" si="68"/>
        <v>#DIV/0!</v>
      </c>
      <c r="S92" s="8" t="e">
        <f t="shared" si="68"/>
        <v>#DIV/0!</v>
      </c>
      <c r="T92" s="8" t="e">
        <f t="shared" si="68"/>
        <v>#DIV/0!</v>
      </c>
      <c r="U92" s="8" t="e">
        <f t="shared" si="68"/>
        <v>#DIV/0!</v>
      </c>
      <c r="V92" s="8" t="e">
        <f t="shared" si="68"/>
        <v>#DIV/0!</v>
      </c>
      <c r="W92" s="8" t="e">
        <f t="shared" si="68"/>
        <v>#DIV/0!</v>
      </c>
      <c r="X92" s="8" t="e">
        <f t="shared" si="68"/>
        <v>#DIV/0!</v>
      </c>
      <c r="Y92" s="8" t="e">
        <f t="shared" si="68"/>
        <v>#DIV/0!</v>
      </c>
      <c r="Z92" s="132" t="e">
        <f t="shared" si="68"/>
        <v>#DIV/0!</v>
      </c>
      <c r="AA92">
        <f t="shared" si="59"/>
        <v>0.21818181818181817</v>
      </c>
    </row>
    <row r="93" spans="15:27">
      <c r="O93">
        <f t="shared" si="56"/>
        <v>11</v>
      </c>
      <c r="P93" s="625" t="e">
        <f t="shared" si="57"/>
        <v>#DIV/0!</v>
      </c>
      <c r="Q93" s="8" t="e">
        <f t="shared" ref="Q93:Z93" si="69">VAR(C14)</f>
        <v>#DIV/0!</v>
      </c>
      <c r="R93" s="8" t="e">
        <f t="shared" si="69"/>
        <v>#DIV/0!</v>
      </c>
      <c r="S93" s="8" t="e">
        <f t="shared" si="69"/>
        <v>#DIV/0!</v>
      </c>
      <c r="T93" s="8" t="e">
        <f t="shared" si="69"/>
        <v>#DIV/0!</v>
      </c>
      <c r="U93" s="8" t="e">
        <f t="shared" si="69"/>
        <v>#DIV/0!</v>
      </c>
      <c r="V93" s="8" t="e">
        <f t="shared" si="69"/>
        <v>#DIV/0!</v>
      </c>
      <c r="W93" s="8" t="e">
        <f t="shared" si="69"/>
        <v>#DIV/0!</v>
      </c>
      <c r="X93" s="8" t="e">
        <f t="shared" si="69"/>
        <v>#DIV/0!</v>
      </c>
      <c r="Y93" s="8" t="e">
        <f t="shared" si="69"/>
        <v>#DIV/0!</v>
      </c>
      <c r="Z93" s="132" t="e">
        <f t="shared" si="69"/>
        <v>#DIV/0!</v>
      </c>
      <c r="AA93">
        <f t="shared" si="59"/>
        <v>0.21818181818181817</v>
      </c>
    </row>
    <row r="94" spans="15:27">
      <c r="O94">
        <f t="shared" si="56"/>
        <v>12</v>
      </c>
      <c r="P94" s="1075" t="e">
        <f t="shared" si="57"/>
        <v>#DIV/0!</v>
      </c>
      <c r="Q94" s="1076" t="e">
        <f t="shared" ref="Q94:Z94" si="70">VAR(C15)</f>
        <v>#DIV/0!</v>
      </c>
      <c r="R94" s="1076" t="e">
        <f t="shared" si="70"/>
        <v>#DIV/0!</v>
      </c>
      <c r="S94" s="1076" t="e">
        <f t="shared" si="70"/>
        <v>#DIV/0!</v>
      </c>
      <c r="T94" s="1076" t="e">
        <f t="shared" si="70"/>
        <v>#DIV/0!</v>
      </c>
      <c r="U94" s="1076" t="e">
        <f t="shared" si="70"/>
        <v>#DIV/0!</v>
      </c>
      <c r="V94" s="1076" t="e">
        <f t="shared" si="70"/>
        <v>#DIV/0!</v>
      </c>
      <c r="W94" s="1076" t="e">
        <f t="shared" si="70"/>
        <v>#DIV/0!</v>
      </c>
      <c r="X94" s="1076" t="e">
        <f t="shared" si="70"/>
        <v>#DIV/0!</v>
      </c>
      <c r="Y94" s="1076" t="e">
        <f t="shared" si="70"/>
        <v>#DIV/0!</v>
      </c>
      <c r="Z94" s="1077" t="e">
        <f t="shared" si="70"/>
        <v>#DIV/0!</v>
      </c>
      <c r="AA94">
        <f t="shared" si="59"/>
        <v>0.16363636363636364</v>
      </c>
    </row>
    <row r="95" spans="15:27">
      <c r="P95">
        <f>VAR(B4:B15)</f>
        <v>0.15151515151515146</v>
      </c>
      <c r="Q95">
        <f t="shared" ref="Q95:Z95" si="71">VAR(C4:C15)</f>
        <v>0.20454545454545456</v>
      </c>
      <c r="R95">
        <f t="shared" si="71"/>
        <v>0.20454545454545456</v>
      </c>
      <c r="S95">
        <f t="shared" si="71"/>
        <v>0.20454545454545456</v>
      </c>
      <c r="T95">
        <f t="shared" si="71"/>
        <v>0.24242424242424246</v>
      </c>
      <c r="U95">
        <f t="shared" si="71"/>
        <v>0.27272727272727271</v>
      </c>
      <c r="V95">
        <f t="shared" si="71"/>
        <v>0.26515151515151514</v>
      </c>
      <c r="W95">
        <f t="shared" si="71"/>
        <v>0.26515151515151514</v>
      </c>
      <c r="X95">
        <f t="shared" si="71"/>
        <v>0.24242424242424246</v>
      </c>
      <c r="Y95">
        <f t="shared" si="71"/>
        <v>0.20454545454545456</v>
      </c>
      <c r="Z95">
        <f t="shared" si="71"/>
        <v>8.3333333333333329E-2</v>
      </c>
      <c r="AA95">
        <f>VAR(B4:L15)</f>
        <v>0.25138792505204716</v>
      </c>
    </row>
  </sheetData>
  <pageMargins left="0.7" right="0.7" top="0.75" bottom="0.75" header="0.3" footer="0.3"/>
  <ignoredErrors>
    <ignoredError sqref="M4" formulaRange="1"/>
  </ignoredErrors>
</worksheet>
</file>

<file path=xl/worksheets/sheet297.xml><?xml version="1.0" encoding="utf-8"?>
<worksheet xmlns="http://schemas.openxmlformats.org/spreadsheetml/2006/main" xmlns:r="http://schemas.openxmlformats.org/officeDocument/2006/relationships">
  <sheetPr codeName="Sheet181"/>
  <dimension ref="A1:T46"/>
  <sheetViews>
    <sheetView workbookViewId="0"/>
  </sheetViews>
  <sheetFormatPr defaultRowHeight="14.4"/>
  <cols>
    <col min="1" max="12" width="7.6640625" customWidth="1"/>
    <col min="14" max="14" width="14.33203125" customWidth="1"/>
  </cols>
  <sheetData>
    <row r="1" spans="1:18">
      <c r="A1" s="1" t="s">
        <v>1411</v>
      </c>
    </row>
    <row r="3" spans="1:18">
      <c r="B3" s="1010" t="s">
        <v>166</v>
      </c>
      <c r="C3" s="1010" t="s">
        <v>1397</v>
      </c>
      <c r="D3" s="1010" t="s">
        <v>1398</v>
      </c>
      <c r="E3" s="1010" t="s">
        <v>1399</v>
      </c>
      <c r="F3" s="1010" t="s">
        <v>1400</v>
      </c>
      <c r="G3" s="1010" t="s">
        <v>1401</v>
      </c>
      <c r="H3" s="1010" t="s">
        <v>1402</v>
      </c>
      <c r="I3" s="1010" t="s">
        <v>1403</v>
      </c>
      <c r="J3" s="1010" t="s">
        <v>1404</v>
      </c>
      <c r="K3" s="1010" t="s">
        <v>1405</v>
      </c>
      <c r="L3" s="1010" t="s">
        <v>12</v>
      </c>
      <c r="N3" t="s">
        <v>1008</v>
      </c>
    </row>
    <row r="4" spans="1:18" ht="15" thickBot="1">
      <c r="A4" s="589">
        <v>1</v>
      </c>
      <c r="B4" s="594">
        <v>3</v>
      </c>
      <c r="C4" s="595">
        <v>2</v>
      </c>
      <c r="D4" s="595">
        <v>4</v>
      </c>
      <c r="E4" s="595">
        <v>1</v>
      </c>
      <c r="F4" s="595">
        <v>4</v>
      </c>
      <c r="G4" s="595">
        <v>5</v>
      </c>
      <c r="H4" s="595">
        <v>1</v>
      </c>
      <c r="I4" s="595">
        <v>4</v>
      </c>
      <c r="J4" s="595">
        <v>3</v>
      </c>
      <c r="K4" s="596">
        <v>2</v>
      </c>
      <c r="L4" s="589">
        <f t="shared" ref="L4:L12" si="0">SUM(B4:K4)</f>
        <v>29</v>
      </c>
    </row>
    <row r="5" spans="1:18">
      <c r="A5" s="589">
        <f>A4+1</f>
        <v>2</v>
      </c>
      <c r="B5" s="597">
        <v>5</v>
      </c>
      <c r="C5" s="589">
        <v>4</v>
      </c>
      <c r="D5" s="589">
        <v>6</v>
      </c>
      <c r="E5" s="589">
        <v>3</v>
      </c>
      <c r="F5" s="589">
        <v>5</v>
      </c>
      <c r="G5" s="589">
        <v>1</v>
      </c>
      <c r="H5" s="589">
        <v>2</v>
      </c>
      <c r="I5" s="589">
        <v>5</v>
      </c>
      <c r="J5" s="589">
        <v>5</v>
      </c>
      <c r="K5" s="598">
        <v>5</v>
      </c>
      <c r="L5" s="589">
        <f t="shared" si="0"/>
        <v>41</v>
      </c>
      <c r="N5" s="1011" t="s">
        <v>194</v>
      </c>
      <c r="O5" s="1011" t="s">
        <v>88</v>
      </c>
      <c r="P5" s="1011" t="s">
        <v>87</v>
      </c>
      <c r="Q5" s="1011" t="s">
        <v>886</v>
      </c>
      <c r="R5" s="1011" t="s">
        <v>223</v>
      </c>
    </row>
    <row r="6" spans="1:18">
      <c r="A6" s="589">
        <f t="shared" ref="A6:A18" si="1">A5+1</f>
        <v>3</v>
      </c>
      <c r="B6" s="597">
        <v>7</v>
      </c>
      <c r="C6" s="589">
        <v>3</v>
      </c>
      <c r="D6" s="589">
        <v>5</v>
      </c>
      <c r="E6" s="589">
        <v>5</v>
      </c>
      <c r="F6" s="589">
        <v>6</v>
      </c>
      <c r="G6" s="589">
        <v>4</v>
      </c>
      <c r="H6" s="589">
        <v>3</v>
      </c>
      <c r="I6" s="589">
        <v>3</v>
      </c>
      <c r="J6" s="589">
        <v>6</v>
      </c>
      <c r="K6" s="598">
        <v>5</v>
      </c>
      <c r="L6" s="589">
        <f t="shared" si="0"/>
        <v>47</v>
      </c>
      <c r="N6" s="28">
        <v>1</v>
      </c>
      <c r="O6" s="28">
        <v>10</v>
      </c>
      <c r="P6" s="28">
        <v>29</v>
      </c>
      <c r="Q6" s="28">
        <v>2.9</v>
      </c>
      <c r="R6" s="28">
        <v>1.8777777777777784</v>
      </c>
    </row>
    <row r="7" spans="1:18">
      <c r="A7" s="589">
        <f t="shared" si="1"/>
        <v>4</v>
      </c>
      <c r="B7" s="597">
        <v>2</v>
      </c>
      <c r="C7" s="589">
        <v>4</v>
      </c>
      <c r="D7" s="589">
        <v>3</v>
      </c>
      <c r="E7" s="589">
        <v>3</v>
      </c>
      <c r="F7" s="589">
        <v>2</v>
      </c>
      <c r="G7" s="589">
        <v>2</v>
      </c>
      <c r="H7" s="589">
        <v>2</v>
      </c>
      <c r="I7" s="589">
        <v>6</v>
      </c>
      <c r="J7" s="589">
        <v>6</v>
      </c>
      <c r="K7" s="598">
        <v>3</v>
      </c>
      <c r="L7" s="589">
        <f t="shared" si="0"/>
        <v>33</v>
      </c>
      <c r="N7" s="28">
        <v>2</v>
      </c>
      <c r="O7" s="28">
        <v>10</v>
      </c>
      <c r="P7" s="28">
        <v>41</v>
      </c>
      <c r="Q7" s="28">
        <v>4.0999999999999996</v>
      </c>
      <c r="R7" s="28">
        <v>2.5444444444444452</v>
      </c>
    </row>
    <row r="8" spans="1:18">
      <c r="A8" s="589">
        <f t="shared" si="1"/>
        <v>5</v>
      </c>
      <c r="B8" s="597">
        <v>6</v>
      </c>
      <c r="C8" s="589">
        <v>5</v>
      </c>
      <c r="D8" s="589">
        <v>6</v>
      </c>
      <c r="E8" s="589">
        <v>5</v>
      </c>
      <c r="F8" s="589">
        <v>4</v>
      </c>
      <c r="G8" s="589">
        <v>4</v>
      </c>
      <c r="H8" s="589">
        <v>4</v>
      </c>
      <c r="I8" s="589">
        <v>6</v>
      </c>
      <c r="J8" s="589">
        <v>7</v>
      </c>
      <c r="K8" s="598">
        <v>5</v>
      </c>
      <c r="L8" s="589">
        <f t="shared" si="0"/>
        <v>52</v>
      </c>
      <c r="N8" s="28">
        <v>3</v>
      </c>
      <c r="O8" s="28">
        <v>10</v>
      </c>
      <c r="P8" s="28">
        <v>47</v>
      </c>
      <c r="Q8" s="28">
        <v>4.7</v>
      </c>
      <c r="R8" s="28">
        <v>2.0111111111111106</v>
      </c>
    </row>
    <row r="9" spans="1:18">
      <c r="A9" s="589">
        <f t="shared" si="1"/>
        <v>6</v>
      </c>
      <c r="B9" s="597">
        <v>1</v>
      </c>
      <c r="C9" s="589">
        <v>2</v>
      </c>
      <c r="D9" s="589">
        <v>3</v>
      </c>
      <c r="E9" s="589">
        <v>4</v>
      </c>
      <c r="F9" s="589">
        <v>2</v>
      </c>
      <c r="G9" s="589">
        <v>5</v>
      </c>
      <c r="H9" s="589">
        <v>2</v>
      </c>
      <c r="I9" s="589">
        <v>3</v>
      </c>
      <c r="J9" s="589">
        <v>5</v>
      </c>
      <c r="K9" s="598">
        <v>2</v>
      </c>
      <c r="L9" s="589">
        <f t="shared" si="0"/>
        <v>29</v>
      </c>
      <c r="N9" s="28">
        <v>4</v>
      </c>
      <c r="O9" s="28">
        <v>10</v>
      </c>
      <c r="P9" s="28">
        <v>33</v>
      </c>
      <c r="Q9" s="28">
        <v>3.3</v>
      </c>
      <c r="R9" s="28">
        <v>2.4555555555555548</v>
      </c>
    </row>
    <row r="10" spans="1:18">
      <c r="A10" s="589">
        <f t="shared" si="1"/>
        <v>7</v>
      </c>
      <c r="B10" s="597">
        <v>4</v>
      </c>
      <c r="C10" s="589">
        <v>3</v>
      </c>
      <c r="D10" s="589">
        <v>5</v>
      </c>
      <c r="E10" s="589">
        <v>3</v>
      </c>
      <c r="F10" s="589">
        <v>5</v>
      </c>
      <c r="G10" s="589">
        <v>2</v>
      </c>
      <c r="H10" s="589">
        <v>1</v>
      </c>
      <c r="I10" s="589">
        <v>2</v>
      </c>
      <c r="J10" s="589">
        <v>4</v>
      </c>
      <c r="K10" s="1023">
        <v>3</v>
      </c>
      <c r="L10" s="589">
        <f t="shared" si="0"/>
        <v>32</v>
      </c>
      <c r="N10" s="28">
        <v>5</v>
      </c>
      <c r="O10" s="28">
        <v>10</v>
      </c>
      <c r="P10" s="28">
        <v>52</v>
      </c>
      <c r="Q10" s="28">
        <v>5.2</v>
      </c>
      <c r="R10" s="28">
        <v>1.0666666666666691</v>
      </c>
    </row>
    <row r="11" spans="1:18">
      <c r="A11" s="589">
        <f t="shared" si="1"/>
        <v>8</v>
      </c>
      <c r="B11" s="597">
        <v>2</v>
      </c>
      <c r="C11" s="589">
        <v>4</v>
      </c>
      <c r="D11" s="589">
        <v>4</v>
      </c>
      <c r="E11" s="589">
        <v>3</v>
      </c>
      <c r="F11" s="589">
        <v>7</v>
      </c>
      <c r="G11" s="589">
        <v>2</v>
      </c>
      <c r="H11" s="589">
        <v>2</v>
      </c>
      <c r="I11" s="589">
        <v>4</v>
      </c>
      <c r="J11" s="589">
        <v>6</v>
      </c>
      <c r="K11" s="1023">
        <v>5</v>
      </c>
      <c r="L11" s="589">
        <f t="shared" si="0"/>
        <v>39</v>
      </c>
      <c r="N11" s="28">
        <v>6</v>
      </c>
      <c r="O11" s="28">
        <v>10</v>
      </c>
      <c r="P11" s="28">
        <v>29</v>
      </c>
      <c r="Q11" s="28">
        <v>2.9</v>
      </c>
      <c r="R11" s="28">
        <v>1.8777777777777784</v>
      </c>
    </row>
    <row r="12" spans="1:18">
      <c r="A12" s="589">
        <f t="shared" si="1"/>
        <v>9</v>
      </c>
      <c r="B12" s="597">
        <v>6</v>
      </c>
      <c r="C12" s="589">
        <v>5</v>
      </c>
      <c r="D12" s="589">
        <v>5</v>
      </c>
      <c r="E12" s="589">
        <v>5</v>
      </c>
      <c r="F12" s="589">
        <v>1</v>
      </c>
      <c r="G12" s="589">
        <v>6</v>
      </c>
      <c r="H12" s="589">
        <v>5</v>
      </c>
      <c r="I12" s="589">
        <v>2</v>
      </c>
      <c r="J12" s="589">
        <v>3</v>
      </c>
      <c r="K12" s="1023">
        <v>2</v>
      </c>
      <c r="L12" s="589">
        <f t="shared" si="0"/>
        <v>40</v>
      </c>
      <c r="N12" s="28">
        <v>7</v>
      </c>
      <c r="O12" s="28">
        <v>10</v>
      </c>
      <c r="P12" s="28">
        <v>32</v>
      </c>
      <c r="Q12" s="28">
        <v>3.2</v>
      </c>
      <c r="R12" s="28">
        <v>1.7333333333333327</v>
      </c>
    </row>
    <row r="13" spans="1:18">
      <c r="A13" s="589">
        <f t="shared" si="1"/>
        <v>10</v>
      </c>
      <c r="B13" s="597">
        <v>5</v>
      </c>
      <c r="C13" s="589">
        <v>4</v>
      </c>
      <c r="D13" s="589">
        <v>6</v>
      </c>
      <c r="E13" s="589">
        <v>4</v>
      </c>
      <c r="F13" s="589">
        <v>3</v>
      </c>
      <c r="G13" s="589">
        <v>5</v>
      </c>
      <c r="H13" s="589">
        <v>3</v>
      </c>
      <c r="I13" s="589">
        <v>1</v>
      </c>
      <c r="J13" s="589">
        <v>7</v>
      </c>
      <c r="K13" s="598">
        <v>2</v>
      </c>
      <c r="L13" s="589">
        <f t="shared" ref="L13:L20" si="2">SUM(B13:K13)</f>
        <v>40</v>
      </c>
      <c r="N13" s="28">
        <v>8</v>
      </c>
      <c r="O13" s="28">
        <v>10</v>
      </c>
      <c r="P13" s="28">
        <v>39</v>
      </c>
      <c r="Q13" s="28">
        <v>3.9</v>
      </c>
      <c r="R13" s="28">
        <v>2.9888888888888894</v>
      </c>
    </row>
    <row r="14" spans="1:18">
      <c r="A14" s="589">
        <f t="shared" si="1"/>
        <v>11</v>
      </c>
      <c r="B14" s="597">
        <v>4</v>
      </c>
      <c r="C14" s="589">
        <v>3</v>
      </c>
      <c r="D14" s="589">
        <v>5</v>
      </c>
      <c r="E14" s="589">
        <v>2</v>
      </c>
      <c r="F14" s="589">
        <v>5</v>
      </c>
      <c r="G14" s="589">
        <v>3</v>
      </c>
      <c r="H14" s="589">
        <v>2</v>
      </c>
      <c r="I14" s="589">
        <v>3</v>
      </c>
      <c r="J14" s="589">
        <v>4</v>
      </c>
      <c r="K14" s="598">
        <v>1</v>
      </c>
      <c r="L14" s="589">
        <f t="shared" si="2"/>
        <v>32</v>
      </c>
      <c r="N14" s="28">
        <v>9</v>
      </c>
      <c r="O14" s="28">
        <v>10</v>
      </c>
      <c r="P14" s="28">
        <v>40</v>
      </c>
      <c r="Q14" s="28">
        <v>4</v>
      </c>
      <c r="R14" s="28">
        <v>3.3333333333333335</v>
      </c>
    </row>
    <row r="15" spans="1:18">
      <c r="A15" s="589">
        <f t="shared" si="1"/>
        <v>12</v>
      </c>
      <c r="B15" s="597">
        <v>4</v>
      </c>
      <c r="C15" s="589">
        <v>2</v>
      </c>
      <c r="D15" s="589">
        <v>3</v>
      </c>
      <c r="E15" s="589">
        <v>2</v>
      </c>
      <c r="F15" s="589">
        <v>5</v>
      </c>
      <c r="G15" s="589">
        <v>3</v>
      </c>
      <c r="H15" s="589">
        <v>4</v>
      </c>
      <c r="I15" s="589">
        <v>2</v>
      </c>
      <c r="J15" s="589">
        <v>3</v>
      </c>
      <c r="K15" s="598">
        <v>4</v>
      </c>
      <c r="L15" s="589">
        <f t="shared" si="2"/>
        <v>32</v>
      </c>
      <c r="N15" s="28">
        <v>10</v>
      </c>
      <c r="O15" s="28">
        <v>10</v>
      </c>
      <c r="P15" s="28">
        <v>40</v>
      </c>
      <c r="Q15" s="28">
        <v>4</v>
      </c>
      <c r="R15" s="28">
        <v>3.3333333333333335</v>
      </c>
    </row>
    <row r="16" spans="1:18">
      <c r="A16" s="589">
        <f t="shared" si="1"/>
        <v>13</v>
      </c>
      <c r="B16" s="597">
        <v>5</v>
      </c>
      <c r="C16" s="589">
        <v>5</v>
      </c>
      <c r="D16" s="589">
        <v>6</v>
      </c>
      <c r="E16" s="589">
        <v>2</v>
      </c>
      <c r="F16" s="589">
        <v>3</v>
      </c>
      <c r="G16" s="589">
        <v>3</v>
      </c>
      <c r="H16" s="589">
        <v>2</v>
      </c>
      <c r="I16" s="589">
        <v>4</v>
      </c>
      <c r="J16" s="589">
        <v>4</v>
      </c>
      <c r="K16" s="598">
        <v>5</v>
      </c>
      <c r="L16" s="589">
        <f t="shared" si="2"/>
        <v>39</v>
      </c>
      <c r="N16" s="28">
        <v>11</v>
      </c>
      <c r="O16" s="28">
        <v>10</v>
      </c>
      <c r="P16" s="28">
        <v>32</v>
      </c>
      <c r="Q16" s="28">
        <v>3.2</v>
      </c>
      <c r="R16" s="28">
        <v>1.7333333333333327</v>
      </c>
    </row>
    <row r="17" spans="1:18">
      <c r="A17" s="589">
        <f t="shared" si="1"/>
        <v>14</v>
      </c>
      <c r="B17" s="597">
        <v>6</v>
      </c>
      <c r="C17" s="589">
        <v>5</v>
      </c>
      <c r="D17" s="589">
        <v>5</v>
      </c>
      <c r="E17" s="589">
        <v>4</v>
      </c>
      <c r="F17" s="589">
        <v>2</v>
      </c>
      <c r="G17" s="589">
        <v>2</v>
      </c>
      <c r="H17" s="589">
        <v>1</v>
      </c>
      <c r="I17" s="589">
        <v>4</v>
      </c>
      <c r="J17" s="589">
        <v>6</v>
      </c>
      <c r="K17" s="598">
        <v>5</v>
      </c>
      <c r="L17" s="589">
        <f t="shared" si="2"/>
        <v>40</v>
      </c>
      <c r="N17" s="28">
        <v>12</v>
      </c>
      <c r="O17" s="28">
        <v>10</v>
      </c>
      <c r="P17" s="28">
        <v>32</v>
      </c>
      <c r="Q17" s="28">
        <v>3.2</v>
      </c>
      <c r="R17" s="28">
        <v>1.066666666666666</v>
      </c>
    </row>
    <row r="18" spans="1:18">
      <c r="A18" s="589">
        <f t="shared" si="1"/>
        <v>15</v>
      </c>
      <c r="B18" s="599">
        <v>4</v>
      </c>
      <c r="C18" s="600">
        <v>3</v>
      </c>
      <c r="D18" s="600">
        <v>5</v>
      </c>
      <c r="E18" s="600">
        <v>5</v>
      </c>
      <c r="F18" s="600">
        <v>3</v>
      </c>
      <c r="G18" s="600">
        <v>1</v>
      </c>
      <c r="H18" s="600">
        <v>3</v>
      </c>
      <c r="I18" s="600">
        <v>2</v>
      </c>
      <c r="J18" s="600">
        <v>3</v>
      </c>
      <c r="K18" s="601">
        <v>4</v>
      </c>
      <c r="L18" s="589">
        <f t="shared" si="2"/>
        <v>33</v>
      </c>
      <c r="N18" s="28">
        <v>13</v>
      </c>
      <c r="O18" s="28">
        <v>10</v>
      </c>
      <c r="P18" s="28">
        <v>39</v>
      </c>
      <c r="Q18" s="28">
        <v>3.9</v>
      </c>
      <c r="R18" s="28">
        <v>1.8777777777777784</v>
      </c>
    </row>
    <row r="19" spans="1:18">
      <c r="A19" s="589" t="s">
        <v>12</v>
      </c>
      <c r="B19" s="589">
        <f t="shared" ref="B19:K19" si="3">SUM(B4:B18)</f>
        <v>64</v>
      </c>
      <c r="C19" s="589">
        <f t="shared" si="3"/>
        <v>54</v>
      </c>
      <c r="D19" s="589">
        <f t="shared" si="3"/>
        <v>71</v>
      </c>
      <c r="E19" s="589">
        <f t="shared" si="3"/>
        <v>51</v>
      </c>
      <c r="F19" s="589">
        <f t="shared" si="3"/>
        <v>57</v>
      </c>
      <c r="G19" s="589">
        <f t="shared" si="3"/>
        <v>48</v>
      </c>
      <c r="H19" s="589">
        <f t="shared" si="3"/>
        <v>37</v>
      </c>
      <c r="I19" s="589">
        <f t="shared" si="3"/>
        <v>51</v>
      </c>
      <c r="J19" s="589">
        <f t="shared" si="3"/>
        <v>72</v>
      </c>
      <c r="K19" s="589">
        <f t="shared" si="3"/>
        <v>53</v>
      </c>
      <c r="L19" s="589">
        <f t="shared" si="2"/>
        <v>558</v>
      </c>
      <c r="N19" s="28">
        <v>14</v>
      </c>
      <c r="O19" s="28">
        <v>10</v>
      </c>
      <c r="P19" s="28">
        <v>40</v>
      </c>
      <c r="Q19" s="28">
        <v>4</v>
      </c>
      <c r="R19" s="28">
        <v>3.1111111111111112</v>
      </c>
    </row>
    <row r="20" spans="1:18">
      <c r="A20" s="589" t="s">
        <v>1409</v>
      </c>
      <c r="B20" s="589">
        <f t="shared" ref="B20:K20" si="4">VARP(B4:B18)</f>
        <v>2.7288888888888887</v>
      </c>
      <c r="C20" s="589">
        <f t="shared" si="4"/>
        <v>1.1733333333333333</v>
      </c>
      <c r="D20" s="589">
        <f t="shared" si="4"/>
        <v>1.1288888888888888</v>
      </c>
      <c r="E20" s="589">
        <f t="shared" si="4"/>
        <v>1.5733333333333333</v>
      </c>
      <c r="F20" s="589">
        <f t="shared" si="4"/>
        <v>2.6933333333333334</v>
      </c>
      <c r="G20" s="589">
        <f t="shared" si="4"/>
        <v>2.2933333333333334</v>
      </c>
      <c r="H20" s="589">
        <f t="shared" si="4"/>
        <v>1.3155555555555556</v>
      </c>
      <c r="I20" s="589">
        <f t="shared" si="4"/>
        <v>2.1066666666666665</v>
      </c>
      <c r="J20" s="589">
        <f t="shared" si="4"/>
        <v>2.0266666666666668</v>
      </c>
      <c r="K20" s="589">
        <f t="shared" si="4"/>
        <v>1.9822222222222223</v>
      </c>
      <c r="L20" s="589">
        <f t="shared" si="2"/>
        <v>19.022222222222222</v>
      </c>
      <c r="N20" s="28">
        <v>15</v>
      </c>
      <c r="O20" s="28">
        <v>10</v>
      </c>
      <c r="P20" s="28">
        <v>33</v>
      </c>
      <c r="Q20" s="28">
        <v>3.3</v>
      </c>
      <c r="R20" s="28">
        <v>1.566666666666666</v>
      </c>
    </row>
    <row r="21" spans="1:18">
      <c r="N21" s="28"/>
      <c r="O21" s="28"/>
      <c r="P21" s="28"/>
      <c r="Q21" s="28"/>
      <c r="R21" s="28"/>
    </row>
    <row r="22" spans="1:18">
      <c r="A22" s="592" t="s">
        <v>169</v>
      </c>
      <c r="B22" s="542">
        <f>COUNTA(B3:K3)</f>
        <v>10</v>
      </c>
      <c r="N22" s="28" t="s">
        <v>166</v>
      </c>
      <c r="O22" s="28">
        <v>15</v>
      </c>
      <c r="P22" s="28">
        <v>64</v>
      </c>
      <c r="Q22" s="28">
        <v>4.2666666666666666</v>
      </c>
      <c r="R22" s="28">
        <v>2.9238095238095241</v>
      </c>
    </row>
    <row r="23" spans="1:18">
      <c r="A23" s="162" t="s">
        <v>1410</v>
      </c>
      <c r="B23" s="376">
        <f>L20</f>
        <v>19.022222222222222</v>
      </c>
      <c r="N23" s="28" t="s">
        <v>1397</v>
      </c>
      <c r="O23" s="28">
        <v>15</v>
      </c>
      <c r="P23" s="28">
        <v>54</v>
      </c>
      <c r="Q23" s="28">
        <v>3.6</v>
      </c>
      <c r="R23" s="28">
        <v>1.2571428571428567</v>
      </c>
    </row>
    <row r="24" spans="1:18">
      <c r="A24" s="592" t="s">
        <v>66</v>
      </c>
      <c r="B24" s="376">
        <f xml:space="preserve"> VARP(L4:L18)</f>
        <v>40.693333333333335</v>
      </c>
      <c r="N24" s="28" t="s">
        <v>1398</v>
      </c>
      <c r="O24" s="28">
        <v>15</v>
      </c>
      <c r="P24" s="28">
        <v>71</v>
      </c>
      <c r="Q24" s="28">
        <v>4.7333333333333334</v>
      </c>
      <c r="R24" s="28">
        <v>1.2095238095238099</v>
      </c>
    </row>
    <row r="25" spans="1:18">
      <c r="A25" s="604" t="s">
        <v>157</v>
      </c>
      <c r="B25" s="544">
        <f>(B22/(B22-1))*(1-B23/B24)</f>
        <v>0.59171884859958257</v>
      </c>
      <c r="N25" s="28" t="s">
        <v>1399</v>
      </c>
      <c r="O25" s="28">
        <v>15</v>
      </c>
      <c r="P25" s="28">
        <v>51</v>
      </c>
      <c r="Q25" s="28">
        <v>3.4</v>
      </c>
      <c r="R25" s="28">
        <v>1.6857142857142853</v>
      </c>
    </row>
    <row r="26" spans="1:18">
      <c r="A26" s="604"/>
      <c r="B26" s="8"/>
      <c r="N26" s="28" t="s">
        <v>1400</v>
      </c>
      <c r="O26" s="28">
        <v>15</v>
      </c>
      <c r="P26" s="28">
        <v>57</v>
      </c>
      <c r="Q26" s="28">
        <v>3.8</v>
      </c>
      <c r="R26" s="28">
        <v>2.8857142857142861</v>
      </c>
    </row>
    <row r="27" spans="1:18">
      <c r="A27" s="604"/>
      <c r="B27" s="8"/>
      <c r="N27" s="28" t="s">
        <v>1401</v>
      </c>
      <c r="O27" s="28">
        <v>15</v>
      </c>
      <c r="P27" s="28">
        <v>48</v>
      </c>
      <c r="Q27" s="28">
        <v>3.2</v>
      </c>
      <c r="R27" s="28">
        <v>2.4571428571428577</v>
      </c>
    </row>
    <row r="28" spans="1:18">
      <c r="A28" s="604"/>
      <c r="B28" s="8"/>
      <c r="N28" s="28" t="s">
        <v>1402</v>
      </c>
      <c r="O28" s="28">
        <v>15</v>
      </c>
      <c r="P28" s="28">
        <v>37</v>
      </c>
      <c r="Q28" s="28">
        <v>2.4666666666666668</v>
      </c>
      <c r="R28" s="28">
        <v>1.4095238095238096</v>
      </c>
    </row>
    <row r="29" spans="1:18">
      <c r="A29" s="604"/>
      <c r="B29" s="8"/>
      <c r="N29" s="28" t="s">
        <v>1403</v>
      </c>
      <c r="O29" s="28">
        <v>15</v>
      </c>
      <c r="P29" s="28">
        <v>51</v>
      </c>
      <c r="Q29" s="28">
        <v>3.4</v>
      </c>
      <c r="R29" s="28">
        <v>2.2571428571428567</v>
      </c>
    </row>
    <row r="30" spans="1:18">
      <c r="A30" s="604"/>
      <c r="B30" s="8"/>
      <c r="N30" s="28" t="s">
        <v>1404</v>
      </c>
      <c r="O30" s="28">
        <v>15</v>
      </c>
      <c r="P30" s="28">
        <v>72</v>
      </c>
      <c r="Q30" s="28">
        <v>4.8</v>
      </c>
      <c r="R30" s="28">
        <v>2.1714285714285699</v>
      </c>
    </row>
    <row r="31" spans="1:18" ht="15" thickBot="1">
      <c r="A31" s="604"/>
      <c r="B31" s="8"/>
      <c r="N31" s="31" t="s">
        <v>1405</v>
      </c>
      <c r="O31" s="31">
        <v>15</v>
      </c>
      <c r="P31" s="31">
        <v>53</v>
      </c>
      <c r="Q31" s="31">
        <v>3.5333333333333332</v>
      </c>
      <c r="R31" s="31">
        <v>2.1238095238095229</v>
      </c>
    </row>
    <row r="32" spans="1:18">
      <c r="A32" s="604"/>
      <c r="B32" s="8"/>
    </row>
    <row r="33" spans="1:20">
      <c r="A33" s="604"/>
      <c r="B33" s="8"/>
    </row>
    <row r="34" spans="1:20" ht="15" thickBot="1">
      <c r="A34" s="604"/>
      <c r="B34" s="8"/>
      <c r="N34" t="s">
        <v>695</v>
      </c>
    </row>
    <row r="35" spans="1:20">
      <c r="A35" s="604"/>
      <c r="B35" s="8"/>
      <c r="N35" s="1011" t="s">
        <v>887</v>
      </c>
      <c r="O35" s="1011" t="s">
        <v>578</v>
      </c>
      <c r="P35" s="1011" t="s">
        <v>186</v>
      </c>
      <c r="Q35" s="1011" t="s">
        <v>641</v>
      </c>
      <c r="R35" s="1011" t="s">
        <v>388</v>
      </c>
      <c r="S35" s="1011" t="s">
        <v>367</v>
      </c>
      <c r="T35" s="1011" t="s">
        <v>888</v>
      </c>
    </row>
    <row r="36" spans="1:20">
      <c r="A36" s="604"/>
      <c r="B36" s="8"/>
      <c r="N36" s="28" t="s">
        <v>390</v>
      </c>
      <c r="O36" s="28">
        <v>61.039999999999281</v>
      </c>
      <c r="P36" s="28">
        <v>14</v>
      </c>
      <c r="Q36" s="28">
        <v>4.3599999999999488</v>
      </c>
      <c r="R36" s="28">
        <v>2.4492925930328964</v>
      </c>
      <c r="S36" s="28">
        <v>4.3763869012234313E-3</v>
      </c>
      <c r="T36" s="28">
        <v>1.7710235343212157</v>
      </c>
    </row>
    <row r="37" spans="1:20">
      <c r="A37" s="604"/>
      <c r="B37" s="8"/>
      <c r="N37" s="28" t="s">
        <v>1010</v>
      </c>
      <c r="O37" s="28">
        <v>68.906666666666013</v>
      </c>
      <c r="P37" s="28">
        <v>9</v>
      </c>
      <c r="Q37" s="28">
        <v>7.6562962962962233</v>
      </c>
      <c r="R37" s="28">
        <v>4.3010343597669172</v>
      </c>
      <c r="S37" s="28">
        <v>6.8243311435231693E-5</v>
      </c>
      <c r="T37" s="28">
        <v>1.954952612669149</v>
      </c>
    </row>
    <row r="38" spans="1:20">
      <c r="A38" s="604"/>
      <c r="B38" s="8"/>
      <c r="N38" s="28" t="s">
        <v>1009</v>
      </c>
      <c r="O38" s="28">
        <v>224.29333333333403</v>
      </c>
      <c r="P38" s="28">
        <v>126</v>
      </c>
      <c r="Q38" s="28">
        <v>1.7801058201058257</v>
      </c>
      <c r="R38" s="28"/>
      <c r="S38" s="28"/>
      <c r="T38" s="28"/>
    </row>
    <row r="39" spans="1:20">
      <c r="A39" s="604"/>
      <c r="B39" s="8"/>
      <c r="N39" s="28"/>
      <c r="O39" s="28"/>
      <c r="P39" s="28"/>
      <c r="Q39" s="28"/>
      <c r="R39" s="28"/>
      <c r="S39" s="28"/>
      <c r="T39" s="28"/>
    </row>
    <row r="40" spans="1:20" ht="15" thickBot="1">
      <c r="A40" s="604"/>
      <c r="B40" s="8"/>
      <c r="N40" s="31" t="s">
        <v>12</v>
      </c>
      <c r="O40" s="31">
        <v>354.23999999999933</v>
      </c>
      <c r="P40" s="31">
        <v>149</v>
      </c>
      <c r="Q40" s="31"/>
      <c r="R40" s="31"/>
      <c r="S40" s="31"/>
      <c r="T40" s="31"/>
    </row>
    <row r="41" spans="1:20">
      <c r="A41" s="604"/>
      <c r="B41" s="8"/>
    </row>
    <row r="42" spans="1:20" ht="15.6">
      <c r="A42" s="604"/>
      <c r="B42" s="8"/>
      <c r="L42" s="589"/>
      <c r="N42" t="s">
        <v>116</v>
      </c>
      <c r="O42" s="756">
        <f>1-Q38/Q36</f>
        <v>0.59171884859957646</v>
      </c>
      <c r="Q42" s="23" t="s">
        <v>1413</v>
      </c>
    </row>
    <row r="43" spans="1:20">
      <c r="A43" s="604"/>
      <c r="B43" s="8"/>
    </row>
    <row r="44" spans="1:20">
      <c r="A44" s="604"/>
      <c r="B44" s="8"/>
      <c r="N44" t="s">
        <v>2598</v>
      </c>
    </row>
    <row r="45" spans="1:20">
      <c r="A45" s="604"/>
      <c r="B45" s="8"/>
    </row>
    <row r="46" spans="1:20">
      <c r="A46" s="604"/>
      <c r="B46" s="8"/>
      <c r="N46" t="s">
        <v>116</v>
      </c>
      <c r="O46" s="756" t="e">
        <f ca="1">[1]!CRONALPHA(B4:K18)</f>
        <v>#NAME?</v>
      </c>
      <c r="Q46" s="23" t="s">
        <v>2659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sheetPr codeName="Sheet336"/>
  <dimension ref="A1:V18"/>
  <sheetViews>
    <sheetView workbookViewId="0"/>
  </sheetViews>
  <sheetFormatPr defaultRowHeight="14.4"/>
  <sheetData>
    <row r="1" spans="1:22">
      <c r="A1" s="1" t="s">
        <v>1411</v>
      </c>
      <c r="M1" t="s">
        <v>1411</v>
      </c>
    </row>
    <row r="3" spans="1:22">
      <c r="B3" s="1446" t="s">
        <v>166</v>
      </c>
      <c r="C3" s="1446" t="s">
        <v>1397</v>
      </c>
      <c r="D3" s="1446" t="s">
        <v>1398</v>
      </c>
      <c r="E3" s="1446" t="s">
        <v>1399</v>
      </c>
      <c r="F3" s="1446" t="s">
        <v>1400</v>
      </c>
      <c r="G3" s="1446" t="s">
        <v>1401</v>
      </c>
      <c r="H3" s="1446" t="s">
        <v>1402</v>
      </c>
      <c r="I3" s="1446" t="s">
        <v>1403</v>
      </c>
      <c r="J3" s="1446" t="s">
        <v>1404</v>
      </c>
      <c r="K3" s="1446" t="s">
        <v>1405</v>
      </c>
      <c r="M3" s="1121" t="e">
        <f ca="1">[1]!CRONALPHA(B4:K18)</f>
        <v>#NAME?</v>
      </c>
    </row>
    <row r="4" spans="1:22">
      <c r="A4" s="589">
        <v>1</v>
      </c>
      <c r="B4" s="594">
        <v>3</v>
      </c>
      <c r="C4" s="595">
        <v>2</v>
      </c>
      <c r="D4" s="595">
        <v>4</v>
      </c>
      <c r="E4" s="595">
        <v>1</v>
      </c>
      <c r="F4" s="595">
        <v>4</v>
      </c>
      <c r="G4" s="595">
        <v>5</v>
      </c>
      <c r="H4" s="595">
        <v>1</v>
      </c>
      <c r="I4" s="595">
        <v>4</v>
      </c>
      <c r="J4" s="595">
        <v>3</v>
      </c>
      <c r="K4" s="596">
        <v>2</v>
      </c>
    </row>
    <row r="5" spans="1:22">
      <c r="A5" s="589">
        <f>A4+1</f>
        <v>2</v>
      </c>
      <c r="B5" s="597">
        <v>5</v>
      </c>
      <c r="C5" s="589">
        <v>4</v>
      </c>
      <c r="D5" s="589">
        <v>6</v>
      </c>
      <c r="E5" s="589">
        <v>3</v>
      </c>
      <c r="F5" s="589">
        <v>5</v>
      </c>
      <c r="G5" s="589">
        <v>1</v>
      </c>
      <c r="H5" s="589">
        <v>2</v>
      </c>
      <c r="I5" s="589">
        <v>5</v>
      </c>
      <c r="J5" s="589">
        <v>5</v>
      </c>
      <c r="K5" s="598">
        <v>5</v>
      </c>
      <c r="M5" t="s">
        <v>4045</v>
      </c>
    </row>
    <row r="6" spans="1:22">
      <c r="A6" s="589">
        <f t="shared" ref="A6:A18" si="0">A5+1</f>
        <v>3</v>
      </c>
      <c r="B6" s="597">
        <v>7</v>
      </c>
      <c r="C6" s="589">
        <v>3</v>
      </c>
      <c r="D6" s="589">
        <v>5</v>
      </c>
      <c r="E6" s="589">
        <v>5</v>
      </c>
      <c r="F6" s="589">
        <v>6</v>
      </c>
      <c r="G6" s="589">
        <v>4</v>
      </c>
      <c r="H6" s="589">
        <v>3</v>
      </c>
      <c r="I6" s="589">
        <v>3</v>
      </c>
      <c r="J6" s="589">
        <v>6</v>
      </c>
      <c r="K6" s="598">
        <v>5</v>
      </c>
    </row>
    <row r="7" spans="1:22">
      <c r="A7" s="589">
        <f t="shared" si="0"/>
        <v>4</v>
      </c>
      <c r="B7" s="597">
        <v>2</v>
      </c>
      <c r="C7" s="589">
        <v>4</v>
      </c>
      <c r="D7" s="589">
        <v>3</v>
      </c>
      <c r="E7" s="589">
        <v>3</v>
      </c>
      <c r="F7" s="589">
        <v>2</v>
      </c>
      <c r="G7" s="589">
        <v>2</v>
      </c>
      <c r="H7" s="589">
        <v>2</v>
      </c>
      <c r="I7" s="589">
        <v>6</v>
      </c>
      <c r="J7" s="589">
        <v>6</v>
      </c>
      <c r="K7" s="598">
        <v>3</v>
      </c>
      <c r="M7" t="str">
        <f>B3</f>
        <v>Q1</v>
      </c>
      <c r="N7" t="str">
        <f t="shared" ref="N7:V7" si="1">C3</f>
        <v>Q2</v>
      </c>
      <c r="O7" t="str">
        <f t="shared" si="1"/>
        <v>Q3</v>
      </c>
      <c r="P7" t="str">
        <f t="shared" si="1"/>
        <v>Q4</v>
      </c>
      <c r="Q7" t="str">
        <f t="shared" si="1"/>
        <v>Q5</v>
      </c>
      <c r="R7" t="str">
        <f t="shared" si="1"/>
        <v>Q6</v>
      </c>
      <c r="S7" t="str">
        <f t="shared" si="1"/>
        <v>Q7</v>
      </c>
      <c r="T7" t="str">
        <f t="shared" si="1"/>
        <v>Q8</v>
      </c>
      <c r="U7" t="str">
        <f t="shared" si="1"/>
        <v>Q9</v>
      </c>
      <c r="V7" t="str">
        <f t="shared" si="1"/>
        <v>Q10</v>
      </c>
    </row>
    <row r="8" spans="1:22">
      <c r="A8" s="589">
        <f t="shared" si="0"/>
        <v>5</v>
      </c>
      <c r="B8" s="597">
        <v>6</v>
      </c>
      <c r="C8" s="589">
        <v>5</v>
      </c>
      <c r="D8" s="589">
        <v>6</v>
      </c>
      <c r="E8" s="589">
        <v>5</v>
      </c>
      <c r="F8" s="589">
        <v>4</v>
      </c>
      <c r="G8" s="589">
        <v>4</v>
      </c>
      <c r="H8" s="589">
        <v>4</v>
      </c>
      <c r="I8" s="589">
        <v>6</v>
      </c>
      <c r="J8" s="589">
        <v>7</v>
      </c>
      <c r="K8" s="598">
        <v>5</v>
      </c>
      <c r="M8" s="1119" t="e">
        <f t="array" aca="1" ref="M8:V8" ca="1">[1]!CALPHA(B4:K18)</f>
        <v>#NAME?</v>
      </c>
      <c r="N8" s="1017" t="e">
        <f ca="1"/>
        <v>#NAME?</v>
      </c>
      <c r="O8" s="1017" t="e">
        <f ca="1"/>
        <v>#NAME?</v>
      </c>
      <c r="P8" s="1017" t="e">
        <f ca="1"/>
        <v>#NAME?</v>
      </c>
      <c r="Q8" s="1017" t="e">
        <f ca="1"/>
        <v>#NAME?</v>
      </c>
      <c r="R8" s="1017" t="e">
        <f ca="1"/>
        <v>#NAME?</v>
      </c>
      <c r="S8" s="1017" t="e">
        <f ca="1"/>
        <v>#NAME?</v>
      </c>
      <c r="T8" s="1017" t="e">
        <f ca="1"/>
        <v>#NAME?</v>
      </c>
      <c r="U8" s="1017" t="e">
        <f ca="1"/>
        <v>#NAME?</v>
      </c>
      <c r="V8" s="1120" t="e">
        <f ca="1"/>
        <v>#NAME?</v>
      </c>
    </row>
    <row r="9" spans="1:22">
      <c r="A9" s="589">
        <f t="shared" si="0"/>
        <v>6</v>
      </c>
      <c r="B9" s="597">
        <v>1</v>
      </c>
      <c r="C9" s="589">
        <v>2</v>
      </c>
      <c r="D9" s="589">
        <v>3</v>
      </c>
      <c r="E9" s="589">
        <v>4</v>
      </c>
      <c r="F9" s="589">
        <v>2</v>
      </c>
      <c r="G9" s="589">
        <v>5</v>
      </c>
      <c r="H9" s="589">
        <v>2</v>
      </c>
      <c r="I9" s="589">
        <v>3</v>
      </c>
      <c r="J9" s="589">
        <v>5</v>
      </c>
      <c r="K9" s="598">
        <v>2</v>
      </c>
    </row>
    <row r="10" spans="1:22">
      <c r="A10" s="589">
        <f t="shared" si="0"/>
        <v>7</v>
      </c>
      <c r="B10" s="597">
        <v>4</v>
      </c>
      <c r="C10" s="589">
        <v>3</v>
      </c>
      <c r="D10" s="589">
        <v>5</v>
      </c>
      <c r="E10" s="589">
        <v>3</v>
      </c>
      <c r="F10" s="589">
        <v>5</v>
      </c>
      <c r="G10" s="589">
        <v>2</v>
      </c>
      <c r="H10" s="589">
        <v>1</v>
      </c>
      <c r="I10" s="589">
        <v>2</v>
      </c>
      <c r="J10" s="589">
        <v>4</v>
      </c>
      <c r="K10" s="1023">
        <v>3</v>
      </c>
      <c r="M10" t="s">
        <v>4046</v>
      </c>
    </row>
    <row r="11" spans="1:22">
      <c r="A11" s="589">
        <f t="shared" si="0"/>
        <v>8</v>
      </c>
      <c r="B11" s="597">
        <v>2</v>
      </c>
      <c r="C11" s="589">
        <v>4</v>
      </c>
      <c r="D11" s="589">
        <v>4</v>
      </c>
      <c r="E11" s="589">
        <v>3</v>
      </c>
      <c r="F11" s="589">
        <v>7</v>
      </c>
      <c r="G11" s="589">
        <v>2</v>
      </c>
      <c r="H11" s="589">
        <v>2</v>
      </c>
      <c r="I11" s="589">
        <v>4</v>
      </c>
      <c r="J11" s="589">
        <v>6</v>
      </c>
      <c r="K11" s="1023">
        <v>5</v>
      </c>
    </row>
    <row r="12" spans="1:22">
      <c r="A12" s="589">
        <f t="shared" si="0"/>
        <v>9</v>
      </c>
      <c r="B12" s="597">
        <v>6</v>
      </c>
      <c r="C12" s="589">
        <v>5</v>
      </c>
      <c r="D12" s="589">
        <v>5</v>
      </c>
      <c r="E12" s="589">
        <v>5</v>
      </c>
      <c r="F12" s="589">
        <v>1</v>
      </c>
      <c r="G12" s="589">
        <v>6</v>
      </c>
      <c r="H12" s="589">
        <v>5</v>
      </c>
      <c r="I12" s="589">
        <v>2</v>
      </c>
      <c r="J12" s="589">
        <v>3</v>
      </c>
      <c r="K12" s="1023">
        <v>2</v>
      </c>
      <c r="M12" t="s">
        <v>4049</v>
      </c>
      <c r="N12" s="1441" t="e">
        <f ca="1">[1]!SPLITHALF(B4:K18,0)</f>
        <v>#NAME?</v>
      </c>
    </row>
    <row r="13" spans="1:22">
      <c r="A13" s="589">
        <f t="shared" si="0"/>
        <v>10</v>
      </c>
      <c r="B13" s="597">
        <v>5</v>
      </c>
      <c r="C13" s="589">
        <v>4</v>
      </c>
      <c r="D13" s="589">
        <v>6</v>
      </c>
      <c r="E13" s="589">
        <v>4</v>
      </c>
      <c r="F13" s="589">
        <v>3</v>
      </c>
      <c r="G13" s="589">
        <v>5</v>
      </c>
      <c r="H13" s="589">
        <v>3</v>
      </c>
      <c r="I13" s="589">
        <v>1</v>
      </c>
      <c r="J13" s="589">
        <v>7</v>
      </c>
      <c r="K13" s="598">
        <v>2</v>
      </c>
      <c r="M13" t="s">
        <v>4047</v>
      </c>
      <c r="N13" s="1073" t="e">
        <f ca="1">[1]!SPLITHALF(B4:K18,1)</f>
        <v>#NAME?</v>
      </c>
    </row>
    <row r="14" spans="1:22">
      <c r="A14" s="589">
        <f t="shared" si="0"/>
        <v>11</v>
      </c>
      <c r="B14" s="597">
        <v>4</v>
      </c>
      <c r="C14" s="589">
        <v>3</v>
      </c>
      <c r="D14" s="589">
        <v>5</v>
      </c>
      <c r="E14" s="589">
        <v>2</v>
      </c>
      <c r="F14" s="589">
        <v>5</v>
      </c>
      <c r="G14" s="589">
        <v>3</v>
      </c>
      <c r="H14" s="589">
        <v>2</v>
      </c>
      <c r="I14" s="589">
        <v>3</v>
      </c>
      <c r="J14" s="589">
        <v>4</v>
      </c>
      <c r="K14" s="598">
        <v>1</v>
      </c>
    </row>
    <row r="15" spans="1:22">
      <c r="A15" s="589">
        <f t="shared" si="0"/>
        <v>12</v>
      </c>
      <c r="B15" s="597">
        <v>4</v>
      </c>
      <c r="C15" s="589">
        <v>2</v>
      </c>
      <c r="D15" s="589">
        <v>3</v>
      </c>
      <c r="E15" s="589">
        <v>2</v>
      </c>
      <c r="F15" s="589">
        <v>5</v>
      </c>
      <c r="G15" s="589">
        <v>3</v>
      </c>
      <c r="H15" s="589">
        <v>4</v>
      </c>
      <c r="I15" s="589">
        <v>2</v>
      </c>
      <c r="J15" s="589">
        <v>3</v>
      </c>
      <c r="K15" s="598">
        <v>4</v>
      </c>
    </row>
    <row r="16" spans="1:22">
      <c r="A16" s="589">
        <f t="shared" si="0"/>
        <v>13</v>
      </c>
      <c r="B16" s="597">
        <v>5</v>
      </c>
      <c r="C16" s="589">
        <v>5</v>
      </c>
      <c r="D16" s="589">
        <v>6</v>
      </c>
      <c r="E16" s="589">
        <v>2</v>
      </c>
      <c r="F16" s="589">
        <v>3</v>
      </c>
      <c r="G16" s="589">
        <v>3</v>
      </c>
      <c r="H16" s="589">
        <v>2</v>
      </c>
      <c r="I16" s="589">
        <v>4</v>
      </c>
      <c r="J16" s="589">
        <v>4</v>
      </c>
      <c r="K16" s="598">
        <v>5</v>
      </c>
    </row>
    <row r="17" spans="1:11">
      <c r="A17" s="589">
        <f t="shared" si="0"/>
        <v>14</v>
      </c>
      <c r="B17" s="597">
        <v>6</v>
      </c>
      <c r="C17" s="589">
        <v>5</v>
      </c>
      <c r="D17" s="589">
        <v>5</v>
      </c>
      <c r="E17" s="589">
        <v>4</v>
      </c>
      <c r="F17" s="589">
        <v>2</v>
      </c>
      <c r="G17" s="589">
        <v>2</v>
      </c>
      <c r="H17" s="589">
        <v>1</v>
      </c>
      <c r="I17" s="589">
        <v>4</v>
      </c>
      <c r="J17" s="589">
        <v>6</v>
      </c>
      <c r="K17" s="598">
        <v>5</v>
      </c>
    </row>
    <row r="18" spans="1:11">
      <c r="A18" s="589">
        <f t="shared" si="0"/>
        <v>15</v>
      </c>
      <c r="B18" s="599">
        <v>4</v>
      </c>
      <c r="C18" s="600">
        <v>3</v>
      </c>
      <c r="D18" s="600">
        <v>5</v>
      </c>
      <c r="E18" s="600">
        <v>5</v>
      </c>
      <c r="F18" s="600">
        <v>3</v>
      </c>
      <c r="G18" s="600">
        <v>1</v>
      </c>
      <c r="H18" s="600">
        <v>3</v>
      </c>
      <c r="I18" s="600">
        <v>2</v>
      </c>
      <c r="J18" s="600">
        <v>3</v>
      </c>
      <c r="K18" s="601">
        <v>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sheetPr codeName="Sheet153"/>
  <dimension ref="A1:N26"/>
  <sheetViews>
    <sheetView workbookViewId="0"/>
  </sheetViews>
  <sheetFormatPr defaultRowHeight="14.4"/>
  <cols>
    <col min="1" max="1" width="11.33203125" customWidth="1"/>
    <col min="2" max="4" width="10.33203125" customWidth="1"/>
  </cols>
  <sheetData>
    <row r="1" spans="1:14">
      <c r="A1" s="1" t="s">
        <v>1414</v>
      </c>
    </row>
    <row r="3" spans="1:14">
      <c r="B3" s="1552" t="s">
        <v>1415</v>
      </c>
      <c r="C3" s="1552"/>
      <c r="D3" s="1552"/>
    </row>
    <row r="4" spans="1:14">
      <c r="A4" t="s">
        <v>1416</v>
      </c>
      <c r="B4" s="549" t="s">
        <v>1420</v>
      </c>
      <c r="C4" s="549" t="s">
        <v>1421</v>
      </c>
      <c r="D4" s="549" t="s">
        <v>1422</v>
      </c>
      <c r="E4" s="549" t="s">
        <v>12</v>
      </c>
      <c r="J4" t="s">
        <v>3183</v>
      </c>
      <c r="N4" t="s">
        <v>4071</v>
      </c>
    </row>
    <row r="5" spans="1:14">
      <c r="A5" s="126" t="s">
        <v>1420</v>
      </c>
      <c r="B5" s="610">
        <v>10</v>
      </c>
      <c r="C5" s="563">
        <v>4</v>
      </c>
      <c r="D5" s="555">
        <v>1</v>
      </c>
      <c r="E5" s="549">
        <f>SUM(B5:D5)</f>
        <v>15</v>
      </c>
    </row>
    <row r="6" spans="1:14">
      <c r="A6" s="126" t="s">
        <v>1421</v>
      </c>
      <c r="B6" s="360">
        <v>6</v>
      </c>
      <c r="C6" s="117">
        <v>16</v>
      </c>
      <c r="D6" s="88">
        <v>2</v>
      </c>
      <c r="E6" s="549">
        <f>SUM(B6:D6)</f>
        <v>24</v>
      </c>
      <c r="J6" t="s">
        <v>2782</v>
      </c>
      <c r="K6" s="756" t="e">
        <f ca="1">[1]!WKAPPA(B5:D7)</f>
        <v>#NAME?</v>
      </c>
      <c r="N6" t="s">
        <v>1414</v>
      </c>
    </row>
    <row r="7" spans="1:14">
      <c r="A7" s="126" t="s">
        <v>1422</v>
      </c>
      <c r="B7" s="560">
        <v>0</v>
      </c>
      <c r="C7" s="611">
        <v>3</v>
      </c>
      <c r="D7" s="536">
        <v>8</v>
      </c>
      <c r="E7" s="549">
        <f>SUM(B7:D7)</f>
        <v>11</v>
      </c>
    </row>
    <row r="8" spans="1:14">
      <c r="A8" s="66" t="s">
        <v>12</v>
      </c>
      <c r="B8" s="549">
        <f>SUM(B5:B7)</f>
        <v>16</v>
      </c>
      <c r="C8" s="549">
        <f>SUM(C5:C7)</f>
        <v>23</v>
      </c>
      <c r="D8" s="549">
        <f>SUM(D5:D7)</f>
        <v>11</v>
      </c>
      <c r="E8" s="549">
        <f>SUM(E5:E7)</f>
        <v>50</v>
      </c>
      <c r="N8" s="1121" t="e">
        <f ca="1">[1]!WKAPPA(B5:D7)</f>
        <v>#NAME?</v>
      </c>
    </row>
    <row r="10" spans="1:14">
      <c r="A10" t="s">
        <v>1417</v>
      </c>
      <c r="B10" s="610">
        <f>B5</f>
        <v>10</v>
      </c>
      <c r="C10" s="563">
        <f>C6</f>
        <v>16</v>
      </c>
      <c r="D10" s="555">
        <f>D7</f>
        <v>8</v>
      </c>
      <c r="E10" s="549">
        <f>SUM(B10:D10)</f>
        <v>34</v>
      </c>
      <c r="G10" s="232" t="s">
        <v>2841</v>
      </c>
      <c r="H10" s="1072" t="e">
        <f ca="1">[1]!TRACE(B5:D7)/SUM(B5:D7)</f>
        <v>#NAME?</v>
      </c>
    </row>
    <row r="11" spans="1:14">
      <c r="A11" s="66" t="s">
        <v>1418</v>
      </c>
      <c r="B11" s="560">
        <f>B$8*$E5/$E$8</f>
        <v>4.8</v>
      </c>
      <c r="C11" s="611">
        <f>C$8*$E6/$E$8</f>
        <v>11.04</v>
      </c>
      <c r="D11" s="536">
        <f>D$8*$E7/$E$8</f>
        <v>2.42</v>
      </c>
      <c r="E11" s="549">
        <f>SUM(B11:D11)</f>
        <v>18.259999999999998</v>
      </c>
      <c r="G11" s="232" t="s">
        <v>2842</v>
      </c>
      <c r="H11" s="544">
        <f>MMULT(B8:D8,E5:E7)/E8^2</f>
        <v>0.36520000000000002</v>
      </c>
    </row>
    <row r="12" spans="1:14">
      <c r="G12" t="s">
        <v>2782</v>
      </c>
      <c r="H12" s="756" t="e">
        <f ca="1">(H10-H11)/(1-H11)</f>
        <v>#NAME?</v>
      </c>
    </row>
    <row r="13" spans="1:14">
      <c r="A13" t="s">
        <v>1419</v>
      </c>
      <c r="B13" s="529">
        <f>(E10-E11)/(E8-E11)</f>
        <v>0.49590422180214244</v>
      </c>
    </row>
    <row r="15" spans="1:14">
      <c r="A15" t="s">
        <v>826</v>
      </c>
      <c r="B15" s="542">
        <f>SQRT(E10*(E8-E10)/E8)/(E8-E11)</f>
        <v>0.10392200694688496</v>
      </c>
    </row>
    <row r="16" spans="1:14">
      <c r="A16" s="65" t="s">
        <v>157</v>
      </c>
      <c r="B16" s="376">
        <v>0.05</v>
      </c>
    </row>
    <row r="17" spans="1:5">
      <c r="A17" s="493" t="s">
        <v>491</v>
      </c>
      <c r="B17" s="376">
        <f>NORMSINV(1-B16/2)</f>
        <v>1.9599639845400536</v>
      </c>
    </row>
    <row r="18" spans="1:5">
      <c r="A18" s="493" t="s">
        <v>103</v>
      </c>
      <c r="B18" s="376">
        <f>B13-B15*B17</f>
        <v>0.29222083098512663</v>
      </c>
    </row>
    <row r="19" spans="1:5">
      <c r="A19" s="493" t="s">
        <v>104</v>
      </c>
      <c r="B19" s="544">
        <f>B13+B15*B17</f>
        <v>0.69958761261915825</v>
      </c>
    </row>
    <row r="21" spans="1:5">
      <c r="B21" s="1552" t="s">
        <v>1423</v>
      </c>
      <c r="C21" s="1552"/>
      <c r="D21" s="1552"/>
    </row>
    <row r="22" spans="1:5">
      <c r="A22" t="s">
        <v>1424</v>
      </c>
      <c r="B22" s="549" t="s">
        <v>1425</v>
      </c>
      <c r="C22" s="549" t="s">
        <v>1426</v>
      </c>
      <c r="D22" s="549" t="s">
        <v>1427</v>
      </c>
      <c r="E22" s="549" t="s">
        <v>12</v>
      </c>
    </row>
    <row r="23" spans="1:5">
      <c r="A23" s="126" t="s">
        <v>1425</v>
      </c>
      <c r="B23" s="610">
        <v>10</v>
      </c>
      <c r="C23" s="563">
        <v>4</v>
      </c>
      <c r="D23" s="555">
        <v>1</v>
      </c>
      <c r="E23" s="549">
        <f>SUM(B23:D23)</f>
        <v>15</v>
      </c>
    </row>
    <row r="24" spans="1:5">
      <c r="A24" s="126" t="s">
        <v>1426</v>
      </c>
      <c r="B24" s="360">
        <v>6</v>
      </c>
      <c r="C24" s="117">
        <v>16</v>
      </c>
      <c r="D24" s="88">
        <v>2</v>
      </c>
      <c r="E24" s="549">
        <f>SUM(B24:D24)</f>
        <v>24</v>
      </c>
    </row>
    <row r="25" spans="1:5">
      <c r="A25" s="126" t="s">
        <v>1427</v>
      </c>
      <c r="B25" s="560">
        <v>0</v>
      </c>
      <c r="C25" s="611">
        <v>3</v>
      </c>
      <c r="D25" s="536">
        <v>8</v>
      </c>
      <c r="E25" s="549">
        <f>SUM(B25:D25)</f>
        <v>11</v>
      </c>
    </row>
    <row r="26" spans="1:5">
      <c r="A26" s="66" t="s">
        <v>12</v>
      </c>
      <c r="B26" s="549">
        <f>SUM(B23:B25)</f>
        <v>16</v>
      </c>
      <c r="C26" s="549">
        <f>SUM(C23:C25)</f>
        <v>23</v>
      </c>
      <c r="D26" s="549">
        <f>SUM(D23:D25)</f>
        <v>11</v>
      </c>
      <c r="E26" s="549">
        <f>SUM(E23:E25)</f>
        <v>50</v>
      </c>
    </row>
  </sheetData>
  <mergeCells count="2">
    <mergeCell ref="B3:D3"/>
    <mergeCell ref="B21:D21"/>
  </mergeCell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sheetPr codeName="Sheet258"/>
  <dimension ref="A1:U30"/>
  <sheetViews>
    <sheetView workbookViewId="0"/>
  </sheetViews>
  <sheetFormatPr defaultRowHeight="14.4"/>
  <cols>
    <col min="6" max="6" width="3.88671875" customWidth="1"/>
    <col min="17" max="17" width="4.88671875" customWidth="1"/>
  </cols>
  <sheetData>
    <row r="1" spans="1:21">
      <c r="A1" s="1" t="s">
        <v>2840</v>
      </c>
      <c r="L1" t="s">
        <v>2845</v>
      </c>
    </row>
    <row r="3" spans="1:21">
      <c r="A3" s="25" t="s">
        <v>224</v>
      </c>
      <c r="L3" s="25" t="s">
        <v>224</v>
      </c>
    </row>
    <row r="5" spans="1:21">
      <c r="B5" s="1552" t="s">
        <v>1423</v>
      </c>
      <c r="C5" s="1552"/>
      <c r="D5" s="1552"/>
      <c r="H5" s="1552" t="s">
        <v>2839</v>
      </c>
      <c r="I5" s="1552"/>
      <c r="J5" s="1552"/>
      <c r="M5" s="1552" t="s">
        <v>1423</v>
      </c>
      <c r="N5" s="1552"/>
      <c r="O5" s="1552"/>
      <c r="S5" s="1552" t="s">
        <v>2839</v>
      </c>
      <c r="T5" s="1552"/>
      <c r="U5" s="1552"/>
    </row>
    <row r="6" spans="1:21">
      <c r="A6" t="s">
        <v>1424</v>
      </c>
      <c r="B6" s="1094" t="s">
        <v>1426</v>
      </c>
      <c r="C6" s="1094" t="s">
        <v>1425</v>
      </c>
      <c r="D6" s="1094" t="s">
        <v>1427</v>
      </c>
      <c r="E6" s="1094" t="s">
        <v>12</v>
      </c>
      <c r="H6" s="1094" t="s">
        <v>1426</v>
      </c>
      <c r="I6" s="1094" t="s">
        <v>1425</v>
      </c>
      <c r="J6" s="1094" t="s">
        <v>1427</v>
      </c>
      <c r="L6" t="s">
        <v>1424</v>
      </c>
      <c r="M6" s="1094" t="s">
        <v>1426</v>
      </c>
      <c r="N6" s="1094" t="s">
        <v>1425</v>
      </c>
      <c r="O6" s="1094" t="s">
        <v>1427</v>
      </c>
      <c r="P6" s="1094" t="s">
        <v>12</v>
      </c>
      <c r="S6" s="1094" t="s">
        <v>1426</v>
      </c>
      <c r="T6" s="1094" t="s">
        <v>1425</v>
      </c>
      <c r="U6" s="1094" t="s">
        <v>1427</v>
      </c>
    </row>
    <row r="7" spans="1:21">
      <c r="A7" s="126" t="s">
        <v>1426</v>
      </c>
      <c r="B7" s="610">
        <v>16</v>
      </c>
      <c r="C7" s="563">
        <v>6</v>
      </c>
      <c r="D7" s="555">
        <v>2</v>
      </c>
      <c r="E7" s="1094">
        <f>SUM(B7:D7)</f>
        <v>24</v>
      </c>
      <c r="G7" s="126" t="s">
        <v>1426</v>
      </c>
      <c r="H7" s="610">
        <v>0</v>
      </c>
      <c r="I7" s="563">
        <v>1</v>
      </c>
      <c r="J7" s="555">
        <v>2</v>
      </c>
      <c r="L7" s="126" t="s">
        <v>1426</v>
      </c>
      <c r="M7" s="610">
        <v>16</v>
      </c>
      <c r="N7" s="563">
        <v>6</v>
      </c>
      <c r="O7" s="555">
        <v>2</v>
      </c>
      <c r="P7" s="1094">
        <f>SUM(M7:O7)</f>
        <v>24</v>
      </c>
      <c r="R7" s="126" t="s">
        <v>1426</v>
      </c>
      <c r="S7" s="610">
        <v>0</v>
      </c>
      <c r="T7" s="563">
        <v>1</v>
      </c>
      <c r="U7" s="555">
        <v>1</v>
      </c>
    </row>
    <row r="8" spans="1:21">
      <c r="A8" s="126" t="s">
        <v>1425</v>
      </c>
      <c r="B8" s="360">
        <v>4</v>
      </c>
      <c r="C8" s="1096">
        <v>10</v>
      </c>
      <c r="D8" s="88">
        <v>1</v>
      </c>
      <c r="E8" s="1094">
        <f>SUM(B8:D8)</f>
        <v>15</v>
      </c>
      <c r="G8" s="126" t="s">
        <v>1425</v>
      </c>
      <c r="H8" s="360">
        <v>1</v>
      </c>
      <c r="I8" s="1096">
        <v>0</v>
      </c>
      <c r="J8" s="88">
        <v>1</v>
      </c>
      <c r="L8" s="126" t="s">
        <v>1425</v>
      </c>
      <c r="M8" s="360">
        <v>4</v>
      </c>
      <c r="N8" s="1096">
        <v>10</v>
      </c>
      <c r="O8" s="88">
        <v>1</v>
      </c>
      <c r="P8" s="1094">
        <f>SUM(M8:O8)</f>
        <v>15</v>
      </c>
      <c r="R8" s="126" t="s">
        <v>1425</v>
      </c>
      <c r="S8" s="360">
        <v>1</v>
      </c>
      <c r="T8" s="1096">
        <v>0</v>
      </c>
      <c r="U8" s="88">
        <v>1</v>
      </c>
    </row>
    <row r="9" spans="1:21">
      <c r="A9" s="126" t="s">
        <v>1427</v>
      </c>
      <c r="B9" s="560">
        <v>3</v>
      </c>
      <c r="C9" s="1095">
        <v>0</v>
      </c>
      <c r="D9" s="536">
        <v>8</v>
      </c>
      <c r="E9" s="1094">
        <f>SUM(B9:D9)</f>
        <v>11</v>
      </c>
      <c r="G9" s="126" t="s">
        <v>1427</v>
      </c>
      <c r="H9" s="560">
        <v>2</v>
      </c>
      <c r="I9" s="1095">
        <v>1</v>
      </c>
      <c r="J9" s="536">
        <v>0</v>
      </c>
      <c r="L9" s="126" t="s">
        <v>1427</v>
      </c>
      <c r="M9" s="560">
        <v>3</v>
      </c>
      <c r="N9" s="1095">
        <v>0</v>
      </c>
      <c r="O9" s="536">
        <v>8</v>
      </c>
      <c r="P9" s="1094">
        <f>SUM(M9:O9)</f>
        <v>11</v>
      </c>
      <c r="R9" s="126" t="s">
        <v>1427</v>
      </c>
      <c r="S9" s="560">
        <v>1</v>
      </c>
      <c r="T9" s="1095">
        <v>1</v>
      </c>
      <c r="U9" s="536">
        <v>0</v>
      </c>
    </row>
    <row r="10" spans="1:21">
      <c r="A10" s="66" t="s">
        <v>12</v>
      </c>
      <c r="B10" s="1094">
        <f>SUM(B7:B9)</f>
        <v>23</v>
      </c>
      <c r="C10" s="1094">
        <f>SUM(C7:C9)</f>
        <v>16</v>
      </c>
      <c r="D10" s="1094">
        <f>SUM(D7:D9)</f>
        <v>11</v>
      </c>
      <c r="E10" s="1094">
        <f>SUM(E7:E9)</f>
        <v>50</v>
      </c>
      <c r="L10" s="66" t="s">
        <v>12</v>
      </c>
      <c r="M10" s="1094">
        <f>SUM(M7:M9)</f>
        <v>23</v>
      </c>
      <c r="N10" s="1094">
        <f>SUM(N7:N9)</f>
        <v>16</v>
      </c>
      <c r="O10" s="1094">
        <f>SUM(O7:O9)</f>
        <v>11</v>
      </c>
      <c r="P10" s="1094">
        <f>SUM(P7:P9)</f>
        <v>50</v>
      </c>
    </row>
    <row r="11" spans="1:21">
      <c r="A11" s="66"/>
      <c r="B11" s="1094"/>
      <c r="C11" s="1094"/>
      <c r="D11" s="1094"/>
      <c r="E11" s="1094"/>
      <c r="L11" s="66"/>
      <c r="M11" s="1094"/>
      <c r="N11" s="1094"/>
      <c r="O11" s="1094"/>
      <c r="P11" s="1094"/>
    </row>
    <row r="12" spans="1:21">
      <c r="A12" s="126" t="s">
        <v>1328</v>
      </c>
      <c r="C12" s="1094"/>
      <c r="D12" s="1094"/>
      <c r="E12" s="1094"/>
      <c r="L12" s="126" t="s">
        <v>1328</v>
      </c>
      <c r="N12" s="1094"/>
      <c r="O12" s="1094"/>
      <c r="P12" s="1094"/>
    </row>
    <row r="13" spans="1:21">
      <c r="A13" s="66"/>
      <c r="B13" s="1094"/>
      <c r="C13" s="1094"/>
      <c r="D13" s="1094"/>
      <c r="E13" s="1094"/>
      <c r="L13" s="66"/>
      <c r="M13" s="1094"/>
      <c r="N13" s="1094"/>
      <c r="O13" s="1094"/>
      <c r="P13" s="1094"/>
    </row>
    <row r="14" spans="1:21">
      <c r="B14" s="1552" t="s">
        <v>1423</v>
      </c>
      <c r="C14" s="1552"/>
      <c r="D14" s="1552"/>
      <c r="M14" s="1552" t="s">
        <v>1423</v>
      </c>
      <c r="N14" s="1552"/>
      <c r="O14" s="1552"/>
    </row>
    <row r="15" spans="1:21">
      <c r="A15" t="s">
        <v>1424</v>
      </c>
      <c r="B15" s="1094" t="s">
        <v>1426</v>
      </c>
      <c r="C15" s="1094" t="s">
        <v>1425</v>
      </c>
      <c r="D15" s="1094" t="s">
        <v>1427</v>
      </c>
      <c r="E15" s="1094" t="s">
        <v>12</v>
      </c>
      <c r="G15" s="126" t="s">
        <v>1419</v>
      </c>
      <c r="H15" s="756">
        <f>1-SUMPRODUCT(B7:D9,H7:J9)/SUMPRODUCT(B16:D18,H7:J9)</f>
        <v>0.50095057034220547</v>
      </c>
      <c r="L15" t="s">
        <v>1424</v>
      </c>
      <c r="M15" s="1094" t="s">
        <v>1426</v>
      </c>
      <c r="N15" s="1094" t="s">
        <v>1425</v>
      </c>
      <c r="O15" s="1094" t="s">
        <v>1427</v>
      </c>
      <c r="P15" s="1094" t="s">
        <v>12</v>
      </c>
      <c r="R15" s="126" t="s">
        <v>1419</v>
      </c>
      <c r="S15" s="756">
        <f>1-SUMPRODUCT(M7:O9,S7:U9)/SUMPRODUCT(M16:O18,S7:U9)</f>
        <v>0.49590422180214233</v>
      </c>
    </row>
    <row r="16" spans="1:21">
      <c r="A16" s="126" t="s">
        <v>1426</v>
      </c>
      <c r="B16" s="1101">
        <f t="shared" ref="B16:D18" si="0">B$19*$P16/$P$19</f>
        <v>11.04</v>
      </c>
      <c r="C16" s="115">
        <f t="shared" si="0"/>
        <v>7.68</v>
      </c>
      <c r="D16" s="1102">
        <f t="shared" si="0"/>
        <v>5.28</v>
      </c>
      <c r="E16" s="1094">
        <f>E7</f>
        <v>24</v>
      </c>
      <c r="L16" s="126" t="s">
        <v>1426</v>
      </c>
      <c r="M16" s="1101">
        <f t="shared" ref="M16:O18" si="1">M$19*$P16/$P$19</f>
        <v>11.04</v>
      </c>
      <c r="N16" s="115">
        <f t="shared" si="1"/>
        <v>7.68</v>
      </c>
      <c r="O16" s="1102">
        <f t="shared" si="1"/>
        <v>5.28</v>
      </c>
      <c r="P16" s="1094">
        <f>P7</f>
        <v>24</v>
      </c>
    </row>
    <row r="17" spans="1:19">
      <c r="A17" s="126" t="s">
        <v>1425</v>
      </c>
      <c r="B17" s="664">
        <f t="shared" si="0"/>
        <v>6.9</v>
      </c>
      <c r="C17" s="1096">
        <f t="shared" si="0"/>
        <v>4.8</v>
      </c>
      <c r="D17" s="618">
        <f t="shared" si="0"/>
        <v>3.3</v>
      </c>
      <c r="E17" s="1094">
        <f>E8</f>
        <v>15</v>
      </c>
      <c r="L17" s="126" t="s">
        <v>1425</v>
      </c>
      <c r="M17" s="664">
        <f t="shared" si="1"/>
        <v>6.9</v>
      </c>
      <c r="N17" s="1096">
        <f t="shared" si="1"/>
        <v>4.8</v>
      </c>
      <c r="O17" s="618">
        <f t="shared" si="1"/>
        <v>3.3</v>
      </c>
      <c r="P17" s="1094">
        <f>P8</f>
        <v>15</v>
      </c>
    </row>
    <row r="18" spans="1:19">
      <c r="A18" s="126" t="s">
        <v>1427</v>
      </c>
      <c r="B18" s="560">
        <f t="shared" si="0"/>
        <v>5.0599999999999996</v>
      </c>
      <c r="C18" s="1103">
        <f t="shared" si="0"/>
        <v>3.52</v>
      </c>
      <c r="D18" s="536">
        <f t="shared" si="0"/>
        <v>2.42</v>
      </c>
      <c r="E18" s="1094">
        <f>E9</f>
        <v>11</v>
      </c>
      <c r="L18" s="126" t="s">
        <v>1427</v>
      </c>
      <c r="M18" s="560">
        <f t="shared" si="1"/>
        <v>5.0599999999999996</v>
      </c>
      <c r="N18" s="1103">
        <f t="shared" si="1"/>
        <v>3.52</v>
      </c>
      <c r="O18" s="536">
        <f t="shared" si="1"/>
        <v>2.42</v>
      </c>
      <c r="P18" s="1094">
        <f>P9</f>
        <v>11</v>
      </c>
    </row>
    <row r="19" spans="1:19">
      <c r="A19" s="66" t="s">
        <v>12</v>
      </c>
      <c r="B19" s="1094">
        <f>B10</f>
        <v>23</v>
      </c>
      <c r="C19" s="1094">
        <f>C10</f>
        <v>16</v>
      </c>
      <c r="D19" s="1094">
        <f>D10</f>
        <v>11</v>
      </c>
      <c r="E19" s="1094">
        <f>E10</f>
        <v>50</v>
      </c>
      <c r="L19" s="66" t="s">
        <v>12</v>
      </c>
      <c r="M19" s="1094">
        <f>M10</f>
        <v>23</v>
      </c>
      <c r="N19" s="1094">
        <f>N10</f>
        <v>16</v>
      </c>
      <c r="O19" s="1094">
        <f>O10</f>
        <v>11</v>
      </c>
      <c r="P19" s="1094">
        <f>P10</f>
        <v>50</v>
      </c>
    </row>
    <row r="21" spans="1:19">
      <c r="G21" t="s">
        <v>4040</v>
      </c>
      <c r="R21" t="s">
        <v>2112</v>
      </c>
    </row>
    <row r="23" spans="1:19">
      <c r="G23" s="126" t="s">
        <v>1419</v>
      </c>
      <c r="H23" s="756" t="e">
        <f ca="1">[1]!WKAPPA(B7:D9,H7:J9)</f>
        <v>#NAME?</v>
      </c>
      <c r="R23" s="126" t="s">
        <v>1419</v>
      </c>
      <c r="S23" s="756" t="e">
        <f ca="1">[1]!WKAPPA(M7:O9)</f>
        <v>#NAME?</v>
      </c>
    </row>
    <row r="26" spans="1:19">
      <c r="G26" t="s">
        <v>2734</v>
      </c>
    </row>
    <row r="28" spans="1:19">
      <c r="G28" t="s">
        <v>4072</v>
      </c>
    </row>
    <row r="30" spans="1:19">
      <c r="G30" s="1121" t="e">
        <f ca="1">[1]!WKAPPA(B7:D9,H7:J9)</f>
        <v>#NAME?</v>
      </c>
    </row>
  </sheetData>
  <mergeCells count="6">
    <mergeCell ref="H5:J5"/>
    <mergeCell ref="B14:D14"/>
    <mergeCell ref="M5:O5"/>
    <mergeCell ref="S5:U5"/>
    <mergeCell ref="M14:O14"/>
    <mergeCell ref="B5:D5"/>
  </mergeCell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sheetPr codeName="Sheet266"/>
  <dimension ref="A1:AJ55"/>
  <sheetViews>
    <sheetView workbookViewId="0">
      <selection sqref="A1:XFD1048576"/>
    </sheetView>
  </sheetViews>
  <sheetFormatPr defaultRowHeight="14.4"/>
  <cols>
    <col min="1" max="1" width="4.44140625" customWidth="1"/>
    <col min="2" max="6" width="9.6640625" customWidth="1"/>
    <col min="7" max="7" width="8.88671875" customWidth="1"/>
    <col min="8" max="8" width="9.6640625" customWidth="1"/>
    <col min="9" max="9" width="2.6640625" customWidth="1"/>
    <col min="10" max="10" width="71.6640625" customWidth="1"/>
    <col min="13" max="16" width="9.88671875" customWidth="1"/>
    <col min="17" max="17" width="5" customWidth="1"/>
    <col min="22" max="32" width="5.33203125" customWidth="1"/>
    <col min="33" max="33" width="7.109375" customWidth="1"/>
  </cols>
  <sheetData>
    <row r="1" spans="1:36">
      <c r="A1" s="1" t="s">
        <v>2780</v>
      </c>
      <c r="J1" s="23"/>
    </row>
    <row r="3" spans="1:36" ht="15.6">
      <c r="B3" s="1056" t="s">
        <v>1420</v>
      </c>
      <c r="C3" s="1056" t="s">
        <v>1421</v>
      </c>
      <c r="D3" s="1056" t="s">
        <v>2785</v>
      </c>
      <c r="E3" s="1056" t="s">
        <v>376</v>
      </c>
      <c r="F3" s="1056"/>
      <c r="G3" s="1056"/>
      <c r="H3" s="1056"/>
      <c r="I3" s="1455"/>
      <c r="J3" s="1455"/>
      <c r="M3" s="1056" t="s">
        <v>1420</v>
      </c>
      <c r="N3" s="1056" t="s">
        <v>1421</v>
      </c>
      <c r="O3" s="1056" t="s">
        <v>1422</v>
      </c>
      <c r="P3" s="19" t="s">
        <v>2784</v>
      </c>
      <c r="U3" s="1056" t="s">
        <v>1447</v>
      </c>
      <c r="V3">
        <v>0</v>
      </c>
      <c r="W3">
        <f>V3+1</f>
        <v>1</v>
      </c>
      <c r="X3">
        <f t="shared" ref="X3:AF3" si="0">W3+1</f>
        <v>2</v>
      </c>
      <c r="Y3">
        <f t="shared" si="0"/>
        <v>3</v>
      </c>
      <c r="Z3">
        <f t="shared" si="0"/>
        <v>4</v>
      </c>
      <c r="AA3">
        <f t="shared" si="0"/>
        <v>5</v>
      </c>
      <c r="AB3">
        <f t="shared" si="0"/>
        <v>6</v>
      </c>
      <c r="AC3">
        <f t="shared" si="0"/>
        <v>7</v>
      </c>
      <c r="AD3">
        <f t="shared" si="0"/>
        <v>8</v>
      </c>
      <c r="AE3">
        <f t="shared" si="0"/>
        <v>9</v>
      </c>
      <c r="AF3">
        <f t="shared" si="0"/>
        <v>10</v>
      </c>
      <c r="AG3" s="19" t="s">
        <v>2784</v>
      </c>
    </row>
    <row r="4" spans="1:36">
      <c r="A4">
        <v>1</v>
      </c>
      <c r="B4" s="1067">
        <v>4</v>
      </c>
      <c r="C4" s="1068">
        <v>2</v>
      </c>
      <c r="D4" s="1068"/>
      <c r="E4" s="1071"/>
      <c r="G4" t="s">
        <v>994</v>
      </c>
      <c r="H4" s="1178">
        <f>SUM(B4:E4)</f>
        <v>6</v>
      </c>
      <c r="I4" s="8"/>
      <c r="J4" s="8" t="e">
        <f ca="1">[1]!FTEXT(H4)</f>
        <v>#NAME?</v>
      </c>
      <c r="L4" s="1056">
        <v>1</v>
      </c>
      <c r="M4" s="1067">
        <v>2</v>
      </c>
      <c r="N4" s="1068"/>
      <c r="O4" s="1071"/>
      <c r="P4" s="1072">
        <f>(SUMSQ(M4:O4)-$S$4)/$S$8</f>
        <v>1</v>
      </c>
      <c r="R4" t="s">
        <v>994</v>
      </c>
      <c r="S4" s="1072">
        <f>SUM(M4:O4)</f>
        <v>2</v>
      </c>
      <c r="U4" s="1056">
        <v>1</v>
      </c>
      <c r="V4" s="1067">
        <v>1</v>
      </c>
      <c r="W4" s="1068">
        <v>2</v>
      </c>
      <c r="X4" s="1068">
        <v>1</v>
      </c>
      <c r="Y4" s="1068"/>
      <c r="Z4" s="1068"/>
      <c r="AA4" s="1068"/>
      <c r="AB4" s="1068"/>
      <c r="AC4" s="1068"/>
      <c r="AD4" s="1068"/>
      <c r="AE4" s="1068"/>
      <c r="AF4" s="1071"/>
      <c r="AG4" s="1072">
        <f>(SUMSQ(V4:AF4)-$AJ$4)/$AJ$8</f>
        <v>0.16666666666666666</v>
      </c>
      <c r="AI4" t="s">
        <v>994</v>
      </c>
      <c r="AJ4" s="1072">
        <f>SUM(V4:AF4)</f>
        <v>4</v>
      </c>
    </row>
    <row r="5" spans="1:36">
      <c r="A5">
        <f>A4+1</f>
        <v>2</v>
      </c>
      <c r="B5" s="656">
        <v>1</v>
      </c>
      <c r="C5" s="8">
        <v>2</v>
      </c>
      <c r="D5" s="8">
        <v>3</v>
      </c>
      <c r="E5" s="657"/>
      <c r="G5" t="s">
        <v>106</v>
      </c>
      <c r="H5" s="627">
        <f>COUNTA(A4:A15)</f>
        <v>12</v>
      </c>
      <c r="I5" s="8"/>
      <c r="J5" s="8" t="e">
        <f ca="1">[1]!FTEXT(H5)</f>
        <v>#NAME?</v>
      </c>
      <c r="L5" s="1056">
        <f>L4+1</f>
        <v>2</v>
      </c>
      <c r="M5" s="656">
        <v>2</v>
      </c>
      <c r="N5" s="8"/>
      <c r="O5" s="657"/>
      <c r="P5" s="627">
        <f t="shared" ref="P5:P53" si="1">(SUMSQ(M5:O5)-$S$4)/$S$8</f>
        <v>1</v>
      </c>
      <c r="R5" t="s">
        <v>106</v>
      </c>
      <c r="S5" s="627">
        <f>COUNTA(L4:L53)</f>
        <v>50</v>
      </c>
      <c r="U5" s="1056">
        <f>U4+1</f>
        <v>2</v>
      </c>
      <c r="V5" s="656"/>
      <c r="W5" s="8">
        <v>1</v>
      </c>
      <c r="X5" s="8">
        <v>1</v>
      </c>
      <c r="Y5" s="8">
        <v>2</v>
      </c>
      <c r="Z5" s="8"/>
      <c r="AA5" s="8"/>
      <c r="AB5" s="8"/>
      <c r="AC5" s="8"/>
      <c r="AD5" s="8"/>
      <c r="AE5" s="8"/>
      <c r="AF5" s="657"/>
      <c r="AG5" s="627">
        <f t="shared" ref="AG5:AG11" si="2">(SUMSQ(V5:AF5)-$AJ$4)/$AJ$8</f>
        <v>0.16666666666666666</v>
      </c>
      <c r="AI5" t="s">
        <v>106</v>
      </c>
      <c r="AJ5" s="627">
        <f>COUNTA(U4:U11)</f>
        <v>8</v>
      </c>
    </row>
    <row r="6" spans="1:36" ht="15.6">
      <c r="A6">
        <f t="shared" ref="A6:A15" si="3">A5+1</f>
        <v>3</v>
      </c>
      <c r="B6" s="656"/>
      <c r="C6" s="8">
        <v>1</v>
      </c>
      <c r="D6" s="8">
        <v>4</v>
      </c>
      <c r="E6" s="657">
        <v>1</v>
      </c>
      <c r="G6" t="s">
        <v>2784</v>
      </c>
      <c r="H6" s="627">
        <f>(SUMSQ(B4:E15)-H4*H5)/(H4*H5*(H4-1))</f>
        <v>0.48888888888888887</v>
      </c>
      <c r="I6" s="8"/>
      <c r="J6" s="8" t="e">
        <f ca="1">[1]!FTEXT(H6)</f>
        <v>#NAME?</v>
      </c>
      <c r="L6" s="1056">
        <f t="shared" ref="L6:L53" si="4">L5+1</f>
        <v>3</v>
      </c>
      <c r="M6" s="656">
        <v>2</v>
      </c>
      <c r="N6" s="8"/>
      <c r="O6" s="657"/>
      <c r="P6" s="627">
        <f t="shared" si="1"/>
        <v>1</v>
      </c>
      <c r="R6" t="s">
        <v>169</v>
      </c>
      <c r="S6" s="544">
        <f>COUNTA(M3:O3)</f>
        <v>3</v>
      </c>
      <c r="U6" s="1056">
        <f t="shared" ref="U6:U11" si="5">U5+1</f>
        <v>3</v>
      </c>
      <c r="V6" s="656"/>
      <c r="W6" s="8">
        <v>1</v>
      </c>
      <c r="X6" s="8"/>
      <c r="Y6" s="8">
        <v>1</v>
      </c>
      <c r="Z6" s="8">
        <v>1</v>
      </c>
      <c r="AA6" s="8"/>
      <c r="AB6" s="8"/>
      <c r="AC6" s="8"/>
      <c r="AD6" s="8">
        <v>1</v>
      </c>
      <c r="AE6" s="8"/>
      <c r="AF6" s="657"/>
      <c r="AG6" s="627">
        <f t="shared" si="2"/>
        <v>0</v>
      </c>
      <c r="AI6" t="s">
        <v>169</v>
      </c>
      <c r="AJ6" s="544">
        <f>COUNTA(V3:AF3)</f>
        <v>11</v>
      </c>
    </row>
    <row r="7" spans="1:36" ht="15.6">
      <c r="A7">
        <f t="shared" si="3"/>
        <v>4</v>
      </c>
      <c r="B7" s="656"/>
      <c r="C7" s="66">
        <v>1</v>
      </c>
      <c r="D7" s="8">
        <v>1</v>
      </c>
      <c r="E7" s="657">
        <v>4</v>
      </c>
      <c r="G7" t="s">
        <v>2783</v>
      </c>
      <c r="H7" s="544">
        <f>SUMSQ(B17:E17)</f>
        <v>0.27314814814814814</v>
      </c>
      <c r="I7" s="8"/>
      <c r="J7" s="8" t="e">
        <f ca="1">[1]!FTEXT(H7)</f>
        <v>#NAME?</v>
      </c>
      <c r="L7" s="1056">
        <f t="shared" si="4"/>
        <v>4</v>
      </c>
      <c r="M7" s="656">
        <v>2</v>
      </c>
      <c r="N7" s="8"/>
      <c r="O7" s="657"/>
      <c r="P7" s="627">
        <f t="shared" si="1"/>
        <v>1</v>
      </c>
      <c r="R7" t="s">
        <v>2786</v>
      </c>
      <c r="S7" s="1072">
        <f>S4*S5</f>
        <v>100</v>
      </c>
      <c r="U7" s="1056">
        <f t="shared" si="5"/>
        <v>4</v>
      </c>
      <c r="V7" s="656"/>
      <c r="W7" s="8"/>
      <c r="X7" s="8"/>
      <c r="Y7" s="8">
        <v>2</v>
      </c>
      <c r="Z7" s="8">
        <v>1</v>
      </c>
      <c r="AA7" s="8"/>
      <c r="AB7" s="8">
        <v>1</v>
      </c>
      <c r="AC7" s="8"/>
      <c r="AD7" s="8"/>
      <c r="AE7" s="8"/>
      <c r="AF7" s="657"/>
      <c r="AG7" s="627">
        <f t="shared" si="2"/>
        <v>0.16666666666666666</v>
      </c>
      <c r="AI7" t="s">
        <v>2786</v>
      </c>
      <c r="AJ7" s="1072">
        <f>AJ4*AJ5</f>
        <v>32</v>
      </c>
    </row>
    <row r="8" spans="1:36">
      <c r="A8">
        <f t="shared" si="3"/>
        <v>5</v>
      </c>
      <c r="B8" s="656">
        <v>1</v>
      </c>
      <c r="C8" s="8"/>
      <c r="D8" s="66">
        <v>5</v>
      </c>
      <c r="E8" s="657"/>
      <c r="G8" t="s">
        <v>2782</v>
      </c>
      <c r="H8" s="1178">
        <f>(H6-H7)/(1-H7)</f>
        <v>0.29681528662420381</v>
      </c>
      <c r="I8" s="8"/>
      <c r="J8" s="8" t="e">
        <f ca="1">[1]!FTEXT(H8)</f>
        <v>#NAME?</v>
      </c>
      <c r="L8" s="1056">
        <f t="shared" si="4"/>
        <v>5</v>
      </c>
      <c r="M8" s="656">
        <v>2</v>
      </c>
      <c r="N8" s="8"/>
      <c r="O8" s="657"/>
      <c r="P8" s="627">
        <f t="shared" si="1"/>
        <v>1</v>
      </c>
      <c r="R8" t="s">
        <v>2787</v>
      </c>
      <c r="S8" s="627">
        <f>S4*(S4-1)</f>
        <v>2</v>
      </c>
      <c r="U8" s="1056">
        <f t="shared" si="5"/>
        <v>5</v>
      </c>
      <c r="V8" s="656"/>
      <c r="W8" s="8"/>
      <c r="X8" s="8"/>
      <c r="Y8" s="8"/>
      <c r="Z8" s="8"/>
      <c r="AA8" s="8">
        <v>2</v>
      </c>
      <c r="AB8" s="8">
        <v>2</v>
      </c>
      <c r="AC8" s="8"/>
      <c r="AD8" s="8"/>
      <c r="AE8" s="8"/>
      <c r="AF8" s="657"/>
      <c r="AG8" s="627">
        <f t="shared" si="2"/>
        <v>0.33333333333333331</v>
      </c>
      <c r="AI8" t="s">
        <v>2787</v>
      </c>
      <c r="AJ8" s="544">
        <f>AJ4*(AJ4-1)</f>
        <v>12</v>
      </c>
    </row>
    <row r="9" spans="1:36" ht="15.6">
      <c r="A9">
        <f t="shared" si="3"/>
        <v>6</v>
      </c>
      <c r="B9" s="656"/>
      <c r="C9" s="8"/>
      <c r="D9" s="66">
        <v>1</v>
      </c>
      <c r="E9" s="657">
        <v>5</v>
      </c>
      <c r="G9" t="s">
        <v>3182</v>
      </c>
      <c r="H9" s="627">
        <f>B20*SQRT(SUM(B18:E18)^2-SUMPRODUCT(B18:E18,1-2*B17:E17))/SUM(B18:E18)</f>
        <v>4.431471412990922E-2</v>
      </c>
      <c r="I9" s="8"/>
      <c r="J9" s="8" t="e">
        <f ca="1">[1]!FTEXT(H9)</f>
        <v>#NAME?</v>
      </c>
      <c r="L9" s="1056">
        <f t="shared" si="4"/>
        <v>6</v>
      </c>
      <c r="M9" s="656">
        <v>2</v>
      </c>
      <c r="N9" s="8"/>
      <c r="O9" s="657"/>
      <c r="P9" s="627">
        <f t="shared" si="1"/>
        <v>1</v>
      </c>
      <c r="R9" t="s">
        <v>2784</v>
      </c>
      <c r="S9" s="1072">
        <f>SUM(P4:P53)/S5</f>
        <v>0.68</v>
      </c>
      <c r="U9" s="1056">
        <f t="shared" si="5"/>
        <v>6</v>
      </c>
      <c r="V9" s="656"/>
      <c r="W9" s="8"/>
      <c r="X9" s="8">
        <v>1</v>
      </c>
      <c r="Y9" s="8"/>
      <c r="Z9" s="8"/>
      <c r="AA9" s="8">
        <v>1</v>
      </c>
      <c r="AB9" s="8">
        <v>1</v>
      </c>
      <c r="AC9" s="66">
        <v>1</v>
      </c>
      <c r="AD9" s="8"/>
      <c r="AE9" s="8"/>
      <c r="AF9" s="657"/>
      <c r="AG9" s="627">
        <f t="shared" si="2"/>
        <v>0</v>
      </c>
      <c r="AI9" t="s">
        <v>2784</v>
      </c>
      <c r="AJ9" s="1072">
        <f>SUM(AG4:AG11)/AJ5</f>
        <v>0.1875</v>
      </c>
    </row>
    <row r="10" spans="1:36" ht="15.6">
      <c r="A10">
        <f t="shared" si="3"/>
        <v>7</v>
      </c>
      <c r="B10" s="656">
        <v>2</v>
      </c>
      <c r="C10" s="66">
        <v>3</v>
      </c>
      <c r="D10" s="8"/>
      <c r="E10" s="657">
        <v>1</v>
      </c>
      <c r="G10" t="s">
        <v>127</v>
      </c>
      <c r="H10" s="627">
        <f>H8/H9</f>
        <v>6.6978946485829862</v>
      </c>
      <c r="I10" s="8"/>
      <c r="J10" s="8" t="e">
        <f ca="1">[1]!FTEXT(H10)</f>
        <v>#NAME?</v>
      </c>
      <c r="L10" s="1056">
        <f t="shared" si="4"/>
        <v>7</v>
      </c>
      <c r="M10" s="656">
        <v>2</v>
      </c>
      <c r="N10" s="8"/>
      <c r="O10" s="657"/>
      <c r="P10" s="627">
        <f t="shared" si="1"/>
        <v>1</v>
      </c>
      <c r="R10" t="s">
        <v>2783</v>
      </c>
      <c r="S10" s="544">
        <f>SUMSQ(M55:O55)</f>
        <v>0.3654</v>
      </c>
      <c r="U10" s="1056">
        <f t="shared" si="5"/>
        <v>7</v>
      </c>
      <c r="V10" s="656"/>
      <c r="W10" s="8"/>
      <c r="X10" s="8"/>
      <c r="Y10" s="8"/>
      <c r="Z10" s="8"/>
      <c r="AA10" s="8"/>
      <c r="AB10" s="8"/>
      <c r="AC10" s="8">
        <v>2</v>
      </c>
      <c r="AD10" s="8">
        <v>1</v>
      </c>
      <c r="AE10" s="8">
        <v>1</v>
      </c>
      <c r="AF10" s="657"/>
      <c r="AG10" s="627">
        <f t="shared" si="2"/>
        <v>0.16666666666666666</v>
      </c>
      <c r="AI10" t="s">
        <v>2783</v>
      </c>
      <c r="AJ10" s="627">
        <f>SUMSQ(V13:AF13)</f>
        <v>0.111328125</v>
      </c>
    </row>
    <row r="11" spans="1:36">
      <c r="A11">
        <f t="shared" si="3"/>
        <v>8</v>
      </c>
      <c r="B11" s="656"/>
      <c r="C11" s="66">
        <v>3</v>
      </c>
      <c r="D11" s="66">
        <v>3</v>
      </c>
      <c r="E11" s="657"/>
      <c r="G11" t="s">
        <v>200</v>
      </c>
      <c r="H11" s="544">
        <f>2*(1-NORMSDIST(H10))</f>
        <v>2.1144419548591031E-11</v>
      </c>
      <c r="I11" s="8"/>
      <c r="J11" s="8" t="e">
        <f ca="1">[1]!FTEXT(H11)</f>
        <v>#NAME?</v>
      </c>
      <c r="L11" s="1056">
        <f t="shared" si="4"/>
        <v>8</v>
      </c>
      <c r="M11" s="656">
        <v>2</v>
      </c>
      <c r="N11" s="8"/>
      <c r="O11" s="657"/>
      <c r="P11" s="627">
        <f t="shared" si="1"/>
        <v>1</v>
      </c>
      <c r="R11" t="s">
        <v>2782</v>
      </c>
      <c r="S11" s="756">
        <f>(S9-S10)/(1-S10)</f>
        <v>0.49574535140245829</v>
      </c>
      <c r="U11" s="1056">
        <f t="shared" si="5"/>
        <v>8</v>
      </c>
      <c r="V11" s="533"/>
      <c r="W11" s="534"/>
      <c r="X11" s="534"/>
      <c r="Y11" s="534"/>
      <c r="Z11" s="534"/>
      <c r="AA11" s="534"/>
      <c r="AB11" s="534"/>
      <c r="AC11" s="534"/>
      <c r="AD11" s="534">
        <v>1</v>
      </c>
      <c r="AE11" s="534">
        <v>3</v>
      </c>
      <c r="AF11" s="541"/>
      <c r="AG11" s="544">
        <f t="shared" si="2"/>
        <v>0.5</v>
      </c>
      <c r="AI11" t="s">
        <v>2782</v>
      </c>
      <c r="AJ11" s="756">
        <f>(AJ9-AJ10)/(1-AJ10)</f>
        <v>8.5714285714285715E-2</v>
      </c>
    </row>
    <row r="12" spans="1:36">
      <c r="A12">
        <f t="shared" si="3"/>
        <v>9</v>
      </c>
      <c r="B12" s="656"/>
      <c r="C12" s="66">
        <v>2</v>
      </c>
      <c r="D12" s="66">
        <v>4</v>
      </c>
      <c r="E12" s="657"/>
      <c r="J12" s="8"/>
      <c r="L12" s="1056">
        <f t="shared" si="4"/>
        <v>9</v>
      </c>
      <c r="M12" s="656">
        <v>2</v>
      </c>
      <c r="N12" s="8"/>
      <c r="O12" s="657"/>
      <c r="P12" s="627">
        <f t="shared" si="1"/>
        <v>1</v>
      </c>
      <c r="U12" s="1056" t="s">
        <v>2781</v>
      </c>
      <c r="V12" s="1067">
        <f>SUM(V4:V11)</f>
        <v>1</v>
      </c>
      <c r="W12" s="1068">
        <f t="shared" ref="W12:AF12" si="6">SUM(W4:W11)</f>
        <v>4</v>
      </c>
      <c r="X12" s="1068">
        <f t="shared" si="6"/>
        <v>3</v>
      </c>
      <c r="Y12" s="1068">
        <f t="shared" si="6"/>
        <v>5</v>
      </c>
      <c r="Z12" s="1068">
        <f t="shared" si="6"/>
        <v>2</v>
      </c>
      <c r="AA12" s="1068">
        <f t="shared" si="6"/>
        <v>3</v>
      </c>
      <c r="AB12" s="1068">
        <f t="shared" si="6"/>
        <v>4</v>
      </c>
      <c r="AC12" s="1068">
        <f t="shared" si="6"/>
        <v>3</v>
      </c>
      <c r="AD12" s="1068">
        <f t="shared" si="6"/>
        <v>3</v>
      </c>
      <c r="AE12" s="1068">
        <f t="shared" si="6"/>
        <v>4</v>
      </c>
      <c r="AF12" s="1071">
        <f t="shared" si="6"/>
        <v>0</v>
      </c>
    </row>
    <row r="13" spans="1:36">
      <c r="A13">
        <f t="shared" si="3"/>
        <v>10</v>
      </c>
      <c r="B13" s="656"/>
      <c r="C13" s="8"/>
      <c r="D13" s="66">
        <v>3</v>
      </c>
      <c r="E13" s="657">
        <v>3</v>
      </c>
      <c r="G13" t="s">
        <v>337</v>
      </c>
      <c r="H13" s="1178">
        <v>0.05</v>
      </c>
      <c r="I13" s="8"/>
      <c r="J13" s="8"/>
      <c r="L13" s="1056">
        <f t="shared" si="4"/>
        <v>10</v>
      </c>
      <c r="M13" s="656">
        <v>2</v>
      </c>
      <c r="N13" s="8"/>
      <c r="O13" s="657"/>
      <c r="P13" s="627">
        <f t="shared" si="1"/>
        <v>1</v>
      </c>
      <c r="R13" t="s">
        <v>2782</v>
      </c>
      <c r="S13" s="756" t="e">
        <f ca="1">[1]!KAPPA(M4:O53)</f>
        <v>#NAME?</v>
      </c>
      <c r="U13" s="1056" t="s">
        <v>978</v>
      </c>
      <c r="V13" s="533">
        <f>V12/$AJ$7</f>
        <v>3.125E-2</v>
      </c>
      <c r="W13" s="534">
        <f t="shared" ref="W13:AF13" si="7">W12/$AJ$7</f>
        <v>0.125</v>
      </c>
      <c r="X13" s="534">
        <f t="shared" si="7"/>
        <v>9.375E-2</v>
      </c>
      <c r="Y13" s="534">
        <f t="shared" si="7"/>
        <v>0.15625</v>
      </c>
      <c r="Z13" s="534">
        <f t="shared" si="7"/>
        <v>6.25E-2</v>
      </c>
      <c r="AA13" s="534">
        <f t="shared" si="7"/>
        <v>9.375E-2</v>
      </c>
      <c r="AB13" s="534">
        <f t="shared" si="7"/>
        <v>0.125</v>
      </c>
      <c r="AC13" s="534">
        <f t="shared" si="7"/>
        <v>9.375E-2</v>
      </c>
      <c r="AD13" s="534">
        <f t="shared" si="7"/>
        <v>9.375E-2</v>
      </c>
      <c r="AE13" s="534">
        <f t="shared" si="7"/>
        <v>0.125</v>
      </c>
      <c r="AF13" s="541">
        <f t="shared" si="7"/>
        <v>0</v>
      </c>
      <c r="AI13" t="s">
        <v>2782</v>
      </c>
      <c r="AJ13" s="756" t="e">
        <f ca="1">[1]!KAPPA(V4:AF11)</f>
        <v>#NAME?</v>
      </c>
    </row>
    <row r="14" spans="1:36">
      <c r="A14">
        <f t="shared" si="3"/>
        <v>11</v>
      </c>
      <c r="B14" s="656">
        <v>4</v>
      </c>
      <c r="C14" s="66"/>
      <c r="D14" s="66">
        <v>2</v>
      </c>
      <c r="E14" s="657"/>
      <c r="G14" t="s">
        <v>103</v>
      </c>
      <c r="H14" s="627">
        <f>H8+H9*NORMSINV(H13/2)</f>
        <v>0.20996004294439352</v>
      </c>
      <c r="I14" s="8"/>
      <c r="J14" s="8" t="e">
        <f ca="1">[1]!FTEXT(H14)</f>
        <v>#NAME?</v>
      </c>
      <c r="L14" s="1056">
        <f t="shared" si="4"/>
        <v>11</v>
      </c>
      <c r="M14" s="656"/>
      <c r="N14" s="8">
        <v>2</v>
      </c>
      <c r="O14" s="657"/>
      <c r="P14" s="627">
        <f t="shared" si="1"/>
        <v>1</v>
      </c>
    </row>
    <row r="15" spans="1:36">
      <c r="A15">
        <f t="shared" si="3"/>
        <v>12</v>
      </c>
      <c r="B15" s="533"/>
      <c r="C15" s="534">
        <v>6</v>
      </c>
      <c r="D15" s="534"/>
      <c r="E15" s="541"/>
      <c r="G15" t="s">
        <v>104</v>
      </c>
      <c r="H15" s="544">
        <f>H8-H9*NORMSINV(H13/2)</f>
        <v>0.3836705303040141</v>
      </c>
      <c r="I15" s="8"/>
      <c r="J15" s="8" t="e">
        <f ca="1">[1]!FTEXT(H15)</f>
        <v>#NAME?</v>
      </c>
      <c r="L15" s="1056">
        <f t="shared" si="4"/>
        <v>12</v>
      </c>
      <c r="M15" s="656"/>
      <c r="N15" s="8">
        <v>2</v>
      </c>
      <c r="O15" s="657"/>
      <c r="P15" s="627">
        <f t="shared" si="1"/>
        <v>1</v>
      </c>
    </row>
    <row r="16" spans="1:36">
      <c r="L16" s="1056">
        <f t="shared" si="4"/>
        <v>13</v>
      </c>
      <c r="M16" s="656"/>
      <c r="N16" s="8">
        <v>2</v>
      </c>
      <c r="O16" s="657"/>
      <c r="P16" s="627">
        <f t="shared" si="1"/>
        <v>1</v>
      </c>
      <c r="U16" s="1056" t="s">
        <v>1447</v>
      </c>
      <c r="V16">
        <v>0</v>
      </c>
      <c r="W16">
        <f>V16+1</f>
        <v>1</v>
      </c>
      <c r="X16">
        <f t="shared" ref="X16:AF16" si="8">W16+1</f>
        <v>2</v>
      </c>
      <c r="Y16">
        <f t="shared" si="8"/>
        <v>3</v>
      </c>
      <c r="Z16">
        <f t="shared" si="8"/>
        <v>4</v>
      </c>
      <c r="AA16">
        <f t="shared" si="8"/>
        <v>5</v>
      </c>
      <c r="AB16">
        <f t="shared" si="8"/>
        <v>6</v>
      </c>
      <c r="AC16">
        <f t="shared" si="8"/>
        <v>7</v>
      </c>
      <c r="AD16">
        <f t="shared" si="8"/>
        <v>8</v>
      </c>
      <c r="AE16">
        <f t="shared" si="8"/>
        <v>9</v>
      </c>
      <c r="AF16">
        <f t="shared" si="8"/>
        <v>10</v>
      </c>
    </row>
    <row r="17" spans="1:36">
      <c r="A17" s="19" t="s">
        <v>978</v>
      </c>
      <c r="B17" s="1236">
        <f>SUM(B4:B15)/($H$4*$H$5)</f>
        <v>0.16666666666666666</v>
      </c>
      <c r="C17" s="1234">
        <f>SUM(C4:C15)/($H$4*$H$5)</f>
        <v>0.27777777777777779</v>
      </c>
      <c r="D17" s="1234">
        <f>SUM(D4:D15)/($H$4*$H$5)</f>
        <v>0.3611111111111111</v>
      </c>
      <c r="E17" s="1237">
        <f>SUM(E4:E15)/($H$4*$H$5)</f>
        <v>0.19444444444444445</v>
      </c>
      <c r="J17" t="e">
        <f ca="1">[1]!FTEXT(B17)</f>
        <v>#NAME?</v>
      </c>
      <c r="L17" s="1056">
        <f t="shared" si="4"/>
        <v>14</v>
      </c>
      <c r="M17" s="656"/>
      <c r="N17" s="8">
        <v>2</v>
      </c>
      <c r="O17" s="657"/>
      <c r="P17" s="627">
        <f t="shared" si="1"/>
        <v>1</v>
      </c>
      <c r="U17" s="1056">
        <v>1</v>
      </c>
      <c r="V17" s="1067">
        <v>1</v>
      </c>
      <c r="W17" s="1068">
        <v>2</v>
      </c>
      <c r="X17" s="1068">
        <v>1</v>
      </c>
      <c r="Y17" s="1068"/>
      <c r="Z17" s="1068"/>
      <c r="AA17" s="1068"/>
      <c r="AB17" s="1068"/>
      <c r="AC17" s="1068"/>
      <c r="AD17" s="1068"/>
      <c r="AE17" s="1068"/>
      <c r="AF17" s="1071"/>
      <c r="AI17" t="s">
        <v>994</v>
      </c>
      <c r="AJ17" s="1072">
        <f>SUM(V17:AF17)</f>
        <v>4</v>
      </c>
    </row>
    <row r="18" spans="1:36">
      <c r="A18" s="19" t="s">
        <v>142</v>
      </c>
      <c r="B18" s="656">
        <f>B17*(1-B17)</f>
        <v>0.1388888888888889</v>
      </c>
      <c r="C18" s="8">
        <f>C17*(1-C17)</f>
        <v>0.20061728395061729</v>
      </c>
      <c r="D18" s="8">
        <f>D17*(1-D17)</f>
        <v>0.23070987654320985</v>
      </c>
      <c r="E18" s="657">
        <f>E17*(1-E17)</f>
        <v>0.1566358024691358</v>
      </c>
      <c r="J18" t="e">
        <f ca="1">[1]!FTEXT(B18)</f>
        <v>#NAME?</v>
      </c>
      <c r="L18" s="1056">
        <f t="shared" si="4"/>
        <v>15</v>
      </c>
      <c r="M18" s="656"/>
      <c r="N18" s="8">
        <v>2</v>
      </c>
      <c r="O18" s="657"/>
      <c r="P18" s="627">
        <f t="shared" si="1"/>
        <v>1</v>
      </c>
      <c r="U18" s="1056">
        <f>U17+1</f>
        <v>2</v>
      </c>
      <c r="V18" s="656"/>
      <c r="W18" s="8">
        <v>1</v>
      </c>
      <c r="X18" s="8">
        <v>1</v>
      </c>
      <c r="Y18" s="8">
        <v>2</v>
      </c>
      <c r="Z18" s="8"/>
      <c r="AA18" s="8"/>
      <c r="AB18" s="8"/>
      <c r="AC18" s="8"/>
      <c r="AD18" s="8"/>
      <c r="AE18" s="8"/>
      <c r="AF18" s="657"/>
      <c r="AI18" t="s">
        <v>106</v>
      </c>
      <c r="AJ18" s="627">
        <f>COUNTA(U17:U24)</f>
        <v>8</v>
      </c>
    </row>
    <row r="19" spans="1:36" ht="15.6">
      <c r="A19" s="93" t="s">
        <v>2788</v>
      </c>
      <c r="B19" s="656">
        <f>1-SUMPRODUCT(B4:B15,$H$4-B4:B15)/($H$4*$H$5*($H$4-1)*B17*(1-B17))</f>
        <v>0.31999999999999995</v>
      </c>
      <c r="C19" s="8">
        <f>1-SUMPRODUCT(C4:C15,$H$4-C4:C15)/($H$4*$H$5*($H$4-1)*C17*(1-C17))</f>
        <v>0.27999999999999992</v>
      </c>
      <c r="D19" s="8">
        <f>1-SUMPRODUCT(D4:D15,$H$4-D4:D15)/($H$4*$H$5*($H$4-1)*D17*(1-D17))</f>
        <v>0.20535117056856178</v>
      </c>
      <c r="E19" s="657">
        <f>1-SUMPRODUCT(E4:E15,$H$4-E4:E15)/($H$4*$H$5*($H$4-1)*E17*(1-E17))</f>
        <v>0.43251231527093603</v>
      </c>
      <c r="J19" t="e">
        <f ca="1">[1]!FTEXT(B19)</f>
        <v>#NAME?</v>
      </c>
      <c r="L19" s="1056">
        <f t="shared" si="4"/>
        <v>16</v>
      </c>
      <c r="M19" s="656"/>
      <c r="N19" s="8">
        <v>2</v>
      </c>
      <c r="O19" s="657"/>
      <c r="P19" s="627">
        <f t="shared" si="1"/>
        <v>1</v>
      </c>
      <c r="U19" s="1056">
        <f t="shared" ref="U19:U24" si="9">U18+1</f>
        <v>3</v>
      </c>
      <c r="V19" s="656"/>
      <c r="W19" s="8">
        <v>1</v>
      </c>
      <c r="X19" s="8"/>
      <c r="Y19" s="8">
        <v>1</v>
      </c>
      <c r="Z19" s="8">
        <v>1</v>
      </c>
      <c r="AA19" s="8"/>
      <c r="AB19" s="8"/>
      <c r="AC19" s="8"/>
      <c r="AD19" s="8">
        <v>1</v>
      </c>
      <c r="AE19" s="8"/>
      <c r="AF19" s="657"/>
      <c r="AI19" t="s">
        <v>2784</v>
      </c>
      <c r="AJ19" s="1072">
        <f>SUMSQ(V17:AF24)/(AJ17*(AJ17-1)*AJ18)-1/(AJ17-1)</f>
        <v>0.18750000000000006</v>
      </c>
    </row>
    <row r="20" spans="1:36" ht="15.6">
      <c r="A20" s="1179" t="s">
        <v>3182</v>
      </c>
      <c r="B20" s="656">
        <f>SQRT(2/(H4*(H4-1)*H5))</f>
        <v>7.4535599249992993E-2</v>
      </c>
      <c r="C20" s="8">
        <f>B20</f>
        <v>7.4535599249992993E-2</v>
      </c>
      <c r="D20" s="8">
        <f>C20</f>
        <v>7.4535599249992993E-2</v>
      </c>
      <c r="E20" s="657">
        <f>D20</f>
        <v>7.4535599249992993E-2</v>
      </c>
      <c r="I20" s="8"/>
      <c r="J20" t="e">
        <f ca="1">[1]!FTEXT(B20)</f>
        <v>#NAME?</v>
      </c>
      <c r="L20" s="1056">
        <f t="shared" si="4"/>
        <v>17</v>
      </c>
      <c r="M20" s="656"/>
      <c r="N20" s="8">
        <v>2</v>
      </c>
      <c r="O20" s="657"/>
      <c r="P20" s="627">
        <f t="shared" si="1"/>
        <v>1</v>
      </c>
      <c r="U20" s="1056">
        <f t="shared" si="9"/>
        <v>4</v>
      </c>
      <c r="V20" s="656"/>
      <c r="W20" s="8"/>
      <c r="X20" s="8"/>
      <c r="Y20" s="8">
        <v>2</v>
      </c>
      <c r="Z20" s="8">
        <v>1</v>
      </c>
      <c r="AA20" s="8"/>
      <c r="AB20" s="8">
        <v>1</v>
      </c>
      <c r="AC20" s="8"/>
      <c r="AD20" s="8"/>
      <c r="AE20" s="8"/>
      <c r="AF20" s="657"/>
      <c r="AI20" t="s">
        <v>2783</v>
      </c>
      <c r="AJ20" s="627">
        <f>SUMSQ(V25:AF25)/(AJ17*AJ18)^2</f>
        <v>0.111328125</v>
      </c>
    </row>
    <row r="21" spans="1:36">
      <c r="A21" s="1179" t="s">
        <v>127</v>
      </c>
      <c r="B21" s="656">
        <f>B19/B20</f>
        <v>4.2932505167995956</v>
      </c>
      <c r="C21" s="8">
        <f>C19/C20</f>
        <v>3.7565942021996452</v>
      </c>
      <c r="D21" s="8">
        <f>D19/D20</f>
        <v>2.7550750599027496</v>
      </c>
      <c r="E21" s="657">
        <f>E19/E20</f>
        <v>5.8027616283098</v>
      </c>
      <c r="I21" s="8"/>
      <c r="J21" t="e">
        <f ca="1">[1]!FTEXT(B21)</f>
        <v>#NAME?</v>
      </c>
      <c r="L21" s="1056">
        <f t="shared" si="4"/>
        <v>18</v>
      </c>
      <c r="M21" s="656"/>
      <c r="N21" s="8">
        <v>2</v>
      </c>
      <c r="O21" s="657"/>
      <c r="P21" s="627">
        <f t="shared" si="1"/>
        <v>1</v>
      </c>
      <c r="U21" s="1056">
        <f t="shared" si="9"/>
        <v>5</v>
      </c>
      <c r="V21" s="656"/>
      <c r="W21" s="8"/>
      <c r="X21" s="8"/>
      <c r="Y21" s="8"/>
      <c r="Z21" s="8"/>
      <c r="AA21" s="8">
        <v>2</v>
      </c>
      <c r="AB21" s="8">
        <v>2</v>
      </c>
      <c r="AC21" s="8"/>
      <c r="AD21" s="8"/>
      <c r="AE21" s="8"/>
      <c r="AF21" s="657"/>
      <c r="AI21" t="s">
        <v>2782</v>
      </c>
      <c r="AJ21" s="756">
        <f>(AJ19-AJ20)/(1-AJ20)</f>
        <v>8.5714285714285771E-2</v>
      </c>
    </row>
    <row r="22" spans="1:36">
      <c r="A22" s="1179" t="s">
        <v>325</v>
      </c>
      <c r="B22" s="533">
        <f>2*(1-NORMSDIST(B21))</f>
        <v>1.7607614403392091E-5</v>
      </c>
      <c r="C22" s="1078">
        <f>2*(1-NORMSDIST(C21))</f>
        <v>1.7224145338756713E-4</v>
      </c>
      <c r="D22" s="1078">
        <f>2*(1-NORMSDIST(D21))</f>
        <v>5.8678672211311955E-3</v>
      </c>
      <c r="E22" s="541">
        <f>2*(1-NORMSDIST(E21))</f>
        <v>6.5231495760542657E-9</v>
      </c>
      <c r="J22" t="e">
        <f ca="1">[1]!FTEXT(B22)</f>
        <v>#NAME?</v>
      </c>
      <c r="L22" s="1056">
        <f t="shared" si="4"/>
        <v>19</v>
      </c>
      <c r="M22" s="656"/>
      <c r="N22" s="8">
        <v>2</v>
      </c>
      <c r="O22" s="657"/>
      <c r="P22" s="627">
        <f t="shared" si="1"/>
        <v>1</v>
      </c>
      <c r="U22" s="1056">
        <f t="shared" si="9"/>
        <v>6</v>
      </c>
      <c r="V22" s="656"/>
      <c r="W22" s="8"/>
      <c r="X22" s="8">
        <v>1</v>
      </c>
      <c r="Y22" s="8"/>
      <c r="Z22" s="8"/>
      <c r="AA22" s="8">
        <v>1</v>
      </c>
      <c r="AB22" s="8">
        <v>1</v>
      </c>
      <c r="AC22" s="66">
        <v>1</v>
      </c>
      <c r="AD22" s="8"/>
      <c r="AE22" s="8"/>
      <c r="AF22" s="657"/>
    </row>
    <row r="23" spans="1:36">
      <c r="L23" s="1056">
        <f t="shared" si="4"/>
        <v>20</v>
      </c>
      <c r="M23" s="656"/>
      <c r="N23" s="8">
        <v>2</v>
      </c>
      <c r="O23" s="657"/>
      <c r="P23" s="627">
        <f t="shared" si="1"/>
        <v>1</v>
      </c>
      <c r="U23" s="1056">
        <f t="shared" si="9"/>
        <v>7</v>
      </c>
      <c r="V23" s="656"/>
      <c r="W23" s="8"/>
      <c r="X23" s="8"/>
      <c r="Y23" s="8"/>
      <c r="Z23" s="8"/>
      <c r="AA23" s="8"/>
      <c r="AB23" s="8"/>
      <c r="AC23" s="8">
        <v>2</v>
      </c>
      <c r="AD23" s="8">
        <v>1</v>
      </c>
      <c r="AE23" s="8">
        <v>1</v>
      </c>
      <c r="AF23" s="657"/>
    </row>
    <row r="24" spans="1:36">
      <c r="B24" t="s">
        <v>4073</v>
      </c>
      <c r="L24" s="1056">
        <f t="shared" si="4"/>
        <v>21</v>
      </c>
      <c r="M24" s="656"/>
      <c r="N24" s="8">
        <v>2</v>
      </c>
      <c r="O24" s="657"/>
      <c r="P24" s="627">
        <f t="shared" si="1"/>
        <v>1</v>
      </c>
      <c r="U24" s="1056">
        <f t="shared" si="9"/>
        <v>8</v>
      </c>
      <c r="V24" s="533"/>
      <c r="W24" s="534"/>
      <c r="X24" s="534"/>
      <c r="Y24" s="534"/>
      <c r="Z24" s="534"/>
      <c r="AA24" s="534"/>
      <c r="AB24" s="534"/>
      <c r="AC24" s="534"/>
      <c r="AD24" s="534">
        <v>1</v>
      </c>
      <c r="AE24" s="534">
        <v>3</v>
      </c>
      <c r="AF24" s="541"/>
    </row>
    <row r="25" spans="1:36">
      <c r="L25" s="1056">
        <f t="shared" si="4"/>
        <v>22</v>
      </c>
      <c r="M25" s="656"/>
      <c r="N25" s="8">
        <v>2</v>
      </c>
      <c r="O25" s="657"/>
      <c r="P25" s="627">
        <f t="shared" si="1"/>
        <v>1</v>
      </c>
      <c r="U25" s="1056" t="s">
        <v>2781</v>
      </c>
      <c r="V25" s="1067">
        <f t="shared" ref="V25:AF25" si="10">SUM(V17:V24)</f>
        <v>1</v>
      </c>
      <c r="W25" s="1068">
        <f t="shared" si="10"/>
        <v>4</v>
      </c>
      <c r="X25" s="1068">
        <f t="shared" si="10"/>
        <v>3</v>
      </c>
      <c r="Y25" s="1068">
        <f t="shared" si="10"/>
        <v>5</v>
      </c>
      <c r="Z25" s="1068">
        <f t="shared" si="10"/>
        <v>2</v>
      </c>
      <c r="AA25" s="1068">
        <f t="shared" si="10"/>
        <v>3</v>
      </c>
      <c r="AB25" s="1068">
        <f t="shared" si="10"/>
        <v>4</v>
      </c>
      <c r="AC25" s="1068">
        <f t="shared" si="10"/>
        <v>3</v>
      </c>
      <c r="AD25" s="1068">
        <f t="shared" si="10"/>
        <v>3</v>
      </c>
      <c r="AE25" s="1068">
        <f t="shared" si="10"/>
        <v>4</v>
      </c>
      <c r="AF25" s="1071">
        <f t="shared" si="10"/>
        <v>0</v>
      </c>
    </row>
    <row r="26" spans="1:36" ht="15.6">
      <c r="B26" t="s">
        <v>337</v>
      </c>
      <c r="C26" s="1441">
        <v>0.05</v>
      </c>
      <c r="L26" s="1056">
        <f t="shared" si="4"/>
        <v>23</v>
      </c>
      <c r="M26" s="656"/>
      <c r="N26" s="8">
        <v>2</v>
      </c>
      <c r="O26" s="657"/>
      <c r="P26" s="627">
        <f t="shared" si="1"/>
        <v>1</v>
      </c>
      <c r="U26" s="1056" t="s">
        <v>2783</v>
      </c>
      <c r="V26" s="533">
        <f t="shared" ref="V26:AF26" si="11">V25/$AJ$7</f>
        <v>3.125E-2</v>
      </c>
      <c r="W26" s="534">
        <f t="shared" si="11"/>
        <v>0.125</v>
      </c>
      <c r="X26" s="534">
        <f t="shared" si="11"/>
        <v>9.375E-2</v>
      </c>
      <c r="Y26" s="534">
        <f t="shared" si="11"/>
        <v>0.15625</v>
      </c>
      <c r="Z26" s="534">
        <f t="shared" si="11"/>
        <v>6.25E-2</v>
      </c>
      <c r="AA26" s="534">
        <f t="shared" si="11"/>
        <v>9.375E-2</v>
      </c>
      <c r="AB26" s="534">
        <f t="shared" si="11"/>
        <v>0.125</v>
      </c>
      <c r="AC26" s="534">
        <f t="shared" si="11"/>
        <v>9.375E-2</v>
      </c>
      <c r="AD26" s="534">
        <f t="shared" si="11"/>
        <v>9.375E-2</v>
      </c>
      <c r="AE26" s="534">
        <f t="shared" si="11"/>
        <v>0.125</v>
      </c>
      <c r="AF26" s="541">
        <f t="shared" si="11"/>
        <v>0</v>
      </c>
    </row>
    <row r="27" spans="1:36">
      <c r="B27" t="s">
        <v>1178</v>
      </c>
      <c r="C27" s="1073">
        <v>2</v>
      </c>
      <c r="L27" s="1056">
        <f t="shared" si="4"/>
        <v>24</v>
      </c>
      <c r="M27" s="656"/>
      <c r="N27" s="8">
        <v>2</v>
      </c>
      <c r="O27" s="657"/>
      <c r="P27" s="627">
        <f t="shared" si="1"/>
        <v>1</v>
      </c>
    </row>
    <row r="28" spans="1:36">
      <c r="L28" s="1056">
        <f t="shared" si="4"/>
        <v>25</v>
      </c>
      <c r="M28" s="656"/>
      <c r="N28" s="8">
        <v>2</v>
      </c>
      <c r="O28" s="657"/>
      <c r="P28" s="627">
        <f t="shared" si="1"/>
        <v>1</v>
      </c>
    </row>
    <row r="29" spans="1:36">
      <c r="C29" s="1454" t="s">
        <v>12</v>
      </c>
      <c r="D29" s="1454" t="str">
        <f>B3</f>
        <v>Psychotic</v>
      </c>
      <c r="E29" s="1454" t="str">
        <f>C3</f>
        <v>Borderline</v>
      </c>
      <c r="F29" s="1454" t="str">
        <f>D3</f>
        <v>Bipolar</v>
      </c>
      <c r="G29" s="1454" t="str">
        <f>E3</f>
        <v>None</v>
      </c>
      <c r="L29" s="1056">
        <f t="shared" si="4"/>
        <v>26</v>
      </c>
      <c r="M29" s="656"/>
      <c r="N29" s="8">
        <v>2</v>
      </c>
      <c r="O29" s="657"/>
      <c r="P29" s="627">
        <f t="shared" si="1"/>
        <v>1</v>
      </c>
    </row>
    <row r="30" spans="1:36">
      <c r="B30" t="e">
        <f t="array" aca="1" ref="B30:C35" ca="1">[1]!KAPPA(B4:E15,0,TRUE,C26,C27)</f>
        <v>#NAME?</v>
      </c>
      <c r="C30" s="1441" t="e">
        <f ca="1"/>
        <v>#NAME?</v>
      </c>
      <c r="D30" s="1232" t="e">
        <f t="array" aca="1" ref="D30:D35" ca="1">[1]!KAPPA(B4:E15, 1,,C26,C27)</f>
        <v>#NAME?</v>
      </c>
      <c r="E30" s="1114" t="e">
        <f t="array" aca="1" ref="E30:E35" ca="1">[1]!KAPPA(B4:E15, 2,,C26,C27)</f>
        <v>#NAME?</v>
      </c>
      <c r="F30" s="1114" t="e">
        <f t="array" aca="1" ref="F30:F35" ca="1">[1]!KAPPA(B4:E15, 3,,C26,C27)</f>
        <v>#NAME?</v>
      </c>
      <c r="G30" s="1233" t="e">
        <f t="array" aca="1" ref="G30:G35" ca="1">[1]!KAPPA(B4:E15, 4,,C26,C27)</f>
        <v>#NAME?</v>
      </c>
      <c r="L30" s="1056">
        <f t="shared" si="4"/>
        <v>27</v>
      </c>
      <c r="M30" s="656"/>
      <c r="N30" s="8"/>
      <c r="O30" s="657">
        <v>2</v>
      </c>
      <c r="P30" s="627">
        <f t="shared" si="1"/>
        <v>1</v>
      </c>
    </row>
    <row r="31" spans="1:36">
      <c r="B31" t="e">
        <f ca="1"/>
        <v>#NAME?</v>
      </c>
      <c r="C31" s="946" t="e">
        <f ca="1"/>
        <v>#NAME?</v>
      </c>
      <c r="D31" s="625" t="e">
        <f ca="1"/>
        <v>#NAME?</v>
      </c>
      <c r="E31" s="8" t="e">
        <f ca="1"/>
        <v>#NAME?</v>
      </c>
      <c r="F31" s="8" t="e">
        <f ca="1"/>
        <v>#NAME?</v>
      </c>
      <c r="G31" s="132" t="e">
        <f ca="1"/>
        <v>#NAME?</v>
      </c>
      <c r="L31" s="1056">
        <f t="shared" si="4"/>
        <v>28</v>
      </c>
      <c r="M31" s="656"/>
      <c r="N31" s="8"/>
      <c r="O31" s="657">
        <v>2</v>
      </c>
      <c r="P31" s="627">
        <f t="shared" si="1"/>
        <v>1</v>
      </c>
    </row>
    <row r="32" spans="1:36">
      <c r="B32" t="e">
        <f ca="1"/>
        <v>#NAME?</v>
      </c>
      <c r="C32" s="946" t="e">
        <f ca="1"/>
        <v>#NAME?</v>
      </c>
      <c r="D32" s="625" t="e">
        <f ca="1"/>
        <v>#NAME?</v>
      </c>
      <c r="E32" s="8" t="e">
        <f ca="1"/>
        <v>#NAME?</v>
      </c>
      <c r="F32" s="8" t="e">
        <f ca="1"/>
        <v>#NAME?</v>
      </c>
      <c r="G32" s="132" t="e">
        <f ca="1"/>
        <v>#NAME?</v>
      </c>
      <c r="L32" s="1056">
        <f t="shared" si="4"/>
        <v>29</v>
      </c>
      <c r="M32" s="656"/>
      <c r="N32" s="8"/>
      <c r="O32" s="657">
        <v>2</v>
      </c>
      <c r="P32" s="627">
        <f t="shared" si="1"/>
        <v>1</v>
      </c>
    </row>
    <row r="33" spans="2:16">
      <c r="B33" t="e">
        <f ca="1"/>
        <v>#NAME?</v>
      </c>
      <c r="C33" s="946" t="e">
        <f ca="1"/>
        <v>#NAME?</v>
      </c>
      <c r="D33" s="625" t="e">
        <f ca="1"/>
        <v>#NAME?</v>
      </c>
      <c r="E33" s="8" t="e">
        <f ca="1"/>
        <v>#NAME?</v>
      </c>
      <c r="F33" s="8" t="e">
        <f ca="1"/>
        <v>#NAME?</v>
      </c>
      <c r="G33" s="132" t="e">
        <f ca="1"/>
        <v>#NAME?</v>
      </c>
      <c r="L33" s="1056">
        <f t="shared" si="4"/>
        <v>30</v>
      </c>
      <c r="M33" s="656"/>
      <c r="N33" s="8"/>
      <c r="O33" s="657">
        <v>2</v>
      </c>
      <c r="P33" s="627">
        <f t="shared" si="1"/>
        <v>1</v>
      </c>
    </row>
    <row r="34" spans="2:16">
      <c r="B34" t="e">
        <f ca="1"/>
        <v>#NAME?</v>
      </c>
      <c r="C34" s="946" t="e">
        <f ca="1"/>
        <v>#NAME?</v>
      </c>
      <c r="D34" s="625" t="e">
        <f ca="1"/>
        <v>#NAME?</v>
      </c>
      <c r="E34" s="8" t="e">
        <f ca="1"/>
        <v>#NAME?</v>
      </c>
      <c r="F34" s="8" t="e">
        <f ca="1"/>
        <v>#NAME?</v>
      </c>
      <c r="G34" s="132" t="e">
        <f ca="1"/>
        <v>#NAME?</v>
      </c>
      <c r="L34" s="1056">
        <f t="shared" si="4"/>
        <v>31</v>
      </c>
      <c r="M34" s="656"/>
      <c r="N34" s="8"/>
      <c r="O34" s="657">
        <v>2</v>
      </c>
      <c r="P34" s="627">
        <f t="shared" si="1"/>
        <v>1</v>
      </c>
    </row>
    <row r="35" spans="2:16">
      <c r="B35" t="e">
        <f ca="1"/>
        <v>#NAME?</v>
      </c>
      <c r="C35" s="1073" t="e">
        <f ca="1"/>
        <v>#NAME?</v>
      </c>
      <c r="D35" s="1075" t="e">
        <f ca="1"/>
        <v>#NAME?</v>
      </c>
      <c r="E35" s="1076" t="e">
        <f ca="1"/>
        <v>#NAME?</v>
      </c>
      <c r="F35" s="1076" t="e">
        <f ca="1"/>
        <v>#NAME?</v>
      </c>
      <c r="G35" s="1077" t="e">
        <f ca="1"/>
        <v>#NAME?</v>
      </c>
      <c r="L35" s="1056">
        <f t="shared" si="4"/>
        <v>32</v>
      </c>
      <c r="M35" s="656"/>
      <c r="N35" s="8"/>
      <c r="O35" s="657">
        <v>2</v>
      </c>
      <c r="P35" s="627">
        <f t="shared" si="1"/>
        <v>1</v>
      </c>
    </row>
    <row r="36" spans="2:16">
      <c r="L36" s="1056">
        <f t="shared" si="4"/>
        <v>33</v>
      </c>
      <c r="M36" s="656"/>
      <c r="N36" s="8"/>
      <c r="O36" s="657">
        <v>2</v>
      </c>
      <c r="P36" s="627">
        <f t="shared" si="1"/>
        <v>1</v>
      </c>
    </row>
    <row r="37" spans="2:16">
      <c r="B37" t="s">
        <v>4081</v>
      </c>
      <c r="F37" t="s">
        <v>4040</v>
      </c>
      <c r="L37" s="1056">
        <f t="shared" si="4"/>
        <v>34</v>
      </c>
      <c r="M37" s="656"/>
      <c r="N37" s="8"/>
      <c r="O37" s="657">
        <v>2</v>
      </c>
      <c r="P37" s="627">
        <f t="shared" si="1"/>
        <v>1</v>
      </c>
    </row>
    <row r="38" spans="2:16">
      <c r="L38" s="1056">
        <f t="shared" si="4"/>
        <v>35</v>
      </c>
      <c r="M38" s="656">
        <v>1</v>
      </c>
      <c r="N38" s="8">
        <v>1</v>
      </c>
      <c r="O38" s="657"/>
      <c r="P38" s="627">
        <f t="shared" si="1"/>
        <v>0</v>
      </c>
    </row>
    <row r="39" spans="2:16">
      <c r="B39" t="e">
        <f t="array" aca="1" ref="B39:C44" ca="1">[1]!KAPPA(B4:E15,0,TRUE)</f>
        <v>#NAME?</v>
      </c>
      <c r="C39" s="1235" t="e">
        <f ca="1"/>
        <v>#NAME?</v>
      </c>
      <c r="F39" t="s">
        <v>2782</v>
      </c>
      <c r="G39" s="1072" t="e">
        <f ca="1">[1]!KAPPA(B4:E15)</f>
        <v>#NAME?</v>
      </c>
      <c r="L39" s="1056">
        <f t="shared" si="4"/>
        <v>36</v>
      </c>
      <c r="M39" s="656">
        <v>1</v>
      </c>
      <c r="N39" s="8">
        <v>1</v>
      </c>
      <c r="O39" s="657"/>
      <c r="P39" s="627">
        <f t="shared" si="1"/>
        <v>0</v>
      </c>
    </row>
    <row r="40" spans="2:16">
      <c r="B40" t="e">
        <f ca="1"/>
        <v>#NAME?</v>
      </c>
      <c r="C40" s="627" t="e">
        <f ca="1"/>
        <v>#NAME?</v>
      </c>
      <c r="F40" t="s">
        <v>2789</v>
      </c>
      <c r="G40" s="544" t="e">
        <f ca="1">[1]!KAPPA(B4:E15,1)</f>
        <v>#NAME?</v>
      </c>
      <c r="L40" s="1056">
        <f t="shared" si="4"/>
        <v>37</v>
      </c>
      <c r="M40" s="656">
        <v>1</v>
      </c>
      <c r="N40" s="8">
        <v>1</v>
      </c>
      <c r="O40" s="657"/>
      <c r="P40" s="627">
        <f t="shared" si="1"/>
        <v>0</v>
      </c>
    </row>
    <row r="41" spans="2:16">
      <c r="B41" t="e">
        <f ca="1"/>
        <v>#NAME?</v>
      </c>
      <c r="C41" s="627" t="e">
        <f ca="1"/>
        <v>#NAME?</v>
      </c>
      <c r="L41" s="1056">
        <f t="shared" si="4"/>
        <v>38</v>
      </c>
      <c r="M41" s="656">
        <v>1</v>
      </c>
      <c r="N41" s="8">
        <v>1</v>
      </c>
      <c r="O41" s="657"/>
      <c r="P41" s="627">
        <f t="shared" si="1"/>
        <v>0</v>
      </c>
    </row>
    <row r="42" spans="2:16">
      <c r="B42" t="e">
        <f ca="1"/>
        <v>#NAME?</v>
      </c>
      <c r="C42" s="627" t="e">
        <f ca="1"/>
        <v>#NAME?</v>
      </c>
      <c r="L42" s="1056">
        <f t="shared" si="4"/>
        <v>39</v>
      </c>
      <c r="M42" s="656">
        <v>1</v>
      </c>
      <c r="N42" s="8">
        <v>1</v>
      </c>
      <c r="O42" s="657"/>
      <c r="P42" s="627">
        <f t="shared" si="1"/>
        <v>0</v>
      </c>
    </row>
    <row r="43" spans="2:16">
      <c r="B43" t="e">
        <f ca="1"/>
        <v>#NAME?</v>
      </c>
      <c r="C43" s="627" t="e">
        <f ca="1"/>
        <v>#NAME?</v>
      </c>
      <c r="L43" s="1056">
        <f t="shared" si="4"/>
        <v>40</v>
      </c>
      <c r="M43" s="656">
        <v>1</v>
      </c>
      <c r="N43" s="8">
        <v>1</v>
      </c>
      <c r="O43" s="657"/>
      <c r="P43" s="627">
        <f t="shared" si="1"/>
        <v>0</v>
      </c>
    </row>
    <row r="44" spans="2:16">
      <c r="B44" t="e">
        <f ca="1"/>
        <v>#NAME?</v>
      </c>
      <c r="C44" s="544" t="e">
        <f ca="1"/>
        <v>#NAME?</v>
      </c>
      <c r="L44" s="1056">
        <f t="shared" si="4"/>
        <v>41</v>
      </c>
      <c r="M44" s="656">
        <v>1</v>
      </c>
      <c r="N44" s="8">
        <v>1</v>
      </c>
      <c r="O44" s="657"/>
      <c r="P44" s="627">
        <f t="shared" si="1"/>
        <v>0</v>
      </c>
    </row>
    <row r="45" spans="2:16">
      <c r="L45" s="1056">
        <f t="shared" si="4"/>
        <v>42</v>
      </c>
      <c r="M45" s="656">
        <v>1</v>
      </c>
      <c r="N45" s="8">
        <v>1</v>
      </c>
      <c r="O45" s="657"/>
      <c r="P45" s="627">
        <f t="shared" si="1"/>
        <v>0</v>
      </c>
    </row>
    <row r="46" spans="2:16">
      <c r="L46" s="1056">
        <f t="shared" si="4"/>
        <v>43</v>
      </c>
      <c r="M46" s="656">
        <v>1</v>
      </c>
      <c r="N46" s="8">
        <v>1</v>
      </c>
      <c r="O46" s="657"/>
      <c r="P46" s="627">
        <f t="shared" si="1"/>
        <v>0</v>
      </c>
    </row>
    <row r="47" spans="2:16">
      <c r="L47" s="1056">
        <f t="shared" si="4"/>
        <v>44</v>
      </c>
      <c r="M47" s="656">
        <v>1</v>
      </c>
      <c r="N47" s="8">
        <v>1</v>
      </c>
      <c r="O47" s="657"/>
      <c r="P47" s="627">
        <f t="shared" si="1"/>
        <v>0</v>
      </c>
    </row>
    <row r="48" spans="2:16">
      <c r="L48" s="1056">
        <f t="shared" si="4"/>
        <v>45</v>
      </c>
      <c r="M48" s="656">
        <v>1</v>
      </c>
      <c r="N48" s="8"/>
      <c r="O48" s="657">
        <v>1</v>
      </c>
      <c r="P48" s="627">
        <f t="shared" si="1"/>
        <v>0</v>
      </c>
    </row>
    <row r="49" spans="12:16">
      <c r="L49" s="1056">
        <f t="shared" si="4"/>
        <v>46</v>
      </c>
      <c r="M49" s="656"/>
      <c r="N49" s="8">
        <v>1</v>
      </c>
      <c r="O49" s="657">
        <v>1</v>
      </c>
      <c r="P49" s="627">
        <f t="shared" si="1"/>
        <v>0</v>
      </c>
    </row>
    <row r="50" spans="12:16">
      <c r="L50" s="1056">
        <f t="shared" si="4"/>
        <v>47</v>
      </c>
      <c r="M50" s="656"/>
      <c r="N50" s="8">
        <v>1</v>
      </c>
      <c r="O50" s="657">
        <v>1</v>
      </c>
      <c r="P50" s="627">
        <f t="shared" si="1"/>
        <v>0</v>
      </c>
    </row>
    <row r="51" spans="12:16">
      <c r="L51" s="1056">
        <f t="shared" si="4"/>
        <v>48</v>
      </c>
      <c r="M51" s="656"/>
      <c r="N51" s="8">
        <v>1</v>
      </c>
      <c r="O51" s="657">
        <v>1</v>
      </c>
      <c r="P51" s="627">
        <f t="shared" si="1"/>
        <v>0</v>
      </c>
    </row>
    <row r="52" spans="12:16">
      <c r="L52" s="1056">
        <f t="shared" si="4"/>
        <v>49</v>
      </c>
      <c r="M52" s="656"/>
      <c r="N52" s="8">
        <v>1</v>
      </c>
      <c r="O52" s="657">
        <v>1</v>
      </c>
      <c r="P52" s="627">
        <f t="shared" si="1"/>
        <v>0</v>
      </c>
    </row>
    <row r="53" spans="12:16">
      <c r="L53" s="1056">
        <f t="shared" si="4"/>
        <v>50</v>
      </c>
      <c r="M53" s="533"/>
      <c r="N53" s="534">
        <v>1</v>
      </c>
      <c r="O53" s="541">
        <v>1</v>
      </c>
      <c r="P53" s="544">
        <f t="shared" si="1"/>
        <v>0</v>
      </c>
    </row>
    <row r="54" spans="12:16">
      <c r="L54" s="1056" t="s">
        <v>2781</v>
      </c>
      <c r="M54" s="1067">
        <f>SUM(M4:M53)</f>
        <v>31</v>
      </c>
      <c r="N54" s="1068">
        <f>SUM(N4:N53)</f>
        <v>47</v>
      </c>
      <c r="O54" s="1071">
        <f>SUM(O4:O53)</f>
        <v>22</v>
      </c>
    </row>
    <row r="55" spans="12:16" ht="15.6">
      <c r="L55" s="1056" t="s">
        <v>2783</v>
      </c>
      <c r="M55" s="533">
        <f>M54/$S$7</f>
        <v>0.31</v>
      </c>
      <c r="N55" s="534">
        <f>N54/$S$7</f>
        <v>0.47</v>
      </c>
      <c r="O55" s="541">
        <f>O54/$S$7</f>
        <v>0.22</v>
      </c>
    </row>
  </sheetData>
  <pageMargins left="0.7" right="0.7" top="0.75" bottom="0.75" header="0.3" footer="0.3"/>
  <pageSetup paperSize="9" orientation="portrait" horizontalDpi="300" verticalDpi="300" r:id="rId1"/>
  <ignoredErrors>
    <ignoredError sqref="H4" formulaRange="1"/>
  </ignoredErrors>
</worksheet>
</file>

<file path=xl/worksheets/sheet302.xml><?xml version="1.0" encoding="utf-8"?>
<worksheet xmlns="http://schemas.openxmlformats.org/spreadsheetml/2006/main" xmlns:r="http://schemas.openxmlformats.org/officeDocument/2006/relationships">
  <sheetPr codeName="Sheet282"/>
  <dimension ref="A1:V49"/>
  <sheetViews>
    <sheetView zoomScaleNormal="100" workbookViewId="0"/>
  </sheetViews>
  <sheetFormatPr defaultRowHeight="14.4"/>
  <cols>
    <col min="1" max="1" width="7.88671875" customWidth="1"/>
    <col min="2" max="5" width="5.88671875" customWidth="1"/>
    <col min="7" max="7" width="17.5546875" customWidth="1"/>
    <col min="10" max="11" width="9.109375" customWidth="1"/>
    <col min="15" max="22" width="8.44140625" customWidth="1"/>
  </cols>
  <sheetData>
    <row r="1" spans="1:22">
      <c r="A1" s="1" t="s">
        <v>3109</v>
      </c>
      <c r="G1" t="s">
        <v>885</v>
      </c>
    </row>
    <row r="2" spans="1:22">
      <c r="O2" t="s">
        <v>3111</v>
      </c>
    </row>
    <row r="3" spans="1:22" ht="15" thickBot="1">
      <c r="B3" s="1552" t="s">
        <v>1446</v>
      </c>
      <c r="C3" s="1552"/>
      <c r="D3" s="1552"/>
      <c r="E3" s="1552"/>
      <c r="G3" t="s">
        <v>194</v>
      </c>
    </row>
    <row r="4" spans="1:22">
      <c r="A4" s="1172" t="s">
        <v>1447</v>
      </c>
      <c r="B4" s="201" t="s">
        <v>526</v>
      </c>
      <c r="C4" s="1172" t="s">
        <v>384</v>
      </c>
      <c r="D4" s="1172" t="s">
        <v>385</v>
      </c>
      <c r="E4" s="1172" t="s">
        <v>386</v>
      </c>
      <c r="G4" s="1175" t="s">
        <v>222</v>
      </c>
      <c r="H4" s="1175" t="s">
        <v>88</v>
      </c>
      <c r="I4" s="1175" t="s">
        <v>87</v>
      </c>
      <c r="J4" s="1175" t="s">
        <v>886</v>
      </c>
      <c r="K4" s="1175" t="s">
        <v>223</v>
      </c>
      <c r="O4" s="1172">
        <v>1</v>
      </c>
      <c r="P4" s="1172">
        <f t="shared" ref="P4:V4" si="0">O4+1</f>
        <v>2</v>
      </c>
      <c r="Q4" s="1172">
        <f t="shared" si="0"/>
        <v>3</v>
      </c>
      <c r="R4" s="1172">
        <f t="shared" si="0"/>
        <v>4</v>
      </c>
      <c r="S4" s="1172">
        <f t="shared" si="0"/>
        <v>5</v>
      </c>
      <c r="T4" s="1172">
        <f t="shared" si="0"/>
        <v>6</v>
      </c>
      <c r="U4" s="1172">
        <f t="shared" si="0"/>
        <v>7</v>
      </c>
      <c r="V4" s="1172">
        <f t="shared" si="0"/>
        <v>8</v>
      </c>
    </row>
    <row r="5" spans="1:22">
      <c r="A5" s="1172">
        <v>1</v>
      </c>
      <c r="B5" s="610">
        <v>1</v>
      </c>
      <c r="C5" s="616">
        <v>2</v>
      </c>
      <c r="D5" s="616">
        <v>0</v>
      </c>
      <c r="E5" s="617">
        <v>1</v>
      </c>
      <c r="G5" s="28">
        <v>1</v>
      </c>
      <c r="H5" s="28">
        <v>4</v>
      </c>
      <c r="I5" s="28">
        <v>4</v>
      </c>
      <c r="J5" s="28">
        <v>1</v>
      </c>
      <c r="K5" s="28">
        <v>0.66666666666666663</v>
      </c>
      <c r="O5" s="1101">
        <v>1</v>
      </c>
      <c r="P5" s="1177">
        <v>1</v>
      </c>
      <c r="Q5" s="1177">
        <v>3</v>
      </c>
      <c r="R5" s="1177">
        <v>6</v>
      </c>
      <c r="S5" s="1177">
        <v>6</v>
      </c>
      <c r="T5" s="1177">
        <v>7</v>
      </c>
      <c r="U5" s="1177">
        <v>8</v>
      </c>
      <c r="V5" s="1102">
        <v>9</v>
      </c>
    </row>
    <row r="6" spans="1:22">
      <c r="A6" s="1172">
        <f>A5+1</f>
        <v>2</v>
      </c>
      <c r="B6" s="360">
        <v>1</v>
      </c>
      <c r="C6" s="1174">
        <v>3</v>
      </c>
      <c r="D6" s="1174">
        <v>3</v>
      </c>
      <c r="E6" s="618">
        <v>2</v>
      </c>
      <c r="G6" s="28">
        <v>2</v>
      </c>
      <c r="H6" s="28">
        <v>4</v>
      </c>
      <c r="I6" s="28">
        <v>9</v>
      </c>
      <c r="J6" s="28">
        <v>2.25</v>
      </c>
      <c r="K6" s="28">
        <v>0.91666666666666663</v>
      </c>
      <c r="O6" s="664">
        <v>2</v>
      </c>
      <c r="P6" s="1174">
        <v>3</v>
      </c>
      <c r="Q6" s="1174">
        <v>8</v>
      </c>
      <c r="R6" s="1174">
        <v>4</v>
      </c>
      <c r="S6" s="1174">
        <v>5</v>
      </c>
      <c r="T6" s="1174">
        <v>5</v>
      </c>
      <c r="U6" s="1174">
        <v>7</v>
      </c>
      <c r="V6" s="618">
        <v>9</v>
      </c>
    </row>
    <row r="7" spans="1:22">
      <c r="A7" s="1172">
        <f t="shared" ref="A7:A12" si="1">A6+1</f>
        <v>3</v>
      </c>
      <c r="B7" s="87">
        <v>3</v>
      </c>
      <c r="C7" s="1174">
        <v>8</v>
      </c>
      <c r="D7" s="1174">
        <v>1</v>
      </c>
      <c r="E7" s="618">
        <v>4</v>
      </c>
      <c r="G7" s="28">
        <v>3</v>
      </c>
      <c r="H7" s="28">
        <v>4</v>
      </c>
      <c r="I7" s="28">
        <v>16</v>
      </c>
      <c r="J7" s="28">
        <v>4</v>
      </c>
      <c r="K7" s="28">
        <v>8.6666666666666661</v>
      </c>
      <c r="O7" s="664">
        <v>0</v>
      </c>
      <c r="P7" s="1174">
        <v>3</v>
      </c>
      <c r="Q7" s="1174">
        <v>1</v>
      </c>
      <c r="R7" s="1174">
        <v>3</v>
      </c>
      <c r="S7" s="1174">
        <v>5</v>
      </c>
      <c r="T7" s="1174">
        <v>6</v>
      </c>
      <c r="U7" s="1174">
        <v>7</v>
      </c>
      <c r="V7" s="618">
        <v>9</v>
      </c>
    </row>
    <row r="8" spans="1:22">
      <c r="A8" s="1172">
        <f t="shared" si="1"/>
        <v>4</v>
      </c>
      <c r="B8" s="87">
        <v>6</v>
      </c>
      <c r="C8" s="1174">
        <v>4</v>
      </c>
      <c r="D8" s="1174">
        <v>3</v>
      </c>
      <c r="E8" s="618">
        <v>3</v>
      </c>
      <c r="G8" s="28">
        <v>4</v>
      </c>
      <c r="H8" s="28">
        <v>4</v>
      </c>
      <c r="I8" s="28">
        <v>16</v>
      </c>
      <c r="J8" s="28">
        <v>4</v>
      </c>
      <c r="K8" s="28">
        <v>2</v>
      </c>
      <c r="O8" s="560">
        <v>1</v>
      </c>
      <c r="P8" s="1103">
        <v>2</v>
      </c>
      <c r="Q8" s="1103">
        <v>4</v>
      </c>
      <c r="R8" s="1103">
        <v>3</v>
      </c>
      <c r="S8" s="1103">
        <v>6</v>
      </c>
      <c r="T8" s="1103">
        <v>2</v>
      </c>
      <c r="U8" s="1103">
        <v>9</v>
      </c>
      <c r="V8" s="536">
        <v>8</v>
      </c>
    </row>
    <row r="9" spans="1:22">
      <c r="A9" s="1172">
        <f t="shared" si="1"/>
        <v>5</v>
      </c>
      <c r="B9" s="87">
        <v>6</v>
      </c>
      <c r="C9" s="1174">
        <v>5</v>
      </c>
      <c r="D9" s="1174">
        <v>5</v>
      </c>
      <c r="E9" s="618">
        <v>6</v>
      </c>
      <c r="G9" s="28">
        <v>5</v>
      </c>
      <c r="H9" s="28">
        <v>4</v>
      </c>
      <c r="I9" s="28">
        <v>22</v>
      </c>
      <c r="J9" s="28">
        <v>5.5</v>
      </c>
      <c r="K9" s="28">
        <v>0.33333333333333331</v>
      </c>
    </row>
    <row r="10" spans="1:22">
      <c r="A10" s="1172">
        <f t="shared" si="1"/>
        <v>6</v>
      </c>
      <c r="B10" s="87">
        <v>7</v>
      </c>
      <c r="C10" s="1174">
        <v>5</v>
      </c>
      <c r="D10" s="1174">
        <v>6</v>
      </c>
      <c r="E10" s="618">
        <v>2</v>
      </c>
      <c r="G10" s="28">
        <v>6</v>
      </c>
      <c r="H10" s="28">
        <v>4</v>
      </c>
      <c r="I10" s="28">
        <v>20</v>
      </c>
      <c r="J10" s="28">
        <v>5</v>
      </c>
      <c r="K10" s="28">
        <v>4.666666666666667</v>
      </c>
      <c r="O10" t="s">
        <v>3112</v>
      </c>
    </row>
    <row r="11" spans="1:22">
      <c r="A11" s="1172">
        <f t="shared" si="1"/>
        <v>7</v>
      </c>
      <c r="B11" s="87">
        <v>8</v>
      </c>
      <c r="C11" s="1174">
        <v>7</v>
      </c>
      <c r="D11" s="1174">
        <v>7</v>
      </c>
      <c r="E11" s="618">
        <v>9</v>
      </c>
      <c r="G11" s="28">
        <v>7</v>
      </c>
      <c r="H11" s="28">
        <v>4</v>
      </c>
      <c r="I11" s="28">
        <v>31</v>
      </c>
      <c r="J11" s="28">
        <v>7.75</v>
      </c>
      <c r="K11" s="28">
        <v>0.91666666666666663</v>
      </c>
    </row>
    <row r="12" spans="1:22" ht="15" thickBot="1">
      <c r="A12" s="1172">
        <f t="shared" si="1"/>
        <v>8</v>
      </c>
      <c r="B12" s="560">
        <v>9</v>
      </c>
      <c r="C12" s="1173">
        <v>9</v>
      </c>
      <c r="D12" s="1173">
        <v>9</v>
      </c>
      <c r="E12" s="536">
        <v>8</v>
      </c>
      <c r="G12" s="31">
        <v>8</v>
      </c>
      <c r="H12" s="31">
        <v>4</v>
      </c>
      <c r="I12" s="31">
        <v>35</v>
      </c>
      <c r="J12" s="31">
        <v>8.75</v>
      </c>
      <c r="K12" s="31">
        <v>0.25</v>
      </c>
      <c r="O12" t="s">
        <v>2996</v>
      </c>
      <c r="P12" s="756" t="e">
        <f ca="1">([1]!MSBet(O5:V8)-[1]!MSW(O5:V8))/([1]!MSBet(O5:V8)+(COUNTA(O5:O8)-1)*[1]!MSW(O5:V8))</f>
        <v>#NAME?</v>
      </c>
    </row>
    <row r="14" spans="1:22">
      <c r="O14" s="23" t="s">
        <v>3113</v>
      </c>
    </row>
    <row r="15" spans="1:22" ht="15" thickBot="1">
      <c r="G15" t="s">
        <v>695</v>
      </c>
    </row>
    <row r="16" spans="1:22">
      <c r="G16" s="1175" t="s">
        <v>887</v>
      </c>
      <c r="H16" s="1175" t="s">
        <v>578</v>
      </c>
      <c r="I16" s="1175" t="s">
        <v>186</v>
      </c>
      <c r="J16" s="1175" t="s">
        <v>641</v>
      </c>
      <c r="K16" s="1175" t="s">
        <v>388</v>
      </c>
      <c r="L16" s="1175" t="s">
        <v>367</v>
      </c>
      <c r="M16" s="1175" t="s">
        <v>888</v>
      </c>
      <c r="O16" s="492" t="s">
        <v>3140</v>
      </c>
      <c r="P16" s="1156" t="e">
        <f ca="1">[1]!MSBet(O5:V8)</f>
        <v>#NAME?</v>
      </c>
      <c r="R16" s="23" t="s">
        <v>3115</v>
      </c>
    </row>
    <row r="17" spans="7:18">
      <c r="G17" s="28" t="s">
        <v>883</v>
      </c>
      <c r="H17" s="28">
        <v>188.21875</v>
      </c>
      <c r="I17" s="28">
        <v>7</v>
      </c>
      <c r="J17" s="28">
        <v>26.888392857142858</v>
      </c>
      <c r="K17" s="28">
        <v>11.680025856496444</v>
      </c>
      <c r="L17" s="28">
        <v>2.1813509548618397E-6</v>
      </c>
      <c r="M17" s="28">
        <v>2.4226285334209159</v>
      </c>
      <c r="O17" t="s">
        <v>907</v>
      </c>
      <c r="P17" s="627" t="e">
        <f ca="1">[1]!MSW(O5:V8)</f>
        <v>#NAME?</v>
      </c>
      <c r="R17" s="23" t="s">
        <v>3116</v>
      </c>
    </row>
    <row r="18" spans="7:18">
      <c r="G18" s="28" t="s">
        <v>884</v>
      </c>
      <c r="H18" s="28">
        <v>55.25</v>
      </c>
      <c r="I18" s="28">
        <v>24</v>
      </c>
      <c r="J18" s="28">
        <v>2.3020833333333335</v>
      </c>
      <c r="K18" s="28"/>
      <c r="L18" s="28"/>
      <c r="M18" s="28"/>
      <c r="O18" t="s">
        <v>169</v>
      </c>
      <c r="P18" s="627">
        <f>COUNTA(O5:O8)</f>
        <v>4</v>
      </c>
      <c r="R18" s="23" t="s">
        <v>3117</v>
      </c>
    </row>
    <row r="19" spans="7:18">
      <c r="G19" s="28"/>
      <c r="H19" s="28"/>
      <c r="I19" s="28"/>
      <c r="J19" s="28"/>
      <c r="K19" s="28"/>
      <c r="L19" s="28"/>
      <c r="M19" s="28"/>
      <c r="O19" t="s">
        <v>2996</v>
      </c>
      <c r="P19" s="544" t="e">
        <f ca="1">(P16-P17)/(P16+(P18-1)*P17)</f>
        <v>#NAME?</v>
      </c>
      <c r="R19" s="23" t="s">
        <v>3118</v>
      </c>
    </row>
    <row r="20" spans="7:18" ht="15" thickBot="1">
      <c r="G20" s="31" t="s">
        <v>12</v>
      </c>
      <c r="H20" s="31">
        <v>243.46875</v>
      </c>
      <c r="I20" s="31">
        <v>31</v>
      </c>
      <c r="J20" s="31"/>
      <c r="K20" s="31"/>
      <c r="L20" s="31"/>
      <c r="M20" s="31"/>
    </row>
    <row r="21" spans="7:18">
      <c r="O21" t="s">
        <v>669</v>
      </c>
    </row>
    <row r="22" spans="7:18">
      <c r="H22" t="s">
        <v>3110</v>
      </c>
      <c r="I22" s="756">
        <f>(J17-J18)/(J17+((H5-1)*J18))</f>
        <v>0.72752091589608103</v>
      </c>
      <c r="K22" s="23" t="s">
        <v>3131</v>
      </c>
    </row>
    <row r="23" spans="7:18">
      <c r="O23" t="s">
        <v>337</v>
      </c>
      <c r="P23" s="1156">
        <v>0.05</v>
      </c>
    </row>
    <row r="24" spans="7:18">
      <c r="H24" t="s">
        <v>337</v>
      </c>
      <c r="I24" s="1156">
        <v>0.05</v>
      </c>
      <c r="O24" t="s">
        <v>169</v>
      </c>
      <c r="P24" s="627">
        <f>COUNTA(O5:O8)</f>
        <v>4</v>
      </c>
      <c r="R24" s="23" t="s">
        <v>3117</v>
      </c>
    </row>
    <row r="25" spans="7:18">
      <c r="H25" t="s">
        <v>169</v>
      </c>
      <c r="I25" s="627">
        <f>H5</f>
        <v>4</v>
      </c>
      <c r="K25" s="23" t="s">
        <v>3135</v>
      </c>
      <c r="O25" t="s">
        <v>106</v>
      </c>
      <c r="P25" s="627">
        <f>COUNTA(O5:V5)</f>
        <v>8</v>
      </c>
      <c r="R25" s="23" t="s">
        <v>3121</v>
      </c>
    </row>
    <row r="26" spans="7:18">
      <c r="H26" t="s">
        <v>984</v>
      </c>
      <c r="I26" s="627">
        <f>I17</f>
        <v>7</v>
      </c>
      <c r="K26" s="23" t="s">
        <v>3132</v>
      </c>
      <c r="O26" t="s">
        <v>3123</v>
      </c>
      <c r="P26" s="627">
        <f>P25-1</f>
        <v>7</v>
      </c>
      <c r="R26" s="23" t="s">
        <v>3125</v>
      </c>
    </row>
    <row r="27" spans="7:18">
      <c r="H27" t="s">
        <v>985</v>
      </c>
      <c r="I27" s="627">
        <f>I18</f>
        <v>24</v>
      </c>
      <c r="K27" s="23" t="s">
        <v>3133</v>
      </c>
      <c r="O27" t="s">
        <v>3124</v>
      </c>
      <c r="P27" s="627">
        <f>P25*(P24-1)</f>
        <v>24</v>
      </c>
      <c r="R27" s="23" t="s">
        <v>3126</v>
      </c>
    </row>
    <row r="28" spans="7:18">
      <c r="H28" t="s">
        <v>388</v>
      </c>
      <c r="I28" s="627">
        <f>K17</f>
        <v>11.680025856496444</v>
      </c>
      <c r="K28" s="23" t="s">
        <v>3134</v>
      </c>
      <c r="O28" t="s">
        <v>388</v>
      </c>
      <c r="P28" s="627" t="e">
        <f ca="1">[1]!ANOVA1(O5:V8)</f>
        <v>#NAME?</v>
      </c>
      <c r="R28" s="23" t="s">
        <v>3122</v>
      </c>
    </row>
    <row r="29" spans="7:18">
      <c r="H29" t="s">
        <v>3119</v>
      </c>
      <c r="I29" s="627">
        <f>I28/FINV(I24/2,I26,I27)</f>
        <v>4.0643025185585042</v>
      </c>
      <c r="K29" s="23" t="s">
        <v>3136</v>
      </c>
      <c r="O29" t="s">
        <v>3119</v>
      </c>
      <c r="P29" s="627" t="e">
        <f ca="1">P28/FINV(P23/2,P26,P27)</f>
        <v>#NAME?</v>
      </c>
      <c r="R29" s="23" t="s">
        <v>3127</v>
      </c>
    </row>
    <row r="30" spans="7:18">
      <c r="H30" t="s">
        <v>3120</v>
      </c>
      <c r="I30" s="627">
        <f>I28*FINV(I24/2,I27,I26)</f>
        <v>51.567303236605973</v>
      </c>
      <c r="K30" s="23" t="s">
        <v>3137</v>
      </c>
      <c r="O30" t="s">
        <v>3120</v>
      </c>
      <c r="P30" s="627" t="e">
        <f ca="1">P28*FINV(P23/2,P27,P26)</f>
        <v>#NAME?</v>
      </c>
      <c r="R30" s="23" t="s">
        <v>3128</v>
      </c>
    </row>
    <row r="31" spans="7:18">
      <c r="H31" t="s">
        <v>103</v>
      </c>
      <c r="I31" s="627">
        <f>(I29-1)/(I29+I25-1)</f>
        <v>0.43377283327098881</v>
      </c>
      <c r="K31" s="23" t="s">
        <v>3138</v>
      </c>
      <c r="O31" t="s">
        <v>103</v>
      </c>
      <c r="P31" s="627" t="e">
        <f ca="1">(P29-1)/(P29+P24-1)</f>
        <v>#NAME?</v>
      </c>
      <c r="R31" s="23" t="s">
        <v>3129</v>
      </c>
    </row>
    <row r="32" spans="7:18">
      <c r="H32" t="s">
        <v>104</v>
      </c>
      <c r="I32" s="544">
        <f>(I30-1)/(I30+I25-1)</f>
        <v>0.92669602925664396</v>
      </c>
      <c r="K32" s="23" t="s">
        <v>3139</v>
      </c>
      <c r="O32" t="s">
        <v>104</v>
      </c>
      <c r="P32" s="544" t="e">
        <f ca="1">(P30-1)/(P30+P24-1)</f>
        <v>#NAME?</v>
      </c>
      <c r="R32" s="23" t="s">
        <v>3130</v>
      </c>
    </row>
    <row r="34" spans="7:11">
      <c r="H34" t="s">
        <v>3152</v>
      </c>
      <c r="I34" s="1178">
        <f>(J17-J18)/J17</f>
        <v>0.91438375117604742</v>
      </c>
      <c r="K34" s="23" t="s">
        <v>3148</v>
      </c>
    </row>
    <row r="35" spans="7:11">
      <c r="H35" t="s">
        <v>103</v>
      </c>
      <c r="I35" s="627">
        <f>1-1/I29</f>
        <v>0.75395532310063562</v>
      </c>
      <c r="K35" s="23" t="s">
        <v>3149</v>
      </c>
    </row>
    <row r="36" spans="7:11">
      <c r="H36" t="s">
        <v>104</v>
      </c>
      <c r="I36" s="544">
        <f>1-1/I30</f>
        <v>0.98060786705460035</v>
      </c>
      <c r="K36" s="23" t="s">
        <v>3150</v>
      </c>
    </row>
    <row r="38" spans="7:11">
      <c r="G38" t="s">
        <v>3164</v>
      </c>
    </row>
    <row r="40" spans="7:11">
      <c r="H40" t="s">
        <v>3110</v>
      </c>
      <c r="I40" s="1178" t="e">
        <f ca="1">[1]!ICC(B5:E12,1,1)</f>
        <v>#NAME?</v>
      </c>
      <c r="K40" s="23" t="s">
        <v>3165</v>
      </c>
    </row>
    <row r="41" spans="7:11">
      <c r="H41" t="s">
        <v>3152</v>
      </c>
      <c r="I41" s="544" t="e">
        <f ca="1">[1]!ICC(B5:E12,1,4)</f>
        <v>#NAME?</v>
      </c>
      <c r="K41" s="23" t="s">
        <v>3166</v>
      </c>
    </row>
    <row r="43" spans="7:11">
      <c r="H43" t="e">
        <f t="array" aca="1" ref="H43:I45" ca="1">[1]!ICC(B5:E12,1,1,TRUE)</f>
        <v>#NAME?</v>
      </c>
      <c r="I43" s="1235" t="e">
        <f ca="1"/>
        <v>#NAME?</v>
      </c>
      <c r="K43" t="e">
        <f ca="1">[1]!FTEXT(I43)</f>
        <v>#NAME?</v>
      </c>
    </row>
    <row r="44" spans="7:11">
      <c r="H44" t="e">
        <f ca="1"/>
        <v>#NAME?</v>
      </c>
      <c r="I44" s="627" t="e">
        <f ca="1"/>
        <v>#NAME?</v>
      </c>
    </row>
    <row r="45" spans="7:11">
      <c r="H45" t="e">
        <f ca="1"/>
        <v>#NAME?</v>
      </c>
      <c r="I45" s="544" t="e">
        <f ca="1"/>
        <v>#NAME?</v>
      </c>
    </row>
    <row r="47" spans="7:11">
      <c r="H47" t="e">
        <f t="array" aca="1" ref="H47:I49" ca="1">[1]!ICC(B5:E12,1,4,TRUE)</f>
        <v>#NAME?</v>
      </c>
      <c r="I47" s="1235" t="e">
        <f ca="1"/>
        <v>#NAME?</v>
      </c>
      <c r="K47" t="e">
        <f ca="1">[1]!FTEXT(I47)</f>
        <v>#NAME?</v>
      </c>
    </row>
    <row r="48" spans="7:11">
      <c r="H48" t="e">
        <f ca="1"/>
        <v>#NAME?</v>
      </c>
      <c r="I48" s="627" t="e">
        <f ca="1"/>
        <v>#NAME?</v>
      </c>
    </row>
    <row r="49" spans="8:9">
      <c r="H49" t="e">
        <f ca="1"/>
        <v>#NAME?</v>
      </c>
      <c r="I49" s="544" t="e">
        <f ca="1"/>
        <v>#NAME?</v>
      </c>
    </row>
  </sheetData>
  <mergeCells count="1">
    <mergeCell ref="B3:E3"/>
  </mergeCells>
  <pageMargins left="0.7" right="0.7" top="0.75" bottom="0.75" header="0.3" footer="0.3"/>
  <ignoredErrors>
    <ignoredError sqref="P18 P24" formulaRange="1"/>
  </ignoredErrors>
</worksheet>
</file>

<file path=xl/worksheets/sheet303.xml><?xml version="1.0" encoding="utf-8"?>
<worksheet xmlns="http://schemas.openxmlformats.org/spreadsheetml/2006/main" xmlns:r="http://schemas.openxmlformats.org/officeDocument/2006/relationships">
  <sheetPr codeName="Sheet154"/>
  <dimension ref="A1:AG44"/>
  <sheetViews>
    <sheetView workbookViewId="0"/>
  </sheetViews>
  <sheetFormatPr defaultRowHeight="14.4"/>
  <cols>
    <col min="1" max="1" width="7.88671875" customWidth="1"/>
    <col min="2" max="6" width="5.88671875" customWidth="1"/>
    <col min="7" max="7" width="18.33203125" customWidth="1"/>
    <col min="29" max="29" width="4.33203125" customWidth="1"/>
    <col min="30" max="30" width="77" customWidth="1"/>
    <col min="32" max="32" width="10.6640625" customWidth="1"/>
  </cols>
  <sheetData>
    <row r="1" spans="1:33">
      <c r="A1" s="1" t="s">
        <v>3114</v>
      </c>
      <c r="P1" t="s">
        <v>4074</v>
      </c>
      <c r="AF1" t="s">
        <v>4075</v>
      </c>
    </row>
    <row r="3" spans="1:33">
      <c r="B3" s="1552" t="s">
        <v>1446</v>
      </c>
      <c r="C3" s="1552"/>
      <c r="D3" s="1552"/>
      <c r="E3" s="1552"/>
      <c r="G3" t="s">
        <v>1008</v>
      </c>
      <c r="P3" t="s">
        <v>95</v>
      </c>
      <c r="W3" t="s">
        <v>2827</v>
      </c>
      <c r="AF3" t="s">
        <v>4076</v>
      </c>
    </row>
    <row r="4" spans="1:33" ht="15" thickBot="1">
      <c r="A4" s="549" t="s">
        <v>1447</v>
      </c>
      <c r="B4" s="201" t="s">
        <v>526</v>
      </c>
      <c r="C4" s="549" t="s">
        <v>384</v>
      </c>
      <c r="D4" s="549" t="s">
        <v>385</v>
      </c>
      <c r="E4" s="549" t="s">
        <v>386</v>
      </c>
    </row>
    <row r="5" spans="1:33" ht="15" thickBot="1">
      <c r="A5" s="549">
        <v>1</v>
      </c>
      <c r="B5" s="610">
        <v>1</v>
      </c>
      <c r="C5" s="616">
        <v>2</v>
      </c>
      <c r="D5" s="616">
        <v>0</v>
      </c>
      <c r="E5" s="617">
        <v>1</v>
      </c>
      <c r="G5" s="550" t="s">
        <v>194</v>
      </c>
      <c r="H5" s="550" t="s">
        <v>88</v>
      </c>
      <c r="I5" s="550" t="s">
        <v>87</v>
      </c>
      <c r="J5" s="550" t="s">
        <v>886</v>
      </c>
      <c r="K5" s="550" t="s">
        <v>223</v>
      </c>
      <c r="P5" t="s">
        <v>2821</v>
      </c>
      <c r="W5" t="s">
        <v>695</v>
      </c>
      <c r="AA5" s="1155" t="s">
        <v>116</v>
      </c>
      <c r="AB5" s="1155">
        <v>0.05</v>
      </c>
      <c r="AF5" t="s">
        <v>4077</v>
      </c>
      <c r="AG5" s="1441">
        <v>2</v>
      </c>
    </row>
    <row r="6" spans="1:33" ht="15" thickTop="1">
      <c r="A6" s="549">
        <f>A5+1</f>
        <v>2</v>
      </c>
      <c r="B6" s="360">
        <v>1</v>
      </c>
      <c r="C6" s="117">
        <v>3</v>
      </c>
      <c r="D6" s="117">
        <v>3</v>
      </c>
      <c r="E6" s="618">
        <v>2</v>
      </c>
      <c r="G6" s="28">
        <v>1</v>
      </c>
      <c r="H6" s="28">
        <v>4</v>
      </c>
      <c r="I6" s="28">
        <v>4</v>
      </c>
      <c r="J6" s="28">
        <v>1</v>
      </c>
      <c r="K6" s="28">
        <v>0.66666666666666663</v>
      </c>
      <c r="Q6" s="1155" t="str">
        <f>B4</f>
        <v>A</v>
      </c>
      <c r="R6" s="1155" t="str">
        <f>C4</f>
        <v>B</v>
      </c>
      <c r="S6" s="1155" t="str">
        <f>D4</f>
        <v>C</v>
      </c>
      <c r="T6" s="1155" t="str">
        <f>E4</f>
        <v>D</v>
      </c>
      <c r="W6" s="1151"/>
      <c r="X6" s="1151" t="s">
        <v>578</v>
      </c>
      <c r="Y6" s="1151" t="s">
        <v>186</v>
      </c>
      <c r="Z6" s="1151" t="s">
        <v>641</v>
      </c>
      <c r="AA6" s="1151" t="s">
        <v>388</v>
      </c>
      <c r="AB6" s="1151" t="s">
        <v>200</v>
      </c>
      <c r="AC6" s="1151" t="s">
        <v>948</v>
      </c>
      <c r="AF6" t="s">
        <v>4078</v>
      </c>
      <c r="AG6" s="946">
        <v>1</v>
      </c>
    </row>
    <row r="7" spans="1:33">
      <c r="A7" s="549">
        <f t="shared" ref="A7:A12" si="0">A6+1</f>
        <v>3</v>
      </c>
      <c r="B7" s="87">
        <v>3</v>
      </c>
      <c r="C7" s="117">
        <v>8</v>
      </c>
      <c r="D7" s="117">
        <v>1</v>
      </c>
      <c r="E7" s="618">
        <v>4</v>
      </c>
      <c r="G7" s="28">
        <v>2</v>
      </c>
      <c r="H7" s="28">
        <v>4</v>
      </c>
      <c r="I7" s="28">
        <v>9</v>
      </c>
      <c r="J7" s="28">
        <v>2.25</v>
      </c>
      <c r="K7" s="28">
        <v>0.91666666666666663</v>
      </c>
      <c r="P7">
        <f t="shared" ref="P7:P14" si="1">A5</f>
        <v>1</v>
      </c>
      <c r="Q7" s="1113">
        <f t="shared" ref="Q7:Q14" si="2">COUNT(B5)</f>
        <v>1</v>
      </c>
      <c r="R7" s="1114">
        <f t="shared" ref="R7:T14" si="3">COUNT(C5)</f>
        <v>1</v>
      </c>
      <c r="S7" s="1114">
        <f t="shared" si="3"/>
        <v>1</v>
      </c>
      <c r="T7" s="1115">
        <f t="shared" si="3"/>
        <v>1</v>
      </c>
      <c r="U7">
        <f t="shared" ref="U7:U14" si="4">COUNT(B5:E5)</f>
        <v>4</v>
      </c>
      <c r="W7" t="s">
        <v>390</v>
      </c>
      <c r="X7">
        <f>DEVSQ(U19:U26)*U7</f>
        <v>188.21875</v>
      </c>
      <c r="Y7">
        <f>COUNT(U19:U26)-1</f>
        <v>7</v>
      </c>
      <c r="Z7">
        <f>X7/Y7</f>
        <v>26.888392857142858</v>
      </c>
      <c r="AA7">
        <f>Z7/Z9</f>
        <v>11.7866927592955</v>
      </c>
      <c r="AB7">
        <f>FDIST(AA7,Y7,Y9)</f>
        <v>5.0257154640603623E-6</v>
      </c>
      <c r="AC7" s="1155" t="str">
        <f>IF(AB7&lt;AB5,"yes","no")</f>
        <v>yes</v>
      </c>
      <c r="AF7" t="s">
        <v>116</v>
      </c>
      <c r="AG7" s="1073">
        <v>0.05</v>
      </c>
    </row>
    <row r="8" spans="1:33">
      <c r="A8" s="549">
        <f t="shared" si="0"/>
        <v>4</v>
      </c>
      <c r="B8" s="87">
        <v>6</v>
      </c>
      <c r="C8" s="117">
        <v>4</v>
      </c>
      <c r="D8" s="117">
        <v>3</v>
      </c>
      <c r="E8" s="618">
        <v>3</v>
      </c>
      <c r="G8" s="28">
        <v>3</v>
      </c>
      <c r="H8" s="28">
        <v>4</v>
      </c>
      <c r="I8" s="28">
        <v>16</v>
      </c>
      <c r="J8" s="28">
        <v>4</v>
      </c>
      <c r="K8" s="28">
        <v>8.6666666666666661</v>
      </c>
      <c r="P8">
        <f t="shared" si="1"/>
        <v>2</v>
      </c>
      <c r="Q8" s="625">
        <f t="shared" si="2"/>
        <v>1</v>
      </c>
      <c r="R8" s="8">
        <f t="shared" si="3"/>
        <v>1</v>
      </c>
      <c r="S8" s="8">
        <f t="shared" si="3"/>
        <v>1</v>
      </c>
      <c r="T8" s="132">
        <f t="shared" si="3"/>
        <v>1</v>
      </c>
      <c r="U8">
        <f t="shared" si="4"/>
        <v>4</v>
      </c>
      <c r="W8" t="s">
        <v>1010</v>
      </c>
      <c r="X8">
        <f>DEVSQ(Q27:T27)*Q15</f>
        <v>7.34375</v>
      </c>
      <c r="Y8">
        <f>COUNT(Q27:T27)-1</f>
        <v>3</v>
      </c>
      <c r="Z8">
        <f>X8/Y8</f>
        <v>2.4479166666666665</v>
      </c>
      <c r="AA8">
        <f>Z8/Z9</f>
        <v>1.0730593607305936</v>
      </c>
      <c r="AB8">
        <f>FDIST(AA8,Y8,Y9)</f>
        <v>0.3818394427683251</v>
      </c>
      <c r="AC8" s="1155" t="str">
        <f>IF(AB8&lt;AB5,"yes","no")</f>
        <v>no</v>
      </c>
    </row>
    <row r="9" spans="1:33">
      <c r="A9" s="549">
        <f t="shared" si="0"/>
        <v>5</v>
      </c>
      <c r="B9" s="87">
        <v>6</v>
      </c>
      <c r="C9" s="117">
        <v>5</v>
      </c>
      <c r="D9" s="117">
        <v>5</v>
      </c>
      <c r="E9" s="618">
        <v>6</v>
      </c>
      <c r="G9" s="28">
        <v>4</v>
      </c>
      <c r="H9" s="28">
        <v>4</v>
      </c>
      <c r="I9" s="28">
        <v>16</v>
      </c>
      <c r="J9" s="28">
        <v>4</v>
      </c>
      <c r="K9" s="28">
        <v>2</v>
      </c>
      <c r="P9">
        <f t="shared" si="1"/>
        <v>3</v>
      </c>
      <c r="Q9" s="625">
        <f t="shared" si="2"/>
        <v>1</v>
      </c>
      <c r="R9" s="8">
        <f t="shared" si="3"/>
        <v>1</v>
      </c>
      <c r="S9" s="8">
        <f t="shared" si="3"/>
        <v>1</v>
      </c>
      <c r="T9" s="132">
        <f t="shared" si="3"/>
        <v>1</v>
      </c>
      <c r="U9">
        <f t="shared" si="4"/>
        <v>4</v>
      </c>
      <c r="W9" t="s">
        <v>1009</v>
      </c>
      <c r="X9">
        <f>X11-X7-X8</f>
        <v>47.90625</v>
      </c>
      <c r="Y9">
        <f>Y8*Y7</f>
        <v>21</v>
      </c>
      <c r="Z9">
        <f>X9/Y9</f>
        <v>2.28125</v>
      </c>
      <c r="AF9" t="e">
        <f t="array" aca="1" ref="AF9:AG11" ca="1">[1]!ICC(B5:E12,AG5,AG6,TRUE,AG7)</f>
        <v>#NAME?</v>
      </c>
      <c r="AG9" s="1441" t="e">
        <f ca="1"/>
        <v>#NAME?</v>
      </c>
    </row>
    <row r="10" spans="1:33">
      <c r="A10" s="549">
        <f t="shared" si="0"/>
        <v>6</v>
      </c>
      <c r="B10" s="87">
        <v>7</v>
      </c>
      <c r="C10" s="117">
        <v>5</v>
      </c>
      <c r="D10" s="117">
        <v>6</v>
      </c>
      <c r="E10" s="618">
        <v>2</v>
      </c>
      <c r="G10" s="28">
        <v>5</v>
      </c>
      <c r="H10" s="28">
        <v>4</v>
      </c>
      <c r="I10" s="28">
        <v>22</v>
      </c>
      <c r="J10" s="28">
        <v>5.5</v>
      </c>
      <c r="K10" s="28">
        <v>0.33333333333333331</v>
      </c>
      <c r="P10">
        <f t="shared" si="1"/>
        <v>4</v>
      </c>
      <c r="Q10" s="625">
        <f t="shared" si="2"/>
        <v>1</v>
      </c>
      <c r="R10" s="8">
        <f t="shared" si="3"/>
        <v>1</v>
      </c>
      <c r="S10" s="8">
        <f t="shared" si="3"/>
        <v>1</v>
      </c>
      <c r="T10" s="132">
        <f t="shared" si="3"/>
        <v>1</v>
      </c>
      <c r="U10">
        <f t="shared" si="4"/>
        <v>4</v>
      </c>
      <c r="AF10" t="e">
        <f ca="1"/>
        <v>#NAME?</v>
      </c>
      <c r="AG10" s="946" t="e">
        <f ca="1"/>
        <v>#NAME?</v>
      </c>
    </row>
    <row r="11" spans="1:33">
      <c r="A11" s="549">
        <f t="shared" si="0"/>
        <v>7</v>
      </c>
      <c r="B11" s="87">
        <v>8</v>
      </c>
      <c r="C11" s="117">
        <v>7</v>
      </c>
      <c r="D11" s="117">
        <v>7</v>
      </c>
      <c r="E11" s="618">
        <v>9</v>
      </c>
      <c r="G11" s="28">
        <v>6</v>
      </c>
      <c r="H11" s="28">
        <v>4</v>
      </c>
      <c r="I11" s="28">
        <v>20</v>
      </c>
      <c r="J11" s="28">
        <v>5</v>
      </c>
      <c r="K11" s="28">
        <v>4.666666666666667</v>
      </c>
      <c r="P11">
        <f t="shared" si="1"/>
        <v>5</v>
      </c>
      <c r="Q11" s="625">
        <f t="shared" si="2"/>
        <v>1</v>
      </c>
      <c r="R11" s="8">
        <f t="shared" si="3"/>
        <v>1</v>
      </c>
      <c r="S11" s="8">
        <f t="shared" si="3"/>
        <v>1</v>
      </c>
      <c r="T11" s="132">
        <f t="shared" si="3"/>
        <v>1</v>
      </c>
      <c r="U11">
        <f t="shared" si="4"/>
        <v>4</v>
      </c>
      <c r="W11" s="1078" t="s">
        <v>12</v>
      </c>
      <c r="X11" s="1078">
        <f>Z11*Y11</f>
        <v>243.46875</v>
      </c>
      <c r="Y11" s="1078">
        <f>U15-1</f>
        <v>31</v>
      </c>
      <c r="Z11" s="1078">
        <f>U39</f>
        <v>7.85383064516129</v>
      </c>
      <c r="AA11" s="1078"/>
      <c r="AB11" s="1078"/>
      <c r="AC11" s="1078"/>
      <c r="AF11" t="e">
        <f ca="1"/>
        <v>#NAME?</v>
      </c>
      <c r="AG11" s="1073" t="e">
        <f ca="1"/>
        <v>#NAME?</v>
      </c>
    </row>
    <row r="12" spans="1:33">
      <c r="A12" s="549">
        <f t="shared" si="0"/>
        <v>8</v>
      </c>
      <c r="B12" s="560">
        <v>9</v>
      </c>
      <c r="C12" s="611">
        <v>9</v>
      </c>
      <c r="D12" s="611">
        <v>9</v>
      </c>
      <c r="E12" s="536">
        <v>8</v>
      </c>
      <c r="G12" s="28">
        <v>7</v>
      </c>
      <c r="H12" s="28">
        <v>4</v>
      </c>
      <c r="I12" s="28">
        <v>31</v>
      </c>
      <c r="J12" s="28">
        <v>7.75</v>
      </c>
      <c r="K12" s="28">
        <v>0.91666666666666663</v>
      </c>
      <c r="P12">
        <f t="shared" si="1"/>
        <v>6</v>
      </c>
      <c r="Q12" s="625">
        <f t="shared" si="2"/>
        <v>1</v>
      </c>
      <c r="R12" s="8">
        <f t="shared" si="3"/>
        <v>1</v>
      </c>
      <c r="S12" s="8">
        <f t="shared" si="3"/>
        <v>1</v>
      </c>
      <c r="T12" s="132">
        <f t="shared" si="3"/>
        <v>1</v>
      </c>
      <c r="U12">
        <f t="shared" si="4"/>
        <v>4</v>
      </c>
    </row>
    <row r="13" spans="1:33">
      <c r="G13" s="28">
        <v>8</v>
      </c>
      <c r="H13" s="28">
        <v>4</v>
      </c>
      <c r="I13" s="28">
        <v>35</v>
      </c>
      <c r="J13" s="28">
        <v>8.75</v>
      </c>
      <c r="K13" s="28">
        <v>0.25</v>
      </c>
      <c r="P13">
        <f t="shared" si="1"/>
        <v>7</v>
      </c>
      <c r="Q13" s="625">
        <f t="shared" si="2"/>
        <v>1</v>
      </c>
      <c r="R13" s="8">
        <f t="shared" si="3"/>
        <v>1</v>
      </c>
      <c r="S13" s="8">
        <f t="shared" si="3"/>
        <v>1</v>
      </c>
      <c r="T13" s="132">
        <f t="shared" si="3"/>
        <v>1</v>
      </c>
      <c r="U13">
        <f t="shared" si="4"/>
        <v>4</v>
      </c>
      <c r="W13" t="s">
        <v>2996</v>
      </c>
      <c r="Y13" s="756">
        <f>(Z7-Z9)/(Z7+Y8*Z9+(Y8+1)*(Z8-Z9)/(Y7+1))</f>
        <v>0.72768878718535457</v>
      </c>
    </row>
    <row r="14" spans="1:33">
      <c r="G14" s="28"/>
      <c r="H14" s="28"/>
      <c r="I14" s="28"/>
      <c r="J14" s="28"/>
      <c r="K14" s="28"/>
      <c r="P14">
        <f t="shared" si="1"/>
        <v>8</v>
      </c>
      <c r="Q14" s="1075">
        <f t="shared" si="2"/>
        <v>1</v>
      </c>
      <c r="R14" s="1076">
        <f t="shared" si="3"/>
        <v>1</v>
      </c>
      <c r="S14" s="1076">
        <f t="shared" si="3"/>
        <v>1</v>
      </c>
      <c r="T14" s="1077">
        <f t="shared" si="3"/>
        <v>1</v>
      </c>
      <c r="U14">
        <f t="shared" si="4"/>
        <v>4</v>
      </c>
    </row>
    <row r="15" spans="1:33">
      <c r="G15" s="28" t="s">
        <v>526</v>
      </c>
      <c r="H15" s="28">
        <v>8</v>
      </c>
      <c r="I15" s="28">
        <v>41</v>
      </c>
      <c r="J15" s="28">
        <v>5.125</v>
      </c>
      <c r="K15" s="28">
        <v>9.5535714285714288</v>
      </c>
      <c r="Q15">
        <f>COUNT(B5:B12)</f>
        <v>8</v>
      </c>
      <c r="R15">
        <f>COUNT(C5:C12)</f>
        <v>8</v>
      </c>
      <c r="S15">
        <f>COUNT(D5:D12)</f>
        <v>8</v>
      </c>
      <c r="T15">
        <f>COUNT(E5:E12)</f>
        <v>8</v>
      </c>
      <c r="U15">
        <f>COUNT(B5:E12)</f>
        <v>32</v>
      </c>
      <c r="AA15" t="s">
        <v>337</v>
      </c>
      <c r="AB15" s="1156">
        <v>0.05</v>
      </c>
    </row>
    <row r="16" spans="1:33">
      <c r="G16" s="28" t="s">
        <v>384</v>
      </c>
      <c r="H16" s="28">
        <v>8</v>
      </c>
      <c r="I16" s="28">
        <v>43</v>
      </c>
      <c r="J16" s="28">
        <v>5.375</v>
      </c>
      <c r="K16" s="28">
        <v>5.9821428571428568</v>
      </c>
      <c r="W16" t="s">
        <v>3090</v>
      </c>
      <c r="Y16" s="1156">
        <f>Z7-Z9</f>
        <v>24.607142857142858</v>
      </c>
      <c r="AA16" s="126" t="s">
        <v>106</v>
      </c>
      <c r="AB16" s="627">
        <f>Y7+1</f>
        <v>8</v>
      </c>
      <c r="AD16" s="23" t="e">
        <f ca="1">[1]!FTEXT(AB16)</f>
        <v>#NAME?</v>
      </c>
    </row>
    <row r="17" spans="7:30">
      <c r="G17" s="28" t="s">
        <v>385</v>
      </c>
      <c r="H17" s="28">
        <v>8</v>
      </c>
      <c r="I17" s="28">
        <v>34</v>
      </c>
      <c r="J17" s="28">
        <v>4.25</v>
      </c>
      <c r="K17" s="28">
        <v>9.3571428571428577</v>
      </c>
      <c r="P17" t="s">
        <v>1031</v>
      </c>
      <c r="W17" t="s">
        <v>3091</v>
      </c>
      <c r="Y17" s="627">
        <f>(Y8+1)*Z9</f>
        <v>9.125</v>
      </c>
      <c r="AA17" s="126" t="s">
        <v>169</v>
      </c>
      <c r="AB17" s="627">
        <f>Y8+1</f>
        <v>4</v>
      </c>
      <c r="AD17" s="23" t="e">
        <f ca="1">[1]!FTEXT(AB17)</f>
        <v>#NAME?</v>
      </c>
    </row>
    <row r="18" spans="7:30" ht="15" thickBot="1">
      <c r="G18" s="31" t="s">
        <v>386</v>
      </c>
      <c r="H18" s="31">
        <v>8</v>
      </c>
      <c r="I18" s="31">
        <v>35</v>
      </c>
      <c r="J18" s="31">
        <v>4.375</v>
      </c>
      <c r="K18" s="31">
        <v>8.8392857142857135</v>
      </c>
      <c r="Q18" s="1155" t="str">
        <f>B4</f>
        <v>A</v>
      </c>
      <c r="R18" s="1155" t="str">
        <f>C4</f>
        <v>B</v>
      </c>
      <c r="S18" s="1155" t="str">
        <f>D4</f>
        <v>C</v>
      </c>
      <c r="T18" s="1155" t="str">
        <f>E4</f>
        <v>D</v>
      </c>
      <c r="W18" t="s">
        <v>3092</v>
      </c>
      <c r="Y18" s="627">
        <f>(Y8+1)*(Z8-Z9)/(Y7+1)</f>
        <v>8.3333333333333259E-2</v>
      </c>
      <c r="AA18" t="s">
        <v>2684</v>
      </c>
      <c r="AB18" s="627">
        <f>AB16*(1+(AB17-1)*Y13)-AB17*Y13</f>
        <v>22.553775743707089</v>
      </c>
      <c r="AD18" s="23" t="e">
        <f ca="1">[1]!FTEXT(AB18)</f>
        <v>#NAME?</v>
      </c>
    </row>
    <row r="19" spans="7:30">
      <c r="P19">
        <f t="shared" ref="P19:P26" si="5">A5</f>
        <v>1</v>
      </c>
      <c r="Q19" s="1113">
        <f t="shared" ref="Q19:Q26" si="6">AVERAGE(B5)</f>
        <v>1</v>
      </c>
      <c r="R19" s="1114">
        <f t="shared" ref="R19:T26" si="7">AVERAGE(C5)</f>
        <v>2</v>
      </c>
      <c r="S19" s="1114">
        <f t="shared" si="7"/>
        <v>0</v>
      </c>
      <c r="T19" s="1115">
        <f t="shared" si="7"/>
        <v>1</v>
      </c>
      <c r="U19">
        <f t="shared" ref="U19:U26" si="8">AVERAGE(B5:E5)</f>
        <v>1</v>
      </c>
      <c r="W19" t="s">
        <v>3069</v>
      </c>
      <c r="Y19" s="627">
        <f>SUM(Y16:Y18)</f>
        <v>33.815476190476197</v>
      </c>
      <c r="AA19" t="s">
        <v>3093</v>
      </c>
      <c r="AB19" s="627">
        <f>AA8</f>
        <v>1.0730593607305936</v>
      </c>
      <c r="AD19" s="23" t="e">
        <f ca="1">[1]!FTEXT(AB19)</f>
        <v>#NAME?</v>
      </c>
    </row>
    <row r="20" spans="7:30">
      <c r="P20">
        <f t="shared" si="5"/>
        <v>2</v>
      </c>
      <c r="Q20" s="625">
        <f t="shared" si="6"/>
        <v>1</v>
      </c>
      <c r="R20" s="8">
        <f t="shared" si="7"/>
        <v>3</v>
      </c>
      <c r="S20" s="8">
        <f t="shared" si="7"/>
        <v>3</v>
      </c>
      <c r="T20" s="132">
        <f t="shared" si="7"/>
        <v>2</v>
      </c>
      <c r="U20">
        <f t="shared" si="8"/>
        <v>2.25</v>
      </c>
      <c r="W20" t="s">
        <v>2996</v>
      </c>
      <c r="Y20" s="544">
        <f>Y16/Y19</f>
        <v>0.72768878718535457</v>
      </c>
      <c r="AA20" t="s">
        <v>3094</v>
      </c>
      <c r="AB20" s="627">
        <f>AB17*Z8+(AB16*AB17-AB17-AB16)*Z9</f>
        <v>55.416666666666664</v>
      </c>
      <c r="AD20" s="23" t="e">
        <f ca="1">[1]!FTEXT(AB20)</f>
        <v>#NAME?</v>
      </c>
    </row>
    <row r="21" spans="7:30" ht="15" thickBot="1">
      <c r="G21" t="s">
        <v>695</v>
      </c>
      <c r="P21">
        <f t="shared" si="5"/>
        <v>3</v>
      </c>
      <c r="Q21" s="625">
        <f t="shared" si="6"/>
        <v>3</v>
      </c>
      <c r="R21" s="8">
        <f t="shared" si="7"/>
        <v>8</v>
      </c>
      <c r="S21" s="8">
        <f t="shared" si="7"/>
        <v>1</v>
      </c>
      <c r="T21" s="132">
        <f t="shared" si="7"/>
        <v>4</v>
      </c>
      <c r="U21">
        <f t="shared" si="8"/>
        <v>4</v>
      </c>
      <c r="AA21" t="s">
        <v>144</v>
      </c>
      <c r="AB21" s="627">
        <f>(AB17-1)*(AB16-1)*(AB17*Y13*AB19+AB18)^2/((AB16-1)*(AB17*Y13*AB19)^2+AB18^2)</f>
        <v>23.997525280220316</v>
      </c>
      <c r="AD21" s="23" t="e">
        <f ca="1">[1]!FTEXT(AB21)</f>
        <v>#NAME?</v>
      </c>
    </row>
    <row r="22" spans="7:30">
      <c r="G22" s="550" t="s">
        <v>887</v>
      </c>
      <c r="H22" s="550" t="s">
        <v>578</v>
      </c>
      <c r="I22" s="550" t="s">
        <v>186</v>
      </c>
      <c r="J22" s="550" t="s">
        <v>641</v>
      </c>
      <c r="K22" s="550" t="s">
        <v>388</v>
      </c>
      <c r="L22" s="550" t="s">
        <v>367</v>
      </c>
      <c r="M22" s="550" t="s">
        <v>888</v>
      </c>
      <c r="P22">
        <f t="shared" si="5"/>
        <v>4</v>
      </c>
      <c r="Q22" s="625">
        <f t="shared" si="6"/>
        <v>6</v>
      </c>
      <c r="R22" s="8">
        <f t="shared" si="7"/>
        <v>4</v>
      </c>
      <c r="S22" s="8">
        <f t="shared" si="7"/>
        <v>3</v>
      </c>
      <c r="T22" s="132">
        <f t="shared" si="7"/>
        <v>3</v>
      </c>
      <c r="U22">
        <f t="shared" si="8"/>
        <v>4</v>
      </c>
      <c r="AA22" t="s">
        <v>3097</v>
      </c>
      <c r="AB22" s="627">
        <f>MAX(1,ROUND(AB21,0))</f>
        <v>24</v>
      </c>
      <c r="AD22" s="23" t="e">
        <f ca="1">[1]!FTEXT(AB22)</f>
        <v>#NAME?</v>
      </c>
    </row>
    <row r="23" spans="7:30">
      <c r="G23" s="28" t="s">
        <v>390</v>
      </c>
      <c r="H23" s="28">
        <v>188.21875</v>
      </c>
      <c r="I23" s="28">
        <v>7</v>
      </c>
      <c r="J23" s="28">
        <v>26.888392857142858</v>
      </c>
      <c r="K23" s="28">
        <v>11.7866927592955</v>
      </c>
      <c r="L23" s="28">
        <v>5.0257154640603623E-6</v>
      </c>
      <c r="M23" s="28">
        <v>2.487577703722041</v>
      </c>
      <c r="P23">
        <f t="shared" si="5"/>
        <v>5</v>
      </c>
      <c r="Q23" s="625">
        <f t="shared" si="6"/>
        <v>6</v>
      </c>
      <c r="R23" s="8">
        <f t="shared" si="7"/>
        <v>5</v>
      </c>
      <c r="S23" s="8">
        <f t="shared" si="7"/>
        <v>5</v>
      </c>
      <c r="T23" s="132">
        <f t="shared" si="7"/>
        <v>6</v>
      </c>
      <c r="U23">
        <f t="shared" si="8"/>
        <v>5.5</v>
      </c>
      <c r="AA23" t="s">
        <v>3095</v>
      </c>
      <c r="AB23" s="627">
        <f>FINV(AB15/2,AB16-1,AB22)</f>
        <v>2.8738081880378892</v>
      </c>
      <c r="AD23" s="23" t="e">
        <f ca="1">[1]!FTEXT(AB23)</f>
        <v>#NAME?</v>
      </c>
    </row>
    <row r="24" spans="7:30">
      <c r="G24" s="28" t="s">
        <v>1010</v>
      </c>
      <c r="H24" s="28">
        <v>7.34375</v>
      </c>
      <c r="I24" s="28">
        <v>3</v>
      </c>
      <c r="J24" s="28">
        <v>2.4479166666666665</v>
      </c>
      <c r="K24" s="28">
        <v>1.0730593607305936</v>
      </c>
      <c r="L24" s="28">
        <v>0.3818394427683251</v>
      </c>
      <c r="M24" s="28">
        <v>3.0724669863968779</v>
      </c>
      <c r="P24">
        <f t="shared" si="5"/>
        <v>6</v>
      </c>
      <c r="Q24" s="625">
        <f t="shared" si="6"/>
        <v>7</v>
      </c>
      <c r="R24" s="8">
        <f t="shared" si="7"/>
        <v>5</v>
      </c>
      <c r="S24" s="8">
        <f t="shared" si="7"/>
        <v>6</v>
      </c>
      <c r="T24" s="132">
        <f t="shared" si="7"/>
        <v>2</v>
      </c>
      <c r="U24">
        <f t="shared" si="8"/>
        <v>5</v>
      </c>
      <c r="AA24" t="s">
        <v>3096</v>
      </c>
      <c r="AB24" s="544">
        <f>FINV(AB15/2,AB22,AB16-1)</f>
        <v>4.4149990650854747</v>
      </c>
      <c r="AD24" s="23" t="e">
        <f ca="1">[1]!FTEXT(AB24)</f>
        <v>#NAME?</v>
      </c>
    </row>
    <row r="25" spans="7:30">
      <c r="G25" s="28" t="s">
        <v>1009</v>
      </c>
      <c r="H25" s="28">
        <v>47.90625</v>
      </c>
      <c r="I25" s="28">
        <v>21</v>
      </c>
      <c r="J25" s="28">
        <v>2.28125</v>
      </c>
      <c r="K25" s="28"/>
      <c r="L25" s="28"/>
      <c r="M25" s="28"/>
      <c r="P25">
        <f t="shared" si="5"/>
        <v>7</v>
      </c>
      <c r="Q25" s="625">
        <f t="shared" si="6"/>
        <v>8</v>
      </c>
      <c r="R25" s="8">
        <f t="shared" si="7"/>
        <v>7</v>
      </c>
      <c r="S25" s="8">
        <f t="shared" si="7"/>
        <v>7</v>
      </c>
      <c r="T25" s="132">
        <f t="shared" si="7"/>
        <v>9</v>
      </c>
      <c r="U25">
        <f t="shared" si="8"/>
        <v>7.75</v>
      </c>
      <c r="AD25" s="23"/>
    </row>
    <row r="26" spans="7:30">
      <c r="G26" s="28"/>
      <c r="H26" s="28"/>
      <c r="I26" s="28"/>
      <c r="J26" s="28"/>
      <c r="K26" s="28"/>
      <c r="L26" s="28"/>
      <c r="M26" s="28"/>
      <c r="P26">
        <f t="shared" si="5"/>
        <v>8</v>
      </c>
      <c r="Q26" s="1075">
        <f t="shared" si="6"/>
        <v>9</v>
      </c>
      <c r="R26" s="1076">
        <f t="shared" si="7"/>
        <v>9</v>
      </c>
      <c r="S26" s="1076">
        <f t="shared" si="7"/>
        <v>9</v>
      </c>
      <c r="T26" s="1077">
        <f t="shared" si="7"/>
        <v>8</v>
      </c>
      <c r="U26">
        <f t="shared" si="8"/>
        <v>8.75</v>
      </c>
      <c r="AA26" t="s">
        <v>103</v>
      </c>
      <c r="AB26" s="1156">
        <f>AB16*(Z7-AB23*Z9)/(AB23*AB20+AB16*Z7)</f>
        <v>0.43449727446116848</v>
      </c>
      <c r="AD26" s="23" t="e">
        <f ca="1">[1]!FTEXT(AB26)</f>
        <v>#NAME?</v>
      </c>
    </row>
    <row r="27" spans="7:30" ht="15" thickBot="1">
      <c r="G27" s="31" t="s">
        <v>12</v>
      </c>
      <c r="H27" s="31">
        <v>243.46875</v>
      </c>
      <c r="I27" s="31">
        <v>31</v>
      </c>
      <c r="J27" s="31"/>
      <c r="K27" s="31"/>
      <c r="L27" s="31"/>
      <c r="M27" s="31"/>
      <c r="Q27">
        <f>AVERAGE(B5:B12)</f>
        <v>5.125</v>
      </c>
      <c r="R27">
        <f>AVERAGE(C5:C12)</f>
        <v>5.375</v>
      </c>
      <c r="S27">
        <f>AVERAGE(D5:D12)</f>
        <v>4.25</v>
      </c>
      <c r="T27">
        <f>AVERAGE(E5:E12)</f>
        <v>4.375</v>
      </c>
      <c r="U27">
        <f>AVERAGE(B5:E12)</f>
        <v>4.78125</v>
      </c>
      <c r="AA27" t="s">
        <v>104</v>
      </c>
      <c r="AB27" s="544">
        <f>AB16*(AB24*Z7-Z9)/(AB20+AB16*AB24*Z7)</f>
        <v>0.92670818441751546</v>
      </c>
      <c r="AD27" s="23" t="e">
        <f ca="1">[1]!FTEXT(AB27)</f>
        <v>#NAME?</v>
      </c>
    </row>
    <row r="28" spans="7:30">
      <c r="AD28" s="23"/>
    </row>
    <row r="29" spans="7:30">
      <c r="G29" t="s">
        <v>2790</v>
      </c>
      <c r="I29" s="756">
        <f>(J23-J25)/(J23+I24*J25+(I24+1)*(J24-J25)/(I23+1))</f>
        <v>0.72768878718535457</v>
      </c>
      <c r="P29" t="s">
        <v>2822</v>
      </c>
      <c r="AA29" t="s">
        <v>3151</v>
      </c>
      <c r="AB29" s="1178">
        <f>(Z7-Z9)/(Z7+(Z8-Z9)/(Y7+1))</f>
        <v>0.91445003594536312</v>
      </c>
      <c r="AD29" s="23" t="e">
        <f ca="1">[1]!FTEXT(AB29)</f>
        <v>#NAME?</v>
      </c>
    </row>
    <row r="30" spans="7:30">
      <c r="Q30" s="1155" t="str">
        <f>B4</f>
        <v>A</v>
      </c>
      <c r="R30" s="1155" t="str">
        <f>C4</f>
        <v>B</v>
      </c>
      <c r="S30" s="1155" t="str">
        <f>D4</f>
        <v>C</v>
      </c>
      <c r="T30" s="1155" t="str">
        <f>E4</f>
        <v>D</v>
      </c>
      <c r="AA30" t="s">
        <v>103</v>
      </c>
      <c r="AB30" s="627">
        <f>AB17*AB26/(1+Y8*AB26)</f>
        <v>0.75450196098018374</v>
      </c>
      <c r="AD30" s="23" t="e">
        <f ca="1">[1]!FTEXT(AB30)</f>
        <v>#NAME?</v>
      </c>
    </row>
    <row r="31" spans="7:30">
      <c r="G31" t="s">
        <v>2112</v>
      </c>
      <c r="I31" s="756" t="e">
        <f ca="1">[1]!ICC(B5:E12)</f>
        <v>#NAME?</v>
      </c>
      <c r="K31" t="s">
        <v>337</v>
      </c>
      <c r="L31" s="1156">
        <v>0.05</v>
      </c>
      <c r="P31">
        <f t="shared" ref="P31:P38" si="9">A5</f>
        <v>1</v>
      </c>
      <c r="Q31" s="1113" t="e">
        <f t="shared" ref="Q31:Q38" si="10">VAR(B5)</f>
        <v>#DIV/0!</v>
      </c>
      <c r="R31" s="1114" t="e">
        <f t="shared" ref="R31:T38" si="11">VAR(C5)</f>
        <v>#DIV/0!</v>
      </c>
      <c r="S31" s="1114" t="e">
        <f t="shared" si="11"/>
        <v>#DIV/0!</v>
      </c>
      <c r="T31" s="1115" t="e">
        <f t="shared" si="11"/>
        <v>#DIV/0!</v>
      </c>
      <c r="U31">
        <f t="shared" ref="U31:U38" si="12">VAR(B5:E5)</f>
        <v>0.66666666666666663</v>
      </c>
      <c r="AA31" t="s">
        <v>104</v>
      </c>
      <c r="AB31" s="544">
        <f>AB17*AB27/(1+Y8*AB27)</f>
        <v>0.98061126966850298</v>
      </c>
      <c r="AD31" s="23" t="e">
        <f ca="1">[1]!FTEXT(AB31)</f>
        <v>#NAME?</v>
      </c>
    </row>
    <row r="32" spans="7:30">
      <c r="K32" s="126" t="s">
        <v>106</v>
      </c>
      <c r="L32" s="627">
        <f>I23+1</f>
        <v>8</v>
      </c>
      <c r="P32">
        <f t="shared" si="9"/>
        <v>2</v>
      </c>
      <c r="Q32" s="625" t="e">
        <f t="shared" si="10"/>
        <v>#DIV/0!</v>
      </c>
      <c r="R32" s="8" t="e">
        <f t="shared" si="11"/>
        <v>#DIV/0!</v>
      </c>
      <c r="S32" s="8" t="e">
        <f t="shared" si="11"/>
        <v>#DIV/0!</v>
      </c>
      <c r="T32" s="132" t="e">
        <f t="shared" si="11"/>
        <v>#DIV/0!</v>
      </c>
      <c r="U32">
        <f t="shared" si="12"/>
        <v>0.91666666666666663</v>
      </c>
    </row>
    <row r="33" spans="11:30">
      <c r="K33" s="126" t="s">
        <v>169</v>
      </c>
      <c r="L33" s="627">
        <f>I24+1</f>
        <v>4</v>
      </c>
      <c r="P33">
        <f t="shared" si="9"/>
        <v>3</v>
      </c>
      <c r="Q33" s="625" t="e">
        <f t="shared" si="10"/>
        <v>#DIV/0!</v>
      </c>
      <c r="R33" s="8" t="e">
        <f t="shared" si="11"/>
        <v>#DIV/0!</v>
      </c>
      <c r="S33" s="8" t="e">
        <f t="shared" si="11"/>
        <v>#DIV/0!</v>
      </c>
      <c r="T33" s="132" t="e">
        <f t="shared" si="11"/>
        <v>#DIV/0!</v>
      </c>
      <c r="U33">
        <f t="shared" si="12"/>
        <v>8.6666666666666661</v>
      </c>
      <c r="AA33" t="s">
        <v>3164</v>
      </c>
    </row>
    <row r="34" spans="11:30">
      <c r="K34" t="s">
        <v>2684</v>
      </c>
      <c r="L34" s="627">
        <f>L32*(1+(L33-1)*I29)-L33*I29</f>
        <v>22.553775743707089</v>
      </c>
      <c r="P34">
        <f t="shared" si="9"/>
        <v>4</v>
      </c>
      <c r="Q34" s="625" t="e">
        <f t="shared" si="10"/>
        <v>#DIV/0!</v>
      </c>
      <c r="R34" s="8" t="e">
        <f t="shared" si="11"/>
        <v>#DIV/0!</v>
      </c>
      <c r="S34" s="8" t="e">
        <f t="shared" si="11"/>
        <v>#DIV/0!</v>
      </c>
      <c r="T34" s="132" t="e">
        <f t="shared" si="11"/>
        <v>#DIV/0!</v>
      </c>
      <c r="U34">
        <f t="shared" si="12"/>
        <v>2</v>
      </c>
    </row>
    <row r="35" spans="11:30">
      <c r="K35" t="s">
        <v>3093</v>
      </c>
      <c r="L35" s="627">
        <f>K24</f>
        <v>1.0730593607305936</v>
      </c>
      <c r="P35">
        <f t="shared" si="9"/>
        <v>5</v>
      </c>
      <c r="Q35" s="625" t="e">
        <f t="shared" si="10"/>
        <v>#DIV/0!</v>
      </c>
      <c r="R35" s="8" t="e">
        <f t="shared" si="11"/>
        <v>#DIV/0!</v>
      </c>
      <c r="S35" s="8" t="e">
        <f t="shared" si="11"/>
        <v>#DIV/0!</v>
      </c>
      <c r="T35" s="132" t="e">
        <f t="shared" si="11"/>
        <v>#DIV/0!</v>
      </c>
      <c r="U35">
        <f t="shared" si="12"/>
        <v>0.33333333333333331</v>
      </c>
      <c r="AA35" t="s">
        <v>3167</v>
      </c>
      <c r="AB35" s="1178" t="e">
        <f ca="1">[1]!ICC(B5:E12,2,1)</f>
        <v>#NAME?</v>
      </c>
      <c r="AD35" s="23" t="s">
        <v>3168</v>
      </c>
    </row>
    <row r="36" spans="11:30">
      <c r="K36" t="s">
        <v>3094</v>
      </c>
      <c r="L36" s="627">
        <f>L33*J24+(L32*L33-L33-L32)*J25</f>
        <v>55.416666666666664</v>
      </c>
      <c r="P36">
        <f t="shared" si="9"/>
        <v>6</v>
      </c>
      <c r="Q36" s="625" t="e">
        <f t="shared" si="10"/>
        <v>#DIV/0!</v>
      </c>
      <c r="R36" s="8" t="e">
        <f t="shared" si="11"/>
        <v>#DIV/0!</v>
      </c>
      <c r="S36" s="8" t="e">
        <f t="shared" si="11"/>
        <v>#DIV/0!</v>
      </c>
      <c r="T36" s="132" t="e">
        <f t="shared" si="11"/>
        <v>#DIV/0!</v>
      </c>
      <c r="U36">
        <f t="shared" si="12"/>
        <v>4.666666666666667</v>
      </c>
      <c r="AA36" t="s">
        <v>3151</v>
      </c>
      <c r="AB36" s="544" t="e">
        <f ca="1">[1]!ICC(B5:E12,2,4)</f>
        <v>#NAME?</v>
      </c>
      <c r="AD36" s="23" t="s">
        <v>3169</v>
      </c>
    </row>
    <row r="37" spans="11:30">
      <c r="K37" t="s">
        <v>144</v>
      </c>
      <c r="L37" s="627">
        <f>(L33-1)*(L32-1)*(L33*I29*L35+L34)^2/((L32-1)*(L33*I29*L35)^2+L34^2)</f>
        <v>23.997525280220316</v>
      </c>
      <c r="P37">
        <f t="shared" si="9"/>
        <v>7</v>
      </c>
      <c r="Q37" s="625" t="e">
        <f t="shared" si="10"/>
        <v>#DIV/0!</v>
      </c>
      <c r="R37" s="8" t="e">
        <f t="shared" si="11"/>
        <v>#DIV/0!</v>
      </c>
      <c r="S37" s="8" t="e">
        <f t="shared" si="11"/>
        <v>#DIV/0!</v>
      </c>
      <c r="T37" s="132" t="e">
        <f t="shared" si="11"/>
        <v>#DIV/0!</v>
      </c>
      <c r="U37">
        <f t="shared" si="12"/>
        <v>0.91666666666666663</v>
      </c>
    </row>
    <row r="38" spans="11:30">
      <c r="K38" t="s">
        <v>3097</v>
      </c>
      <c r="L38" s="627">
        <f>MAX(1,ROUND(L37,0))</f>
        <v>24</v>
      </c>
      <c r="P38">
        <f t="shared" si="9"/>
        <v>8</v>
      </c>
      <c r="Q38" s="1075" t="e">
        <f t="shared" si="10"/>
        <v>#DIV/0!</v>
      </c>
      <c r="R38" s="1076" t="e">
        <f t="shared" si="11"/>
        <v>#DIV/0!</v>
      </c>
      <c r="S38" s="1076" t="e">
        <f t="shared" si="11"/>
        <v>#DIV/0!</v>
      </c>
      <c r="T38" s="1077" t="e">
        <f t="shared" si="11"/>
        <v>#DIV/0!</v>
      </c>
      <c r="U38">
        <f t="shared" si="12"/>
        <v>0.25</v>
      </c>
      <c r="AA38" t="e">
        <f t="array" aca="1" ref="AA38:AB40" ca="1">[1]!ICC(B5:E12,2,1,TRUE)</f>
        <v>#NAME?</v>
      </c>
      <c r="AB38" s="1235" t="e">
        <f ca="1"/>
        <v>#NAME?</v>
      </c>
      <c r="AD38" t="e">
        <f ca="1">[1]!FTEXT(AB38)</f>
        <v>#NAME?</v>
      </c>
    </row>
    <row r="39" spans="11:30">
      <c r="K39" t="s">
        <v>3095</v>
      </c>
      <c r="L39" s="627">
        <f>FINV(L31/2,L32-1,L38)</f>
        <v>2.8738081880378892</v>
      </c>
      <c r="Q39">
        <f>VAR(B5:B12)</f>
        <v>9.5535714285714288</v>
      </c>
      <c r="R39">
        <f>VAR(C5:C12)</f>
        <v>5.9821428571428568</v>
      </c>
      <c r="S39">
        <f>VAR(D5:D12)</f>
        <v>9.3571428571428577</v>
      </c>
      <c r="T39">
        <f>VAR(E5:E12)</f>
        <v>8.8392857142857135</v>
      </c>
      <c r="U39">
        <f>VAR(B5:E12)</f>
        <v>7.85383064516129</v>
      </c>
      <c r="AA39" t="e">
        <f ca="1"/>
        <v>#NAME?</v>
      </c>
      <c r="AB39" s="627" t="e">
        <f ca="1"/>
        <v>#NAME?</v>
      </c>
    </row>
    <row r="40" spans="11:30">
      <c r="K40" t="s">
        <v>3096</v>
      </c>
      <c r="L40" s="544">
        <f>FINV(L31/2,L39,L32-1)</f>
        <v>6.5415202970956496</v>
      </c>
      <c r="AA40" t="e">
        <f ca="1"/>
        <v>#NAME?</v>
      </c>
      <c r="AB40" s="544" t="e">
        <f ca="1"/>
        <v>#NAME?</v>
      </c>
    </row>
    <row r="42" spans="11:30">
      <c r="K42" t="s">
        <v>103</v>
      </c>
      <c r="L42" s="1156">
        <f>L32*(J23-L39*J25)/(L37+L39*L36+L32*J23)</f>
        <v>0.40832291193154907</v>
      </c>
      <c r="AA42" t="e">
        <f t="array" aca="1" ref="AA42:AB44" ca="1">[1]!ICC(B5:E12,2,4,TRUE)</f>
        <v>#NAME?</v>
      </c>
      <c r="AB42" s="1235" t="e">
        <f ca="1"/>
        <v>#NAME?</v>
      </c>
      <c r="AD42" t="e">
        <f ca="1">[1]!FTEXT(AB42)</f>
        <v>#NAME?</v>
      </c>
    </row>
    <row r="43" spans="11:30">
      <c r="K43" t="s">
        <v>104</v>
      </c>
      <c r="L43" s="544">
        <f>L32*(L40*J23-J25)/(L36+L32*L40*J23)</f>
        <v>0.94963115904175321</v>
      </c>
      <c r="AA43" t="e">
        <f ca="1"/>
        <v>#NAME?</v>
      </c>
      <c r="AB43" s="627" t="e">
        <f ca="1"/>
        <v>#NAME?</v>
      </c>
    </row>
    <row r="44" spans="11:30">
      <c r="AA44" t="e">
        <f ca="1"/>
        <v>#NAME?</v>
      </c>
      <c r="AB44" s="544" t="e">
        <f ca="1"/>
        <v>#NAME?</v>
      </c>
    </row>
  </sheetData>
  <mergeCells count="1">
    <mergeCell ref="B3:E3"/>
  </mergeCell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sheetPr codeName="Sheet283"/>
  <dimension ref="A1:AD58"/>
  <sheetViews>
    <sheetView workbookViewId="0"/>
  </sheetViews>
  <sheetFormatPr defaultRowHeight="14.4"/>
  <cols>
    <col min="1" max="1" width="7.88671875" customWidth="1"/>
    <col min="2" max="6" width="5.88671875" customWidth="1"/>
    <col min="7" max="7" width="18.33203125" customWidth="1"/>
    <col min="29" max="29" width="4.33203125" customWidth="1"/>
    <col min="30" max="30" width="76.6640625" customWidth="1"/>
  </cols>
  <sheetData>
    <row r="1" spans="1:30">
      <c r="A1" s="1" t="s">
        <v>3141</v>
      </c>
      <c r="P1" t="s">
        <v>2116</v>
      </c>
    </row>
    <row r="3" spans="1:30">
      <c r="B3" s="1552" t="s">
        <v>1446</v>
      </c>
      <c r="C3" s="1552"/>
      <c r="D3" s="1552"/>
      <c r="E3" s="1552"/>
      <c r="G3" t="s">
        <v>1008</v>
      </c>
      <c r="P3" t="s">
        <v>95</v>
      </c>
      <c r="W3" t="s">
        <v>2827</v>
      </c>
    </row>
    <row r="4" spans="1:30" ht="15" thickBot="1">
      <c r="A4" s="1172" t="s">
        <v>1447</v>
      </c>
      <c r="B4" s="201" t="s">
        <v>526</v>
      </c>
      <c r="C4" s="1172" t="s">
        <v>384</v>
      </c>
      <c r="D4" s="1172" t="s">
        <v>385</v>
      </c>
      <c r="E4" s="1172" t="s">
        <v>386</v>
      </c>
    </row>
    <row r="5" spans="1:30" ht="15" thickBot="1">
      <c r="A5" s="1172">
        <v>1</v>
      </c>
      <c r="B5" s="610">
        <v>1</v>
      </c>
      <c r="C5" s="616">
        <v>2</v>
      </c>
      <c r="D5" s="616">
        <v>0</v>
      </c>
      <c r="E5" s="617">
        <v>1</v>
      </c>
      <c r="G5" s="1175" t="s">
        <v>194</v>
      </c>
      <c r="H5" s="1175" t="s">
        <v>88</v>
      </c>
      <c r="I5" s="1175" t="s">
        <v>87</v>
      </c>
      <c r="J5" s="1175" t="s">
        <v>886</v>
      </c>
      <c r="K5" s="1175" t="s">
        <v>223</v>
      </c>
      <c r="P5" t="s">
        <v>2821</v>
      </c>
      <c r="W5" t="s">
        <v>695</v>
      </c>
      <c r="AA5" s="1172" t="s">
        <v>116</v>
      </c>
      <c r="AB5" s="1172">
        <v>0.05</v>
      </c>
    </row>
    <row r="6" spans="1:30" ht="15" thickTop="1">
      <c r="A6" s="1172">
        <f>A5+1</f>
        <v>2</v>
      </c>
      <c r="B6" s="360">
        <v>1</v>
      </c>
      <c r="C6" s="1174">
        <v>3</v>
      </c>
      <c r="D6" s="1174">
        <v>3</v>
      </c>
      <c r="E6" s="618">
        <v>2</v>
      </c>
      <c r="G6" s="28">
        <v>1</v>
      </c>
      <c r="H6" s="28">
        <v>4</v>
      </c>
      <c r="I6" s="28">
        <v>4</v>
      </c>
      <c r="J6" s="28">
        <v>1</v>
      </c>
      <c r="K6" s="28">
        <v>0.66666666666666663</v>
      </c>
      <c r="Q6" s="1172" t="str">
        <f>B4</f>
        <v>A</v>
      </c>
      <c r="R6" s="1172" t="str">
        <f>C4</f>
        <v>B</v>
      </c>
      <c r="S6" s="1172" t="str">
        <f>D4</f>
        <v>C</v>
      </c>
      <c r="T6" s="1172" t="str">
        <f>E4</f>
        <v>D</v>
      </c>
      <c r="W6" s="1151"/>
      <c r="X6" s="1151" t="s">
        <v>578</v>
      </c>
      <c r="Y6" s="1151" t="s">
        <v>186</v>
      </c>
      <c r="Z6" s="1151" t="s">
        <v>641</v>
      </c>
      <c r="AA6" s="1151" t="s">
        <v>388</v>
      </c>
      <c r="AB6" s="1151" t="s">
        <v>200</v>
      </c>
      <c r="AC6" s="1151" t="s">
        <v>948</v>
      </c>
    </row>
    <row r="7" spans="1:30">
      <c r="A7" s="1172">
        <f t="shared" ref="A7:A12" si="0">A6+1</f>
        <v>3</v>
      </c>
      <c r="B7" s="87">
        <v>3</v>
      </c>
      <c r="C7" s="1174">
        <v>8</v>
      </c>
      <c r="D7" s="1174">
        <v>1</v>
      </c>
      <c r="E7" s="618">
        <v>4</v>
      </c>
      <c r="G7" s="28">
        <v>2</v>
      </c>
      <c r="H7" s="28">
        <v>4</v>
      </c>
      <c r="I7" s="28">
        <v>9</v>
      </c>
      <c r="J7" s="28">
        <v>2.25</v>
      </c>
      <c r="K7" s="28">
        <v>0.91666666666666663</v>
      </c>
      <c r="P7">
        <f t="shared" ref="P7:P14" si="1">A5</f>
        <v>1</v>
      </c>
      <c r="Q7" s="1113">
        <f t="shared" ref="Q7:T14" si="2">COUNT(B5)</f>
        <v>1</v>
      </c>
      <c r="R7" s="1114">
        <f t="shared" si="2"/>
        <v>1</v>
      </c>
      <c r="S7" s="1114">
        <f t="shared" si="2"/>
        <v>1</v>
      </c>
      <c r="T7" s="1115">
        <f t="shared" si="2"/>
        <v>1</v>
      </c>
      <c r="U7">
        <f t="shared" ref="U7:U14" si="3">COUNT(B5:E5)</f>
        <v>4</v>
      </c>
      <c r="W7" t="s">
        <v>390</v>
      </c>
      <c r="X7">
        <f>DEVSQ(U19:U26)*U7</f>
        <v>188.21875</v>
      </c>
      <c r="Y7">
        <f>COUNT(U19:U26)-1</f>
        <v>7</v>
      </c>
      <c r="Z7">
        <f>X7/Y7</f>
        <v>26.888392857142858</v>
      </c>
      <c r="AA7">
        <f>Z7/Z9</f>
        <v>11.7866927592955</v>
      </c>
      <c r="AB7">
        <f>FDIST(AA7,Y7,Y9)</f>
        <v>5.0257154640603623E-6</v>
      </c>
      <c r="AC7" s="1172" t="str">
        <f>IF(AB7&lt;AB5,"yes","no")</f>
        <v>yes</v>
      </c>
    </row>
    <row r="8" spans="1:30">
      <c r="A8" s="1172">
        <f t="shared" si="0"/>
        <v>4</v>
      </c>
      <c r="B8" s="87">
        <v>6</v>
      </c>
      <c r="C8" s="1174">
        <v>4</v>
      </c>
      <c r="D8" s="1174">
        <v>3</v>
      </c>
      <c r="E8" s="618">
        <v>3</v>
      </c>
      <c r="G8" s="28">
        <v>3</v>
      </c>
      <c r="H8" s="28">
        <v>4</v>
      </c>
      <c r="I8" s="28">
        <v>16</v>
      </c>
      <c r="J8" s="28">
        <v>4</v>
      </c>
      <c r="K8" s="28">
        <v>8.6666666666666661</v>
      </c>
      <c r="P8">
        <f t="shared" si="1"/>
        <v>2</v>
      </c>
      <c r="Q8" s="625">
        <f t="shared" si="2"/>
        <v>1</v>
      </c>
      <c r="R8" s="8">
        <f t="shared" si="2"/>
        <v>1</v>
      </c>
      <c r="S8" s="8">
        <f t="shared" si="2"/>
        <v>1</v>
      </c>
      <c r="T8" s="132">
        <f t="shared" si="2"/>
        <v>1</v>
      </c>
      <c r="U8">
        <f t="shared" si="3"/>
        <v>4</v>
      </c>
      <c r="W8" t="s">
        <v>1010</v>
      </c>
      <c r="X8">
        <f>DEVSQ(Q27:T27)*Q15</f>
        <v>7.34375</v>
      </c>
      <c r="Y8">
        <f>COUNT(Q27:T27)-1</f>
        <v>3</v>
      </c>
      <c r="Z8">
        <f>X8/Y8</f>
        <v>2.4479166666666665</v>
      </c>
      <c r="AA8">
        <f>Z8/Z9</f>
        <v>1.0730593607305936</v>
      </c>
      <c r="AB8">
        <f>FDIST(AA8,Y8,Y9)</f>
        <v>0.3818394427683251</v>
      </c>
      <c r="AC8" s="1172" t="str">
        <f>IF(AB8&lt;AB5,"yes","no")</f>
        <v>no</v>
      </c>
    </row>
    <row r="9" spans="1:30">
      <c r="A9" s="1172">
        <f t="shared" si="0"/>
        <v>5</v>
      </c>
      <c r="B9" s="87">
        <v>6</v>
      </c>
      <c r="C9" s="1174">
        <v>5</v>
      </c>
      <c r="D9" s="1174">
        <v>5</v>
      </c>
      <c r="E9" s="618">
        <v>6</v>
      </c>
      <c r="G9" s="28">
        <v>4</v>
      </c>
      <c r="H9" s="28">
        <v>4</v>
      </c>
      <c r="I9" s="28">
        <v>16</v>
      </c>
      <c r="J9" s="28">
        <v>4</v>
      </c>
      <c r="K9" s="28">
        <v>2</v>
      </c>
      <c r="P9">
        <f t="shared" si="1"/>
        <v>3</v>
      </c>
      <c r="Q9" s="625">
        <f t="shared" si="2"/>
        <v>1</v>
      </c>
      <c r="R9" s="8">
        <f t="shared" si="2"/>
        <v>1</v>
      </c>
      <c r="S9" s="8">
        <f t="shared" si="2"/>
        <v>1</v>
      </c>
      <c r="T9" s="132">
        <f t="shared" si="2"/>
        <v>1</v>
      </c>
      <c r="U9">
        <f t="shared" si="3"/>
        <v>4</v>
      </c>
      <c r="W9" t="s">
        <v>1009</v>
      </c>
      <c r="X9">
        <f>X11-X7-X8</f>
        <v>47.90625</v>
      </c>
      <c r="Y9">
        <f>Y8*Y7</f>
        <v>21</v>
      </c>
      <c r="Z9">
        <f>X9/Y9</f>
        <v>2.28125</v>
      </c>
    </row>
    <row r="10" spans="1:30">
      <c r="A10" s="1172">
        <f t="shared" si="0"/>
        <v>6</v>
      </c>
      <c r="B10" s="87">
        <v>7</v>
      </c>
      <c r="C10" s="1174">
        <v>5</v>
      </c>
      <c r="D10" s="1174">
        <v>6</v>
      </c>
      <c r="E10" s="618">
        <v>2</v>
      </c>
      <c r="G10" s="28">
        <v>5</v>
      </c>
      <c r="H10" s="28">
        <v>4</v>
      </c>
      <c r="I10" s="28">
        <v>22</v>
      </c>
      <c r="J10" s="28">
        <v>5.5</v>
      </c>
      <c r="K10" s="28">
        <v>0.33333333333333331</v>
      </c>
      <c r="P10">
        <f t="shared" si="1"/>
        <v>4</v>
      </c>
      <c r="Q10" s="625">
        <f t="shared" si="2"/>
        <v>1</v>
      </c>
      <c r="R10" s="8">
        <f t="shared" si="2"/>
        <v>1</v>
      </c>
      <c r="S10" s="8">
        <f t="shared" si="2"/>
        <v>1</v>
      </c>
      <c r="T10" s="132">
        <f t="shared" si="2"/>
        <v>1</v>
      </c>
      <c r="U10">
        <f t="shared" si="3"/>
        <v>4</v>
      </c>
    </row>
    <row r="11" spans="1:30">
      <c r="A11" s="1172">
        <f t="shared" si="0"/>
        <v>7</v>
      </c>
      <c r="B11" s="87">
        <v>8</v>
      </c>
      <c r="C11" s="1174">
        <v>7</v>
      </c>
      <c r="D11" s="1174">
        <v>7</v>
      </c>
      <c r="E11" s="618">
        <v>9</v>
      </c>
      <c r="G11" s="28">
        <v>6</v>
      </c>
      <c r="H11" s="28">
        <v>4</v>
      </c>
      <c r="I11" s="28">
        <v>20</v>
      </c>
      <c r="J11" s="28">
        <v>5</v>
      </c>
      <c r="K11" s="28">
        <v>4.666666666666667</v>
      </c>
      <c r="P11">
        <f t="shared" si="1"/>
        <v>5</v>
      </c>
      <c r="Q11" s="625">
        <f t="shared" si="2"/>
        <v>1</v>
      </c>
      <c r="R11" s="8">
        <f t="shared" si="2"/>
        <v>1</v>
      </c>
      <c r="S11" s="8">
        <f t="shared" si="2"/>
        <v>1</v>
      </c>
      <c r="T11" s="132">
        <f t="shared" si="2"/>
        <v>1</v>
      </c>
      <c r="U11">
        <f t="shared" si="3"/>
        <v>4</v>
      </c>
      <c r="W11" s="1078" t="s">
        <v>12</v>
      </c>
      <c r="X11" s="1078">
        <f>Z11*Y11</f>
        <v>243.46875</v>
      </c>
      <c r="Y11" s="1078">
        <f>U15-1</f>
        <v>31</v>
      </c>
      <c r="Z11" s="1078">
        <f>U39</f>
        <v>7.85383064516129</v>
      </c>
      <c r="AA11" s="1078"/>
      <c r="AB11" s="1078"/>
      <c r="AC11" s="1078"/>
    </row>
    <row r="12" spans="1:30">
      <c r="A12" s="1172">
        <f t="shared" si="0"/>
        <v>8</v>
      </c>
      <c r="B12" s="560">
        <v>9</v>
      </c>
      <c r="C12" s="1173">
        <v>9</v>
      </c>
      <c r="D12" s="1173">
        <v>9</v>
      </c>
      <c r="E12" s="536">
        <v>8</v>
      </c>
      <c r="G12" s="28">
        <v>7</v>
      </c>
      <c r="H12" s="28">
        <v>4</v>
      </c>
      <c r="I12" s="28">
        <v>31</v>
      </c>
      <c r="J12" s="28">
        <v>7.75</v>
      </c>
      <c r="K12" s="28">
        <v>0.91666666666666663</v>
      </c>
      <c r="P12">
        <f t="shared" si="1"/>
        <v>6</v>
      </c>
      <c r="Q12" s="625">
        <f t="shared" si="2"/>
        <v>1</v>
      </c>
      <c r="R12" s="8">
        <f t="shared" si="2"/>
        <v>1</v>
      </c>
      <c r="S12" s="8">
        <f t="shared" si="2"/>
        <v>1</v>
      </c>
      <c r="T12" s="132">
        <f t="shared" si="2"/>
        <v>1</v>
      </c>
      <c r="U12">
        <f t="shared" si="3"/>
        <v>4</v>
      </c>
    </row>
    <row r="13" spans="1:30">
      <c r="G13" s="28">
        <v>8</v>
      </c>
      <c r="H13" s="28">
        <v>4</v>
      </c>
      <c r="I13" s="28">
        <v>35</v>
      </c>
      <c r="J13" s="28">
        <v>8.75</v>
      </c>
      <c r="K13" s="28">
        <v>0.25</v>
      </c>
      <c r="P13">
        <f t="shared" si="1"/>
        <v>7</v>
      </c>
      <c r="Q13" s="625">
        <f t="shared" si="2"/>
        <v>1</v>
      </c>
      <c r="R13" s="8">
        <f t="shared" si="2"/>
        <v>1</v>
      </c>
      <c r="S13" s="8">
        <f t="shared" si="2"/>
        <v>1</v>
      </c>
      <c r="T13" s="132">
        <f t="shared" si="2"/>
        <v>1</v>
      </c>
      <c r="U13">
        <f t="shared" si="3"/>
        <v>4</v>
      </c>
      <c r="W13" t="s">
        <v>2996</v>
      </c>
      <c r="Y13" s="756">
        <f>(Z7-Z9)/(Z7+Y8*Z9+(Y8+1)*(Z8-Z9)/(Y7+1))</f>
        <v>0.72768878718535457</v>
      </c>
    </row>
    <row r="14" spans="1:30">
      <c r="G14" s="28"/>
      <c r="H14" s="28"/>
      <c r="I14" s="28"/>
      <c r="J14" s="28"/>
      <c r="K14" s="28"/>
      <c r="P14">
        <f t="shared" si="1"/>
        <v>8</v>
      </c>
      <c r="Q14" s="1075">
        <f t="shared" si="2"/>
        <v>1</v>
      </c>
      <c r="R14" s="1076">
        <f t="shared" si="2"/>
        <v>1</v>
      </c>
      <c r="S14" s="1076">
        <f t="shared" si="2"/>
        <v>1</v>
      </c>
      <c r="T14" s="1077">
        <f t="shared" si="2"/>
        <v>1</v>
      </c>
      <c r="U14">
        <f t="shared" si="3"/>
        <v>4</v>
      </c>
    </row>
    <row r="15" spans="1:30">
      <c r="G15" s="28" t="s">
        <v>526</v>
      </c>
      <c r="H15" s="28">
        <v>8</v>
      </c>
      <c r="I15" s="28">
        <v>41</v>
      </c>
      <c r="J15" s="28">
        <v>5.125</v>
      </c>
      <c r="K15" s="28">
        <v>9.5535714285714288</v>
      </c>
      <c r="Q15">
        <f>COUNT(B5:B12)</f>
        <v>8</v>
      </c>
      <c r="R15">
        <f>COUNT(C5:C12)</f>
        <v>8</v>
      </c>
      <c r="S15">
        <f>COUNT(D5:D12)</f>
        <v>8</v>
      </c>
      <c r="T15">
        <f>COUNT(E5:E12)</f>
        <v>8</v>
      </c>
      <c r="U15">
        <f>COUNT(B5:E12)</f>
        <v>32</v>
      </c>
      <c r="AA15" t="s">
        <v>337</v>
      </c>
      <c r="AB15" s="1156">
        <v>0.05</v>
      </c>
    </row>
    <row r="16" spans="1:30">
      <c r="G16" s="28" t="s">
        <v>384</v>
      </c>
      <c r="H16" s="28">
        <v>8</v>
      </c>
      <c r="I16" s="28">
        <v>43</v>
      </c>
      <c r="J16" s="28">
        <v>5.375</v>
      </c>
      <c r="K16" s="28">
        <v>5.9821428571428568</v>
      </c>
      <c r="W16" t="s">
        <v>3090</v>
      </c>
      <c r="Y16" s="1156">
        <f>Z7-Z9</f>
        <v>24.607142857142858</v>
      </c>
      <c r="AA16" s="126" t="s">
        <v>106</v>
      </c>
      <c r="AB16" s="627">
        <f>Y7+1</f>
        <v>8</v>
      </c>
      <c r="AD16" s="23" t="s">
        <v>3102</v>
      </c>
    </row>
    <row r="17" spans="7:30">
      <c r="G17" s="28" t="s">
        <v>385</v>
      </c>
      <c r="H17" s="28">
        <v>8</v>
      </c>
      <c r="I17" s="28">
        <v>34</v>
      </c>
      <c r="J17" s="28">
        <v>4.25</v>
      </c>
      <c r="K17" s="28">
        <v>9.3571428571428577</v>
      </c>
      <c r="P17" t="s">
        <v>1031</v>
      </c>
      <c r="W17" t="s">
        <v>3091</v>
      </c>
      <c r="Y17" s="627">
        <f>(Y8+1)*Z9</f>
        <v>9.125</v>
      </c>
      <c r="AA17" s="126" t="s">
        <v>169</v>
      </c>
      <c r="AB17" s="627">
        <f>Y8+1</f>
        <v>4</v>
      </c>
      <c r="AD17" s="23" t="s">
        <v>3103</v>
      </c>
    </row>
    <row r="18" spans="7:30" ht="15" thickBot="1">
      <c r="G18" s="31" t="s">
        <v>386</v>
      </c>
      <c r="H18" s="31">
        <v>8</v>
      </c>
      <c r="I18" s="31">
        <v>35</v>
      </c>
      <c r="J18" s="31">
        <v>4.375</v>
      </c>
      <c r="K18" s="31">
        <v>8.8392857142857135</v>
      </c>
      <c r="Q18" s="1172" t="str">
        <f>B4</f>
        <v>A</v>
      </c>
      <c r="R18" s="1172" t="str">
        <f>C4</f>
        <v>B</v>
      </c>
      <c r="S18" s="1172" t="str">
        <f>D4</f>
        <v>C</v>
      </c>
      <c r="T18" s="1172" t="str">
        <f>E4</f>
        <v>D</v>
      </c>
      <c r="W18" t="s">
        <v>3092</v>
      </c>
      <c r="Y18" s="627">
        <f>(Y8+1)*(Z8-Z9)/(Y7+1)</f>
        <v>8.3333333333333259E-2</v>
      </c>
      <c r="AA18" t="s">
        <v>2684</v>
      </c>
      <c r="AB18" s="627">
        <f>AB16*(1+(AB17-1)*Y13)-AB17*Y13</f>
        <v>22.553775743707089</v>
      </c>
      <c r="AD18" s="23" t="s">
        <v>3105</v>
      </c>
    </row>
    <row r="19" spans="7:30">
      <c r="P19">
        <f t="shared" ref="P19:P26" si="4">A5</f>
        <v>1</v>
      </c>
      <c r="Q19" s="1113">
        <f t="shared" ref="Q19:T26" si="5">AVERAGE(B5)</f>
        <v>1</v>
      </c>
      <c r="R19" s="1114">
        <f t="shared" si="5"/>
        <v>2</v>
      </c>
      <c r="S19" s="1114">
        <f t="shared" si="5"/>
        <v>0</v>
      </c>
      <c r="T19" s="1115">
        <f t="shared" si="5"/>
        <v>1</v>
      </c>
      <c r="U19">
        <f t="shared" ref="U19:U26" si="6">AVERAGE(B5:E5)</f>
        <v>1</v>
      </c>
      <c r="W19" t="s">
        <v>3069</v>
      </c>
      <c r="Y19" s="627">
        <f>SUM(Y16:Y18)</f>
        <v>33.815476190476197</v>
      </c>
      <c r="AA19" t="s">
        <v>3093</v>
      </c>
      <c r="AB19" s="627">
        <f>AA8</f>
        <v>1.0730593607305936</v>
      </c>
      <c r="AD19" s="23" t="s">
        <v>3098</v>
      </c>
    </row>
    <row r="20" spans="7:30">
      <c r="P20">
        <f t="shared" si="4"/>
        <v>2</v>
      </c>
      <c r="Q20" s="625">
        <f t="shared" si="5"/>
        <v>1</v>
      </c>
      <c r="R20" s="8">
        <f t="shared" si="5"/>
        <v>3</v>
      </c>
      <c r="S20" s="8">
        <f t="shared" si="5"/>
        <v>3</v>
      </c>
      <c r="T20" s="132">
        <f t="shared" si="5"/>
        <v>2</v>
      </c>
      <c r="U20">
        <f t="shared" si="6"/>
        <v>2.25</v>
      </c>
      <c r="W20" t="s">
        <v>2996</v>
      </c>
      <c r="Y20" s="544">
        <f>Y16/Y19</f>
        <v>0.72768878718535457</v>
      </c>
      <c r="AA20" t="s">
        <v>3094</v>
      </c>
      <c r="AB20" s="627">
        <f>AB17*Z8+(AB16*AB17-AB17-AB16)*Z9</f>
        <v>55.416666666666664</v>
      </c>
      <c r="AD20" s="23" t="s">
        <v>3106</v>
      </c>
    </row>
    <row r="21" spans="7:30" ht="15" thickBot="1">
      <c r="G21" t="s">
        <v>695</v>
      </c>
      <c r="P21">
        <f t="shared" si="4"/>
        <v>3</v>
      </c>
      <c r="Q21" s="625">
        <f t="shared" si="5"/>
        <v>3</v>
      </c>
      <c r="R21" s="8">
        <f t="shared" si="5"/>
        <v>8</v>
      </c>
      <c r="S21" s="8">
        <f t="shared" si="5"/>
        <v>1</v>
      </c>
      <c r="T21" s="132">
        <f t="shared" si="5"/>
        <v>4</v>
      </c>
      <c r="U21">
        <f t="shared" si="6"/>
        <v>4</v>
      </c>
      <c r="AA21" t="s">
        <v>144</v>
      </c>
      <c r="AB21" s="627">
        <f>(AB17-1)*(AB16-1)*(AB17*Y13*AB19+AB18)^2/((AB16-1)*(AB17*Y13*AB19)^2+AB18^2)</f>
        <v>23.997525280220316</v>
      </c>
      <c r="AD21" s="23" t="s">
        <v>3104</v>
      </c>
    </row>
    <row r="22" spans="7:30">
      <c r="G22" s="1175" t="s">
        <v>887</v>
      </c>
      <c r="H22" s="1175" t="s">
        <v>578</v>
      </c>
      <c r="I22" s="1175" t="s">
        <v>186</v>
      </c>
      <c r="J22" s="1175" t="s">
        <v>641</v>
      </c>
      <c r="K22" s="1175" t="s">
        <v>388</v>
      </c>
      <c r="L22" s="1175" t="s">
        <v>367</v>
      </c>
      <c r="M22" s="1175" t="s">
        <v>888</v>
      </c>
      <c r="P22">
        <f t="shared" si="4"/>
        <v>4</v>
      </c>
      <c r="Q22" s="625">
        <f t="shared" si="5"/>
        <v>6</v>
      </c>
      <c r="R22" s="8">
        <f t="shared" si="5"/>
        <v>4</v>
      </c>
      <c r="S22" s="8">
        <f t="shared" si="5"/>
        <v>3</v>
      </c>
      <c r="T22" s="132">
        <f t="shared" si="5"/>
        <v>3</v>
      </c>
      <c r="U22">
        <f t="shared" si="6"/>
        <v>4</v>
      </c>
      <c r="AA22" t="s">
        <v>3097</v>
      </c>
      <c r="AB22" s="627">
        <f>MAX(1,ROUND(AB21,0))</f>
        <v>24</v>
      </c>
      <c r="AD22" s="23" t="s">
        <v>3099</v>
      </c>
    </row>
    <row r="23" spans="7:30">
      <c r="G23" s="28" t="s">
        <v>390</v>
      </c>
      <c r="H23" s="28">
        <v>188.21875</v>
      </c>
      <c r="I23" s="28">
        <v>7</v>
      </c>
      <c r="J23" s="28">
        <v>26.888392857142858</v>
      </c>
      <c r="K23" s="28">
        <v>11.7866927592955</v>
      </c>
      <c r="L23" s="28">
        <v>5.0257154640603623E-6</v>
      </c>
      <c r="M23" s="28">
        <v>2.487577703722041</v>
      </c>
      <c r="P23">
        <f t="shared" si="4"/>
        <v>5</v>
      </c>
      <c r="Q23" s="625">
        <f t="shared" si="5"/>
        <v>6</v>
      </c>
      <c r="R23" s="8">
        <f t="shared" si="5"/>
        <v>5</v>
      </c>
      <c r="S23" s="8">
        <f t="shared" si="5"/>
        <v>5</v>
      </c>
      <c r="T23" s="132">
        <f t="shared" si="5"/>
        <v>6</v>
      </c>
      <c r="U23">
        <f t="shared" si="6"/>
        <v>5.5</v>
      </c>
      <c r="AA23" t="s">
        <v>3095</v>
      </c>
      <c r="AB23" s="627">
        <f>FINV(AB15/2,AB16-1,AB22)</f>
        <v>2.8738081880378892</v>
      </c>
      <c r="AD23" s="23" t="s">
        <v>3100</v>
      </c>
    </row>
    <row r="24" spans="7:30">
      <c r="G24" s="28" t="s">
        <v>1010</v>
      </c>
      <c r="H24" s="28">
        <v>7.34375</v>
      </c>
      <c r="I24" s="28">
        <v>3</v>
      </c>
      <c r="J24" s="28">
        <v>2.4479166666666665</v>
      </c>
      <c r="K24" s="28">
        <v>1.0730593607305936</v>
      </c>
      <c r="L24" s="28">
        <v>0.3818394427683251</v>
      </c>
      <c r="M24" s="28">
        <v>3.0724669863968779</v>
      </c>
      <c r="P24">
        <f t="shared" si="4"/>
        <v>6</v>
      </c>
      <c r="Q24" s="625">
        <f t="shared" si="5"/>
        <v>7</v>
      </c>
      <c r="R24" s="8">
        <f t="shared" si="5"/>
        <v>5</v>
      </c>
      <c r="S24" s="8">
        <f t="shared" si="5"/>
        <v>6</v>
      </c>
      <c r="T24" s="132">
        <f t="shared" si="5"/>
        <v>2</v>
      </c>
      <c r="U24">
        <f t="shared" si="6"/>
        <v>5</v>
      </c>
      <c r="AA24" t="s">
        <v>3096</v>
      </c>
      <c r="AB24" s="544">
        <f>FINV(AB15/2,AB23,AB16-1)</f>
        <v>6.5415202970956496</v>
      </c>
      <c r="AD24" s="23" t="s">
        <v>3101</v>
      </c>
    </row>
    <row r="25" spans="7:30">
      <c r="G25" s="28" t="s">
        <v>1009</v>
      </c>
      <c r="H25" s="28">
        <v>47.90625</v>
      </c>
      <c r="I25" s="28">
        <v>21</v>
      </c>
      <c r="J25" s="28">
        <v>2.28125</v>
      </c>
      <c r="K25" s="28"/>
      <c r="L25" s="28"/>
      <c r="M25" s="28"/>
      <c r="P25">
        <f t="shared" si="4"/>
        <v>7</v>
      </c>
      <c r="Q25" s="625">
        <f t="shared" si="5"/>
        <v>8</v>
      </c>
      <c r="R25" s="8">
        <f t="shared" si="5"/>
        <v>7</v>
      </c>
      <c r="S25" s="8">
        <f t="shared" si="5"/>
        <v>7</v>
      </c>
      <c r="T25" s="132">
        <f t="shared" si="5"/>
        <v>9</v>
      </c>
      <c r="U25">
        <f t="shared" si="6"/>
        <v>7.75</v>
      </c>
    </row>
    <row r="26" spans="7:30">
      <c r="G26" s="28"/>
      <c r="H26" s="28"/>
      <c r="I26" s="28"/>
      <c r="J26" s="28"/>
      <c r="K26" s="28"/>
      <c r="L26" s="28"/>
      <c r="M26" s="28"/>
      <c r="P26">
        <f t="shared" si="4"/>
        <v>8</v>
      </c>
      <c r="Q26" s="1075">
        <f t="shared" si="5"/>
        <v>9</v>
      </c>
      <c r="R26" s="1076">
        <f t="shared" si="5"/>
        <v>9</v>
      </c>
      <c r="S26" s="1076">
        <f t="shared" si="5"/>
        <v>9</v>
      </c>
      <c r="T26" s="1077">
        <f t="shared" si="5"/>
        <v>8</v>
      </c>
      <c r="U26">
        <f t="shared" si="6"/>
        <v>8.75</v>
      </c>
      <c r="AA26" t="s">
        <v>103</v>
      </c>
      <c r="AB26" s="1156">
        <f>AB16*(Z7-AB23*Z9)/(AB21+AB23*AB20+AB16*Z7)</f>
        <v>0.40832291193154907</v>
      </c>
      <c r="AD26" s="23" t="s">
        <v>3107</v>
      </c>
    </row>
    <row r="27" spans="7:30" ht="15" thickBot="1">
      <c r="G27" s="31" t="s">
        <v>12</v>
      </c>
      <c r="H27" s="31">
        <v>243.46875</v>
      </c>
      <c r="I27" s="31">
        <v>31</v>
      </c>
      <c r="J27" s="31"/>
      <c r="K27" s="31"/>
      <c r="L27" s="31"/>
      <c r="M27" s="31"/>
      <c r="Q27">
        <f>AVERAGE(B5:B12)</f>
        <v>5.125</v>
      </c>
      <c r="R27">
        <f>AVERAGE(C5:C12)</f>
        <v>5.375</v>
      </c>
      <c r="S27">
        <f>AVERAGE(D5:D12)</f>
        <v>4.25</v>
      </c>
      <c r="T27">
        <f>AVERAGE(E5:E12)</f>
        <v>4.375</v>
      </c>
      <c r="U27">
        <f>AVERAGE(B5:E12)</f>
        <v>4.78125</v>
      </c>
      <c r="AA27" t="s">
        <v>104</v>
      </c>
      <c r="AB27" s="544">
        <f>AB16*(AB24*Z7-Z9)/(AB20+AB16*AB24*Z7)</f>
        <v>0.94963115904175321</v>
      </c>
      <c r="AD27" s="23" t="s">
        <v>3108</v>
      </c>
    </row>
    <row r="29" spans="7:30">
      <c r="H29" t="s">
        <v>3142</v>
      </c>
      <c r="I29" s="756">
        <f>(J23-J25)/(J23+((H12-1)*J25))</f>
        <v>0.72948650079407085</v>
      </c>
      <c r="K29" s="23" t="s">
        <v>3143</v>
      </c>
      <c r="P29" t="s">
        <v>2822</v>
      </c>
    </row>
    <row r="30" spans="7:30">
      <c r="Q30" s="1172" t="str">
        <f>B4</f>
        <v>A</v>
      </c>
      <c r="R30" s="1172" t="str">
        <f>C4</f>
        <v>B</v>
      </c>
      <c r="S30" s="1172" t="str">
        <f>D4</f>
        <v>C</v>
      </c>
      <c r="T30" s="1172" t="str">
        <f>E4</f>
        <v>D</v>
      </c>
    </row>
    <row r="31" spans="7:30">
      <c r="H31" t="s">
        <v>337</v>
      </c>
      <c r="I31" s="1156">
        <v>0.05</v>
      </c>
      <c r="P31">
        <f t="shared" ref="P31:P38" si="7">A5</f>
        <v>1</v>
      </c>
      <c r="Q31" s="1113" t="e">
        <f t="shared" ref="Q31:T38" si="8">VAR(B5)</f>
        <v>#DIV/0!</v>
      </c>
      <c r="R31" s="1114" t="e">
        <f t="shared" si="8"/>
        <v>#DIV/0!</v>
      </c>
      <c r="S31" s="1114" t="e">
        <f t="shared" si="8"/>
        <v>#DIV/0!</v>
      </c>
      <c r="T31" s="1115" t="e">
        <f t="shared" si="8"/>
        <v>#DIV/0!</v>
      </c>
      <c r="U31">
        <f t="shared" ref="U31:U38" si="9">VAR(B5:E5)</f>
        <v>0.66666666666666663</v>
      </c>
    </row>
    <row r="32" spans="7:30">
      <c r="H32" t="s">
        <v>169</v>
      </c>
      <c r="I32" s="627">
        <f>I24+1</f>
        <v>4</v>
      </c>
      <c r="K32" s="23" t="s">
        <v>3103</v>
      </c>
      <c r="P32">
        <f t="shared" si="7"/>
        <v>2</v>
      </c>
      <c r="Q32" s="625" t="e">
        <f t="shared" si="8"/>
        <v>#DIV/0!</v>
      </c>
      <c r="R32" s="8" t="e">
        <f t="shared" si="8"/>
        <v>#DIV/0!</v>
      </c>
      <c r="S32" s="8" t="e">
        <f t="shared" si="8"/>
        <v>#DIV/0!</v>
      </c>
      <c r="T32" s="132" t="e">
        <f t="shared" si="8"/>
        <v>#DIV/0!</v>
      </c>
      <c r="U32">
        <f t="shared" si="9"/>
        <v>0.91666666666666663</v>
      </c>
    </row>
    <row r="33" spans="8:21">
      <c r="H33" t="s">
        <v>3144</v>
      </c>
      <c r="I33" s="627">
        <f>I23</f>
        <v>7</v>
      </c>
      <c r="K33" s="23" t="s">
        <v>3145</v>
      </c>
      <c r="P33">
        <f t="shared" si="7"/>
        <v>3</v>
      </c>
      <c r="Q33" s="625" t="e">
        <f t="shared" si="8"/>
        <v>#DIV/0!</v>
      </c>
      <c r="R33" s="8" t="e">
        <f t="shared" si="8"/>
        <v>#DIV/0!</v>
      </c>
      <c r="S33" s="8" t="e">
        <f t="shared" si="8"/>
        <v>#DIV/0!</v>
      </c>
      <c r="T33" s="132" t="e">
        <f t="shared" si="8"/>
        <v>#DIV/0!</v>
      </c>
      <c r="U33">
        <f t="shared" si="9"/>
        <v>8.6666666666666661</v>
      </c>
    </row>
    <row r="34" spans="8:21">
      <c r="H34" t="s">
        <v>1214</v>
      </c>
      <c r="I34" s="627">
        <f>I25</f>
        <v>21</v>
      </c>
      <c r="K34" s="23" t="s">
        <v>3146</v>
      </c>
      <c r="P34">
        <f t="shared" si="7"/>
        <v>4</v>
      </c>
      <c r="Q34" s="625" t="e">
        <f t="shared" si="8"/>
        <v>#DIV/0!</v>
      </c>
      <c r="R34" s="8" t="e">
        <f t="shared" si="8"/>
        <v>#DIV/0!</v>
      </c>
      <c r="S34" s="8" t="e">
        <f t="shared" si="8"/>
        <v>#DIV/0!</v>
      </c>
      <c r="T34" s="132" t="e">
        <f t="shared" si="8"/>
        <v>#DIV/0!</v>
      </c>
      <c r="U34">
        <f t="shared" si="9"/>
        <v>2</v>
      </c>
    </row>
    <row r="35" spans="8:21">
      <c r="H35" t="s">
        <v>388</v>
      </c>
      <c r="I35" s="627">
        <f>K23</f>
        <v>11.7866927592955</v>
      </c>
      <c r="K35" s="23" t="s">
        <v>3147</v>
      </c>
      <c r="P35">
        <f t="shared" si="7"/>
        <v>5</v>
      </c>
      <c r="Q35" s="625" t="e">
        <f t="shared" si="8"/>
        <v>#DIV/0!</v>
      </c>
      <c r="R35" s="8" t="e">
        <f t="shared" si="8"/>
        <v>#DIV/0!</v>
      </c>
      <c r="S35" s="8" t="e">
        <f t="shared" si="8"/>
        <v>#DIV/0!</v>
      </c>
      <c r="T35" s="132" t="e">
        <f t="shared" si="8"/>
        <v>#DIV/0!</v>
      </c>
      <c r="U35">
        <f t="shared" si="9"/>
        <v>0.33333333333333331</v>
      </c>
    </row>
    <row r="36" spans="8:21">
      <c r="H36" t="s">
        <v>3119</v>
      </c>
      <c r="I36" s="627">
        <f>I35/FINV(I31/2,I33,I34)</f>
        <v>3.9704144434180857</v>
      </c>
      <c r="K36" s="23" t="s">
        <v>3713</v>
      </c>
      <c r="P36">
        <f t="shared" si="7"/>
        <v>6</v>
      </c>
      <c r="Q36" s="625" t="e">
        <f t="shared" si="8"/>
        <v>#DIV/0!</v>
      </c>
      <c r="R36" s="8" t="e">
        <f t="shared" si="8"/>
        <v>#DIV/0!</v>
      </c>
      <c r="S36" s="8" t="e">
        <f t="shared" si="8"/>
        <v>#DIV/0!</v>
      </c>
      <c r="T36" s="132" t="e">
        <f t="shared" si="8"/>
        <v>#DIV/0!</v>
      </c>
      <c r="U36">
        <f t="shared" si="9"/>
        <v>4.666666666666667</v>
      </c>
    </row>
    <row r="37" spans="8:21">
      <c r="H37" t="s">
        <v>3120</v>
      </c>
      <c r="I37" s="627">
        <f>I35*FINV(I31/2,I34,I33)</f>
        <v>52.47485618420589</v>
      </c>
      <c r="K37" s="23" t="s">
        <v>3714</v>
      </c>
      <c r="P37">
        <f t="shared" si="7"/>
        <v>7</v>
      </c>
      <c r="Q37" s="625" t="e">
        <f t="shared" si="8"/>
        <v>#DIV/0!</v>
      </c>
      <c r="R37" s="8" t="e">
        <f t="shared" si="8"/>
        <v>#DIV/0!</v>
      </c>
      <c r="S37" s="8" t="e">
        <f t="shared" si="8"/>
        <v>#DIV/0!</v>
      </c>
      <c r="T37" s="132" t="e">
        <f t="shared" si="8"/>
        <v>#DIV/0!</v>
      </c>
      <c r="U37">
        <f t="shared" si="9"/>
        <v>0.91666666666666663</v>
      </c>
    </row>
    <row r="38" spans="8:21">
      <c r="H38" t="s">
        <v>103</v>
      </c>
      <c r="I38" s="627">
        <f>(I36-1)/(I36+I32-1)</f>
        <v>0.42614603012923313</v>
      </c>
      <c r="K38" s="23" t="s">
        <v>3715</v>
      </c>
      <c r="P38">
        <f t="shared" si="7"/>
        <v>8</v>
      </c>
      <c r="Q38" s="1075" t="e">
        <f t="shared" si="8"/>
        <v>#DIV/0!</v>
      </c>
      <c r="R38" s="1076" t="e">
        <f t="shared" si="8"/>
        <v>#DIV/0!</v>
      </c>
      <c r="S38" s="1076" t="e">
        <f t="shared" si="8"/>
        <v>#DIV/0!</v>
      </c>
      <c r="T38" s="1077" t="e">
        <f t="shared" si="8"/>
        <v>#DIV/0!</v>
      </c>
      <c r="U38">
        <f t="shared" si="9"/>
        <v>0.25</v>
      </c>
    </row>
    <row r="39" spans="8:21">
      <c r="H39" t="s">
        <v>104</v>
      </c>
      <c r="I39" s="544">
        <f>(I37-1)/(I37+I32-1)</f>
        <v>0.92789526147273127</v>
      </c>
      <c r="K39" s="23" t="s">
        <v>3716</v>
      </c>
      <c r="Q39">
        <f>VAR(B5:B12)</f>
        <v>9.5535714285714288</v>
      </c>
      <c r="R39">
        <f>VAR(C5:C12)</f>
        <v>5.9821428571428568</v>
      </c>
      <c r="S39">
        <f>VAR(D5:D12)</f>
        <v>9.3571428571428577</v>
      </c>
      <c r="T39">
        <f>VAR(E5:E12)</f>
        <v>8.8392857142857135</v>
      </c>
      <c r="U39">
        <f>VAR(B5:E12)</f>
        <v>7.85383064516129</v>
      </c>
    </row>
    <row r="41" spans="8:21">
      <c r="H41" t="s">
        <v>3156</v>
      </c>
      <c r="I41" s="1178">
        <f>(J23-J25)/J23</f>
        <v>0.91515855885771213</v>
      </c>
      <c r="K41" s="23" t="s">
        <v>3153</v>
      </c>
    </row>
    <row r="42" spans="8:21">
      <c r="H42" t="s">
        <v>103</v>
      </c>
      <c r="I42" s="627">
        <f>1-1/I36</f>
        <v>0.74813712415898048</v>
      </c>
      <c r="K42" s="23" t="s">
        <v>3154</v>
      </c>
    </row>
    <row r="43" spans="8:21">
      <c r="H43" t="s">
        <v>104</v>
      </c>
      <c r="I43" s="544">
        <f>1-1/I37</f>
        <v>0.98094325410841265</v>
      </c>
      <c r="K43" s="23" t="s">
        <v>3155</v>
      </c>
    </row>
    <row r="45" spans="8:21">
      <c r="H45" t="s">
        <v>3157</v>
      </c>
      <c r="I45" s="756" t="e">
        <f ca="1">[1]!CRONALPHA(B5:E12)</f>
        <v>#NAME?</v>
      </c>
      <c r="K45" s="23" t="s">
        <v>3158</v>
      </c>
    </row>
    <row r="47" spans="8:21">
      <c r="H47" t="s">
        <v>3164</v>
      </c>
    </row>
    <row r="49" spans="8:11">
      <c r="H49" t="s">
        <v>3142</v>
      </c>
      <c r="I49" s="1178" t="e">
        <f ca="1">[1]!ICC(B5:E12,3,1)</f>
        <v>#NAME?</v>
      </c>
      <c r="K49" s="23" t="s">
        <v>3170</v>
      </c>
    </row>
    <row r="50" spans="8:11">
      <c r="H50" t="s">
        <v>3156</v>
      </c>
      <c r="I50" s="544" t="e">
        <f ca="1">[1]!ICC(B5:E12,3,4)</f>
        <v>#NAME?</v>
      </c>
      <c r="K50" s="23" t="s">
        <v>3171</v>
      </c>
    </row>
    <row r="52" spans="8:11">
      <c r="H52" t="e">
        <f t="array" aca="1" ref="H52:I54" ca="1">[1]!ICC(B5:E12,3,1,TRUE)</f>
        <v>#NAME?</v>
      </c>
      <c r="I52" s="1235" t="e">
        <f ca="1"/>
        <v>#NAME?</v>
      </c>
      <c r="K52" t="e">
        <f ca="1">[1]!FTEXT(I52)</f>
        <v>#NAME?</v>
      </c>
    </row>
    <row r="53" spans="8:11">
      <c r="H53" t="e">
        <f ca="1"/>
        <v>#NAME?</v>
      </c>
      <c r="I53" s="627" t="e">
        <f ca="1"/>
        <v>#NAME?</v>
      </c>
    </row>
    <row r="54" spans="8:11">
      <c r="H54" t="e">
        <f ca="1"/>
        <v>#NAME?</v>
      </c>
      <c r="I54" s="544" t="e">
        <f ca="1"/>
        <v>#NAME?</v>
      </c>
    </row>
    <row r="56" spans="8:11">
      <c r="H56" t="e">
        <f t="array" aca="1" ref="H56:I58" ca="1">[1]!ICC(B5:E12,3,4,TRUE)</f>
        <v>#NAME?</v>
      </c>
      <c r="I56" s="1235" t="e">
        <f ca="1"/>
        <v>#NAME?</v>
      </c>
      <c r="K56" t="e">
        <f ca="1">[1]!FTEXT(I56)</f>
        <v>#NAME?</v>
      </c>
    </row>
    <row r="57" spans="8:11">
      <c r="H57" t="e">
        <f ca="1"/>
        <v>#NAME?</v>
      </c>
      <c r="I57" s="627" t="e">
        <f ca="1"/>
        <v>#NAME?</v>
      </c>
    </row>
    <row r="58" spans="8:11">
      <c r="H58" t="e">
        <f ca="1"/>
        <v>#NAME?</v>
      </c>
      <c r="I58" s="544" t="e">
        <f ca="1"/>
        <v>#NAME?</v>
      </c>
    </row>
  </sheetData>
  <mergeCells count="1">
    <mergeCell ref="B3:E3"/>
  </mergeCell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sheetPr codeName="Sheet296"/>
  <dimension ref="A1:U31"/>
  <sheetViews>
    <sheetView workbookViewId="0"/>
  </sheetViews>
  <sheetFormatPr defaultRowHeight="14.4"/>
  <cols>
    <col min="12" max="12" width="4.5546875" customWidth="1"/>
    <col min="14" max="14" width="9.109375" customWidth="1"/>
  </cols>
  <sheetData>
    <row r="1" spans="1:21">
      <c r="A1" s="1" t="s">
        <v>3283</v>
      </c>
    </row>
    <row r="4" spans="1:21">
      <c r="A4" s="1225" t="s">
        <v>3293</v>
      </c>
      <c r="B4" s="1225" t="s">
        <v>526</v>
      </c>
      <c r="C4" s="1225" t="s">
        <v>384</v>
      </c>
      <c r="D4" s="1225" t="s">
        <v>385</v>
      </c>
      <c r="E4" s="1225" t="s">
        <v>386</v>
      </c>
      <c r="F4" s="1225" t="s">
        <v>387</v>
      </c>
      <c r="G4" s="1225" t="s">
        <v>388</v>
      </c>
      <c r="H4" s="1225" t="s">
        <v>1294</v>
      </c>
      <c r="I4" s="1225" t="s">
        <v>2008</v>
      </c>
      <c r="M4" s="1225" t="s">
        <v>3293</v>
      </c>
      <c r="N4" s="1225" t="s">
        <v>526</v>
      </c>
      <c r="O4" s="1225" t="s">
        <v>384</v>
      </c>
      <c r="P4" s="1225" t="s">
        <v>385</v>
      </c>
      <c r="Q4" s="1225" t="s">
        <v>386</v>
      </c>
      <c r="R4" s="1225" t="s">
        <v>387</v>
      </c>
      <c r="S4" s="1225" t="s">
        <v>388</v>
      </c>
      <c r="T4" s="1225" t="s">
        <v>1294</v>
      </c>
      <c r="U4" s="1225" t="s">
        <v>2008</v>
      </c>
    </row>
    <row r="5" spans="1:21">
      <c r="A5" s="1225">
        <v>1</v>
      </c>
      <c r="B5" s="1101">
        <v>7</v>
      </c>
      <c r="C5" s="1227">
        <v>8</v>
      </c>
      <c r="D5" s="1227">
        <v>6</v>
      </c>
      <c r="E5" s="1227">
        <v>4</v>
      </c>
      <c r="F5" s="1227">
        <v>5</v>
      </c>
      <c r="G5" s="1227">
        <v>3</v>
      </c>
      <c r="H5" s="1227">
        <v>2</v>
      </c>
      <c r="I5" s="1102">
        <v>1</v>
      </c>
      <c r="J5">
        <f>SUM(B5:I5)</f>
        <v>36</v>
      </c>
      <c r="M5" s="1225">
        <v>1</v>
      </c>
      <c r="N5" s="1101">
        <f>IF(COUNTIF(D$3:D3,D4)=0,COUNTIF(D5:D$19,D4),0)</f>
        <v>0</v>
      </c>
      <c r="O5" s="1227">
        <v>8</v>
      </c>
      <c r="P5" s="1227">
        <v>6</v>
      </c>
      <c r="Q5" s="1227">
        <v>4</v>
      </c>
      <c r="R5" s="1227">
        <v>5</v>
      </c>
      <c r="S5" s="1227">
        <v>3</v>
      </c>
      <c r="T5" s="1227">
        <v>2</v>
      </c>
      <c r="U5" s="1102">
        <v>1</v>
      </c>
    </row>
    <row r="6" spans="1:21">
      <c r="A6" s="1225">
        <v>2</v>
      </c>
      <c r="B6" s="664">
        <v>8</v>
      </c>
      <c r="C6" s="1226">
        <v>7</v>
      </c>
      <c r="D6" s="1226">
        <v>2</v>
      </c>
      <c r="E6" s="1226">
        <v>6</v>
      </c>
      <c r="F6" s="1226">
        <v>4.5</v>
      </c>
      <c r="G6" s="1226">
        <v>4.5</v>
      </c>
      <c r="H6" s="1226">
        <v>3</v>
      </c>
      <c r="I6" s="618">
        <v>1</v>
      </c>
      <c r="J6">
        <f t="shared" ref="J6:J11" si="0">SUM(B6:I6)</f>
        <v>36</v>
      </c>
      <c r="M6" s="1225">
        <v>2</v>
      </c>
      <c r="N6" s="664">
        <v>8</v>
      </c>
      <c r="O6" s="1226">
        <v>7</v>
      </c>
      <c r="P6" s="1226">
        <v>2</v>
      </c>
      <c r="Q6" s="1226">
        <v>6</v>
      </c>
      <c r="R6" s="1226">
        <v>4.5</v>
      </c>
      <c r="S6" s="1226">
        <v>4.5</v>
      </c>
      <c r="T6" s="1226">
        <v>3</v>
      </c>
      <c r="U6" s="618">
        <v>1</v>
      </c>
    </row>
    <row r="7" spans="1:21">
      <c r="A7" s="1225">
        <v>3</v>
      </c>
      <c r="B7" s="664">
        <v>8</v>
      </c>
      <c r="C7" s="1226">
        <v>5.5</v>
      </c>
      <c r="D7" s="1226">
        <v>7</v>
      </c>
      <c r="E7" s="1226">
        <v>5.5</v>
      </c>
      <c r="F7" s="1226">
        <v>4</v>
      </c>
      <c r="G7" s="1226">
        <v>3</v>
      </c>
      <c r="H7" s="1226">
        <v>2</v>
      </c>
      <c r="I7" s="618">
        <v>1</v>
      </c>
      <c r="J7">
        <f t="shared" si="0"/>
        <v>36</v>
      </c>
      <c r="M7" s="1225">
        <v>3</v>
      </c>
      <c r="N7" s="664">
        <v>8</v>
      </c>
      <c r="O7" s="1226">
        <v>5.5</v>
      </c>
      <c r="P7" s="1226">
        <v>7</v>
      </c>
      <c r="Q7" s="1226">
        <v>5.5</v>
      </c>
      <c r="R7" s="1226">
        <v>4</v>
      </c>
      <c r="S7" s="1226">
        <v>3</v>
      </c>
      <c r="T7" s="1226">
        <v>2</v>
      </c>
      <c r="U7" s="618">
        <v>1</v>
      </c>
    </row>
    <row r="8" spans="1:21">
      <c r="A8" s="1225">
        <v>4</v>
      </c>
      <c r="B8" s="664">
        <v>8</v>
      </c>
      <c r="C8" s="1226">
        <v>6.5</v>
      </c>
      <c r="D8" s="1226">
        <v>4</v>
      </c>
      <c r="E8" s="1226">
        <v>5</v>
      </c>
      <c r="F8" s="1226">
        <v>3</v>
      </c>
      <c r="G8" s="1226">
        <v>6.5</v>
      </c>
      <c r="H8" s="1226">
        <v>1</v>
      </c>
      <c r="I8" s="618">
        <v>2</v>
      </c>
      <c r="J8">
        <f t="shared" si="0"/>
        <v>36</v>
      </c>
      <c r="M8" s="1225">
        <v>4</v>
      </c>
      <c r="N8" s="664">
        <v>8</v>
      </c>
      <c r="O8" s="1226">
        <v>6.5</v>
      </c>
      <c r="P8" s="1226">
        <v>4</v>
      </c>
      <c r="Q8" s="1226">
        <v>5</v>
      </c>
      <c r="R8" s="1226">
        <v>3</v>
      </c>
      <c r="S8" s="1226">
        <v>6.5</v>
      </c>
      <c r="T8" s="1226">
        <v>1</v>
      </c>
      <c r="U8" s="618">
        <v>2</v>
      </c>
    </row>
    <row r="9" spans="1:21">
      <c r="A9" s="1225">
        <v>5</v>
      </c>
      <c r="B9" s="664">
        <v>6</v>
      </c>
      <c r="C9" s="1226">
        <v>4.5</v>
      </c>
      <c r="D9" s="1226">
        <v>2</v>
      </c>
      <c r="E9" s="1226">
        <v>7</v>
      </c>
      <c r="F9" s="1226">
        <v>3</v>
      </c>
      <c r="G9" s="1226">
        <v>8</v>
      </c>
      <c r="H9" s="1226">
        <v>1</v>
      </c>
      <c r="I9" s="618">
        <v>4.5</v>
      </c>
      <c r="J9">
        <f t="shared" si="0"/>
        <v>36</v>
      </c>
      <c r="M9" s="1225">
        <v>5</v>
      </c>
      <c r="N9" s="664">
        <v>6</v>
      </c>
      <c r="O9" s="1226">
        <v>4.5</v>
      </c>
      <c r="P9" s="1226">
        <v>2</v>
      </c>
      <c r="Q9" s="1226">
        <v>7</v>
      </c>
      <c r="R9" s="1226">
        <v>3</v>
      </c>
      <c r="S9" s="1226">
        <v>8</v>
      </c>
      <c r="T9" s="1226">
        <v>1</v>
      </c>
      <c r="U9" s="618">
        <v>4.5</v>
      </c>
    </row>
    <row r="10" spans="1:21">
      <c r="A10" s="1225">
        <v>6</v>
      </c>
      <c r="B10" s="664">
        <v>7.5</v>
      </c>
      <c r="C10" s="1226">
        <v>6</v>
      </c>
      <c r="D10" s="1226">
        <v>7.5</v>
      </c>
      <c r="E10" s="1226">
        <v>2.5</v>
      </c>
      <c r="F10" s="1226">
        <v>5</v>
      </c>
      <c r="G10" s="1226">
        <v>4</v>
      </c>
      <c r="H10" s="1226">
        <v>1</v>
      </c>
      <c r="I10" s="618">
        <v>2.5</v>
      </c>
      <c r="J10">
        <f t="shared" si="0"/>
        <v>36</v>
      </c>
      <c r="M10" s="1225">
        <v>6</v>
      </c>
      <c r="N10" s="664">
        <v>7.5</v>
      </c>
      <c r="O10" s="1226">
        <v>6</v>
      </c>
      <c r="P10" s="1226">
        <v>7.5</v>
      </c>
      <c r="Q10" s="1226">
        <v>2.5</v>
      </c>
      <c r="R10" s="1226">
        <v>5</v>
      </c>
      <c r="S10" s="1226">
        <v>4</v>
      </c>
      <c r="T10" s="1226">
        <v>1</v>
      </c>
      <c r="U10" s="618">
        <v>2.5</v>
      </c>
    </row>
    <row r="11" spans="1:21">
      <c r="A11" s="1225">
        <v>7</v>
      </c>
      <c r="B11" s="560">
        <v>6</v>
      </c>
      <c r="C11" s="1219">
        <v>7</v>
      </c>
      <c r="D11" s="1219">
        <v>4</v>
      </c>
      <c r="E11" s="1219">
        <v>8</v>
      </c>
      <c r="F11" s="1219">
        <v>4</v>
      </c>
      <c r="G11" s="1219">
        <v>4</v>
      </c>
      <c r="H11" s="1219">
        <v>2</v>
      </c>
      <c r="I11" s="536">
        <v>1</v>
      </c>
      <c r="J11">
        <f t="shared" si="0"/>
        <v>36</v>
      </c>
      <c r="M11" s="1225">
        <v>7</v>
      </c>
      <c r="N11" s="560">
        <v>6</v>
      </c>
      <c r="O11" s="1219">
        <v>7</v>
      </c>
      <c r="P11" s="1219">
        <v>4</v>
      </c>
      <c r="Q11" s="1219">
        <v>8</v>
      </c>
      <c r="R11" s="1219">
        <v>4</v>
      </c>
      <c r="S11" s="1219">
        <v>4</v>
      </c>
      <c r="T11" s="1219">
        <v>2</v>
      </c>
      <c r="U11" s="536">
        <v>1</v>
      </c>
    </row>
    <row r="12" spans="1:21">
      <c r="B12" s="1225">
        <f>SUM(B5:B11)</f>
        <v>50.5</v>
      </c>
      <c r="C12" s="1225">
        <f t="shared" ref="C12:I12" si="1">SUM(C5:C11)</f>
        <v>44.5</v>
      </c>
      <c r="D12" s="1225">
        <f t="shared" si="1"/>
        <v>32.5</v>
      </c>
      <c r="E12" s="1225">
        <f t="shared" si="1"/>
        <v>38</v>
      </c>
      <c r="F12" s="1225">
        <f t="shared" si="1"/>
        <v>28.5</v>
      </c>
      <c r="G12" s="1225">
        <f t="shared" si="1"/>
        <v>33</v>
      </c>
      <c r="H12" s="1225">
        <f t="shared" si="1"/>
        <v>12</v>
      </c>
      <c r="I12" s="1225">
        <f t="shared" si="1"/>
        <v>13</v>
      </c>
    </row>
    <row r="14" spans="1:21">
      <c r="B14" t="s">
        <v>169</v>
      </c>
      <c r="C14" s="1178">
        <f>COUNTA(B5:I5)</f>
        <v>8</v>
      </c>
      <c r="E14" s="23" t="s">
        <v>3278</v>
      </c>
      <c r="M14" t="s">
        <v>3745</v>
      </c>
    </row>
    <row r="15" spans="1:21">
      <c r="B15" t="s">
        <v>994</v>
      </c>
      <c r="C15" s="627">
        <f>COUNTA(A5:A11)</f>
        <v>7</v>
      </c>
      <c r="E15" s="23" t="s">
        <v>3279</v>
      </c>
    </row>
    <row r="16" spans="1:21">
      <c r="B16" t="s">
        <v>1513</v>
      </c>
      <c r="C16" s="627">
        <f>12*DEVSQ(B12:I12)/(C15^2*(C14^3-C14))</f>
        <v>0.63508260447035958</v>
      </c>
      <c r="E16" s="23" t="s">
        <v>3287</v>
      </c>
      <c r="M16" t="e">
        <f t="array" aca="1" ref="M16:N20" ca="1">[1]!KendallW(B5:I11,TRUE)</f>
        <v>#NAME?</v>
      </c>
      <c r="N16" s="1235" t="e">
        <f ca="1"/>
        <v>#NAME?</v>
      </c>
    </row>
    <row r="17" spans="2:14">
      <c r="B17" t="s">
        <v>368</v>
      </c>
      <c r="C17" s="627">
        <f>(C15*C16-1)/(C15-1)</f>
        <v>0.57426303854875282</v>
      </c>
      <c r="E17" s="23" t="s">
        <v>3292</v>
      </c>
      <c r="M17" t="e">
        <f ca="1"/>
        <v>#NAME?</v>
      </c>
      <c r="N17" s="627" t="e">
        <f ca="1"/>
        <v>#NAME?</v>
      </c>
    </row>
    <row r="18" spans="2:14">
      <c r="B18" s="65" t="s">
        <v>346</v>
      </c>
      <c r="C18" s="627">
        <f>C15*(C14-1)*C16</f>
        <v>31.11904761904762</v>
      </c>
      <c r="E18" s="23" t="s">
        <v>3290</v>
      </c>
      <c r="M18" t="e">
        <f ca="1"/>
        <v>#NAME?</v>
      </c>
      <c r="N18" s="627" t="e">
        <f ca="1"/>
        <v>#NAME?</v>
      </c>
    </row>
    <row r="19" spans="2:14">
      <c r="B19" s="65" t="s">
        <v>186</v>
      </c>
      <c r="C19" s="627">
        <f>C14-1</f>
        <v>7</v>
      </c>
      <c r="E19" s="23" t="s">
        <v>3280</v>
      </c>
      <c r="M19" t="e">
        <f ca="1"/>
        <v>#NAME?</v>
      </c>
      <c r="N19" s="627" t="e">
        <f ca="1"/>
        <v>#NAME?</v>
      </c>
    </row>
    <row r="20" spans="2:14">
      <c r="B20" s="65" t="s">
        <v>200</v>
      </c>
      <c r="C20" s="544">
        <f>CHIDIST(C18,C19)</f>
        <v>5.9107829694807225E-5</v>
      </c>
      <c r="E20" s="23" t="s">
        <v>3291</v>
      </c>
      <c r="M20" t="e">
        <f ca="1"/>
        <v>#NAME?</v>
      </c>
      <c r="N20" s="544" t="e">
        <f ca="1"/>
        <v>#NAME?</v>
      </c>
    </row>
    <row r="22" spans="2:14">
      <c r="B22" t="s">
        <v>1513</v>
      </c>
      <c r="C22" s="1178">
        <f>12*SUMSQ(B12:I12)/(C15^2*(C14^3-C14))-3*(C14+1)/(C14-1)</f>
        <v>0.63508260447035925</v>
      </c>
      <c r="E22" s="23" t="s">
        <v>3288</v>
      </c>
    </row>
    <row r="23" spans="2:14">
      <c r="B23" t="s">
        <v>1513</v>
      </c>
      <c r="C23" s="544" t="e">
        <f ca="1">[1]!FRIEDMAN(B5:I11)/(C15*(C14-1))</f>
        <v>#NAME?</v>
      </c>
      <c r="E23" s="23" t="s">
        <v>3289</v>
      </c>
      <c r="M23" t="s">
        <v>4070</v>
      </c>
    </row>
    <row r="25" spans="2:14">
      <c r="M25" t="s">
        <v>3283</v>
      </c>
    </row>
    <row r="27" spans="2:14">
      <c r="M27" t="s">
        <v>1513</v>
      </c>
      <c r="N27" s="1441" t="e">
        <f ca="1">N29/(COUNT(B5:B11)*(COUNT(B5:I5)-1))</f>
        <v>#NAME?</v>
      </c>
    </row>
    <row r="28" spans="2:14">
      <c r="M28" t="s">
        <v>368</v>
      </c>
      <c r="N28" s="946" t="e">
        <f ca="1">(COUNT(B5:B11)*N27-1)/(COUNT(B5:B11)-1)</f>
        <v>#NAME?</v>
      </c>
    </row>
    <row r="29" spans="2:14">
      <c r="M29" t="s">
        <v>339</v>
      </c>
      <c r="N29" s="946" t="e">
        <f ca="1">[1]!FRIEDMAN(B5:I11)</f>
        <v>#NAME?</v>
      </c>
    </row>
    <row r="30" spans="2:14">
      <c r="M30" t="s">
        <v>186</v>
      </c>
      <c r="N30" s="946">
        <f>COUNT(B5:I5)-1</f>
        <v>7</v>
      </c>
    </row>
    <row r="31" spans="2:14">
      <c r="M31" t="s">
        <v>200</v>
      </c>
      <c r="N31" s="1073" t="e">
        <f ca="1">CHIDIST(N29,N30)</f>
        <v>#NAME?</v>
      </c>
    </row>
  </sheetData>
  <pageMargins left="0.7" right="0.7" top="0.75" bottom="0.75" header="0.3" footer="0.3"/>
  <ignoredErrors>
    <ignoredError sqref="C14 J5:J11 N30" formulaRange="1"/>
  </ignoredErrors>
</worksheet>
</file>

<file path=xl/worksheets/sheet306.xml><?xml version="1.0" encoding="utf-8"?>
<worksheet xmlns="http://schemas.openxmlformats.org/spreadsheetml/2006/main" xmlns:r="http://schemas.openxmlformats.org/officeDocument/2006/relationships">
  <sheetPr codeName="Sheet295"/>
  <dimension ref="A1:Y21"/>
  <sheetViews>
    <sheetView workbookViewId="0"/>
  </sheetViews>
  <sheetFormatPr defaultRowHeight="14.4"/>
  <cols>
    <col min="1" max="1" width="4.44140625" customWidth="1"/>
    <col min="2" max="9" width="8.109375" customWidth="1"/>
    <col min="10" max="10" width="7.109375" customWidth="1"/>
    <col min="11" max="11" width="7.5546875" customWidth="1"/>
    <col min="12" max="19" width="5.88671875" customWidth="1"/>
  </cols>
  <sheetData>
    <row r="1" spans="1:25">
      <c r="A1" s="1" t="s">
        <v>4164</v>
      </c>
    </row>
    <row r="4" spans="1:25">
      <c r="B4" s="1225" t="s">
        <v>526</v>
      </c>
      <c r="C4" s="1225" t="s">
        <v>384</v>
      </c>
      <c r="D4" s="1225" t="s">
        <v>385</v>
      </c>
      <c r="E4" s="1225" t="s">
        <v>386</v>
      </c>
      <c r="F4" s="1225" t="s">
        <v>387</v>
      </c>
      <c r="G4" s="1225" t="s">
        <v>388</v>
      </c>
      <c r="H4" s="1225" t="s">
        <v>1294</v>
      </c>
      <c r="I4" s="1225" t="s">
        <v>2008</v>
      </c>
      <c r="K4" s="1225" t="s">
        <v>3299</v>
      </c>
      <c r="L4" s="1225" t="s">
        <v>526</v>
      </c>
      <c r="M4" s="1225" t="s">
        <v>384</v>
      </c>
      <c r="N4" s="1225" t="s">
        <v>385</v>
      </c>
      <c r="O4" s="1225" t="s">
        <v>386</v>
      </c>
      <c r="P4" s="1225" t="s">
        <v>387</v>
      </c>
      <c r="Q4" s="1225" t="s">
        <v>388</v>
      </c>
      <c r="R4" s="1225" t="s">
        <v>1294</v>
      </c>
      <c r="S4" s="1225" t="s">
        <v>2008</v>
      </c>
      <c r="U4" t="s">
        <v>4040</v>
      </c>
      <c r="X4" t="s">
        <v>3283</v>
      </c>
    </row>
    <row r="5" spans="1:25">
      <c r="B5" s="1101">
        <v>7</v>
      </c>
      <c r="C5" s="1227">
        <v>8</v>
      </c>
      <c r="D5" s="1227">
        <v>6</v>
      </c>
      <c r="E5" s="1227">
        <v>4</v>
      </c>
      <c r="F5" s="1227">
        <v>5</v>
      </c>
      <c r="G5" s="1227">
        <v>3</v>
      </c>
      <c r="H5" s="1227">
        <v>2</v>
      </c>
      <c r="I5" s="1102">
        <v>1</v>
      </c>
      <c r="K5" s="1225">
        <v>1</v>
      </c>
      <c r="L5" s="1101">
        <f>IF(COUNTIF($A5:A5,B5)=0,COUNTIF(C5:$J5,B5),0)</f>
        <v>0</v>
      </c>
      <c r="M5" s="1227">
        <f>IF(COUNTIF($A5:B5,C5)=0,COUNTIF(D5:$J5,C5),0)</f>
        <v>0</v>
      </c>
      <c r="N5" s="1227">
        <f>IF(COUNTIF($A5:C5,D5)=0,COUNTIF(E5:$J5,D5),0)</f>
        <v>0</v>
      </c>
      <c r="O5" s="1227">
        <f>IF(COUNTIF($A5:D5,E5)=0,COUNTIF(F5:$J5,E5),0)</f>
        <v>0</v>
      </c>
      <c r="P5" s="1227">
        <f>IF(COUNTIF($A5:E5,F5)=0,COUNTIF(G5:$J5,F5),0)</f>
        <v>0</v>
      </c>
      <c r="Q5" s="1227">
        <f>IF(COUNTIF($A5:F5,G5)=0,COUNTIF(H5:$J5,G5),0)</f>
        <v>0</v>
      </c>
      <c r="R5" s="1227">
        <f>IF(COUNTIF($A5:G5,H5)=0,COUNTIF(I5:$J5,H5),0)</f>
        <v>0</v>
      </c>
      <c r="S5" s="1102">
        <f>IF(COUNTIF($A5:H5,I5)=0,COUNTIF(J5:$J5,I5),0)</f>
        <v>0</v>
      </c>
    </row>
    <row r="6" spans="1:25">
      <c r="B6" s="664">
        <v>8</v>
      </c>
      <c r="C6" s="1226">
        <v>7</v>
      </c>
      <c r="D6" s="1226">
        <v>2</v>
      </c>
      <c r="E6" s="1226">
        <v>6</v>
      </c>
      <c r="F6" s="1226">
        <v>4.5</v>
      </c>
      <c r="G6" s="1226">
        <v>4.5</v>
      </c>
      <c r="H6" s="1226">
        <v>3</v>
      </c>
      <c r="I6" s="618">
        <v>1</v>
      </c>
      <c r="K6" s="1225">
        <v>2</v>
      </c>
      <c r="L6" s="664">
        <f>IF(COUNTIF($A6:A6,B6)=0,COUNTIF(C6:$J6,B6),0)</f>
        <v>0</v>
      </c>
      <c r="M6" s="1226">
        <f>IF(COUNTIF($A6:B6,C6)=0,COUNTIF(D6:$J6,C6),0)</f>
        <v>0</v>
      </c>
      <c r="N6" s="1226">
        <f>IF(COUNTIF($A6:C6,D6)=0,COUNTIF(E6:$J6,D6),0)</f>
        <v>0</v>
      </c>
      <c r="O6" s="1226">
        <f>IF(COUNTIF($A6:D6,E6)=0,COUNTIF(F6:$J6,E6),0)</f>
        <v>0</v>
      </c>
      <c r="P6" s="1226">
        <f>IF(COUNTIF($A6:E6,F6)=0,COUNTIF(G6:$J6,F6),0)</f>
        <v>1</v>
      </c>
      <c r="Q6" s="1226">
        <f>IF(COUNTIF($A6:F6,G6)=0,COUNTIF(H6:$J6,G6),0)</f>
        <v>0</v>
      </c>
      <c r="R6" s="1226">
        <f>IF(COUNTIF($A6:G6,H6)=0,COUNTIF(I6:$J6,H6),0)</f>
        <v>0</v>
      </c>
      <c r="S6" s="618">
        <f>IF(COUNTIF($A6:H6,I6)=0,COUNTIF(J6:$J6,I6),0)</f>
        <v>0</v>
      </c>
      <c r="U6" t="e">
        <f t="array" aca="1" ref="U6:V10" ca="1">[1]!KendallW(B5:I11,TRUE,TRUE)</f>
        <v>#NAME?</v>
      </c>
      <c r="V6" s="1235" t="e">
        <f ca="1"/>
        <v>#NAME?</v>
      </c>
      <c r="X6" t="s">
        <v>1513</v>
      </c>
      <c r="Y6" s="1441" t="e">
        <f t="array" aca="1" ref="Y6:Y10" ca="1">[1]!KendallW(B5:I11,,TRUE)</f>
        <v>#NAME?</v>
      </c>
    </row>
    <row r="7" spans="1:25">
      <c r="B7" s="664">
        <v>8</v>
      </c>
      <c r="C7" s="1226">
        <v>5.5</v>
      </c>
      <c r="D7" s="1226">
        <v>7</v>
      </c>
      <c r="E7" s="1226">
        <v>5.5</v>
      </c>
      <c r="F7" s="1226">
        <v>4</v>
      </c>
      <c r="G7" s="1226">
        <v>3</v>
      </c>
      <c r="H7" s="1226">
        <v>2</v>
      </c>
      <c r="I7" s="618">
        <v>1</v>
      </c>
      <c r="K7" s="1225">
        <v>3</v>
      </c>
      <c r="L7" s="664">
        <f>IF(COUNTIF($A7:A7,B7)=0,COUNTIF(C7:$J7,B7),0)</f>
        <v>0</v>
      </c>
      <c r="M7" s="1226">
        <f>IF(COUNTIF($A7:B7,C7)=0,COUNTIF(D7:$J7,C7),0)</f>
        <v>1</v>
      </c>
      <c r="N7" s="1226">
        <f>IF(COUNTIF($A7:C7,D7)=0,COUNTIF(E7:$J7,D7),0)</f>
        <v>0</v>
      </c>
      <c r="O7" s="1226">
        <f>IF(COUNTIF($A7:D7,E7)=0,COUNTIF(F7:$J7,E7),0)</f>
        <v>0</v>
      </c>
      <c r="P7" s="1226">
        <f>IF(COUNTIF($A7:E7,F7)=0,COUNTIF(G7:$J7,F7),0)</f>
        <v>0</v>
      </c>
      <c r="Q7" s="1226">
        <f>IF(COUNTIF($A7:F7,G7)=0,COUNTIF(H7:$J7,G7),0)</f>
        <v>0</v>
      </c>
      <c r="R7" s="1226">
        <f>IF(COUNTIF($A7:G7,H7)=0,COUNTIF(I7:$J7,H7),0)</f>
        <v>0</v>
      </c>
      <c r="S7" s="618">
        <f>IF(COUNTIF($A7:H7,I7)=0,COUNTIF(J7:$J7,I7),0)</f>
        <v>0</v>
      </c>
      <c r="U7" t="e">
        <f ca="1"/>
        <v>#NAME?</v>
      </c>
      <c r="V7" s="627" t="e">
        <f ca="1"/>
        <v>#NAME?</v>
      </c>
      <c r="X7" t="s">
        <v>368</v>
      </c>
      <c r="Y7" s="946" t="e">
        <f ca="1"/>
        <v>#NAME?</v>
      </c>
    </row>
    <row r="8" spans="1:25">
      <c r="B8" s="664">
        <v>8</v>
      </c>
      <c r="C8" s="1226">
        <v>6.5</v>
      </c>
      <c r="D8" s="1226">
        <v>4</v>
      </c>
      <c r="E8" s="1226">
        <v>5</v>
      </c>
      <c r="F8" s="1226">
        <v>3</v>
      </c>
      <c r="G8" s="1226">
        <v>6.5</v>
      </c>
      <c r="H8" s="1226">
        <v>1</v>
      </c>
      <c r="I8" s="618">
        <v>2</v>
      </c>
      <c r="K8" s="1225">
        <v>4</v>
      </c>
      <c r="L8" s="664">
        <f>IF(COUNTIF($A8:A8,B8)=0,COUNTIF(C8:$J8,B8),0)</f>
        <v>0</v>
      </c>
      <c r="M8" s="1226">
        <f>IF(COUNTIF($A8:B8,C8)=0,COUNTIF(D8:$J8,C8),0)</f>
        <v>1</v>
      </c>
      <c r="N8" s="1226">
        <f>IF(COUNTIF($A8:C8,D8)=0,COUNTIF(E8:$J8,D8),0)</f>
        <v>0</v>
      </c>
      <c r="O8" s="1226">
        <f>IF(COUNTIF($A8:D8,E8)=0,COUNTIF(F8:$J8,E8),0)</f>
        <v>0</v>
      </c>
      <c r="P8" s="1226">
        <f>IF(COUNTIF($A8:E8,F8)=0,COUNTIF(G8:$J8,F8),0)</f>
        <v>0</v>
      </c>
      <c r="Q8" s="1226">
        <f>IF(COUNTIF($A8:F8,G8)=0,COUNTIF(H8:$J8,G8),0)</f>
        <v>0</v>
      </c>
      <c r="R8" s="1226">
        <f>IF(COUNTIF($A8:G8,H8)=0,COUNTIF(I8:$J8,H8),0)</f>
        <v>0</v>
      </c>
      <c r="S8" s="618">
        <f>IF(COUNTIF($A8:H8,I8)=0,COUNTIF(J8:$J8,I8),0)</f>
        <v>0</v>
      </c>
      <c r="U8" t="e">
        <f ca="1"/>
        <v>#NAME?</v>
      </c>
      <c r="V8" s="627" t="e">
        <f ca="1"/>
        <v>#NAME?</v>
      </c>
      <c r="X8" t="s">
        <v>339</v>
      </c>
      <c r="Y8" s="946" t="e">
        <f ca="1"/>
        <v>#NAME?</v>
      </c>
    </row>
    <row r="9" spans="1:25">
      <c r="B9" s="664">
        <v>6</v>
      </c>
      <c r="C9" s="1226">
        <v>4.5</v>
      </c>
      <c r="D9" s="1226">
        <v>2</v>
      </c>
      <c r="E9" s="1226">
        <v>7</v>
      </c>
      <c r="F9" s="1226">
        <v>3</v>
      </c>
      <c r="G9" s="1226">
        <v>8</v>
      </c>
      <c r="H9" s="1226">
        <v>1</v>
      </c>
      <c r="I9" s="618">
        <v>4.5</v>
      </c>
      <c r="K9" s="1225">
        <v>5</v>
      </c>
      <c r="L9" s="664">
        <f>IF(COUNTIF($A9:A9,B9)=0,COUNTIF(C9:$J9,B9),0)</f>
        <v>0</v>
      </c>
      <c r="M9" s="1226">
        <f>IF(COUNTIF($A9:B9,C9)=0,COUNTIF(D9:$J9,C9),0)</f>
        <v>1</v>
      </c>
      <c r="N9" s="1226">
        <f>IF(COUNTIF($A9:C9,D9)=0,COUNTIF(E9:$J9,D9),0)</f>
        <v>0</v>
      </c>
      <c r="O9" s="1226">
        <f>IF(COUNTIF($A9:D9,E9)=0,COUNTIF(F9:$J9,E9),0)</f>
        <v>0</v>
      </c>
      <c r="P9" s="1226">
        <f>IF(COUNTIF($A9:E9,F9)=0,COUNTIF(G9:$J9,F9),0)</f>
        <v>0</v>
      </c>
      <c r="Q9" s="1226">
        <f>IF(COUNTIF($A9:F9,G9)=0,COUNTIF(H9:$J9,G9),0)</f>
        <v>0</v>
      </c>
      <c r="R9" s="1226">
        <f>IF(COUNTIF($A9:G9,H9)=0,COUNTIF(I9:$J9,H9),0)</f>
        <v>0</v>
      </c>
      <c r="S9" s="618">
        <f>IF(COUNTIF($A9:H9,I9)=0,COUNTIF(J9:$J9,I9),0)</f>
        <v>0</v>
      </c>
      <c r="U9" t="e">
        <f ca="1"/>
        <v>#NAME?</v>
      </c>
      <c r="V9" s="627" t="e">
        <f ca="1"/>
        <v>#NAME?</v>
      </c>
      <c r="X9" t="s">
        <v>186</v>
      </c>
      <c r="Y9" s="946" t="e">
        <f ca="1"/>
        <v>#NAME?</v>
      </c>
    </row>
    <row r="10" spans="1:25">
      <c r="B10" s="664">
        <v>7.5</v>
      </c>
      <c r="C10" s="1226">
        <v>6</v>
      </c>
      <c r="D10" s="1226">
        <v>7.5</v>
      </c>
      <c r="E10" s="1226">
        <v>2.5</v>
      </c>
      <c r="F10" s="1226">
        <v>5</v>
      </c>
      <c r="G10" s="1226">
        <v>4</v>
      </c>
      <c r="H10" s="1226">
        <v>1</v>
      </c>
      <c r="I10" s="618">
        <v>2.5</v>
      </c>
      <c r="K10" s="1225">
        <v>6</v>
      </c>
      <c r="L10" s="664">
        <f>IF(COUNTIF($A10:A10,B10)=0,COUNTIF(C10:$J10,B10),0)</f>
        <v>1</v>
      </c>
      <c r="M10" s="1226">
        <f>IF(COUNTIF($A10:B10,C10)=0,COUNTIF(D10:$J10,C10),0)</f>
        <v>0</v>
      </c>
      <c r="N10" s="1226">
        <f>IF(COUNTIF($A10:C10,D10)=0,COUNTIF(E10:$J10,D10),0)</f>
        <v>0</v>
      </c>
      <c r="O10" s="1226">
        <f>IF(COUNTIF($A10:D10,E10)=0,COUNTIF(F10:$J10,E10),0)</f>
        <v>1</v>
      </c>
      <c r="P10" s="1226">
        <f>IF(COUNTIF($A10:E10,F10)=0,COUNTIF(G10:$J10,F10),0)</f>
        <v>0</v>
      </c>
      <c r="Q10" s="1226">
        <f>IF(COUNTIF($A10:F10,G10)=0,COUNTIF(H10:$J10,G10),0)</f>
        <v>0</v>
      </c>
      <c r="R10" s="1226">
        <f>IF(COUNTIF($A10:G10,H10)=0,COUNTIF(I10:$J10,H10),0)</f>
        <v>0</v>
      </c>
      <c r="S10" s="618">
        <f>IF(COUNTIF($A10:H10,I10)=0,COUNTIF(J10:$J10,I10),0)</f>
        <v>0</v>
      </c>
      <c r="U10" t="e">
        <f ca="1"/>
        <v>#NAME?</v>
      </c>
      <c r="V10" s="544" t="e">
        <f ca="1"/>
        <v>#NAME?</v>
      </c>
      <c r="X10" t="s">
        <v>200</v>
      </c>
      <c r="Y10" s="1073" t="e">
        <f ca="1"/>
        <v>#NAME?</v>
      </c>
    </row>
    <row r="11" spans="1:25">
      <c r="B11" s="560">
        <v>6</v>
      </c>
      <c r="C11" s="1219">
        <v>7</v>
      </c>
      <c r="D11" s="1219">
        <v>4</v>
      </c>
      <c r="E11" s="1219">
        <v>8</v>
      </c>
      <c r="F11" s="1219">
        <v>4</v>
      </c>
      <c r="G11" s="1219">
        <v>4</v>
      </c>
      <c r="H11" s="1219">
        <v>2</v>
      </c>
      <c r="I11" s="536">
        <v>1</v>
      </c>
      <c r="K11" s="1225">
        <v>7</v>
      </c>
      <c r="L11" s="560">
        <f>IF(COUNTIF($A11:A11,B11)=0,COUNTIF(C11:$J11,B11),0)</f>
        <v>0</v>
      </c>
      <c r="M11" s="1219">
        <f>IF(COUNTIF($A11:B11,C11)=0,COUNTIF(D11:$J11,C11),0)</f>
        <v>0</v>
      </c>
      <c r="N11" s="1219">
        <f>IF(COUNTIF($A11:C11,D11)=0,COUNTIF(E11:$J11,D11),0)</f>
        <v>2</v>
      </c>
      <c r="O11" s="1219">
        <f>IF(COUNTIF($A11:D11,E11)=0,COUNTIF(F11:$J11,E11),0)</f>
        <v>0</v>
      </c>
      <c r="P11" s="1219">
        <f>IF(COUNTIF($A11:E11,F11)=0,COUNTIF(G11:$J11,F11),0)</f>
        <v>0</v>
      </c>
      <c r="Q11" s="1219">
        <f>IF(COUNTIF($A11:F11,G11)=0,COUNTIF(H11:$J11,G11),0)</f>
        <v>0</v>
      </c>
      <c r="R11" s="1219">
        <f>IF(COUNTIF($A11:G11,H11)=0,COUNTIF(I11:$J11,H11),0)</f>
        <v>0</v>
      </c>
      <c r="S11" s="536">
        <f>IF(COUNTIF($A11:H11,I11)=0,COUNTIF(J11:$J11,I11),0)</f>
        <v>0</v>
      </c>
    </row>
    <row r="12" spans="1:25">
      <c r="B12" s="1225">
        <f>SUM(B5:B11)</f>
        <v>50.5</v>
      </c>
      <c r="C12" s="1225">
        <f t="shared" ref="C12:I12" si="0">SUM(C5:C11)</f>
        <v>44.5</v>
      </c>
      <c r="D12" s="1225">
        <f t="shared" si="0"/>
        <v>32.5</v>
      </c>
      <c r="E12" s="1225">
        <f t="shared" si="0"/>
        <v>38</v>
      </c>
      <c r="F12" s="1225">
        <f t="shared" si="0"/>
        <v>28.5</v>
      </c>
      <c r="G12" s="1225">
        <f t="shared" si="0"/>
        <v>33</v>
      </c>
      <c r="H12" s="1225">
        <f t="shared" si="0"/>
        <v>12</v>
      </c>
      <c r="I12" s="1225">
        <f t="shared" si="0"/>
        <v>13</v>
      </c>
    </row>
    <row r="14" spans="1:25">
      <c r="B14" t="s">
        <v>169</v>
      </c>
      <c r="C14" s="1178">
        <f>COUNTA(B5:I5)</f>
        <v>8</v>
      </c>
      <c r="E14" s="23" t="s">
        <v>3297</v>
      </c>
    </row>
    <row r="15" spans="1:25">
      <c r="B15" t="s">
        <v>994</v>
      </c>
      <c r="C15" s="627">
        <f>COUNT(B5:B11)</f>
        <v>7</v>
      </c>
      <c r="E15" s="23" t="s">
        <v>3298</v>
      </c>
    </row>
    <row r="16" spans="1:25">
      <c r="B16" t="s">
        <v>642</v>
      </c>
      <c r="C16" s="627">
        <f>SUMPRODUCT((L5:S11+1)^3-(L5:S11+1))</f>
        <v>60</v>
      </c>
      <c r="E16" s="23" t="s">
        <v>3294</v>
      </c>
    </row>
    <row r="17" spans="2:5">
      <c r="B17" t="s">
        <v>1513</v>
      </c>
      <c r="C17" s="627">
        <f>(12*SUMSQ(B12:I12)-3*C15^2*C14*(C14+1)^2)/(C15^2*(C14^3-C14)-C15*C16)</f>
        <v>0.6460701927829956</v>
      </c>
      <c r="E17" s="23" t="s">
        <v>3295</v>
      </c>
    </row>
    <row r="18" spans="2:5">
      <c r="B18" t="s">
        <v>368</v>
      </c>
      <c r="C18" s="627">
        <f>(C15*C17-1)/(C15-1)</f>
        <v>0.58708189158016155</v>
      </c>
      <c r="E18" s="23" t="s">
        <v>3296</v>
      </c>
    </row>
    <row r="19" spans="2:5">
      <c r="B19" s="65" t="s">
        <v>346</v>
      </c>
      <c r="C19" s="627">
        <f>C15*(C14-1)*C17</f>
        <v>31.657439446366784</v>
      </c>
      <c r="E19" s="23" t="s">
        <v>3282</v>
      </c>
    </row>
    <row r="20" spans="2:5">
      <c r="B20" s="65" t="s">
        <v>186</v>
      </c>
      <c r="C20" s="627">
        <f>C14-1</f>
        <v>7</v>
      </c>
      <c r="E20" s="23" t="s">
        <v>3280</v>
      </c>
    </row>
    <row r="21" spans="2:5">
      <c r="B21" s="65" t="s">
        <v>200</v>
      </c>
      <c r="C21" s="544">
        <f>CHIDIST(C19,C20)</f>
        <v>4.7005265136025461E-5</v>
      </c>
      <c r="E21" s="23" t="s">
        <v>3281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sheetPr codeName="Sheet162"/>
  <dimension ref="A1:AK30"/>
  <sheetViews>
    <sheetView topLeftCell="X1" workbookViewId="0">
      <selection activeCell="AG8" sqref="AG8"/>
    </sheetView>
  </sheetViews>
  <sheetFormatPr defaultRowHeight="14.4"/>
  <cols>
    <col min="1" max="1" width="6.6640625" customWidth="1"/>
    <col min="6" max="6" width="5.33203125" customWidth="1"/>
    <col min="9" max="9" width="4.44140625" customWidth="1"/>
    <col min="10" max="10" width="4.6640625" customWidth="1"/>
    <col min="13" max="13" width="4" customWidth="1"/>
    <col min="14" max="14" width="4.6640625" customWidth="1"/>
    <col min="32" max="32" width="14" customWidth="1"/>
  </cols>
  <sheetData>
    <row r="1" spans="1:37">
      <c r="A1" s="1" t="s">
        <v>2811</v>
      </c>
      <c r="G1" s="1058"/>
      <c r="Y1" t="s">
        <v>4063</v>
      </c>
      <c r="AF1" t="s">
        <v>4064</v>
      </c>
    </row>
    <row r="2" spans="1:37">
      <c r="G2" s="1552" t="s">
        <v>166</v>
      </c>
      <c r="H2" s="1552"/>
      <c r="K2" s="1552" t="s">
        <v>1397</v>
      </c>
      <c r="L2" s="1552"/>
      <c r="O2" s="1552" t="s">
        <v>1398</v>
      </c>
      <c r="P2" s="1552"/>
    </row>
    <row r="3" spans="1:37">
      <c r="B3" s="1058" t="s">
        <v>166</v>
      </c>
      <c r="C3" s="1058" t="s">
        <v>12</v>
      </c>
      <c r="G3" s="1058" t="s">
        <v>2813</v>
      </c>
      <c r="H3" s="1058" t="s">
        <v>2814</v>
      </c>
      <c r="K3" s="1058" t="s">
        <v>2813</v>
      </c>
      <c r="L3" s="1058" t="s">
        <v>2814</v>
      </c>
      <c r="O3" s="1058" t="s">
        <v>2813</v>
      </c>
      <c r="P3" s="1058" t="s">
        <v>2814</v>
      </c>
      <c r="T3" s="1454" t="s">
        <v>166</v>
      </c>
      <c r="U3" s="1454" t="s">
        <v>12</v>
      </c>
      <c r="Y3" s="1454" t="s">
        <v>166</v>
      </c>
      <c r="Z3" s="1454" t="s">
        <v>1397</v>
      </c>
      <c r="AA3" s="1454" t="s">
        <v>1398</v>
      </c>
      <c r="AB3" s="1454" t="s">
        <v>1399</v>
      </c>
      <c r="AC3" s="1454" t="s">
        <v>1400</v>
      </c>
      <c r="AD3" s="1454" t="s">
        <v>12</v>
      </c>
      <c r="AF3" t="s">
        <v>2811</v>
      </c>
    </row>
    <row r="4" spans="1:37">
      <c r="A4">
        <v>1</v>
      </c>
      <c r="B4" s="1067">
        <v>1</v>
      </c>
      <c r="C4" s="1072">
        <v>20</v>
      </c>
      <c r="F4" t="s">
        <v>526</v>
      </c>
      <c r="G4" s="1081">
        <v>5</v>
      </c>
      <c r="H4" s="1069">
        <v>5</v>
      </c>
      <c r="J4" t="s">
        <v>526</v>
      </c>
      <c r="K4" s="1079">
        <v>2</v>
      </c>
      <c r="L4" s="1080">
        <v>4</v>
      </c>
      <c r="N4" t="s">
        <v>526</v>
      </c>
      <c r="O4" s="1079">
        <v>4</v>
      </c>
      <c r="P4" s="1080">
        <v>2</v>
      </c>
      <c r="S4">
        <v>1</v>
      </c>
      <c r="T4" s="1067">
        <v>1</v>
      </c>
      <c r="U4" s="1072">
        <v>20</v>
      </c>
      <c r="X4">
        <v>1</v>
      </c>
      <c r="Y4" s="1236">
        <v>1</v>
      </c>
      <c r="Z4" s="1405">
        <v>2</v>
      </c>
      <c r="AA4" s="1405">
        <v>2</v>
      </c>
      <c r="AB4" s="1405">
        <v>3</v>
      </c>
      <c r="AC4" s="1383">
        <v>2</v>
      </c>
      <c r="AD4" s="1235">
        <f>SUM(Y4:AC4)</f>
        <v>10</v>
      </c>
    </row>
    <row r="5" spans="1:37">
      <c r="A5">
        <f>A4+1</f>
        <v>2</v>
      </c>
      <c r="B5" s="656">
        <v>0</v>
      </c>
      <c r="C5" s="627">
        <v>19</v>
      </c>
      <c r="F5" t="s">
        <v>384</v>
      </c>
      <c r="G5" s="656">
        <v>4</v>
      </c>
      <c r="H5" s="657">
        <v>5</v>
      </c>
      <c r="J5" t="s">
        <v>384</v>
      </c>
      <c r="K5" s="1082">
        <v>12</v>
      </c>
      <c r="L5" s="1083">
        <v>11</v>
      </c>
      <c r="N5" t="s">
        <v>384</v>
      </c>
      <c r="O5" s="1082">
        <v>10</v>
      </c>
      <c r="P5" s="1083">
        <v>14</v>
      </c>
      <c r="S5">
        <f>S4+1</f>
        <v>2</v>
      </c>
      <c r="T5" s="656">
        <v>0</v>
      </c>
      <c r="U5" s="627">
        <v>19</v>
      </c>
      <c r="X5">
        <f>X4+1</f>
        <v>2</v>
      </c>
      <c r="Y5" s="656">
        <v>0</v>
      </c>
      <c r="Z5" s="8">
        <v>2</v>
      </c>
      <c r="AA5" s="8">
        <v>2</v>
      </c>
      <c r="AB5" s="8">
        <v>3</v>
      </c>
      <c r="AC5" s="657">
        <v>2</v>
      </c>
      <c r="AD5" s="627">
        <f t="shared" ref="AD5:AD21" si="0">SUM(Y5:AC5)</f>
        <v>9</v>
      </c>
      <c r="AF5" t="s">
        <v>4065</v>
      </c>
      <c r="AG5">
        <v>0.33333332999999998</v>
      </c>
    </row>
    <row r="6" spans="1:37">
      <c r="A6">
        <f t="shared" ref="A6:A21" si="1">A5+1</f>
        <v>3</v>
      </c>
      <c r="B6" s="656">
        <v>1</v>
      </c>
      <c r="C6" s="627">
        <v>18</v>
      </c>
      <c r="F6" t="s">
        <v>385</v>
      </c>
      <c r="G6" s="656">
        <v>6</v>
      </c>
      <c r="H6" s="657">
        <v>4</v>
      </c>
      <c r="J6" t="s">
        <v>385</v>
      </c>
      <c r="K6" s="656">
        <v>3</v>
      </c>
      <c r="L6" s="657">
        <v>1</v>
      </c>
      <c r="N6" t="s">
        <v>385</v>
      </c>
      <c r="O6" s="656">
        <v>3</v>
      </c>
      <c r="P6" s="657">
        <v>1</v>
      </c>
      <c r="S6">
        <f t="shared" ref="S6:S21" si="2">S5+1</f>
        <v>3</v>
      </c>
      <c r="T6" s="656">
        <v>1</v>
      </c>
      <c r="U6" s="627">
        <v>18</v>
      </c>
      <c r="X6">
        <f t="shared" ref="X6:X21" si="3">X5+1</f>
        <v>3</v>
      </c>
      <c r="Y6" s="656">
        <v>1</v>
      </c>
      <c r="Z6" s="8">
        <v>1</v>
      </c>
      <c r="AA6" s="8">
        <v>2</v>
      </c>
      <c r="AB6" s="8">
        <v>2</v>
      </c>
      <c r="AC6" s="657">
        <v>2</v>
      </c>
      <c r="AD6" s="627">
        <f t="shared" si="0"/>
        <v>8</v>
      </c>
    </row>
    <row r="7" spans="1:37">
      <c r="A7">
        <f t="shared" si="1"/>
        <v>4</v>
      </c>
      <c r="B7" s="656">
        <v>1</v>
      </c>
      <c r="C7" s="627">
        <v>17</v>
      </c>
      <c r="F7" t="s">
        <v>386</v>
      </c>
      <c r="G7" s="656">
        <v>5</v>
      </c>
      <c r="H7" s="657">
        <v>6</v>
      </c>
      <c r="J7" t="s">
        <v>386</v>
      </c>
      <c r="K7" s="656">
        <v>3</v>
      </c>
      <c r="L7" s="657">
        <v>4</v>
      </c>
      <c r="N7" t="s">
        <v>386</v>
      </c>
      <c r="O7" s="656">
        <v>3</v>
      </c>
      <c r="P7" s="657">
        <v>3</v>
      </c>
      <c r="S7">
        <f t="shared" si="2"/>
        <v>4</v>
      </c>
      <c r="T7" s="656">
        <v>1</v>
      </c>
      <c r="U7" s="627">
        <v>17</v>
      </c>
      <c r="X7">
        <f t="shared" si="3"/>
        <v>4</v>
      </c>
      <c r="Y7" s="656">
        <v>0</v>
      </c>
      <c r="Z7" s="8">
        <v>2</v>
      </c>
      <c r="AA7" s="8">
        <v>1</v>
      </c>
      <c r="AB7" s="8">
        <v>3</v>
      </c>
      <c r="AC7" s="657">
        <v>2</v>
      </c>
      <c r="AD7" s="627">
        <f t="shared" si="0"/>
        <v>8</v>
      </c>
      <c r="AG7" s="1454" t="str">
        <f>Y3</f>
        <v>Q1</v>
      </c>
      <c r="AH7" s="1454" t="str">
        <f>Z3</f>
        <v>Q2</v>
      </c>
      <c r="AI7" s="1454" t="str">
        <f>AA3</f>
        <v>Q3</v>
      </c>
      <c r="AJ7" s="1454" t="str">
        <f>AB3</f>
        <v>Q4</v>
      </c>
      <c r="AK7" s="1454" t="str">
        <f>AC3</f>
        <v>Q5</v>
      </c>
    </row>
    <row r="8" spans="1:37">
      <c r="A8">
        <f t="shared" si="1"/>
        <v>5</v>
      </c>
      <c r="B8" s="656">
        <v>1</v>
      </c>
      <c r="C8" s="627">
        <v>17</v>
      </c>
      <c r="F8" s="23" t="s">
        <v>271</v>
      </c>
      <c r="G8" s="533">
        <v>0</v>
      </c>
      <c r="H8" s="541">
        <v>0</v>
      </c>
      <c r="J8" s="23" t="s">
        <v>271</v>
      </c>
      <c r="K8" s="533">
        <v>0</v>
      </c>
      <c r="L8" s="541">
        <v>0</v>
      </c>
      <c r="N8" s="23" t="s">
        <v>271</v>
      </c>
      <c r="O8" s="533">
        <v>0</v>
      </c>
      <c r="P8" s="541">
        <v>0</v>
      </c>
      <c r="S8">
        <f t="shared" si="2"/>
        <v>5</v>
      </c>
      <c r="T8" s="656">
        <v>1</v>
      </c>
      <c r="U8" s="627">
        <v>17</v>
      </c>
      <c r="X8">
        <f t="shared" si="3"/>
        <v>5</v>
      </c>
      <c r="Y8" s="656">
        <v>0</v>
      </c>
      <c r="Z8" s="8">
        <v>2</v>
      </c>
      <c r="AA8" s="8">
        <v>2</v>
      </c>
      <c r="AB8" s="8">
        <v>2</v>
      </c>
      <c r="AC8" s="657">
        <v>2</v>
      </c>
      <c r="AD8" s="627">
        <f t="shared" si="0"/>
        <v>8</v>
      </c>
      <c r="AF8" t="s">
        <v>4066</v>
      </c>
      <c r="AG8" s="1232" t="e">
        <f ca="1">[1]!ITEMDIFF(Y4:Y21,Y22)</f>
        <v>#NAME?</v>
      </c>
      <c r="AH8" s="1114" t="e">
        <f ca="1">[1]!ITEMDIFF(Z4:Z21,Z22)</f>
        <v>#NAME?</v>
      </c>
      <c r="AI8" s="1114" t="e">
        <f ca="1">[1]!ITEMDIFF(AA4:AA21,AA22)</f>
        <v>#NAME?</v>
      </c>
      <c r="AJ8" s="1114" t="e">
        <f ca="1">[1]!ITEMDIFF(AB4:AB21,AB22)</f>
        <v>#NAME?</v>
      </c>
      <c r="AK8" s="1233" t="e">
        <f ca="1">[1]!ITEMDIFF(AC4:AC21,AC22)</f>
        <v>#NAME?</v>
      </c>
    </row>
    <row r="9" spans="1:37">
      <c r="A9">
        <f t="shared" si="1"/>
        <v>6</v>
      </c>
      <c r="B9" s="656">
        <v>1</v>
      </c>
      <c r="C9" s="627">
        <v>16</v>
      </c>
      <c r="G9">
        <f>SUM(G4:G8)</f>
        <v>20</v>
      </c>
      <c r="H9">
        <f>SUM(H4:H8)</f>
        <v>20</v>
      </c>
      <c r="K9">
        <f>SUM(K4:K8)</f>
        <v>20</v>
      </c>
      <c r="L9">
        <f>SUM(L4:L8)</f>
        <v>20</v>
      </c>
      <c r="O9">
        <f>SUM(O4:O8)</f>
        <v>20</v>
      </c>
      <c r="P9">
        <f>SUM(P4:P8)</f>
        <v>20</v>
      </c>
      <c r="S9">
        <f t="shared" si="2"/>
        <v>6</v>
      </c>
      <c r="T9" s="656">
        <v>0</v>
      </c>
      <c r="U9" s="627">
        <v>16</v>
      </c>
      <c r="X9">
        <f t="shared" si="3"/>
        <v>6</v>
      </c>
      <c r="Y9" s="656">
        <v>0</v>
      </c>
      <c r="Z9" s="8">
        <v>2</v>
      </c>
      <c r="AA9" s="8">
        <v>2</v>
      </c>
      <c r="AB9" s="8">
        <v>1</v>
      </c>
      <c r="AC9" s="657">
        <v>2</v>
      </c>
      <c r="AD9" s="627">
        <f t="shared" si="0"/>
        <v>7</v>
      </c>
      <c r="AF9" t="s">
        <v>4067</v>
      </c>
      <c r="AG9" s="625" t="e">
        <f ca="1">[1]!ITEMDISC(Y4:Y21,$AD4:$AD21,$AG5,Y22)</f>
        <v>#NAME?</v>
      </c>
      <c r="AH9" s="8" t="e">
        <f ca="1">[1]!ITEMDISC(Z4:Z21,$AD4:$AD21,$AG5,Z22)</f>
        <v>#NAME?</v>
      </c>
      <c r="AI9" s="8" t="e">
        <f ca="1">[1]!ITEMDISC(AA4:AA21,$AD4:$AD21,$AG5,AA22)</f>
        <v>#NAME?</v>
      </c>
      <c r="AJ9" s="8" t="e">
        <f ca="1">[1]!ITEMDISC(AB4:AB21,$AD4:$AD21,$AG5,AB22)</f>
        <v>#NAME?</v>
      </c>
      <c r="AK9" s="132" t="e">
        <f ca="1">[1]!ITEMDISC(AC4:AC21,$AD4:$AD21,$AG5,AC22)</f>
        <v>#NAME?</v>
      </c>
    </row>
    <row r="10" spans="1:37">
      <c r="A10">
        <f t="shared" si="1"/>
        <v>7</v>
      </c>
      <c r="B10" s="656">
        <v>1</v>
      </c>
      <c r="C10" s="627">
        <v>16</v>
      </c>
      <c r="S10">
        <f t="shared" si="2"/>
        <v>7</v>
      </c>
      <c r="T10" s="656">
        <v>1</v>
      </c>
      <c r="U10" s="627">
        <v>16</v>
      </c>
      <c r="X10">
        <f t="shared" si="3"/>
        <v>7</v>
      </c>
      <c r="Y10" s="656">
        <v>1</v>
      </c>
      <c r="Z10" s="8">
        <v>2</v>
      </c>
      <c r="AA10" s="8">
        <v>2</v>
      </c>
      <c r="AB10" s="8">
        <v>0</v>
      </c>
      <c r="AC10" s="657">
        <v>1</v>
      </c>
      <c r="AD10" s="627">
        <f t="shared" si="0"/>
        <v>6</v>
      </c>
      <c r="AF10" t="s">
        <v>553</v>
      </c>
      <c r="AG10" s="1075">
        <f>CORREL(Y4:Y21,$AD4:$AD21)</f>
        <v>-0.10468478451804281</v>
      </c>
      <c r="AH10" s="1076">
        <f>CORREL(Z4:Z21,$AD4:$AD21)</f>
        <v>0.61764022865645229</v>
      </c>
      <c r="AI10" s="1076">
        <f>CORREL(AA4:AA21,$AD4:$AD21)</f>
        <v>0.73122395108284544</v>
      </c>
      <c r="AJ10" s="1076">
        <f>CORREL(AB4:AB21,$AD4:$AD21)</f>
        <v>0.35112344158839182</v>
      </c>
      <c r="AK10" s="1077">
        <f>CORREL(AC4:AC21,$AD4:$AD21)</f>
        <v>0.86058506472071239</v>
      </c>
    </row>
    <row r="11" spans="1:37">
      <c r="A11">
        <f t="shared" si="1"/>
        <v>8</v>
      </c>
      <c r="B11" s="656">
        <v>1</v>
      </c>
      <c r="C11" s="627">
        <v>15</v>
      </c>
      <c r="F11" t="s">
        <v>2812</v>
      </c>
      <c r="G11" s="1072">
        <f>(G4+H4)/SUM(G4:H8)</f>
        <v>0.25</v>
      </c>
      <c r="J11" t="s">
        <v>2812</v>
      </c>
      <c r="K11" s="1072">
        <f>(K5+L5)/SUM(K4:L8)</f>
        <v>0.57499999999999996</v>
      </c>
      <c r="N11" t="s">
        <v>2812</v>
      </c>
      <c r="O11" s="1072">
        <f>(O5+P5)/SUM(O4:P8)</f>
        <v>0.6</v>
      </c>
      <c r="S11">
        <f t="shared" si="2"/>
        <v>8</v>
      </c>
      <c r="T11" s="656">
        <v>1</v>
      </c>
      <c r="U11" s="627">
        <v>15</v>
      </c>
      <c r="X11">
        <f t="shared" si="3"/>
        <v>8</v>
      </c>
      <c r="Y11" s="656">
        <v>0</v>
      </c>
      <c r="Z11" s="8">
        <v>0</v>
      </c>
      <c r="AA11" s="8">
        <v>2</v>
      </c>
      <c r="AB11" s="8">
        <v>2</v>
      </c>
      <c r="AC11" s="657">
        <v>2</v>
      </c>
      <c r="AD11" s="627">
        <f t="shared" si="0"/>
        <v>6</v>
      </c>
    </row>
    <row r="12" spans="1:37">
      <c r="A12">
        <f t="shared" si="1"/>
        <v>9</v>
      </c>
      <c r="B12" s="656">
        <v>0</v>
      </c>
      <c r="C12" s="627">
        <v>15</v>
      </c>
      <c r="F12" t="s">
        <v>386</v>
      </c>
      <c r="G12" s="544">
        <f>G4/SUM(G4:G8)-H4/SUM(H4:H8)</f>
        <v>0</v>
      </c>
      <c r="J12" t="s">
        <v>386</v>
      </c>
      <c r="K12" s="544">
        <f>K5/SUM(K4:K8)-L5/SUM(L4:L8)</f>
        <v>4.9999999999999933E-2</v>
      </c>
      <c r="N12" t="s">
        <v>386</v>
      </c>
      <c r="O12" s="544">
        <f>O5/SUM(O4:O8)-P5/SUM(P4:P8)</f>
        <v>-0.19999999999999996</v>
      </c>
      <c r="S12">
        <f t="shared" si="2"/>
        <v>9</v>
      </c>
      <c r="T12" s="656">
        <v>0</v>
      </c>
      <c r="U12" s="627">
        <v>15</v>
      </c>
      <c r="X12">
        <f t="shared" si="3"/>
        <v>9</v>
      </c>
      <c r="Y12" s="656">
        <v>0</v>
      </c>
      <c r="Z12" s="8">
        <v>2</v>
      </c>
      <c r="AA12" s="8">
        <v>1</v>
      </c>
      <c r="AB12" s="8">
        <v>2</v>
      </c>
      <c r="AC12" s="657">
        <v>1</v>
      </c>
      <c r="AD12" s="627">
        <f t="shared" si="0"/>
        <v>6</v>
      </c>
    </row>
    <row r="13" spans="1:37">
      <c r="A13">
        <f t="shared" si="1"/>
        <v>10</v>
      </c>
      <c r="B13" s="656">
        <v>1</v>
      </c>
      <c r="C13" s="627">
        <v>14</v>
      </c>
      <c r="S13">
        <f t="shared" si="2"/>
        <v>10</v>
      </c>
      <c r="T13" s="656">
        <v>0</v>
      </c>
      <c r="U13" s="627">
        <v>13</v>
      </c>
      <c r="X13">
        <f t="shared" si="3"/>
        <v>10</v>
      </c>
      <c r="Y13" s="656">
        <v>1</v>
      </c>
      <c r="Z13" s="8">
        <v>1</v>
      </c>
      <c r="AA13" s="8">
        <v>0</v>
      </c>
      <c r="AB13" s="8">
        <v>2</v>
      </c>
      <c r="AC13" s="657">
        <v>1</v>
      </c>
      <c r="AD13" s="627">
        <f t="shared" si="0"/>
        <v>5</v>
      </c>
    </row>
    <row r="14" spans="1:37">
      <c r="A14">
        <f t="shared" si="1"/>
        <v>11</v>
      </c>
      <c r="B14" s="656">
        <v>0</v>
      </c>
      <c r="C14" s="627">
        <v>14</v>
      </c>
      <c r="G14" s="1552" t="s">
        <v>1399</v>
      </c>
      <c r="H14" s="1552"/>
      <c r="K14" s="1552" t="s">
        <v>1400</v>
      </c>
      <c r="L14" s="1552"/>
      <c r="O14" s="1552" t="s">
        <v>1401</v>
      </c>
      <c r="P14" s="1552"/>
      <c r="S14">
        <f t="shared" si="2"/>
        <v>11</v>
      </c>
      <c r="T14" s="656">
        <v>0</v>
      </c>
      <c r="U14" s="627">
        <v>13</v>
      </c>
      <c r="X14">
        <f t="shared" si="3"/>
        <v>11</v>
      </c>
      <c r="Y14" s="656">
        <v>0</v>
      </c>
      <c r="Z14" s="8">
        <v>2</v>
      </c>
      <c r="AA14" s="8">
        <v>1</v>
      </c>
      <c r="AB14" s="8">
        <v>2</v>
      </c>
      <c r="AC14" s="657">
        <v>0</v>
      </c>
      <c r="AD14" s="627">
        <f t="shared" si="0"/>
        <v>5</v>
      </c>
    </row>
    <row r="15" spans="1:37">
      <c r="A15">
        <f t="shared" si="1"/>
        <v>12</v>
      </c>
      <c r="B15" s="656">
        <v>1</v>
      </c>
      <c r="C15" s="627">
        <v>14</v>
      </c>
      <c r="G15" s="1058" t="s">
        <v>2813</v>
      </c>
      <c r="H15" s="1058" t="s">
        <v>2814</v>
      </c>
      <c r="K15" s="1058" t="s">
        <v>2813</v>
      </c>
      <c r="L15" s="1058" t="s">
        <v>2814</v>
      </c>
      <c r="O15" s="1058" t="s">
        <v>2813</v>
      </c>
      <c r="P15" s="1058" t="s">
        <v>2814</v>
      </c>
      <c r="S15">
        <f t="shared" si="2"/>
        <v>12</v>
      </c>
      <c r="T15" s="656">
        <v>0</v>
      </c>
      <c r="U15" s="627">
        <v>13</v>
      </c>
      <c r="X15">
        <f t="shared" si="3"/>
        <v>12</v>
      </c>
      <c r="Y15" s="656">
        <v>1</v>
      </c>
      <c r="Z15" s="8">
        <v>0</v>
      </c>
      <c r="AA15" s="8">
        <v>2</v>
      </c>
      <c r="AB15" s="8">
        <v>2</v>
      </c>
      <c r="AC15" s="657">
        <v>0</v>
      </c>
      <c r="AD15" s="627">
        <f t="shared" si="0"/>
        <v>5</v>
      </c>
    </row>
    <row r="16" spans="1:37">
      <c r="A16">
        <f t="shared" si="1"/>
        <v>13</v>
      </c>
      <c r="B16" s="656">
        <v>0</v>
      </c>
      <c r="C16" s="627">
        <v>13</v>
      </c>
      <c r="F16" t="s">
        <v>526</v>
      </c>
      <c r="G16" s="1079">
        <v>2</v>
      </c>
      <c r="H16" s="1080">
        <v>2</v>
      </c>
      <c r="J16" t="s">
        <v>526</v>
      </c>
      <c r="K16" s="1079">
        <v>0</v>
      </c>
      <c r="L16" s="1080">
        <v>1</v>
      </c>
      <c r="N16" t="s">
        <v>526</v>
      </c>
      <c r="O16" s="1081">
        <v>11</v>
      </c>
      <c r="P16" s="1069">
        <v>9</v>
      </c>
      <c r="S16">
        <f t="shared" si="2"/>
        <v>13</v>
      </c>
      <c r="T16" s="656">
        <v>0</v>
      </c>
      <c r="U16" s="627">
        <v>13</v>
      </c>
      <c r="X16">
        <f t="shared" si="3"/>
        <v>13</v>
      </c>
      <c r="Y16" s="656">
        <v>1</v>
      </c>
      <c r="Z16" s="8">
        <v>1</v>
      </c>
      <c r="AA16" s="8">
        <v>0</v>
      </c>
      <c r="AB16" s="8">
        <v>2</v>
      </c>
      <c r="AC16" s="657">
        <v>0</v>
      </c>
      <c r="AD16" s="627">
        <f t="shared" si="0"/>
        <v>4</v>
      </c>
    </row>
    <row r="17" spans="1:32">
      <c r="A17">
        <f t="shared" si="1"/>
        <v>14</v>
      </c>
      <c r="B17" s="656">
        <v>1</v>
      </c>
      <c r="C17" s="627">
        <v>12</v>
      </c>
      <c r="F17" t="s">
        <v>384</v>
      </c>
      <c r="G17" s="656">
        <v>1</v>
      </c>
      <c r="H17" s="657">
        <v>3</v>
      </c>
      <c r="J17" t="s">
        <v>384</v>
      </c>
      <c r="K17" s="1084">
        <v>1</v>
      </c>
      <c r="L17" s="1085">
        <v>1</v>
      </c>
      <c r="N17" t="s">
        <v>384</v>
      </c>
      <c r="O17" s="1084">
        <v>0</v>
      </c>
      <c r="P17" s="1085">
        <v>1</v>
      </c>
      <c r="S17">
        <f t="shared" si="2"/>
        <v>14</v>
      </c>
      <c r="T17" s="656">
        <v>1</v>
      </c>
      <c r="U17" s="627">
        <v>13</v>
      </c>
      <c r="X17">
        <f t="shared" si="3"/>
        <v>14</v>
      </c>
      <c r="Y17" s="656">
        <v>1</v>
      </c>
      <c r="Z17" s="8">
        <v>1</v>
      </c>
      <c r="AA17" s="8">
        <v>0</v>
      </c>
      <c r="AB17" s="8">
        <v>2</v>
      </c>
      <c r="AC17" s="657">
        <v>0</v>
      </c>
      <c r="AD17" s="627">
        <f t="shared" si="0"/>
        <v>4</v>
      </c>
    </row>
    <row r="18" spans="1:32">
      <c r="A18">
        <f t="shared" si="1"/>
        <v>15</v>
      </c>
      <c r="B18" s="656">
        <v>0</v>
      </c>
      <c r="C18" s="627">
        <v>12</v>
      </c>
      <c r="F18" t="s">
        <v>385</v>
      </c>
      <c r="G18" s="656">
        <v>2</v>
      </c>
      <c r="H18" s="657">
        <v>3</v>
      </c>
      <c r="J18" t="s">
        <v>385</v>
      </c>
      <c r="K18" s="1082">
        <v>19</v>
      </c>
      <c r="L18" s="1083">
        <v>16</v>
      </c>
      <c r="N18" t="s">
        <v>385</v>
      </c>
      <c r="O18" s="656">
        <v>9</v>
      </c>
      <c r="P18" s="657">
        <v>9</v>
      </c>
      <c r="S18">
        <f t="shared" si="2"/>
        <v>15</v>
      </c>
      <c r="T18" s="656">
        <v>0</v>
      </c>
      <c r="U18" s="627">
        <v>12</v>
      </c>
      <c r="X18">
        <f t="shared" si="3"/>
        <v>15</v>
      </c>
      <c r="Y18" s="656">
        <v>1</v>
      </c>
      <c r="Z18" s="8">
        <v>0</v>
      </c>
      <c r="AA18" s="8">
        <v>0</v>
      </c>
      <c r="AB18" s="8">
        <v>2</v>
      </c>
      <c r="AC18" s="657">
        <v>1</v>
      </c>
      <c r="AD18" s="627">
        <f t="shared" si="0"/>
        <v>4</v>
      </c>
    </row>
    <row r="19" spans="1:32">
      <c r="A19">
        <f t="shared" si="1"/>
        <v>16</v>
      </c>
      <c r="B19" s="656">
        <v>1</v>
      </c>
      <c r="C19" s="627">
        <v>10</v>
      </c>
      <c r="F19" t="s">
        <v>386</v>
      </c>
      <c r="G19" s="1082">
        <v>12</v>
      </c>
      <c r="H19" s="1083">
        <v>8</v>
      </c>
      <c r="J19" t="s">
        <v>386</v>
      </c>
      <c r="K19" s="656">
        <v>0</v>
      </c>
      <c r="L19" s="657">
        <v>2</v>
      </c>
      <c r="N19" t="s">
        <v>386</v>
      </c>
      <c r="O19" s="656">
        <v>0</v>
      </c>
      <c r="P19" s="657">
        <v>1</v>
      </c>
      <c r="S19">
        <f t="shared" si="2"/>
        <v>16</v>
      </c>
      <c r="T19" s="656">
        <v>1</v>
      </c>
      <c r="U19" s="627">
        <v>10</v>
      </c>
      <c r="X19">
        <f t="shared" si="3"/>
        <v>16</v>
      </c>
      <c r="Y19" s="656">
        <v>1</v>
      </c>
      <c r="Z19" s="8">
        <v>0</v>
      </c>
      <c r="AA19" s="8">
        <v>0</v>
      </c>
      <c r="AB19" s="8">
        <v>3</v>
      </c>
      <c r="AC19" s="657">
        <v>0</v>
      </c>
      <c r="AD19" s="627">
        <f t="shared" si="0"/>
        <v>4</v>
      </c>
    </row>
    <row r="20" spans="1:32">
      <c r="A20">
        <f t="shared" si="1"/>
        <v>17</v>
      </c>
      <c r="B20" s="656">
        <v>0</v>
      </c>
      <c r="C20" s="627">
        <v>8</v>
      </c>
      <c r="F20" s="23" t="s">
        <v>271</v>
      </c>
      <c r="G20" s="533">
        <v>3</v>
      </c>
      <c r="H20" s="541">
        <v>4</v>
      </c>
      <c r="J20" s="23" t="s">
        <v>271</v>
      </c>
      <c r="K20" s="533">
        <v>0</v>
      </c>
      <c r="L20" s="541">
        <v>0</v>
      </c>
      <c r="N20" s="23" t="s">
        <v>271</v>
      </c>
      <c r="O20" s="533">
        <v>0</v>
      </c>
      <c r="P20" s="541">
        <v>0</v>
      </c>
      <c r="S20">
        <f t="shared" si="2"/>
        <v>17</v>
      </c>
      <c r="T20" s="656">
        <v>1</v>
      </c>
      <c r="U20" s="627">
        <v>8</v>
      </c>
      <c r="X20">
        <f t="shared" si="3"/>
        <v>17</v>
      </c>
      <c r="Y20" s="656">
        <v>0</v>
      </c>
      <c r="Z20" s="8">
        <v>0</v>
      </c>
      <c r="AA20" s="8">
        <v>1</v>
      </c>
      <c r="AB20" s="8">
        <v>2</v>
      </c>
      <c r="AC20" s="657">
        <v>0</v>
      </c>
      <c r="AD20" s="627">
        <f t="shared" si="0"/>
        <v>3</v>
      </c>
    </row>
    <row r="21" spans="1:32">
      <c r="A21">
        <f t="shared" si="1"/>
        <v>18</v>
      </c>
      <c r="B21" s="533">
        <v>0</v>
      </c>
      <c r="C21" s="544">
        <v>5</v>
      </c>
      <c r="G21">
        <f>SUM(G16:G20)</f>
        <v>20</v>
      </c>
      <c r="H21">
        <f>SUM(H16:H20)</f>
        <v>20</v>
      </c>
      <c r="K21">
        <f>SUM(K16:K20)</f>
        <v>20</v>
      </c>
      <c r="L21">
        <f>SUM(L16:L20)</f>
        <v>20</v>
      </c>
      <c r="O21">
        <f>SUM(O16:O20)</f>
        <v>20</v>
      </c>
      <c r="P21">
        <f>SUM(P16:P20)</f>
        <v>20</v>
      </c>
      <c r="S21">
        <f t="shared" si="2"/>
        <v>18</v>
      </c>
      <c r="T21" s="533">
        <v>0</v>
      </c>
      <c r="U21" s="544">
        <v>5</v>
      </c>
      <c r="X21">
        <f t="shared" si="3"/>
        <v>18</v>
      </c>
      <c r="Y21" s="533">
        <v>0</v>
      </c>
      <c r="Z21" s="1078">
        <v>1</v>
      </c>
      <c r="AA21" s="1078">
        <v>0</v>
      </c>
      <c r="AB21" s="1078">
        <v>1</v>
      </c>
      <c r="AC21" s="541">
        <v>0</v>
      </c>
      <c r="AD21" s="544">
        <f t="shared" si="0"/>
        <v>2</v>
      </c>
    </row>
    <row r="22" spans="1:32">
      <c r="X22" s="19" t="s">
        <v>3359</v>
      </c>
      <c r="Y22" s="1456">
        <v>1</v>
      </c>
      <c r="Z22" s="821">
        <v>2</v>
      </c>
      <c r="AA22" s="821">
        <v>2</v>
      </c>
      <c r="AB22" s="821">
        <v>3</v>
      </c>
      <c r="AC22" s="849">
        <v>2</v>
      </c>
      <c r="AD22" s="1273">
        <f>SUM(Y22:AC22)</f>
        <v>10</v>
      </c>
    </row>
    <row r="23" spans="1:32">
      <c r="A23" s="19" t="s">
        <v>2812</v>
      </c>
      <c r="B23" s="1072">
        <f>COUNTIF(B4:B21,1)/COUNTA(B4:B21)</f>
        <v>0.61111111111111116</v>
      </c>
      <c r="F23" t="s">
        <v>2812</v>
      </c>
      <c r="G23" s="1072">
        <f>(G19+H19)/SUM(G16:H20)</f>
        <v>0.5</v>
      </c>
      <c r="J23" t="s">
        <v>2812</v>
      </c>
      <c r="K23" s="1072">
        <f>(K18+L18)/SUM(K16:L20)</f>
        <v>0.875</v>
      </c>
      <c r="N23" t="s">
        <v>2812</v>
      </c>
      <c r="O23" s="1072">
        <f>(O16+P16)/SUM(O16:P20)</f>
        <v>0.5</v>
      </c>
      <c r="S23" s="19" t="s">
        <v>2812</v>
      </c>
      <c r="T23" s="1072" t="e">
        <f ca="1">[1]!ITEMDIFF(T4:T21)</f>
        <v>#NAME?</v>
      </c>
    </row>
    <row r="24" spans="1:32">
      <c r="A24" s="19" t="s">
        <v>386</v>
      </c>
      <c r="B24" s="627">
        <f>COUNTIF(B4:B9,1)/COUNT(B4:B9)-COUNTIF(B16:B21,1)/COUNT(B16:B21)</f>
        <v>0.5</v>
      </c>
      <c r="F24" t="s">
        <v>386</v>
      </c>
      <c r="G24" s="544">
        <f>G19/SUM(G16:G20)-H19/SUM(H16:H20)</f>
        <v>0.19999999999999996</v>
      </c>
      <c r="J24" t="s">
        <v>386</v>
      </c>
      <c r="K24" s="544">
        <f>K18/SUM(K16:K20)-L18/SUM(L16:L20)</f>
        <v>0.14999999999999991</v>
      </c>
      <c r="N24" t="s">
        <v>386</v>
      </c>
      <c r="O24" s="544">
        <f>O16/COUNT(O16:O20)-P16/COUNT(P16:P20)</f>
        <v>0.40000000000000013</v>
      </c>
      <c r="S24" s="19" t="s">
        <v>386</v>
      </c>
      <c r="T24" s="627" t="e">
        <f ca="1">[1]!ITEMDISC(T4:T21,U4:U21)</f>
        <v>#NAME?</v>
      </c>
      <c r="X24" s="19" t="s">
        <v>2812</v>
      </c>
      <c r="Y24" s="1236" t="e">
        <f ca="1">[1]!ITEMDIFF(Y4:Y21,Y22)</f>
        <v>#NAME?</v>
      </c>
      <c r="Z24" s="1234" t="e">
        <f ca="1">[1]!ITEMDIFF(Z4:Z21,Z22)</f>
        <v>#NAME?</v>
      </c>
      <c r="AA24" s="1234" t="e">
        <f ca="1">[1]!ITEMDIFF(AA4:AA21,AA22)</f>
        <v>#NAME?</v>
      </c>
      <c r="AB24" s="1234" t="e">
        <f ca="1">[1]!ITEMDIFF(AB4:AB21,AB22)</f>
        <v>#NAME?</v>
      </c>
      <c r="AC24" s="1237" t="e">
        <f ca="1">[1]!ITEMDIFF(AC4:AC21,AC22)</f>
        <v>#NAME?</v>
      </c>
      <c r="AD24" s="756" t="e">
        <f ca="1">[1]!ITEMDIFF(AD4:AD21,AD22)</f>
        <v>#NAME?</v>
      </c>
      <c r="AF24" t="s">
        <v>4068</v>
      </c>
    </row>
    <row r="25" spans="1:32">
      <c r="A25" s="19" t="s">
        <v>325</v>
      </c>
      <c r="B25" s="544">
        <f>CORREL(B4:B21,C4:C21)</f>
        <v>0.4054695723995605</v>
      </c>
      <c r="S25" s="19" t="s">
        <v>325</v>
      </c>
      <c r="T25" s="544">
        <f>CORREL(T4:T21,U4:U21)</f>
        <v>0.2249859388182221</v>
      </c>
      <c r="X25" s="19" t="s">
        <v>386</v>
      </c>
      <c r="Y25" s="656" t="e">
        <f ca="1">[1]!ITEMDISC(Y4:Y21,$AD4:$AD21,,Y22)</f>
        <v>#NAME?</v>
      </c>
      <c r="Z25" s="8" t="e">
        <f ca="1">[1]!ITEMDISC(Z4:Z21,$AD4:$AD21,,Z22)</f>
        <v>#NAME?</v>
      </c>
      <c r="AA25" s="8" t="e">
        <f ca="1">[1]!ITEMDISC(AA4:AA21,$AD4:$AD21,,AA22)</f>
        <v>#NAME?</v>
      </c>
      <c r="AB25" s="8" t="e">
        <f ca="1">[1]!ITEMDISC(AB4:AB21,$AD4:$AD21,,AB22)</f>
        <v>#NAME?</v>
      </c>
      <c r="AC25" s="657" t="e">
        <f ca="1">[1]!ITEMDISC(AC4:AC21,$AD4:$AD21,,AC22)</f>
        <v>#NAME?</v>
      </c>
    </row>
    <row r="26" spans="1:32">
      <c r="X26" s="19" t="s">
        <v>3329</v>
      </c>
      <c r="Y26" s="533">
        <f>CORREL(Y4:Y21,$AD4:$AD21)</f>
        <v>-0.10468478451804281</v>
      </c>
      <c r="Z26" s="1078">
        <f>CORREL(Z4:Z21,$AD4:$AD21)</f>
        <v>0.61764022865645229</v>
      </c>
      <c r="AA26" s="1078">
        <f>CORREL(AA4:AA21,$AD4:$AD21)</f>
        <v>0.73122395108284544</v>
      </c>
      <c r="AB26" s="1078">
        <f>CORREL(AB4:AB21,$AD4:$AD21)</f>
        <v>0.35112344158839182</v>
      </c>
      <c r="AC26" s="541">
        <f>CORREL(AC4:AC21,$AD4:$AD21)</f>
        <v>0.86058506472071239</v>
      </c>
    </row>
    <row r="28" spans="1:32">
      <c r="X28" s="19" t="s">
        <v>2812</v>
      </c>
      <c r="Y28" s="1236">
        <f t="shared" ref="Y28:AD28" si="4">SUM(Y4:Y21)/(COUNT(Y4:Y21)*Y22)</f>
        <v>0.5</v>
      </c>
      <c r="Z28" s="1234">
        <f t="shared" si="4"/>
        <v>0.58333333333333337</v>
      </c>
      <c r="AA28" s="1234">
        <f t="shared" si="4"/>
        <v>0.55555555555555558</v>
      </c>
      <c r="AB28" s="1234">
        <f t="shared" si="4"/>
        <v>0.66666666666666663</v>
      </c>
      <c r="AC28" s="1237">
        <f t="shared" si="4"/>
        <v>0.5</v>
      </c>
      <c r="AD28" s="756">
        <f t="shared" si="4"/>
        <v>0.57777777777777772</v>
      </c>
      <c r="AF28" t="s">
        <v>4069</v>
      </c>
    </row>
    <row r="29" spans="1:32">
      <c r="X29" s="19" t="s">
        <v>386</v>
      </c>
      <c r="Y29" s="656">
        <f>(SUM(Y4:Y9)-SUM(Y16:Y21))/(COUNT(Y4:Y9)*Y22)</f>
        <v>-0.33333333333333331</v>
      </c>
      <c r="Z29" s="8">
        <f>(SUM(Z4:Z9)-SUM(Z16:Z21))/(COUNT(Z4:Z9)*Z22)</f>
        <v>0.66666666666666663</v>
      </c>
      <c r="AA29" s="8">
        <f>(SUM(AA4:AA9)-SUM(AA16:AA21))/(COUNT(AA4:AA9)*AA22)</f>
        <v>0.83333333333333337</v>
      </c>
      <c r="AB29" s="8">
        <f>(SUM(AB4:AB9)-SUM(AB16:AB21))/(COUNT(AB4:AB9)*AB22)</f>
        <v>0.1111111111111111</v>
      </c>
      <c r="AC29" s="657">
        <f>(SUM(AC4:AC9)-SUM(AC16:AC21))/(COUNT(AC4:AC9)*AC22)</f>
        <v>0.91666666666666663</v>
      </c>
    </row>
    <row r="30" spans="1:32">
      <c r="X30" s="19" t="s">
        <v>3329</v>
      </c>
      <c r="Y30" s="533">
        <f>CORREL(Y4:Y21,$AD4:$AD21)</f>
        <v>-0.10468478451804281</v>
      </c>
      <c r="Z30" s="1078">
        <f>CORREL(Z4:Z21,$AD4:$AD21)</f>
        <v>0.61764022865645229</v>
      </c>
      <c r="AA30" s="1078">
        <f>CORREL(AA4:AA21,$AD4:$AD21)</f>
        <v>0.73122395108284544</v>
      </c>
      <c r="AB30" s="1078">
        <f>CORREL(AB4:AB21,$AD4:$AD21)</f>
        <v>0.35112344158839182</v>
      </c>
      <c r="AC30" s="541">
        <f>CORREL(AC4:AC21,$AD4:$AD21)</f>
        <v>0.86058506472071239</v>
      </c>
    </row>
  </sheetData>
  <mergeCells count="6">
    <mergeCell ref="G14:H14"/>
    <mergeCell ref="K14:L14"/>
    <mergeCell ref="O14:P14"/>
    <mergeCell ref="G2:H2"/>
    <mergeCell ref="K2:L2"/>
    <mergeCell ref="O2:P2"/>
  </mergeCells>
  <pageMargins left="0.7" right="0.7" top="0.75" bottom="0.75" header="0.3" footer="0.3"/>
  <pageSetup paperSize="9" orientation="portrait" horizontalDpi="300" verticalDpi="300" r:id="rId1"/>
  <ignoredErrors>
    <ignoredError sqref="AD4 Y26:AC26 AG10:AK10 Y30:AC30" formulaRange="1"/>
  </ignoredErrors>
</worksheet>
</file>

<file path=xl/worksheets/sheet308.xml><?xml version="1.0" encoding="utf-8"?>
<worksheet xmlns="http://schemas.openxmlformats.org/spreadsheetml/2006/main" xmlns:r="http://schemas.openxmlformats.org/officeDocument/2006/relationships">
  <sheetPr codeName="Sheet217"/>
  <dimension ref="A1:B104"/>
  <sheetViews>
    <sheetView workbookViewId="0"/>
  </sheetViews>
  <sheetFormatPr defaultRowHeight="14.4"/>
  <sheetData>
    <row r="1" spans="1:2">
      <c r="A1" s="1" t="s">
        <v>1866</v>
      </c>
    </row>
    <row r="3" spans="1:2">
      <c r="A3" s="19" t="s">
        <v>28</v>
      </c>
      <c r="B3" s="19" t="s">
        <v>29</v>
      </c>
    </row>
    <row r="4" spans="1:2">
      <c r="A4">
        <f>-5</f>
        <v>-5</v>
      </c>
      <c r="B4">
        <f>A4^2</f>
        <v>25</v>
      </c>
    </row>
    <row r="5" spans="1:2">
      <c r="A5">
        <f>A4+0.1</f>
        <v>-4.9000000000000004</v>
      </c>
      <c r="B5">
        <f>A5^2</f>
        <v>24.010000000000005</v>
      </c>
    </row>
    <row r="6" spans="1:2">
      <c r="A6">
        <f t="shared" ref="A6:A69" si="0">A5+0.1</f>
        <v>-4.8000000000000007</v>
      </c>
      <c r="B6">
        <f t="shared" ref="B6:B69" si="1">A6^2</f>
        <v>23.040000000000006</v>
      </c>
    </row>
    <row r="7" spans="1:2">
      <c r="A7">
        <f t="shared" si="0"/>
        <v>-4.7000000000000011</v>
      </c>
      <c r="B7">
        <f t="shared" si="1"/>
        <v>22.090000000000011</v>
      </c>
    </row>
    <row r="8" spans="1:2">
      <c r="A8">
        <f t="shared" si="0"/>
        <v>-4.6000000000000014</v>
      </c>
      <c r="B8">
        <f t="shared" si="1"/>
        <v>21.160000000000014</v>
      </c>
    </row>
    <row r="9" spans="1:2">
      <c r="A9">
        <f t="shared" si="0"/>
        <v>-4.5000000000000018</v>
      </c>
      <c r="B9">
        <f t="shared" si="1"/>
        <v>20.250000000000014</v>
      </c>
    </row>
    <row r="10" spans="1:2">
      <c r="A10">
        <f t="shared" si="0"/>
        <v>-4.4000000000000021</v>
      </c>
      <c r="B10">
        <f t="shared" si="1"/>
        <v>19.360000000000017</v>
      </c>
    </row>
    <row r="11" spans="1:2">
      <c r="A11">
        <f t="shared" si="0"/>
        <v>-4.3000000000000025</v>
      </c>
      <c r="B11">
        <f t="shared" si="1"/>
        <v>18.49000000000002</v>
      </c>
    </row>
    <row r="12" spans="1:2">
      <c r="A12">
        <f t="shared" si="0"/>
        <v>-4.2000000000000028</v>
      </c>
      <c r="B12">
        <f t="shared" si="1"/>
        <v>17.640000000000025</v>
      </c>
    </row>
    <row r="13" spans="1:2">
      <c r="A13">
        <f t="shared" si="0"/>
        <v>-4.1000000000000032</v>
      </c>
      <c r="B13">
        <f t="shared" si="1"/>
        <v>16.810000000000027</v>
      </c>
    </row>
    <row r="14" spans="1:2">
      <c r="A14">
        <f t="shared" si="0"/>
        <v>-4.0000000000000036</v>
      </c>
      <c r="B14">
        <f t="shared" si="1"/>
        <v>16.000000000000028</v>
      </c>
    </row>
    <row r="15" spans="1:2">
      <c r="A15">
        <f t="shared" si="0"/>
        <v>-3.9000000000000035</v>
      </c>
      <c r="B15">
        <f t="shared" si="1"/>
        <v>15.210000000000027</v>
      </c>
    </row>
    <row r="16" spans="1:2">
      <c r="A16">
        <f t="shared" si="0"/>
        <v>-3.8000000000000034</v>
      </c>
      <c r="B16">
        <f t="shared" si="1"/>
        <v>14.440000000000026</v>
      </c>
    </row>
    <row r="17" spans="1:2">
      <c r="A17">
        <f t="shared" si="0"/>
        <v>-3.7000000000000033</v>
      </c>
      <c r="B17">
        <f t="shared" si="1"/>
        <v>13.690000000000024</v>
      </c>
    </row>
    <row r="18" spans="1:2">
      <c r="A18">
        <f t="shared" si="0"/>
        <v>-3.6000000000000032</v>
      </c>
      <c r="B18">
        <f t="shared" si="1"/>
        <v>12.960000000000022</v>
      </c>
    </row>
    <row r="19" spans="1:2">
      <c r="A19">
        <f t="shared" si="0"/>
        <v>-3.5000000000000031</v>
      </c>
      <c r="B19">
        <f t="shared" si="1"/>
        <v>12.250000000000021</v>
      </c>
    </row>
    <row r="20" spans="1:2">
      <c r="A20">
        <f t="shared" si="0"/>
        <v>-3.400000000000003</v>
      </c>
      <c r="B20">
        <f t="shared" si="1"/>
        <v>11.56000000000002</v>
      </c>
    </row>
    <row r="21" spans="1:2">
      <c r="A21">
        <f t="shared" si="0"/>
        <v>-3.3000000000000029</v>
      </c>
      <c r="B21">
        <f t="shared" si="1"/>
        <v>10.89000000000002</v>
      </c>
    </row>
    <row r="22" spans="1:2">
      <c r="A22">
        <f t="shared" si="0"/>
        <v>-3.2000000000000028</v>
      </c>
      <c r="B22">
        <f t="shared" si="1"/>
        <v>10.240000000000018</v>
      </c>
    </row>
    <row r="23" spans="1:2">
      <c r="A23">
        <f t="shared" si="0"/>
        <v>-3.1000000000000028</v>
      </c>
      <c r="B23">
        <f t="shared" si="1"/>
        <v>9.6100000000000172</v>
      </c>
    </row>
    <row r="24" spans="1:2">
      <c r="A24">
        <f t="shared" si="0"/>
        <v>-3.0000000000000027</v>
      </c>
      <c r="B24">
        <f t="shared" si="1"/>
        <v>9.000000000000016</v>
      </c>
    </row>
    <row r="25" spans="1:2">
      <c r="A25">
        <f t="shared" si="0"/>
        <v>-2.9000000000000026</v>
      </c>
      <c r="B25">
        <f t="shared" si="1"/>
        <v>8.4100000000000144</v>
      </c>
    </row>
    <row r="26" spans="1:2">
      <c r="A26">
        <f t="shared" si="0"/>
        <v>-2.8000000000000025</v>
      </c>
      <c r="B26">
        <f t="shared" si="1"/>
        <v>7.8400000000000141</v>
      </c>
    </row>
    <row r="27" spans="1:2">
      <c r="A27">
        <f t="shared" si="0"/>
        <v>-2.7000000000000024</v>
      </c>
      <c r="B27">
        <f t="shared" si="1"/>
        <v>7.2900000000000134</v>
      </c>
    </row>
    <row r="28" spans="1:2">
      <c r="A28">
        <f t="shared" si="0"/>
        <v>-2.6000000000000023</v>
      </c>
      <c r="B28">
        <f t="shared" si="1"/>
        <v>6.7600000000000122</v>
      </c>
    </row>
    <row r="29" spans="1:2">
      <c r="A29">
        <f t="shared" si="0"/>
        <v>-2.5000000000000022</v>
      </c>
      <c r="B29">
        <f t="shared" si="1"/>
        <v>6.2500000000000107</v>
      </c>
    </row>
    <row r="30" spans="1:2">
      <c r="A30">
        <f t="shared" si="0"/>
        <v>-2.4000000000000021</v>
      </c>
      <c r="B30">
        <f t="shared" si="1"/>
        <v>5.7600000000000104</v>
      </c>
    </row>
    <row r="31" spans="1:2">
      <c r="A31">
        <f t="shared" si="0"/>
        <v>-2.300000000000002</v>
      </c>
      <c r="B31">
        <f t="shared" si="1"/>
        <v>5.2900000000000098</v>
      </c>
    </row>
    <row r="32" spans="1:2">
      <c r="A32">
        <f t="shared" si="0"/>
        <v>-2.200000000000002</v>
      </c>
      <c r="B32">
        <f t="shared" si="1"/>
        <v>4.8400000000000087</v>
      </c>
    </row>
    <row r="33" spans="1:2">
      <c r="A33">
        <f t="shared" si="0"/>
        <v>-2.1000000000000019</v>
      </c>
      <c r="B33">
        <f t="shared" si="1"/>
        <v>4.4100000000000081</v>
      </c>
    </row>
    <row r="34" spans="1:2">
      <c r="A34">
        <f t="shared" si="0"/>
        <v>-2.0000000000000018</v>
      </c>
      <c r="B34">
        <f t="shared" si="1"/>
        <v>4.0000000000000071</v>
      </c>
    </row>
    <row r="35" spans="1:2">
      <c r="A35">
        <f t="shared" si="0"/>
        <v>-1.9000000000000017</v>
      </c>
      <c r="B35">
        <f t="shared" si="1"/>
        <v>3.6100000000000065</v>
      </c>
    </row>
    <row r="36" spans="1:2">
      <c r="A36">
        <f t="shared" si="0"/>
        <v>-1.8000000000000016</v>
      </c>
      <c r="B36">
        <f t="shared" si="1"/>
        <v>3.2400000000000055</v>
      </c>
    </row>
    <row r="37" spans="1:2">
      <c r="A37">
        <f t="shared" si="0"/>
        <v>-1.7000000000000015</v>
      </c>
      <c r="B37">
        <f t="shared" si="1"/>
        <v>2.890000000000005</v>
      </c>
    </row>
    <row r="38" spans="1:2">
      <c r="A38">
        <f t="shared" si="0"/>
        <v>-1.6000000000000014</v>
      </c>
      <c r="B38">
        <f t="shared" si="1"/>
        <v>2.5600000000000045</v>
      </c>
    </row>
    <row r="39" spans="1:2">
      <c r="A39">
        <f t="shared" si="0"/>
        <v>-1.5000000000000013</v>
      </c>
      <c r="B39">
        <f t="shared" si="1"/>
        <v>2.250000000000004</v>
      </c>
    </row>
    <row r="40" spans="1:2">
      <c r="A40">
        <f t="shared" si="0"/>
        <v>-1.4000000000000012</v>
      </c>
      <c r="B40">
        <f t="shared" si="1"/>
        <v>1.9600000000000035</v>
      </c>
    </row>
    <row r="41" spans="1:2">
      <c r="A41">
        <f t="shared" si="0"/>
        <v>-1.3000000000000012</v>
      </c>
      <c r="B41">
        <f t="shared" si="1"/>
        <v>1.6900000000000031</v>
      </c>
    </row>
    <row r="42" spans="1:2">
      <c r="A42">
        <f t="shared" si="0"/>
        <v>-1.2000000000000011</v>
      </c>
      <c r="B42">
        <f t="shared" si="1"/>
        <v>1.4400000000000026</v>
      </c>
    </row>
    <row r="43" spans="1:2">
      <c r="A43">
        <f t="shared" si="0"/>
        <v>-1.100000000000001</v>
      </c>
      <c r="B43">
        <f t="shared" si="1"/>
        <v>1.2100000000000022</v>
      </c>
    </row>
    <row r="44" spans="1:2">
      <c r="A44">
        <f t="shared" si="0"/>
        <v>-1.0000000000000009</v>
      </c>
      <c r="B44">
        <f t="shared" si="1"/>
        <v>1.0000000000000018</v>
      </c>
    </row>
    <row r="45" spans="1:2">
      <c r="A45">
        <f t="shared" si="0"/>
        <v>-0.90000000000000091</v>
      </c>
      <c r="B45">
        <f t="shared" si="1"/>
        <v>0.81000000000000161</v>
      </c>
    </row>
    <row r="46" spans="1:2">
      <c r="A46">
        <f t="shared" si="0"/>
        <v>-0.80000000000000093</v>
      </c>
      <c r="B46">
        <f t="shared" si="1"/>
        <v>0.64000000000000146</v>
      </c>
    </row>
    <row r="47" spans="1:2">
      <c r="A47">
        <f t="shared" si="0"/>
        <v>-0.70000000000000095</v>
      </c>
      <c r="B47">
        <f t="shared" si="1"/>
        <v>0.49000000000000132</v>
      </c>
    </row>
    <row r="48" spans="1:2">
      <c r="A48">
        <f t="shared" si="0"/>
        <v>-0.60000000000000098</v>
      </c>
      <c r="B48">
        <f t="shared" si="1"/>
        <v>0.36000000000000115</v>
      </c>
    </row>
    <row r="49" spans="1:2">
      <c r="A49">
        <f t="shared" si="0"/>
        <v>-0.500000000000001</v>
      </c>
      <c r="B49">
        <f t="shared" si="1"/>
        <v>0.250000000000001</v>
      </c>
    </row>
    <row r="50" spans="1:2">
      <c r="A50">
        <f t="shared" si="0"/>
        <v>-0.40000000000000102</v>
      </c>
      <c r="B50">
        <f t="shared" si="1"/>
        <v>0.16000000000000081</v>
      </c>
    </row>
    <row r="51" spans="1:2">
      <c r="A51">
        <f t="shared" si="0"/>
        <v>-0.30000000000000104</v>
      </c>
      <c r="B51">
        <f t="shared" si="1"/>
        <v>9.0000000000000621E-2</v>
      </c>
    </row>
    <row r="52" spans="1:2">
      <c r="A52">
        <f t="shared" si="0"/>
        <v>-0.20000000000000104</v>
      </c>
      <c r="B52">
        <f t="shared" si="1"/>
        <v>4.0000000000000417E-2</v>
      </c>
    </row>
    <row r="53" spans="1:2">
      <c r="A53">
        <f t="shared" si="0"/>
        <v>-0.10000000000000103</v>
      </c>
      <c r="B53">
        <f t="shared" si="1"/>
        <v>1.0000000000000207E-2</v>
      </c>
    </row>
    <row r="54" spans="1:2">
      <c r="A54">
        <v>0</v>
      </c>
      <c r="B54">
        <f t="shared" si="1"/>
        <v>0</v>
      </c>
    </row>
    <row r="55" spans="1:2">
      <c r="A55">
        <f t="shared" si="0"/>
        <v>0.1</v>
      </c>
      <c r="B55">
        <f t="shared" si="1"/>
        <v>1.0000000000000002E-2</v>
      </c>
    </row>
    <row r="56" spans="1:2">
      <c r="A56">
        <f t="shared" si="0"/>
        <v>0.2</v>
      </c>
      <c r="B56">
        <f t="shared" si="1"/>
        <v>4.0000000000000008E-2</v>
      </c>
    </row>
    <row r="57" spans="1:2">
      <c r="A57">
        <f t="shared" si="0"/>
        <v>0.30000000000000004</v>
      </c>
      <c r="B57">
        <f t="shared" si="1"/>
        <v>9.0000000000000024E-2</v>
      </c>
    </row>
    <row r="58" spans="1:2">
      <c r="A58">
        <f t="shared" si="0"/>
        <v>0.4</v>
      </c>
      <c r="B58">
        <f t="shared" si="1"/>
        <v>0.16000000000000003</v>
      </c>
    </row>
    <row r="59" spans="1:2">
      <c r="A59">
        <f t="shared" si="0"/>
        <v>0.5</v>
      </c>
      <c r="B59">
        <f t="shared" si="1"/>
        <v>0.25</v>
      </c>
    </row>
    <row r="60" spans="1:2">
      <c r="A60">
        <f t="shared" si="0"/>
        <v>0.6</v>
      </c>
      <c r="B60">
        <f t="shared" si="1"/>
        <v>0.36</v>
      </c>
    </row>
    <row r="61" spans="1:2">
      <c r="A61">
        <f t="shared" si="0"/>
        <v>0.7</v>
      </c>
      <c r="B61">
        <f t="shared" si="1"/>
        <v>0.48999999999999994</v>
      </c>
    </row>
    <row r="62" spans="1:2">
      <c r="A62">
        <f t="shared" si="0"/>
        <v>0.79999999999999993</v>
      </c>
      <c r="B62">
        <f t="shared" si="1"/>
        <v>0.6399999999999999</v>
      </c>
    </row>
    <row r="63" spans="1:2">
      <c r="A63">
        <f t="shared" si="0"/>
        <v>0.89999999999999991</v>
      </c>
      <c r="B63">
        <f t="shared" si="1"/>
        <v>0.80999999999999983</v>
      </c>
    </row>
    <row r="64" spans="1:2">
      <c r="A64">
        <f t="shared" si="0"/>
        <v>0.99999999999999989</v>
      </c>
      <c r="B64">
        <f t="shared" si="1"/>
        <v>0.99999999999999978</v>
      </c>
    </row>
    <row r="65" spans="1:2">
      <c r="A65">
        <f t="shared" si="0"/>
        <v>1.0999999999999999</v>
      </c>
      <c r="B65">
        <f t="shared" si="1"/>
        <v>1.2099999999999997</v>
      </c>
    </row>
    <row r="66" spans="1:2">
      <c r="A66">
        <f t="shared" si="0"/>
        <v>1.2</v>
      </c>
      <c r="B66">
        <f t="shared" si="1"/>
        <v>1.44</v>
      </c>
    </row>
    <row r="67" spans="1:2">
      <c r="A67">
        <f t="shared" si="0"/>
        <v>1.3</v>
      </c>
      <c r="B67">
        <f t="shared" si="1"/>
        <v>1.6900000000000002</v>
      </c>
    </row>
    <row r="68" spans="1:2">
      <c r="A68">
        <f t="shared" si="0"/>
        <v>1.4000000000000001</v>
      </c>
      <c r="B68">
        <f t="shared" si="1"/>
        <v>1.9600000000000004</v>
      </c>
    </row>
    <row r="69" spans="1:2">
      <c r="A69">
        <f t="shared" si="0"/>
        <v>1.5000000000000002</v>
      </c>
      <c r="B69">
        <f t="shared" si="1"/>
        <v>2.2500000000000009</v>
      </c>
    </row>
    <row r="70" spans="1:2">
      <c r="A70">
        <f t="shared" ref="A70:A81" si="2">A69+0.1</f>
        <v>1.6000000000000003</v>
      </c>
      <c r="B70">
        <f t="shared" ref="B70:B104" si="3">A70^2</f>
        <v>2.5600000000000009</v>
      </c>
    </row>
    <row r="71" spans="1:2">
      <c r="A71">
        <f t="shared" si="2"/>
        <v>1.7000000000000004</v>
      </c>
      <c r="B71">
        <f t="shared" si="3"/>
        <v>2.8900000000000015</v>
      </c>
    </row>
    <row r="72" spans="1:2">
      <c r="A72">
        <f t="shared" si="2"/>
        <v>1.8000000000000005</v>
      </c>
      <c r="B72">
        <f t="shared" si="3"/>
        <v>3.2400000000000015</v>
      </c>
    </row>
    <row r="73" spans="1:2">
      <c r="A73">
        <f t="shared" si="2"/>
        <v>1.9000000000000006</v>
      </c>
      <c r="B73">
        <f t="shared" si="3"/>
        <v>3.6100000000000021</v>
      </c>
    </row>
    <row r="74" spans="1:2">
      <c r="A74">
        <f t="shared" si="2"/>
        <v>2.0000000000000004</v>
      </c>
      <c r="B74">
        <f t="shared" si="3"/>
        <v>4.0000000000000018</v>
      </c>
    </row>
    <row r="75" spans="1:2">
      <c r="A75">
        <f t="shared" si="2"/>
        <v>2.1000000000000005</v>
      </c>
      <c r="B75">
        <f t="shared" si="3"/>
        <v>4.4100000000000019</v>
      </c>
    </row>
    <row r="76" spans="1:2">
      <c r="A76">
        <f t="shared" si="2"/>
        <v>2.2000000000000006</v>
      </c>
      <c r="B76">
        <f t="shared" si="3"/>
        <v>4.8400000000000025</v>
      </c>
    </row>
    <row r="77" spans="1:2">
      <c r="A77">
        <f t="shared" si="2"/>
        <v>2.3000000000000007</v>
      </c>
      <c r="B77">
        <f t="shared" si="3"/>
        <v>5.2900000000000036</v>
      </c>
    </row>
    <row r="78" spans="1:2">
      <c r="A78">
        <f t="shared" si="2"/>
        <v>2.4000000000000008</v>
      </c>
      <c r="B78">
        <f t="shared" si="3"/>
        <v>5.7600000000000042</v>
      </c>
    </row>
    <row r="79" spans="1:2">
      <c r="A79">
        <f t="shared" si="2"/>
        <v>2.5000000000000009</v>
      </c>
      <c r="B79">
        <f t="shared" si="3"/>
        <v>6.2500000000000044</v>
      </c>
    </row>
    <row r="80" spans="1:2">
      <c r="A80">
        <f t="shared" si="2"/>
        <v>2.600000000000001</v>
      </c>
      <c r="B80">
        <f t="shared" si="3"/>
        <v>6.7600000000000051</v>
      </c>
    </row>
    <row r="81" spans="1:2">
      <c r="A81">
        <f t="shared" si="2"/>
        <v>2.7000000000000011</v>
      </c>
      <c r="B81">
        <f t="shared" si="3"/>
        <v>7.2900000000000054</v>
      </c>
    </row>
    <row r="82" spans="1:2">
      <c r="A82">
        <f t="shared" ref="A82:A91" si="4">A81+0.1</f>
        <v>2.8000000000000012</v>
      </c>
      <c r="B82">
        <f t="shared" si="3"/>
        <v>7.8400000000000061</v>
      </c>
    </row>
    <row r="83" spans="1:2">
      <c r="A83">
        <f t="shared" si="4"/>
        <v>2.9000000000000012</v>
      </c>
      <c r="B83">
        <f t="shared" si="3"/>
        <v>8.4100000000000072</v>
      </c>
    </row>
    <row r="84" spans="1:2">
      <c r="A84">
        <f t="shared" si="4"/>
        <v>3.0000000000000013</v>
      </c>
      <c r="B84">
        <f t="shared" si="3"/>
        <v>9.0000000000000071</v>
      </c>
    </row>
    <row r="85" spans="1:2">
      <c r="A85">
        <f t="shared" si="4"/>
        <v>3.1000000000000014</v>
      </c>
      <c r="B85">
        <f t="shared" si="3"/>
        <v>9.6100000000000083</v>
      </c>
    </row>
    <row r="86" spans="1:2">
      <c r="A86">
        <f t="shared" si="4"/>
        <v>3.2000000000000015</v>
      </c>
      <c r="B86">
        <f t="shared" si="3"/>
        <v>10.240000000000009</v>
      </c>
    </row>
    <row r="87" spans="1:2">
      <c r="A87">
        <f t="shared" si="4"/>
        <v>3.3000000000000016</v>
      </c>
      <c r="B87">
        <f t="shared" si="3"/>
        <v>10.890000000000011</v>
      </c>
    </row>
    <row r="88" spans="1:2">
      <c r="A88">
        <f t="shared" si="4"/>
        <v>3.4000000000000017</v>
      </c>
      <c r="B88">
        <f t="shared" si="3"/>
        <v>11.560000000000011</v>
      </c>
    </row>
    <row r="89" spans="1:2">
      <c r="A89">
        <f t="shared" si="4"/>
        <v>3.5000000000000018</v>
      </c>
      <c r="B89">
        <f t="shared" si="3"/>
        <v>12.250000000000012</v>
      </c>
    </row>
    <row r="90" spans="1:2">
      <c r="A90">
        <f t="shared" si="4"/>
        <v>3.6000000000000019</v>
      </c>
      <c r="B90">
        <f t="shared" si="3"/>
        <v>12.960000000000013</v>
      </c>
    </row>
    <row r="91" spans="1:2">
      <c r="A91">
        <f t="shared" si="4"/>
        <v>3.700000000000002</v>
      </c>
      <c r="B91">
        <f t="shared" si="3"/>
        <v>13.690000000000014</v>
      </c>
    </row>
    <row r="92" spans="1:2">
      <c r="A92">
        <f t="shared" ref="A92:A104" si="5">A91+0.1</f>
        <v>3.800000000000002</v>
      </c>
      <c r="B92">
        <f t="shared" si="3"/>
        <v>14.440000000000015</v>
      </c>
    </row>
    <row r="93" spans="1:2">
      <c r="A93">
        <f t="shared" si="5"/>
        <v>3.9000000000000021</v>
      </c>
      <c r="B93">
        <f t="shared" si="3"/>
        <v>15.210000000000017</v>
      </c>
    </row>
    <row r="94" spans="1:2">
      <c r="A94">
        <f t="shared" si="5"/>
        <v>4.0000000000000018</v>
      </c>
      <c r="B94">
        <f t="shared" si="3"/>
        <v>16.000000000000014</v>
      </c>
    </row>
    <row r="95" spans="1:2">
      <c r="A95">
        <f t="shared" si="5"/>
        <v>4.1000000000000014</v>
      </c>
      <c r="B95">
        <f t="shared" si="3"/>
        <v>16.810000000000013</v>
      </c>
    </row>
    <row r="96" spans="1:2">
      <c r="A96">
        <f t="shared" si="5"/>
        <v>4.2000000000000011</v>
      </c>
      <c r="B96">
        <f t="shared" si="3"/>
        <v>17.640000000000008</v>
      </c>
    </row>
    <row r="97" spans="1:2">
      <c r="A97">
        <f t="shared" si="5"/>
        <v>4.3000000000000007</v>
      </c>
      <c r="B97">
        <f t="shared" si="3"/>
        <v>18.490000000000006</v>
      </c>
    </row>
    <row r="98" spans="1:2">
      <c r="A98">
        <f t="shared" si="5"/>
        <v>4.4000000000000004</v>
      </c>
      <c r="B98">
        <f t="shared" si="3"/>
        <v>19.360000000000003</v>
      </c>
    </row>
    <row r="99" spans="1:2">
      <c r="A99">
        <f t="shared" si="5"/>
        <v>4.5</v>
      </c>
      <c r="B99">
        <f t="shared" si="3"/>
        <v>20.25</v>
      </c>
    </row>
    <row r="100" spans="1:2">
      <c r="A100">
        <f t="shared" si="5"/>
        <v>4.5999999999999996</v>
      </c>
      <c r="B100">
        <f t="shared" si="3"/>
        <v>21.159999999999997</v>
      </c>
    </row>
    <row r="101" spans="1:2">
      <c r="A101">
        <f t="shared" si="5"/>
        <v>4.6999999999999993</v>
      </c>
      <c r="B101">
        <f t="shared" si="3"/>
        <v>22.089999999999993</v>
      </c>
    </row>
    <row r="102" spans="1:2">
      <c r="A102">
        <f t="shared" si="5"/>
        <v>4.7999999999999989</v>
      </c>
      <c r="B102">
        <f t="shared" si="3"/>
        <v>23.039999999999988</v>
      </c>
    </row>
    <row r="103" spans="1:2">
      <c r="A103">
        <f t="shared" si="5"/>
        <v>4.8999999999999986</v>
      </c>
      <c r="B103">
        <f t="shared" si="3"/>
        <v>24.009999999999987</v>
      </c>
    </row>
    <row r="104" spans="1:2">
      <c r="A104">
        <f t="shared" si="5"/>
        <v>4.9999999999999982</v>
      </c>
      <c r="B104">
        <f t="shared" si="3"/>
        <v>24.999999999999982</v>
      </c>
    </row>
  </sheetData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sheetPr codeName="Sheet227"/>
  <dimension ref="A1:I23"/>
  <sheetViews>
    <sheetView workbookViewId="0"/>
  </sheetViews>
  <sheetFormatPr defaultRowHeight="14.4"/>
  <cols>
    <col min="1" max="1" width="10.44140625" customWidth="1"/>
    <col min="4" max="4" width="6.6640625" customWidth="1"/>
    <col min="5" max="5" width="9.109375" style="759"/>
    <col min="6" max="6" width="9.109375" style="759" customWidth="1"/>
    <col min="7" max="7" width="9.109375" style="759"/>
    <col min="8" max="8" width="3.5546875" style="759" customWidth="1"/>
    <col min="9" max="9" width="45.6640625" customWidth="1"/>
  </cols>
  <sheetData>
    <row r="1" spans="1:9">
      <c r="A1" t="s">
        <v>1883</v>
      </c>
      <c r="B1" t="s">
        <v>1884</v>
      </c>
      <c r="C1" s="759" t="s">
        <v>131</v>
      </c>
      <c r="E1" s="759" t="s">
        <v>1884</v>
      </c>
      <c r="F1" s="759" t="s">
        <v>87</v>
      </c>
    </row>
    <row r="2" spans="1:9">
      <c r="A2" s="553" t="s">
        <v>1885</v>
      </c>
      <c r="B2" s="666" t="s">
        <v>383</v>
      </c>
      <c r="C2" s="626">
        <v>23</v>
      </c>
      <c r="E2" s="610" t="s">
        <v>383</v>
      </c>
      <c r="F2" s="626">
        <f>SUMIF($B$2:$B$9,$E2,$C$2:$C$9)</f>
        <v>97</v>
      </c>
      <c r="I2" s="23" t="s">
        <v>1886</v>
      </c>
    </row>
    <row r="3" spans="1:9">
      <c r="A3" s="656" t="s">
        <v>1885</v>
      </c>
      <c r="B3" s="8" t="s">
        <v>342</v>
      </c>
      <c r="C3" s="618">
        <v>34</v>
      </c>
      <c r="E3" s="560" t="s">
        <v>342</v>
      </c>
      <c r="F3" s="536">
        <f>SUMIF($B$2:$B$9,$E3,$C$2:$C$9)</f>
        <v>92</v>
      </c>
      <c r="I3" s="23" t="s">
        <v>1887</v>
      </c>
    </row>
    <row r="4" spans="1:9">
      <c r="A4" s="656" t="s">
        <v>1888</v>
      </c>
      <c r="B4" s="8" t="s">
        <v>383</v>
      </c>
      <c r="C4" s="618">
        <v>38</v>
      </c>
    </row>
    <row r="5" spans="1:9">
      <c r="A5" s="656" t="s">
        <v>1888</v>
      </c>
      <c r="B5" s="8" t="s">
        <v>342</v>
      </c>
      <c r="C5" s="618">
        <v>12</v>
      </c>
      <c r="E5" s="759" t="s">
        <v>1883</v>
      </c>
      <c r="F5" s="201" t="s">
        <v>1884</v>
      </c>
      <c r="G5" s="201" t="s">
        <v>87</v>
      </c>
      <c r="H5" s="201"/>
    </row>
    <row r="6" spans="1:9">
      <c r="A6" s="656" t="s">
        <v>1889</v>
      </c>
      <c r="B6" s="8" t="s">
        <v>383</v>
      </c>
      <c r="C6" s="618">
        <v>25</v>
      </c>
      <c r="E6" s="799" t="s">
        <v>1885</v>
      </c>
      <c r="F6" s="800" t="s">
        <v>383</v>
      </c>
      <c r="G6" s="626">
        <f>SUMIFS($C$2:$C$9,$A$2:$A$9,E6,$B$2:$B$9,F6)</f>
        <v>23</v>
      </c>
      <c r="H6" s="761"/>
      <c r="I6" s="23" t="s">
        <v>1890</v>
      </c>
    </row>
    <row r="7" spans="1:9">
      <c r="A7" s="656" t="s">
        <v>1889</v>
      </c>
      <c r="B7" s="8" t="s">
        <v>342</v>
      </c>
      <c r="C7" s="618">
        <v>19</v>
      </c>
      <c r="E7" s="801" t="s">
        <v>1889</v>
      </c>
      <c r="F7" s="802" t="s">
        <v>342</v>
      </c>
      <c r="G7" s="536">
        <f>SUMIFS($C$2:$C$9,$A$2:$A$9,E7,$B$2:$B$9,F7)</f>
        <v>19</v>
      </c>
      <c r="H7" s="761"/>
      <c r="I7" s="23" t="s">
        <v>1891</v>
      </c>
    </row>
    <row r="8" spans="1:9">
      <c r="A8" s="656" t="s">
        <v>1892</v>
      </c>
      <c r="B8" s="8" t="s">
        <v>383</v>
      </c>
      <c r="C8" s="618">
        <v>11</v>
      </c>
    </row>
    <row r="9" spans="1:9">
      <c r="A9" s="533" t="s">
        <v>1892</v>
      </c>
      <c r="B9" s="534" t="s">
        <v>342</v>
      </c>
      <c r="C9" s="536">
        <v>27</v>
      </c>
    </row>
    <row r="12" spans="1:9">
      <c r="A12" s="66" t="s">
        <v>243</v>
      </c>
      <c r="B12" s="759" t="s">
        <v>22</v>
      </c>
      <c r="C12" s="759" t="s">
        <v>1893</v>
      </c>
      <c r="E12" s="759" t="s">
        <v>22</v>
      </c>
      <c r="F12" s="759" t="s">
        <v>87</v>
      </c>
    </row>
    <row r="13" spans="1:9">
      <c r="A13" s="677" t="s">
        <v>1894</v>
      </c>
      <c r="B13" s="616">
        <v>34</v>
      </c>
      <c r="C13" s="626">
        <v>45000</v>
      </c>
      <c r="E13" s="610">
        <v>30</v>
      </c>
      <c r="F13" s="626">
        <f>SUMIF($B$13:$B$17,"&gt;"&amp;E13,$C$13:$C$17)</f>
        <v>174000</v>
      </c>
      <c r="I13" s="23" t="s">
        <v>1895</v>
      </c>
    </row>
    <row r="14" spans="1:9">
      <c r="A14" s="680" t="s">
        <v>1896</v>
      </c>
      <c r="B14" s="761">
        <v>54</v>
      </c>
      <c r="C14" s="618">
        <v>80000</v>
      </c>
      <c r="E14" s="560">
        <v>60</v>
      </c>
      <c r="F14" s="536">
        <f>SUMIF($B$13:$B$17,"&gt;"&amp;E14,$C$13:$C$17)</f>
        <v>15000</v>
      </c>
      <c r="I14" s="23" t="s">
        <v>1897</v>
      </c>
    </row>
    <row r="15" spans="1:9">
      <c r="A15" s="680" t="s">
        <v>1898</v>
      </c>
      <c r="B15" s="761">
        <v>23</v>
      </c>
      <c r="C15" s="618">
        <v>30000</v>
      </c>
    </row>
    <row r="16" spans="1:9">
      <c r="A16" s="680" t="s">
        <v>1899</v>
      </c>
      <c r="B16" s="761">
        <v>44</v>
      </c>
      <c r="C16" s="618">
        <v>34000</v>
      </c>
      <c r="E16" s="759" t="s">
        <v>22</v>
      </c>
      <c r="F16" s="759" t="s">
        <v>88</v>
      </c>
    </row>
    <row r="17" spans="1:9">
      <c r="A17" s="682" t="s">
        <v>1900</v>
      </c>
      <c r="B17" s="760">
        <v>70</v>
      </c>
      <c r="C17" s="536">
        <v>15000</v>
      </c>
      <c r="E17" s="803">
        <v>30</v>
      </c>
      <c r="F17" s="763">
        <f>COUNTIF($B$13:$B$17,"&gt;"&amp;E17)</f>
        <v>4</v>
      </c>
      <c r="I17" s="23" t="s">
        <v>1901</v>
      </c>
    </row>
    <row r="19" spans="1:9">
      <c r="E19" s="759" t="s">
        <v>22</v>
      </c>
      <c r="F19" s="759" t="s">
        <v>1893</v>
      </c>
      <c r="G19" s="759" t="s">
        <v>88</v>
      </c>
    </row>
    <row r="20" spans="1:9">
      <c r="E20" s="803">
        <v>30</v>
      </c>
      <c r="F20" s="638">
        <v>30000</v>
      </c>
      <c r="G20" s="763">
        <f>COUNTIFS(B13:B17,"&gt;"&amp;E20,C13:C17,"&gt;"&amp;F20)</f>
        <v>3</v>
      </c>
      <c r="H20" s="761"/>
      <c r="I20" s="23" t="s">
        <v>1902</v>
      </c>
    </row>
    <row r="23" spans="1:9">
      <c r="I23" s="257"/>
    </row>
  </sheetData>
  <pageMargins left="0.7" right="0.7" top="0.75" bottom="0.75" header="0.3" footer="0.3"/>
  <pageSetup paperSize="9" orientation="portrait" horizontalDpi="300" verticalDpi="300" r:id="rId1"/>
</worksheet>
</file>

<file path=xl/worksheets/sheet310.xml><?xml version="1.0" encoding="utf-8"?>
<worksheet xmlns="http://schemas.openxmlformats.org/spreadsheetml/2006/main" xmlns:r="http://schemas.openxmlformats.org/officeDocument/2006/relationships">
  <sheetPr codeName="Sheet355"/>
  <dimension ref="A1:X52"/>
  <sheetViews>
    <sheetView workbookViewId="0"/>
  </sheetViews>
  <sheetFormatPr defaultRowHeight="14.4"/>
  <cols>
    <col min="10" max="11" width="6.33203125" customWidth="1"/>
    <col min="12" max="12" width="7" customWidth="1"/>
    <col min="13" max="13" width="18.33203125" customWidth="1"/>
    <col min="15" max="15" width="4.109375" customWidth="1"/>
    <col min="16" max="16" width="105" customWidth="1"/>
    <col min="17" max="17" width="9.109375" customWidth="1"/>
    <col min="18" max="19" width="6.33203125" customWidth="1"/>
    <col min="20" max="20" width="7" customWidth="1"/>
    <col min="21" max="21" width="18.33203125" customWidth="1"/>
  </cols>
  <sheetData>
    <row r="1" spans="1:24">
      <c r="A1" s="1" t="s">
        <v>128</v>
      </c>
      <c r="J1" t="s">
        <v>2734</v>
      </c>
      <c r="R1" t="s">
        <v>2734</v>
      </c>
    </row>
    <row r="2" spans="1:24" ht="15" customHeight="1"/>
    <row r="3" spans="1:24">
      <c r="A3" s="1552" t="s">
        <v>129</v>
      </c>
      <c r="B3" s="1552"/>
      <c r="C3" s="1552"/>
      <c r="E3" s="1552" t="s">
        <v>130</v>
      </c>
      <c r="F3" s="1552"/>
      <c r="G3" s="1552"/>
      <c r="J3" t="s">
        <v>129</v>
      </c>
      <c r="M3" t="s">
        <v>95</v>
      </c>
      <c r="R3" t="s">
        <v>129</v>
      </c>
      <c r="U3" t="s">
        <v>95</v>
      </c>
      <c r="X3" t="s">
        <v>137</v>
      </c>
    </row>
    <row r="4" spans="1:24" ht="15" customHeight="1">
      <c r="M4" s="1078"/>
      <c r="N4" s="1078"/>
      <c r="O4" s="8"/>
      <c r="P4" s="8"/>
      <c r="U4" s="1078"/>
      <c r="V4" s="1078"/>
    </row>
    <row r="5" spans="1:24">
      <c r="A5" s="1135" t="s">
        <v>131</v>
      </c>
      <c r="B5" s="840" t="s">
        <v>132</v>
      </c>
      <c r="C5" s="1136" t="s">
        <v>133</v>
      </c>
      <c r="E5" s="1135" t="str">
        <f>A5</f>
        <v>Score</v>
      </c>
      <c r="F5" s="840" t="s">
        <v>134</v>
      </c>
      <c r="G5" s="1136" t="s">
        <v>88</v>
      </c>
      <c r="J5" s="1135" t="s">
        <v>131</v>
      </c>
      <c r="K5" s="1136" t="s">
        <v>132</v>
      </c>
      <c r="M5" t="s">
        <v>76</v>
      </c>
      <c r="N5">
        <f>N16/N17</f>
        <v>5.5</v>
      </c>
      <c r="P5" s="23" t="s">
        <v>2930</v>
      </c>
      <c r="R5" s="1135" t="s">
        <v>131</v>
      </c>
      <c r="S5" s="1136" t="s">
        <v>132</v>
      </c>
      <c r="U5" t="s">
        <v>76</v>
      </c>
      <c r="V5">
        <f>V16/V17</f>
        <v>5.5</v>
      </c>
      <c r="X5" s="1441" t="e">
        <f t="array" aca="1" ref="X5:X19" ca="1">[1]!Freq2Raw(R6:R12,S6:S12)</f>
        <v>#NAME?</v>
      </c>
    </row>
    <row r="6" spans="1:24">
      <c r="A6" s="50">
        <v>5</v>
      </c>
      <c r="B6" s="8">
        <v>1</v>
      </c>
      <c r="C6" s="657">
        <f>B6</f>
        <v>1</v>
      </c>
      <c r="E6" s="50">
        <f>A6</f>
        <v>5</v>
      </c>
      <c r="F6" s="8">
        <v>1</v>
      </c>
      <c r="G6" s="657">
        <f>B6-1</f>
        <v>0</v>
      </c>
      <c r="J6" s="50">
        <v>5</v>
      </c>
      <c r="K6" s="657">
        <v>1</v>
      </c>
      <c r="M6" t="s">
        <v>77</v>
      </c>
      <c r="N6">
        <f>N9/SQRT(N17)</f>
        <v>7.3029674334022132E-2</v>
      </c>
      <c r="P6" s="23" t="s">
        <v>2931</v>
      </c>
      <c r="R6" s="50">
        <v>5</v>
      </c>
      <c r="S6" s="657">
        <v>1</v>
      </c>
      <c r="U6" t="s">
        <v>77</v>
      </c>
      <c r="V6">
        <f>V9/SQRT(V17)</f>
        <v>7.3029674334022132E-2</v>
      </c>
      <c r="X6" s="946" t="e">
        <f ca="1"/>
        <v>#NAME?</v>
      </c>
    </row>
    <row r="7" spans="1:24">
      <c r="A7" s="50">
        <v>5.0999999999999996</v>
      </c>
      <c r="B7" s="8">
        <v>1</v>
      </c>
      <c r="C7" s="657">
        <f t="shared" ref="C7:C12" si="0">B7+C6</f>
        <v>2</v>
      </c>
      <c r="E7" s="50">
        <f t="shared" ref="E7:E20" si="1">IF(G6=0,INDEX($A$27:$A$33,F6+1),E6)</f>
        <v>5.0999999999999996</v>
      </c>
      <c r="F7" s="8">
        <f>IF(G6=0,F6+1,F6)</f>
        <v>2</v>
      </c>
      <c r="G7" s="657">
        <f t="shared" ref="G7:G20" si="2">IF(G6=0,INDEX($B$27:$B$33,F7)-1,G6-1)</f>
        <v>0</v>
      </c>
      <c r="J7" s="50">
        <v>5.0999999999999996</v>
      </c>
      <c r="K7" s="657">
        <v>1</v>
      </c>
      <c r="M7" t="s">
        <v>78</v>
      </c>
      <c r="N7" t="e">
        <f ca="1">MEDIAN([1]!Freq2Raw(J6:J12,K6:K12))</f>
        <v>#NAME?</v>
      </c>
      <c r="P7" s="23" t="s">
        <v>2932</v>
      </c>
      <c r="R7" s="50">
        <v>5.0999999999999996</v>
      </c>
      <c r="S7" s="657">
        <v>1</v>
      </c>
      <c r="U7" t="s">
        <v>78</v>
      </c>
      <c r="V7" t="e">
        <f ca="1">MEDIAN([1]!Freq2Raw(R6:R12,S6:S12))</f>
        <v>#NAME?</v>
      </c>
      <c r="X7" s="946" t="e">
        <f ca="1"/>
        <v>#NAME?</v>
      </c>
    </row>
    <row r="8" spans="1:24">
      <c r="A8" s="50">
        <v>5.2</v>
      </c>
      <c r="B8" s="8">
        <v>3</v>
      </c>
      <c r="C8" s="657">
        <f t="shared" si="0"/>
        <v>5</v>
      </c>
      <c r="E8" s="50">
        <f t="shared" si="1"/>
        <v>5.2</v>
      </c>
      <c r="F8" s="8">
        <f t="shared" ref="F8:F20" si="3">IF(G7=0,F7+1,F7)</f>
        <v>3</v>
      </c>
      <c r="G8" s="657">
        <f t="shared" si="2"/>
        <v>2</v>
      </c>
      <c r="J8" s="50">
        <v>5.2</v>
      </c>
      <c r="K8" s="657">
        <v>3</v>
      </c>
      <c r="M8" t="s">
        <v>79</v>
      </c>
      <c r="N8">
        <f>IF(COUNTIF(K6:K12,MAX(K6:K12))&gt;1,#N/A,SUMIF(K6:K12,MAX(K6:K12),J6:J12))</f>
        <v>5.7</v>
      </c>
      <c r="P8" s="23" t="s">
        <v>2933</v>
      </c>
      <c r="R8" s="50">
        <v>5.2</v>
      </c>
      <c r="S8" s="657">
        <v>3</v>
      </c>
      <c r="U8" t="s">
        <v>79</v>
      </c>
      <c r="V8">
        <f>IF(COUNTIF(S6:S12,MAX(S6:S12))&gt;1,#N/A,SUMIF(S6:S12,MAX(S6:S12),R6:R12))</f>
        <v>5.7</v>
      </c>
      <c r="X8" s="946" t="e">
        <f ca="1"/>
        <v>#NAME?</v>
      </c>
    </row>
    <row r="9" spans="1:24">
      <c r="A9" s="50">
        <v>5.5</v>
      </c>
      <c r="B9" s="8">
        <v>2</v>
      </c>
      <c r="C9" s="657">
        <f t="shared" si="0"/>
        <v>7</v>
      </c>
      <c r="E9" s="50">
        <f t="shared" si="1"/>
        <v>5.2</v>
      </c>
      <c r="F9" s="8">
        <f t="shared" si="3"/>
        <v>3</v>
      </c>
      <c r="G9" s="657">
        <f t="shared" si="2"/>
        <v>1</v>
      </c>
      <c r="J9" s="50">
        <v>5.5</v>
      </c>
      <c r="K9" s="657">
        <v>2</v>
      </c>
      <c r="M9" t="s">
        <v>80</v>
      </c>
      <c r="N9">
        <f>SQRT(N10)</f>
        <v>0.28284271247461895</v>
      </c>
      <c r="P9" s="23" t="s">
        <v>2934</v>
      </c>
      <c r="R9" s="50">
        <v>5.5</v>
      </c>
      <c r="S9" s="657">
        <v>2</v>
      </c>
      <c r="U9" t="s">
        <v>80</v>
      </c>
      <c r="V9">
        <f>SQRT(V10)</f>
        <v>0.28284271247461895</v>
      </c>
      <c r="X9" s="946" t="e">
        <f ca="1"/>
        <v>#NAME?</v>
      </c>
    </row>
    <row r="10" spans="1:24">
      <c r="A10" s="50">
        <v>5.6</v>
      </c>
      <c r="B10" s="8">
        <v>1</v>
      </c>
      <c r="C10" s="657">
        <f t="shared" si="0"/>
        <v>8</v>
      </c>
      <c r="E10" s="50">
        <f t="shared" si="1"/>
        <v>5.2</v>
      </c>
      <c r="F10" s="8">
        <f t="shared" si="3"/>
        <v>3</v>
      </c>
      <c r="G10" s="657">
        <f t="shared" si="2"/>
        <v>0</v>
      </c>
      <c r="J10" s="50">
        <v>5.6</v>
      </c>
      <c r="K10" s="657">
        <v>1</v>
      </c>
      <c r="M10" t="s">
        <v>81</v>
      </c>
      <c r="N10">
        <f>SUMPRODUCT((J6:J12-N5)^2,K6:K12)/(N17-1)</f>
        <v>7.9999999999999974E-2</v>
      </c>
      <c r="P10" s="23" t="s">
        <v>2935</v>
      </c>
      <c r="R10" s="50">
        <v>5.6</v>
      </c>
      <c r="S10" s="657">
        <v>1</v>
      </c>
      <c r="U10" t="s">
        <v>81</v>
      </c>
      <c r="V10">
        <f>SUMPRODUCT((R6:R12-V5)^2,S6:S12)/(V17-1)</f>
        <v>7.9999999999999974E-2</v>
      </c>
      <c r="X10" s="946" t="e">
        <f ca="1"/>
        <v>#NAME?</v>
      </c>
    </row>
    <row r="11" spans="1:24">
      <c r="A11" s="50">
        <v>5.7</v>
      </c>
      <c r="B11" s="8">
        <v>4</v>
      </c>
      <c r="C11" s="657">
        <f t="shared" si="0"/>
        <v>12</v>
      </c>
      <c r="E11" s="50">
        <f t="shared" si="1"/>
        <v>5.5</v>
      </c>
      <c r="F11" s="8">
        <f t="shared" si="3"/>
        <v>4</v>
      </c>
      <c r="G11" s="657">
        <f t="shared" si="2"/>
        <v>1</v>
      </c>
      <c r="J11" s="50">
        <v>5.7</v>
      </c>
      <c r="K11" s="657">
        <v>4</v>
      </c>
      <c r="M11" t="s">
        <v>82</v>
      </c>
      <c r="N11">
        <f>N17*(N17+1)*SUMPRODUCT((J6:J12-N5)^4,K6:K12)/((N17-1)*(N17-2)*(N17-3)*N10^2)-3*(N17-1)^2/((N17-2)*(N17-3))</f>
        <v>-1.3104395604395593</v>
      </c>
      <c r="P11" s="23" t="s">
        <v>2936</v>
      </c>
      <c r="R11" s="50">
        <v>5.7</v>
      </c>
      <c r="S11" s="657">
        <v>4</v>
      </c>
      <c r="U11" t="s">
        <v>82</v>
      </c>
      <c r="V11">
        <f>V17*(V17+1)*SUMPRODUCT((R6:R12-V5)^4,S6:S12)/((V17-1)*(V17-2)*(V17-3)*V10^2)-3*(V17-1)^2/((V17-2)*(V17-3))</f>
        <v>-1.3104395604395593</v>
      </c>
      <c r="X11" s="946" t="e">
        <f ca="1"/>
        <v>#NAME?</v>
      </c>
    </row>
    <row r="12" spans="1:24">
      <c r="A12" s="51">
        <v>5.8</v>
      </c>
      <c r="B12" s="1062">
        <v>3</v>
      </c>
      <c r="C12" s="12">
        <f t="shared" si="0"/>
        <v>15</v>
      </c>
      <c r="E12" s="50">
        <f t="shared" si="1"/>
        <v>5.5</v>
      </c>
      <c r="F12" s="8">
        <f t="shared" si="3"/>
        <v>4</v>
      </c>
      <c r="G12" s="657">
        <f t="shared" si="2"/>
        <v>0</v>
      </c>
      <c r="J12" s="51">
        <v>5.8</v>
      </c>
      <c r="K12" s="12">
        <v>3</v>
      </c>
      <c r="M12" t="s">
        <v>83</v>
      </c>
      <c r="N12">
        <f>N17*SUMPRODUCT((J6:J12-N5)^3,K6:K12)/((N17-1)*(N17-2)*N9^3)</f>
        <v>-0.56821080631061915</v>
      </c>
      <c r="P12" s="23" t="s">
        <v>2937</v>
      </c>
      <c r="R12" s="51">
        <v>5.8</v>
      </c>
      <c r="S12" s="12">
        <v>3</v>
      </c>
      <c r="U12" t="s">
        <v>83</v>
      </c>
      <c r="V12">
        <f>V17*SUMPRODUCT((R6:R12-V5)^3,S6:S12)/((V17-1)*(V17-2)*V9^3)</f>
        <v>-0.56821080631061915</v>
      </c>
      <c r="X12" s="946" t="e">
        <f ca="1"/>
        <v>#NAME?</v>
      </c>
    </row>
    <row r="13" spans="1:24">
      <c r="E13" s="50">
        <f t="shared" si="1"/>
        <v>5.6</v>
      </c>
      <c r="F13" s="8">
        <f t="shared" si="3"/>
        <v>5</v>
      </c>
      <c r="G13" s="657">
        <f t="shared" si="2"/>
        <v>0</v>
      </c>
      <c r="M13" t="s">
        <v>84</v>
      </c>
      <c r="N13" s="64">
        <f>N14-N15</f>
        <v>0.79999999999999982</v>
      </c>
      <c r="P13" s="23" t="s">
        <v>2938</v>
      </c>
      <c r="U13" t="s">
        <v>84</v>
      </c>
      <c r="V13" s="64">
        <f>V14-V15</f>
        <v>0.79999999999999982</v>
      </c>
      <c r="X13" s="946" t="e">
        <f ca="1"/>
        <v>#NAME?</v>
      </c>
    </row>
    <row r="14" spans="1:24">
      <c r="E14" s="50">
        <f t="shared" si="1"/>
        <v>5.7</v>
      </c>
      <c r="F14" s="8">
        <f t="shared" si="3"/>
        <v>6</v>
      </c>
      <c r="G14" s="657">
        <f t="shared" si="2"/>
        <v>3</v>
      </c>
      <c r="M14" t="s">
        <v>86</v>
      </c>
      <c r="N14" s="64">
        <f>MAX(J6:J12)</f>
        <v>5.8</v>
      </c>
      <c r="O14" s="64"/>
      <c r="P14" s="1139" t="s">
        <v>2939</v>
      </c>
      <c r="U14" t="s">
        <v>86</v>
      </c>
      <c r="V14" s="64">
        <f>MAX(R6:R12)</f>
        <v>5.8</v>
      </c>
      <c r="X14" s="946" t="e">
        <f ca="1"/>
        <v>#NAME?</v>
      </c>
    </row>
    <row r="15" spans="1:24">
      <c r="E15" s="50">
        <f t="shared" si="1"/>
        <v>5.7</v>
      </c>
      <c r="F15" s="8">
        <f t="shared" si="3"/>
        <v>6</v>
      </c>
      <c r="G15" s="657">
        <f t="shared" si="2"/>
        <v>2</v>
      </c>
      <c r="M15" t="s">
        <v>85</v>
      </c>
      <c r="N15" s="64">
        <f>MIN(J6:J12)</f>
        <v>5</v>
      </c>
      <c r="O15" s="64"/>
      <c r="P15" s="1139" t="s">
        <v>2940</v>
      </c>
      <c r="U15" t="s">
        <v>85</v>
      </c>
      <c r="V15" s="64">
        <f>MIN(R6:R12)</f>
        <v>5</v>
      </c>
      <c r="X15" s="946" t="e">
        <f ca="1"/>
        <v>#NAME?</v>
      </c>
    </row>
    <row r="16" spans="1:24">
      <c r="E16" s="50">
        <f t="shared" si="1"/>
        <v>5.7</v>
      </c>
      <c r="F16" s="8">
        <f t="shared" si="3"/>
        <v>6</v>
      </c>
      <c r="G16" s="657">
        <f t="shared" si="2"/>
        <v>1</v>
      </c>
      <c r="M16" t="s">
        <v>87</v>
      </c>
      <c r="N16">
        <f>SUMPRODUCT(J6:J12,K6:K12)</f>
        <v>82.5</v>
      </c>
      <c r="P16" s="23" t="s">
        <v>2941</v>
      </c>
      <c r="U16" t="s">
        <v>87</v>
      </c>
      <c r="V16">
        <f>SUMPRODUCT(R6:R12,S6:S12)</f>
        <v>82.5</v>
      </c>
      <c r="X16" s="946" t="e">
        <f ca="1"/>
        <v>#NAME?</v>
      </c>
    </row>
    <row r="17" spans="1:24">
      <c r="E17" s="50">
        <f t="shared" si="1"/>
        <v>5.7</v>
      </c>
      <c r="F17" s="8">
        <f t="shared" si="3"/>
        <v>6</v>
      </c>
      <c r="G17" s="657">
        <f t="shared" si="2"/>
        <v>0</v>
      </c>
      <c r="M17" t="s">
        <v>88</v>
      </c>
      <c r="N17">
        <f>SUM(K6:K12)</f>
        <v>15</v>
      </c>
      <c r="P17" s="23" t="s">
        <v>2942</v>
      </c>
      <c r="U17" t="s">
        <v>88</v>
      </c>
      <c r="V17">
        <f>SUM(S6:S12)</f>
        <v>15</v>
      </c>
      <c r="X17" s="946" t="e">
        <f ca="1"/>
        <v>#NAME?</v>
      </c>
    </row>
    <row r="18" spans="1:24">
      <c r="E18" s="50">
        <f t="shared" si="1"/>
        <v>5.8</v>
      </c>
      <c r="F18" s="8">
        <f t="shared" si="3"/>
        <v>7</v>
      </c>
      <c r="G18" s="657">
        <f t="shared" si="2"/>
        <v>2</v>
      </c>
      <c r="M18" t="s">
        <v>33</v>
      </c>
      <c r="N18">
        <f t="array" ref="N18">PRODUCT(J6:J12^K6:K12)^(1/N17)</f>
        <v>5.493086880815456</v>
      </c>
      <c r="P18" s="23" t="s">
        <v>2943</v>
      </c>
      <c r="U18" t="s">
        <v>33</v>
      </c>
      <c r="V18">
        <f t="array" ref="V18">PRODUCT(R6:R12^S6:S12)^(1/V17)</f>
        <v>5.493086880815456</v>
      </c>
      <c r="X18" s="946" t="e">
        <f ca="1"/>
        <v>#NAME?</v>
      </c>
    </row>
    <row r="19" spans="1:24">
      <c r="E19" s="50">
        <f t="shared" si="1"/>
        <v>5.8</v>
      </c>
      <c r="F19" s="8">
        <f t="shared" si="3"/>
        <v>7</v>
      </c>
      <c r="G19" s="657">
        <f t="shared" si="2"/>
        <v>1</v>
      </c>
      <c r="M19" t="s">
        <v>91</v>
      </c>
      <c r="N19">
        <f>N17/SUMPRODUCT(1/J6:J12*K6:K12)</f>
        <v>5.4860552296314848</v>
      </c>
      <c r="P19" s="23" t="s">
        <v>2944</v>
      </c>
      <c r="U19" t="s">
        <v>91</v>
      </c>
      <c r="V19">
        <f>V17/SUMPRODUCT(1/R6:R12*S6:S12)</f>
        <v>5.4860552296314848</v>
      </c>
      <c r="X19" s="1073" t="e">
        <f ca="1"/>
        <v>#NAME?</v>
      </c>
    </row>
    <row r="20" spans="1:24">
      <c r="E20" s="51">
        <f t="shared" si="1"/>
        <v>5.8</v>
      </c>
      <c r="F20" s="1062">
        <f t="shared" si="3"/>
        <v>7</v>
      </c>
      <c r="G20" s="12">
        <f t="shared" si="2"/>
        <v>0</v>
      </c>
      <c r="M20" t="s">
        <v>92</v>
      </c>
      <c r="N20">
        <f>SUMPRODUCT(ABS(J6:J12-N5),K6:K12)/N17</f>
        <v>0.23999999999999996</v>
      </c>
      <c r="P20" s="23" t="s">
        <v>2945</v>
      </c>
      <c r="U20" t="s">
        <v>92</v>
      </c>
      <c r="V20">
        <f>SUMPRODUCT(ABS(R6:R12-V5),S6:S12)/V17</f>
        <v>0.23999999999999996</v>
      </c>
    </row>
    <row r="21" spans="1:24">
      <c r="M21" t="s">
        <v>93</v>
      </c>
      <c r="N21" t="e">
        <f ca="1">[1]!MAD([1]!Freq2Raw(J6:J12,K6:K12))</f>
        <v>#NAME?</v>
      </c>
      <c r="P21" s="23" t="s">
        <v>2947</v>
      </c>
      <c r="U21" t="s">
        <v>93</v>
      </c>
      <c r="V21" t="e">
        <f ca="1">[1]!MAD([1]!Freq2Raw(R6:R12,S6:S12))</f>
        <v>#NAME?</v>
      </c>
    </row>
    <row r="22" spans="1:24">
      <c r="A22" s="1" t="s">
        <v>135</v>
      </c>
      <c r="M22" s="1062" t="s">
        <v>94</v>
      </c>
      <c r="N22" s="1062" t="e">
        <f ca="1">[1]!Iqr([1]!Freq2Raw(J6:J12,K6:K12))</f>
        <v>#NAME?</v>
      </c>
      <c r="P22" s="23" t="s">
        <v>2946</v>
      </c>
      <c r="U22" s="1062" t="s">
        <v>94</v>
      </c>
      <c r="V22" s="1062" t="e">
        <f ca="1">[1]!Iqr([1]!Freq2Raw(R6:R12,S6:S12))</f>
        <v>#NAME?</v>
      </c>
    </row>
    <row r="24" spans="1:24">
      <c r="A24" s="1552" t="s">
        <v>129</v>
      </c>
      <c r="B24" s="1552"/>
      <c r="C24" s="1552"/>
    </row>
    <row r="26" spans="1:24">
      <c r="A26" s="1442" t="s">
        <v>131</v>
      </c>
      <c r="B26" s="840" t="s">
        <v>132</v>
      </c>
      <c r="C26" s="1443" t="s">
        <v>133</v>
      </c>
    </row>
    <row r="27" spans="1:24">
      <c r="A27" s="50">
        <v>5</v>
      </c>
      <c r="B27" s="8">
        <v>1</v>
      </c>
      <c r="C27" s="657">
        <f>B27</f>
        <v>1</v>
      </c>
    </row>
    <row r="28" spans="1:24">
      <c r="A28" s="50">
        <v>5.0999999999999996</v>
      </c>
      <c r="B28" s="8">
        <v>1</v>
      </c>
      <c r="C28" s="657">
        <f t="shared" ref="C28:C33" si="4">B28+C27</f>
        <v>2</v>
      </c>
    </row>
    <row r="29" spans="1:24">
      <c r="A29" s="50">
        <v>5.2</v>
      </c>
      <c r="B29" s="8">
        <v>3</v>
      </c>
      <c r="C29" s="657">
        <f t="shared" si="4"/>
        <v>5</v>
      </c>
    </row>
    <row r="30" spans="1:24">
      <c r="A30" s="50">
        <v>5.5</v>
      </c>
      <c r="B30" s="8">
        <v>2</v>
      </c>
      <c r="C30" s="657">
        <f t="shared" si="4"/>
        <v>7</v>
      </c>
    </row>
    <row r="31" spans="1:24">
      <c r="A31" s="50">
        <v>5.6</v>
      </c>
      <c r="B31" s="8">
        <v>1</v>
      </c>
      <c r="C31" s="657">
        <f t="shared" si="4"/>
        <v>8</v>
      </c>
    </row>
    <row r="32" spans="1:24">
      <c r="A32" s="50">
        <v>5.7</v>
      </c>
      <c r="B32" s="8">
        <v>4</v>
      </c>
      <c r="C32" s="657">
        <f t="shared" si="4"/>
        <v>12</v>
      </c>
    </row>
    <row r="33" spans="1:3">
      <c r="A33" s="51">
        <v>5.8</v>
      </c>
      <c r="B33" s="1062">
        <v>3</v>
      </c>
      <c r="C33" s="657">
        <f t="shared" si="4"/>
        <v>15</v>
      </c>
    </row>
    <row r="35" spans="1:3">
      <c r="A35" s="1552" t="s">
        <v>130</v>
      </c>
      <c r="B35" s="1552"/>
      <c r="C35" s="1552"/>
    </row>
    <row r="37" spans="1:3">
      <c r="A37" s="1442" t="str">
        <f>A26</f>
        <v>Score</v>
      </c>
      <c r="B37" s="840" t="s">
        <v>134</v>
      </c>
      <c r="C37" s="1443" t="s">
        <v>88</v>
      </c>
    </row>
    <row r="38" spans="1:3">
      <c r="A38" s="50">
        <f>A27</f>
        <v>5</v>
      </c>
      <c r="B38" s="8">
        <f>ROW(A27)</f>
        <v>27</v>
      </c>
      <c r="C38" s="657">
        <f>B27-1</f>
        <v>0</v>
      </c>
    </row>
    <row r="39" spans="1:3">
      <c r="A39" s="50">
        <f t="shared" ref="A39:A52" ca="1" si="5">INDIRECT("R"&amp;B39&amp;"C"&amp;COLUMN(A39),FALSE)</f>
        <v>5.0999999999999996</v>
      </c>
      <c r="B39" s="8">
        <f t="shared" ref="B39:B52" si="6">IF(C38=0,B38+1,B38)</f>
        <v>28</v>
      </c>
      <c r="C39" s="657">
        <f t="shared" ref="C39:C52" ca="1" si="7">IF(C38=0,INDIRECT("R"&amp;B39&amp;"C"&amp;COLUMN(B39),FALSE)-1,C38-1)</f>
        <v>0</v>
      </c>
    </row>
    <row r="40" spans="1:3">
      <c r="A40" s="50">
        <f t="shared" ca="1" si="5"/>
        <v>5.2</v>
      </c>
      <c r="B40" s="8">
        <f t="shared" ca="1" si="6"/>
        <v>29</v>
      </c>
      <c r="C40" s="657">
        <f t="shared" ca="1" si="7"/>
        <v>2</v>
      </c>
    </row>
    <row r="41" spans="1:3">
      <c r="A41" s="50">
        <f t="shared" ca="1" si="5"/>
        <v>5.2</v>
      </c>
      <c r="B41" s="8">
        <f t="shared" ca="1" si="6"/>
        <v>29</v>
      </c>
      <c r="C41" s="657">
        <f t="shared" ca="1" si="7"/>
        <v>1</v>
      </c>
    </row>
    <row r="42" spans="1:3">
      <c r="A42" s="50">
        <f t="shared" ca="1" si="5"/>
        <v>5.2</v>
      </c>
      <c r="B42" s="8">
        <f t="shared" ca="1" si="6"/>
        <v>29</v>
      </c>
      <c r="C42" s="657">
        <f t="shared" ca="1" si="7"/>
        <v>0</v>
      </c>
    </row>
    <row r="43" spans="1:3">
      <c r="A43" s="50">
        <f t="shared" ca="1" si="5"/>
        <v>5.5</v>
      </c>
      <c r="B43" s="8">
        <f t="shared" ca="1" si="6"/>
        <v>30</v>
      </c>
      <c r="C43" s="657">
        <f t="shared" ca="1" si="7"/>
        <v>1</v>
      </c>
    </row>
    <row r="44" spans="1:3">
      <c r="A44" s="50">
        <f t="shared" ca="1" si="5"/>
        <v>5.5</v>
      </c>
      <c r="B44" s="8">
        <f t="shared" ca="1" si="6"/>
        <v>30</v>
      </c>
      <c r="C44" s="657">
        <f t="shared" ca="1" si="7"/>
        <v>0</v>
      </c>
    </row>
    <row r="45" spans="1:3">
      <c r="A45" s="50">
        <f t="shared" ca="1" si="5"/>
        <v>5.6</v>
      </c>
      <c r="B45" s="8">
        <f t="shared" ca="1" si="6"/>
        <v>31</v>
      </c>
      <c r="C45" s="657">
        <f t="shared" ca="1" si="7"/>
        <v>0</v>
      </c>
    </row>
    <row r="46" spans="1:3">
      <c r="A46" s="50">
        <f t="shared" ca="1" si="5"/>
        <v>5.7</v>
      </c>
      <c r="B46" s="8">
        <f t="shared" ca="1" si="6"/>
        <v>32</v>
      </c>
      <c r="C46" s="657">
        <f t="shared" ca="1" si="7"/>
        <v>3</v>
      </c>
    </row>
    <row r="47" spans="1:3">
      <c r="A47" s="50">
        <f t="shared" ca="1" si="5"/>
        <v>5.7</v>
      </c>
      <c r="B47" s="8">
        <f t="shared" ca="1" si="6"/>
        <v>32</v>
      </c>
      <c r="C47" s="657">
        <f t="shared" ca="1" si="7"/>
        <v>2</v>
      </c>
    </row>
    <row r="48" spans="1:3">
      <c r="A48" s="50">
        <f t="shared" ca="1" si="5"/>
        <v>5.7</v>
      </c>
      <c r="B48" s="8">
        <f t="shared" ca="1" si="6"/>
        <v>32</v>
      </c>
      <c r="C48" s="657">
        <f t="shared" ca="1" si="7"/>
        <v>1</v>
      </c>
    </row>
    <row r="49" spans="1:3">
      <c r="A49" s="50">
        <f t="shared" ca="1" si="5"/>
        <v>5.7</v>
      </c>
      <c r="B49" s="8">
        <f t="shared" ca="1" si="6"/>
        <v>32</v>
      </c>
      <c r="C49" s="657">
        <f t="shared" ca="1" si="7"/>
        <v>0</v>
      </c>
    </row>
    <row r="50" spans="1:3">
      <c r="A50" s="50">
        <f t="shared" ca="1" si="5"/>
        <v>5.8</v>
      </c>
      <c r="B50" s="8">
        <f t="shared" ca="1" si="6"/>
        <v>33</v>
      </c>
      <c r="C50" s="657">
        <f t="shared" ca="1" si="7"/>
        <v>2</v>
      </c>
    </row>
    <row r="51" spans="1:3">
      <c r="A51" s="50">
        <f t="shared" ca="1" si="5"/>
        <v>5.8</v>
      </c>
      <c r="B51" s="8">
        <f t="shared" ca="1" si="6"/>
        <v>33</v>
      </c>
      <c r="C51" s="657">
        <f t="shared" ca="1" si="7"/>
        <v>1</v>
      </c>
    </row>
    <row r="52" spans="1:3">
      <c r="A52" s="51">
        <f t="shared" ca="1" si="5"/>
        <v>5.8</v>
      </c>
      <c r="B52" s="1062">
        <f t="shared" ca="1" si="6"/>
        <v>33</v>
      </c>
      <c r="C52" s="12">
        <f t="shared" ca="1" si="7"/>
        <v>0</v>
      </c>
    </row>
  </sheetData>
  <mergeCells count="4">
    <mergeCell ref="A3:C3"/>
    <mergeCell ref="E3:G3"/>
    <mergeCell ref="A24:C24"/>
    <mergeCell ref="A35:C35"/>
  </mergeCell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sheetPr codeName="Sheet229"/>
  <dimension ref="A1:X53"/>
  <sheetViews>
    <sheetView workbookViewId="0"/>
  </sheetViews>
  <sheetFormatPr defaultRowHeight="14.4"/>
  <sheetData>
    <row r="1" spans="1:24">
      <c r="A1" s="1" t="s">
        <v>136</v>
      </c>
      <c r="H1" t="s">
        <v>2734</v>
      </c>
      <c r="V1" t="s">
        <v>2954</v>
      </c>
    </row>
    <row r="3" spans="1:24">
      <c r="A3" t="s">
        <v>137</v>
      </c>
      <c r="C3" s="1552" t="s">
        <v>129</v>
      </c>
      <c r="D3" s="1552"/>
      <c r="E3" s="1552"/>
      <c r="H3" s="1140">
        <v>5</v>
      </c>
      <c r="J3" t="s">
        <v>129</v>
      </c>
      <c r="V3" s="1103" t="s">
        <v>2588</v>
      </c>
      <c r="W3" s="1103" t="s">
        <v>100</v>
      </c>
      <c r="X3" s="1103" t="s">
        <v>1707</v>
      </c>
    </row>
    <row r="4" spans="1:24">
      <c r="H4" s="1141">
        <v>5.0999999999999996</v>
      </c>
      <c r="V4" s="1067" t="e">
        <f t="array" aca="1" ref="V4:X11" ca="1">[1]!FREQTABLE(H3:H17)</f>
        <v>#NAME?</v>
      </c>
      <c r="W4" s="1117" t="e">
        <f ca="1"/>
        <v>#NAME?</v>
      </c>
      <c r="X4" s="1071" t="e">
        <f ca="1"/>
        <v>#NAME?</v>
      </c>
    </row>
    <row r="5" spans="1:24">
      <c r="A5" s="52" t="s">
        <v>131</v>
      </c>
      <c r="C5" s="38" t="s">
        <v>131</v>
      </c>
      <c r="D5" s="39" t="s">
        <v>132</v>
      </c>
      <c r="E5" s="20" t="s">
        <v>133</v>
      </c>
      <c r="H5" s="1141">
        <v>5.2</v>
      </c>
      <c r="J5" s="1103" t="s">
        <v>2588</v>
      </c>
      <c r="K5" s="1103" t="s">
        <v>100</v>
      </c>
      <c r="L5" s="1103" t="s">
        <v>1707</v>
      </c>
      <c r="V5" s="656" t="e">
        <f ca="1"/>
        <v>#NAME?</v>
      </c>
      <c r="W5" s="8" t="e">
        <f ca="1"/>
        <v>#NAME?</v>
      </c>
      <c r="X5" s="657" t="e">
        <f ca="1"/>
        <v>#NAME?</v>
      </c>
    </row>
    <row r="6" spans="1:24">
      <c r="A6" s="53">
        <v>5</v>
      </c>
      <c r="C6" s="50">
        <v>5</v>
      </c>
      <c r="D6" s="8">
        <f t="shared" ref="D6:D12" si="0">COUNTIF($A$6:$A$20,C6)</f>
        <v>1</v>
      </c>
      <c r="E6" s="9">
        <f>D6</f>
        <v>1</v>
      </c>
      <c r="H6" s="1141">
        <v>5.2</v>
      </c>
      <c r="J6" t="e">
        <f t="array" aca="1" ref="J6:J12" ca="1">[1]!NODUPES(H3:H17)</f>
        <v>#NAME?</v>
      </c>
      <c r="K6">
        <f ca="1">COUNTIF($H$3:$H$17,J6)</f>
        <v>0</v>
      </c>
      <c r="L6" t="e">
        <f ca="1">K6/$K$13</f>
        <v>#DIV/0!</v>
      </c>
      <c r="V6" s="656" t="e">
        <f ca="1"/>
        <v>#NAME?</v>
      </c>
      <c r="W6" s="8" t="e">
        <f ca="1"/>
        <v>#NAME?</v>
      </c>
      <c r="X6" s="657" t="e">
        <f ca="1"/>
        <v>#NAME?</v>
      </c>
    </row>
    <row r="7" spans="1:24">
      <c r="A7" s="53">
        <v>5.0999999999999996</v>
      </c>
      <c r="C7" s="50">
        <v>5.0999999999999996</v>
      </c>
      <c r="D7" s="8">
        <f t="shared" si="0"/>
        <v>1</v>
      </c>
      <c r="E7" s="9">
        <f t="shared" ref="E7:E12" si="1">E6+D7</f>
        <v>2</v>
      </c>
      <c r="H7" s="1141">
        <v>5.2</v>
      </c>
      <c r="J7" t="e">
        <f ca="1"/>
        <v>#NAME?</v>
      </c>
      <c r="K7">
        <f t="shared" ref="K7:K12" ca="1" si="2">COUNTIF($H$3:$H$17,J7)</f>
        <v>0</v>
      </c>
      <c r="L7" t="e">
        <f t="shared" ref="L7:L12" ca="1" si="3">K7/$K$13</f>
        <v>#DIV/0!</v>
      </c>
      <c r="V7" s="656" t="e">
        <f ca="1"/>
        <v>#NAME?</v>
      </c>
      <c r="W7" s="8" t="e">
        <f ca="1"/>
        <v>#NAME?</v>
      </c>
      <c r="X7" s="657" t="e">
        <f ca="1"/>
        <v>#NAME?</v>
      </c>
    </row>
    <row r="8" spans="1:24">
      <c r="A8" s="53">
        <v>5.2</v>
      </c>
      <c r="C8" s="50">
        <v>5.2</v>
      </c>
      <c r="D8" s="8">
        <f t="shared" si="0"/>
        <v>3</v>
      </c>
      <c r="E8" s="9">
        <f t="shared" si="1"/>
        <v>5</v>
      </c>
      <c r="H8" s="1141">
        <v>5.5</v>
      </c>
      <c r="J8" t="e">
        <f ca="1"/>
        <v>#NAME?</v>
      </c>
      <c r="K8">
        <f t="shared" ca="1" si="2"/>
        <v>0</v>
      </c>
      <c r="L8" t="e">
        <f t="shared" ca="1" si="3"/>
        <v>#DIV/0!</v>
      </c>
      <c r="V8" s="656" t="e">
        <f ca="1"/>
        <v>#NAME?</v>
      </c>
      <c r="W8" s="8" t="e">
        <f ca="1"/>
        <v>#NAME?</v>
      </c>
      <c r="X8" s="657" t="e">
        <f ca="1"/>
        <v>#NAME?</v>
      </c>
    </row>
    <row r="9" spans="1:24">
      <c r="A9" s="53">
        <v>5.2</v>
      </c>
      <c r="C9" s="50">
        <v>5.5</v>
      </c>
      <c r="D9" s="8">
        <f t="shared" si="0"/>
        <v>2</v>
      </c>
      <c r="E9" s="9">
        <f t="shared" si="1"/>
        <v>7</v>
      </c>
      <c r="H9" s="1141">
        <v>5.5</v>
      </c>
      <c r="J9" t="e">
        <f ca="1"/>
        <v>#NAME?</v>
      </c>
      <c r="K9">
        <f t="shared" ca="1" si="2"/>
        <v>0</v>
      </c>
      <c r="L9" t="e">
        <f t="shared" ca="1" si="3"/>
        <v>#DIV/0!</v>
      </c>
      <c r="V9" s="656" t="e">
        <f ca="1"/>
        <v>#NAME?</v>
      </c>
      <c r="W9" s="8" t="e">
        <f ca="1"/>
        <v>#NAME?</v>
      </c>
      <c r="X9" s="657" t="e">
        <f ca="1"/>
        <v>#NAME?</v>
      </c>
    </row>
    <row r="10" spans="1:24">
      <c r="A10" s="53">
        <v>5.2</v>
      </c>
      <c r="C10" s="50">
        <v>5.6</v>
      </c>
      <c r="D10" s="8">
        <f t="shared" si="0"/>
        <v>1</v>
      </c>
      <c r="E10" s="9">
        <f t="shared" si="1"/>
        <v>8</v>
      </c>
      <c r="H10" s="1141">
        <v>5.6</v>
      </c>
      <c r="J10" t="e">
        <f ca="1"/>
        <v>#NAME?</v>
      </c>
      <c r="K10">
        <f t="shared" ca="1" si="2"/>
        <v>0</v>
      </c>
      <c r="L10" t="e">
        <f t="shared" ca="1" si="3"/>
        <v>#DIV/0!</v>
      </c>
      <c r="V10" s="656" t="e">
        <f ca="1"/>
        <v>#NAME?</v>
      </c>
      <c r="W10" s="8" t="e">
        <f ca="1"/>
        <v>#NAME?</v>
      </c>
      <c r="X10" s="657" t="e">
        <f ca="1"/>
        <v>#NAME?</v>
      </c>
    </row>
    <row r="11" spans="1:24">
      <c r="A11" s="53">
        <v>5.5</v>
      </c>
      <c r="C11" s="50">
        <v>5.7</v>
      </c>
      <c r="D11" s="8">
        <f t="shared" si="0"/>
        <v>4</v>
      </c>
      <c r="E11" s="9">
        <f t="shared" si="1"/>
        <v>12</v>
      </c>
      <c r="H11" s="1141">
        <v>5.7</v>
      </c>
      <c r="J11" t="e">
        <f ca="1"/>
        <v>#NAME?</v>
      </c>
      <c r="K11">
        <f t="shared" ca="1" si="2"/>
        <v>0</v>
      </c>
      <c r="L11" t="e">
        <f t="shared" ca="1" si="3"/>
        <v>#DIV/0!</v>
      </c>
      <c r="V11" s="533" t="e">
        <f ca="1"/>
        <v>#NAME?</v>
      </c>
      <c r="W11" s="1078" t="e">
        <f ca="1"/>
        <v>#NAME?</v>
      </c>
      <c r="X11" s="541" t="e">
        <f ca="1"/>
        <v>#NAME?</v>
      </c>
    </row>
    <row r="12" spans="1:24">
      <c r="A12" s="53">
        <v>5.5</v>
      </c>
      <c r="C12" s="51">
        <v>5.8</v>
      </c>
      <c r="D12" s="11">
        <f t="shared" si="0"/>
        <v>3</v>
      </c>
      <c r="E12" s="12">
        <f t="shared" si="1"/>
        <v>15</v>
      </c>
      <c r="H12" s="1141">
        <v>5.7</v>
      </c>
      <c r="J12" s="1078" t="e">
        <f ca="1"/>
        <v>#NAME?</v>
      </c>
      <c r="K12" s="1078">
        <f t="shared" ca="1" si="2"/>
        <v>0</v>
      </c>
      <c r="L12" s="1078" t="e">
        <f t="shared" ca="1" si="3"/>
        <v>#DIV/0!</v>
      </c>
    </row>
    <row r="13" spans="1:24">
      <c r="A13" s="53">
        <v>5.6</v>
      </c>
      <c r="H13" s="1141">
        <v>5.7</v>
      </c>
      <c r="K13">
        <f ca="1">SUM(K6:K12)</f>
        <v>0</v>
      </c>
      <c r="L13" t="e">
        <f ca="1">SUM(L6:L12)</f>
        <v>#DIV/0!</v>
      </c>
    </row>
    <row r="14" spans="1:24">
      <c r="A14" s="53">
        <v>5.7</v>
      </c>
      <c r="H14" s="1141">
        <v>5.7</v>
      </c>
    </row>
    <row r="15" spans="1:24">
      <c r="A15" s="53">
        <v>5.7</v>
      </c>
      <c r="H15" s="1141">
        <v>5.8</v>
      </c>
    </row>
    <row r="16" spans="1:24">
      <c r="A16" s="53">
        <v>5.7</v>
      </c>
      <c r="H16" s="1141">
        <v>5.8</v>
      </c>
    </row>
    <row r="17" spans="1:24">
      <c r="A17" s="53">
        <v>5.7</v>
      </c>
      <c r="H17" s="1142">
        <v>5.8</v>
      </c>
    </row>
    <row r="18" spans="1:24">
      <c r="A18" s="53">
        <v>5.8</v>
      </c>
    </row>
    <row r="19" spans="1:24">
      <c r="A19" s="53">
        <v>5.8</v>
      </c>
      <c r="H19" t="s">
        <v>2949</v>
      </c>
      <c r="V19" t="s">
        <v>2955</v>
      </c>
    </row>
    <row r="20" spans="1:24">
      <c r="A20" s="54">
        <v>5.8</v>
      </c>
    </row>
    <row r="21" spans="1:24">
      <c r="H21" s="1143">
        <v>5</v>
      </c>
      <c r="J21" t="s">
        <v>129</v>
      </c>
      <c r="V21" s="1103" t="s">
        <v>2588</v>
      </c>
      <c r="W21" s="1103" t="s">
        <v>100</v>
      </c>
      <c r="X21" s="1103" t="s">
        <v>1707</v>
      </c>
    </row>
    <row r="22" spans="1:24">
      <c r="H22" s="1144">
        <v>5.0999999999999996</v>
      </c>
      <c r="V22" s="1067" t="e">
        <f t="array" aca="1" ref="V22:X31" ca="1">[1]!FREQTABLE(H21:H35,0.15)</f>
        <v>#NAME?</v>
      </c>
      <c r="W22" s="1117" t="e">
        <f ca="1"/>
        <v>#NAME?</v>
      </c>
      <c r="X22" s="1071" t="e">
        <f ca="1"/>
        <v>#NAME?</v>
      </c>
    </row>
    <row r="23" spans="1:24">
      <c r="H23" s="1144">
        <v>5.2</v>
      </c>
      <c r="J23" t="s">
        <v>2950</v>
      </c>
      <c r="K23">
        <v>0.15</v>
      </c>
      <c r="V23" s="656" t="e">
        <f ca="1"/>
        <v>#NAME?</v>
      </c>
      <c r="W23" s="8" t="e">
        <f ca="1"/>
        <v>#NAME?</v>
      </c>
      <c r="X23" s="657" t="e">
        <f ca="1"/>
        <v>#NAME?</v>
      </c>
    </row>
    <row r="24" spans="1:24">
      <c r="H24" s="1144">
        <v>5.2</v>
      </c>
      <c r="V24" s="656" t="e">
        <f ca="1"/>
        <v>#NAME?</v>
      </c>
      <c r="W24" s="8" t="e">
        <f ca="1"/>
        <v>#NAME?</v>
      </c>
      <c r="X24" s="657" t="e">
        <f ca="1"/>
        <v>#NAME?</v>
      </c>
    </row>
    <row r="25" spans="1:24">
      <c r="H25" s="1144">
        <v>5.2</v>
      </c>
      <c r="J25" s="1103" t="s">
        <v>2588</v>
      </c>
      <c r="K25" s="1103" t="s">
        <v>100</v>
      </c>
      <c r="L25" s="1103" t="s">
        <v>2948</v>
      </c>
      <c r="V25" s="656" t="e">
        <f ca="1"/>
        <v>#NAME?</v>
      </c>
      <c r="W25" s="8" t="e">
        <f ca="1"/>
        <v>#NAME?</v>
      </c>
      <c r="X25" s="657" t="e">
        <f ca="1"/>
        <v>#NAME?</v>
      </c>
    </row>
    <row r="26" spans="1:24">
      <c r="H26" s="1144">
        <v>5.5</v>
      </c>
      <c r="J26">
        <f t="shared" ref="J26:J31" si="4">J27-$K$23</f>
        <v>4.8999999999999977</v>
      </c>
      <c r="V26" s="656" t="e">
        <f ca="1"/>
        <v>#NAME?</v>
      </c>
      <c r="W26" s="8" t="e">
        <f ca="1"/>
        <v>#NAME?</v>
      </c>
      <c r="X26" s="657" t="e">
        <f ca="1"/>
        <v>#NAME?</v>
      </c>
    </row>
    <row r="27" spans="1:24">
      <c r="H27" s="1144">
        <v>5.5</v>
      </c>
      <c r="J27">
        <f t="shared" si="4"/>
        <v>5.049999999999998</v>
      </c>
      <c r="K27">
        <f t="shared" ref="K27:K32" si="5">L27-L26</f>
        <v>1</v>
      </c>
      <c r="L27">
        <f t="shared" ref="L27:L32" si="6">COUNTIF($H$21:$H$35,"&lt;="&amp;J27)</f>
        <v>1</v>
      </c>
      <c r="V27" s="656" t="e">
        <f ca="1"/>
        <v>#NAME?</v>
      </c>
      <c r="W27" s="8" t="e">
        <f ca="1"/>
        <v>#NAME?</v>
      </c>
      <c r="X27" s="657" t="e">
        <f ca="1"/>
        <v>#NAME?</v>
      </c>
    </row>
    <row r="28" spans="1:24">
      <c r="H28" s="1144">
        <v>5.6</v>
      </c>
      <c r="J28">
        <f t="shared" si="4"/>
        <v>5.1999999999999984</v>
      </c>
      <c r="K28">
        <f t="shared" si="5"/>
        <v>4</v>
      </c>
      <c r="L28">
        <f t="shared" si="6"/>
        <v>5</v>
      </c>
      <c r="V28" s="656" t="e">
        <f ca="1"/>
        <v>#NAME?</v>
      </c>
      <c r="W28" s="8" t="e">
        <f ca="1"/>
        <v>#NAME?</v>
      </c>
      <c r="X28" s="657" t="e">
        <f ca="1"/>
        <v>#NAME?</v>
      </c>
    </row>
    <row r="29" spans="1:24">
      <c r="H29" s="1144">
        <v>5.7</v>
      </c>
      <c r="J29">
        <f t="shared" si="4"/>
        <v>5.3499999999999988</v>
      </c>
      <c r="K29">
        <f t="shared" si="5"/>
        <v>0</v>
      </c>
      <c r="L29">
        <f t="shared" si="6"/>
        <v>5</v>
      </c>
      <c r="V29" s="656" t="e">
        <f ca="1"/>
        <v>#NAME?</v>
      </c>
      <c r="W29" s="8" t="e">
        <f ca="1"/>
        <v>#NAME?</v>
      </c>
      <c r="X29" s="657" t="e">
        <f ca="1"/>
        <v>#NAME?</v>
      </c>
    </row>
    <row r="30" spans="1:24">
      <c r="H30" s="1144">
        <v>5.7</v>
      </c>
      <c r="J30">
        <f t="shared" si="4"/>
        <v>5.4999999999999991</v>
      </c>
      <c r="K30">
        <f t="shared" si="5"/>
        <v>2</v>
      </c>
      <c r="L30">
        <f t="shared" si="6"/>
        <v>7</v>
      </c>
      <c r="V30" s="656" t="e">
        <f ca="1"/>
        <v>#NAME?</v>
      </c>
      <c r="W30" s="8" t="e">
        <f ca="1"/>
        <v>#NAME?</v>
      </c>
      <c r="X30" s="657" t="e">
        <f ca="1"/>
        <v>#NAME?</v>
      </c>
    </row>
    <row r="31" spans="1:24">
      <c r="H31" s="1144">
        <v>5.7</v>
      </c>
      <c r="J31">
        <f t="shared" si="4"/>
        <v>5.6499999999999995</v>
      </c>
      <c r="K31">
        <f t="shared" si="5"/>
        <v>1</v>
      </c>
      <c r="L31">
        <f t="shared" si="6"/>
        <v>8</v>
      </c>
      <c r="V31" s="533" t="e">
        <f ca="1"/>
        <v>#NAME?</v>
      </c>
      <c r="W31" s="1078" t="e">
        <f ca="1"/>
        <v>#NAME?</v>
      </c>
      <c r="X31" s="541" t="e">
        <f ca="1"/>
        <v>#NAME?</v>
      </c>
    </row>
    <row r="32" spans="1:24">
      <c r="H32" s="1144">
        <v>5.7</v>
      </c>
      <c r="J32" s="1078">
        <f>MAX(H21:H35)</f>
        <v>5.8</v>
      </c>
      <c r="K32" s="1078">
        <f t="shared" si="5"/>
        <v>7</v>
      </c>
      <c r="L32" s="1078">
        <f t="shared" si="6"/>
        <v>15</v>
      </c>
    </row>
    <row r="33" spans="8:24">
      <c r="H33" s="1144">
        <v>5.8</v>
      </c>
    </row>
    <row r="34" spans="8:24">
      <c r="H34" s="1144">
        <v>5.8</v>
      </c>
    </row>
    <row r="35" spans="8:24">
      <c r="H35" s="1145">
        <v>5.8</v>
      </c>
    </row>
    <row r="37" spans="8:24">
      <c r="H37" t="s">
        <v>2949</v>
      </c>
      <c r="V37" t="s">
        <v>2956</v>
      </c>
    </row>
    <row r="39" spans="8:24">
      <c r="H39" s="1143">
        <v>5</v>
      </c>
      <c r="J39" t="s">
        <v>129</v>
      </c>
      <c r="V39" s="1103" t="s">
        <v>2588</v>
      </c>
      <c r="W39" s="1103" t="s">
        <v>100</v>
      </c>
      <c r="X39" s="1103" t="s">
        <v>1707</v>
      </c>
    </row>
    <row r="40" spans="8:24">
      <c r="H40" s="1144">
        <v>5.0999999999999996</v>
      </c>
      <c r="V40" s="1067" t="e">
        <f t="array" aca="1" ref="V40:X49" ca="1">[1]!FREQTABLE(H39:H53,0.16)</f>
        <v>#NAME?</v>
      </c>
      <c r="W40" s="1117" t="e">
        <f ca="1"/>
        <v>#NAME?</v>
      </c>
      <c r="X40" s="1071" t="e">
        <f ca="1"/>
        <v>#NAME?</v>
      </c>
    </row>
    <row r="41" spans="8:24">
      <c r="H41" s="1144">
        <v>5.2</v>
      </c>
      <c r="J41" t="s">
        <v>2950</v>
      </c>
      <c r="K41">
        <v>0.16</v>
      </c>
      <c r="V41" s="656" t="e">
        <f ca="1"/>
        <v>#NAME?</v>
      </c>
      <c r="W41" s="8" t="e">
        <f ca="1"/>
        <v>#NAME?</v>
      </c>
      <c r="X41" s="657" t="e">
        <f ca="1"/>
        <v>#NAME?</v>
      </c>
    </row>
    <row r="42" spans="8:24">
      <c r="H42" s="1144">
        <v>5.2</v>
      </c>
      <c r="V42" s="656" t="e">
        <f ca="1"/>
        <v>#NAME?</v>
      </c>
      <c r="W42" s="8" t="e">
        <f ca="1"/>
        <v>#NAME?</v>
      </c>
      <c r="X42" s="657" t="e">
        <f ca="1"/>
        <v>#NAME?</v>
      </c>
    </row>
    <row r="43" spans="8:24">
      <c r="H43" s="1144">
        <v>5.2</v>
      </c>
      <c r="J43" s="1103" t="s">
        <v>2588</v>
      </c>
      <c r="K43" s="1103" t="s">
        <v>100</v>
      </c>
      <c r="L43" s="1103" t="s">
        <v>2948</v>
      </c>
      <c r="V43" s="656" t="e">
        <f ca="1"/>
        <v>#NAME?</v>
      </c>
      <c r="W43" s="8" t="e">
        <f ca="1"/>
        <v>#NAME?</v>
      </c>
      <c r="X43" s="657" t="e">
        <f ca="1"/>
        <v>#NAME?</v>
      </c>
    </row>
    <row r="44" spans="8:24">
      <c r="H44" s="1144">
        <v>5.5</v>
      </c>
      <c r="J44">
        <f t="shared" ref="J44:J49" si="7">J45-$K$41</f>
        <v>4.839999999999999</v>
      </c>
      <c r="V44" s="656" t="e">
        <f ca="1"/>
        <v>#NAME?</v>
      </c>
      <c r="W44" s="8" t="e">
        <f ca="1"/>
        <v>#NAME?</v>
      </c>
      <c r="X44" s="657" t="e">
        <f ca="1"/>
        <v>#NAME?</v>
      </c>
    </row>
    <row r="45" spans="8:24">
      <c r="H45" s="1144">
        <v>5.5</v>
      </c>
      <c r="J45">
        <f t="shared" si="7"/>
        <v>4.9999999999999991</v>
      </c>
      <c r="K45">
        <f t="shared" ref="K45:K50" si="8">L45-L44</f>
        <v>1</v>
      </c>
      <c r="L45">
        <f t="shared" ref="L45:L50" si="9">COUNTIF($H$39:$H$53,"&lt;="&amp;J45)</f>
        <v>1</v>
      </c>
      <c r="V45" s="656" t="e">
        <f ca="1"/>
        <v>#NAME?</v>
      </c>
      <c r="W45" s="8" t="e">
        <f ca="1"/>
        <v>#NAME?</v>
      </c>
      <c r="X45" s="657" t="e">
        <f ca="1"/>
        <v>#NAME?</v>
      </c>
    </row>
    <row r="46" spans="8:24">
      <c r="H46" s="1144">
        <v>5.6</v>
      </c>
      <c r="J46">
        <f t="shared" si="7"/>
        <v>5.1599999999999993</v>
      </c>
      <c r="K46">
        <f t="shared" si="8"/>
        <v>1</v>
      </c>
      <c r="L46">
        <f t="shared" si="9"/>
        <v>2</v>
      </c>
      <c r="V46" s="656" t="e">
        <f ca="1"/>
        <v>#NAME?</v>
      </c>
      <c r="W46" s="8" t="e">
        <f ca="1"/>
        <v>#NAME?</v>
      </c>
      <c r="X46" s="657" t="e">
        <f ca="1"/>
        <v>#NAME?</v>
      </c>
    </row>
    <row r="47" spans="8:24">
      <c r="H47" s="1144">
        <v>5.7</v>
      </c>
      <c r="J47">
        <f t="shared" si="7"/>
        <v>5.3199999999999994</v>
      </c>
      <c r="K47">
        <f t="shared" si="8"/>
        <v>3</v>
      </c>
      <c r="L47">
        <f t="shared" si="9"/>
        <v>5</v>
      </c>
      <c r="V47" s="656" t="e">
        <f ca="1"/>
        <v>#NAME?</v>
      </c>
      <c r="W47" s="8" t="e">
        <f ca="1"/>
        <v>#NAME?</v>
      </c>
      <c r="X47" s="657" t="e">
        <f ca="1"/>
        <v>#NAME?</v>
      </c>
    </row>
    <row r="48" spans="8:24">
      <c r="H48" s="1144">
        <v>5.7</v>
      </c>
      <c r="J48">
        <f t="shared" si="7"/>
        <v>5.4799999999999995</v>
      </c>
      <c r="K48">
        <f t="shared" si="8"/>
        <v>0</v>
      </c>
      <c r="L48">
        <f t="shared" si="9"/>
        <v>5</v>
      </c>
      <c r="V48" s="656" t="e">
        <f ca="1"/>
        <v>#NAME?</v>
      </c>
      <c r="W48" s="8" t="e">
        <f ca="1"/>
        <v>#NAME?</v>
      </c>
      <c r="X48" s="657" t="e">
        <f ca="1"/>
        <v>#NAME?</v>
      </c>
    </row>
    <row r="49" spans="8:24">
      <c r="H49" s="1144">
        <v>5.7</v>
      </c>
      <c r="J49">
        <f t="shared" si="7"/>
        <v>5.64</v>
      </c>
      <c r="K49">
        <f t="shared" si="8"/>
        <v>3</v>
      </c>
      <c r="L49">
        <f t="shared" si="9"/>
        <v>8</v>
      </c>
      <c r="V49" s="533" t="e">
        <f ca="1"/>
        <v>#NAME?</v>
      </c>
      <c r="W49" s="1078" t="e">
        <f ca="1"/>
        <v>#NAME?</v>
      </c>
      <c r="X49" s="541" t="e">
        <f ca="1"/>
        <v>#NAME?</v>
      </c>
    </row>
    <row r="50" spans="8:24">
      <c r="H50" s="1144">
        <v>5.7</v>
      </c>
      <c r="J50" s="1078">
        <f>MAX(H39:H53)</f>
        <v>5.8</v>
      </c>
      <c r="K50" s="1078">
        <f t="shared" si="8"/>
        <v>7</v>
      </c>
      <c r="L50" s="1078">
        <f t="shared" si="9"/>
        <v>15</v>
      </c>
    </row>
    <row r="51" spans="8:24">
      <c r="H51" s="1144">
        <v>5.8</v>
      </c>
    </row>
    <row r="52" spans="8:24">
      <c r="H52" s="1144">
        <v>5.8</v>
      </c>
    </row>
    <row r="53" spans="8:24">
      <c r="H53" s="1145">
        <v>5.8</v>
      </c>
    </row>
  </sheetData>
  <mergeCells count="1">
    <mergeCell ref="C3:E3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sheetPr codeName="Sheet297"/>
  <dimension ref="A1:O18"/>
  <sheetViews>
    <sheetView workbookViewId="0"/>
  </sheetViews>
  <sheetFormatPr defaultRowHeight="14.4"/>
  <cols>
    <col min="4" max="4" width="6.44140625" customWidth="1"/>
    <col min="8" max="8" width="6.44140625" customWidth="1"/>
    <col min="12" max="12" width="6.44140625" customWidth="1"/>
  </cols>
  <sheetData>
    <row r="1" spans="1:15">
      <c r="A1" s="1" t="s">
        <v>3313</v>
      </c>
      <c r="E1" t="s">
        <v>3322</v>
      </c>
      <c r="I1" t="s">
        <v>3321</v>
      </c>
      <c r="M1" t="s">
        <v>3320</v>
      </c>
    </row>
    <row r="3" spans="1:15">
      <c r="A3" s="1228" t="s">
        <v>3314</v>
      </c>
      <c r="B3" s="1228" t="s">
        <v>3315</v>
      </c>
      <c r="C3" s="1228" t="s">
        <v>2091</v>
      </c>
      <c r="E3" s="1228" t="s">
        <v>3314</v>
      </c>
      <c r="F3" s="1228" t="s">
        <v>3315</v>
      </c>
      <c r="G3" s="1228" t="s">
        <v>2091</v>
      </c>
      <c r="I3" s="19" t="s">
        <v>989</v>
      </c>
      <c r="J3" s="19" t="s">
        <v>990</v>
      </c>
      <c r="K3" s="19" t="s">
        <v>1084</v>
      </c>
      <c r="L3" s="19"/>
      <c r="M3" s="19" t="s">
        <v>989</v>
      </c>
      <c r="N3" s="19" t="s">
        <v>990</v>
      </c>
      <c r="O3" s="19" t="s">
        <v>1084</v>
      </c>
    </row>
    <row r="4" spans="1:15">
      <c r="A4" s="1101">
        <v>1990</v>
      </c>
      <c r="B4" s="1227" t="s">
        <v>3316</v>
      </c>
      <c r="C4" s="1102">
        <v>5</v>
      </c>
      <c r="E4" s="1101">
        <f>A4</f>
        <v>1990</v>
      </c>
      <c r="F4" s="1227" t="e">
        <f t="array" aca="1" ref="F4:F13" ca="1">[1]!CATCODE(B4:B13)</f>
        <v>#NAME?</v>
      </c>
      <c r="G4" s="1102">
        <f>C4</f>
        <v>5</v>
      </c>
      <c r="I4" s="1067" t="e">
        <f t="array" aca="1" ref="I4:K13" ca="1">[1]!TAGCODE(B4:B13)</f>
        <v>#NAME?</v>
      </c>
      <c r="J4" s="1152" t="e">
        <f ca="1"/>
        <v>#NAME?</v>
      </c>
      <c r="K4" s="1071" t="e">
        <f ca="1"/>
        <v>#NAME?</v>
      </c>
      <c r="M4" s="1067" t="e">
        <f t="array" aca="1" ref="M4:O13" ca="1">[1]!TAGCODE(F4:F13,FALSE)</f>
        <v>#NAME?</v>
      </c>
      <c r="N4" s="1152" t="e">
        <f ca="1"/>
        <v>#NAME?</v>
      </c>
      <c r="O4" s="1071" t="e">
        <f ca="1"/>
        <v>#NAME?</v>
      </c>
    </row>
    <row r="5" spans="1:15">
      <c r="A5" s="664">
        <v>1990</v>
      </c>
      <c r="B5" s="1229" t="s">
        <v>3317</v>
      </c>
      <c r="C5" s="618">
        <v>15</v>
      </c>
      <c r="E5" s="664">
        <f t="shared" ref="E5:E13" si="0">A5</f>
        <v>1990</v>
      </c>
      <c r="F5" s="1229" t="e">
        <f ca="1"/>
        <v>#NAME?</v>
      </c>
      <c r="G5" s="618">
        <f t="shared" ref="G5:G13" si="1">C5</f>
        <v>15</v>
      </c>
      <c r="I5" s="656" t="e">
        <f ca="1"/>
        <v>#NAME?</v>
      </c>
      <c r="J5" s="8" t="e">
        <f ca="1"/>
        <v>#NAME?</v>
      </c>
      <c r="K5" s="657" t="e">
        <f ca="1"/>
        <v>#NAME?</v>
      </c>
      <c r="M5" s="656" t="e">
        <f ca="1"/>
        <v>#NAME?</v>
      </c>
      <c r="N5" s="8" t="e">
        <f ca="1"/>
        <v>#NAME?</v>
      </c>
      <c r="O5" s="657" t="e">
        <f ca="1"/>
        <v>#NAME?</v>
      </c>
    </row>
    <row r="6" spans="1:15">
      <c r="A6" s="664">
        <v>1990</v>
      </c>
      <c r="B6" s="1229" t="s">
        <v>3318</v>
      </c>
      <c r="C6" s="618">
        <v>28</v>
      </c>
      <c r="E6" s="664">
        <f t="shared" si="0"/>
        <v>1990</v>
      </c>
      <c r="F6" s="1229" t="e">
        <f ca="1"/>
        <v>#NAME?</v>
      </c>
      <c r="G6" s="618">
        <f t="shared" si="1"/>
        <v>28</v>
      </c>
      <c r="I6" s="656" t="e">
        <f ca="1"/>
        <v>#NAME?</v>
      </c>
      <c r="J6" s="8" t="e">
        <f ca="1"/>
        <v>#NAME?</v>
      </c>
      <c r="K6" s="657" t="e">
        <f ca="1"/>
        <v>#NAME?</v>
      </c>
      <c r="M6" s="656" t="e">
        <f ca="1"/>
        <v>#NAME?</v>
      </c>
      <c r="N6" s="8" t="e">
        <f ca="1"/>
        <v>#NAME?</v>
      </c>
      <c r="O6" s="657" t="e">
        <f ca="1"/>
        <v>#NAME?</v>
      </c>
    </row>
    <row r="7" spans="1:15">
      <c r="A7" s="664">
        <v>1990</v>
      </c>
      <c r="B7" s="1229" t="s">
        <v>3319</v>
      </c>
      <c r="C7" s="618">
        <v>17</v>
      </c>
      <c r="E7" s="664">
        <f t="shared" si="0"/>
        <v>1990</v>
      </c>
      <c r="F7" s="1229" t="e">
        <f ca="1"/>
        <v>#NAME?</v>
      </c>
      <c r="G7" s="618">
        <f t="shared" si="1"/>
        <v>17</v>
      </c>
      <c r="I7" s="656" t="e">
        <f ca="1"/>
        <v>#NAME?</v>
      </c>
      <c r="J7" s="8" t="e">
        <f ca="1"/>
        <v>#NAME?</v>
      </c>
      <c r="K7" s="657" t="e">
        <f ca="1"/>
        <v>#NAME?</v>
      </c>
      <c r="M7" s="656" t="e">
        <f ca="1"/>
        <v>#NAME?</v>
      </c>
      <c r="N7" s="8" t="e">
        <f ca="1"/>
        <v>#NAME?</v>
      </c>
      <c r="O7" s="657" t="e">
        <f ca="1"/>
        <v>#NAME?</v>
      </c>
    </row>
    <row r="8" spans="1:15">
      <c r="A8" s="664">
        <v>1991</v>
      </c>
      <c r="B8" s="1229" t="s">
        <v>3316</v>
      </c>
      <c r="C8" s="618">
        <v>7</v>
      </c>
      <c r="E8" s="664">
        <f t="shared" si="0"/>
        <v>1991</v>
      </c>
      <c r="F8" s="1229" t="e">
        <f ca="1"/>
        <v>#NAME?</v>
      </c>
      <c r="G8" s="618">
        <f t="shared" si="1"/>
        <v>7</v>
      </c>
      <c r="I8" s="656" t="e">
        <f ca="1"/>
        <v>#NAME?</v>
      </c>
      <c r="J8" s="8" t="e">
        <f ca="1"/>
        <v>#NAME?</v>
      </c>
      <c r="K8" s="657" t="e">
        <f ca="1"/>
        <v>#NAME?</v>
      </c>
      <c r="M8" s="656" t="e">
        <f ca="1"/>
        <v>#NAME?</v>
      </c>
      <c r="N8" s="8" t="e">
        <f ca="1"/>
        <v>#NAME?</v>
      </c>
      <c r="O8" s="657" t="e">
        <f ca="1"/>
        <v>#NAME?</v>
      </c>
    </row>
    <row r="9" spans="1:15">
      <c r="A9" s="664">
        <v>1991</v>
      </c>
      <c r="B9" s="1229" t="s">
        <v>3317</v>
      </c>
      <c r="C9" s="618">
        <v>20</v>
      </c>
      <c r="E9" s="664">
        <f t="shared" si="0"/>
        <v>1991</v>
      </c>
      <c r="F9" s="1229" t="e">
        <f ca="1"/>
        <v>#NAME?</v>
      </c>
      <c r="G9" s="618">
        <f t="shared" si="1"/>
        <v>20</v>
      </c>
      <c r="I9" s="656" t="e">
        <f ca="1"/>
        <v>#NAME?</v>
      </c>
      <c r="J9" s="8" t="e">
        <f ca="1"/>
        <v>#NAME?</v>
      </c>
      <c r="K9" s="657" t="e">
        <f ca="1"/>
        <v>#NAME?</v>
      </c>
      <c r="M9" s="656" t="e">
        <f ca="1"/>
        <v>#NAME?</v>
      </c>
      <c r="N9" s="8" t="e">
        <f ca="1"/>
        <v>#NAME?</v>
      </c>
      <c r="O9" s="657" t="e">
        <f ca="1"/>
        <v>#NAME?</v>
      </c>
    </row>
    <row r="10" spans="1:15">
      <c r="A10" s="664">
        <v>1992</v>
      </c>
      <c r="B10" s="1229"/>
      <c r="C10" s="618"/>
      <c r="E10" s="664">
        <f t="shared" si="0"/>
        <v>1992</v>
      </c>
      <c r="F10" s="1229" t="e">
        <f ca="1"/>
        <v>#NAME?</v>
      </c>
      <c r="G10" s="618">
        <f t="shared" si="1"/>
        <v>0</v>
      </c>
      <c r="I10" s="656" t="e">
        <f ca="1"/>
        <v>#NAME?</v>
      </c>
      <c r="J10" s="8" t="e">
        <f ca="1"/>
        <v>#NAME?</v>
      </c>
      <c r="K10" s="657" t="e">
        <f ca="1"/>
        <v>#NAME?</v>
      </c>
      <c r="M10" s="656" t="e">
        <f ca="1"/>
        <v>#NAME?</v>
      </c>
      <c r="N10" s="8" t="e">
        <f ca="1"/>
        <v>#NAME?</v>
      </c>
      <c r="O10" s="657" t="e">
        <f ca="1"/>
        <v>#NAME?</v>
      </c>
    </row>
    <row r="11" spans="1:15">
      <c r="A11" s="664">
        <v>1993</v>
      </c>
      <c r="B11" s="1229" t="s">
        <v>3316</v>
      </c>
      <c r="C11" s="618">
        <v>6</v>
      </c>
      <c r="E11" s="664">
        <f t="shared" si="0"/>
        <v>1993</v>
      </c>
      <c r="F11" s="1229" t="e">
        <f ca="1"/>
        <v>#NAME?</v>
      </c>
      <c r="G11" s="618">
        <f t="shared" si="1"/>
        <v>6</v>
      </c>
      <c r="I11" s="656" t="e">
        <f ca="1"/>
        <v>#NAME?</v>
      </c>
      <c r="J11" s="8" t="e">
        <f ca="1"/>
        <v>#NAME?</v>
      </c>
      <c r="K11" s="657" t="e">
        <f ca="1"/>
        <v>#NAME?</v>
      </c>
      <c r="M11" s="656" t="e">
        <f ca="1"/>
        <v>#NAME?</v>
      </c>
      <c r="N11" s="8" t="e">
        <f ca="1"/>
        <v>#NAME?</v>
      </c>
      <c r="O11" s="657" t="e">
        <f ca="1"/>
        <v>#NAME?</v>
      </c>
    </row>
    <row r="12" spans="1:15">
      <c r="A12" s="664">
        <v>1993</v>
      </c>
      <c r="B12" s="1229" t="s">
        <v>3319</v>
      </c>
      <c r="C12" s="618">
        <v>18</v>
      </c>
      <c r="E12" s="664">
        <f t="shared" si="0"/>
        <v>1993</v>
      </c>
      <c r="F12" s="1229" t="e">
        <f ca="1"/>
        <v>#NAME?</v>
      </c>
      <c r="G12" s="618">
        <f t="shared" si="1"/>
        <v>18</v>
      </c>
      <c r="I12" s="656" t="e">
        <f ca="1"/>
        <v>#NAME?</v>
      </c>
      <c r="J12" s="8" t="e">
        <f ca="1"/>
        <v>#NAME?</v>
      </c>
      <c r="K12" s="657" t="e">
        <f ca="1"/>
        <v>#NAME?</v>
      </c>
      <c r="M12" s="656" t="e">
        <f ca="1"/>
        <v>#NAME?</v>
      </c>
      <c r="N12" s="8" t="e">
        <f ca="1"/>
        <v>#NAME?</v>
      </c>
      <c r="O12" s="657" t="e">
        <f ca="1"/>
        <v>#NAME?</v>
      </c>
    </row>
    <row r="13" spans="1:15">
      <c r="A13" s="560">
        <v>1994</v>
      </c>
      <c r="B13" s="1219" t="s">
        <v>3318</v>
      </c>
      <c r="C13" s="536">
        <v>30</v>
      </c>
      <c r="E13" s="560">
        <f t="shared" si="0"/>
        <v>1994</v>
      </c>
      <c r="F13" s="1219" t="e">
        <f ca="1"/>
        <v>#NAME?</v>
      </c>
      <c r="G13" s="536">
        <f t="shared" si="1"/>
        <v>30</v>
      </c>
      <c r="I13" s="533" t="e">
        <f ca="1"/>
        <v>#NAME?</v>
      </c>
      <c r="J13" s="1078" t="e">
        <f ca="1"/>
        <v>#NAME?</v>
      </c>
      <c r="K13" s="541" t="e">
        <f ca="1"/>
        <v>#NAME?</v>
      </c>
      <c r="M13" s="533" t="e">
        <f ca="1"/>
        <v>#NAME?</v>
      </c>
      <c r="N13" s="1078" t="e">
        <f ca="1"/>
        <v>#NAME?</v>
      </c>
      <c r="O13" s="541" t="e">
        <f ca="1"/>
        <v>#NAME?</v>
      </c>
    </row>
    <row r="18" spans="4:4">
      <c r="D18" s="1"/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sheetPr codeName="Sheet230"/>
  <dimension ref="A1:P43"/>
  <sheetViews>
    <sheetView workbookViewId="0"/>
  </sheetViews>
  <sheetFormatPr defaultRowHeight="14.4"/>
  <sheetData>
    <row r="1" spans="1:13">
      <c r="A1" s="1" t="s">
        <v>138</v>
      </c>
    </row>
    <row r="3" spans="1:13">
      <c r="A3" s="1" t="s">
        <v>139</v>
      </c>
      <c r="H3" s="1" t="s">
        <v>140</v>
      </c>
    </row>
    <row r="5" spans="1:13">
      <c r="B5">
        <v>4</v>
      </c>
      <c r="C5">
        <v>5</v>
      </c>
      <c r="D5">
        <v>6</v>
      </c>
      <c r="E5">
        <v>7</v>
      </c>
      <c r="F5">
        <v>8</v>
      </c>
      <c r="I5">
        <v>4</v>
      </c>
      <c r="J5">
        <v>6</v>
      </c>
      <c r="K5">
        <v>12</v>
      </c>
      <c r="L5">
        <v>20</v>
      </c>
      <c r="M5">
        <v>30</v>
      </c>
    </row>
    <row r="6" spans="1:13">
      <c r="A6">
        <v>2</v>
      </c>
      <c r="B6" s="764">
        <v>0.125</v>
      </c>
      <c r="C6" s="765">
        <v>0.1</v>
      </c>
      <c r="D6" s="765">
        <v>8.3299999999999999E-2</v>
      </c>
      <c r="E6" s="765">
        <v>7.1400000000000005E-2</v>
      </c>
      <c r="F6" s="766">
        <v>6.25E-2</v>
      </c>
      <c r="H6" s="19" t="s">
        <v>141</v>
      </c>
      <c r="I6" s="55">
        <f t="shared" ref="I6:M9" si="0">B6</f>
        <v>0.125</v>
      </c>
      <c r="J6" s="56">
        <f t="shared" si="0"/>
        <v>0.1</v>
      </c>
      <c r="K6" s="56">
        <f t="shared" si="0"/>
        <v>8.3299999999999999E-2</v>
      </c>
      <c r="L6" s="56">
        <f t="shared" si="0"/>
        <v>7.1400000000000005E-2</v>
      </c>
      <c r="M6" s="57">
        <f t="shared" si="0"/>
        <v>6.25E-2</v>
      </c>
    </row>
    <row r="7" spans="1:13">
      <c r="A7">
        <v>3</v>
      </c>
      <c r="B7" s="767">
        <v>8.3299999999999999E-2</v>
      </c>
      <c r="C7" s="59">
        <v>6.6600000000000006E-2</v>
      </c>
      <c r="D7" s="59">
        <v>5.5500000000000001E-2</v>
      </c>
      <c r="E7" s="59">
        <v>4.7600000000000003E-2</v>
      </c>
      <c r="F7" s="768">
        <v>4.1599999999999998E-2</v>
      </c>
      <c r="H7" s="19" t="s">
        <v>142</v>
      </c>
      <c r="I7" s="58">
        <f t="shared" si="0"/>
        <v>8.3299999999999999E-2</v>
      </c>
      <c r="J7" s="59">
        <f t="shared" si="0"/>
        <v>6.6600000000000006E-2</v>
      </c>
      <c r="K7" s="59">
        <f t="shared" si="0"/>
        <v>5.5500000000000001E-2</v>
      </c>
      <c r="L7" s="59">
        <f t="shared" si="0"/>
        <v>4.7600000000000003E-2</v>
      </c>
      <c r="M7" s="60">
        <f t="shared" si="0"/>
        <v>4.1599999999999998E-2</v>
      </c>
    </row>
    <row r="8" spans="1:13">
      <c r="A8">
        <v>4</v>
      </c>
      <c r="B8" s="767">
        <v>6.25E-2</v>
      </c>
      <c r="C8" s="59">
        <v>0.05</v>
      </c>
      <c r="D8" s="59">
        <v>4.1599999999999998E-2</v>
      </c>
      <c r="E8" s="59">
        <v>3.5700000000000003E-2</v>
      </c>
      <c r="F8" s="768">
        <v>3.1199999999999999E-2</v>
      </c>
      <c r="H8" s="19" t="s">
        <v>143</v>
      </c>
      <c r="I8" s="58">
        <f t="shared" si="0"/>
        <v>6.25E-2</v>
      </c>
      <c r="J8" s="59">
        <f t="shared" si="0"/>
        <v>0.05</v>
      </c>
      <c r="K8" s="59">
        <f t="shared" si="0"/>
        <v>4.1599999999999998E-2</v>
      </c>
      <c r="L8" s="59">
        <f t="shared" si="0"/>
        <v>3.5700000000000003E-2</v>
      </c>
      <c r="M8" s="60">
        <f t="shared" si="0"/>
        <v>3.1199999999999999E-2</v>
      </c>
    </row>
    <row r="9" spans="1:13">
      <c r="A9">
        <v>5</v>
      </c>
      <c r="B9" s="769">
        <v>0.05</v>
      </c>
      <c r="C9" s="770">
        <v>0.04</v>
      </c>
      <c r="D9" s="770">
        <v>3.3300000000000003E-2</v>
      </c>
      <c r="E9" s="770">
        <v>2.8500000000000001E-2</v>
      </c>
      <c r="F9" s="771">
        <v>2.5000000000000001E-2</v>
      </c>
      <c r="H9" s="19" t="s">
        <v>144</v>
      </c>
      <c r="I9" s="61">
        <f t="shared" si="0"/>
        <v>0.05</v>
      </c>
      <c r="J9" s="62">
        <f t="shared" si="0"/>
        <v>0.04</v>
      </c>
      <c r="K9" s="62">
        <f t="shared" si="0"/>
        <v>3.3300000000000003E-2</v>
      </c>
      <c r="L9" s="62">
        <f t="shared" si="0"/>
        <v>2.8500000000000001E-2</v>
      </c>
      <c r="M9" s="63">
        <f t="shared" si="0"/>
        <v>2.5000000000000001E-2</v>
      </c>
    </row>
    <row r="11" spans="1:13">
      <c r="B11" t="s">
        <v>145</v>
      </c>
      <c r="C11">
        <v>4</v>
      </c>
      <c r="D11">
        <v>5</v>
      </c>
      <c r="E11" s="64">
        <v>4.0999999999999996</v>
      </c>
      <c r="F11">
        <v>5</v>
      </c>
      <c r="I11" t="s">
        <v>145</v>
      </c>
      <c r="J11" s="19" t="s">
        <v>141</v>
      </c>
      <c r="K11" s="19" t="s">
        <v>144</v>
      </c>
      <c r="L11" s="19" t="s">
        <v>141</v>
      </c>
      <c r="M11" s="19" t="s">
        <v>127</v>
      </c>
    </row>
    <row r="12" spans="1:13">
      <c r="B12" t="s">
        <v>146</v>
      </c>
      <c r="C12">
        <v>5</v>
      </c>
      <c r="D12">
        <v>8</v>
      </c>
      <c r="E12" s="64">
        <v>8.9</v>
      </c>
      <c r="F12">
        <v>10</v>
      </c>
      <c r="I12" t="s">
        <v>146</v>
      </c>
      <c r="J12" s="19">
        <v>6</v>
      </c>
      <c r="K12" s="19">
        <v>12</v>
      </c>
      <c r="L12" s="19">
        <v>6.1</v>
      </c>
      <c r="M12" s="19">
        <v>30</v>
      </c>
    </row>
    <row r="13" spans="1:13">
      <c r="B13" t="s">
        <v>147</v>
      </c>
      <c r="C13" s="59">
        <f>INDEX($B$6:$F$9,C11-$A$6+1,C12-$B$5+1)</f>
        <v>0.05</v>
      </c>
      <c r="D13" s="59">
        <f>INDEX($B$6:$F$9,D11-$A$6+1,D12-$B$5+1)</f>
        <v>2.5000000000000001E-2</v>
      </c>
      <c r="E13" s="59">
        <f>INDEX($B$6:$F$9,E11-$A$6+1,E12-$B$5+1)</f>
        <v>3.1199999999999999E-2</v>
      </c>
      <c r="F13" s="59" t="e">
        <f>INDEX($B$6:$F$9,F11-$A$6+1,F12-$B$5+1)</f>
        <v>#REF!</v>
      </c>
      <c r="I13" t="s">
        <v>148</v>
      </c>
      <c r="J13">
        <f>MATCH(J11,$H$6:$H$9,0)</f>
        <v>1</v>
      </c>
      <c r="K13">
        <f>MATCH(K11,$H$6:$H$9,0)</f>
        <v>4</v>
      </c>
      <c r="L13">
        <f>MATCH(L11,$H$6:$H$9,0)</f>
        <v>1</v>
      </c>
      <c r="M13" t="e">
        <f>MATCH(M11,$H$6:$H$9,0)</f>
        <v>#N/A</v>
      </c>
    </row>
    <row r="14" spans="1:13">
      <c r="I14" t="s">
        <v>149</v>
      </c>
      <c r="J14">
        <f>MATCH(J12,$I$5:$M$5,0)</f>
        <v>2</v>
      </c>
      <c r="K14">
        <f>MATCH(K12,$I$5:$M$5,0)</f>
        <v>3</v>
      </c>
      <c r="L14" t="e">
        <f>MATCH(L12,$I$5:$M$5,0)</f>
        <v>#N/A</v>
      </c>
      <c r="M14">
        <f>MATCH(M12,$I$5:$M$5,0)</f>
        <v>5</v>
      </c>
    </row>
    <row r="15" spans="1:13">
      <c r="I15" t="s">
        <v>147</v>
      </c>
      <c r="J15" s="59">
        <f>INDEX($I$6:$M$9,J13,J14)</f>
        <v>0.1</v>
      </c>
      <c r="K15" s="59">
        <f>INDEX($I$6:$M$9,K13,K14)</f>
        <v>3.3300000000000003E-2</v>
      </c>
      <c r="L15" s="59" t="e">
        <f>INDEX($I$6:$M$9,L13,L14)</f>
        <v>#N/A</v>
      </c>
      <c r="M15" s="59" t="e">
        <f>INDEX($I$6:$M$9,M13,M14)</f>
        <v>#N/A</v>
      </c>
    </row>
    <row r="16" spans="1:13">
      <c r="I16" t="s">
        <v>1847</v>
      </c>
      <c r="J16" t="e">
        <f ca="1">[1]!mlookup($H$5:$M$9,J11,J12)</f>
        <v>#NAME?</v>
      </c>
      <c r="K16" t="e">
        <f ca="1">[1]!mlookup($H$5:$M$9,K11,K12)</f>
        <v>#NAME?</v>
      </c>
      <c r="L16" t="e">
        <f ca="1">[1]!mlookup($H$5:$M$9,L11,L12)</f>
        <v>#NAME?</v>
      </c>
      <c r="M16" t="e">
        <f ca="1">[1]!mlookup($H$5:$M$9,M11,M12)</f>
        <v>#NAME?</v>
      </c>
    </row>
    <row r="18" spans="1:16">
      <c r="A18" s="1" t="s">
        <v>150</v>
      </c>
      <c r="H18" s="1" t="s">
        <v>151</v>
      </c>
    </row>
    <row r="20" spans="1:16">
      <c r="B20">
        <v>1</v>
      </c>
      <c r="C20">
        <f>B20+1</f>
        <v>2</v>
      </c>
      <c r="D20">
        <f>C20+1</f>
        <v>3</v>
      </c>
      <c r="E20">
        <f>D20+1</f>
        <v>4</v>
      </c>
      <c r="F20">
        <f>E20+1</f>
        <v>5</v>
      </c>
      <c r="H20" s="65" t="s">
        <v>152</v>
      </c>
      <c r="I20">
        <v>4</v>
      </c>
      <c r="J20">
        <v>5</v>
      </c>
      <c r="K20">
        <v>6</v>
      </c>
      <c r="L20">
        <v>7</v>
      </c>
      <c r="M20">
        <v>8</v>
      </c>
    </row>
    <row r="21" spans="1:16">
      <c r="A21">
        <v>1</v>
      </c>
      <c r="B21" s="55">
        <f t="shared" ref="B21:F24" si="1">B6</f>
        <v>0.125</v>
      </c>
      <c r="C21" s="56">
        <f t="shared" si="1"/>
        <v>0.1</v>
      </c>
      <c r="D21" s="56">
        <f t="shared" si="1"/>
        <v>8.3299999999999999E-2</v>
      </c>
      <c r="E21" s="56">
        <f t="shared" si="1"/>
        <v>7.1400000000000005E-2</v>
      </c>
      <c r="F21" s="57">
        <f t="shared" si="1"/>
        <v>6.25E-2</v>
      </c>
      <c r="H21">
        <v>2</v>
      </c>
      <c r="I21" s="55">
        <f t="shared" ref="I21:M24" si="2">B6</f>
        <v>0.125</v>
      </c>
      <c r="J21" s="56">
        <f t="shared" si="2"/>
        <v>0.1</v>
      </c>
      <c r="K21" s="56">
        <f t="shared" si="2"/>
        <v>8.3299999999999999E-2</v>
      </c>
      <c r="L21" s="56">
        <f t="shared" si="2"/>
        <v>7.1400000000000005E-2</v>
      </c>
      <c r="M21" s="57">
        <f t="shared" si="2"/>
        <v>6.25E-2</v>
      </c>
    </row>
    <row r="22" spans="1:16">
      <c r="A22">
        <v>5</v>
      </c>
      <c r="B22" s="58">
        <f t="shared" si="1"/>
        <v>8.3299999999999999E-2</v>
      </c>
      <c r="C22" s="59">
        <f t="shared" si="1"/>
        <v>6.6600000000000006E-2</v>
      </c>
      <c r="D22" s="59">
        <f t="shared" si="1"/>
        <v>5.5500000000000001E-2</v>
      </c>
      <c r="E22" s="59">
        <f t="shared" si="1"/>
        <v>4.7600000000000003E-2</v>
      </c>
      <c r="F22" s="60">
        <f t="shared" si="1"/>
        <v>4.1599999999999998E-2</v>
      </c>
      <c r="H22">
        <v>3</v>
      </c>
      <c r="I22" s="58">
        <f t="shared" si="2"/>
        <v>8.3299999999999999E-2</v>
      </c>
      <c r="J22" s="59">
        <f t="shared" si="2"/>
        <v>6.6600000000000006E-2</v>
      </c>
      <c r="K22" s="59">
        <f t="shared" si="2"/>
        <v>5.5500000000000001E-2</v>
      </c>
      <c r="L22" s="59">
        <f t="shared" si="2"/>
        <v>4.7600000000000003E-2</v>
      </c>
      <c r="M22" s="60">
        <f t="shared" si="2"/>
        <v>4.1599999999999998E-2</v>
      </c>
    </row>
    <row r="23" spans="1:16">
      <c r="A23">
        <v>10</v>
      </c>
      <c r="B23" s="58">
        <f t="shared" si="1"/>
        <v>6.25E-2</v>
      </c>
      <c r="C23" s="59">
        <f t="shared" si="1"/>
        <v>0.05</v>
      </c>
      <c r="D23" s="59">
        <f t="shared" si="1"/>
        <v>4.1599999999999998E-2</v>
      </c>
      <c r="E23" s="59">
        <f t="shared" si="1"/>
        <v>3.5700000000000003E-2</v>
      </c>
      <c r="F23" s="60">
        <f t="shared" si="1"/>
        <v>3.1199999999999999E-2</v>
      </c>
      <c r="H23">
        <v>4</v>
      </c>
      <c r="I23" s="58">
        <f t="shared" si="2"/>
        <v>6.25E-2</v>
      </c>
      <c r="J23" s="59">
        <f t="shared" si="2"/>
        <v>0.05</v>
      </c>
      <c r="K23" s="59">
        <f t="shared" si="2"/>
        <v>4.1599999999999998E-2</v>
      </c>
      <c r="L23" s="59">
        <f t="shared" si="2"/>
        <v>3.5700000000000003E-2</v>
      </c>
      <c r="M23" s="60">
        <f t="shared" si="2"/>
        <v>3.1199999999999999E-2</v>
      </c>
    </row>
    <row r="24" spans="1:16">
      <c r="A24" s="19" t="s">
        <v>153</v>
      </c>
      <c r="B24" s="61">
        <f t="shared" si="1"/>
        <v>0.05</v>
      </c>
      <c r="C24" s="62">
        <f t="shared" si="1"/>
        <v>0.04</v>
      </c>
      <c r="D24" s="62">
        <f t="shared" si="1"/>
        <v>3.3300000000000003E-2</v>
      </c>
      <c r="E24" s="62">
        <f t="shared" si="1"/>
        <v>2.8500000000000001E-2</v>
      </c>
      <c r="F24" s="63">
        <f t="shared" si="1"/>
        <v>2.5000000000000001E-2</v>
      </c>
      <c r="H24">
        <v>5</v>
      </c>
      <c r="I24" s="61">
        <f t="shared" si="2"/>
        <v>0.05</v>
      </c>
      <c r="J24" s="62">
        <f t="shared" si="2"/>
        <v>0.04</v>
      </c>
      <c r="K24" s="62">
        <f t="shared" si="2"/>
        <v>3.3300000000000003E-2</v>
      </c>
      <c r="L24" s="62">
        <f t="shared" si="2"/>
        <v>2.8500000000000001E-2</v>
      </c>
      <c r="M24" s="63">
        <f t="shared" si="2"/>
        <v>2.5000000000000001E-2</v>
      </c>
    </row>
    <row r="25" spans="1:16">
      <c r="P25" s="24"/>
    </row>
    <row r="26" spans="1:16">
      <c r="B26" t="s">
        <v>145</v>
      </c>
      <c r="C26">
        <v>4</v>
      </c>
      <c r="D26">
        <v>5</v>
      </c>
      <c r="E26">
        <v>9</v>
      </c>
      <c r="F26">
        <v>20</v>
      </c>
      <c r="H26" s="65" t="s">
        <v>154</v>
      </c>
      <c r="I26">
        <v>4</v>
      </c>
      <c r="J26">
        <v>5</v>
      </c>
      <c r="K26">
        <v>6</v>
      </c>
      <c r="L26">
        <v>7</v>
      </c>
      <c r="M26">
        <v>8</v>
      </c>
    </row>
    <row r="27" spans="1:16">
      <c r="B27" t="s">
        <v>146</v>
      </c>
      <c r="C27">
        <v>2</v>
      </c>
      <c r="D27">
        <v>2</v>
      </c>
      <c r="E27">
        <v>4</v>
      </c>
      <c r="F27">
        <v>4</v>
      </c>
      <c r="H27">
        <v>2</v>
      </c>
      <c r="I27" s="55">
        <f t="shared" ref="I27:M30" si="3">I21*2/3</f>
        <v>8.3333333333333329E-2</v>
      </c>
      <c r="J27" s="56">
        <f t="shared" si="3"/>
        <v>6.6666666666666666E-2</v>
      </c>
      <c r="K27" s="56">
        <f t="shared" si="3"/>
        <v>5.553333333333333E-2</v>
      </c>
      <c r="L27" s="56">
        <f t="shared" si="3"/>
        <v>4.7600000000000003E-2</v>
      </c>
      <c r="M27" s="57">
        <f t="shared" si="3"/>
        <v>4.1666666666666664E-2</v>
      </c>
    </row>
    <row r="28" spans="1:16">
      <c r="B28" t="s">
        <v>148</v>
      </c>
      <c r="C28">
        <f>MATCH(C26,$A$21:$A$23)</f>
        <v>1</v>
      </c>
      <c r="D28">
        <f>MATCH(D26,$A$21:$A$23)</f>
        <v>2</v>
      </c>
      <c r="E28">
        <f>MATCH(E26,$A$21:$A$23)</f>
        <v>2</v>
      </c>
      <c r="F28">
        <f>MATCH(F26,$A$21:$A$23)</f>
        <v>3</v>
      </c>
      <c r="H28">
        <v>3</v>
      </c>
      <c r="I28" s="58">
        <f t="shared" si="3"/>
        <v>5.553333333333333E-2</v>
      </c>
      <c r="J28" s="59">
        <f t="shared" si="3"/>
        <v>4.4400000000000002E-2</v>
      </c>
      <c r="K28" s="59">
        <f t="shared" si="3"/>
        <v>3.6999999999999998E-2</v>
      </c>
      <c r="L28" s="59">
        <f t="shared" si="3"/>
        <v>3.1733333333333336E-2</v>
      </c>
      <c r="M28" s="60">
        <f t="shared" si="3"/>
        <v>2.7733333333333332E-2</v>
      </c>
    </row>
    <row r="29" spans="1:16">
      <c r="B29" s="66" t="s">
        <v>103</v>
      </c>
      <c r="C29" s="59">
        <f>INDEX($B$21:$F$23,C28,C27)</f>
        <v>0.1</v>
      </c>
      <c r="D29" s="59">
        <f>INDEX($B$21:$F$23,D28,D27)</f>
        <v>6.6600000000000006E-2</v>
      </c>
      <c r="E29" s="59">
        <f>INDEX($B$21:$F$23,E28,E27)</f>
        <v>4.7600000000000003E-2</v>
      </c>
      <c r="F29" s="59">
        <f>INDEX($B$21:$F$23,F28,F27)</f>
        <v>3.5700000000000003E-2</v>
      </c>
      <c r="H29">
        <v>4</v>
      </c>
      <c r="I29" s="58">
        <f t="shared" si="3"/>
        <v>4.1666666666666664E-2</v>
      </c>
      <c r="J29" s="59">
        <f t="shared" si="3"/>
        <v>3.3333333333333333E-2</v>
      </c>
      <c r="K29" s="59">
        <f t="shared" si="3"/>
        <v>2.7733333333333332E-2</v>
      </c>
      <c r="L29" s="59">
        <f t="shared" si="3"/>
        <v>2.3800000000000002E-2</v>
      </c>
      <c r="M29" s="60">
        <f t="shared" si="3"/>
        <v>2.0799999999999999E-2</v>
      </c>
    </row>
    <row r="30" spans="1:16">
      <c r="B30" t="s">
        <v>104</v>
      </c>
      <c r="C30">
        <f>INDEX($B$21:$F$24,C28+1,C27)</f>
        <v>6.6600000000000006E-2</v>
      </c>
      <c r="D30">
        <f>INDEX($B$21:$F$24,D28+1,D27)</f>
        <v>0.05</v>
      </c>
      <c r="E30">
        <f>INDEX($B$21:$F$24,E28+1,E27)</f>
        <v>3.5700000000000003E-2</v>
      </c>
      <c r="F30">
        <f>INDEX($B$21:$F$24,F28+1,F27)</f>
        <v>2.8500000000000001E-2</v>
      </c>
      <c r="H30">
        <v>5</v>
      </c>
      <c r="I30" s="61">
        <f t="shared" si="3"/>
        <v>3.3333333333333333E-2</v>
      </c>
      <c r="J30" s="62">
        <f t="shared" si="3"/>
        <v>2.6666666666666668E-2</v>
      </c>
      <c r="K30" s="62">
        <f t="shared" si="3"/>
        <v>2.2200000000000001E-2</v>
      </c>
      <c r="L30" s="62">
        <f t="shared" si="3"/>
        <v>1.9E-2</v>
      </c>
      <c r="M30" s="63">
        <f t="shared" si="3"/>
        <v>1.6666666666666666E-2</v>
      </c>
    </row>
    <row r="31" spans="1:16">
      <c r="B31" t="s">
        <v>155</v>
      </c>
      <c r="C31">
        <f ca="1">IF(C26&gt;$A23,1,(C26-OFFSET($A21,C28-1,0))/(OFFSET($A21,C28,0)-OFFSET($A21,C28-1,0)))</f>
        <v>0.75</v>
      </c>
      <c r="D31">
        <f ca="1">IF(D26&gt;$A23,1,(D26-OFFSET($A21,D28-1,0))/(OFFSET($A21,D28,0)-OFFSET($A21,D28-1,0)))</f>
        <v>0</v>
      </c>
      <c r="E31">
        <f ca="1">IF(E26&gt;$A23,1,(E26-OFFSET($A21,E28-1,0))/(OFFSET($A21,E28,0)-OFFSET($A21,E28-1,0)))</f>
        <v>0.8</v>
      </c>
      <c r="F31">
        <f ca="1">IF(F26&gt;$A23,1,(F26-OFFSET($A21,F28-1,0))/(OFFSET($A21,F28,0)-OFFSET($A21,F28-1,0)))</f>
        <v>1</v>
      </c>
    </row>
    <row r="32" spans="1:16">
      <c r="B32" t="s">
        <v>147</v>
      </c>
      <c r="C32">
        <f ca="1">(1-C31)*C29+C31*C30</f>
        <v>7.4950000000000017E-2</v>
      </c>
      <c r="D32">
        <f ca="1">(1-D31)*D29+D31*D30</f>
        <v>6.6600000000000006E-2</v>
      </c>
      <c r="E32">
        <f ca="1">(1-E31)*E29+E31*E30</f>
        <v>3.8080000000000003E-2</v>
      </c>
      <c r="F32">
        <f ca="1">(1-F31)*F29+F31*F30</f>
        <v>2.8500000000000001E-2</v>
      </c>
      <c r="H32" s="65" t="s">
        <v>156</v>
      </c>
      <c r="I32">
        <v>4</v>
      </c>
      <c r="J32">
        <v>5</v>
      </c>
      <c r="K32">
        <v>6</v>
      </c>
      <c r="L32">
        <v>7</v>
      </c>
      <c r="M32">
        <v>8</v>
      </c>
    </row>
    <row r="33" spans="2:13">
      <c r="B33" t="s">
        <v>1848</v>
      </c>
      <c r="C33" t="e">
        <f ca="1">[1]!ilookup($A$20:$F$24,C26,C27)</f>
        <v>#NAME?</v>
      </c>
      <c r="D33" t="e">
        <f ca="1">[1]!ilookup($A$20:$F$24,D26,D27)</f>
        <v>#NAME?</v>
      </c>
      <c r="E33" t="e">
        <f ca="1">[1]!ilookup($A$20:$F$24,E26,E27)</f>
        <v>#NAME?</v>
      </c>
      <c r="F33" t="e">
        <f ca="1">[1]!ilookup($A$20:$F$24,F26,F27)</f>
        <v>#NAME?</v>
      </c>
      <c r="H33">
        <v>2</v>
      </c>
      <c r="I33" s="55">
        <f t="shared" ref="I33:M36" si="4">I21*4/7</f>
        <v>7.1428571428571425E-2</v>
      </c>
      <c r="J33" s="56">
        <f t="shared" si="4"/>
        <v>5.7142857142857148E-2</v>
      </c>
      <c r="K33" s="56">
        <f t="shared" si="4"/>
        <v>4.7599999999999996E-2</v>
      </c>
      <c r="L33" s="56">
        <f t="shared" si="4"/>
        <v>4.0800000000000003E-2</v>
      </c>
      <c r="M33" s="57">
        <f t="shared" si="4"/>
        <v>3.5714285714285712E-2</v>
      </c>
    </row>
    <row r="34" spans="2:13">
      <c r="H34">
        <v>3</v>
      </c>
      <c r="I34" s="58">
        <f t="shared" si="4"/>
        <v>4.7599999999999996E-2</v>
      </c>
      <c r="J34" s="59">
        <f t="shared" si="4"/>
        <v>3.8057142857142859E-2</v>
      </c>
      <c r="K34" s="59">
        <f t="shared" si="4"/>
        <v>3.1714285714285716E-2</v>
      </c>
      <c r="L34" s="59">
        <f t="shared" si="4"/>
        <v>2.7200000000000002E-2</v>
      </c>
      <c r="M34" s="60">
        <f t="shared" si="4"/>
        <v>2.3771428571428572E-2</v>
      </c>
    </row>
    <row r="35" spans="2:13">
      <c r="H35">
        <v>4</v>
      </c>
      <c r="I35" s="58">
        <f t="shared" si="4"/>
        <v>3.5714285714285712E-2</v>
      </c>
      <c r="J35" s="59">
        <f t="shared" si="4"/>
        <v>2.8571428571428574E-2</v>
      </c>
      <c r="K35" s="59">
        <f t="shared" si="4"/>
        <v>2.3771428571428572E-2</v>
      </c>
      <c r="L35" s="59">
        <f t="shared" si="4"/>
        <v>2.0400000000000001E-2</v>
      </c>
      <c r="M35" s="60">
        <f t="shared" si="4"/>
        <v>1.7828571428571426E-2</v>
      </c>
    </row>
    <row r="36" spans="2:13">
      <c r="H36">
        <v>5</v>
      </c>
      <c r="I36" s="61">
        <f t="shared" si="4"/>
        <v>2.8571428571428574E-2</v>
      </c>
      <c r="J36" s="62">
        <f t="shared" si="4"/>
        <v>2.2857142857142857E-2</v>
      </c>
      <c r="K36" s="62">
        <f t="shared" si="4"/>
        <v>1.9028571428571429E-2</v>
      </c>
      <c r="L36" s="62">
        <f t="shared" si="4"/>
        <v>1.6285714285714285E-2</v>
      </c>
      <c r="M36" s="63">
        <f t="shared" si="4"/>
        <v>1.4285714285714287E-2</v>
      </c>
    </row>
    <row r="38" spans="2:13">
      <c r="I38" t="s">
        <v>145</v>
      </c>
      <c r="J38">
        <v>4</v>
      </c>
      <c r="K38">
        <v>5</v>
      </c>
      <c r="L38">
        <v>4</v>
      </c>
      <c r="M38">
        <v>5</v>
      </c>
    </row>
    <row r="39" spans="2:13">
      <c r="I39" t="s">
        <v>146</v>
      </c>
      <c r="J39">
        <v>5</v>
      </c>
      <c r="K39">
        <v>8</v>
      </c>
      <c r="L39">
        <v>5</v>
      </c>
      <c r="M39">
        <v>8</v>
      </c>
    </row>
    <row r="40" spans="2:13">
      <c r="I40" s="65" t="s">
        <v>157</v>
      </c>
      <c r="J40">
        <v>0.05</v>
      </c>
      <c r="K40">
        <v>0.05</v>
      </c>
      <c r="L40">
        <v>0.1</v>
      </c>
      <c r="M40">
        <v>0.01</v>
      </c>
    </row>
    <row r="42" spans="2:13">
      <c r="I42" t="s">
        <v>158</v>
      </c>
      <c r="J42">
        <f>IF(J40=0.01,6,IF(J40=0.1,-6,0))</f>
        <v>0</v>
      </c>
      <c r="K42">
        <f>IF(K40=0.01,6,IF(K40=0.1,-6,0))</f>
        <v>0</v>
      </c>
      <c r="L42">
        <f>IF(L40=0.01,6,IF(L40=0.1,-6,0))</f>
        <v>-6</v>
      </c>
      <c r="M42">
        <f>IF(M40=0.01,6,IF(M40=0.1,-6,0))</f>
        <v>6</v>
      </c>
    </row>
    <row r="43" spans="2:13">
      <c r="I43" t="s">
        <v>147</v>
      </c>
      <c r="J43" s="59">
        <f ca="1">INDEX(OFFSET($I$27:$M$36,J42,0),J38-$H$27+1,J39-$I$26+1)</f>
        <v>3.3333333333333333E-2</v>
      </c>
      <c r="K43" s="59">
        <f ca="1">INDEX(OFFSET($I$27:$M$36,K42,0),K38-$H$27+1,K39-$I$26+1)</f>
        <v>1.6666666666666666E-2</v>
      </c>
      <c r="L43" s="59">
        <f ca="1">INDEX(OFFSET($I$27:$M$36,L42,0),L38-$H$27+1,L39-$I$26+1)</f>
        <v>0.05</v>
      </c>
      <c r="M43" s="59">
        <f ca="1">INDEX(OFFSET($I$27:$M$36,M42,0),M38-$H$27+1,M39-$I$26+1)</f>
        <v>1.4285714285714287E-2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sheetPr codeName="Sheet231"/>
  <dimension ref="A1:E21"/>
  <sheetViews>
    <sheetView workbookViewId="0"/>
  </sheetViews>
  <sheetFormatPr defaultRowHeight="14.4"/>
  <sheetData>
    <row r="1" spans="1:5">
      <c r="A1" s="1" t="s">
        <v>1903</v>
      </c>
    </row>
    <row r="3" spans="1:5">
      <c r="A3" s="759" t="s">
        <v>178</v>
      </c>
      <c r="B3" s="759" t="s">
        <v>244</v>
      </c>
      <c r="C3" s="759" t="s">
        <v>1451</v>
      </c>
      <c r="D3" s="759" t="s">
        <v>1452</v>
      </c>
      <c r="E3" s="759" t="s">
        <v>1453</v>
      </c>
    </row>
    <row r="4" spans="1:5">
      <c r="A4" s="759">
        <v>1</v>
      </c>
      <c r="B4" s="641">
        <v>56</v>
      </c>
      <c r="C4" s="642">
        <v>67</v>
      </c>
      <c r="D4" s="642">
        <v>50</v>
      </c>
      <c r="E4" s="643">
        <v>123</v>
      </c>
    </row>
    <row r="5" spans="1:5">
      <c r="A5" s="759">
        <f>A4+1</f>
        <v>2</v>
      </c>
      <c r="B5" s="624">
        <v>12</v>
      </c>
      <c r="C5" s="761">
        <v>18</v>
      </c>
      <c r="D5" s="761">
        <v>24</v>
      </c>
      <c r="E5" s="618">
        <v>29</v>
      </c>
    </row>
    <row r="6" spans="1:5">
      <c r="A6" s="759">
        <f t="shared" ref="A6:A18" si="0">A5+1</f>
        <v>3</v>
      </c>
      <c r="B6" s="624">
        <v>23</v>
      </c>
      <c r="C6" s="761">
        <v>24</v>
      </c>
      <c r="D6" s="761">
        <v>26</v>
      </c>
      <c r="E6" s="88">
        <v>27</v>
      </c>
    </row>
    <row r="7" spans="1:5">
      <c r="A7" s="759">
        <f t="shared" si="0"/>
        <v>4</v>
      </c>
      <c r="B7" s="624">
        <v>8</v>
      </c>
      <c r="C7" s="761">
        <v>20</v>
      </c>
      <c r="D7" s="761">
        <v>28</v>
      </c>
      <c r="E7" s="88">
        <v>30</v>
      </c>
    </row>
    <row r="8" spans="1:5">
      <c r="A8" s="759">
        <f t="shared" si="0"/>
        <v>5</v>
      </c>
      <c r="B8" s="624">
        <v>3</v>
      </c>
      <c r="C8" s="761">
        <v>12</v>
      </c>
      <c r="D8" s="761">
        <v>13</v>
      </c>
      <c r="E8" s="88">
        <v>17</v>
      </c>
    </row>
    <row r="9" spans="1:5">
      <c r="A9" s="759">
        <f t="shared" si="0"/>
        <v>6</v>
      </c>
      <c r="B9" s="624">
        <v>5</v>
      </c>
      <c r="C9" s="761">
        <v>13</v>
      </c>
      <c r="D9" s="761">
        <v>11</v>
      </c>
      <c r="E9" s="88">
        <v>15</v>
      </c>
    </row>
    <row r="10" spans="1:5">
      <c r="A10" s="759">
        <f t="shared" si="0"/>
        <v>7</v>
      </c>
      <c r="B10" s="624">
        <v>19</v>
      </c>
      <c r="C10" s="761">
        <v>22</v>
      </c>
      <c r="D10" s="761">
        <v>25</v>
      </c>
      <c r="E10" s="88">
        <v>26</v>
      </c>
    </row>
    <row r="11" spans="1:5">
      <c r="A11" s="759">
        <f t="shared" si="0"/>
        <v>8</v>
      </c>
      <c r="B11" s="624">
        <v>45</v>
      </c>
      <c r="C11" s="761">
        <v>78</v>
      </c>
      <c r="D11" s="761">
        <v>48</v>
      </c>
      <c r="E11" s="88">
        <v>117</v>
      </c>
    </row>
    <row r="12" spans="1:5">
      <c r="A12" s="759">
        <f t="shared" si="0"/>
        <v>9</v>
      </c>
      <c r="B12" s="624">
        <v>12</v>
      </c>
      <c r="C12" s="761">
        <v>20</v>
      </c>
      <c r="D12" s="761">
        <v>22</v>
      </c>
      <c r="E12" s="88">
        <v>24</v>
      </c>
    </row>
    <row r="13" spans="1:5">
      <c r="A13" s="759">
        <f t="shared" si="0"/>
        <v>10</v>
      </c>
      <c r="B13" s="624">
        <v>16</v>
      </c>
      <c r="C13" s="761">
        <v>22</v>
      </c>
      <c r="D13" s="761">
        <v>26</v>
      </c>
      <c r="E13" s="88">
        <v>29</v>
      </c>
    </row>
    <row r="14" spans="1:5">
      <c r="A14" s="759">
        <f t="shared" si="0"/>
        <v>11</v>
      </c>
      <c r="B14" s="624">
        <v>35</v>
      </c>
      <c r="C14" s="761">
        <v>56</v>
      </c>
      <c r="D14" s="761">
        <v>22</v>
      </c>
      <c r="E14" s="88">
        <v>102</v>
      </c>
    </row>
    <row r="15" spans="1:5">
      <c r="A15" s="759">
        <f t="shared" si="0"/>
        <v>12</v>
      </c>
      <c r="B15" s="624">
        <v>24</v>
      </c>
      <c r="C15" s="761">
        <v>26</v>
      </c>
      <c r="D15" s="761">
        <v>21</v>
      </c>
      <c r="E15" s="88">
        <v>23</v>
      </c>
    </row>
    <row r="16" spans="1:5">
      <c r="A16" s="759">
        <f t="shared" si="0"/>
        <v>13</v>
      </c>
      <c r="B16" s="624">
        <v>9</v>
      </c>
      <c r="C16" s="761">
        <v>12</v>
      </c>
      <c r="D16" s="761">
        <v>20</v>
      </c>
      <c r="E16" s="88">
        <v>23</v>
      </c>
    </row>
    <row r="17" spans="1:5">
      <c r="A17" s="759">
        <f t="shared" si="0"/>
        <v>14</v>
      </c>
      <c r="B17" s="624">
        <v>3</v>
      </c>
      <c r="C17" s="761">
        <v>9</v>
      </c>
      <c r="D17" s="761">
        <v>13</v>
      </c>
      <c r="E17" s="88">
        <v>16</v>
      </c>
    </row>
    <row r="18" spans="1:5">
      <c r="A18" s="759">
        <f t="shared" si="0"/>
        <v>15</v>
      </c>
      <c r="B18" s="612">
        <v>2</v>
      </c>
      <c r="C18" s="613">
        <v>8</v>
      </c>
      <c r="D18" s="613">
        <v>6</v>
      </c>
      <c r="E18" s="90">
        <v>10</v>
      </c>
    </row>
    <row r="19" spans="1:5">
      <c r="A19" t="s">
        <v>63</v>
      </c>
      <c r="B19">
        <f>AVERAGE(B4:B18)</f>
        <v>18.133333333333333</v>
      </c>
      <c r="C19">
        <f>AVERAGE(C4:C18)</f>
        <v>27.133333333333333</v>
      </c>
      <c r="D19">
        <f>AVERAGE(D4:D18)</f>
        <v>23.666666666666668</v>
      </c>
      <c r="E19">
        <f>AVERAGE(E4:E18)</f>
        <v>40.733333333333334</v>
      </c>
    </row>
    <row r="20" spans="1:5">
      <c r="A20" t="s">
        <v>218</v>
      </c>
      <c r="B20">
        <f>STDEV(B4:B18)</f>
        <v>16.159325775656903</v>
      </c>
      <c r="C20">
        <f>STDEV(C4:C18)</f>
        <v>21.731697279933446</v>
      </c>
      <c r="D20">
        <f>STDEV(D4:D18)</f>
        <v>12.08107532268469</v>
      </c>
      <c r="E20">
        <f>STDEV(E4:E18)</f>
        <v>38.568059817616415</v>
      </c>
    </row>
    <row r="21" spans="1:5">
      <c r="A21" t="s">
        <v>826</v>
      </c>
      <c r="B21">
        <f>B20/SQRT($A$18)</f>
        <v>4.1723199743372952</v>
      </c>
      <c r="C21">
        <f>C20/SQRT($A$18)</f>
        <v>5.6111001100002165</v>
      </c>
      <c r="D21">
        <f>D20/SQRT($A$18)</f>
        <v>3.1193202352690133</v>
      </c>
      <c r="E21">
        <f>E20/SQRT($A$18)</f>
        <v>9.9582302246106558</v>
      </c>
    </row>
  </sheetData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sheetPr codeName="Sheet200"/>
  <dimension ref="A1:K16"/>
  <sheetViews>
    <sheetView workbookViewId="0"/>
  </sheetViews>
  <sheetFormatPr defaultRowHeight="14.4"/>
  <cols>
    <col min="1" max="1" width="7.44140625" customWidth="1"/>
    <col min="3" max="3" width="7.109375" customWidth="1"/>
  </cols>
  <sheetData>
    <row r="1" spans="1:11">
      <c r="A1" s="1" t="s">
        <v>1785</v>
      </c>
    </row>
    <row r="2" spans="1:11">
      <c r="A2" s="1"/>
    </row>
    <row r="3" spans="1:11">
      <c r="B3" s="290" t="s">
        <v>526</v>
      </c>
      <c r="D3" s="693" t="s">
        <v>1786</v>
      </c>
    </row>
    <row r="4" spans="1:11">
      <c r="B4" s="712">
        <v>6</v>
      </c>
      <c r="D4" s="712">
        <f>B4/$B$9</f>
        <v>0.7385489458759964</v>
      </c>
    </row>
    <row r="5" spans="1:11">
      <c r="B5" s="714">
        <v>-1</v>
      </c>
      <c r="D5" s="714">
        <f>B5/$B$9</f>
        <v>-0.12309149097933272</v>
      </c>
    </row>
    <row r="6" spans="1:11">
      <c r="B6" s="714">
        <v>2</v>
      </c>
      <c r="D6" s="714">
        <f>B6/$B$9</f>
        <v>0.24618298195866545</v>
      </c>
    </row>
    <row r="7" spans="1:11">
      <c r="B7" s="713">
        <v>5</v>
      </c>
      <c r="D7" s="713">
        <f>B7/$B$9</f>
        <v>0.61545745489666359</v>
      </c>
    </row>
    <row r="9" spans="1:11">
      <c r="A9" t="s">
        <v>1450</v>
      </c>
      <c r="B9">
        <f>SQRT(SUMSQ(B4:B7))</f>
        <v>8.1240384046359608</v>
      </c>
      <c r="D9">
        <f>SQRT(SUMSQ(D4:D7))</f>
        <v>0.99999999999999989</v>
      </c>
    </row>
    <row r="11" spans="1:11" ht="16.2">
      <c r="A11" t="s">
        <v>1787</v>
      </c>
      <c r="B11">
        <f t="array" ref="B11">MMULT(TRANSPOSE(B4:B7),B4:B7)</f>
        <v>66</v>
      </c>
    </row>
    <row r="12" spans="1:11" ht="16.2">
      <c r="A12" t="s">
        <v>1788</v>
      </c>
      <c r="B12">
        <f>SQRT(B11)</f>
        <v>8.1240384046359608</v>
      </c>
    </row>
    <row r="14" spans="1:11">
      <c r="A14" t="s">
        <v>2112</v>
      </c>
      <c r="J14" s="8"/>
      <c r="K14" s="8"/>
    </row>
    <row r="16" spans="1:11">
      <c r="A16" t="s">
        <v>2113</v>
      </c>
      <c r="B16" t="e">
        <f ca="1">[1]!LENGTH(B4:B7)</f>
        <v>#NAME?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sheetPr codeName="Sheet201"/>
  <dimension ref="A1:E6"/>
  <sheetViews>
    <sheetView workbookViewId="0">
      <selection activeCell="D5" sqref="D5"/>
    </sheetView>
  </sheetViews>
  <sheetFormatPr defaultRowHeight="14.4"/>
  <sheetData>
    <row r="1" spans="1:5">
      <c r="A1" s="1" t="s">
        <v>1789</v>
      </c>
    </row>
    <row r="3" spans="1:5" ht="16.2">
      <c r="A3" s="19" t="s">
        <v>526</v>
      </c>
      <c r="D3" t="s">
        <v>1790</v>
      </c>
    </row>
    <row r="5" spans="1:5">
      <c r="A5" s="553">
        <v>1</v>
      </c>
      <c r="B5" s="667">
        <v>1</v>
      </c>
      <c r="D5" s="553">
        <f t="array" ref="D5:E6">MINVERSE(A5:B6)</f>
        <v>0.66666666666666674</v>
      </c>
      <c r="E5" s="667">
        <v>-0.33333333333333331</v>
      </c>
    </row>
    <row r="6" spans="1:5">
      <c r="A6" s="533">
        <v>-1</v>
      </c>
      <c r="B6" s="541">
        <v>2</v>
      </c>
      <c r="D6" s="533">
        <v>0.33333333333333331</v>
      </c>
      <c r="E6" s="541">
        <v>0.33333333333333331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sheetPr codeName="Sheet126"/>
  <dimension ref="A1:I8"/>
  <sheetViews>
    <sheetView workbookViewId="0">
      <selection activeCell="I5" sqref="I5"/>
    </sheetView>
  </sheetViews>
  <sheetFormatPr defaultRowHeight="14.4"/>
  <cols>
    <col min="1" max="4" width="4" customWidth="1"/>
    <col min="5" max="5" width="7.109375" customWidth="1"/>
    <col min="6" max="6" width="3.5546875" customWidth="1"/>
    <col min="7" max="7" width="6.109375" customWidth="1"/>
  </cols>
  <sheetData>
    <row r="1" spans="1:9">
      <c r="A1" s="1" t="s">
        <v>1784</v>
      </c>
    </row>
    <row r="2" spans="1:9" s="289" customFormat="1"/>
    <row r="3" spans="1:9">
      <c r="A3" t="s">
        <v>211</v>
      </c>
      <c r="F3" s="1552" t="s">
        <v>1153</v>
      </c>
      <c r="G3" s="1552"/>
      <c r="I3" t="s">
        <v>2112</v>
      </c>
    </row>
    <row r="5" spans="1:9">
      <c r="A5" s="445">
        <v>2</v>
      </c>
      <c r="B5" s="446">
        <v>1</v>
      </c>
      <c r="C5" s="446">
        <v>4</v>
      </c>
      <c r="D5" s="447">
        <v>2</v>
      </c>
      <c r="F5">
        <v>1</v>
      </c>
      <c r="G5" s="444">
        <f t="array" ref="G5:G8">INDEX(A5:D8,F5:F8,F5:F8)</f>
        <v>2</v>
      </c>
      <c r="I5" s="929" t="e">
        <f t="array" aca="1" ref="I5:I8" ca="1">[1]!DIAG(A5:D8)</f>
        <v>#NAME?</v>
      </c>
    </row>
    <row r="6" spans="1:9">
      <c r="A6" s="87">
        <v>0</v>
      </c>
      <c r="B6" s="117">
        <v>4</v>
      </c>
      <c r="C6" s="117">
        <v>7</v>
      </c>
      <c r="D6" s="88">
        <v>5</v>
      </c>
      <c r="F6">
        <f>F5+1</f>
        <v>2</v>
      </c>
      <c r="G6" s="376">
        <v>4</v>
      </c>
      <c r="I6" s="627" t="e">
        <f ca="1"/>
        <v>#NAME?</v>
      </c>
    </row>
    <row r="7" spans="1:9">
      <c r="A7" s="87">
        <v>8</v>
      </c>
      <c r="B7" s="117">
        <v>5</v>
      </c>
      <c r="C7" s="117">
        <v>9</v>
      </c>
      <c r="D7" s="88">
        <v>0</v>
      </c>
      <c r="F7">
        <f>F6+1</f>
        <v>3</v>
      </c>
      <c r="G7" s="376">
        <v>9</v>
      </c>
      <c r="I7" s="627" t="e">
        <f ca="1"/>
        <v>#NAME?</v>
      </c>
    </row>
    <row r="8" spans="1:9">
      <c r="A8" s="89">
        <v>7</v>
      </c>
      <c r="B8" s="428">
        <v>6</v>
      </c>
      <c r="C8" s="428">
        <v>8</v>
      </c>
      <c r="D8" s="90">
        <v>3</v>
      </c>
      <c r="F8">
        <f>F7+1</f>
        <v>4</v>
      </c>
      <c r="G8" s="268">
        <v>3</v>
      </c>
      <c r="I8" s="544" t="e">
        <f ca="1"/>
        <v>#NAME?</v>
      </c>
    </row>
  </sheetData>
  <mergeCells count="1">
    <mergeCell ref="F3:G3"/>
  </mergeCells>
  <pageMargins left="0.7" right="0.7" top="0.75" bottom="0.75" header="0.3" footer="0.3"/>
  <pageSetup paperSize="9" orientation="portrait" horizontalDpi="300" verticalDpi="300" r:id="rId1"/>
</worksheet>
</file>

<file path=xl/worksheets/sheet318.xml><?xml version="1.0" encoding="utf-8"?>
<worksheet xmlns="http://schemas.openxmlformats.org/spreadsheetml/2006/main" xmlns:r="http://schemas.openxmlformats.org/officeDocument/2006/relationships">
  <sheetPr codeName="Sheet202"/>
  <dimension ref="A1:F5"/>
  <sheetViews>
    <sheetView workbookViewId="0"/>
  </sheetViews>
  <sheetFormatPr defaultRowHeight="14.4"/>
  <cols>
    <col min="1" max="3" width="5" customWidth="1"/>
    <col min="5" max="5" width="5.44140625" customWidth="1"/>
    <col min="6" max="6" width="5.109375" customWidth="1"/>
  </cols>
  <sheetData>
    <row r="1" spans="1:6">
      <c r="A1" s="1" t="s">
        <v>1159</v>
      </c>
    </row>
    <row r="3" spans="1:6">
      <c r="A3" s="553">
        <v>6</v>
      </c>
      <c r="B3" s="666">
        <v>7</v>
      </c>
      <c r="C3" s="667">
        <v>8</v>
      </c>
      <c r="E3" t="s">
        <v>1603</v>
      </c>
      <c r="F3">
        <f>MDETERM(A3:C5)</f>
        <v>-12.000000000000002</v>
      </c>
    </row>
    <row r="4" spans="1:6">
      <c r="A4" s="656">
        <v>6</v>
      </c>
      <c r="B4" s="8">
        <v>4</v>
      </c>
      <c r="C4" s="657">
        <v>8</v>
      </c>
    </row>
    <row r="5" spans="1:6">
      <c r="A5" s="533">
        <v>1</v>
      </c>
      <c r="B5" s="534">
        <v>1</v>
      </c>
      <c r="C5" s="541">
        <v>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sheetPr codeName="Sheet127"/>
  <dimension ref="A1:Z18"/>
  <sheetViews>
    <sheetView workbookViewId="0">
      <selection activeCell="O3" sqref="O3"/>
    </sheetView>
  </sheetViews>
  <sheetFormatPr defaultRowHeight="14.4"/>
  <cols>
    <col min="1" max="4" width="4.88671875" customWidth="1"/>
    <col min="5" max="5" width="3.6640625" customWidth="1"/>
    <col min="6" max="6" width="5.6640625" style="422" customWidth="1"/>
    <col min="7" max="7" width="1.88671875" style="422" customWidth="1"/>
    <col min="8" max="8" width="5.6640625" style="422" customWidth="1"/>
    <col min="9" max="9" width="5.6640625" customWidth="1"/>
    <col min="10" max="12" width="4.88671875" customWidth="1"/>
    <col min="13" max="13" width="4.6640625" customWidth="1"/>
    <col min="14" max="14" width="3.6640625" customWidth="1"/>
    <col min="15" max="15" width="5.6640625" customWidth="1"/>
    <col min="16" max="16" width="1.88671875" customWidth="1"/>
    <col min="17" max="18" width="5.6640625" customWidth="1"/>
    <col min="19" max="22" width="4.88671875" customWidth="1"/>
    <col min="23" max="23" width="3.6640625" customWidth="1"/>
    <col min="24" max="24" width="5.6640625" customWidth="1"/>
    <col min="25" max="25" width="1.88671875" customWidth="1"/>
    <col min="26" max="26" width="5.6640625" customWidth="1"/>
  </cols>
  <sheetData>
    <row r="1" spans="1:26">
      <c r="A1" s="1" t="s">
        <v>1159</v>
      </c>
    </row>
    <row r="2" spans="1:26">
      <c r="F2" s="422" t="s">
        <v>1160</v>
      </c>
      <c r="H2" s="422" t="s">
        <v>1161</v>
      </c>
      <c r="O2" s="422" t="s">
        <v>1160</v>
      </c>
      <c r="P2" s="422"/>
      <c r="Q2" s="422" t="s">
        <v>1161</v>
      </c>
      <c r="X2" s="422" t="s">
        <v>1160</v>
      </c>
      <c r="Z2" s="422" t="s">
        <v>1161</v>
      </c>
    </row>
    <row r="3" spans="1:26">
      <c r="A3" s="455">
        <v>2</v>
      </c>
      <c r="B3" s="456">
        <v>4</v>
      </c>
      <c r="C3" s="456">
        <v>6</v>
      </c>
      <c r="D3" s="457">
        <v>5</v>
      </c>
      <c r="F3" s="422">
        <v>1</v>
      </c>
      <c r="J3" s="455">
        <f>A3/$A3</f>
        <v>1</v>
      </c>
      <c r="K3" s="456">
        <f>B3/$A3</f>
        <v>2</v>
      </c>
      <c r="L3" s="456">
        <f>C3/$A3</f>
        <v>3</v>
      </c>
      <c r="M3" s="457">
        <f>D3/$A3</f>
        <v>2.5</v>
      </c>
      <c r="O3" s="422">
        <f>A3</f>
        <v>2</v>
      </c>
      <c r="P3" s="422"/>
      <c r="Q3" s="422">
        <v>3</v>
      </c>
      <c r="S3" s="455">
        <f>J3</f>
        <v>1</v>
      </c>
      <c r="T3" s="456">
        <f>K3</f>
        <v>2</v>
      </c>
      <c r="U3" s="456">
        <f>L3</f>
        <v>3</v>
      </c>
      <c r="V3" s="457">
        <f>M3</f>
        <v>2.5</v>
      </c>
      <c r="X3" s="422">
        <f>O3</f>
        <v>2</v>
      </c>
      <c r="Y3" s="422"/>
      <c r="Z3" s="422">
        <v>4</v>
      </c>
    </row>
    <row r="4" spans="1:26">
      <c r="A4" s="113">
        <v>4</v>
      </c>
      <c r="B4" s="174">
        <v>8</v>
      </c>
      <c r="C4" s="174">
        <v>7</v>
      </c>
      <c r="D4" s="169">
        <v>0</v>
      </c>
      <c r="J4" s="113">
        <f t="shared" ref="J4:M6" si="0">A4</f>
        <v>4</v>
      </c>
      <c r="K4" s="174">
        <f t="shared" si="0"/>
        <v>8</v>
      </c>
      <c r="L4" s="174">
        <f t="shared" si="0"/>
        <v>7</v>
      </c>
      <c r="M4" s="169">
        <f t="shared" si="0"/>
        <v>0</v>
      </c>
      <c r="O4" s="422"/>
      <c r="P4" s="422"/>
      <c r="Q4" s="422"/>
      <c r="S4" s="113">
        <f t="shared" ref="S4:V6" si="1">-$J4*J$3+J4</f>
        <v>0</v>
      </c>
      <c r="T4" s="174">
        <f t="shared" si="1"/>
        <v>0</v>
      </c>
      <c r="U4" s="174">
        <f t="shared" si="1"/>
        <v>-5</v>
      </c>
      <c r="V4" s="169">
        <f t="shared" si="1"/>
        <v>-10</v>
      </c>
      <c r="X4" s="422"/>
      <c r="Y4" s="422"/>
      <c r="Z4" s="422"/>
    </row>
    <row r="5" spans="1:26">
      <c r="A5" s="113">
        <v>2</v>
      </c>
      <c r="B5" s="174">
        <v>3</v>
      </c>
      <c r="C5" s="174">
        <v>4</v>
      </c>
      <c r="D5" s="169">
        <v>3</v>
      </c>
      <c r="J5" s="113">
        <f t="shared" si="0"/>
        <v>2</v>
      </c>
      <c r="K5" s="174">
        <f t="shared" si="0"/>
        <v>3</v>
      </c>
      <c r="L5" s="174">
        <f t="shared" si="0"/>
        <v>4</v>
      </c>
      <c r="M5" s="169">
        <f t="shared" si="0"/>
        <v>3</v>
      </c>
      <c r="O5" s="422"/>
      <c r="P5" s="422"/>
      <c r="Q5" s="422"/>
      <c r="S5" s="113">
        <f t="shared" si="1"/>
        <v>0</v>
      </c>
      <c r="T5" s="174">
        <f t="shared" si="1"/>
        <v>-1</v>
      </c>
      <c r="U5" s="174">
        <f t="shared" si="1"/>
        <v>-2</v>
      </c>
      <c r="V5" s="169">
        <f t="shared" si="1"/>
        <v>-2</v>
      </c>
      <c r="X5" s="422"/>
      <c r="Y5" s="422"/>
      <c r="Z5" s="422"/>
    </row>
    <row r="6" spans="1:26">
      <c r="A6" s="458">
        <v>3</v>
      </c>
      <c r="B6" s="459">
        <v>1</v>
      </c>
      <c r="C6" s="459">
        <v>1</v>
      </c>
      <c r="D6" s="460">
        <v>2</v>
      </c>
      <c r="J6" s="458">
        <f t="shared" si="0"/>
        <v>3</v>
      </c>
      <c r="K6" s="459">
        <f t="shared" si="0"/>
        <v>1</v>
      </c>
      <c r="L6" s="459">
        <f t="shared" si="0"/>
        <v>1</v>
      </c>
      <c r="M6" s="460">
        <f t="shared" si="0"/>
        <v>2</v>
      </c>
      <c r="O6" s="422"/>
      <c r="P6" s="422"/>
      <c r="Q6" s="422"/>
      <c r="S6" s="458">
        <f t="shared" si="1"/>
        <v>0</v>
      </c>
      <c r="T6" s="459">
        <f t="shared" si="1"/>
        <v>-5</v>
      </c>
      <c r="U6" s="459">
        <f t="shared" si="1"/>
        <v>-8</v>
      </c>
      <c r="V6" s="460">
        <f t="shared" si="1"/>
        <v>-5.5</v>
      </c>
      <c r="X6" s="422"/>
      <c r="Y6" s="422"/>
      <c r="Z6" s="422"/>
    </row>
    <row r="8" spans="1:26">
      <c r="A8" s="455">
        <f>S3</f>
        <v>1</v>
      </c>
      <c r="B8" s="456">
        <f>T3</f>
        <v>2</v>
      </c>
      <c r="C8" s="456">
        <f>U3</f>
        <v>3</v>
      </c>
      <c r="D8" s="457">
        <f>V3</f>
        <v>2.5</v>
      </c>
      <c r="F8" s="422">
        <f>-X3</f>
        <v>-2</v>
      </c>
      <c r="H8" s="422">
        <v>2</v>
      </c>
      <c r="J8" s="455">
        <f>A8</f>
        <v>1</v>
      </c>
      <c r="K8" s="456">
        <f>B8</f>
        <v>2</v>
      </c>
      <c r="L8" s="456">
        <f>C8</f>
        <v>3</v>
      </c>
      <c r="M8" s="457">
        <f>D8</f>
        <v>2.5</v>
      </c>
      <c r="O8" s="422">
        <f>F8*B9</f>
        <v>2</v>
      </c>
      <c r="P8" s="422"/>
      <c r="Q8" s="422">
        <v>3</v>
      </c>
      <c r="S8" s="455">
        <f t="shared" ref="S8:V9" si="2">J8</f>
        <v>1</v>
      </c>
      <c r="T8" s="456">
        <f t="shared" si="2"/>
        <v>2</v>
      </c>
      <c r="U8" s="456">
        <f t="shared" si="2"/>
        <v>3</v>
      </c>
      <c r="V8" s="457">
        <f t="shared" si="2"/>
        <v>2.5</v>
      </c>
      <c r="X8" s="422">
        <f>O8</f>
        <v>2</v>
      </c>
      <c r="Y8" s="422"/>
      <c r="Z8" s="422">
        <v>4</v>
      </c>
    </row>
    <row r="9" spans="1:26">
      <c r="A9" s="113">
        <f>S5</f>
        <v>0</v>
      </c>
      <c r="B9" s="174">
        <f>T5</f>
        <v>-1</v>
      </c>
      <c r="C9" s="174">
        <f>U5</f>
        <v>-2</v>
      </c>
      <c r="D9" s="169">
        <f>V5</f>
        <v>-2</v>
      </c>
      <c r="J9" s="113">
        <f>A9/$B9</f>
        <v>0</v>
      </c>
      <c r="K9" s="174">
        <f>B9/$B9</f>
        <v>1</v>
      </c>
      <c r="L9" s="174">
        <f>C9/$B9</f>
        <v>2</v>
      </c>
      <c r="M9" s="169">
        <f>D9/$B9</f>
        <v>2</v>
      </c>
      <c r="O9" s="422"/>
      <c r="P9" s="422"/>
      <c r="Q9" s="422"/>
      <c r="S9" s="113">
        <f t="shared" si="2"/>
        <v>0</v>
      </c>
      <c r="T9" s="174">
        <f t="shared" si="2"/>
        <v>1</v>
      </c>
      <c r="U9" s="174">
        <f t="shared" si="2"/>
        <v>2</v>
      </c>
      <c r="V9" s="169">
        <f t="shared" si="2"/>
        <v>2</v>
      </c>
      <c r="X9" s="422"/>
      <c r="Y9" s="422"/>
      <c r="Z9" s="422"/>
    </row>
    <row r="10" spans="1:26">
      <c r="A10" s="113">
        <f>S4</f>
        <v>0</v>
      </c>
      <c r="B10" s="174">
        <f>T4</f>
        <v>0</v>
      </c>
      <c r="C10" s="174">
        <f>U4</f>
        <v>-5</v>
      </c>
      <c r="D10" s="169">
        <f>V4</f>
        <v>-10</v>
      </c>
      <c r="J10" s="113">
        <f t="shared" ref="J10:M11" si="3">A10</f>
        <v>0</v>
      </c>
      <c r="K10" s="174">
        <f t="shared" si="3"/>
        <v>0</v>
      </c>
      <c r="L10" s="174">
        <f t="shared" si="3"/>
        <v>-5</v>
      </c>
      <c r="M10" s="169">
        <f t="shared" si="3"/>
        <v>-10</v>
      </c>
      <c r="O10" s="422"/>
      <c r="P10" s="422"/>
      <c r="Q10" s="422"/>
      <c r="S10" s="113">
        <f t="shared" ref="S10:V11" si="4">-$K10*J$9+J10</f>
        <v>0</v>
      </c>
      <c r="T10" s="174">
        <f t="shared" si="4"/>
        <v>0</v>
      </c>
      <c r="U10" s="174">
        <f t="shared" si="4"/>
        <v>-5</v>
      </c>
      <c r="V10" s="169">
        <f t="shared" si="4"/>
        <v>-10</v>
      </c>
      <c r="X10" s="422"/>
      <c r="Y10" s="422"/>
      <c r="Z10" s="422"/>
    </row>
    <row r="11" spans="1:26">
      <c r="A11" s="458">
        <f>S6</f>
        <v>0</v>
      </c>
      <c r="B11" s="459">
        <f>T6</f>
        <v>-5</v>
      </c>
      <c r="C11" s="459">
        <f>U6</f>
        <v>-8</v>
      </c>
      <c r="D11" s="460">
        <f>V6</f>
        <v>-5.5</v>
      </c>
      <c r="J11" s="458">
        <f t="shared" si="3"/>
        <v>0</v>
      </c>
      <c r="K11" s="459">
        <f t="shared" si="3"/>
        <v>-5</v>
      </c>
      <c r="L11" s="459">
        <f t="shared" si="3"/>
        <v>-8</v>
      </c>
      <c r="M11" s="460">
        <f t="shared" si="3"/>
        <v>-5.5</v>
      </c>
      <c r="O11" s="422"/>
      <c r="P11" s="422"/>
      <c r="Q11" s="422"/>
      <c r="S11" s="458">
        <f t="shared" si="4"/>
        <v>0</v>
      </c>
      <c r="T11" s="459">
        <f t="shared" si="4"/>
        <v>0</v>
      </c>
      <c r="U11" s="459">
        <f t="shared" si="4"/>
        <v>2</v>
      </c>
      <c r="V11" s="460">
        <f t="shared" si="4"/>
        <v>4.5</v>
      </c>
      <c r="X11" s="422"/>
      <c r="Y11" s="422"/>
      <c r="Z11" s="422"/>
    </row>
    <row r="13" spans="1:26">
      <c r="A13" s="455">
        <f t="shared" ref="A13:D14" si="5">S8</f>
        <v>1</v>
      </c>
      <c r="B13" s="456">
        <f t="shared" si="5"/>
        <v>2</v>
      </c>
      <c r="C13" s="456">
        <f t="shared" si="5"/>
        <v>3</v>
      </c>
      <c r="D13" s="457">
        <f t="shared" si="5"/>
        <v>2.5</v>
      </c>
      <c r="F13" s="422">
        <f>X8*U10</f>
        <v>-10</v>
      </c>
      <c r="H13" s="422">
        <v>3</v>
      </c>
      <c r="J13" s="455">
        <f t="shared" ref="J13:M15" si="6">A13</f>
        <v>1</v>
      </c>
      <c r="K13" s="456">
        <f t="shared" si="6"/>
        <v>2</v>
      </c>
      <c r="L13" s="456">
        <f t="shared" si="6"/>
        <v>3</v>
      </c>
      <c r="M13" s="457">
        <f t="shared" si="6"/>
        <v>2.5</v>
      </c>
      <c r="O13" s="290">
        <f>F13</f>
        <v>-10</v>
      </c>
      <c r="P13" s="422"/>
      <c r="Q13" s="422">
        <v>4</v>
      </c>
      <c r="S13" s="455">
        <f t="shared" ref="S13:V15" si="7">J13</f>
        <v>1</v>
      </c>
      <c r="T13" s="456">
        <f t="shared" si="7"/>
        <v>2</v>
      </c>
      <c r="U13" s="456">
        <f t="shared" si="7"/>
        <v>3</v>
      </c>
      <c r="V13" s="457">
        <f t="shared" si="7"/>
        <v>2.5</v>
      </c>
      <c r="X13" s="422">
        <f>O13*M16</f>
        <v>-5</v>
      </c>
      <c r="Z13" s="422">
        <v>2</v>
      </c>
    </row>
    <row r="14" spans="1:26">
      <c r="A14" s="113">
        <f t="shared" si="5"/>
        <v>0</v>
      </c>
      <c r="B14" s="174">
        <f t="shared" si="5"/>
        <v>1</v>
      </c>
      <c r="C14" s="174">
        <f t="shared" si="5"/>
        <v>2</v>
      </c>
      <c r="D14" s="169">
        <f t="shared" si="5"/>
        <v>2</v>
      </c>
      <c r="J14" s="113">
        <f t="shared" si="6"/>
        <v>0</v>
      </c>
      <c r="K14" s="174">
        <f t="shared" si="6"/>
        <v>1</v>
      </c>
      <c r="L14" s="174">
        <f t="shared" si="6"/>
        <v>2</v>
      </c>
      <c r="M14" s="169">
        <f t="shared" si="6"/>
        <v>2</v>
      </c>
      <c r="S14" s="113">
        <f t="shared" si="7"/>
        <v>0</v>
      </c>
      <c r="T14" s="174">
        <f t="shared" si="7"/>
        <v>1</v>
      </c>
      <c r="U14" s="174">
        <f t="shared" si="7"/>
        <v>2</v>
      </c>
      <c r="V14" s="169">
        <f t="shared" si="7"/>
        <v>2</v>
      </c>
    </row>
    <row r="15" spans="1:26">
      <c r="A15" s="113">
        <f>S10/$U10</f>
        <v>0</v>
      </c>
      <c r="B15" s="174">
        <f>T10/$U10</f>
        <v>0</v>
      </c>
      <c r="C15" s="174">
        <f>U10/$U10</f>
        <v>1</v>
      </c>
      <c r="D15" s="169">
        <f>V10/$U10</f>
        <v>2</v>
      </c>
      <c r="J15" s="113">
        <f t="shared" si="6"/>
        <v>0</v>
      </c>
      <c r="K15" s="174">
        <f t="shared" si="6"/>
        <v>0</v>
      </c>
      <c r="L15" s="174">
        <f t="shared" si="6"/>
        <v>1</v>
      </c>
      <c r="M15" s="169">
        <f t="shared" si="6"/>
        <v>2</v>
      </c>
      <c r="S15" s="113">
        <f t="shared" si="7"/>
        <v>0</v>
      </c>
      <c r="T15" s="174">
        <f t="shared" si="7"/>
        <v>0</v>
      </c>
      <c r="U15" s="174">
        <f t="shared" si="7"/>
        <v>1</v>
      </c>
      <c r="V15" s="169">
        <f t="shared" si="7"/>
        <v>2</v>
      </c>
    </row>
    <row r="16" spans="1:26">
      <c r="A16" s="458">
        <f>S11</f>
        <v>0</v>
      </c>
      <c r="B16" s="459">
        <f>T11</f>
        <v>0</v>
      </c>
      <c r="C16" s="459">
        <f>U11</f>
        <v>2</v>
      </c>
      <c r="D16" s="460">
        <f>V11</f>
        <v>4.5</v>
      </c>
      <c r="J16" s="458">
        <f>-$C16*A15+A16</f>
        <v>0</v>
      </c>
      <c r="K16" s="459">
        <f>-$C16*B15+B16</f>
        <v>0</v>
      </c>
      <c r="L16" s="459">
        <f>-$C16*C15+C16</f>
        <v>0</v>
      </c>
      <c r="M16" s="460">
        <f>-$C16*D15+D16</f>
        <v>0.5</v>
      </c>
      <c r="S16" s="458">
        <f>J16/$M16</f>
        <v>0</v>
      </c>
      <c r="T16" s="459">
        <f>K16/$M16</f>
        <v>0</v>
      </c>
      <c r="U16" s="459">
        <f>L16/$M16</f>
        <v>0</v>
      </c>
      <c r="V16" s="460">
        <f>M16/$M16</f>
        <v>1</v>
      </c>
    </row>
    <row r="18" spans="1:6">
      <c r="A18" t="s">
        <v>1169</v>
      </c>
      <c r="F18" s="422">
        <f>MDETERM(A3:D6)</f>
        <v>-5.0000000000000044</v>
      </c>
    </row>
  </sheetData>
  <pageMargins left="0.7" right="0.7" top="0.75" bottom="0.75" header="0.3" footer="0.3"/>
  <ignoredErrors>
    <ignoredError sqref="J9:M9 A15:D15" formula="1"/>
  </ignoredErrors>
</worksheet>
</file>

<file path=xl/worksheets/sheet320.xml><?xml version="1.0" encoding="utf-8"?>
<worksheet xmlns="http://schemas.openxmlformats.org/spreadsheetml/2006/main" xmlns:r="http://schemas.openxmlformats.org/officeDocument/2006/relationships">
  <sheetPr codeName="Sheet128"/>
  <dimension ref="A1:H30"/>
  <sheetViews>
    <sheetView workbookViewId="0"/>
  </sheetViews>
  <sheetFormatPr defaultRowHeight="14.4"/>
  <cols>
    <col min="1" max="4" width="4.88671875" customWidth="1"/>
    <col min="5" max="5" width="3.6640625" customWidth="1"/>
    <col min="6" max="6" width="4.88671875" style="422" customWidth="1"/>
    <col min="7" max="7" width="4.88671875" customWidth="1"/>
  </cols>
  <sheetData>
    <row r="1" spans="1:8">
      <c r="A1" s="1" t="s">
        <v>1238</v>
      </c>
    </row>
    <row r="2" spans="1:8">
      <c r="A2" s="1"/>
    </row>
    <row r="3" spans="1:8" ht="16.2">
      <c r="A3" t="s">
        <v>526</v>
      </c>
      <c r="F3" s="422" t="s">
        <v>385</v>
      </c>
      <c r="H3" s="422" t="s">
        <v>782</v>
      </c>
    </row>
    <row r="4" spans="1:8">
      <c r="A4" s="441">
        <v>1</v>
      </c>
      <c r="B4" s="442">
        <v>2</v>
      </c>
      <c r="C4" s="443">
        <v>0</v>
      </c>
      <c r="E4" s="444" t="s">
        <v>28</v>
      </c>
      <c r="F4" s="452">
        <v>0</v>
      </c>
      <c r="H4" s="444">
        <f t="array" ref="H4:H6">MMULT(MINVERSE(A4:C6),F4:F6)</f>
        <v>-0.66666666666666663</v>
      </c>
    </row>
    <row r="5" spans="1:8">
      <c r="A5" s="7">
        <v>-1</v>
      </c>
      <c r="B5" s="8">
        <v>1</v>
      </c>
      <c r="C5" s="9">
        <v>1</v>
      </c>
      <c r="E5" s="376" t="s">
        <v>400</v>
      </c>
      <c r="F5" s="430">
        <v>1</v>
      </c>
      <c r="H5" s="376">
        <v>0.33333333333333331</v>
      </c>
    </row>
    <row r="6" spans="1:8">
      <c r="A6" s="10">
        <v>1</v>
      </c>
      <c r="B6" s="11">
        <v>2</v>
      </c>
      <c r="C6" s="12">
        <v>3</v>
      </c>
      <c r="E6" s="268" t="s">
        <v>127</v>
      </c>
      <c r="F6" s="299">
        <v>0</v>
      </c>
      <c r="H6" s="268">
        <v>0</v>
      </c>
    </row>
    <row r="8" spans="1:8">
      <c r="A8" t="s">
        <v>1162</v>
      </c>
      <c r="B8" s="1552">
        <f>C20/C15</f>
        <v>-0.66666666666666663</v>
      </c>
      <c r="C8" s="1552"/>
    </row>
    <row r="9" spans="1:8">
      <c r="A9" t="s">
        <v>1163</v>
      </c>
      <c r="B9" s="1552">
        <f>C25/C15</f>
        <v>0.33333333333333331</v>
      </c>
      <c r="C9" s="1552"/>
    </row>
    <row r="10" spans="1:8">
      <c r="A10" s="66" t="s">
        <v>1164</v>
      </c>
      <c r="B10" s="1552">
        <f>C30/C15</f>
        <v>0</v>
      </c>
      <c r="C10" s="1552"/>
    </row>
    <row r="12" spans="1:8">
      <c r="A12" s="441">
        <v>1</v>
      </c>
      <c r="B12" s="442">
        <v>2</v>
      </c>
      <c r="C12" s="443">
        <v>0</v>
      </c>
    </row>
    <row r="13" spans="1:8">
      <c r="A13" s="7">
        <v>-1</v>
      </c>
      <c r="B13" s="8">
        <v>1</v>
      </c>
      <c r="C13" s="9">
        <v>1</v>
      </c>
    </row>
    <row r="14" spans="1:8">
      <c r="A14" s="10">
        <v>1</v>
      </c>
      <c r="B14" s="11">
        <v>2</v>
      </c>
      <c r="C14" s="12">
        <v>3</v>
      </c>
    </row>
    <row r="15" spans="1:8">
      <c r="A15" t="s">
        <v>1165</v>
      </c>
      <c r="C15">
        <f>MDETERM(A4:C6)</f>
        <v>9</v>
      </c>
    </row>
    <row r="17" spans="1:3">
      <c r="A17" s="445">
        <v>0</v>
      </c>
      <c r="B17" s="442">
        <v>2</v>
      </c>
      <c r="C17" s="443">
        <v>0</v>
      </c>
    </row>
    <row r="18" spans="1:3">
      <c r="A18" s="87">
        <v>1</v>
      </c>
      <c r="B18" s="8">
        <v>1</v>
      </c>
      <c r="C18" s="9">
        <v>1</v>
      </c>
    </row>
    <row r="19" spans="1:3">
      <c r="A19" s="89">
        <v>0</v>
      </c>
      <c r="B19" s="11">
        <v>2</v>
      </c>
      <c r="C19" s="12">
        <v>3</v>
      </c>
    </row>
    <row r="20" spans="1:3" ht="15.6">
      <c r="A20" t="s">
        <v>1166</v>
      </c>
      <c r="C20">
        <f>MDETERM(A17:C19)</f>
        <v>-6</v>
      </c>
    </row>
    <row r="22" spans="1:3">
      <c r="A22" s="441">
        <v>1</v>
      </c>
      <c r="B22" s="453">
        <v>0</v>
      </c>
      <c r="C22" s="443">
        <v>0</v>
      </c>
    </row>
    <row r="23" spans="1:3">
      <c r="A23" s="7">
        <v>-1</v>
      </c>
      <c r="B23" s="42">
        <v>1</v>
      </c>
      <c r="C23" s="9">
        <v>1</v>
      </c>
    </row>
    <row r="24" spans="1:3">
      <c r="A24" s="10">
        <v>1</v>
      </c>
      <c r="B24" s="454">
        <v>0</v>
      </c>
      <c r="C24" s="12">
        <v>3</v>
      </c>
    </row>
    <row r="25" spans="1:3" ht="15.6">
      <c r="A25" t="s">
        <v>1167</v>
      </c>
      <c r="C25">
        <f>MDETERM(A22:C24)</f>
        <v>3</v>
      </c>
    </row>
    <row r="27" spans="1:3">
      <c r="A27" s="441">
        <v>1</v>
      </c>
      <c r="B27" s="442">
        <v>2</v>
      </c>
      <c r="C27" s="447">
        <v>0</v>
      </c>
    </row>
    <row r="28" spans="1:3">
      <c r="A28" s="7">
        <v>-1</v>
      </c>
      <c r="B28" s="8">
        <v>1</v>
      </c>
      <c r="C28" s="88">
        <v>1</v>
      </c>
    </row>
    <row r="29" spans="1:3">
      <c r="A29" s="10">
        <v>1</v>
      </c>
      <c r="B29" s="11">
        <v>2</v>
      </c>
      <c r="C29" s="90">
        <v>0</v>
      </c>
    </row>
    <row r="30" spans="1:3" ht="15.6">
      <c r="A30" t="s">
        <v>1168</v>
      </c>
      <c r="C30">
        <f>MDETERM(A27:C29)</f>
        <v>0</v>
      </c>
    </row>
  </sheetData>
  <mergeCells count="3">
    <mergeCell ref="B8:C8"/>
    <mergeCell ref="B9:C9"/>
    <mergeCell ref="B10:C10"/>
  </mergeCell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sheetPr codeName="Sheet133"/>
  <dimension ref="A1:Z45"/>
  <sheetViews>
    <sheetView workbookViewId="0"/>
  </sheetViews>
  <sheetFormatPr defaultRowHeight="14.4"/>
  <cols>
    <col min="1" max="12" width="4.88671875" customWidth="1"/>
    <col min="13" max="13" width="4.88671875" style="471" customWidth="1"/>
    <col min="14" max="19" width="4.88671875" customWidth="1"/>
    <col min="20" max="20" width="4.88671875" style="471" customWidth="1"/>
    <col min="21" max="26" width="4.88671875" customWidth="1"/>
  </cols>
  <sheetData>
    <row r="1" spans="1:20">
      <c r="A1" s="1" t="s">
        <v>1239</v>
      </c>
    </row>
    <row r="3" spans="1:20">
      <c r="A3" t="s">
        <v>1241</v>
      </c>
    </row>
    <row r="5" spans="1:20">
      <c r="F5" s="471" t="s">
        <v>1161</v>
      </c>
      <c r="I5" s="494"/>
      <c r="M5" s="471" t="s">
        <v>1161</v>
      </c>
      <c r="T5" s="471" t="s">
        <v>1161</v>
      </c>
    </row>
    <row r="6" spans="1:20">
      <c r="A6" s="474">
        <v>1</v>
      </c>
      <c r="B6" s="478">
        <v>2</v>
      </c>
      <c r="C6" s="478">
        <v>0</v>
      </c>
      <c r="D6" s="479">
        <v>4</v>
      </c>
      <c r="F6" s="471">
        <v>3</v>
      </c>
      <c r="H6" s="474">
        <f>A6</f>
        <v>1</v>
      </c>
      <c r="I6" s="478">
        <f>B6</f>
        <v>2</v>
      </c>
      <c r="J6" s="478">
        <f>C6</f>
        <v>0</v>
      </c>
      <c r="K6" s="479">
        <f>D6</f>
        <v>4</v>
      </c>
      <c r="M6" s="471">
        <v>2</v>
      </c>
      <c r="O6" s="474">
        <f>H6</f>
        <v>1</v>
      </c>
      <c r="P6" s="478">
        <f>I6</f>
        <v>2</v>
      </c>
      <c r="Q6" s="478">
        <f>J6</f>
        <v>0</v>
      </c>
      <c r="R6" s="479">
        <f>K6</f>
        <v>4</v>
      </c>
      <c r="T6" s="471">
        <v>3</v>
      </c>
    </row>
    <row r="7" spans="1:20">
      <c r="A7" s="7">
        <v>-1</v>
      </c>
      <c r="B7" s="8">
        <v>2</v>
      </c>
      <c r="C7" s="8">
        <v>1</v>
      </c>
      <c r="D7" s="376">
        <v>3</v>
      </c>
      <c r="H7" s="7">
        <f>A6+A7</f>
        <v>0</v>
      </c>
      <c r="I7" s="8">
        <f>B6+B7</f>
        <v>4</v>
      </c>
      <c r="J7" s="8">
        <f>C6+C7</f>
        <v>1</v>
      </c>
      <c r="K7" s="376">
        <f>D6+D7</f>
        <v>7</v>
      </c>
      <c r="O7" s="7">
        <f>H7/$I7</f>
        <v>0</v>
      </c>
      <c r="P7" s="8">
        <f>I7/$I7</f>
        <v>1</v>
      </c>
      <c r="Q7" s="8">
        <f>J7/$I7</f>
        <v>0.25</v>
      </c>
      <c r="R7" s="376">
        <f>K7/$I7</f>
        <v>1.75</v>
      </c>
    </row>
    <row r="8" spans="1:20">
      <c r="A8" s="10">
        <v>1</v>
      </c>
      <c r="B8" s="11">
        <v>1</v>
      </c>
      <c r="C8" s="11">
        <v>3</v>
      </c>
      <c r="D8" s="268">
        <v>-1</v>
      </c>
      <c r="H8" s="10">
        <f>-H6+A8</f>
        <v>0</v>
      </c>
      <c r="I8" s="11">
        <f>-I6+B8</f>
        <v>-1</v>
      </c>
      <c r="J8" s="11">
        <f>-J6+C8</f>
        <v>3</v>
      </c>
      <c r="K8" s="268">
        <f>-K6+D8</f>
        <v>-5</v>
      </c>
      <c r="O8" s="10">
        <f>H8</f>
        <v>0</v>
      </c>
      <c r="P8" s="11">
        <f>I8</f>
        <v>-1</v>
      </c>
      <c r="Q8" s="11">
        <f>J8</f>
        <v>3</v>
      </c>
      <c r="R8" s="268">
        <f>K8</f>
        <v>-5</v>
      </c>
    </row>
    <row r="9" spans="1:20">
      <c r="F9" s="471" t="s">
        <v>1161</v>
      </c>
      <c r="M9" s="471" t="s">
        <v>1161</v>
      </c>
    </row>
    <row r="10" spans="1:20">
      <c r="A10" s="474">
        <f>O6-$P6*O7</f>
        <v>1</v>
      </c>
      <c r="B10" s="478">
        <f>P6-$P6*P7</f>
        <v>0</v>
      </c>
      <c r="C10" s="478">
        <f>Q6-$P6*Q7</f>
        <v>-0.5</v>
      </c>
      <c r="D10" s="479">
        <f>R6-$P6*R7</f>
        <v>0.5</v>
      </c>
      <c r="F10" s="471">
        <v>2</v>
      </c>
      <c r="H10" s="474">
        <f t="shared" ref="H10:K11" si="0">A10</f>
        <v>1</v>
      </c>
      <c r="I10" s="478">
        <f t="shared" si="0"/>
        <v>0</v>
      </c>
      <c r="J10" s="478">
        <f t="shared" si="0"/>
        <v>-0.5</v>
      </c>
      <c r="K10" s="479">
        <f t="shared" si="0"/>
        <v>0.5</v>
      </c>
      <c r="M10" s="471">
        <v>3</v>
      </c>
      <c r="O10" s="474">
        <f>H10-H12*$J10</f>
        <v>1</v>
      </c>
      <c r="P10" s="478">
        <f>I10-I12*$J10</f>
        <v>0</v>
      </c>
      <c r="Q10" s="478">
        <f>J10-J12*$J10</f>
        <v>0</v>
      </c>
      <c r="R10" s="479">
        <f>K10-K12*$J10</f>
        <v>0</v>
      </c>
    </row>
    <row r="11" spans="1:20">
      <c r="A11" s="7">
        <f>O7</f>
        <v>0</v>
      </c>
      <c r="B11" s="8">
        <f>P7</f>
        <v>1</v>
      </c>
      <c r="C11" s="8">
        <f>Q7</f>
        <v>0.25</v>
      </c>
      <c r="D11" s="376">
        <f>R7</f>
        <v>1.75</v>
      </c>
      <c r="H11" s="7">
        <f t="shared" si="0"/>
        <v>0</v>
      </c>
      <c r="I11" s="8">
        <f t="shared" si="0"/>
        <v>1</v>
      </c>
      <c r="J11" s="8">
        <f t="shared" si="0"/>
        <v>0.25</v>
      </c>
      <c r="K11" s="376">
        <f t="shared" si="0"/>
        <v>1.75</v>
      </c>
      <c r="O11" s="7">
        <f>H11-$J11*H12</f>
        <v>0</v>
      </c>
      <c r="P11" s="8">
        <f>I11-$J11*I12</f>
        <v>1</v>
      </c>
      <c r="Q11" s="8">
        <f>J11-$J11*J12</f>
        <v>0</v>
      </c>
      <c r="R11" s="376">
        <f>K11-$J11*K12</f>
        <v>2</v>
      </c>
    </row>
    <row r="12" spans="1:20">
      <c r="A12" s="10">
        <f>O7+O8</f>
        <v>0</v>
      </c>
      <c r="B12" s="11">
        <f>P7+P8</f>
        <v>0</v>
      </c>
      <c r="C12" s="11">
        <f>Q7+Q8</f>
        <v>3.25</v>
      </c>
      <c r="D12" s="268">
        <f>R7+R8</f>
        <v>-3.25</v>
      </c>
      <c r="H12" s="10">
        <f>A12/$C12</f>
        <v>0</v>
      </c>
      <c r="I12" s="11">
        <f>B12/$C12</f>
        <v>0</v>
      </c>
      <c r="J12" s="11">
        <f>C12/$C12</f>
        <v>1</v>
      </c>
      <c r="K12" s="268">
        <f>D12/$C12</f>
        <v>-1</v>
      </c>
      <c r="O12" s="10">
        <f>H12</f>
        <v>0</v>
      </c>
      <c r="P12" s="11">
        <f>I12</f>
        <v>0</v>
      </c>
      <c r="Q12" s="11">
        <f>J12</f>
        <v>1</v>
      </c>
      <c r="R12" s="268">
        <f>K12</f>
        <v>-1</v>
      </c>
    </row>
    <row r="13" spans="1:20">
      <c r="A13" s="8"/>
      <c r="B13" s="8"/>
      <c r="C13" s="8"/>
      <c r="D13" s="8"/>
      <c r="H13" s="8"/>
      <c r="I13" s="8"/>
      <c r="J13" s="8"/>
      <c r="K13" s="8"/>
      <c r="O13" s="8"/>
      <c r="P13" s="8"/>
      <c r="Q13" s="8"/>
      <c r="R13" s="8"/>
    </row>
    <row r="14" spans="1:20">
      <c r="A14" s="8" t="s">
        <v>1240</v>
      </c>
      <c r="B14" s="8"/>
      <c r="C14" s="8"/>
      <c r="D14" s="8"/>
      <c r="H14" s="8"/>
      <c r="I14" s="8"/>
      <c r="J14" s="8"/>
      <c r="K14" s="8"/>
      <c r="O14" s="8"/>
      <c r="P14" s="8"/>
      <c r="Q14" s="8"/>
      <c r="R14" s="8"/>
    </row>
    <row r="15" spans="1:20">
      <c r="A15" s="8"/>
      <c r="B15" s="8"/>
      <c r="C15" s="8"/>
      <c r="D15" s="8"/>
      <c r="H15" s="8"/>
      <c r="I15" s="8"/>
      <c r="J15" s="8"/>
      <c r="K15" s="8"/>
      <c r="O15" s="8"/>
      <c r="P15" s="8"/>
      <c r="Q15" s="8"/>
      <c r="R15" s="8"/>
    </row>
    <row r="16" spans="1:20">
      <c r="F16" s="471" t="s">
        <v>1161</v>
      </c>
      <c r="I16" s="494"/>
      <c r="M16" s="471" t="s">
        <v>1161</v>
      </c>
      <c r="T16" s="471" t="s">
        <v>1161</v>
      </c>
    </row>
    <row r="17" spans="1:20">
      <c r="A17" s="474">
        <v>1</v>
      </c>
      <c r="B17" s="478">
        <v>2</v>
      </c>
      <c r="C17" s="478">
        <v>4</v>
      </c>
      <c r="D17" s="479">
        <v>0</v>
      </c>
      <c r="F17" s="471">
        <v>3</v>
      </c>
      <c r="H17" s="474">
        <f>A17</f>
        <v>1</v>
      </c>
      <c r="I17" s="478">
        <f>B17</f>
        <v>2</v>
      </c>
      <c r="J17" s="478">
        <f>C17</f>
        <v>4</v>
      </c>
      <c r="K17" s="479">
        <f>D17</f>
        <v>0</v>
      </c>
      <c r="M17" s="471">
        <v>1</v>
      </c>
      <c r="O17" s="474">
        <f>H17</f>
        <v>1</v>
      </c>
      <c r="P17" s="478">
        <f>I17</f>
        <v>2</v>
      </c>
      <c r="Q17" s="478">
        <f>J17</f>
        <v>4</v>
      </c>
      <c r="R17" s="479">
        <f>K17</f>
        <v>0</v>
      </c>
      <c r="T17" s="471">
        <v>2</v>
      </c>
    </row>
    <row r="18" spans="1:20">
      <c r="A18" s="7">
        <v>-1</v>
      </c>
      <c r="B18" s="8">
        <v>-2</v>
      </c>
      <c r="C18" s="8">
        <v>1</v>
      </c>
      <c r="D18" s="376">
        <v>0</v>
      </c>
      <c r="H18" s="7">
        <f>A17+A18</f>
        <v>0</v>
      </c>
      <c r="I18" s="8">
        <f>B17+B18</f>
        <v>0</v>
      </c>
      <c r="J18" s="8">
        <f>C17+C18</f>
        <v>5</v>
      </c>
      <c r="K18" s="376">
        <f>D17+D18</f>
        <v>0</v>
      </c>
      <c r="O18" s="7">
        <f>H19</f>
        <v>0</v>
      </c>
      <c r="P18" s="8">
        <f>I19</f>
        <v>-1</v>
      </c>
      <c r="Q18" s="8">
        <f>J19</f>
        <v>-2</v>
      </c>
      <c r="R18" s="376">
        <f>K19</f>
        <v>0</v>
      </c>
    </row>
    <row r="19" spans="1:20">
      <c r="A19" s="10">
        <v>1</v>
      </c>
      <c r="B19" s="11">
        <v>1</v>
      </c>
      <c r="C19" s="11">
        <v>2</v>
      </c>
      <c r="D19" s="268">
        <v>0</v>
      </c>
      <c r="H19" s="10">
        <f>-H17+A19</f>
        <v>0</v>
      </c>
      <c r="I19" s="11">
        <f>-I17+B19</f>
        <v>-1</v>
      </c>
      <c r="J19" s="11">
        <f>-J17+C19</f>
        <v>-2</v>
      </c>
      <c r="K19" s="268">
        <f>-K17+D19</f>
        <v>0</v>
      </c>
      <c r="O19" s="10">
        <f>H18</f>
        <v>0</v>
      </c>
      <c r="P19" s="11">
        <f>I18</f>
        <v>0</v>
      </c>
      <c r="Q19" s="11">
        <f>J18</f>
        <v>5</v>
      </c>
      <c r="R19" s="268">
        <f>K18</f>
        <v>0</v>
      </c>
    </row>
    <row r="20" spans="1:20">
      <c r="F20" s="471" t="s">
        <v>1161</v>
      </c>
      <c r="M20" s="471" t="s">
        <v>1161</v>
      </c>
    </row>
    <row r="21" spans="1:20">
      <c r="A21" s="474">
        <f>O17</f>
        <v>1</v>
      </c>
      <c r="B21" s="478">
        <f>P17</f>
        <v>2</v>
      </c>
      <c r="C21" s="478">
        <f>Q17</f>
        <v>4</v>
      </c>
      <c r="D21" s="479">
        <f>R17</f>
        <v>0</v>
      </c>
      <c r="F21" s="471">
        <v>3</v>
      </c>
      <c r="H21" s="474">
        <f>A21-$B21*A22</f>
        <v>1</v>
      </c>
      <c r="I21" s="478">
        <f>B21-$B21*B22</f>
        <v>0</v>
      </c>
      <c r="J21" s="478">
        <f>C21-$B21*C22</f>
        <v>0</v>
      </c>
      <c r="K21" s="479">
        <f>D21-$B21*D22</f>
        <v>0</v>
      </c>
      <c r="M21" s="471">
        <v>3</v>
      </c>
      <c r="O21" s="474">
        <f>H21-H23*$J21</f>
        <v>1</v>
      </c>
      <c r="P21" s="478">
        <f>I21-I23*$J21</f>
        <v>0</v>
      </c>
      <c r="Q21" s="478">
        <f>J21-J23*$J21</f>
        <v>0</v>
      </c>
      <c r="R21" s="479">
        <f>K21-K23*$J21</f>
        <v>0</v>
      </c>
    </row>
    <row r="22" spans="1:20">
      <c r="A22" s="7">
        <f>O18/$P18</f>
        <v>0</v>
      </c>
      <c r="B22" s="8">
        <f>P18/$P18</f>
        <v>1</v>
      </c>
      <c r="C22" s="8">
        <f>Q18/$P18</f>
        <v>2</v>
      </c>
      <c r="D22" s="376">
        <f>R18/$P18</f>
        <v>0</v>
      </c>
      <c r="H22" s="7">
        <f>A22</f>
        <v>0</v>
      </c>
      <c r="I22" s="8">
        <f>B22</f>
        <v>1</v>
      </c>
      <c r="J22" s="8">
        <f>C22</f>
        <v>2</v>
      </c>
      <c r="K22" s="376">
        <f>D22</f>
        <v>0</v>
      </c>
      <c r="O22" s="7">
        <f>H22-H23*$J22</f>
        <v>0</v>
      </c>
      <c r="P22" s="8">
        <f>I22-I23*$J22</f>
        <v>1</v>
      </c>
      <c r="Q22" s="8">
        <f>J22-J23*$J22</f>
        <v>0</v>
      </c>
      <c r="R22" s="376">
        <f>K22-K23*$J22</f>
        <v>0</v>
      </c>
    </row>
    <row r="23" spans="1:20">
      <c r="A23" s="10">
        <f>O19</f>
        <v>0</v>
      </c>
      <c r="B23" s="11">
        <f>P19</f>
        <v>0</v>
      </c>
      <c r="C23" s="11">
        <f>Q19</f>
        <v>5</v>
      </c>
      <c r="D23" s="268">
        <f>R19</f>
        <v>0</v>
      </c>
      <c r="H23" s="10">
        <f>A23/$C23</f>
        <v>0</v>
      </c>
      <c r="I23" s="11">
        <f>B23/$C23</f>
        <v>0</v>
      </c>
      <c r="J23" s="11">
        <f>C23/$C23</f>
        <v>1</v>
      </c>
      <c r="K23" s="268">
        <f>D23/$C23</f>
        <v>0</v>
      </c>
      <c r="O23" s="10">
        <f>H23</f>
        <v>0</v>
      </c>
      <c r="P23" s="11">
        <f>I23</f>
        <v>0</v>
      </c>
      <c r="Q23" s="11">
        <f>J23</f>
        <v>1</v>
      </c>
      <c r="R23" s="268">
        <f>K23</f>
        <v>0</v>
      </c>
    </row>
    <row r="24" spans="1:20">
      <c r="A24" s="8"/>
      <c r="B24" s="8"/>
      <c r="C24" s="8"/>
      <c r="D24" s="8"/>
      <c r="H24" s="8"/>
      <c r="I24" s="8"/>
      <c r="J24" s="8"/>
      <c r="K24" s="8"/>
      <c r="O24" s="8"/>
      <c r="P24" s="8"/>
      <c r="Q24" s="8"/>
      <c r="R24" s="8"/>
    </row>
    <row r="25" spans="1:20">
      <c r="A25" s="8" t="s">
        <v>1242</v>
      </c>
      <c r="B25" s="8"/>
      <c r="C25" s="8"/>
      <c r="D25" s="8"/>
      <c r="H25" s="8"/>
      <c r="I25" s="8"/>
      <c r="J25" s="8"/>
      <c r="K25" s="8"/>
      <c r="O25" s="8"/>
      <c r="P25" s="8"/>
      <c r="Q25" s="8"/>
      <c r="R25" s="8"/>
    </row>
    <row r="27" spans="1:20">
      <c r="F27" s="471" t="s">
        <v>1161</v>
      </c>
      <c r="I27" s="494"/>
      <c r="M27" s="471" t="s">
        <v>1161</v>
      </c>
      <c r="T27" s="471" t="s">
        <v>1161</v>
      </c>
    </row>
    <row r="28" spans="1:20">
      <c r="A28" s="474">
        <v>1</v>
      </c>
      <c r="B28" s="478">
        <v>1</v>
      </c>
      <c r="C28" s="478">
        <v>2</v>
      </c>
      <c r="D28" s="479">
        <v>0</v>
      </c>
      <c r="F28" s="471">
        <v>3</v>
      </c>
      <c r="H28" s="474">
        <f>A28</f>
        <v>1</v>
      </c>
      <c r="I28" s="478">
        <f>B28</f>
        <v>1</v>
      </c>
      <c r="J28" s="478">
        <f>C28</f>
        <v>2</v>
      </c>
      <c r="K28" s="479">
        <f>D28</f>
        <v>0</v>
      </c>
      <c r="M28" s="471">
        <v>2</v>
      </c>
      <c r="O28" s="474">
        <f>H28</f>
        <v>1</v>
      </c>
      <c r="P28" s="478">
        <f>I28</f>
        <v>1</v>
      </c>
      <c r="Q28" s="478">
        <f>J28</f>
        <v>2</v>
      </c>
      <c r="R28" s="479">
        <f>K28</f>
        <v>0</v>
      </c>
      <c r="T28" s="471">
        <v>3</v>
      </c>
    </row>
    <row r="29" spans="1:20">
      <c r="A29" s="7">
        <v>-1</v>
      </c>
      <c r="B29" s="8">
        <v>3</v>
      </c>
      <c r="C29" s="8">
        <v>-4</v>
      </c>
      <c r="D29" s="376">
        <v>0</v>
      </c>
      <c r="H29" s="7">
        <f>A28+A29</f>
        <v>0</v>
      </c>
      <c r="I29" s="8">
        <f>B28+B29</f>
        <v>4</v>
      </c>
      <c r="J29" s="8">
        <f>C28+C29</f>
        <v>-2</v>
      </c>
      <c r="K29" s="376">
        <f>D28+D29</f>
        <v>0</v>
      </c>
      <c r="O29" s="7">
        <f>H29/$I29</f>
        <v>0</v>
      </c>
      <c r="P29" s="8">
        <f>I29/$I29</f>
        <v>1</v>
      </c>
      <c r="Q29" s="8">
        <f>J29/$I29</f>
        <v>-0.5</v>
      </c>
      <c r="R29" s="376">
        <f>K29/$I29</f>
        <v>0</v>
      </c>
    </row>
    <row r="30" spans="1:20">
      <c r="A30" s="10">
        <v>1</v>
      </c>
      <c r="B30" s="11">
        <v>-3</v>
      </c>
      <c r="C30" s="11">
        <v>4</v>
      </c>
      <c r="D30" s="268">
        <v>0</v>
      </c>
      <c r="H30" s="10">
        <f>-H28+A30</f>
        <v>0</v>
      </c>
      <c r="I30" s="11">
        <f>-I28+B30</f>
        <v>-4</v>
      </c>
      <c r="J30" s="11">
        <f>-J28+C30</f>
        <v>2</v>
      </c>
      <c r="K30" s="268">
        <f>-K28+D30</f>
        <v>0</v>
      </c>
      <c r="O30" s="10">
        <f>H29</f>
        <v>0</v>
      </c>
      <c r="P30" s="11">
        <f>I29</f>
        <v>4</v>
      </c>
      <c r="Q30" s="11">
        <f>J29</f>
        <v>-2</v>
      </c>
      <c r="R30" s="268">
        <f>K29</f>
        <v>0</v>
      </c>
    </row>
    <row r="31" spans="1:20">
      <c r="F31" s="471" t="s">
        <v>1161</v>
      </c>
      <c r="M31"/>
    </row>
    <row r="32" spans="1:20">
      <c r="A32" s="474">
        <f>O28-O29</f>
        <v>1</v>
      </c>
      <c r="B32" s="478">
        <f>P28-P29</f>
        <v>0</v>
      </c>
      <c r="C32" s="478">
        <f>Q28-Q29</f>
        <v>2.5</v>
      </c>
      <c r="D32" s="479">
        <f>R28-R29</f>
        <v>0</v>
      </c>
      <c r="F32" s="471">
        <v>3</v>
      </c>
      <c r="M32"/>
    </row>
    <row r="33" spans="1:26">
      <c r="A33" s="7">
        <f>O29</f>
        <v>0</v>
      </c>
      <c r="B33" s="8">
        <f>P29</f>
        <v>1</v>
      </c>
      <c r="C33" s="8">
        <f>Q29</f>
        <v>-0.5</v>
      </c>
      <c r="D33" s="376">
        <f>R29</f>
        <v>0</v>
      </c>
      <c r="M33"/>
    </row>
    <row r="34" spans="1:26">
      <c r="A34" s="10">
        <f>O30-O29*$P30</f>
        <v>0</v>
      </c>
      <c r="B34" s="11">
        <f>P30-P29*$P30</f>
        <v>0</v>
      </c>
      <c r="C34" s="11">
        <f>Q30-Q29*$P30</f>
        <v>0</v>
      </c>
      <c r="D34" s="268">
        <f>R30-R29*$P30</f>
        <v>0</v>
      </c>
      <c r="M34"/>
    </row>
    <row r="35" spans="1:26">
      <c r="M35"/>
    </row>
    <row r="36" spans="1:26">
      <c r="A36" t="s">
        <v>1243</v>
      </c>
    </row>
    <row r="38" spans="1:26">
      <c r="H38" s="471" t="s">
        <v>1161</v>
      </c>
      <c r="K38" s="494"/>
      <c r="M38"/>
      <c r="Q38" s="471" t="s">
        <v>1161</v>
      </c>
      <c r="T38"/>
      <c r="Z38" s="471" t="s">
        <v>1161</v>
      </c>
    </row>
    <row r="39" spans="1:26">
      <c r="A39" s="474">
        <v>1</v>
      </c>
      <c r="B39" s="478">
        <v>2</v>
      </c>
      <c r="C39" s="478">
        <v>0</v>
      </c>
      <c r="D39" s="474">
        <v>1</v>
      </c>
      <c r="E39" s="495">
        <v>0</v>
      </c>
      <c r="F39" s="496">
        <v>0</v>
      </c>
      <c r="H39" s="471">
        <v>3</v>
      </c>
      <c r="J39" s="474">
        <f t="shared" ref="J39:O39" si="1">A39</f>
        <v>1</v>
      </c>
      <c r="K39" s="478">
        <f t="shared" si="1"/>
        <v>2</v>
      </c>
      <c r="L39" s="478">
        <f t="shared" si="1"/>
        <v>0</v>
      </c>
      <c r="M39" s="474">
        <f t="shared" si="1"/>
        <v>1</v>
      </c>
      <c r="N39" s="495">
        <f t="shared" si="1"/>
        <v>0</v>
      </c>
      <c r="O39" s="496">
        <f t="shared" si="1"/>
        <v>0</v>
      </c>
      <c r="Q39" s="471">
        <v>2</v>
      </c>
      <c r="S39" s="474">
        <f t="shared" ref="S39:X39" si="2">J39</f>
        <v>1</v>
      </c>
      <c r="T39" s="478">
        <f t="shared" si="2"/>
        <v>2</v>
      </c>
      <c r="U39" s="478">
        <f t="shared" si="2"/>
        <v>0</v>
      </c>
      <c r="V39" s="474">
        <f t="shared" si="2"/>
        <v>1</v>
      </c>
      <c r="W39" s="495">
        <f t="shared" si="2"/>
        <v>0</v>
      </c>
      <c r="X39" s="496">
        <f t="shared" si="2"/>
        <v>0</v>
      </c>
      <c r="Z39" s="471">
        <v>3</v>
      </c>
    </row>
    <row r="40" spans="1:26">
      <c r="A40" s="7">
        <v>-1</v>
      </c>
      <c r="B40" s="8">
        <v>2</v>
      </c>
      <c r="C40" s="8">
        <v>1</v>
      </c>
      <c r="D40" s="7">
        <v>0</v>
      </c>
      <c r="E40" s="66">
        <v>1</v>
      </c>
      <c r="F40" s="367">
        <v>0</v>
      </c>
      <c r="J40" s="7">
        <f t="shared" ref="J40:O40" si="3">A39+A40</f>
        <v>0</v>
      </c>
      <c r="K40" s="8">
        <f t="shared" si="3"/>
        <v>4</v>
      </c>
      <c r="L40" s="8">
        <f t="shared" si="3"/>
        <v>1</v>
      </c>
      <c r="M40" s="7">
        <f t="shared" si="3"/>
        <v>1</v>
      </c>
      <c r="N40" s="66">
        <f t="shared" si="3"/>
        <v>1</v>
      </c>
      <c r="O40" s="367">
        <f t="shared" si="3"/>
        <v>0</v>
      </c>
      <c r="Q40" s="471"/>
      <c r="S40" s="7">
        <f t="shared" ref="S40:X40" si="4">J40/$K40</f>
        <v>0</v>
      </c>
      <c r="T40" s="8">
        <f t="shared" si="4"/>
        <v>1</v>
      </c>
      <c r="U40" s="8">
        <f t="shared" si="4"/>
        <v>0.25</v>
      </c>
      <c r="V40" s="7">
        <f t="shared" si="4"/>
        <v>0.25</v>
      </c>
      <c r="W40" s="66">
        <f t="shared" si="4"/>
        <v>0.25</v>
      </c>
      <c r="X40" s="367">
        <f t="shared" si="4"/>
        <v>0</v>
      </c>
    </row>
    <row r="41" spans="1:26">
      <c r="A41" s="10">
        <v>1</v>
      </c>
      <c r="B41" s="11">
        <v>1</v>
      </c>
      <c r="C41" s="11">
        <v>3</v>
      </c>
      <c r="D41" s="10">
        <v>0</v>
      </c>
      <c r="E41" s="403">
        <v>0</v>
      </c>
      <c r="F41" s="405">
        <v>1</v>
      </c>
      <c r="J41" s="10">
        <f t="shared" ref="J41:O41" si="5">-J39+A41</f>
        <v>0</v>
      </c>
      <c r="K41" s="11">
        <f t="shared" si="5"/>
        <v>-1</v>
      </c>
      <c r="L41" s="11">
        <f t="shared" si="5"/>
        <v>3</v>
      </c>
      <c r="M41" s="10">
        <f t="shared" si="5"/>
        <v>-1</v>
      </c>
      <c r="N41" s="403">
        <f t="shared" si="5"/>
        <v>0</v>
      </c>
      <c r="O41" s="405">
        <f t="shared" si="5"/>
        <v>1</v>
      </c>
      <c r="Q41" s="471"/>
      <c r="S41" s="10">
        <f t="shared" ref="S41:X41" si="6">J41</f>
        <v>0</v>
      </c>
      <c r="T41" s="11">
        <f t="shared" si="6"/>
        <v>-1</v>
      </c>
      <c r="U41" s="11">
        <f t="shared" si="6"/>
        <v>3</v>
      </c>
      <c r="V41" s="10">
        <f t="shared" si="6"/>
        <v>-1</v>
      </c>
      <c r="W41" s="403">
        <f t="shared" si="6"/>
        <v>0</v>
      </c>
      <c r="X41" s="405">
        <f t="shared" si="6"/>
        <v>1</v>
      </c>
    </row>
    <row r="42" spans="1:26">
      <c r="H42" s="471" t="s">
        <v>1161</v>
      </c>
      <c r="M42"/>
      <c r="Q42" s="471" t="s">
        <v>1161</v>
      </c>
      <c r="T42"/>
      <c r="X42" s="471"/>
    </row>
    <row r="43" spans="1:26">
      <c r="A43" s="474">
        <f t="shared" ref="A43:F43" si="7">S39-$T39*S40</f>
        <v>1</v>
      </c>
      <c r="B43" s="478">
        <f t="shared" si="7"/>
        <v>0</v>
      </c>
      <c r="C43" s="478">
        <f t="shared" si="7"/>
        <v>-0.5</v>
      </c>
      <c r="D43" s="474">
        <f t="shared" si="7"/>
        <v>0.5</v>
      </c>
      <c r="E43" s="495">
        <f t="shared" si="7"/>
        <v>-0.5</v>
      </c>
      <c r="F43" s="496">
        <f t="shared" si="7"/>
        <v>0</v>
      </c>
      <c r="H43" s="471">
        <v>2</v>
      </c>
      <c r="J43" s="474">
        <f t="shared" ref="J43:O44" si="8">A43</f>
        <v>1</v>
      </c>
      <c r="K43" s="478">
        <f t="shared" si="8"/>
        <v>0</v>
      </c>
      <c r="L43" s="478">
        <f t="shared" si="8"/>
        <v>-0.5</v>
      </c>
      <c r="M43" s="474">
        <f t="shared" si="8"/>
        <v>0.5</v>
      </c>
      <c r="N43" s="495">
        <f t="shared" si="8"/>
        <v>-0.5</v>
      </c>
      <c r="O43" s="496">
        <f t="shared" si="8"/>
        <v>0</v>
      </c>
      <c r="Q43" s="471">
        <v>3</v>
      </c>
      <c r="S43" s="474">
        <f t="shared" ref="S43:X43" si="9">J43-J45*$L43</f>
        <v>1</v>
      </c>
      <c r="T43" s="478">
        <f t="shared" si="9"/>
        <v>0</v>
      </c>
      <c r="U43" s="478">
        <f t="shared" si="9"/>
        <v>0</v>
      </c>
      <c r="V43" s="474">
        <f t="shared" si="9"/>
        <v>0.38461538461538458</v>
      </c>
      <c r="W43" s="495">
        <f t="shared" si="9"/>
        <v>-0.46153846153846156</v>
      </c>
      <c r="X43" s="496">
        <f t="shared" si="9"/>
        <v>0.15384615384615385</v>
      </c>
    </row>
    <row r="44" spans="1:26">
      <c r="A44" s="7">
        <f t="shared" ref="A44:F44" si="10">S40</f>
        <v>0</v>
      </c>
      <c r="B44" s="8">
        <f t="shared" si="10"/>
        <v>1</v>
      </c>
      <c r="C44" s="8">
        <f t="shared" si="10"/>
        <v>0.25</v>
      </c>
      <c r="D44" s="7">
        <f t="shared" si="10"/>
        <v>0.25</v>
      </c>
      <c r="E44" s="66">
        <f t="shared" si="10"/>
        <v>0.25</v>
      </c>
      <c r="F44" s="367">
        <f t="shared" si="10"/>
        <v>0</v>
      </c>
      <c r="J44" s="7">
        <f t="shared" si="8"/>
        <v>0</v>
      </c>
      <c r="K44" s="8">
        <f t="shared" si="8"/>
        <v>1</v>
      </c>
      <c r="L44" s="8">
        <f t="shared" si="8"/>
        <v>0.25</v>
      </c>
      <c r="M44" s="7">
        <f t="shared" si="8"/>
        <v>0.25</v>
      </c>
      <c r="N44" s="66">
        <f t="shared" si="8"/>
        <v>0.25</v>
      </c>
      <c r="O44" s="367">
        <f t="shared" si="8"/>
        <v>0</v>
      </c>
      <c r="Q44" s="471"/>
      <c r="S44" s="7">
        <f t="shared" ref="S44:X44" si="11">J44-$L44*J45</f>
        <v>0</v>
      </c>
      <c r="T44" s="8">
        <f t="shared" si="11"/>
        <v>1</v>
      </c>
      <c r="U44" s="8">
        <f t="shared" si="11"/>
        <v>0</v>
      </c>
      <c r="V44" s="7">
        <f t="shared" si="11"/>
        <v>0.30769230769230771</v>
      </c>
      <c r="W44" s="66">
        <f t="shared" si="11"/>
        <v>0.23076923076923078</v>
      </c>
      <c r="X44" s="367">
        <f t="shared" si="11"/>
        <v>-7.6923076923076927E-2</v>
      </c>
    </row>
    <row r="45" spans="1:26">
      <c r="A45" s="10">
        <f t="shared" ref="A45:F45" si="12">S40+S41</f>
        <v>0</v>
      </c>
      <c r="B45" s="11">
        <f t="shared" si="12"/>
        <v>0</v>
      </c>
      <c r="C45" s="11">
        <f t="shared" si="12"/>
        <v>3.25</v>
      </c>
      <c r="D45" s="10">
        <f t="shared" si="12"/>
        <v>-0.75</v>
      </c>
      <c r="E45" s="403">
        <f t="shared" si="12"/>
        <v>0.25</v>
      </c>
      <c r="F45" s="405">
        <f t="shared" si="12"/>
        <v>1</v>
      </c>
      <c r="J45" s="10">
        <f t="shared" ref="J45:O45" si="13">A45/$C45</f>
        <v>0</v>
      </c>
      <c r="K45" s="11">
        <f t="shared" si="13"/>
        <v>0</v>
      </c>
      <c r="L45" s="11">
        <f t="shared" si="13"/>
        <v>1</v>
      </c>
      <c r="M45" s="10">
        <f t="shared" si="13"/>
        <v>-0.23076923076923078</v>
      </c>
      <c r="N45" s="403">
        <f t="shared" si="13"/>
        <v>7.6923076923076927E-2</v>
      </c>
      <c r="O45" s="405">
        <f t="shared" si="13"/>
        <v>0.30769230769230771</v>
      </c>
      <c r="Q45" s="471"/>
      <c r="S45" s="10">
        <f t="shared" ref="S45:X45" si="14">J45</f>
        <v>0</v>
      </c>
      <c r="T45" s="11">
        <f t="shared" si="14"/>
        <v>0</v>
      </c>
      <c r="U45" s="11">
        <f t="shared" si="14"/>
        <v>1</v>
      </c>
      <c r="V45" s="10">
        <f t="shared" si="14"/>
        <v>-0.23076923076923078</v>
      </c>
      <c r="W45" s="403">
        <f t="shared" si="14"/>
        <v>7.6923076923076927E-2</v>
      </c>
      <c r="X45" s="405">
        <f t="shared" si="14"/>
        <v>0.30769230769230771</v>
      </c>
    </row>
  </sheetData>
  <pageMargins left="0.7" right="0.7" top="0.75" bottom="0.75" header="0.3" footer="0.3"/>
  <ignoredErrors>
    <ignoredError sqref="A22:D22 S40:X40 O7 P7:R7" formula="1"/>
  </ignoredErrors>
</worksheet>
</file>

<file path=xl/worksheets/sheet322.xml><?xml version="1.0" encoding="utf-8"?>
<worksheet xmlns="http://schemas.openxmlformats.org/spreadsheetml/2006/main" xmlns:r="http://schemas.openxmlformats.org/officeDocument/2006/relationships">
  <sheetPr codeName="Sheet204"/>
  <dimension ref="A1:Q87"/>
  <sheetViews>
    <sheetView workbookViewId="0"/>
  </sheetViews>
  <sheetFormatPr defaultRowHeight="14.4"/>
  <cols>
    <col min="1" max="10" width="4.88671875" customWidth="1"/>
    <col min="11" max="11" width="8.44140625" customWidth="1"/>
    <col min="12" max="12" width="7.33203125" customWidth="1"/>
    <col min="13" max="13" width="7.33203125" style="693" customWidth="1"/>
    <col min="14" max="14" width="4.88671875" customWidth="1"/>
    <col min="15" max="17" width="7.33203125" customWidth="1"/>
  </cols>
  <sheetData>
    <row r="1" spans="1:13">
      <c r="A1" s="1" t="s">
        <v>1239</v>
      </c>
    </row>
    <row r="2" spans="1:13">
      <c r="A2" s="1"/>
      <c r="M2" s="953"/>
    </row>
    <row r="3" spans="1:13">
      <c r="A3" t="s">
        <v>2556</v>
      </c>
      <c r="M3" s="953"/>
    </row>
    <row r="5" spans="1:13">
      <c r="A5" s="474">
        <v>1</v>
      </c>
      <c r="B5" s="478">
        <v>2</v>
      </c>
      <c r="C5" s="478">
        <v>0</v>
      </c>
      <c r="D5" s="479">
        <v>4</v>
      </c>
      <c r="F5" s="553" t="e">
        <f t="array" aca="1" ref="F5:I7" ca="1">[1]!ELIM(A5:D7)</f>
        <v>#NAME?</v>
      </c>
      <c r="G5" s="666" t="e">
        <f ca="1"/>
        <v>#NAME?</v>
      </c>
      <c r="H5" s="666" t="e">
        <f ca="1"/>
        <v>#NAME?</v>
      </c>
      <c r="I5" s="542" t="e">
        <f ca="1"/>
        <v>#NAME?</v>
      </c>
      <c r="K5" s="542" t="e">
        <f t="array" aca="1" ref="K5:K7" ca="1">[1]!LINEQU(A5:D7)</f>
        <v>#NAME?</v>
      </c>
      <c r="M5" s="812" t="e">
        <f ca="1">[1]!mrank(A5:D7)</f>
        <v>#NAME?</v>
      </c>
    </row>
    <row r="6" spans="1:13">
      <c r="A6" s="7">
        <v>-1</v>
      </c>
      <c r="B6" s="8">
        <v>2</v>
      </c>
      <c r="C6" s="8">
        <v>1</v>
      </c>
      <c r="D6" s="376">
        <v>3</v>
      </c>
      <c r="F6" s="656" t="e">
        <f ca="1"/>
        <v>#NAME?</v>
      </c>
      <c r="G6" s="8" t="e">
        <f ca="1"/>
        <v>#NAME?</v>
      </c>
      <c r="H6" s="8" t="e">
        <f ca="1"/>
        <v>#NAME?</v>
      </c>
      <c r="I6" s="627" t="e">
        <f ca="1"/>
        <v>#NAME?</v>
      </c>
      <c r="K6" s="627" t="e">
        <f ca="1"/>
        <v>#NAME?</v>
      </c>
      <c r="M6" s="812" t="e">
        <f ca="1">[1]!mrank(A5:C7)</f>
        <v>#NAME?</v>
      </c>
    </row>
    <row r="7" spans="1:13">
      <c r="A7" s="10">
        <v>1</v>
      </c>
      <c r="B7" s="11">
        <v>1</v>
      </c>
      <c r="C7" s="11">
        <v>3</v>
      </c>
      <c r="D7" s="268">
        <v>-1</v>
      </c>
      <c r="F7" s="533" t="e">
        <f ca="1"/>
        <v>#NAME?</v>
      </c>
      <c r="G7" s="534" t="e">
        <f ca="1"/>
        <v>#NAME?</v>
      </c>
      <c r="H7" s="534" t="e">
        <f ca="1"/>
        <v>#NAME?</v>
      </c>
      <c r="I7" s="544" t="e">
        <f ca="1"/>
        <v>#NAME?</v>
      </c>
      <c r="K7" s="544" t="e">
        <f ca="1"/>
        <v>#NAME?</v>
      </c>
    </row>
    <row r="8" spans="1:13">
      <c r="A8" s="8"/>
      <c r="B8" s="8"/>
      <c r="C8" s="8"/>
      <c r="D8" s="8"/>
      <c r="F8" s="8"/>
      <c r="G8" s="8"/>
      <c r="H8" s="8"/>
      <c r="I8" s="8"/>
      <c r="K8" s="8"/>
      <c r="M8" s="953"/>
    </row>
    <row r="9" spans="1:13">
      <c r="A9" t="s">
        <v>2559</v>
      </c>
      <c r="B9" s="8"/>
      <c r="C9" s="8"/>
      <c r="D9" s="8"/>
      <c r="F9" s="8"/>
      <c r="G9" s="8"/>
      <c r="H9" s="8"/>
      <c r="I9" s="8"/>
      <c r="K9" s="8"/>
      <c r="M9" s="953"/>
    </row>
    <row r="10" spans="1:13">
      <c r="B10" s="8"/>
      <c r="C10" s="8"/>
      <c r="D10" s="8"/>
      <c r="F10" s="8"/>
      <c r="G10" s="8"/>
      <c r="H10" s="8"/>
      <c r="I10" s="8"/>
      <c r="K10" s="8"/>
      <c r="M10" s="953"/>
    </row>
    <row r="11" spans="1:13">
      <c r="A11" s="1554" t="s">
        <v>526</v>
      </c>
      <c r="B11" s="1554"/>
      <c r="C11" s="1554"/>
      <c r="D11" s="954" t="s">
        <v>385</v>
      </c>
      <c r="F11" s="1554" t="s">
        <v>2562</v>
      </c>
      <c r="G11" s="1554"/>
      <c r="H11" s="1554"/>
      <c r="I11" s="1554"/>
      <c r="K11" s="954" t="s">
        <v>2561</v>
      </c>
      <c r="M11" s="934" t="s">
        <v>2569</v>
      </c>
    </row>
    <row r="12" spans="1:13">
      <c r="A12" s="474">
        <v>1</v>
      </c>
      <c r="B12" s="478">
        <v>1</v>
      </c>
      <c r="C12" s="478">
        <v>0</v>
      </c>
      <c r="D12" s="479">
        <v>4</v>
      </c>
      <c r="F12" s="553" t="e">
        <f t="array" aca="1" ref="F12:I14" ca="1">[1]!ELIM(A12:D14)</f>
        <v>#NAME?</v>
      </c>
      <c r="G12" s="666" t="e">
        <f ca="1"/>
        <v>#NAME?</v>
      </c>
      <c r="H12" s="666" t="e">
        <f ca="1"/>
        <v>#NAME?</v>
      </c>
      <c r="I12" s="542" t="e">
        <f ca="1"/>
        <v>#NAME?</v>
      </c>
      <c r="K12" s="542" t="e">
        <f t="array" aca="1" ref="K12:K14" ca="1">[1]!LINEQU(A12:D14)</f>
        <v>#NAME?</v>
      </c>
      <c r="M12" s="812" t="e">
        <f ca="1">[1]!mrank(A12:D14)</f>
        <v>#NAME?</v>
      </c>
    </row>
    <row r="13" spans="1:13">
      <c r="A13" s="7">
        <v>-1</v>
      </c>
      <c r="B13" s="8">
        <v>2</v>
      </c>
      <c r="C13" s="8">
        <v>1</v>
      </c>
      <c r="D13" s="376">
        <v>3</v>
      </c>
      <c r="F13" s="656" t="e">
        <f ca="1"/>
        <v>#NAME?</v>
      </c>
      <c r="G13" s="8" t="e">
        <f ca="1"/>
        <v>#NAME?</v>
      </c>
      <c r="H13" s="8" t="e">
        <f ca="1"/>
        <v>#NAME?</v>
      </c>
      <c r="I13" s="627" t="e">
        <f ca="1"/>
        <v>#NAME?</v>
      </c>
      <c r="K13" s="627" t="e">
        <f ca="1"/>
        <v>#NAME?</v>
      </c>
      <c r="M13" s="812" t="e">
        <f ca="1">[1]!mrank(A12:C14)</f>
        <v>#NAME?</v>
      </c>
    </row>
    <row r="14" spans="1:13">
      <c r="A14" s="10">
        <v>2</v>
      </c>
      <c r="B14" s="11">
        <v>2</v>
      </c>
      <c r="C14" s="11">
        <v>0</v>
      </c>
      <c r="D14" s="268">
        <v>6</v>
      </c>
      <c r="F14" s="533" t="e">
        <f ca="1"/>
        <v>#NAME?</v>
      </c>
      <c r="G14" s="534" t="e">
        <f ca="1"/>
        <v>#NAME?</v>
      </c>
      <c r="H14" s="534" t="e">
        <f ca="1"/>
        <v>#NAME?</v>
      </c>
      <c r="I14" s="544" t="e">
        <f ca="1"/>
        <v>#NAME?</v>
      </c>
      <c r="K14" s="544" t="e">
        <f ca="1"/>
        <v>#NAME?</v>
      </c>
      <c r="M14" s="934"/>
    </row>
    <row r="15" spans="1:13">
      <c r="A15" s="8"/>
      <c r="B15" s="8"/>
      <c r="C15" s="8"/>
      <c r="D15" s="8"/>
      <c r="F15" s="8"/>
      <c r="G15" s="8"/>
      <c r="H15" s="8"/>
      <c r="I15" s="8"/>
      <c r="K15" s="8"/>
      <c r="M15" s="953"/>
    </row>
    <row r="16" spans="1:13">
      <c r="A16" t="s">
        <v>2563</v>
      </c>
      <c r="B16" s="8"/>
      <c r="C16" s="8"/>
      <c r="D16" s="8"/>
      <c r="F16" s="8"/>
      <c r="G16" s="8"/>
      <c r="H16" s="8"/>
      <c r="I16" s="8"/>
      <c r="K16" s="8"/>
      <c r="M16" s="953"/>
    </row>
    <row r="17" spans="1:15">
      <c r="A17" s="8"/>
      <c r="B17" s="8"/>
      <c r="C17" s="8"/>
      <c r="D17" s="8"/>
      <c r="F17" s="8"/>
      <c r="G17" s="8"/>
      <c r="H17" s="8"/>
      <c r="I17" s="8"/>
      <c r="K17" s="8"/>
      <c r="M17" s="953"/>
    </row>
    <row r="18" spans="1:15">
      <c r="A18" s="474">
        <v>1</v>
      </c>
      <c r="B18" s="478">
        <v>1</v>
      </c>
      <c r="C18" s="478">
        <v>0</v>
      </c>
      <c r="D18" s="479">
        <v>4</v>
      </c>
      <c r="F18" s="553" t="e">
        <f t="array" aca="1" ref="F18:I20" ca="1">[1]!ELIM(A18:D20)</f>
        <v>#NAME?</v>
      </c>
      <c r="G18" s="666" t="e">
        <f ca="1"/>
        <v>#NAME?</v>
      </c>
      <c r="H18" s="666" t="e">
        <f ca="1"/>
        <v>#NAME?</v>
      </c>
      <c r="I18" s="542" t="e">
        <f ca="1"/>
        <v>#NAME?</v>
      </c>
      <c r="K18" s="542" t="e">
        <f t="array" aca="1" ref="K18:K20" ca="1">[1]!LINEQU(A18:D20)</f>
        <v>#NAME?</v>
      </c>
      <c r="M18" s="812" t="e">
        <f ca="1">[1]!mrank(A18:D20)</f>
        <v>#NAME?</v>
      </c>
    </row>
    <row r="19" spans="1:15">
      <c r="A19" s="7">
        <v>-1</v>
      </c>
      <c r="B19" s="8">
        <v>2</v>
      </c>
      <c r="C19" s="8">
        <v>1</v>
      </c>
      <c r="D19" s="376">
        <v>3</v>
      </c>
      <c r="F19" s="656" t="e">
        <f ca="1"/>
        <v>#NAME?</v>
      </c>
      <c r="G19" s="8" t="e">
        <f ca="1"/>
        <v>#NAME?</v>
      </c>
      <c r="H19" s="8" t="e">
        <f ca="1"/>
        <v>#NAME?</v>
      </c>
      <c r="I19" s="627" t="e">
        <f ca="1"/>
        <v>#NAME?</v>
      </c>
      <c r="K19" s="627" t="e">
        <f ca="1"/>
        <v>#NAME?</v>
      </c>
      <c r="M19" s="812" t="e">
        <f ca="1">[1]!mrank(A18:C20)</f>
        <v>#NAME?</v>
      </c>
    </row>
    <row r="20" spans="1:15">
      <c r="A20" s="10">
        <v>2</v>
      </c>
      <c r="B20" s="11">
        <v>-1</v>
      </c>
      <c r="C20" s="11">
        <v>-1</v>
      </c>
      <c r="D20" s="268">
        <v>1</v>
      </c>
      <c r="F20" s="533" t="e">
        <f ca="1"/>
        <v>#NAME?</v>
      </c>
      <c r="G20" s="534" t="e">
        <f ca="1"/>
        <v>#NAME?</v>
      </c>
      <c r="H20" s="534" t="e">
        <f ca="1"/>
        <v>#NAME?</v>
      </c>
      <c r="I20" s="544" t="e">
        <f ca="1"/>
        <v>#NAME?</v>
      </c>
      <c r="K20" s="544" t="e">
        <f ca="1"/>
        <v>#NAME?</v>
      </c>
      <c r="M20" s="953"/>
    </row>
    <row r="21" spans="1:15">
      <c r="A21" s="8"/>
      <c r="B21" s="8"/>
      <c r="C21" s="8"/>
      <c r="D21" s="8"/>
      <c r="F21" s="8"/>
      <c r="G21" s="8"/>
      <c r="H21" s="8"/>
      <c r="I21" s="8"/>
      <c r="K21" s="8"/>
      <c r="M21" s="953"/>
    </row>
    <row r="22" spans="1:15">
      <c r="A22" t="s">
        <v>2560</v>
      </c>
      <c r="B22" s="8"/>
      <c r="C22" s="8"/>
      <c r="D22" s="8"/>
      <c r="F22" s="8"/>
      <c r="G22" s="8"/>
      <c r="H22" s="8"/>
      <c r="I22" s="8"/>
      <c r="K22" s="8"/>
      <c r="M22" s="953"/>
    </row>
    <row r="23" spans="1:15">
      <c r="B23" s="8"/>
      <c r="C23" s="8"/>
      <c r="D23" s="8"/>
      <c r="F23" s="8"/>
      <c r="G23" s="8"/>
      <c r="H23" s="8"/>
      <c r="I23" s="8"/>
      <c r="K23" s="8"/>
      <c r="M23" s="953"/>
    </row>
    <row r="24" spans="1:15">
      <c r="A24" s="1554" t="s">
        <v>526</v>
      </c>
      <c r="B24" s="1554"/>
      <c r="C24" s="1554"/>
      <c r="D24" s="954" t="s">
        <v>385</v>
      </c>
      <c r="F24" s="1554" t="s">
        <v>2562</v>
      </c>
      <c r="G24" s="1554"/>
      <c r="H24" s="1554"/>
      <c r="I24" s="1554"/>
      <c r="K24" s="954" t="s">
        <v>2561</v>
      </c>
      <c r="M24" s="953"/>
    </row>
    <row r="25" spans="1:15">
      <c r="A25" s="474">
        <v>1</v>
      </c>
      <c r="B25" s="478">
        <v>2</v>
      </c>
      <c r="C25" s="478">
        <v>0</v>
      </c>
      <c r="D25" s="479">
        <v>4</v>
      </c>
      <c r="F25" s="553" t="e">
        <f t="array" aca="1" ref="F25:I28" ca="1">[1]!ELIM(A25:D28)</f>
        <v>#NAME?</v>
      </c>
      <c r="G25" s="666" t="e">
        <f ca="1"/>
        <v>#NAME?</v>
      </c>
      <c r="H25" s="666" t="e">
        <f ca="1"/>
        <v>#NAME?</v>
      </c>
      <c r="I25" s="542" t="e">
        <f ca="1"/>
        <v>#NAME?</v>
      </c>
      <c r="K25" s="929" t="e">
        <f t="array" aca="1" ref="K25:K27" ca="1">[1]!LINEQU(A25:D28)</f>
        <v>#NAME?</v>
      </c>
      <c r="M25" s="812" t="e">
        <f ca="1">[1]!mrank(A25:D28)</f>
        <v>#NAME?</v>
      </c>
    </row>
    <row r="26" spans="1:15">
      <c r="A26" s="7">
        <v>-1</v>
      </c>
      <c r="B26" s="8">
        <v>2</v>
      </c>
      <c r="C26" s="8">
        <v>1</v>
      </c>
      <c r="D26" s="376">
        <v>3</v>
      </c>
      <c r="F26" s="7" t="e">
        <f ca="1"/>
        <v>#NAME?</v>
      </c>
      <c r="G26" s="8" t="e">
        <f ca="1"/>
        <v>#NAME?</v>
      </c>
      <c r="H26" s="8" t="e">
        <f ca="1"/>
        <v>#NAME?</v>
      </c>
      <c r="I26" s="376" t="e">
        <f ca="1"/>
        <v>#NAME?</v>
      </c>
      <c r="K26" s="627" t="e">
        <f ca="1"/>
        <v>#NAME?</v>
      </c>
      <c r="M26" s="812" t="e">
        <f ca="1">[1]!mrank(A25:C27)</f>
        <v>#NAME?</v>
      </c>
    </row>
    <row r="27" spans="1:15">
      <c r="A27" s="7">
        <v>0</v>
      </c>
      <c r="B27" s="8">
        <v>1</v>
      </c>
      <c r="C27" s="8">
        <v>-3</v>
      </c>
      <c r="D27" s="376">
        <v>5</v>
      </c>
      <c r="F27" s="656" t="e">
        <f ca="1"/>
        <v>#NAME?</v>
      </c>
      <c r="G27" s="8" t="e">
        <f ca="1"/>
        <v>#NAME?</v>
      </c>
      <c r="H27" s="8" t="e">
        <f ca="1"/>
        <v>#NAME?</v>
      </c>
      <c r="I27" s="627" t="e">
        <f ca="1"/>
        <v>#NAME?</v>
      </c>
      <c r="K27" s="544" t="e">
        <f ca="1"/>
        <v>#NAME?</v>
      </c>
      <c r="M27" s="953"/>
    </row>
    <row r="28" spans="1:15" s="289" customFormat="1">
      <c r="A28" s="10">
        <v>1</v>
      </c>
      <c r="B28" s="11">
        <v>1</v>
      </c>
      <c r="C28" s="11">
        <v>3</v>
      </c>
      <c r="D28" s="268">
        <v>-1</v>
      </c>
      <c r="E28"/>
      <c r="F28" s="533" t="e">
        <f ca="1"/>
        <v>#NAME?</v>
      </c>
      <c r="G28" s="534" t="e">
        <f ca="1"/>
        <v>#NAME?</v>
      </c>
      <c r="H28" s="534" t="e">
        <f ca="1"/>
        <v>#NAME?</v>
      </c>
      <c r="I28" s="544" t="e">
        <f ca="1"/>
        <v>#NAME?</v>
      </c>
      <c r="J28"/>
      <c r="K28"/>
      <c r="M28" s="348"/>
      <c r="O28"/>
    </row>
    <row r="29" spans="1:15" s="289" customFormat="1">
      <c r="A29" s="8"/>
      <c r="B29" s="8"/>
      <c r="C29" s="8"/>
      <c r="D29" s="8"/>
      <c r="E29"/>
      <c r="F29" s="8"/>
      <c r="G29" s="8"/>
      <c r="H29" s="8"/>
      <c r="I29" s="8"/>
      <c r="J29"/>
      <c r="K29" s="8"/>
      <c r="M29" s="348"/>
      <c r="O29"/>
    </row>
    <row r="30" spans="1:15" s="289" customFormat="1">
      <c r="A30" t="s">
        <v>2571</v>
      </c>
      <c r="B30" s="8"/>
      <c r="C30" s="8"/>
      <c r="D30" s="8"/>
      <c r="E30"/>
      <c r="F30" s="8"/>
      <c r="G30" s="8"/>
      <c r="H30" s="8"/>
      <c r="I30" s="8"/>
      <c r="J30"/>
      <c r="K30" s="8"/>
      <c r="L30"/>
      <c r="M30" s="955"/>
      <c r="N30"/>
      <c r="O30"/>
    </row>
    <row r="31" spans="1:15" s="289" customFormat="1">
      <c r="A31"/>
      <c r="B31" s="8"/>
      <c r="C31" s="8"/>
      <c r="D31" s="8"/>
      <c r="E31"/>
      <c r="F31" s="8"/>
      <c r="G31" s="8"/>
      <c r="H31" s="8"/>
      <c r="I31" s="8"/>
      <c r="J31"/>
      <c r="K31" s="8"/>
      <c r="L31"/>
      <c r="M31" s="955"/>
      <c r="N31"/>
      <c r="O31"/>
    </row>
    <row r="32" spans="1:15">
      <c r="A32" s="1554" t="s">
        <v>526</v>
      </c>
      <c r="B32" s="1554"/>
      <c r="C32" s="1554"/>
      <c r="D32" s="956" t="s">
        <v>385</v>
      </c>
      <c r="F32" s="1554" t="s">
        <v>2562</v>
      </c>
      <c r="G32" s="1554"/>
      <c r="H32" s="1554"/>
      <c r="I32" s="1554"/>
      <c r="K32" s="956" t="s">
        <v>2561</v>
      </c>
      <c r="M32" s="955" t="s">
        <v>2569</v>
      </c>
    </row>
    <row r="33" spans="1:15" s="289" customFormat="1">
      <c r="A33" s="926">
        <v>1</v>
      </c>
      <c r="B33" s="5">
        <v>0</v>
      </c>
      <c r="C33" s="5">
        <v>3</v>
      </c>
      <c r="D33" s="929">
        <v>4</v>
      </c>
      <c r="E33"/>
      <c r="F33" s="553" t="e">
        <f t="array" aca="1" ref="F33:I35" ca="1">[1]!ELIM(A33:D35)</f>
        <v>#NAME?</v>
      </c>
      <c r="G33" s="666" t="e">
        <f ca="1"/>
        <v>#NAME?</v>
      </c>
      <c r="H33" s="666" t="e">
        <f ca="1"/>
        <v>#NAME?</v>
      </c>
      <c r="I33" s="542" t="e">
        <f ca="1"/>
        <v>#NAME?</v>
      </c>
      <c r="J33"/>
      <c r="K33" s="542" t="e">
        <f t="array" aca="1" ref="K33:K35" ca="1">[1]!LINEQU(A33:D35)</f>
        <v>#NAME?</v>
      </c>
      <c r="L33"/>
      <c r="M33" s="812" t="e">
        <f ca="1">[1]!mrank(A33:D35)</f>
        <v>#NAME?</v>
      </c>
      <c r="N33"/>
      <c r="O33"/>
    </row>
    <row r="34" spans="1:15" s="289" customFormat="1">
      <c r="A34" s="656">
        <v>2</v>
      </c>
      <c r="B34" s="8">
        <v>0</v>
      </c>
      <c r="C34" s="8">
        <v>5</v>
      </c>
      <c r="D34" s="627">
        <v>5</v>
      </c>
      <c r="E34"/>
      <c r="F34" s="656" t="e">
        <f ca="1"/>
        <v>#NAME?</v>
      </c>
      <c r="G34" s="8" t="e">
        <f ca="1"/>
        <v>#NAME?</v>
      </c>
      <c r="H34" s="8" t="e">
        <f ca="1"/>
        <v>#NAME?</v>
      </c>
      <c r="I34" s="627" t="e">
        <f ca="1"/>
        <v>#NAME?</v>
      </c>
      <c r="J34"/>
      <c r="K34" s="627" t="e">
        <f ca="1"/>
        <v>#NAME?</v>
      </c>
      <c r="L34"/>
      <c r="M34" s="812" t="e">
        <f ca="1">[1]!mrank(A33:C35)</f>
        <v>#NAME?</v>
      </c>
      <c r="N34"/>
      <c r="O34"/>
    </row>
    <row r="35" spans="1:15" s="289" customFormat="1">
      <c r="A35" s="533">
        <v>3</v>
      </c>
      <c r="B35" s="534">
        <v>0</v>
      </c>
      <c r="C35" s="534">
        <v>8</v>
      </c>
      <c r="D35" s="544">
        <v>9</v>
      </c>
      <c r="E35"/>
      <c r="F35" s="533" t="e">
        <f ca="1"/>
        <v>#NAME?</v>
      </c>
      <c r="G35" s="534" t="e">
        <f ca="1"/>
        <v>#NAME?</v>
      </c>
      <c r="H35" s="534" t="e">
        <f ca="1"/>
        <v>#NAME?</v>
      </c>
      <c r="I35" s="544" t="e">
        <f ca="1"/>
        <v>#NAME?</v>
      </c>
      <c r="J35"/>
      <c r="K35" s="544" t="e">
        <f ca="1"/>
        <v>#NAME?</v>
      </c>
      <c r="L35"/>
      <c r="M35" s="955"/>
      <c r="N35"/>
      <c r="O35"/>
    </row>
    <row r="36" spans="1:15" s="289" customFormat="1">
      <c r="A36" s="8"/>
      <c r="B36" s="8"/>
      <c r="C36" s="8"/>
      <c r="D36" s="8"/>
      <c r="E36"/>
      <c r="F36" s="8"/>
      <c r="G36" s="8"/>
      <c r="H36" s="8"/>
      <c r="I36" s="8"/>
      <c r="J36"/>
      <c r="K36"/>
      <c r="M36" s="348"/>
    </row>
    <row r="37" spans="1:15" s="289" customFormat="1">
      <c r="A37" t="s">
        <v>2564</v>
      </c>
      <c r="B37" s="8"/>
      <c r="C37" s="8"/>
      <c r="D37" s="8"/>
      <c r="E37"/>
      <c r="F37" s="8"/>
      <c r="G37" s="8"/>
      <c r="H37" s="8"/>
      <c r="I37" s="8"/>
      <c r="J37"/>
      <c r="K37" s="8"/>
      <c r="M37" s="348"/>
    </row>
    <row r="38" spans="1:15" s="289" customFormat="1">
      <c r="A38" s="8"/>
      <c r="B38" s="8"/>
      <c r="C38" s="8"/>
      <c r="D38" s="8"/>
      <c r="E38"/>
      <c r="F38" s="8"/>
      <c r="G38" s="8"/>
      <c r="H38" s="8"/>
      <c r="I38" s="8"/>
      <c r="J38"/>
      <c r="K38" s="8"/>
      <c r="M38" s="348"/>
    </row>
    <row r="39" spans="1:15" s="289" customFormat="1">
      <c r="A39" s="474">
        <v>1</v>
      </c>
      <c r="B39" s="478">
        <v>2</v>
      </c>
      <c r="C39" s="478">
        <v>0</v>
      </c>
      <c r="D39" s="479">
        <v>4</v>
      </c>
      <c r="E39"/>
      <c r="F39" s="553" t="e">
        <f t="array" aca="1" ref="F39:I42" ca="1">[1]!ELIM(A39:D42)</f>
        <v>#NAME?</v>
      </c>
      <c r="G39" s="666" t="e">
        <f ca="1"/>
        <v>#NAME?</v>
      </c>
      <c r="H39" s="666" t="e">
        <f ca="1"/>
        <v>#NAME?</v>
      </c>
      <c r="I39" s="542" t="e">
        <f ca="1"/>
        <v>#NAME?</v>
      </c>
      <c r="J39"/>
      <c r="K39" s="929" t="e">
        <f t="array" aca="1" ref="K39:K41" ca="1">[1]!LINEQU(A39:D42)</f>
        <v>#NAME?</v>
      </c>
      <c r="M39" s="812" t="e">
        <f ca="1">[1]!mrank(A39:D42)</f>
        <v>#NAME?</v>
      </c>
      <c r="N39"/>
    </row>
    <row r="40" spans="1:15" s="289" customFormat="1">
      <c r="A40" s="7">
        <v>-1</v>
      </c>
      <c r="B40" s="8">
        <v>2</v>
      </c>
      <c r="C40" s="8">
        <v>1</v>
      </c>
      <c r="D40" s="376">
        <v>3</v>
      </c>
      <c r="E40"/>
      <c r="F40" s="7" t="e">
        <f ca="1"/>
        <v>#NAME?</v>
      </c>
      <c r="G40" s="8" t="e">
        <f ca="1"/>
        <v>#NAME?</v>
      </c>
      <c r="H40" s="8" t="e">
        <f ca="1"/>
        <v>#NAME?</v>
      </c>
      <c r="I40" s="376" t="e">
        <f ca="1"/>
        <v>#NAME?</v>
      </c>
      <c r="J40"/>
      <c r="K40" s="627" t="e">
        <f ca="1"/>
        <v>#NAME?</v>
      </c>
      <c r="M40" s="812" t="e">
        <f ca="1">[1]!mrank(A39:C41)</f>
        <v>#NAME?</v>
      </c>
      <c r="N40"/>
    </row>
    <row r="41" spans="1:15" s="289" customFormat="1">
      <c r="A41" s="7">
        <v>0</v>
      </c>
      <c r="B41" s="8">
        <v>1</v>
      </c>
      <c r="C41" s="8">
        <v>-3</v>
      </c>
      <c r="D41" s="376">
        <v>2</v>
      </c>
      <c r="E41"/>
      <c r="F41" s="656" t="e">
        <f ca="1"/>
        <v>#NAME?</v>
      </c>
      <c r="G41" s="8" t="e">
        <f ca="1"/>
        <v>#NAME?</v>
      </c>
      <c r="H41" s="8" t="e">
        <f ca="1"/>
        <v>#NAME?</v>
      </c>
      <c r="I41" s="627" t="e">
        <f ca="1"/>
        <v>#NAME?</v>
      </c>
      <c r="J41"/>
      <c r="K41" s="544" t="e">
        <f ca="1"/>
        <v>#NAME?</v>
      </c>
      <c r="M41" s="348"/>
    </row>
    <row r="42" spans="1:15">
      <c r="A42" s="10">
        <v>2</v>
      </c>
      <c r="B42" s="11">
        <v>2</v>
      </c>
      <c r="C42" s="11">
        <v>0</v>
      </c>
      <c r="D42" s="268">
        <v>6</v>
      </c>
      <c r="F42" s="533" t="e">
        <f ca="1"/>
        <v>#NAME?</v>
      </c>
      <c r="G42" s="534" t="e">
        <f ca="1"/>
        <v>#NAME?</v>
      </c>
      <c r="H42" s="534" t="e">
        <f ca="1"/>
        <v>#NAME?</v>
      </c>
      <c r="I42" s="544" t="e">
        <f ca="1"/>
        <v>#NAME?</v>
      </c>
      <c r="K42" s="8"/>
      <c r="M42" s="953"/>
    </row>
    <row r="43" spans="1:15">
      <c r="A43" s="8"/>
      <c r="B43" s="8"/>
      <c r="C43" s="8"/>
      <c r="D43" s="8"/>
      <c r="F43" s="8"/>
      <c r="G43" s="8"/>
      <c r="H43" s="8"/>
      <c r="I43" s="8"/>
      <c r="K43" s="8"/>
      <c r="M43" s="953"/>
    </row>
    <row r="44" spans="1:15">
      <c r="A44" s="8" t="s">
        <v>2557</v>
      </c>
      <c r="B44" s="8"/>
      <c r="C44" s="8"/>
      <c r="D44" s="8"/>
      <c r="F44" s="8"/>
      <c r="G44" s="8"/>
      <c r="H44" s="8"/>
      <c r="I44" s="8"/>
      <c r="K44" s="8"/>
      <c r="M44" s="953"/>
    </row>
    <row r="46" spans="1:15">
      <c r="A46" s="474">
        <v>1</v>
      </c>
      <c r="B46" s="478">
        <v>2</v>
      </c>
      <c r="C46" s="478">
        <v>4</v>
      </c>
      <c r="D46" s="479">
        <v>0</v>
      </c>
      <c r="F46" s="553" t="e">
        <f t="array" aca="1" ref="F46:I48" ca="1">[1]!ELIM(A46:D48)</f>
        <v>#NAME?</v>
      </c>
      <c r="G46" s="666" t="e">
        <f ca="1"/>
        <v>#NAME?</v>
      </c>
      <c r="H46" s="666" t="e">
        <f ca="1"/>
        <v>#NAME?</v>
      </c>
      <c r="I46" s="542" t="e">
        <f ca="1"/>
        <v>#NAME?</v>
      </c>
      <c r="K46" s="542" t="e">
        <f t="array" aca="1" ref="K46:K48" ca="1">[1]!LINEQU(A46:D48)</f>
        <v>#NAME?</v>
      </c>
      <c r="M46" s="812" t="e">
        <f ca="1">[1]!mrank(A46:D48)</f>
        <v>#NAME?</v>
      </c>
    </row>
    <row r="47" spans="1:15">
      <c r="A47" s="7">
        <v>-1</v>
      </c>
      <c r="B47" s="8">
        <v>-2</v>
      </c>
      <c r="C47" s="8">
        <v>1</v>
      </c>
      <c r="D47" s="376">
        <v>0</v>
      </c>
      <c r="F47" s="656" t="e">
        <f ca="1"/>
        <v>#NAME?</v>
      </c>
      <c r="G47" s="8" t="e">
        <f ca="1"/>
        <v>#NAME?</v>
      </c>
      <c r="H47" s="8" t="e">
        <f ca="1"/>
        <v>#NAME?</v>
      </c>
      <c r="I47" s="627" t="e">
        <f ca="1"/>
        <v>#NAME?</v>
      </c>
      <c r="K47" s="627" t="e">
        <f ca="1"/>
        <v>#NAME?</v>
      </c>
      <c r="M47" s="812" t="e">
        <f ca="1">[1]!mrank(A46:C48)</f>
        <v>#NAME?</v>
      </c>
    </row>
    <row r="48" spans="1:15">
      <c r="A48" s="10">
        <v>1</v>
      </c>
      <c r="B48" s="11">
        <v>1</v>
      </c>
      <c r="C48" s="11">
        <v>2</v>
      </c>
      <c r="D48" s="268">
        <v>0</v>
      </c>
      <c r="F48" s="533" t="e">
        <f ca="1"/>
        <v>#NAME?</v>
      </c>
      <c r="G48" s="534" t="e">
        <f ca="1"/>
        <v>#NAME?</v>
      </c>
      <c r="H48" s="534" t="e">
        <f ca="1"/>
        <v>#NAME?</v>
      </c>
      <c r="I48" s="544" t="e">
        <f ca="1"/>
        <v>#NAME?</v>
      </c>
      <c r="K48" s="544" t="e">
        <f ca="1"/>
        <v>#NAME?</v>
      </c>
    </row>
    <row r="49" spans="1:17">
      <c r="A49" s="8"/>
      <c r="B49" s="8"/>
      <c r="C49" s="8"/>
      <c r="D49" s="8"/>
      <c r="F49" s="8"/>
      <c r="G49" s="8"/>
      <c r="H49" s="8"/>
      <c r="I49" s="8"/>
      <c r="K49" s="8"/>
      <c r="M49" s="953"/>
    </row>
    <row r="50" spans="1:17">
      <c r="A50" s="8" t="s">
        <v>2558</v>
      </c>
      <c r="B50" s="8"/>
      <c r="C50" s="8"/>
      <c r="D50" s="8"/>
      <c r="F50" s="8"/>
      <c r="G50" s="8"/>
      <c r="H50" s="8"/>
      <c r="I50" s="8"/>
      <c r="K50" s="8"/>
      <c r="M50" s="953"/>
    </row>
    <row r="52" spans="1:17">
      <c r="A52" s="474">
        <v>1</v>
      </c>
      <c r="B52" s="478">
        <v>1</v>
      </c>
      <c r="C52" s="478">
        <v>2</v>
      </c>
      <c r="D52" s="479">
        <v>0</v>
      </c>
      <c r="F52" s="553" t="e">
        <f t="array" aca="1" ref="F52:I54" ca="1">[1]!ELIM(A52:D54)</f>
        <v>#NAME?</v>
      </c>
      <c r="G52" s="666" t="e">
        <f ca="1"/>
        <v>#NAME?</v>
      </c>
      <c r="H52" s="666" t="e">
        <f ca="1"/>
        <v>#NAME?</v>
      </c>
      <c r="I52" s="542" t="e">
        <f ca="1"/>
        <v>#NAME?</v>
      </c>
      <c r="K52" s="542" t="e">
        <f t="array" aca="1" ref="K52:K54" ca="1">[1]!LINEQU(A52:D54)</f>
        <v>#NAME?</v>
      </c>
      <c r="M52" s="812" t="e">
        <f ca="1">[1]!mrank(A52:D54)</f>
        <v>#NAME?</v>
      </c>
    </row>
    <row r="53" spans="1:17">
      <c r="A53" s="7">
        <v>-1</v>
      </c>
      <c r="B53" s="8">
        <v>3</v>
      </c>
      <c r="C53" s="8">
        <v>-4</v>
      </c>
      <c r="D53" s="376">
        <v>0</v>
      </c>
      <c r="F53" s="656" t="e">
        <f ca="1"/>
        <v>#NAME?</v>
      </c>
      <c r="G53" s="8" t="e">
        <f ca="1"/>
        <v>#NAME?</v>
      </c>
      <c r="H53" s="8" t="e">
        <f ca="1"/>
        <v>#NAME?</v>
      </c>
      <c r="I53" s="627" t="e">
        <f ca="1"/>
        <v>#NAME?</v>
      </c>
      <c r="K53" s="627" t="e">
        <f ca="1"/>
        <v>#NAME?</v>
      </c>
      <c r="M53" s="812" t="e">
        <f ca="1">[1]!mrank(A52:C54)</f>
        <v>#NAME?</v>
      </c>
    </row>
    <row r="54" spans="1:17">
      <c r="A54" s="10">
        <v>1</v>
      </c>
      <c r="B54" s="11">
        <v>-3</v>
      </c>
      <c r="C54" s="11">
        <v>4</v>
      </c>
      <c r="D54" s="268">
        <v>0</v>
      </c>
      <c r="F54" s="533" t="e">
        <f ca="1"/>
        <v>#NAME?</v>
      </c>
      <c r="G54" s="534" t="e">
        <f ca="1"/>
        <v>#NAME?</v>
      </c>
      <c r="H54" s="534" t="e">
        <f ca="1"/>
        <v>#NAME?</v>
      </c>
      <c r="I54" s="544" t="e">
        <f ca="1"/>
        <v>#NAME?</v>
      </c>
      <c r="K54" s="544" t="e">
        <f ca="1"/>
        <v>#NAME?</v>
      </c>
    </row>
    <row r="55" spans="1:17">
      <c r="A55" s="8"/>
      <c r="B55" s="8"/>
      <c r="C55" s="8"/>
      <c r="D55" s="8"/>
      <c r="F55" s="8"/>
      <c r="G55" s="8"/>
      <c r="H55" s="8"/>
      <c r="I55" s="8"/>
      <c r="K55" s="8"/>
      <c r="M55" s="953"/>
    </row>
    <row r="56" spans="1:17">
      <c r="A56" s="8" t="s">
        <v>2570</v>
      </c>
      <c r="B56" s="8"/>
      <c r="C56" s="8"/>
      <c r="D56" s="8"/>
      <c r="F56" s="8"/>
      <c r="G56" s="8"/>
      <c r="H56" s="8"/>
      <c r="I56" s="8"/>
      <c r="K56" s="8"/>
      <c r="M56" s="953"/>
    </row>
    <row r="58" spans="1:17">
      <c r="A58" s="474">
        <v>1</v>
      </c>
      <c r="B58" s="478">
        <v>2</v>
      </c>
      <c r="C58" s="478">
        <v>0</v>
      </c>
      <c r="D58" s="474">
        <v>1</v>
      </c>
      <c r="E58" s="495">
        <v>0</v>
      </c>
      <c r="F58" s="496">
        <v>0</v>
      </c>
      <c r="H58" s="553" t="e">
        <f t="array" aca="1" ref="H58:M60" ca="1">[1]!ELIM(A58:F60)</f>
        <v>#NAME?</v>
      </c>
      <c r="I58" s="666" t="e">
        <f ca="1"/>
        <v>#NAME?</v>
      </c>
      <c r="J58" s="666" t="e">
        <f ca="1"/>
        <v>#NAME?</v>
      </c>
      <c r="K58" s="553" t="e">
        <f ca="1"/>
        <v>#NAME?</v>
      </c>
      <c r="L58" s="666" t="e">
        <f ca="1"/>
        <v>#NAME?</v>
      </c>
      <c r="M58" s="626" t="e">
        <f ca="1"/>
        <v>#NAME?</v>
      </c>
      <c r="O58" s="926">
        <f t="array" ref="O58:Q60">MINVERSE(A58:C60)</f>
        <v>0.38461538461538458</v>
      </c>
      <c r="P58" s="5">
        <v>-0.46153846153846156</v>
      </c>
      <c r="Q58" s="927">
        <v>0.15384615384615385</v>
      </c>
    </row>
    <row r="59" spans="1:17">
      <c r="A59" s="7">
        <v>-1</v>
      </c>
      <c r="B59" s="8">
        <v>2</v>
      </c>
      <c r="C59" s="8">
        <v>1</v>
      </c>
      <c r="D59" s="7">
        <v>0</v>
      </c>
      <c r="E59" s="66">
        <v>1</v>
      </c>
      <c r="F59" s="367">
        <v>0</v>
      </c>
      <c r="H59" s="656" t="e">
        <f ca="1"/>
        <v>#NAME?</v>
      </c>
      <c r="I59" s="8" t="e">
        <f ca="1"/>
        <v>#NAME?</v>
      </c>
      <c r="J59" s="8" t="e">
        <f ca="1"/>
        <v>#NAME?</v>
      </c>
      <c r="K59" s="656" t="e">
        <f ca="1"/>
        <v>#NAME?</v>
      </c>
      <c r="L59" s="8" t="e">
        <f ca="1"/>
        <v>#NAME?</v>
      </c>
      <c r="M59" s="618" t="e">
        <f ca="1"/>
        <v>#NAME?</v>
      </c>
      <c r="O59" s="7">
        <v>0.30769230769230771</v>
      </c>
      <c r="P59" s="8">
        <v>0.23076923076923078</v>
      </c>
      <c r="Q59" s="657">
        <v>-7.6923076923076927E-2</v>
      </c>
    </row>
    <row r="60" spans="1:17">
      <c r="A60" s="10">
        <v>1</v>
      </c>
      <c r="B60" s="11">
        <v>1</v>
      </c>
      <c r="C60" s="11">
        <v>3</v>
      </c>
      <c r="D60" s="10">
        <v>0</v>
      </c>
      <c r="E60" s="403">
        <v>0</v>
      </c>
      <c r="F60" s="405">
        <v>1</v>
      </c>
      <c r="H60" s="533" t="e">
        <f ca="1"/>
        <v>#NAME?</v>
      </c>
      <c r="I60" s="534" t="e">
        <f ca="1"/>
        <v>#NAME?</v>
      </c>
      <c r="J60" s="534" t="e">
        <f ca="1"/>
        <v>#NAME?</v>
      </c>
      <c r="K60" s="533" t="e">
        <f ca="1"/>
        <v>#NAME?</v>
      </c>
      <c r="L60" s="534" t="e">
        <f ca="1"/>
        <v>#NAME?</v>
      </c>
      <c r="M60" s="536" t="e">
        <f ca="1"/>
        <v>#NAME?</v>
      </c>
      <c r="O60" s="533">
        <v>-0.23076923076923078</v>
      </c>
      <c r="P60" s="534">
        <v>7.6923076923076927E-2</v>
      </c>
      <c r="Q60" s="541">
        <v>0.30769230769230771</v>
      </c>
    </row>
    <row r="62" spans="1:17">
      <c r="A62" s="8" t="s">
        <v>2565</v>
      </c>
      <c r="B62" s="8"/>
      <c r="C62" s="8"/>
      <c r="D62" s="8"/>
      <c r="F62" s="8"/>
      <c r="G62" s="8"/>
      <c r="H62" s="8"/>
      <c r="I62" s="8"/>
      <c r="K62" s="8"/>
      <c r="M62" s="953"/>
    </row>
    <row r="63" spans="1:17">
      <c r="M63" s="953"/>
    </row>
    <row r="64" spans="1:17">
      <c r="A64" s="474">
        <v>1</v>
      </c>
      <c r="B64" s="478">
        <v>1</v>
      </c>
      <c r="C64" s="478">
        <v>2</v>
      </c>
      <c r="D64" s="474">
        <v>1</v>
      </c>
      <c r="E64" s="495">
        <v>0</v>
      </c>
      <c r="F64" s="496">
        <v>0</v>
      </c>
      <c r="H64" s="553" t="e">
        <f t="array" aca="1" ref="H64:M66" ca="1">[1]!ELIM(A64:F66)</f>
        <v>#NAME?</v>
      </c>
      <c r="I64" s="666" t="e">
        <f ca="1"/>
        <v>#NAME?</v>
      </c>
      <c r="J64" s="666" t="e">
        <f ca="1"/>
        <v>#NAME?</v>
      </c>
      <c r="K64" s="553" t="e">
        <f ca="1"/>
        <v>#NAME?</v>
      </c>
      <c r="L64" s="666" t="e">
        <f ca="1"/>
        <v>#NAME?</v>
      </c>
      <c r="M64" s="626" t="e">
        <f ca="1"/>
        <v>#NAME?</v>
      </c>
      <c r="O64" s="926" t="e">
        <f t="array" ref="O64:Q66">MINVERSE(A64:C66)</f>
        <v>#NUM!</v>
      </c>
      <c r="P64" s="5" t="e">
        <v>#NUM!</v>
      </c>
      <c r="Q64" s="927" t="e">
        <v>#NUM!</v>
      </c>
    </row>
    <row r="65" spans="1:17">
      <c r="A65" s="7">
        <v>-1</v>
      </c>
      <c r="B65" s="8">
        <v>3</v>
      </c>
      <c r="C65" s="8">
        <v>-4</v>
      </c>
      <c r="D65" s="7">
        <v>0</v>
      </c>
      <c r="E65" s="66">
        <v>1</v>
      </c>
      <c r="F65" s="367">
        <v>0</v>
      </c>
      <c r="H65" s="656" t="e">
        <f ca="1"/>
        <v>#NAME?</v>
      </c>
      <c r="I65" s="8" t="e">
        <f ca="1"/>
        <v>#NAME?</v>
      </c>
      <c r="J65" s="8" t="e">
        <f ca="1"/>
        <v>#NAME?</v>
      </c>
      <c r="K65" s="656" t="e">
        <f ca="1"/>
        <v>#NAME?</v>
      </c>
      <c r="L65" s="8" t="e">
        <f ca="1"/>
        <v>#NAME?</v>
      </c>
      <c r="M65" s="618" t="e">
        <f ca="1"/>
        <v>#NAME?</v>
      </c>
      <c r="O65" s="656" t="e">
        <v>#NUM!</v>
      </c>
      <c r="P65" s="8" t="e">
        <v>#NUM!</v>
      </c>
      <c r="Q65" s="657" t="e">
        <v>#NUM!</v>
      </c>
    </row>
    <row r="66" spans="1:17">
      <c r="A66" s="10">
        <v>1</v>
      </c>
      <c r="B66" s="11">
        <v>-3</v>
      </c>
      <c r="C66" s="11">
        <v>4</v>
      </c>
      <c r="D66" s="10">
        <v>0</v>
      </c>
      <c r="E66" s="403">
        <v>0</v>
      </c>
      <c r="F66" s="405">
        <v>1</v>
      </c>
      <c r="H66" s="533" t="e">
        <f ca="1"/>
        <v>#NAME?</v>
      </c>
      <c r="I66" s="534" t="e">
        <f ca="1"/>
        <v>#NAME?</v>
      </c>
      <c r="J66" s="534" t="e">
        <f ca="1"/>
        <v>#NAME?</v>
      </c>
      <c r="K66" s="533" t="e">
        <f ca="1"/>
        <v>#NAME?</v>
      </c>
      <c r="L66" s="534" t="e">
        <f ca="1"/>
        <v>#NAME?</v>
      </c>
      <c r="M66" s="536" t="e">
        <f ca="1"/>
        <v>#NAME?</v>
      </c>
      <c r="O66" s="533" t="e">
        <v>#NUM!</v>
      </c>
      <c r="P66" s="534" t="e">
        <v>#NUM!</v>
      </c>
      <c r="Q66" s="541" t="e">
        <v>#NUM!</v>
      </c>
    </row>
    <row r="68" spans="1:17">
      <c r="A68" t="s">
        <v>2566</v>
      </c>
    </row>
    <row r="70" spans="1:17">
      <c r="A70" s="657"/>
      <c r="B70" s="478">
        <v>2</v>
      </c>
      <c r="C70" s="478">
        <v>0</v>
      </c>
      <c r="D70" s="479">
        <v>4</v>
      </c>
      <c r="G70" s="553" t="e">
        <f t="array" aca="1" ref="G70:I73" ca="1">[1]!ELIM(B70:D73)</f>
        <v>#NAME?</v>
      </c>
      <c r="H70" s="666" t="e">
        <f ca="1"/>
        <v>#NAME?</v>
      </c>
      <c r="I70" s="542" t="e">
        <f ca="1"/>
        <v>#NAME?</v>
      </c>
      <c r="K70" s="929" t="e">
        <f t="array" aca="1" ref="K70:K71" ca="1">[1]!LINEQU(B70:D73)</f>
        <v>#NAME?</v>
      </c>
      <c r="M70" s="812" t="e">
        <f ca="1">[1]!mrank(B70:D73)</f>
        <v>#NAME?</v>
      </c>
    </row>
    <row r="71" spans="1:17">
      <c r="A71" s="657"/>
      <c r="B71" s="8">
        <v>2</v>
      </c>
      <c r="C71" s="8">
        <v>1</v>
      </c>
      <c r="D71" s="376">
        <v>3</v>
      </c>
      <c r="G71" s="7" t="e">
        <f ca="1"/>
        <v>#NAME?</v>
      </c>
      <c r="H71" s="8" t="e">
        <f ca="1"/>
        <v>#NAME?</v>
      </c>
      <c r="I71" s="376" t="e">
        <f ca="1"/>
        <v>#NAME?</v>
      </c>
      <c r="K71" s="544" t="e">
        <f ca="1"/>
        <v>#NAME?</v>
      </c>
      <c r="M71" s="713" t="e">
        <f ca="1">[1]!mrank(B70:C73)</f>
        <v>#NAME?</v>
      </c>
    </row>
    <row r="72" spans="1:17">
      <c r="A72" s="657"/>
      <c r="B72" s="8">
        <v>1</v>
      </c>
      <c r="C72" s="8">
        <v>-3</v>
      </c>
      <c r="D72" s="376">
        <v>5</v>
      </c>
      <c r="G72" s="656" t="e">
        <f ca="1"/>
        <v>#NAME?</v>
      </c>
      <c r="H72" s="8" t="e">
        <f ca="1"/>
        <v>#NAME?</v>
      </c>
      <c r="I72" s="627" t="e">
        <f ca="1"/>
        <v>#NAME?</v>
      </c>
    </row>
    <row r="73" spans="1:17">
      <c r="A73" s="657"/>
      <c r="B73" s="11">
        <v>1</v>
      </c>
      <c r="C73" s="11">
        <v>3</v>
      </c>
      <c r="D73" s="268">
        <v>-1</v>
      </c>
      <c r="G73" s="533" t="e">
        <f ca="1"/>
        <v>#NAME?</v>
      </c>
      <c r="H73" s="534" t="e">
        <f ca="1"/>
        <v>#NAME?</v>
      </c>
      <c r="I73" s="544" t="e">
        <f ca="1"/>
        <v>#NAME?</v>
      </c>
    </row>
    <row r="75" spans="1:17">
      <c r="A75" t="s">
        <v>2567</v>
      </c>
    </row>
    <row r="77" spans="1:17">
      <c r="A77" s="657"/>
      <c r="B77" s="478">
        <v>2</v>
      </c>
      <c r="C77" s="478">
        <v>0</v>
      </c>
      <c r="D77" s="479">
        <v>4</v>
      </c>
      <c r="G77" s="553" t="e">
        <f t="array" aca="1" ref="G77:I80" ca="1">[1]!ELIM(B77:D80)</f>
        <v>#NAME?</v>
      </c>
      <c r="H77" s="666" t="e">
        <f ca="1"/>
        <v>#NAME?</v>
      </c>
      <c r="I77" s="542" t="e">
        <f ca="1"/>
        <v>#NAME?</v>
      </c>
      <c r="K77" s="929" t="e">
        <f t="array" aca="1" ref="K77:K78" ca="1">[1]!LINEQU(B77:D80)</f>
        <v>#NAME?</v>
      </c>
      <c r="M77" s="812" t="e">
        <f ca="1">[1]!mrank(B77:D80)</f>
        <v>#NAME?</v>
      </c>
    </row>
    <row r="78" spans="1:17">
      <c r="A78" s="657"/>
      <c r="B78" s="8">
        <v>2</v>
      </c>
      <c r="C78" s="8">
        <v>1</v>
      </c>
      <c r="D78" s="376">
        <v>3</v>
      </c>
      <c r="G78" s="7" t="e">
        <f ca="1"/>
        <v>#NAME?</v>
      </c>
      <c r="H78" s="8" t="e">
        <f ca="1"/>
        <v>#NAME?</v>
      </c>
      <c r="I78" s="376" t="e">
        <f ca="1"/>
        <v>#NAME?</v>
      </c>
      <c r="K78" s="544" t="e">
        <f ca="1"/>
        <v>#NAME?</v>
      </c>
      <c r="M78" s="713" t="e">
        <f ca="1">[1]!mrank(B77:C80)</f>
        <v>#NAME?</v>
      </c>
    </row>
    <row r="79" spans="1:17">
      <c r="A79" s="657"/>
      <c r="B79" s="8">
        <v>1</v>
      </c>
      <c r="C79" s="8">
        <v>-3</v>
      </c>
      <c r="D79" s="376">
        <v>5</v>
      </c>
      <c r="G79" s="656" t="e">
        <f ca="1"/>
        <v>#NAME?</v>
      </c>
      <c r="H79" s="8" t="e">
        <f ca="1"/>
        <v>#NAME?</v>
      </c>
      <c r="I79" s="627" t="e">
        <f ca="1"/>
        <v>#NAME?</v>
      </c>
    </row>
    <row r="80" spans="1:17">
      <c r="A80" s="657"/>
      <c r="B80" s="11">
        <v>1</v>
      </c>
      <c r="C80" s="11">
        <v>2</v>
      </c>
      <c r="D80" s="268">
        <v>-1</v>
      </c>
      <c r="G80" s="533" t="e">
        <f ca="1"/>
        <v>#NAME?</v>
      </c>
      <c r="H80" s="534" t="e">
        <f ca="1"/>
        <v>#NAME?</v>
      </c>
      <c r="I80" s="544" t="e">
        <f ca="1"/>
        <v>#NAME?</v>
      </c>
    </row>
    <row r="82" spans="1:13">
      <c r="A82" t="s">
        <v>2568</v>
      </c>
    </row>
    <row r="84" spans="1:13">
      <c r="A84" s="657"/>
      <c r="B84" s="478">
        <v>2</v>
      </c>
      <c r="C84" s="478">
        <v>1</v>
      </c>
      <c r="D84" s="479">
        <v>5</v>
      </c>
      <c r="G84" s="553" t="e">
        <f t="array" aca="1" ref="G84:I87" ca="1">[1]!ELIM(B84:D87)</f>
        <v>#NAME?</v>
      </c>
      <c r="H84" s="666" t="e">
        <f ca="1"/>
        <v>#NAME?</v>
      </c>
      <c r="I84" s="542" t="e">
        <f ca="1"/>
        <v>#NAME?</v>
      </c>
      <c r="K84" s="929" t="e">
        <f t="array" aca="1" ref="K84:K85" ca="1">[1]!LINEQU(B84:D87)</f>
        <v>#NAME?</v>
      </c>
      <c r="M84" s="812" t="e">
        <f ca="1">[1]!mrank(B84:D87)</f>
        <v>#NAME?</v>
      </c>
    </row>
    <row r="85" spans="1:13">
      <c r="A85" s="657"/>
      <c r="B85" s="8">
        <v>4</v>
      </c>
      <c r="C85" s="8">
        <v>2</v>
      </c>
      <c r="D85" s="376">
        <v>10</v>
      </c>
      <c r="G85" s="7" t="e">
        <f ca="1"/>
        <v>#NAME?</v>
      </c>
      <c r="H85" s="8" t="e">
        <f ca="1"/>
        <v>#NAME?</v>
      </c>
      <c r="I85" s="376" t="e">
        <f ca="1"/>
        <v>#NAME?</v>
      </c>
      <c r="K85" s="544" t="e">
        <f ca="1"/>
        <v>#NAME?</v>
      </c>
      <c r="M85" s="713" t="e">
        <f ca="1">[1]!mrank(B84:C87)</f>
        <v>#NAME?</v>
      </c>
    </row>
    <row r="86" spans="1:13">
      <c r="A86" s="657"/>
      <c r="B86" s="8">
        <v>-1</v>
      </c>
      <c r="C86" s="8">
        <v>-0.5</v>
      </c>
      <c r="D86" s="376">
        <v>-2.5</v>
      </c>
      <c r="G86" s="656" t="e">
        <f ca="1"/>
        <v>#NAME?</v>
      </c>
      <c r="H86" s="8" t="e">
        <f ca="1"/>
        <v>#NAME?</v>
      </c>
      <c r="I86" s="627" t="e">
        <f ca="1"/>
        <v>#NAME?</v>
      </c>
    </row>
    <row r="87" spans="1:13">
      <c r="A87" s="657"/>
      <c r="B87" s="11">
        <v>3</v>
      </c>
      <c r="C87" s="11">
        <v>1.5</v>
      </c>
      <c r="D87" s="268">
        <v>7.5</v>
      </c>
      <c r="G87" s="533" t="e">
        <f ca="1"/>
        <v>#NAME?</v>
      </c>
      <c r="H87" s="534" t="e">
        <f ca="1"/>
        <v>#NAME?</v>
      </c>
      <c r="I87" s="544" t="e">
        <f ca="1"/>
        <v>#NAME?</v>
      </c>
    </row>
  </sheetData>
  <mergeCells count="6">
    <mergeCell ref="A32:C32"/>
    <mergeCell ref="F32:I32"/>
    <mergeCell ref="A11:C11"/>
    <mergeCell ref="F11:I11"/>
    <mergeCell ref="A24:C24"/>
    <mergeCell ref="F24:I24"/>
  </mergeCell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sheetPr codeName="Sheet238"/>
  <dimension ref="A1:S28"/>
  <sheetViews>
    <sheetView workbookViewId="0"/>
  </sheetViews>
  <sheetFormatPr defaultRowHeight="14.4"/>
  <cols>
    <col min="5" max="5" width="7" customWidth="1"/>
    <col min="7" max="7" width="9.109375" customWidth="1"/>
    <col min="8" max="8" width="4.5546875" customWidth="1"/>
    <col min="11" max="11" width="4.44140625" customWidth="1"/>
    <col min="14" max="14" width="4.33203125" customWidth="1"/>
    <col min="17" max="17" width="4.33203125" customWidth="1"/>
  </cols>
  <sheetData>
    <row r="1" spans="1:19">
      <c r="A1" s="1" t="s">
        <v>2046</v>
      </c>
    </row>
    <row r="3" spans="1:19">
      <c r="A3" t="s">
        <v>2047</v>
      </c>
      <c r="E3" t="s">
        <v>2048</v>
      </c>
    </row>
    <row r="5" spans="1:19" ht="16.8">
      <c r="A5" t="s">
        <v>2049</v>
      </c>
      <c r="B5" t="s">
        <v>2050</v>
      </c>
      <c r="E5" s="19" t="s">
        <v>2051</v>
      </c>
      <c r="F5" t="s">
        <v>2052</v>
      </c>
      <c r="H5" s="19" t="s">
        <v>2053</v>
      </c>
      <c r="I5" s="23" t="s">
        <v>2054</v>
      </c>
      <c r="J5" s="19" t="s">
        <v>2055</v>
      </c>
      <c r="K5" s="126">
        <v>1</v>
      </c>
    </row>
    <row r="6" spans="1:19" ht="16.8">
      <c r="A6" t="s">
        <v>2056</v>
      </c>
      <c r="B6" t="s">
        <v>2057</v>
      </c>
      <c r="E6" s="19" t="s">
        <v>2058</v>
      </c>
      <c r="F6" t="s">
        <v>2059</v>
      </c>
      <c r="H6" s="19" t="s">
        <v>2060</v>
      </c>
      <c r="I6" s="126">
        <v>1</v>
      </c>
      <c r="J6" s="19" t="s">
        <v>2061</v>
      </c>
      <c r="K6" s="126">
        <v>1</v>
      </c>
    </row>
    <row r="8" spans="1:19">
      <c r="A8" s="840" t="s">
        <v>2062</v>
      </c>
      <c r="B8" s="840" t="s">
        <v>28</v>
      </c>
      <c r="E8" t="s">
        <v>2062</v>
      </c>
      <c r="F8">
        <v>0</v>
      </c>
      <c r="I8">
        <v>1</v>
      </c>
      <c r="L8">
        <v>2</v>
      </c>
      <c r="O8">
        <v>3</v>
      </c>
      <c r="R8">
        <v>4</v>
      </c>
    </row>
    <row r="9" spans="1:19">
      <c r="A9">
        <v>0</v>
      </c>
      <c r="B9">
        <v>2</v>
      </c>
      <c r="E9" t="s">
        <v>28</v>
      </c>
      <c r="F9">
        <v>1</v>
      </c>
      <c r="I9">
        <f t="array" ref="I9:I10">F9:F10-MMULT(F17:G18,F11:F12)</f>
        <v>0.80682426410998542</v>
      </c>
      <c r="L9">
        <f t="array" ref="L9:L10">I9:I10-MMULT(I17:J18,I11:I12)</f>
        <v>0.79213495965638669</v>
      </c>
      <c r="O9">
        <f t="array" ref="O9:O10">L9:L10-MMULT(L17:M18,L11:L12)</f>
        <v>0.79205997036599018</v>
      </c>
      <c r="R9">
        <f t="array" ref="R9:R10">O9:O10-MMULT(O17:P18,O11:O12)</f>
        <v>0.79205996843067694</v>
      </c>
    </row>
    <row r="10" spans="1:19">
      <c r="A10">
        <f t="shared" ref="A10:A15" si="0">A9+1</f>
        <v>1</v>
      </c>
      <c r="B10">
        <f t="shared" ref="B10:B15" si="1">B9-(EXP(B9)+B9-3)/(EXP(B9)+1)</f>
        <v>1.2384058440442351</v>
      </c>
      <c r="E10" t="s">
        <v>400</v>
      </c>
      <c r="F10">
        <v>1</v>
      </c>
      <c r="I10">
        <v>2.1931757358900148</v>
      </c>
      <c r="L10">
        <v>2.2078650403436133</v>
      </c>
      <c r="O10">
        <v>2.2079400296340097</v>
      </c>
      <c r="R10">
        <v>2.2079400315693229</v>
      </c>
    </row>
    <row r="11" spans="1:19">
      <c r="A11">
        <f t="shared" si="0"/>
        <v>2</v>
      </c>
      <c r="B11">
        <f t="shared" si="1"/>
        <v>0.85897359073089996</v>
      </c>
      <c r="E11" t="s">
        <v>2063</v>
      </c>
      <c r="F11">
        <f>F10-EXP(F9)</f>
        <v>-1.7182818284590451</v>
      </c>
      <c r="I11">
        <f>I10-EXP(I9)</f>
        <v>-4.7604812137273189E-2</v>
      </c>
      <c r="L11">
        <f>L10-EXP(L9)</f>
        <v>-2.4057356350404291E-4</v>
      </c>
      <c r="O11">
        <f>O10-EXP(O9)</f>
        <v>-6.2083689300607148E-9</v>
      </c>
      <c r="R11">
        <f>R10-EXP(R9)</f>
        <v>0</v>
      </c>
    </row>
    <row r="12" spans="1:19">
      <c r="A12">
        <f t="shared" si="0"/>
        <v>3</v>
      </c>
      <c r="B12">
        <f t="shared" si="1"/>
        <v>0.79359804956294999</v>
      </c>
      <c r="E12" t="s">
        <v>2064</v>
      </c>
      <c r="F12">
        <f>F9+F10-3</f>
        <v>-1</v>
      </c>
      <c r="I12">
        <f>I9+I10-3</f>
        <v>0</v>
      </c>
      <c r="L12">
        <f>L9+L10-3</f>
        <v>0</v>
      </c>
      <c r="O12">
        <f>O9+O10-3</f>
        <v>0</v>
      </c>
      <c r="R12">
        <f>R9+R10-3</f>
        <v>0</v>
      </c>
    </row>
    <row r="13" spans="1:19">
      <c r="A13">
        <f t="shared" si="0"/>
        <v>4</v>
      </c>
      <c r="B13">
        <f t="shared" si="1"/>
        <v>0.79206078252553502</v>
      </c>
    </row>
    <row r="14" spans="1:19">
      <c r="A14">
        <f t="shared" si="0"/>
        <v>5</v>
      </c>
      <c r="B14">
        <f t="shared" si="1"/>
        <v>0.7920599684309052</v>
      </c>
      <c r="E14" t="s">
        <v>1979</v>
      </c>
      <c r="F14" s="864">
        <f>-EXP(F9)</f>
        <v>-2.7182818284590451</v>
      </c>
      <c r="G14" s="866">
        <v>1</v>
      </c>
      <c r="I14" s="864">
        <f>-EXP(I9)</f>
        <v>-2.240780548027288</v>
      </c>
      <c r="J14" s="866">
        <v>1</v>
      </c>
      <c r="L14" s="864">
        <f>-EXP(L9)</f>
        <v>-2.2081056139071173</v>
      </c>
      <c r="M14" s="866">
        <v>1</v>
      </c>
      <c r="O14" s="864">
        <f>-EXP(O9)</f>
        <v>-2.2079400358423786</v>
      </c>
      <c r="P14" s="866">
        <v>1</v>
      </c>
      <c r="R14" s="864">
        <f>-EXP(R9)</f>
        <v>-2.2079400315693229</v>
      </c>
      <c r="S14" s="866">
        <v>1</v>
      </c>
    </row>
    <row r="15" spans="1:19">
      <c r="A15" s="11">
        <f t="shared" si="0"/>
        <v>6</v>
      </c>
      <c r="B15" s="11">
        <f t="shared" si="1"/>
        <v>0.79205996843067694</v>
      </c>
      <c r="F15" s="533">
        <v>1</v>
      </c>
      <c r="G15" s="541">
        <v>1</v>
      </c>
      <c r="I15" s="533">
        <v>1</v>
      </c>
      <c r="J15" s="541">
        <v>1</v>
      </c>
      <c r="L15" s="533">
        <v>1</v>
      </c>
      <c r="M15" s="541">
        <v>1</v>
      </c>
      <c r="O15" s="533">
        <v>1</v>
      </c>
      <c r="P15" s="541">
        <v>1</v>
      </c>
      <c r="R15" s="533">
        <v>1</v>
      </c>
      <c r="S15" s="541">
        <v>1</v>
      </c>
    </row>
    <row r="17" spans="1:19" ht="16.2">
      <c r="E17" t="s">
        <v>1980</v>
      </c>
      <c r="F17" s="864">
        <f t="array" ref="F17:G18">MINVERSE(F14:G15)</f>
        <v>-0.26894142136999516</v>
      </c>
      <c r="G17" s="866">
        <v>0.26894142136999516</v>
      </c>
      <c r="I17" s="864">
        <f t="array" ref="I17:J18">MINVERSE(I14:J15)</f>
        <v>-0.3085676383143916</v>
      </c>
      <c r="J17" s="866">
        <v>0.3085676383143916</v>
      </c>
      <c r="L17" s="864">
        <f t="array" ref="L17:M18">MINVERSE(L14:M15)</f>
        <v>-0.31171043611064625</v>
      </c>
      <c r="M17" s="866">
        <v>0.31171043611064625</v>
      </c>
      <c r="O17" s="864">
        <f t="array" ref="O17:P18">MINVERSE(O14:P15)</f>
        <v>-0.311726525068106</v>
      </c>
      <c r="P17" s="866">
        <v>0.311726525068106</v>
      </c>
      <c r="R17" s="864">
        <f t="array" ref="R17:S18">MINVERSE(R14:S15)</f>
        <v>-0.31172652548333341</v>
      </c>
      <c r="S17" s="866">
        <v>0.31172652548333341</v>
      </c>
    </row>
    <row r="18" spans="1:19" ht="16.2">
      <c r="A18" t="s">
        <v>2049</v>
      </c>
      <c r="B18" t="s">
        <v>2065</v>
      </c>
      <c r="F18" s="533">
        <v>0.2689414213699951</v>
      </c>
      <c r="G18" s="541">
        <v>0.7310585786300049</v>
      </c>
      <c r="I18" s="533">
        <v>0.3085676383143916</v>
      </c>
      <c r="J18" s="541">
        <v>0.6914323616856084</v>
      </c>
      <c r="L18" s="533">
        <v>0.31171043611064625</v>
      </c>
      <c r="M18" s="541">
        <v>0.68828956388935381</v>
      </c>
      <c r="O18" s="533">
        <v>0.31172652506810594</v>
      </c>
      <c r="P18" s="541">
        <v>0.68827347493189406</v>
      </c>
      <c r="R18" s="533">
        <v>0.31172652548333346</v>
      </c>
      <c r="S18" s="541">
        <v>0.68827347451666654</v>
      </c>
    </row>
    <row r="19" spans="1:19">
      <c r="A19" t="s">
        <v>2056</v>
      </c>
      <c r="B19" t="s">
        <v>2066</v>
      </c>
    </row>
    <row r="21" spans="1:19">
      <c r="A21" s="840" t="s">
        <v>2062</v>
      </c>
      <c r="B21" s="840" t="s">
        <v>28</v>
      </c>
      <c r="E21" t="s">
        <v>28</v>
      </c>
      <c r="F21" s="853">
        <f>B15</f>
        <v>0.79205996843067694</v>
      </c>
    </row>
    <row r="22" spans="1:19">
      <c r="A22">
        <v>0</v>
      </c>
      <c r="B22">
        <v>2</v>
      </c>
      <c r="E22" t="s">
        <v>400</v>
      </c>
      <c r="F22" s="544">
        <f>3-F21</f>
        <v>2.2079400315693229</v>
      </c>
    </row>
    <row r="23" spans="1:19">
      <c r="A23">
        <f t="shared" ref="A23:A28" si="2">A22+1</f>
        <v>1</v>
      </c>
      <c r="B23">
        <f t="shared" ref="B23:B28" si="3">B22-(B22^2-25)/(2*B22)</f>
        <v>7.25</v>
      </c>
    </row>
    <row r="24" spans="1:19">
      <c r="A24">
        <f t="shared" si="2"/>
        <v>2</v>
      </c>
      <c r="B24">
        <f t="shared" si="3"/>
        <v>5.3491379310344822</v>
      </c>
    </row>
    <row r="25" spans="1:19">
      <c r="A25">
        <f t="shared" si="2"/>
        <v>3</v>
      </c>
      <c r="B25">
        <f t="shared" si="3"/>
        <v>5.0113941065325518</v>
      </c>
    </row>
    <row r="26" spans="1:19">
      <c r="A26">
        <f t="shared" si="2"/>
        <v>4</v>
      </c>
      <c r="B26">
        <f t="shared" si="3"/>
        <v>5.0000129530486843</v>
      </c>
    </row>
    <row r="27" spans="1:19">
      <c r="A27">
        <f t="shared" si="2"/>
        <v>5</v>
      </c>
      <c r="B27">
        <f t="shared" si="3"/>
        <v>5.0000000000167777</v>
      </c>
    </row>
    <row r="28" spans="1:19">
      <c r="A28" s="11">
        <f t="shared" si="2"/>
        <v>6</v>
      </c>
      <c r="B28" s="11">
        <f t="shared" si="3"/>
        <v>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sheetPr codeName="Sheet205"/>
  <dimension ref="A1:N35"/>
  <sheetViews>
    <sheetView workbookViewId="0"/>
  </sheetViews>
  <sheetFormatPr defaultRowHeight="14.4"/>
  <sheetData>
    <row r="1" spans="1:14">
      <c r="A1" s="1" t="s">
        <v>2118</v>
      </c>
    </row>
    <row r="3" spans="1:14">
      <c r="A3" s="25" t="s">
        <v>526</v>
      </c>
      <c r="B3" s="25"/>
      <c r="C3" s="25"/>
      <c r="D3" s="25"/>
      <c r="F3" t="s">
        <v>1797</v>
      </c>
      <c r="K3" t="s">
        <v>1802</v>
      </c>
    </row>
    <row r="4" spans="1:14">
      <c r="A4" s="651">
        <v>11.605357142857152</v>
      </c>
      <c r="B4" s="652">
        <v>2.3696428571428569</v>
      </c>
      <c r="C4" s="652">
        <v>-6.4232142857142875</v>
      </c>
      <c r="D4" s="653">
        <v>-7.5517857142857139</v>
      </c>
      <c r="F4" s="731">
        <v>1</v>
      </c>
      <c r="G4" s="732">
        <v>0</v>
      </c>
      <c r="H4" s="732">
        <v>0</v>
      </c>
      <c r="I4" s="733">
        <v>0</v>
      </c>
      <c r="K4" s="735">
        <v>22.958965332709731</v>
      </c>
      <c r="L4" s="736">
        <v>5.0580459738737513</v>
      </c>
      <c r="M4" s="736">
        <v>0.5901315505593363</v>
      </c>
      <c r="N4" s="737">
        <v>-3.3029134982598565E-15</v>
      </c>
    </row>
    <row r="5" spans="1:14">
      <c r="A5" s="656">
        <v>2.3696428571428569</v>
      </c>
      <c r="B5" s="8">
        <v>5.448214285714279</v>
      </c>
      <c r="C5" s="8">
        <v>-3.9303571428571402</v>
      </c>
      <c r="D5" s="657">
        <v>-3.8875000000000028</v>
      </c>
      <c r="F5" s="734">
        <v>0</v>
      </c>
      <c r="G5" s="174">
        <v>1</v>
      </c>
      <c r="H5" s="174">
        <v>0</v>
      </c>
      <c r="I5" s="169">
        <v>0</v>
      </c>
      <c r="K5" s="625">
        <v>0.66161018507841729</v>
      </c>
      <c r="L5" s="8">
        <v>-0.5540037078053619</v>
      </c>
      <c r="M5" s="8">
        <v>-7.3156371823683883E-2</v>
      </c>
      <c r="N5" s="132">
        <v>-0.49999999999999961</v>
      </c>
    </row>
    <row r="6" spans="1:14">
      <c r="A6" s="656">
        <v>-6.4232142857142875</v>
      </c>
      <c r="B6" s="8">
        <v>-3.9303571428571402</v>
      </c>
      <c r="C6" s="8">
        <v>5.2339285714285708</v>
      </c>
      <c r="D6" s="657">
        <v>5.1196428571428534</v>
      </c>
      <c r="F6" s="734">
        <v>0</v>
      </c>
      <c r="G6" s="174">
        <v>0</v>
      </c>
      <c r="H6" s="174">
        <v>1</v>
      </c>
      <c r="I6" s="169">
        <v>0</v>
      </c>
      <c r="K6" s="625">
        <v>0.30530890997537491</v>
      </c>
      <c r="L6" s="8">
        <v>0.80849805922602413</v>
      </c>
      <c r="M6" s="8">
        <v>5.5833302942682635E-2</v>
      </c>
      <c r="N6" s="132">
        <v>-0.50000000000000044</v>
      </c>
    </row>
    <row r="7" spans="1:14">
      <c r="A7" s="533">
        <v>-7.5517857142857139</v>
      </c>
      <c r="B7" s="534">
        <v>-3.8875000000000028</v>
      </c>
      <c r="C7" s="534">
        <v>5.1196428571428534</v>
      </c>
      <c r="D7" s="541">
        <v>6.3196428571428527</v>
      </c>
      <c r="F7" s="458">
        <v>0</v>
      </c>
      <c r="G7" s="459">
        <v>0</v>
      </c>
      <c r="H7" s="459">
        <v>0</v>
      </c>
      <c r="I7" s="460">
        <v>1</v>
      </c>
      <c r="K7" s="625">
        <v>-0.45524461973669939</v>
      </c>
      <c r="L7" s="8">
        <v>-0.18652234974289764</v>
      </c>
      <c r="M7" s="8">
        <v>0.71271435319289655</v>
      </c>
      <c r="N7" s="132">
        <v>-0.49999999999999789</v>
      </c>
    </row>
    <row r="8" spans="1:14">
      <c r="A8" s="174"/>
      <c r="B8" s="174"/>
      <c r="C8" s="174"/>
      <c r="D8" s="174"/>
      <c r="F8" s="174"/>
      <c r="G8" s="174"/>
      <c r="H8" s="174"/>
      <c r="I8" s="174"/>
      <c r="K8" s="497">
        <v>-0.51167447531701127</v>
      </c>
      <c r="L8" s="615">
        <v>-6.7972001677543123E-2</v>
      </c>
      <c r="M8" s="615">
        <v>-0.69539128431188757</v>
      </c>
      <c r="N8" s="498">
        <v>-0.500000000000002</v>
      </c>
    </row>
    <row r="9" spans="1:14">
      <c r="A9" t="s">
        <v>1798</v>
      </c>
      <c r="B9" t="s">
        <v>1799</v>
      </c>
      <c r="D9" t="s">
        <v>1800</v>
      </c>
      <c r="F9" t="s">
        <v>1801</v>
      </c>
    </row>
    <row r="11" spans="1:14">
      <c r="A11">
        <v>10</v>
      </c>
      <c r="B11">
        <v>5.0580465786852145</v>
      </c>
      <c r="D11">
        <f>MDETERM(F11:I14)</f>
        <v>-2.4467168906601759E-4</v>
      </c>
      <c r="F11" s="731">
        <f t="array" ref="F11:I14">$A$4:$D$7-B11*$F$4:$I$7</f>
        <v>6.5473105641719371</v>
      </c>
      <c r="G11" s="732">
        <v>2.3696428571428569</v>
      </c>
      <c r="H11" s="732">
        <v>-6.4232142857142875</v>
      </c>
      <c r="I11" s="733">
        <v>-7.5517857142857139</v>
      </c>
    </row>
    <row r="12" spans="1:14">
      <c r="F12" s="734">
        <v>2.3696428571428569</v>
      </c>
      <c r="G12" s="174">
        <v>0.39016770702906456</v>
      </c>
      <c r="H12" s="174">
        <v>-3.9303571428571402</v>
      </c>
      <c r="I12" s="169">
        <v>-3.8875000000000028</v>
      </c>
    </row>
    <row r="13" spans="1:14">
      <c r="F13" s="734">
        <v>-6.4232142857142875</v>
      </c>
      <c r="G13" s="174">
        <v>-3.9303571428571402</v>
      </c>
      <c r="H13" s="174">
        <v>0.17588199274335636</v>
      </c>
      <c r="I13" s="169">
        <v>5.1196428571428534</v>
      </c>
    </row>
    <row r="14" spans="1:14">
      <c r="F14" s="458">
        <v>-7.5517857142857139</v>
      </c>
      <c r="G14" s="459">
        <v>-3.8875000000000028</v>
      </c>
      <c r="H14" s="459">
        <v>5.1196428571428534</v>
      </c>
      <c r="I14" s="460">
        <v>1.2615962784576382</v>
      </c>
    </row>
    <row r="16" spans="1:14">
      <c r="A16" t="s">
        <v>1798</v>
      </c>
      <c r="B16" t="s">
        <v>1799</v>
      </c>
      <c r="D16" t="s">
        <v>1800</v>
      </c>
      <c r="F16" t="s">
        <v>1801</v>
      </c>
    </row>
    <row r="18" spans="1:9">
      <c r="A18">
        <v>20</v>
      </c>
      <c r="B18">
        <v>22.958965321908675</v>
      </c>
      <c r="D18">
        <f>MDETERM(F18:I21)</f>
        <v>-9.930600001314934E-5</v>
      </c>
      <c r="F18" s="731">
        <f t="array" ref="F18:I21">$A$4:$D$7-B18*$F$4:$I$7</f>
        <v>-11.353608179051523</v>
      </c>
      <c r="G18" s="732">
        <v>2.3696428571428569</v>
      </c>
      <c r="H18" s="732">
        <v>-6.4232142857142875</v>
      </c>
      <c r="I18" s="733">
        <v>-7.5517857142857139</v>
      </c>
    </row>
    <row r="19" spans="1:9">
      <c r="F19" s="734">
        <v>2.3696428571428569</v>
      </c>
      <c r="G19" s="174">
        <v>-17.510751036194396</v>
      </c>
      <c r="H19" s="174">
        <v>-3.9303571428571402</v>
      </c>
      <c r="I19" s="169">
        <v>-3.8875000000000028</v>
      </c>
    </row>
    <row r="20" spans="1:9">
      <c r="F20" s="734">
        <v>-6.4232142857142875</v>
      </c>
      <c r="G20" s="174">
        <v>-3.9303571428571402</v>
      </c>
      <c r="H20" s="174">
        <v>-17.725036750480104</v>
      </c>
      <c r="I20" s="169">
        <v>5.1196428571428534</v>
      </c>
    </row>
    <row r="21" spans="1:9">
      <c r="F21" s="458">
        <v>-7.5517857142857139</v>
      </c>
      <c r="G21" s="459">
        <v>-3.8875000000000028</v>
      </c>
      <c r="H21" s="459">
        <v>5.1196428571428534</v>
      </c>
      <c r="I21" s="460">
        <v>-16.639322464765822</v>
      </c>
    </row>
    <row r="23" spans="1:9">
      <c r="A23" t="s">
        <v>1798</v>
      </c>
      <c r="B23" t="s">
        <v>1799</v>
      </c>
      <c r="D23" t="s">
        <v>1800</v>
      </c>
      <c r="F23" t="s">
        <v>1801</v>
      </c>
    </row>
    <row r="25" spans="1:9">
      <c r="A25">
        <v>0</v>
      </c>
      <c r="B25">
        <v>0</v>
      </c>
      <c r="D25">
        <f>MDETERM(F25:I28)</f>
        <v>-2.1303559823245579E-13</v>
      </c>
      <c r="F25" s="731">
        <f t="array" ref="F25:I28">$A$4:$D$7-B25*$F$4:$I$7</f>
        <v>11.605357142857152</v>
      </c>
      <c r="G25" s="732">
        <v>2.3696428571428569</v>
      </c>
      <c r="H25" s="732">
        <v>-6.4232142857142875</v>
      </c>
      <c r="I25" s="733">
        <v>-7.5517857142857139</v>
      </c>
    </row>
    <row r="26" spans="1:9">
      <c r="F26" s="734">
        <v>2.3696428571428569</v>
      </c>
      <c r="G26" s="174">
        <v>5.448214285714279</v>
      </c>
      <c r="H26" s="174">
        <v>-3.9303571428571402</v>
      </c>
      <c r="I26" s="169">
        <v>-3.8875000000000028</v>
      </c>
    </row>
    <row r="27" spans="1:9">
      <c r="F27" s="734">
        <v>-6.4232142857142875</v>
      </c>
      <c r="G27" s="174">
        <v>-3.9303571428571402</v>
      </c>
      <c r="H27" s="174">
        <v>5.2339285714285708</v>
      </c>
      <c r="I27" s="169">
        <v>5.1196428571428534</v>
      </c>
    </row>
    <row r="28" spans="1:9">
      <c r="F28" s="458">
        <v>-7.5517857142857139</v>
      </c>
      <c r="G28" s="459">
        <v>-3.8875000000000028</v>
      </c>
      <c r="H28" s="459">
        <v>5.1196428571428534</v>
      </c>
      <c r="I28" s="460">
        <v>6.3196428571428527</v>
      </c>
    </row>
    <row r="30" spans="1:9">
      <c r="A30" t="s">
        <v>1798</v>
      </c>
      <c r="B30" t="s">
        <v>1799</v>
      </c>
      <c r="D30" t="s">
        <v>1800</v>
      </c>
      <c r="F30" t="s">
        <v>1801</v>
      </c>
    </row>
    <row r="32" spans="1:9">
      <c r="A32">
        <v>1</v>
      </c>
      <c r="B32">
        <v>0.59013194983161432</v>
      </c>
      <c r="D32">
        <f>MDETERM(F32:I35)</f>
        <v>2.3548672431741652E-5</v>
      </c>
      <c r="F32" s="731">
        <f t="array" ref="F32:I35">$A$4:$D$7-B32*$F$4:$I$7</f>
        <v>11.015225193025538</v>
      </c>
      <c r="G32" s="732">
        <v>2.3696428571428569</v>
      </c>
      <c r="H32" s="732">
        <v>-6.4232142857142875</v>
      </c>
      <c r="I32" s="733">
        <v>-7.5517857142857139</v>
      </c>
    </row>
    <row r="33" spans="6:9">
      <c r="F33" s="734">
        <v>2.3696428571428569</v>
      </c>
      <c r="G33" s="174">
        <v>4.8580823358826644</v>
      </c>
      <c r="H33" s="174">
        <v>-3.9303571428571402</v>
      </c>
      <c r="I33" s="169">
        <v>-3.8875000000000028</v>
      </c>
    </row>
    <row r="34" spans="6:9">
      <c r="F34" s="734">
        <v>-6.4232142857142875</v>
      </c>
      <c r="G34" s="174">
        <v>-3.9303571428571402</v>
      </c>
      <c r="H34" s="174">
        <v>4.6437966215969562</v>
      </c>
      <c r="I34" s="169">
        <v>5.1196428571428534</v>
      </c>
    </row>
    <row r="35" spans="6:9">
      <c r="F35" s="458">
        <v>-7.5517857142857139</v>
      </c>
      <c r="G35" s="459">
        <v>-3.8875000000000028</v>
      </c>
      <c r="H35" s="459">
        <v>5.1196428571428534</v>
      </c>
      <c r="I35" s="460">
        <v>5.729510907311238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sheetPr codeName="Sheet156"/>
  <dimension ref="A1:K50"/>
  <sheetViews>
    <sheetView workbookViewId="0"/>
  </sheetViews>
  <sheetFormatPr defaultRowHeight="14.4"/>
  <sheetData>
    <row r="1" spans="1:11">
      <c r="A1" s="1" t="s">
        <v>1374</v>
      </c>
    </row>
    <row r="3" spans="1:11">
      <c r="A3" t="s">
        <v>1375</v>
      </c>
      <c r="G3" t="s">
        <v>1333</v>
      </c>
    </row>
    <row r="5" spans="1:11">
      <c r="A5" s="553">
        <v>8</v>
      </c>
      <c r="B5" s="557">
        <v>4</v>
      </c>
      <c r="C5" s="557">
        <v>6</v>
      </c>
      <c r="D5" s="552">
        <v>7</v>
      </c>
      <c r="E5" s="66">
        <v>20</v>
      </c>
      <c r="G5" s="553">
        <f t="shared" ref="G5:J7" si="0">A5</f>
        <v>8</v>
      </c>
      <c r="H5" s="557">
        <f t="shared" si="0"/>
        <v>4</v>
      </c>
      <c r="I5" s="557">
        <f t="shared" si="0"/>
        <v>6</v>
      </c>
      <c r="J5" s="552">
        <f t="shared" si="0"/>
        <v>7</v>
      </c>
      <c r="K5" s="66">
        <f>SUM(G5:J5)</f>
        <v>25</v>
      </c>
    </row>
    <row r="6" spans="1:11">
      <c r="A6" s="7">
        <v>3</v>
      </c>
      <c r="B6" s="8">
        <v>6</v>
      </c>
      <c r="C6" s="8">
        <v>5</v>
      </c>
      <c r="D6" s="9">
        <v>2</v>
      </c>
      <c r="E6" s="66">
        <v>18</v>
      </c>
      <c r="G6" s="7">
        <f t="shared" si="0"/>
        <v>3</v>
      </c>
      <c r="H6" s="8">
        <f t="shared" si="0"/>
        <v>6</v>
      </c>
      <c r="I6" s="8">
        <f t="shared" si="0"/>
        <v>5</v>
      </c>
      <c r="J6" s="9">
        <f t="shared" si="0"/>
        <v>2</v>
      </c>
      <c r="K6" s="66">
        <f>SUM(G6:J6)</f>
        <v>16</v>
      </c>
    </row>
    <row r="7" spans="1:11">
      <c r="A7" s="533">
        <v>9</v>
      </c>
      <c r="B7" s="11">
        <v>11</v>
      </c>
      <c r="C7" s="11">
        <v>3</v>
      </c>
      <c r="D7" s="12">
        <v>1</v>
      </c>
      <c r="E7" s="66">
        <v>22</v>
      </c>
      <c r="G7" s="533">
        <f t="shared" si="0"/>
        <v>9</v>
      </c>
      <c r="H7" s="11">
        <f t="shared" si="0"/>
        <v>11</v>
      </c>
      <c r="I7" s="11">
        <f t="shared" si="0"/>
        <v>3</v>
      </c>
      <c r="J7" s="12">
        <f t="shared" si="0"/>
        <v>1</v>
      </c>
      <c r="K7" s="66">
        <f>SUM(G7:J7)</f>
        <v>24</v>
      </c>
    </row>
    <row r="8" spans="1:11">
      <c r="A8" s="66">
        <v>18</v>
      </c>
      <c r="B8" s="66">
        <v>16</v>
      </c>
      <c r="C8" s="66">
        <v>12</v>
      </c>
      <c r="D8" s="66">
        <v>14</v>
      </c>
      <c r="E8">
        <f>SUM(A8:D8)</f>
        <v>60</v>
      </c>
      <c r="G8" s="66">
        <f>SUM(G5:G7)</f>
        <v>20</v>
      </c>
      <c r="H8" s="66">
        <f>SUM(H5:H7)</f>
        <v>21</v>
      </c>
      <c r="I8" s="66">
        <f>SUM(I5:I7)</f>
        <v>14</v>
      </c>
      <c r="J8" s="66">
        <f>SUM(J5:J7)</f>
        <v>10</v>
      </c>
      <c r="K8" s="66">
        <f>SUM(G8:J8)</f>
        <v>65</v>
      </c>
    </row>
    <row r="10" spans="1:11">
      <c r="A10" t="s">
        <v>1376</v>
      </c>
      <c r="G10" t="s">
        <v>1377</v>
      </c>
    </row>
    <row r="12" spans="1:11">
      <c r="A12" s="553">
        <f t="shared" ref="A12:D14" si="1">G5*$E5/$K5</f>
        <v>6.4</v>
      </c>
      <c r="B12" s="557">
        <f t="shared" si="1"/>
        <v>3.2</v>
      </c>
      <c r="C12" s="557">
        <f t="shared" si="1"/>
        <v>4.8</v>
      </c>
      <c r="D12" s="552">
        <f t="shared" si="1"/>
        <v>5.6</v>
      </c>
      <c r="E12" s="66">
        <f>SUM(A12:D12)</f>
        <v>20</v>
      </c>
      <c r="G12" s="553">
        <f>A12*A$8/A15</f>
        <v>6.3911234396671297</v>
      </c>
      <c r="H12" s="557">
        <f>B12*B$8/B15</f>
        <v>2.5557404326123132</v>
      </c>
      <c r="I12" s="557">
        <f>C12*C$8/C15</f>
        <v>4.3719165085388987</v>
      </c>
      <c r="J12" s="552">
        <f>D12*D$8/D15</f>
        <v>8.9429657794676807</v>
      </c>
      <c r="K12" s="66">
        <f>SUM(G12:J12)</f>
        <v>22.261746160286023</v>
      </c>
    </row>
    <row r="13" spans="1:11">
      <c r="A13" s="7">
        <f t="shared" si="1"/>
        <v>3.375</v>
      </c>
      <c r="B13" s="8">
        <f t="shared" si="1"/>
        <v>6.75</v>
      </c>
      <c r="C13" s="8">
        <f t="shared" si="1"/>
        <v>5.625</v>
      </c>
      <c r="D13" s="9">
        <f t="shared" si="1"/>
        <v>2.25</v>
      </c>
      <c r="E13" s="66">
        <f>SUM(A13:D13)</f>
        <v>18</v>
      </c>
      <c r="G13" s="7">
        <f>A13*A$8/A15</f>
        <v>3.3703190013869628</v>
      </c>
      <c r="H13" s="8">
        <f>B13*B$8/B15</f>
        <v>5.3910149750415979</v>
      </c>
      <c r="I13" s="8">
        <f>C13*C$8/C15</f>
        <v>5.1233396584440225</v>
      </c>
      <c r="J13" s="9">
        <f>D13*D$8/D15</f>
        <v>3.5931558935361219</v>
      </c>
      <c r="K13" s="66">
        <f>SUM(G13:J13)</f>
        <v>17.477829528408705</v>
      </c>
    </row>
    <row r="14" spans="1:11">
      <c r="A14" s="533">
        <f t="shared" si="1"/>
        <v>8.25</v>
      </c>
      <c r="B14" s="11">
        <f t="shared" si="1"/>
        <v>10.083333333333334</v>
      </c>
      <c r="C14" s="11">
        <f t="shared" si="1"/>
        <v>2.75</v>
      </c>
      <c r="D14" s="12">
        <f t="shared" si="1"/>
        <v>0.91666666666666663</v>
      </c>
      <c r="E14" s="66">
        <f>SUM(A14:D14)</f>
        <v>22.000000000000004</v>
      </c>
      <c r="G14" s="533">
        <f>A14*A$8/A15</f>
        <v>8.2385575589459084</v>
      </c>
      <c r="H14" s="11">
        <f>B14*B$8/B15</f>
        <v>8.0532445923460916</v>
      </c>
      <c r="I14" s="11">
        <f>C14*C$8/C15</f>
        <v>2.5047438330170775</v>
      </c>
      <c r="J14" s="12">
        <f>D14*D$8/D15</f>
        <v>1.4638783269961977</v>
      </c>
      <c r="K14" s="66">
        <f>SUM(G14:J14)</f>
        <v>20.260424311305275</v>
      </c>
    </row>
    <row r="15" spans="1:11">
      <c r="A15" s="66">
        <f>SUM(A12:A14)</f>
        <v>18.024999999999999</v>
      </c>
      <c r="B15" s="66">
        <f>SUM(B12:B14)</f>
        <v>20.033333333333331</v>
      </c>
      <c r="C15" s="66">
        <f>SUM(C12:C14)</f>
        <v>13.175000000000001</v>
      </c>
      <c r="D15" s="66">
        <f>SUM(D12:D14)</f>
        <v>8.7666666666666657</v>
      </c>
      <c r="E15" s="66">
        <f>SUM(A15:D15)</f>
        <v>60</v>
      </c>
      <c r="G15" s="66">
        <f>SUM(G12:G14)</f>
        <v>18</v>
      </c>
      <c r="H15" s="66">
        <f>SUM(H12:H14)</f>
        <v>16.000000000000004</v>
      </c>
      <c r="I15" s="66">
        <f>SUM(I12:I14)</f>
        <v>11.999999999999998</v>
      </c>
      <c r="J15" s="66">
        <f>SUM(J12:J14)</f>
        <v>14</v>
      </c>
      <c r="K15" s="66">
        <f>SUM(G15:J15)</f>
        <v>60</v>
      </c>
    </row>
    <row r="17" spans="1:11">
      <c r="A17" s="553">
        <f t="shared" ref="A17:D19" si="2">G12*$E12/$K12</f>
        <v>5.7417988630816508</v>
      </c>
      <c r="B17" s="557">
        <f t="shared" si="2"/>
        <v>2.2960826291080814</v>
      </c>
      <c r="C17" s="557">
        <f t="shared" si="2"/>
        <v>3.9277390704761568</v>
      </c>
      <c r="D17" s="552">
        <f t="shared" si="2"/>
        <v>8.0343794373341115</v>
      </c>
      <c r="E17" s="66">
        <f>SUM(A17:D17)</f>
        <v>20</v>
      </c>
      <c r="G17" s="553">
        <f>A17*A$8/A20</f>
        <v>5.6916063135544244</v>
      </c>
      <c r="H17" s="557">
        <f>B17*B$8/B20</f>
        <v>2.2140436175448652</v>
      </c>
      <c r="I17" s="557">
        <f>C17*C$8/C20</f>
        <v>3.9527906950385421</v>
      </c>
      <c r="J17" s="552">
        <f>D17*D$8/D20</f>
        <v>8.4417207486815666</v>
      </c>
      <c r="K17" s="66">
        <f>SUM(G17:J17)</f>
        <v>20.300161374819396</v>
      </c>
    </row>
    <row r="18" spans="1:11">
      <c r="A18" s="7">
        <f t="shared" si="2"/>
        <v>3.4710111988653054</v>
      </c>
      <c r="B18" s="8">
        <f t="shared" si="2"/>
        <v>5.552077813381886</v>
      </c>
      <c r="C18" s="8">
        <f t="shared" si="2"/>
        <v>5.2764053855827218</v>
      </c>
      <c r="D18" s="9">
        <f t="shared" si="2"/>
        <v>3.7005056021700877</v>
      </c>
      <c r="E18" s="66">
        <f>SUM(A18:D18)</f>
        <v>18</v>
      </c>
      <c r="G18" s="7">
        <f>A18*A$8/A20</f>
        <v>3.4406689828345787</v>
      </c>
      <c r="H18" s="8">
        <f>B18*B$8/B20</f>
        <v>5.3537021233446129</v>
      </c>
      <c r="I18" s="8">
        <f>C18*C$8/C20</f>
        <v>5.3100589772258502</v>
      </c>
      <c r="J18" s="9">
        <f>D18*D$8/D20</f>
        <v>3.8881204411745953</v>
      </c>
      <c r="K18" s="66">
        <f>SUM(G18:J18)</f>
        <v>17.992550524579638</v>
      </c>
    </row>
    <row r="19" spans="1:11">
      <c r="A19" s="533">
        <f t="shared" si="2"/>
        <v>8.9459264777428107</v>
      </c>
      <c r="B19" s="11">
        <f t="shared" si="2"/>
        <v>8.7447023966202302</v>
      </c>
      <c r="C19" s="11">
        <f t="shared" si="2"/>
        <v>2.7198030741946306</v>
      </c>
      <c r="D19" s="12">
        <f t="shared" si="2"/>
        <v>1.5895680514423309</v>
      </c>
      <c r="E19" s="66">
        <f>SUM(A19:D19)</f>
        <v>22.000000000000004</v>
      </c>
      <c r="G19" s="533">
        <f>A19*A$8/A20</f>
        <v>8.8677247036109943</v>
      </c>
      <c r="H19" s="11">
        <f>B19*B$8/B20</f>
        <v>8.4322542591105236</v>
      </c>
      <c r="I19" s="11">
        <f>C19*C$8/C20</f>
        <v>2.7371503277356064</v>
      </c>
      <c r="J19" s="12">
        <f>D19*D$8/D20</f>
        <v>1.6701588101438374</v>
      </c>
      <c r="K19" s="66">
        <f>SUM(G19:J19)</f>
        <v>21.707288100600962</v>
      </c>
    </row>
    <row r="20" spans="1:11">
      <c r="A20" s="66">
        <f>SUM(A17:A19)</f>
        <v>18.15873653968977</v>
      </c>
      <c r="B20" s="66">
        <f>SUM(B17:B19)</f>
        <v>16.592862839110197</v>
      </c>
      <c r="C20" s="66">
        <f>SUM(C17:C19)</f>
        <v>11.923947530253511</v>
      </c>
      <c r="D20" s="66">
        <f>SUM(D17:D19)</f>
        <v>13.32445309094653</v>
      </c>
      <c r="E20" s="66">
        <f>SUM(A20:D20)</f>
        <v>60.000000000000014</v>
      </c>
      <c r="G20" s="66">
        <f>SUM(G17:G19)</f>
        <v>18</v>
      </c>
      <c r="H20" s="66">
        <f>SUM(H17:H19)</f>
        <v>16</v>
      </c>
      <c r="I20" s="66">
        <f>SUM(I17:I19)</f>
        <v>12</v>
      </c>
      <c r="J20" s="66">
        <f>SUM(J17:J19)</f>
        <v>13.999999999999998</v>
      </c>
      <c r="K20" s="66">
        <f>SUM(G20:J20)</f>
        <v>60</v>
      </c>
    </row>
    <row r="22" spans="1:11">
      <c r="A22" s="553">
        <f t="shared" ref="A22:D24" si="3">G17*$E17/$K17</f>
        <v>5.6074493285697447</v>
      </c>
      <c r="B22" s="557">
        <f t="shared" si="3"/>
        <v>2.1813064208358419</v>
      </c>
      <c r="C22" s="557">
        <f t="shared" si="3"/>
        <v>3.894344110920851</v>
      </c>
      <c r="D22" s="552">
        <f t="shared" si="3"/>
        <v>8.3169001396735656</v>
      </c>
      <c r="E22" s="66">
        <f>SUM(A22:D22)</f>
        <v>20.000000000000004</v>
      </c>
      <c r="G22" s="553">
        <f>A22*A$8/A25</f>
        <v>5.5959948302616116</v>
      </c>
      <c r="H22" s="557">
        <f>B22*B$8/B25</f>
        <v>2.1700244468481822</v>
      </c>
      <c r="I22" s="557">
        <f>C22*C$8/C25</f>
        <v>3.9006302868539762</v>
      </c>
      <c r="J22" s="552">
        <f>D22*D$8/D25</f>
        <v>8.3771495276477612</v>
      </c>
      <c r="K22" s="66">
        <f>SUM(G22:J22)</f>
        <v>20.043799091611533</v>
      </c>
    </row>
    <row r="23" spans="1:11">
      <c r="A23" s="7">
        <f t="shared" si="3"/>
        <v>3.4420935267858219</v>
      </c>
      <c r="B23" s="8">
        <f t="shared" si="3"/>
        <v>5.3559187225044322</v>
      </c>
      <c r="C23" s="8">
        <f t="shared" si="3"/>
        <v>5.3122575067660325</v>
      </c>
      <c r="D23" s="9">
        <f t="shared" si="3"/>
        <v>3.8897302439437116</v>
      </c>
      <c r="E23" s="66">
        <f>SUM(A23:D23)</f>
        <v>18</v>
      </c>
      <c r="G23" s="7">
        <f>A23*A$8/A25</f>
        <v>3.4350622631633185</v>
      </c>
      <c r="H23" s="8">
        <f>B23*B$8/B25</f>
        <v>5.3282172794012848</v>
      </c>
      <c r="I23" s="8">
        <f>C23*C$8/C25</f>
        <v>5.3208324514392444</v>
      </c>
      <c r="J23" s="9">
        <f>D23*D$8/D25</f>
        <v>3.9179082745376346</v>
      </c>
      <c r="K23" s="66">
        <f>SUM(G23:J23)</f>
        <v>18.002020268541482</v>
      </c>
    </row>
    <row r="24" spans="1:11">
      <c r="A24" s="533">
        <f t="shared" si="3"/>
        <v>8.9873015263496168</v>
      </c>
      <c r="B24" s="11">
        <f t="shared" si="3"/>
        <v>8.545958981181796</v>
      </c>
      <c r="C24" s="11">
        <f t="shared" si="3"/>
        <v>2.7740594279262476</v>
      </c>
      <c r="D24" s="12">
        <f t="shared" si="3"/>
        <v>1.692680064542341</v>
      </c>
      <c r="E24" s="66">
        <f>SUM(A24:D24)</f>
        <v>22</v>
      </c>
      <c r="G24" s="533">
        <f>A24*A$8/A25</f>
        <v>8.9689429065750694</v>
      </c>
      <c r="H24" s="11">
        <f>B24*B$8/B25</f>
        <v>8.5017582737505339</v>
      </c>
      <c r="I24" s="11">
        <f>C24*C$8/C25</f>
        <v>2.7785372617067781</v>
      </c>
      <c r="J24" s="12">
        <f>D24*D$8/D25</f>
        <v>1.704942197814606</v>
      </c>
      <c r="K24" s="66">
        <f>SUM(G24:J24)</f>
        <v>21.954180639846989</v>
      </c>
    </row>
    <row r="25" spans="1:11">
      <c r="A25" s="66">
        <f>SUM(A22:A24)</f>
        <v>18.036844381705183</v>
      </c>
      <c r="B25" s="66">
        <f>SUM(B22:B24)</f>
        <v>16.08318412452207</v>
      </c>
      <c r="C25" s="66">
        <f>SUM(C22:C24)</f>
        <v>11.980661045613132</v>
      </c>
      <c r="D25" s="66">
        <f>SUM(D22:D24)</f>
        <v>13.899310448159618</v>
      </c>
      <c r="E25" s="66">
        <f>SUM(A25:D25)</f>
        <v>60.000000000000007</v>
      </c>
      <c r="G25" s="66">
        <f>SUM(G22:G24)</f>
        <v>18</v>
      </c>
      <c r="H25" s="66">
        <f>SUM(H22:H24)</f>
        <v>16</v>
      </c>
      <c r="I25" s="66">
        <f>SUM(I22:I24)</f>
        <v>12</v>
      </c>
      <c r="J25" s="66">
        <f>SUM(J22:J24)</f>
        <v>14.000000000000002</v>
      </c>
      <c r="K25" s="66">
        <f>SUM(G25:J25)</f>
        <v>60</v>
      </c>
    </row>
    <row r="27" spans="1:11">
      <c r="A27" s="553">
        <f t="shared" ref="A27:D29" si="4">G22*$E22/$K22</f>
        <v>5.583766634942549</v>
      </c>
      <c r="B27" s="557">
        <f t="shared" si="4"/>
        <v>2.1652825763518582</v>
      </c>
      <c r="C27" s="557">
        <f t="shared" si="4"/>
        <v>3.8921067498490518</v>
      </c>
      <c r="D27" s="552">
        <f t="shared" si="4"/>
        <v>8.3588440388565424</v>
      </c>
      <c r="E27" s="66">
        <f>SUM(A27:D27)</f>
        <v>20</v>
      </c>
      <c r="G27" s="553">
        <f>A27*A$8/A30</f>
        <v>5.5818734827961372</v>
      </c>
      <c r="H27" s="557">
        <f>B27*B$8/B30</f>
        <v>2.1636052787140132</v>
      </c>
      <c r="I27" s="557">
        <f>C27*C$8/C30</f>
        <v>3.8931844264674336</v>
      </c>
      <c r="J27" s="552">
        <f>D27*D$8/D30</f>
        <v>8.3679213707207865</v>
      </c>
      <c r="K27" s="66">
        <f>SUM(G27:J27)</f>
        <v>20.006584558698371</v>
      </c>
    </row>
    <row r="28" spans="1:11">
      <c r="A28" s="7">
        <f t="shared" si="4"/>
        <v>3.4346767648623064</v>
      </c>
      <c r="B28" s="8">
        <f t="shared" si="4"/>
        <v>5.3276193226391451</v>
      </c>
      <c r="C28" s="8">
        <f t="shared" si="4"/>
        <v>5.3202353234360658</v>
      </c>
      <c r="D28" s="9">
        <f t="shared" si="4"/>
        <v>3.9174685890624832</v>
      </c>
      <c r="E28" s="66">
        <f>SUM(A28:D28)</f>
        <v>18</v>
      </c>
      <c r="G28" s="7">
        <f>A28*A$8/A30</f>
        <v>3.4335122524256767</v>
      </c>
      <c r="H28" s="8">
        <f>B28*B$8/B30</f>
        <v>5.3234923770834959</v>
      </c>
      <c r="I28" s="8">
        <f>C28*C$8/C30</f>
        <v>5.3217084313390233</v>
      </c>
      <c r="J28" s="9">
        <f>D28*D$8/D30</f>
        <v>3.9217227852510197</v>
      </c>
      <c r="K28" s="66">
        <f>SUM(G28:J28)</f>
        <v>18.000435846099215</v>
      </c>
    </row>
    <row r="29" spans="1:11">
      <c r="A29" s="533">
        <f t="shared" si="4"/>
        <v>8.9876614928876144</v>
      </c>
      <c r="B29" s="11">
        <f t="shared" si="4"/>
        <v>8.5195018247702325</v>
      </c>
      <c r="C29" s="11">
        <f t="shared" si="4"/>
        <v>2.7843361936542377</v>
      </c>
      <c r="D29" s="12">
        <f t="shared" si="4"/>
        <v>1.7085004886879147</v>
      </c>
      <c r="E29" s="66">
        <f>SUM(A29:D29)</f>
        <v>22</v>
      </c>
      <c r="G29" s="533">
        <f>A29*A$8/A30</f>
        <v>8.9846142647781857</v>
      </c>
      <c r="H29" s="11">
        <f>B29*B$8/B30</f>
        <v>8.5129023442024909</v>
      </c>
      <c r="I29" s="11">
        <f>C29*C$8/C30</f>
        <v>2.7851071421935432</v>
      </c>
      <c r="J29" s="12">
        <f>D29*D$8/D30</f>
        <v>1.710355844028193</v>
      </c>
      <c r="K29" s="66">
        <f>SUM(G29:J29)</f>
        <v>21.99297959520241</v>
      </c>
    </row>
    <row r="30" spans="1:11">
      <c r="A30" s="66">
        <f>SUM(A27:A29)</f>
        <v>18.00610489269247</v>
      </c>
      <c r="B30" s="66">
        <f>SUM(B27:B29)</f>
        <v>16.012403723761235</v>
      </c>
      <c r="C30" s="66">
        <f>SUM(C27:C29)</f>
        <v>11.996678266939355</v>
      </c>
      <c r="D30" s="66">
        <f>SUM(D27:D29)</f>
        <v>13.98481311660694</v>
      </c>
      <c r="E30" s="66">
        <f>SUM(A30:D30)</f>
        <v>60</v>
      </c>
      <c r="G30" s="66">
        <f>SUM(G27:G29)</f>
        <v>18</v>
      </c>
      <c r="H30" s="66">
        <f>SUM(H27:H29)</f>
        <v>16</v>
      </c>
      <c r="I30" s="66">
        <f>SUM(I27:I29)</f>
        <v>12</v>
      </c>
      <c r="J30" s="66">
        <f>SUM(J27:J29)</f>
        <v>14</v>
      </c>
      <c r="K30" s="66">
        <f>SUM(G30:J30)</f>
        <v>60</v>
      </c>
    </row>
    <row r="32" spans="1:11">
      <c r="A32" s="553">
        <f t="shared" ref="A32:D34" si="5">G27*$E27/$K27</f>
        <v>5.580036378942328</v>
      </c>
      <c r="B32" s="557">
        <f t="shared" si="5"/>
        <v>2.1628931938543507</v>
      </c>
      <c r="C32" s="557">
        <f t="shared" si="5"/>
        <v>3.8919031032458493</v>
      </c>
      <c r="D32" s="552">
        <f t="shared" si="5"/>
        <v>8.365167323957472</v>
      </c>
      <c r="E32" s="66">
        <f>SUM(A32:D32)</f>
        <v>20</v>
      </c>
      <c r="G32" s="553">
        <f>A32*A$8/A35</f>
        <v>5.5797425901597517</v>
      </c>
      <c r="H32" s="557">
        <f>B32*B$8/B35</f>
        <v>2.1626395661768831</v>
      </c>
      <c r="I32" s="557">
        <f>C32*C$8/C35</f>
        <v>3.8920721297400767</v>
      </c>
      <c r="J32" s="552">
        <f>D32*D$8/D35</f>
        <v>8.3665436437414993</v>
      </c>
      <c r="K32" s="66">
        <f>SUM(G32:J32)</f>
        <v>20.000997929818212</v>
      </c>
    </row>
    <row r="33" spans="1:11">
      <c r="A33" s="7">
        <f t="shared" si="5"/>
        <v>3.4334291164986013</v>
      </c>
      <c r="B33" s="8">
        <f t="shared" si="5"/>
        <v>5.3233634789053301</v>
      </c>
      <c r="C33" s="8">
        <f t="shared" si="5"/>
        <v>5.3215795763556892</v>
      </c>
      <c r="D33" s="9">
        <f t="shared" si="5"/>
        <v>3.9216278282403803</v>
      </c>
      <c r="E33" s="66">
        <f>SUM(A33:D33)</f>
        <v>18</v>
      </c>
      <c r="G33" s="7">
        <f>A33*A$8/A35</f>
        <v>3.4332483465373151</v>
      </c>
      <c r="H33" s="8">
        <f>B33*B$8/B35</f>
        <v>5.3227392445144197</v>
      </c>
      <c r="I33" s="8">
        <f>C33*C$8/C35</f>
        <v>5.3218106941188195</v>
      </c>
      <c r="J33" s="9">
        <f>D33*D$8/D35</f>
        <v>3.9222730531063719</v>
      </c>
      <c r="K33" s="66">
        <f>SUM(G33:J33)</f>
        <v>18.000071338276928</v>
      </c>
    </row>
    <row r="34" spans="1:11">
      <c r="A34" s="533">
        <f t="shared" si="5"/>
        <v>8.9874822540297519</v>
      </c>
      <c r="B34" s="11">
        <f t="shared" si="5"/>
        <v>8.5156197577389321</v>
      </c>
      <c r="C34" s="11">
        <f t="shared" si="5"/>
        <v>2.785996179509211</v>
      </c>
      <c r="D34" s="12">
        <f t="shared" si="5"/>
        <v>1.7109018087221093</v>
      </c>
      <c r="E34" s="66">
        <f>SUM(A34:D34)</f>
        <v>22.000000000000004</v>
      </c>
      <c r="G34" s="533">
        <f>A34*A$8/A35</f>
        <v>8.9870090633029314</v>
      </c>
      <c r="H34" s="11">
        <f>B34*B$8/B35</f>
        <v>8.5146211893086985</v>
      </c>
      <c r="I34" s="11">
        <f>C34*C$8/C35</f>
        <v>2.7861171761411052</v>
      </c>
      <c r="J34" s="12">
        <f>D34*D$8/D35</f>
        <v>1.7111833031521284</v>
      </c>
      <c r="K34" s="66">
        <f>SUM(G34:J34)</f>
        <v>21.998930731904863</v>
      </c>
    </row>
    <row r="35" spans="1:11">
      <c r="A35" s="66">
        <f>SUM(A32:A34)</f>
        <v>18.000947749470683</v>
      </c>
      <c r="B35" s="66">
        <f>SUM(B32:B34)</f>
        <v>16.001876430498612</v>
      </c>
      <c r="C35" s="66">
        <f>SUM(C32:C34)</f>
        <v>11.999478859110749</v>
      </c>
      <c r="D35" s="66">
        <f>SUM(D32:D34)</f>
        <v>13.997696960919962</v>
      </c>
      <c r="E35" s="66">
        <f>SUM(A35:D35)</f>
        <v>60.000000000000007</v>
      </c>
      <c r="G35" s="66">
        <f>SUM(G32:G34)</f>
        <v>18</v>
      </c>
      <c r="H35" s="66">
        <f>SUM(H32:H34)</f>
        <v>16</v>
      </c>
      <c r="I35" s="66">
        <f>SUM(I32:I34)</f>
        <v>12</v>
      </c>
      <c r="J35" s="66">
        <f>SUM(J32:J34)</f>
        <v>14</v>
      </c>
      <c r="K35" s="66">
        <f>SUM(G35:J35)</f>
        <v>60</v>
      </c>
    </row>
    <row r="37" spans="1:11">
      <c r="A37" s="553">
        <f t="shared" ref="A37:D39" si="6">G32*$E32/$K32</f>
        <v>5.5794641944752863</v>
      </c>
      <c r="B37" s="557">
        <f t="shared" si="6"/>
        <v>2.1625316634353946</v>
      </c>
      <c r="C37" s="557">
        <f t="shared" si="6"/>
        <v>3.8918779386878839</v>
      </c>
      <c r="D37" s="552">
        <f t="shared" si="6"/>
        <v>8.3661262034014356</v>
      </c>
      <c r="E37" s="66">
        <f>SUM(A37:D37)</f>
        <v>20</v>
      </c>
      <c r="G37" s="553">
        <f>A37*A$8/A40</f>
        <v>5.5794193064107827</v>
      </c>
      <c r="H37" s="557">
        <f>B37*B$8/B40</f>
        <v>2.162493163066538</v>
      </c>
      <c r="I37" s="557">
        <f>C37*C$8/C40</f>
        <v>3.8919038399788324</v>
      </c>
      <c r="J37" s="552">
        <f>D37*D$8/D40</f>
        <v>8.3663352496325647</v>
      </c>
      <c r="K37" s="66">
        <f>SUM(G37:J37)</f>
        <v>20.000151559088717</v>
      </c>
    </row>
    <row r="38" spans="1:11">
      <c r="A38" s="7">
        <f t="shared" si="6"/>
        <v>3.43323473981228</v>
      </c>
      <c r="B38" s="8">
        <f t="shared" si="6"/>
        <v>5.3227181493176783</v>
      </c>
      <c r="C38" s="8">
        <f t="shared" si="6"/>
        <v>5.321789602602129</v>
      </c>
      <c r="D38" s="9">
        <f t="shared" si="6"/>
        <v>3.9222575082679101</v>
      </c>
      <c r="E38" s="66">
        <f>SUM(A38:D38)</f>
        <v>17.999999999999996</v>
      </c>
      <c r="G38" s="7">
        <f>A38*A$8/A40</f>
        <v>3.4332071186542112</v>
      </c>
      <c r="H38" s="8">
        <f>B38*B$8/B40</f>
        <v>5.3226233869539481</v>
      </c>
      <c r="I38" s="8">
        <f>C38*C$8/C40</f>
        <v>5.3218250202650248</v>
      </c>
      <c r="J38" s="9">
        <f>D38*D$8/D40</f>
        <v>3.9223555145768856</v>
      </c>
      <c r="K38" s="66">
        <f>SUM(G38:J38)</f>
        <v>18.000011040450069</v>
      </c>
    </row>
    <row r="39" spans="1:11">
      <c r="A39" s="533">
        <f t="shared" si="6"/>
        <v>8.9874458809909914</v>
      </c>
      <c r="B39" s="11">
        <f t="shared" si="6"/>
        <v>8.5150350463679754</v>
      </c>
      <c r="C39" s="11">
        <f t="shared" si="6"/>
        <v>2.7862525966414049</v>
      </c>
      <c r="D39" s="12">
        <f t="shared" si="6"/>
        <v>1.7112664759996314</v>
      </c>
      <c r="E39" s="66">
        <f>SUM(A39:D39)</f>
        <v>22.000000000000004</v>
      </c>
      <c r="G39" s="533">
        <f>A39*A$8/A40</f>
        <v>8.9873735749350043</v>
      </c>
      <c r="H39" s="11">
        <f>B39*B$8/B40</f>
        <v>8.5148834499795125</v>
      </c>
      <c r="I39" s="11">
        <f>C39*C$8/C40</f>
        <v>2.7862711397561428</v>
      </c>
      <c r="J39" s="12">
        <f>D39*D$8/D40</f>
        <v>1.7113092357905511</v>
      </c>
      <c r="K39" s="66">
        <f>SUM(G39:J39)</f>
        <v>21.99983740046121</v>
      </c>
    </row>
    <row r="40" spans="1:11">
      <c r="A40" s="66">
        <f>SUM(A37:A39)</f>
        <v>18.00014481527856</v>
      </c>
      <c r="B40" s="66">
        <f>SUM(B37:B39)</f>
        <v>16.000284859121049</v>
      </c>
      <c r="C40" s="66">
        <f>SUM(C37:C39)</f>
        <v>11.999920137931419</v>
      </c>
      <c r="D40" s="66">
        <f>SUM(D37:D39)</f>
        <v>13.999650187668976</v>
      </c>
      <c r="E40" s="66">
        <f>SUM(A40:D40)</f>
        <v>60.000000000000007</v>
      </c>
      <c r="G40" s="66">
        <f>SUM(G37:G39)</f>
        <v>18</v>
      </c>
      <c r="H40" s="66">
        <f>SUM(H37:H39)</f>
        <v>15.999999999999998</v>
      </c>
      <c r="I40" s="66">
        <f>SUM(I37:I39)</f>
        <v>12</v>
      </c>
      <c r="J40" s="66">
        <f>SUM(J37:J39)</f>
        <v>14.000000000000002</v>
      </c>
      <c r="K40" s="66">
        <f>SUM(G40:J40)</f>
        <v>60</v>
      </c>
    </row>
    <row r="42" spans="1:11">
      <c r="A42" s="553">
        <f t="shared" ref="A42:D44" si="7">G37*$E37/$K37</f>
        <v>5.5793770261458979</v>
      </c>
      <c r="B42" s="557">
        <f t="shared" si="7"/>
        <v>2.1624767759160615</v>
      </c>
      <c r="C42" s="557">
        <f t="shared" si="7"/>
        <v>3.8918743475323563</v>
      </c>
      <c r="D42" s="552">
        <f t="shared" si="7"/>
        <v>8.3662718504056848</v>
      </c>
      <c r="E42" s="66">
        <f>SUM(A42:D42)</f>
        <v>20</v>
      </c>
      <c r="G42" s="553">
        <f>A42*A$8/A45</f>
        <v>5.5793701947917551</v>
      </c>
      <c r="H42" s="557">
        <f>B42*B$8/B45</f>
        <v>2.1624709262710726</v>
      </c>
      <c r="I42" s="557">
        <f>C42*C$8/C45</f>
        <v>3.8918782924244311</v>
      </c>
      <c r="J42" s="552">
        <f>D42*D$8/D45</f>
        <v>8.366303616571054</v>
      </c>
      <c r="K42" s="66">
        <f>SUM(G42:J42)</f>
        <v>20.000023030058315</v>
      </c>
    </row>
    <row r="43" spans="1:11">
      <c r="A43" s="7">
        <f t="shared" si="7"/>
        <v>3.4332050128692928</v>
      </c>
      <c r="B43" s="8">
        <f t="shared" si="7"/>
        <v>5.3226201222805196</v>
      </c>
      <c r="C43" s="8">
        <f t="shared" si="7"/>
        <v>5.3218217560812811</v>
      </c>
      <c r="D43" s="9">
        <f t="shared" si="7"/>
        <v>3.9223531087689043</v>
      </c>
      <c r="E43" s="66">
        <f>SUM(A43:D43)</f>
        <v>18</v>
      </c>
      <c r="G43" s="7">
        <f>A43*A$8/A45</f>
        <v>3.4332008092746662</v>
      </c>
      <c r="H43" s="8">
        <f>B43*B$8/B45</f>
        <v>5.3226057242354292</v>
      </c>
      <c r="I43" s="8">
        <f>C43*C$8/C45</f>
        <v>5.3218271504004688</v>
      </c>
      <c r="J43" s="9">
        <f>D43*D$8/D45</f>
        <v>3.9223680016769666</v>
      </c>
      <c r="K43" s="66">
        <f>SUM(G43:J43)</f>
        <v>18.000001685587534</v>
      </c>
    </row>
    <row r="44" spans="1:11">
      <c r="A44" s="533">
        <f t="shared" si="7"/>
        <v>8.9874400000985926</v>
      </c>
      <c r="B44" s="11">
        <f t="shared" si="7"/>
        <v>8.5149463829956353</v>
      </c>
      <c r="C44" s="11">
        <f t="shared" si="7"/>
        <v>2.7862917329266299</v>
      </c>
      <c r="D44" s="12">
        <f t="shared" si="7"/>
        <v>1.7113218839791446</v>
      </c>
      <c r="E44" s="66">
        <f>SUM(A44:D44)</f>
        <v>22</v>
      </c>
      <c r="G44" s="533">
        <f>A44*A$8/A45</f>
        <v>8.9874289959335769</v>
      </c>
      <c r="H44" s="11">
        <f>B44*B$8/B45</f>
        <v>8.5149233494934986</v>
      </c>
      <c r="I44" s="11">
        <f>C44*C$8/C45</f>
        <v>2.7862945571751006</v>
      </c>
      <c r="J44" s="12">
        <f>D44*D$8/D45</f>
        <v>1.7113283817519804</v>
      </c>
      <c r="K44" s="66">
        <f>SUM(G44:J44)</f>
        <v>21.999975284354157</v>
      </c>
    </row>
    <row r="45" spans="1:11">
      <c r="A45" s="66">
        <f>SUM(A42:A44)</f>
        <v>18.000022039113784</v>
      </c>
      <c r="B45" s="66">
        <f>SUM(B42:B44)</f>
        <v>16.000043281192216</v>
      </c>
      <c r="C45" s="66">
        <f>SUM(C42:C44)</f>
        <v>11.999987836540267</v>
      </c>
      <c r="D45" s="66">
        <f>SUM(D42:D44)</f>
        <v>13.999946843153733</v>
      </c>
      <c r="E45" s="66">
        <f>SUM(A45:D45)</f>
        <v>60</v>
      </c>
      <c r="G45" s="66">
        <f>SUM(G42:G44)</f>
        <v>18</v>
      </c>
      <c r="H45" s="66">
        <f>SUM(H42:H44)</f>
        <v>16</v>
      </c>
      <c r="I45" s="66">
        <f>SUM(I42:I44)</f>
        <v>12</v>
      </c>
      <c r="J45" s="66">
        <f>SUM(J42:J44)</f>
        <v>14.000000000000002</v>
      </c>
      <c r="K45" s="66">
        <f>SUM(G45:J45)</f>
        <v>60</v>
      </c>
    </row>
    <row r="47" spans="1:11">
      <c r="A47" s="553">
        <f t="shared" ref="A47:D49" si="8">G42*$E42/$K42</f>
        <v>5.579363770138106</v>
      </c>
      <c r="B47" s="557">
        <f t="shared" si="8"/>
        <v>2.1624684361823632</v>
      </c>
      <c r="C47" s="557">
        <f t="shared" si="8"/>
        <v>3.8918738109203899</v>
      </c>
      <c r="D47" s="552">
        <f t="shared" si="8"/>
        <v>8.3662939827591387</v>
      </c>
      <c r="E47" s="66">
        <f>SUM(A47:D47)</f>
        <v>19.999999999999996</v>
      </c>
      <c r="G47" s="553">
        <f>A47*A$8/A50</f>
        <v>5.5793627315449434</v>
      </c>
      <c r="H47" s="557">
        <f>B47*B$8/B50</f>
        <v>2.162467547207418</v>
      </c>
      <c r="I47" s="557">
        <f>C47*C$8/C50</f>
        <v>3.8918744107963681</v>
      </c>
      <c r="J47" s="552">
        <f>D47*D$8/D50</f>
        <v>8.3662988104379696</v>
      </c>
      <c r="K47" s="66">
        <f>SUM(G47:J47)</f>
        <v>20.000003499986697</v>
      </c>
    </row>
    <row r="48" spans="1:11">
      <c r="A48" s="7">
        <f t="shared" si="8"/>
        <v>3.4332004877768916</v>
      </c>
      <c r="B48" s="8">
        <f t="shared" si="8"/>
        <v>5.322605225806706</v>
      </c>
      <c r="C48" s="8">
        <f t="shared" si="8"/>
        <v>5.3218266520446535</v>
      </c>
      <c r="D48" s="9">
        <f t="shared" si="8"/>
        <v>3.9223676343717448</v>
      </c>
      <c r="E48" s="66">
        <f>SUM(A48:D48)</f>
        <v>17.999999999999996</v>
      </c>
      <c r="G48" s="7">
        <f>A48*A$8/A50</f>
        <v>3.4331998486899451</v>
      </c>
      <c r="H48" s="8">
        <f>B48*B$8/B50</f>
        <v>5.3226030377226587</v>
      </c>
      <c r="I48" s="8">
        <f>C48*C$8/C50</f>
        <v>5.3218274723271515</v>
      </c>
      <c r="J48" s="9">
        <f>D48*D$8/D50</f>
        <v>3.9223698977312726</v>
      </c>
      <c r="K48" s="66">
        <f>SUM(G48:J48)</f>
        <v>18.000000256471026</v>
      </c>
    </row>
    <row r="49" spans="1:11">
      <c r="A49" s="533">
        <f t="shared" si="8"/>
        <v>8.9874390927681969</v>
      </c>
      <c r="B49" s="11">
        <f t="shared" si="8"/>
        <v>8.5149329154965141</v>
      </c>
      <c r="C49" s="11">
        <f t="shared" si="8"/>
        <v>2.7862976874090486</v>
      </c>
      <c r="D49" s="12">
        <f t="shared" si="8"/>
        <v>1.7113303043262404</v>
      </c>
      <c r="E49" s="66">
        <f>SUM(A49:D49)</f>
        <v>22</v>
      </c>
      <c r="G49" s="533">
        <f>A49*A$8/A50</f>
        <v>8.9874374197651132</v>
      </c>
      <c r="H49" s="11">
        <f>B49*B$8/B50</f>
        <v>8.5149294150699202</v>
      </c>
      <c r="I49" s="11">
        <f>C49*C$8/C50</f>
        <v>2.7862981168764809</v>
      </c>
      <c r="J49" s="12">
        <f>D49*D$8/D50</f>
        <v>1.7113312918307557</v>
      </c>
      <c r="K49" s="66">
        <f>SUM(G49:J49)</f>
        <v>21.99999624354227</v>
      </c>
    </row>
    <row r="50" spans="1:11">
      <c r="A50" s="66">
        <f>SUM(A47:A49)</f>
        <v>18.000003350683194</v>
      </c>
      <c r="B50" s="66">
        <f>SUM(B47:B49)</f>
        <v>16.000006577485586</v>
      </c>
      <c r="C50" s="66">
        <f>SUM(C47:C49)</f>
        <v>11.999998150374092</v>
      </c>
      <c r="D50" s="66">
        <f>SUM(D47:D49)</f>
        <v>13.999991921457125</v>
      </c>
      <c r="E50" s="66">
        <f>SUM(A50:D50)</f>
        <v>59.999999999999993</v>
      </c>
      <c r="G50" s="66">
        <f>SUM(G47:G49)</f>
        <v>18</v>
      </c>
      <c r="H50" s="66">
        <f>SUM(H47:H49)</f>
        <v>15.999999999999996</v>
      </c>
      <c r="I50" s="66">
        <f>SUM(I47:I49)</f>
        <v>12</v>
      </c>
      <c r="J50" s="66">
        <f>SUM(J47:J49)</f>
        <v>13.999999999999998</v>
      </c>
      <c r="K50" s="66">
        <f>SUM(G50:J50)</f>
        <v>60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sheetPr codeName="Sheet157"/>
  <dimension ref="A1:K17"/>
  <sheetViews>
    <sheetView workbookViewId="0"/>
  </sheetViews>
  <sheetFormatPr defaultRowHeight="14.4"/>
  <cols>
    <col min="1" max="1" width="12.5546875" customWidth="1"/>
    <col min="6" max="6" width="6.88671875" customWidth="1"/>
    <col min="7" max="7" width="12.88671875" customWidth="1"/>
  </cols>
  <sheetData>
    <row r="1" spans="1:11">
      <c r="A1" s="1" t="s">
        <v>1378</v>
      </c>
    </row>
    <row r="3" spans="1:11">
      <c r="B3" t="s">
        <v>224</v>
      </c>
      <c r="H3" t="s">
        <v>1333</v>
      </c>
    </row>
    <row r="5" spans="1:11">
      <c r="B5" s="539" t="s">
        <v>375</v>
      </c>
      <c r="C5" s="539" t="s">
        <v>374</v>
      </c>
      <c r="D5" s="539" t="s">
        <v>376</v>
      </c>
      <c r="E5" s="539" t="s">
        <v>12</v>
      </c>
      <c r="F5" s="539"/>
      <c r="H5" s="539" t="s">
        <v>375</v>
      </c>
      <c r="I5" s="539" t="s">
        <v>374</v>
      </c>
      <c r="J5" s="539" t="s">
        <v>376</v>
      </c>
      <c r="K5" s="539" t="s">
        <v>12</v>
      </c>
    </row>
    <row r="6" spans="1:11">
      <c r="A6" t="s">
        <v>371</v>
      </c>
      <c r="B6" s="85">
        <v>20</v>
      </c>
      <c r="C6" s="115">
        <v>15</v>
      </c>
      <c r="D6" s="86">
        <v>10</v>
      </c>
      <c r="E6" s="539">
        <f>SUM(B6:D6)</f>
        <v>45</v>
      </c>
      <c r="F6" s="539"/>
      <c r="G6" t="s">
        <v>371</v>
      </c>
      <c r="H6" s="553">
        <v>1</v>
      </c>
      <c r="I6" s="557">
        <v>1</v>
      </c>
      <c r="J6" s="552">
        <v>1</v>
      </c>
      <c r="K6" s="66">
        <f>SUM(H6:J6)</f>
        <v>3</v>
      </c>
    </row>
    <row r="7" spans="1:11">
      <c r="A7" t="s">
        <v>372</v>
      </c>
      <c r="B7" s="87">
        <v>40</v>
      </c>
      <c r="C7" s="117">
        <v>25</v>
      </c>
      <c r="D7" s="88">
        <v>20</v>
      </c>
      <c r="E7" s="539">
        <f>SUM(B7:D7)</f>
        <v>85</v>
      </c>
      <c r="F7" s="539"/>
      <c r="G7" t="s">
        <v>372</v>
      </c>
      <c r="H7" s="7">
        <v>1</v>
      </c>
      <c r="I7" s="8">
        <v>1</v>
      </c>
      <c r="J7" s="9">
        <v>1</v>
      </c>
      <c r="K7" s="66">
        <f>SUM(H7:J7)</f>
        <v>3</v>
      </c>
    </row>
    <row r="8" spans="1:11">
      <c r="A8" t="s">
        <v>373</v>
      </c>
      <c r="B8" s="89">
        <v>8</v>
      </c>
      <c r="C8" s="540">
        <v>14</v>
      </c>
      <c r="D8" s="90">
        <v>23</v>
      </c>
      <c r="E8" s="539">
        <f>SUM(B8:D8)</f>
        <v>45</v>
      </c>
      <c r="F8" s="539"/>
      <c r="G8" t="s">
        <v>373</v>
      </c>
      <c r="H8" s="533">
        <v>1</v>
      </c>
      <c r="I8" s="11">
        <v>1</v>
      </c>
      <c r="J8" s="12">
        <v>1</v>
      </c>
      <c r="K8" s="66">
        <f>SUM(H8:J8)</f>
        <v>3</v>
      </c>
    </row>
    <row r="9" spans="1:11">
      <c r="A9" t="s">
        <v>12</v>
      </c>
      <c r="B9" s="539">
        <f>SUM(B6:B8)</f>
        <v>68</v>
      </c>
      <c r="C9" s="539">
        <f>SUM(C6:C8)</f>
        <v>54</v>
      </c>
      <c r="D9" s="539">
        <f>SUM(D6:D8)</f>
        <v>53</v>
      </c>
      <c r="E9" s="539">
        <f>SUM(B9:D9)</f>
        <v>175</v>
      </c>
      <c r="F9" s="539"/>
      <c r="G9" t="s">
        <v>12</v>
      </c>
      <c r="H9" s="66">
        <f>SUM(H6:H8)</f>
        <v>3</v>
      </c>
      <c r="I9" s="66">
        <f>SUM(I6:I8)</f>
        <v>3</v>
      </c>
      <c r="J9" s="66">
        <f>SUM(J6:J8)</f>
        <v>3</v>
      </c>
      <c r="K9" s="66">
        <f>SUM(H9:J9)</f>
        <v>9</v>
      </c>
    </row>
    <row r="11" spans="1:11">
      <c r="B11" t="s">
        <v>1376</v>
      </c>
      <c r="H11" t="s">
        <v>1377</v>
      </c>
    </row>
    <row r="13" spans="1:11">
      <c r="B13" s="539" t="s">
        <v>375</v>
      </c>
      <c r="C13" s="539" t="s">
        <v>374</v>
      </c>
      <c r="D13" s="539" t="s">
        <v>376</v>
      </c>
      <c r="E13" s="539" t="s">
        <v>12</v>
      </c>
      <c r="H13" s="539" t="s">
        <v>375</v>
      </c>
      <c r="I13" s="539" t="s">
        <v>374</v>
      </c>
      <c r="J13" s="539" t="s">
        <v>376</v>
      </c>
      <c r="K13" s="539" t="s">
        <v>12</v>
      </c>
    </row>
    <row r="14" spans="1:11">
      <c r="A14" t="s">
        <v>371</v>
      </c>
      <c r="B14" s="553">
        <f t="shared" ref="B14:D16" si="0">H6*$E6/$K6</f>
        <v>15</v>
      </c>
      <c r="C14" s="557">
        <f t="shared" si="0"/>
        <v>15</v>
      </c>
      <c r="D14" s="552">
        <f t="shared" si="0"/>
        <v>15</v>
      </c>
      <c r="E14" s="66">
        <f>SUM(B14:D14)</f>
        <v>45</v>
      </c>
      <c r="F14" s="66"/>
      <c r="G14" t="s">
        <v>371</v>
      </c>
      <c r="H14" s="553">
        <f>B14*B$9/B17</f>
        <v>17.485714285714288</v>
      </c>
      <c r="I14" s="557">
        <f>C14*C$9/C17</f>
        <v>13.885714285714286</v>
      </c>
      <c r="J14" s="552">
        <f>D14*D$9/D17</f>
        <v>13.62857142857143</v>
      </c>
      <c r="K14" s="66">
        <f>SUM(H14:J14)</f>
        <v>45</v>
      </c>
    </row>
    <row r="15" spans="1:11">
      <c r="A15" t="s">
        <v>372</v>
      </c>
      <c r="B15" s="7">
        <f t="shared" si="0"/>
        <v>28.333333333333332</v>
      </c>
      <c r="C15" s="8">
        <f t="shared" si="0"/>
        <v>28.333333333333332</v>
      </c>
      <c r="D15" s="9">
        <f t="shared" si="0"/>
        <v>28.333333333333332</v>
      </c>
      <c r="E15" s="66">
        <f>SUM(B15:D15)</f>
        <v>85</v>
      </c>
      <c r="F15" s="66"/>
      <c r="G15" t="s">
        <v>372</v>
      </c>
      <c r="H15" s="7">
        <f>B15*B$9/B17</f>
        <v>33.028571428571432</v>
      </c>
      <c r="I15" s="8">
        <f>C15*C$9/C17</f>
        <v>26.228571428571431</v>
      </c>
      <c r="J15" s="9">
        <f>D15*D$9/D17</f>
        <v>25.742857142857144</v>
      </c>
      <c r="K15" s="66">
        <f>SUM(H15:J15)</f>
        <v>85.000000000000014</v>
      </c>
    </row>
    <row r="16" spans="1:11">
      <c r="A16" t="s">
        <v>373</v>
      </c>
      <c r="B16" s="533">
        <f t="shared" si="0"/>
        <v>15</v>
      </c>
      <c r="C16" s="11">
        <f t="shared" si="0"/>
        <v>15</v>
      </c>
      <c r="D16" s="12">
        <f t="shared" si="0"/>
        <v>15</v>
      </c>
      <c r="E16" s="66">
        <f>SUM(B16:D16)</f>
        <v>45</v>
      </c>
      <c r="F16" s="66"/>
      <c r="G16" t="s">
        <v>373</v>
      </c>
      <c r="H16" s="533">
        <f>B16*B$9/B17</f>
        <v>17.485714285714288</v>
      </c>
      <c r="I16" s="11">
        <f>C16*C$9/C17</f>
        <v>13.885714285714286</v>
      </c>
      <c r="J16" s="12">
        <f>D16*D$9/D17</f>
        <v>13.62857142857143</v>
      </c>
      <c r="K16" s="66">
        <f>SUM(H16:J16)</f>
        <v>45</v>
      </c>
    </row>
    <row r="17" spans="1:11">
      <c r="A17" t="s">
        <v>12</v>
      </c>
      <c r="B17" s="66">
        <f>SUM(B14:B16)</f>
        <v>58.333333333333329</v>
      </c>
      <c r="C17" s="66">
        <f>SUM(C14:C16)</f>
        <v>58.333333333333329</v>
      </c>
      <c r="D17" s="66">
        <f>SUM(D14:D16)</f>
        <v>58.333333333333329</v>
      </c>
      <c r="E17" s="66">
        <f>SUM(B17:D17)</f>
        <v>175</v>
      </c>
      <c r="F17" s="66"/>
      <c r="G17" t="s">
        <v>12</v>
      </c>
      <c r="H17" s="66">
        <f>SUM(H14:H16)</f>
        <v>68</v>
      </c>
      <c r="I17" s="66">
        <f>SUM(I14:I16)</f>
        <v>54</v>
      </c>
      <c r="J17" s="66">
        <f>SUM(J14:J16)</f>
        <v>53</v>
      </c>
      <c r="K17" s="66">
        <f>SUM(H17:J17)</f>
        <v>175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sheetPr codeName="Sheet158"/>
  <dimension ref="A1:O25"/>
  <sheetViews>
    <sheetView workbookViewId="0"/>
  </sheetViews>
  <sheetFormatPr defaultRowHeight="14.4"/>
  <cols>
    <col min="1" max="15" width="7.6640625" customWidth="1"/>
    <col min="16" max="16" width="7.44140625" customWidth="1"/>
  </cols>
  <sheetData>
    <row r="1" spans="1:15">
      <c r="A1" s="1" t="s">
        <v>1383</v>
      </c>
      <c r="C1" s="1"/>
      <c r="I1" s="1"/>
      <c r="K1" s="1" t="s">
        <v>1381</v>
      </c>
    </row>
    <row r="3" spans="1:15">
      <c r="C3" s="1552" t="s">
        <v>1380</v>
      </c>
      <c r="D3" s="1552"/>
      <c r="E3" s="1552"/>
      <c r="F3" s="1552"/>
      <c r="K3" s="1552" t="s">
        <v>1380</v>
      </c>
      <c r="L3" s="1552"/>
      <c r="M3" s="1552"/>
      <c r="N3" s="1552"/>
    </row>
    <row r="4" spans="1:15">
      <c r="A4" s="539" t="s">
        <v>134</v>
      </c>
      <c r="B4" s="539" t="s">
        <v>1379</v>
      </c>
      <c r="C4">
        <v>1</v>
      </c>
      <c r="D4">
        <f>C4+1</f>
        <v>2</v>
      </c>
      <c r="E4">
        <f>D4+1</f>
        <v>3</v>
      </c>
      <c r="F4">
        <f>E4+1</f>
        <v>4</v>
      </c>
      <c r="I4" s="539" t="s">
        <v>134</v>
      </c>
      <c r="J4" s="539" t="s">
        <v>1379</v>
      </c>
      <c r="K4">
        <v>1</v>
      </c>
      <c r="L4">
        <f>K4+1</f>
        <v>2</v>
      </c>
      <c r="M4">
        <f>L4+1</f>
        <v>3</v>
      </c>
      <c r="N4">
        <f>M4+1</f>
        <v>4</v>
      </c>
    </row>
    <row r="5" spans="1:15">
      <c r="A5" s="539">
        <v>1</v>
      </c>
      <c r="B5" s="539">
        <v>1</v>
      </c>
      <c r="C5" s="576">
        <v>5</v>
      </c>
      <c r="D5" s="577">
        <v>4</v>
      </c>
      <c r="E5" s="577">
        <v>6</v>
      </c>
      <c r="F5" s="578">
        <v>7</v>
      </c>
      <c r="G5" s="488">
        <f t="shared" ref="G5:G10" si="0">SUM(C5:F5)</f>
        <v>22</v>
      </c>
      <c r="I5" s="539">
        <v>1</v>
      </c>
      <c r="J5" s="539">
        <v>1</v>
      </c>
      <c r="K5" s="576">
        <v>7</v>
      </c>
      <c r="L5" s="577">
        <v>8</v>
      </c>
      <c r="M5" s="577">
        <v>5</v>
      </c>
      <c r="N5" s="578">
        <v>8</v>
      </c>
      <c r="O5" s="488">
        <f t="shared" ref="O5:O10" si="1">SUM(K5:N5)</f>
        <v>28</v>
      </c>
    </row>
    <row r="6" spans="1:15">
      <c r="A6" s="539">
        <v>1</v>
      </c>
      <c r="B6" s="539">
        <v>2</v>
      </c>
      <c r="C6" s="579">
        <v>3</v>
      </c>
      <c r="D6" s="580">
        <v>6</v>
      </c>
      <c r="E6" s="580">
        <v>5</v>
      </c>
      <c r="F6" s="581">
        <v>2</v>
      </c>
      <c r="G6" s="488">
        <f t="shared" si="0"/>
        <v>16</v>
      </c>
      <c r="I6" s="539">
        <v>1</v>
      </c>
      <c r="J6" s="539">
        <v>2</v>
      </c>
      <c r="K6" s="579">
        <v>5</v>
      </c>
      <c r="L6" s="580">
        <v>6</v>
      </c>
      <c r="M6" s="580">
        <v>7</v>
      </c>
      <c r="N6" s="581">
        <v>4</v>
      </c>
      <c r="O6" s="488">
        <f t="shared" si="1"/>
        <v>22</v>
      </c>
    </row>
    <row r="7" spans="1:15">
      <c r="A7" s="539">
        <v>2</v>
      </c>
      <c r="B7" s="539">
        <v>1</v>
      </c>
      <c r="C7" s="579">
        <v>9</v>
      </c>
      <c r="D7" s="580">
        <v>11</v>
      </c>
      <c r="E7" s="580">
        <v>3</v>
      </c>
      <c r="F7" s="581">
        <v>1</v>
      </c>
      <c r="G7" s="488">
        <f t="shared" si="0"/>
        <v>24</v>
      </c>
      <c r="I7" s="539">
        <v>2</v>
      </c>
      <c r="J7" s="539">
        <v>1</v>
      </c>
      <c r="K7" s="579">
        <v>12</v>
      </c>
      <c r="L7" s="580">
        <v>10</v>
      </c>
      <c r="M7" s="580">
        <v>5</v>
      </c>
      <c r="N7" s="581">
        <v>2</v>
      </c>
      <c r="O7" s="488">
        <f t="shared" si="1"/>
        <v>29</v>
      </c>
    </row>
    <row r="8" spans="1:15">
      <c r="A8" s="539">
        <v>2</v>
      </c>
      <c r="B8" s="539">
        <v>2</v>
      </c>
      <c r="C8" s="579">
        <v>2</v>
      </c>
      <c r="D8" s="580">
        <v>5</v>
      </c>
      <c r="E8" s="580">
        <v>7</v>
      </c>
      <c r="F8" s="581">
        <v>3</v>
      </c>
      <c r="G8" s="488">
        <f t="shared" si="0"/>
        <v>17</v>
      </c>
      <c r="I8" s="539">
        <v>2</v>
      </c>
      <c r="J8" s="539">
        <v>2</v>
      </c>
      <c r="K8" s="579">
        <v>3</v>
      </c>
      <c r="L8" s="580">
        <v>4</v>
      </c>
      <c r="M8" s="580">
        <v>8</v>
      </c>
      <c r="N8" s="581">
        <v>5</v>
      </c>
      <c r="O8" s="488">
        <f t="shared" si="1"/>
        <v>20</v>
      </c>
    </row>
    <row r="9" spans="1:15">
      <c r="A9" s="539">
        <v>3</v>
      </c>
      <c r="B9" s="539">
        <v>1</v>
      </c>
      <c r="C9" s="579">
        <v>8</v>
      </c>
      <c r="D9" s="580">
        <v>4</v>
      </c>
      <c r="E9" s="580">
        <v>12</v>
      </c>
      <c r="F9" s="581">
        <v>6</v>
      </c>
      <c r="G9" s="488">
        <f t="shared" si="0"/>
        <v>30</v>
      </c>
      <c r="I9" s="539">
        <v>3</v>
      </c>
      <c r="J9" s="539">
        <v>1</v>
      </c>
      <c r="K9" s="579">
        <v>9</v>
      </c>
      <c r="L9" s="580">
        <v>6</v>
      </c>
      <c r="M9" s="580">
        <v>11</v>
      </c>
      <c r="N9" s="581">
        <v>7</v>
      </c>
      <c r="O9" s="488">
        <f t="shared" si="1"/>
        <v>33</v>
      </c>
    </row>
    <row r="10" spans="1:15">
      <c r="A10" s="539">
        <v>3</v>
      </c>
      <c r="B10" s="539">
        <v>2</v>
      </c>
      <c r="C10" s="582">
        <v>13</v>
      </c>
      <c r="D10" s="583">
        <v>8</v>
      </c>
      <c r="E10" s="583">
        <v>2</v>
      </c>
      <c r="F10" s="584">
        <v>11</v>
      </c>
      <c r="G10" s="488">
        <f t="shared" si="0"/>
        <v>34</v>
      </c>
      <c r="I10" s="539">
        <v>3</v>
      </c>
      <c r="J10" s="539">
        <v>2</v>
      </c>
      <c r="K10" s="582">
        <v>15</v>
      </c>
      <c r="L10" s="583">
        <v>10</v>
      </c>
      <c r="M10" s="583">
        <v>5</v>
      </c>
      <c r="N10" s="584">
        <v>13</v>
      </c>
      <c r="O10" s="488">
        <f t="shared" si="1"/>
        <v>43</v>
      </c>
    </row>
    <row r="11" spans="1:15">
      <c r="C11" s="585">
        <f>SUM(C5:C10)</f>
        <v>40</v>
      </c>
      <c r="D11" s="585">
        <f>SUM(D5:D10)</f>
        <v>38</v>
      </c>
      <c r="E11" s="585">
        <f>SUM(E5:E10)</f>
        <v>35</v>
      </c>
      <c r="F11" s="585">
        <f>SUM(F5:F10)</f>
        <v>30</v>
      </c>
      <c r="G11" s="587">
        <f>SUM(G5:G10)</f>
        <v>143</v>
      </c>
      <c r="K11" s="585">
        <f>SUM(K5:K10)</f>
        <v>51</v>
      </c>
      <c r="L11" s="585">
        <f>SUM(L5:L10)</f>
        <v>44</v>
      </c>
      <c r="M11" s="585">
        <f>SUM(M5:M10)</f>
        <v>41</v>
      </c>
      <c r="N11" s="585">
        <f>SUM(N5:N10)</f>
        <v>39</v>
      </c>
      <c r="O11" s="587">
        <f>SUM(O5:O10)</f>
        <v>175</v>
      </c>
    </row>
    <row r="12" spans="1:15">
      <c r="O12" s="568"/>
    </row>
    <row r="13" spans="1:15">
      <c r="A13" s="539">
        <v>1</v>
      </c>
      <c r="C13" s="569">
        <f>SUMIF(A5:A10,A13,C5:C10)</f>
        <v>8</v>
      </c>
      <c r="D13" s="570">
        <f>SUMIF(A5:A10,A13,D5:D10)</f>
        <v>10</v>
      </c>
      <c r="E13" s="570">
        <f>SUMIF(A5:A10,A13,E5:E10)</f>
        <v>11</v>
      </c>
      <c r="F13" s="571">
        <f>SUMIF(A5:A10,A13,F5:F10)</f>
        <v>9</v>
      </c>
      <c r="G13" s="586">
        <f>SUM(C13:F13)</f>
        <v>38</v>
      </c>
      <c r="I13" s="539">
        <v>1</v>
      </c>
      <c r="K13" s="569">
        <f>SUMIF(I5:I10,I13,K5:K10)</f>
        <v>12</v>
      </c>
      <c r="L13" s="570">
        <f>SUMIF(I5:I10,I13,L5:L10)</f>
        <v>14</v>
      </c>
      <c r="M13" s="570">
        <f>SUMIF(I5:I10,I13,M5:M10)</f>
        <v>12</v>
      </c>
      <c r="N13" s="571">
        <f>SUMIF(I5:I10,I13,N5:N10)</f>
        <v>12</v>
      </c>
      <c r="O13" s="586">
        <f>SUM(K13:N13)</f>
        <v>50</v>
      </c>
    </row>
    <row r="14" spans="1:15">
      <c r="A14" s="539">
        <v>2</v>
      </c>
      <c r="C14" s="572">
        <f>SUMIF(A5:A10,A14,C5:C10)</f>
        <v>11</v>
      </c>
      <c r="D14" s="488">
        <f>SUMIF(A5:A10,A14,D5:D10)</f>
        <v>16</v>
      </c>
      <c r="E14" s="488">
        <f>SUMIF(A5:A10,A14,E5:E10)</f>
        <v>10</v>
      </c>
      <c r="F14" s="485">
        <f>SUMIF(A5:A10,A14,F5:F10)</f>
        <v>4</v>
      </c>
      <c r="G14" s="586">
        <f>SUM(C14:F14)</f>
        <v>41</v>
      </c>
      <c r="I14" s="539">
        <v>2</v>
      </c>
      <c r="K14" s="572">
        <f>SUMIF(I5:I10,I14,K5:K10)</f>
        <v>15</v>
      </c>
      <c r="L14" s="488">
        <f>SUMIF(I5:I10,I14,L5:L10)</f>
        <v>14</v>
      </c>
      <c r="M14" s="488">
        <f>SUMIF(I5:I10,I14,M5:M10)</f>
        <v>13</v>
      </c>
      <c r="N14" s="485">
        <f>SUMIF(I5:I10,I14,N5:N10)</f>
        <v>7</v>
      </c>
      <c r="O14" s="586">
        <f>SUM(K14:N14)</f>
        <v>49</v>
      </c>
    </row>
    <row r="15" spans="1:15">
      <c r="A15" s="539">
        <v>3</v>
      </c>
      <c r="C15" s="573">
        <f>SUMIF(A5:A10,A15,C5:C10)</f>
        <v>21</v>
      </c>
      <c r="D15" s="574">
        <f>SUMIF(A5:A10,A15,D5:D10)</f>
        <v>12</v>
      </c>
      <c r="E15" s="574">
        <f>SUMIF(A5:A10,A15,E5:E10)</f>
        <v>14</v>
      </c>
      <c r="F15" s="575">
        <f>SUMIF(A5:A10,A15,F5:F10)</f>
        <v>17</v>
      </c>
      <c r="G15" s="586">
        <f>SUM(C15:F15)</f>
        <v>64</v>
      </c>
      <c r="I15" s="539">
        <v>3</v>
      </c>
      <c r="K15" s="573">
        <f>SUMIF(I5:I10,I15,K5:K10)</f>
        <v>24</v>
      </c>
      <c r="L15" s="574">
        <f>SUMIF(I5:I10,I15,L5:L10)</f>
        <v>16</v>
      </c>
      <c r="M15" s="574">
        <f>SUMIF(I5:I10,I15,M5:M10)</f>
        <v>16</v>
      </c>
      <c r="N15" s="575">
        <f>SUMIF(I5:I10,I15,N5:N10)</f>
        <v>20</v>
      </c>
      <c r="O15" s="586">
        <f>SUM(K15:N15)</f>
        <v>76</v>
      </c>
    </row>
    <row r="17" spans="2:15">
      <c r="B17" s="539">
        <v>1</v>
      </c>
      <c r="C17" s="569">
        <f>SUMIF(B5:B10,B17,C5:C10)</f>
        <v>22</v>
      </c>
      <c r="D17" s="570">
        <f>SUMIF(B5:B10,B17,D5:D10)</f>
        <v>19</v>
      </c>
      <c r="E17" s="570">
        <f>SUMIF(B5:B10,B17,E5:E10)</f>
        <v>21</v>
      </c>
      <c r="F17" s="571">
        <f>SUMIF(B5:B10,B17,F5:F10)</f>
        <v>14</v>
      </c>
      <c r="G17" s="586">
        <f>SUM(C17:F17)</f>
        <v>76</v>
      </c>
      <c r="J17" s="539">
        <v>1</v>
      </c>
      <c r="K17" s="569">
        <f>SUMIF(J5:J10,J17,K5:K10)</f>
        <v>28</v>
      </c>
      <c r="L17" s="570">
        <f>SUMIF(J5:J10,J17,L5:L10)</f>
        <v>24</v>
      </c>
      <c r="M17" s="570">
        <f>SUMIF(J5:J10,J17,M5:M10)</f>
        <v>21</v>
      </c>
      <c r="N17" s="571">
        <f>SUMIF(J5:J10,J17,N5:N10)</f>
        <v>17</v>
      </c>
      <c r="O17" s="586">
        <f>SUM(K17:N17)</f>
        <v>90</v>
      </c>
    </row>
    <row r="18" spans="2:15">
      <c r="B18" s="539">
        <v>2</v>
      </c>
      <c r="C18" s="573">
        <f>SUMIF(B5:B10,B18,C5:C10)</f>
        <v>18</v>
      </c>
      <c r="D18" s="574">
        <f>SUMIF(B5:B10,B18,D5:D10)</f>
        <v>19</v>
      </c>
      <c r="E18" s="574">
        <f>SUMIF(B5:B10,B18,E5:E10)</f>
        <v>14</v>
      </c>
      <c r="F18" s="575">
        <f>SUMIF(B5:B10,B18,F5:F10)</f>
        <v>16</v>
      </c>
      <c r="G18" s="586">
        <f>SUM(C18:F18)</f>
        <v>67</v>
      </c>
      <c r="J18" s="539">
        <v>2</v>
      </c>
      <c r="K18" s="573">
        <f>SUMIF(J5:J10,J18,K5:K10)</f>
        <v>23</v>
      </c>
      <c r="L18" s="574">
        <f>SUMIF(J5:J10,J18,L5:L10)</f>
        <v>20</v>
      </c>
      <c r="M18" s="574">
        <f>SUMIF(J5:J10,J18,M5:M10)</f>
        <v>20</v>
      </c>
      <c r="N18" s="575">
        <f>SUMIF(J5:J10,J18,N5:N10)</f>
        <v>22</v>
      </c>
      <c r="O18" s="586">
        <f>SUM(K18:N18)</f>
        <v>85</v>
      </c>
    </row>
    <row r="19" spans="2:15">
      <c r="O19" s="568"/>
    </row>
    <row r="20" spans="2:15">
      <c r="O20" s="568"/>
    </row>
    <row r="21" spans="2:15">
      <c r="O21" s="568"/>
    </row>
    <row r="22" spans="2:15">
      <c r="O22" s="568"/>
    </row>
    <row r="23" spans="2:15">
      <c r="O23" s="568"/>
    </row>
    <row r="24" spans="2:15">
      <c r="O24" s="568"/>
    </row>
    <row r="25" spans="2:15">
      <c r="O25" s="568"/>
    </row>
  </sheetData>
  <mergeCells count="2">
    <mergeCell ref="K3:N3"/>
    <mergeCell ref="C3:F3"/>
  </mergeCells>
  <pageMargins left="0.7" right="0.7" top="0.75" bottom="0.75" header="0.3" footer="0.3"/>
  <ignoredErrors>
    <ignoredError sqref="G5:G10 C11 O5:O10 K11" formulaRange="1"/>
  </ignoredErrors>
</worksheet>
</file>

<file path=xl/worksheets/sheet328.xml><?xml version="1.0" encoding="utf-8"?>
<worksheet xmlns="http://schemas.openxmlformats.org/spreadsheetml/2006/main" xmlns:r="http://schemas.openxmlformats.org/officeDocument/2006/relationships">
  <sheetPr codeName="Sheet159"/>
  <dimension ref="A1:W325"/>
  <sheetViews>
    <sheetView zoomScaleNormal="100" workbookViewId="0"/>
  </sheetViews>
  <sheetFormatPr defaultRowHeight="14.4"/>
  <cols>
    <col min="1" max="23" width="7.6640625" customWidth="1"/>
  </cols>
  <sheetData>
    <row r="1" spans="1:23">
      <c r="A1" s="1" t="s">
        <v>1374</v>
      </c>
    </row>
    <row r="2" spans="1:23">
      <c r="C2" s="1"/>
      <c r="Q2" s="1"/>
      <c r="S2" s="1"/>
    </row>
    <row r="3" spans="1:23">
      <c r="B3" t="s">
        <v>1382</v>
      </c>
      <c r="R3" t="s">
        <v>1333</v>
      </c>
    </row>
    <row r="4" spans="1:23">
      <c r="C4" s="1552" t="s">
        <v>1380</v>
      </c>
      <c r="D4" s="1552"/>
      <c r="E4" s="1552"/>
      <c r="F4" s="1552"/>
      <c r="S4" s="1552" t="s">
        <v>1380</v>
      </c>
      <c r="T4" s="1552"/>
      <c r="U4" s="1552"/>
      <c r="V4" s="1552"/>
    </row>
    <row r="5" spans="1:23">
      <c r="A5" s="539" t="s">
        <v>134</v>
      </c>
      <c r="B5" s="539" t="s">
        <v>1379</v>
      </c>
      <c r="C5">
        <v>1</v>
      </c>
      <c r="D5">
        <f>C5+1</f>
        <v>2</v>
      </c>
      <c r="E5">
        <f>D5+1</f>
        <v>3</v>
      </c>
      <c r="F5">
        <f>E5+1</f>
        <v>4</v>
      </c>
      <c r="Q5" s="539" t="s">
        <v>134</v>
      </c>
      <c r="R5" s="539" t="s">
        <v>1379</v>
      </c>
      <c r="S5">
        <v>1</v>
      </c>
      <c r="T5">
        <f>S5+1</f>
        <v>2</v>
      </c>
      <c r="U5">
        <f>T5+1</f>
        <v>3</v>
      </c>
      <c r="V5">
        <f>U5+1</f>
        <v>4</v>
      </c>
    </row>
    <row r="6" spans="1:23">
      <c r="A6" s="539">
        <v>1</v>
      </c>
      <c r="B6" s="539">
        <v>1</v>
      </c>
      <c r="C6" s="576">
        <v>5</v>
      </c>
      <c r="D6" s="577">
        <v>4</v>
      </c>
      <c r="E6" s="577">
        <v>6</v>
      </c>
      <c r="F6" s="578">
        <v>7</v>
      </c>
      <c r="G6" s="488">
        <f>'IPFP 3.1'!O5</f>
        <v>28</v>
      </c>
      <c r="Q6" s="539">
        <v>1</v>
      </c>
      <c r="R6" s="539">
        <v>1</v>
      </c>
      <c r="S6" s="576">
        <f t="shared" ref="S6:V11" si="0">C6</f>
        <v>5</v>
      </c>
      <c r="T6" s="577">
        <f t="shared" si="0"/>
        <v>4</v>
      </c>
      <c r="U6" s="577">
        <f t="shared" si="0"/>
        <v>6</v>
      </c>
      <c r="V6" s="578">
        <f t="shared" si="0"/>
        <v>7</v>
      </c>
      <c r="W6" s="488">
        <f t="shared" ref="W6:W11" si="1">SUM(S6:V6)</f>
        <v>22</v>
      </c>
    </row>
    <row r="7" spans="1:23">
      <c r="A7" s="539">
        <v>1</v>
      </c>
      <c r="B7" s="539">
        <v>2</v>
      </c>
      <c r="C7" s="579">
        <v>3</v>
      </c>
      <c r="D7" s="580">
        <v>6</v>
      </c>
      <c r="E7" s="580">
        <v>5</v>
      </c>
      <c r="F7" s="581">
        <v>2</v>
      </c>
      <c r="G7" s="488">
        <f>'IPFP 3.1'!O6</f>
        <v>22</v>
      </c>
      <c r="Q7" s="539">
        <v>1</v>
      </c>
      <c r="R7" s="539">
        <v>2</v>
      </c>
      <c r="S7" s="579">
        <f t="shared" si="0"/>
        <v>3</v>
      </c>
      <c r="T7" s="580">
        <f t="shared" si="0"/>
        <v>6</v>
      </c>
      <c r="U7" s="580">
        <f t="shared" si="0"/>
        <v>5</v>
      </c>
      <c r="V7" s="581">
        <f t="shared" si="0"/>
        <v>2</v>
      </c>
      <c r="W7" s="488">
        <f t="shared" si="1"/>
        <v>16</v>
      </c>
    </row>
    <row r="8" spans="1:23">
      <c r="A8" s="539">
        <v>2</v>
      </c>
      <c r="B8" s="539">
        <v>1</v>
      </c>
      <c r="C8" s="579">
        <v>9</v>
      </c>
      <c r="D8" s="580">
        <v>11</v>
      </c>
      <c r="E8" s="580">
        <v>3</v>
      </c>
      <c r="F8" s="581">
        <v>1</v>
      </c>
      <c r="G8" s="488">
        <f>'IPFP 3.1'!O7</f>
        <v>29</v>
      </c>
      <c r="Q8" s="539">
        <v>2</v>
      </c>
      <c r="R8" s="539">
        <v>1</v>
      </c>
      <c r="S8" s="579">
        <f t="shared" si="0"/>
        <v>9</v>
      </c>
      <c r="T8" s="580">
        <f t="shared" si="0"/>
        <v>11</v>
      </c>
      <c r="U8" s="580">
        <f t="shared" si="0"/>
        <v>3</v>
      </c>
      <c r="V8" s="581">
        <f t="shared" si="0"/>
        <v>1</v>
      </c>
      <c r="W8" s="488">
        <f t="shared" si="1"/>
        <v>24</v>
      </c>
    </row>
    <row r="9" spans="1:23">
      <c r="A9" s="539">
        <v>2</v>
      </c>
      <c r="B9" s="539">
        <v>2</v>
      </c>
      <c r="C9" s="579">
        <v>2</v>
      </c>
      <c r="D9" s="580">
        <v>5</v>
      </c>
      <c r="E9" s="580">
        <v>7</v>
      </c>
      <c r="F9" s="581">
        <v>3</v>
      </c>
      <c r="G9" s="488">
        <f>'IPFP 3.1'!O8</f>
        <v>20</v>
      </c>
      <c r="Q9" s="539">
        <v>2</v>
      </c>
      <c r="R9" s="539">
        <v>2</v>
      </c>
      <c r="S9" s="579">
        <f t="shared" si="0"/>
        <v>2</v>
      </c>
      <c r="T9" s="580">
        <f t="shared" si="0"/>
        <v>5</v>
      </c>
      <c r="U9" s="580">
        <f t="shared" si="0"/>
        <v>7</v>
      </c>
      <c r="V9" s="581">
        <f t="shared" si="0"/>
        <v>3</v>
      </c>
      <c r="W9" s="488">
        <f t="shared" si="1"/>
        <v>17</v>
      </c>
    </row>
    <row r="10" spans="1:23">
      <c r="A10" s="539">
        <v>3</v>
      </c>
      <c r="B10" s="539">
        <v>1</v>
      </c>
      <c r="C10" s="579">
        <v>8</v>
      </c>
      <c r="D10" s="580">
        <v>4</v>
      </c>
      <c r="E10" s="580">
        <v>12</v>
      </c>
      <c r="F10" s="581">
        <v>6</v>
      </c>
      <c r="G10" s="488">
        <f>'IPFP 3.1'!O9</f>
        <v>33</v>
      </c>
      <c r="Q10" s="539">
        <v>3</v>
      </c>
      <c r="R10" s="539">
        <v>1</v>
      </c>
      <c r="S10" s="579">
        <f t="shared" si="0"/>
        <v>8</v>
      </c>
      <c r="T10" s="580">
        <f t="shared" si="0"/>
        <v>4</v>
      </c>
      <c r="U10" s="580">
        <f t="shared" si="0"/>
        <v>12</v>
      </c>
      <c r="V10" s="581">
        <f t="shared" si="0"/>
        <v>6</v>
      </c>
      <c r="W10" s="488">
        <f t="shared" si="1"/>
        <v>30</v>
      </c>
    </row>
    <row r="11" spans="1:23">
      <c r="A11" s="539">
        <v>3</v>
      </c>
      <c r="B11" s="539">
        <v>2</v>
      </c>
      <c r="C11" s="582">
        <v>13</v>
      </c>
      <c r="D11" s="583">
        <v>8</v>
      </c>
      <c r="E11" s="583">
        <v>2</v>
      </c>
      <c r="F11" s="584">
        <v>11</v>
      </c>
      <c r="G11" s="488">
        <f>'IPFP 3.1'!O10</f>
        <v>43</v>
      </c>
      <c r="Q11" s="539">
        <v>3</v>
      </c>
      <c r="R11" s="539">
        <v>2</v>
      </c>
      <c r="S11" s="582">
        <f t="shared" si="0"/>
        <v>13</v>
      </c>
      <c r="T11" s="583">
        <f t="shared" si="0"/>
        <v>8</v>
      </c>
      <c r="U11" s="583">
        <f t="shared" si="0"/>
        <v>2</v>
      </c>
      <c r="V11" s="584">
        <f t="shared" si="0"/>
        <v>11</v>
      </c>
      <c r="W11" s="488">
        <f t="shared" si="1"/>
        <v>34</v>
      </c>
    </row>
    <row r="12" spans="1:23">
      <c r="C12" s="585">
        <f>SUM(C14:C16)</f>
        <v>51</v>
      </c>
      <c r="D12" s="585">
        <f>SUM(D14:D16)</f>
        <v>44</v>
      </c>
      <c r="E12" s="585">
        <f>SUM(E14:E16)</f>
        <v>41</v>
      </c>
      <c r="F12" s="585">
        <f>SUM(F14:F16)</f>
        <v>39</v>
      </c>
      <c r="G12" s="587">
        <f>SUM(G6:G11)</f>
        <v>175</v>
      </c>
      <c r="S12" s="585">
        <f>SUM(S6:S11)</f>
        <v>40</v>
      </c>
      <c r="T12" s="585">
        <f>SUM(T6:T11)</f>
        <v>38</v>
      </c>
      <c r="U12" s="585">
        <f>SUM(U6:U11)</f>
        <v>35</v>
      </c>
      <c r="V12" s="585">
        <f>SUM(V6:V11)</f>
        <v>30</v>
      </c>
      <c r="W12" s="587">
        <f>SUM(W6:W11)</f>
        <v>143</v>
      </c>
    </row>
    <row r="14" spans="1:23">
      <c r="A14" s="539">
        <v>1</v>
      </c>
      <c r="C14" s="569">
        <f>'IPFP 3.1'!K13</f>
        <v>12</v>
      </c>
      <c r="D14" s="570">
        <f>'IPFP 3.1'!L13</f>
        <v>14</v>
      </c>
      <c r="E14" s="570">
        <f>'IPFP 3.1'!M13</f>
        <v>12</v>
      </c>
      <c r="F14" s="571">
        <f>'IPFP 3.1'!N13</f>
        <v>12</v>
      </c>
      <c r="G14" s="586">
        <f>SUM(C14:F14)</f>
        <v>50</v>
      </c>
      <c r="Q14" s="539">
        <v>1</v>
      </c>
      <c r="S14" s="569">
        <f>SUMIF(Q6:Q11,Q14,S6:S11)</f>
        <v>8</v>
      </c>
      <c r="T14" s="570">
        <f>SUMIF(Q6:Q11,Q14,T6:T11)</f>
        <v>10</v>
      </c>
      <c r="U14" s="570">
        <f>SUMIF(Q6:Q11,Q14,U6:U11)</f>
        <v>11</v>
      </c>
      <c r="V14" s="571">
        <f>SUMIF(Q6:Q11,Q14,V6:V11)</f>
        <v>9</v>
      </c>
      <c r="W14" s="586">
        <f>SUM(S14:V14)</f>
        <v>38</v>
      </c>
    </row>
    <row r="15" spans="1:23">
      <c r="A15" s="539">
        <v>2</v>
      </c>
      <c r="C15" s="572">
        <f>'IPFP 3.1'!K14</f>
        <v>15</v>
      </c>
      <c r="D15" s="488">
        <f>'IPFP 3.1'!L14</f>
        <v>14</v>
      </c>
      <c r="E15" s="488">
        <f>'IPFP 3.1'!M14</f>
        <v>13</v>
      </c>
      <c r="F15" s="485">
        <f>'IPFP 3.1'!N14</f>
        <v>7</v>
      </c>
      <c r="G15" s="586">
        <f>SUM(C15:F15)</f>
        <v>49</v>
      </c>
      <c r="Q15" s="539">
        <v>2</v>
      </c>
      <c r="S15" s="572">
        <f>SUMIF(Q6:Q11,Q15,S6:S11)</f>
        <v>11</v>
      </c>
      <c r="T15" s="488">
        <f>SUMIF(Q6:Q11,Q15,T6:T11)</f>
        <v>16</v>
      </c>
      <c r="U15" s="488">
        <f>SUMIF(Q6:Q11,Q15,U6:U11)</f>
        <v>10</v>
      </c>
      <c r="V15" s="485">
        <f>SUMIF(Q6:Q11,Q15,V6:V11)</f>
        <v>4</v>
      </c>
      <c r="W15" s="586">
        <f>SUM(S15:V15)</f>
        <v>41</v>
      </c>
    </row>
    <row r="16" spans="1:23">
      <c r="A16" s="539">
        <v>3</v>
      </c>
      <c r="C16" s="573">
        <f>'IPFP 3.1'!K15</f>
        <v>24</v>
      </c>
      <c r="D16" s="574">
        <f>'IPFP 3.1'!L15</f>
        <v>16</v>
      </c>
      <c r="E16" s="574">
        <f>'IPFP 3.1'!M15</f>
        <v>16</v>
      </c>
      <c r="F16" s="575">
        <f>'IPFP 3.1'!N15</f>
        <v>20</v>
      </c>
      <c r="G16" s="586">
        <f>SUM(C16:F16)</f>
        <v>76</v>
      </c>
      <c r="Q16" s="539">
        <v>3</v>
      </c>
      <c r="S16" s="573">
        <f>SUMIF(Q6:Q11,Q16,S6:S11)</f>
        <v>21</v>
      </c>
      <c r="T16" s="574">
        <f>SUMIF(Q6:Q11,Q16,T6:T11)</f>
        <v>12</v>
      </c>
      <c r="U16" s="574">
        <f>SUMIF(Q6:Q11,Q16,U6:U11)</f>
        <v>14</v>
      </c>
      <c r="V16" s="575">
        <f>SUMIF(Q6:Q11,Q16,V6:V11)</f>
        <v>17</v>
      </c>
      <c r="W16" s="586">
        <f>SUM(S16:V16)</f>
        <v>64</v>
      </c>
    </row>
    <row r="18" spans="1:23">
      <c r="B18" s="539">
        <v>1</v>
      </c>
      <c r="C18" s="569">
        <f>'IPFP 3.1'!K17</f>
        <v>28</v>
      </c>
      <c r="D18" s="570">
        <f>'IPFP 3.1'!L17</f>
        <v>24</v>
      </c>
      <c r="E18" s="570">
        <f>'IPFP 3.1'!M17</f>
        <v>21</v>
      </c>
      <c r="F18" s="571">
        <f>'IPFP 3.1'!N17</f>
        <v>17</v>
      </c>
      <c r="G18" s="586">
        <f>SUM(C18:F18)</f>
        <v>90</v>
      </c>
      <c r="R18" s="539">
        <v>1</v>
      </c>
      <c r="S18" s="569">
        <f>SUMIF(R6:R11,R18,S6:S11)</f>
        <v>22</v>
      </c>
      <c r="T18" s="570">
        <f>SUMIF(R6:R11,R18,T6:T11)</f>
        <v>19</v>
      </c>
      <c r="U18" s="570">
        <f>SUMIF(R6:R11,R18,U6:U11)</f>
        <v>21</v>
      </c>
      <c r="V18" s="571">
        <f>SUMIF(R6:R11,R18,V6:V11)</f>
        <v>14</v>
      </c>
      <c r="W18" s="586">
        <f>SUM(S18:V18)</f>
        <v>76</v>
      </c>
    </row>
    <row r="19" spans="1:23">
      <c r="B19" s="539">
        <v>2</v>
      </c>
      <c r="C19" s="573">
        <f>'IPFP 3.1'!K18</f>
        <v>23</v>
      </c>
      <c r="D19" s="574">
        <f>'IPFP 3.1'!L18</f>
        <v>20</v>
      </c>
      <c r="E19" s="574">
        <f>'IPFP 3.1'!M18</f>
        <v>20</v>
      </c>
      <c r="F19" s="575">
        <f>'IPFP 3.1'!N18</f>
        <v>22</v>
      </c>
      <c r="G19" s="586">
        <f>SUM(C19:F19)</f>
        <v>85</v>
      </c>
      <c r="R19" s="539">
        <v>2</v>
      </c>
      <c r="S19" s="573">
        <f>SUMIF(R6:R11,R19,S6:S11)</f>
        <v>18</v>
      </c>
      <c r="T19" s="574">
        <f>SUMIF(R6:R11,R19,T6:T11)</f>
        <v>19</v>
      </c>
      <c r="U19" s="574">
        <f>SUMIF(R6:R11,R19,U6:U11)</f>
        <v>14</v>
      </c>
      <c r="V19" s="575">
        <f>SUMIF(R6:R11,R19,V6:V11)</f>
        <v>16</v>
      </c>
      <c r="W19" s="586">
        <f>SUM(S19:V19)</f>
        <v>67</v>
      </c>
    </row>
    <row r="21" spans="1:23">
      <c r="C21" t="s">
        <v>1384</v>
      </c>
      <c r="K21" t="s">
        <v>1385</v>
      </c>
      <c r="S21" t="s">
        <v>1386</v>
      </c>
    </row>
    <row r="23" spans="1:23">
      <c r="A23" s="539" t="s">
        <v>134</v>
      </c>
      <c r="B23" s="539" t="s">
        <v>1379</v>
      </c>
      <c r="C23">
        <v>1</v>
      </c>
      <c r="D23">
        <f>C23+1</f>
        <v>2</v>
      </c>
      <c r="E23">
        <f>D23+1</f>
        <v>3</v>
      </c>
      <c r="F23">
        <f>E23+1</f>
        <v>4</v>
      </c>
      <c r="I23" s="539" t="s">
        <v>134</v>
      </c>
      <c r="J23" s="539" t="s">
        <v>1379</v>
      </c>
      <c r="K23">
        <v>1</v>
      </c>
      <c r="L23">
        <f>K23+1</f>
        <v>2</v>
      </c>
      <c r="M23">
        <f>L23+1</f>
        <v>3</v>
      </c>
      <c r="N23">
        <f>M23+1</f>
        <v>4</v>
      </c>
      <c r="Q23" s="539" t="s">
        <v>134</v>
      </c>
      <c r="R23" s="539" t="s">
        <v>1379</v>
      </c>
      <c r="S23">
        <v>1</v>
      </c>
      <c r="T23">
        <f>S23+1</f>
        <v>2</v>
      </c>
      <c r="U23">
        <f>T23+1</f>
        <v>3</v>
      </c>
      <c r="V23">
        <f>U23+1</f>
        <v>4</v>
      </c>
    </row>
    <row r="24" spans="1:23">
      <c r="A24" s="539">
        <v>1</v>
      </c>
      <c r="B24" s="539">
        <v>1</v>
      </c>
      <c r="C24" s="576">
        <f>S6*$G$6/$W6</f>
        <v>6.3636363636363633</v>
      </c>
      <c r="D24" s="577">
        <f>T6*$G$6/$W6</f>
        <v>5.0909090909090908</v>
      </c>
      <c r="E24" s="577">
        <f>U6*$G$6/$W6</f>
        <v>7.6363636363636367</v>
      </c>
      <c r="F24" s="578">
        <f>V6*$G$6/$W6</f>
        <v>8.9090909090909083</v>
      </c>
      <c r="G24" s="488">
        <f t="shared" ref="G24:G29" si="2">SUM(C24:F24)</f>
        <v>28</v>
      </c>
      <c r="I24" s="539">
        <v>1</v>
      </c>
      <c r="J24" s="539">
        <v>1</v>
      </c>
      <c r="K24" s="576">
        <f>C24*$C$14/C32</f>
        <v>7.2806067172264353</v>
      </c>
      <c r="L24" s="577">
        <f>D24*$D$14/D32</f>
        <v>5.3424190800681428</v>
      </c>
      <c r="M24" s="577">
        <f>E24*$E$14/E32</f>
        <v>6.3148003132341426</v>
      </c>
      <c r="N24" s="578">
        <f>F24*F14/F32</f>
        <v>9.1695906432748551</v>
      </c>
      <c r="O24" s="488">
        <f t="shared" ref="O24:O29" si="3">SUM(K24:N24)</f>
        <v>28.107416753803573</v>
      </c>
      <c r="Q24" s="539">
        <v>1</v>
      </c>
      <c r="R24" s="539">
        <v>1</v>
      </c>
      <c r="S24" s="576">
        <f>K24*$C$18/K36</f>
        <v>7.2858790655999295</v>
      </c>
      <c r="T24" s="577">
        <f>L24*$D$18/L36</f>
        <v>6.4441993454181441</v>
      </c>
      <c r="U24" s="577">
        <f>M24*$E$18/M36</f>
        <v>5.5918022607030737</v>
      </c>
      <c r="V24" s="578">
        <f>N24*$F$18/N36</f>
        <v>8.9638287565508747</v>
      </c>
      <c r="W24" s="488">
        <f t="shared" ref="W24:W29" si="4">SUM(S24:V24)</f>
        <v>28.285709428272021</v>
      </c>
    </row>
    <row r="25" spans="1:23">
      <c r="A25" s="539">
        <v>1</v>
      </c>
      <c r="B25" s="539">
        <v>2</v>
      </c>
      <c r="C25" s="579">
        <f>S7*$G$7/$W7</f>
        <v>4.125</v>
      </c>
      <c r="D25" s="580">
        <f>T7*$G$7/$W7</f>
        <v>8.25</v>
      </c>
      <c r="E25" s="580">
        <f>U7*$G$7/$W7</f>
        <v>6.875</v>
      </c>
      <c r="F25" s="581">
        <f>V7*$G$7/$W7</f>
        <v>2.75</v>
      </c>
      <c r="G25" s="488">
        <f t="shared" si="2"/>
        <v>22</v>
      </c>
      <c r="I25" s="539">
        <v>1</v>
      </c>
      <c r="J25" s="539">
        <v>2</v>
      </c>
      <c r="K25" s="579">
        <f>C25*$C$14/C32</f>
        <v>4.7193932827735647</v>
      </c>
      <c r="L25" s="580">
        <f>D25*$D$14/D32</f>
        <v>8.6575809199318581</v>
      </c>
      <c r="M25" s="580">
        <f>E25*$E$14/E32</f>
        <v>5.6851996867658574</v>
      </c>
      <c r="N25" s="581">
        <f>F25*$F$14/F32</f>
        <v>2.8304093567251463</v>
      </c>
      <c r="O25" s="488">
        <f t="shared" si="3"/>
        <v>21.892583246196427</v>
      </c>
      <c r="Q25" s="539">
        <v>1</v>
      </c>
      <c r="R25" s="539">
        <v>2</v>
      </c>
      <c r="S25" s="579">
        <f>K25*$C$19/K37</f>
        <v>4.7152393823492478</v>
      </c>
      <c r="T25" s="580">
        <f>L25*$D$19/L37</f>
        <v>7.1837195444572535</v>
      </c>
      <c r="U25" s="580">
        <f>M25*$E$19/M37</f>
        <v>6.578271577283366</v>
      </c>
      <c r="V25" s="581">
        <f>N25*$F$19/N37</f>
        <v>2.8815209482098028</v>
      </c>
      <c r="W25" s="488">
        <f t="shared" si="4"/>
        <v>21.358751452299671</v>
      </c>
    </row>
    <row r="26" spans="1:23">
      <c r="A26" s="539">
        <v>2</v>
      </c>
      <c r="B26" s="539">
        <v>1</v>
      </c>
      <c r="C26" s="579">
        <f>S8*$G$8/$W8</f>
        <v>10.875</v>
      </c>
      <c r="D26" s="580">
        <f>T8*$G$8/$W8</f>
        <v>13.291666666666666</v>
      </c>
      <c r="E26" s="580">
        <f>U8*$G$8/$W8</f>
        <v>3.625</v>
      </c>
      <c r="F26" s="581">
        <f>V8*$G$8/$W8</f>
        <v>1.2083333333333333</v>
      </c>
      <c r="G26" s="488">
        <f t="shared" si="2"/>
        <v>28.999999999999996</v>
      </c>
      <c r="I26" s="539">
        <v>2</v>
      </c>
      <c r="J26" s="539">
        <v>1</v>
      </c>
      <c r="K26" s="579">
        <f>C26*$C$15/C33</f>
        <v>12.331851028349082</v>
      </c>
      <c r="L26" s="580">
        <f>D26*$D$15/D33</f>
        <v>9.7049725169372358</v>
      </c>
      <c r="M26" s="580">
        <f>E26*$E$15/E33</f>
        <v>3.97334159950403</v>
      </c>
      <c r="N26" s="581">
        <f>F26*$F$15/F33</f>
        <v>1.785307811691671</v>
      </c>
      <c r="O26" s="488">
        <f t="shared" si="3"/>
        <v>27.795472956482019</v>
      </c>
      <c r="Q26" s="539">
        <v>2</v>
      </c>
      <c r="R26" s="539">
        <v>1</v>
      </c>
      <c r="S26" s="579">
        <f>K26*$C$18/K36</f>
        <v>12.340781302601865</v>
      </c>
      <c r="T26" s="580">
        <f>L26*$D$18/L36</f>
        <v>11.706452938946583</v>
      </c>
      <c r="U26" s="580">
        <f>M26*$E$18/M36</f>
        <v>3.5184232971055134</v>
      </c>
      <c r="V26" s="581">
        <f>N26*$F$18/N36</f>
        <v>1.745246230100113</v>
      </c>
      <c r="W26" s="488">
        <f t="shared" si="4"/>
        <v>29.310903768754073</v>
      </c>
    </row>
    <row r="27" spans="1:23">
      <c r="A27" s="539">
        <v>2</v>
      </c>
      <c r="B27" s="539">
        <v>2</v>
      </c>
      <c r="C27" s="579">
        <f>S9*$G$9/$W9</f>
        <v>2.3529411764705883</v>
      </c>
      <c r="D27" s="580">
        <f>T9*$G$9/$W9</f>
        <v>5.882352941176471</v>
      </c>
      <c r="E27" s="580">
        <f>U9*$G$9/$W9</f>
        <v>8.235294117647058</v>
      </c>
      <c r="F27" s="581">
        <f>V9*$G$9/$W9</f>
        <v>3.5294117647058822</v>
      </c>
      <c r="G27" s="488">
        <f t="shared" si="2"/>
        <v>20</v>
      </c>
      <c r="I27" s="539">
        <v>2</v>
      </c>
      <c r="J27" s="539">
        <v>2</v>
      </c>
      <c r="K27" s="579">
        <f>C27*$C$15/C33</f>
        <v>2.6681489716509175</v>
      </c>
      <c r="L27" s="580">
        <f>D27*$D$15/D33</f>
        <v>4.2950274830627642</v>
      </c>
      <c r="M27" s="580">
        <f>E27*$E$15/E33</f>
        <v>9.02665840049597</v>
      </c>
      <c r="N27" s="581">
        <f>F27*$F$15/F33</f>
        <v>5.2146921883083293</v>
      </c>
      <c r="O27" s="488">
        <f t="shared" si="3"/>
        <v>21.204527043517981</v>
      </c>
      <c r="Q27" s="539">
        <v>2</v>
      </c>
      <c r="R27" s="539">
        <v>2</v>
      </c>
      <c r="S27" s="579">
        <f>K27*$C$19/K37</f>
        <v>2.6658005288572357</v>
      </c>
      <c r="T27" s="580">
        <f>L27*$D$19/L37</f>
        <v>3.5638445842331059</v>
      </c>
      <c r="U27" s="580">
        <f>M27*$E$19/M37</f>
        <v>10.444630561008173</v>
      </c>
      <c r="V27" s="581">
        <f>N27*$F$19/N37</f>
        <v>5.3088592091365214</v>
      </c>
      <c r="W27" s="488">
        <f t="shared" si="4"/>
        <v>21.983134883235039</v>
      </c>
    </row>
    <row r="28" spans="1:23">
      <c r="A28" s="539">
        <v>3</v>
      </c>
      <c r="B28" s="539">
        <v>1</v>
      </c>
      <c r="C28" s="579">
        <f>S10*$G$10/$W10</f>
        <v>8.8000000000000007</v>
      </c>
      <c r="D28" s="580">
        <f>T10*$G$10/$W10</f>
        <v>4.4000000000000004</v>
      </c>
      <c r="E28" s="580">
        <f>U10*$G$10/$W10</f>
        <v>13.2</v>
      </c>
      <c r="F28" s="581">
        <f>V10*$G$10/$W10</f>
        <v>6.6</v>
      </c>
      <c r="G28" s="488">
        <f t="shared" si="2"/>
        <v>33</v>
      </c>
      <c r="I28" s="539">
        <v>3</v>
      </c>
      <c r="J28" s="539">
        <v>1</v>
      </c>
      <c r="K28" s="579">
        <f>C28*$C$16/C34</f>
        <v>8.3672803542297842</v>
      </c>
      <c r="L28" s="580">
        <f>D28*$D$16/D34</f>
        <v>4.8492706645056733</v>
      </c>
      <c r="M28" s="580">
        <f>E28*$E$16/E34</f>
        <v>13.427075542258788</v>
      </c>
      <c r="N28" s="581">
        <f>F28*$F$16/F34</f>
        <v>6.4353312302839116</v>
      </c>
      <c r="O28" s="488">
        <f t="shared" si="3"/>
        <v>33.078957791278157</v>
      </c>
      <c r="Q28" s="539">
        <v>3</v>
      </c>
      <c r="R28" s="539">
        <v>1</v>
      </c>
      <c r="S28" s="579">
        <f>K28*$C$18/K36</f>
        <v>8.3733396317982063</v>
      </c>
      <c r="T28" s="580">
        <f>L28*$D$18/L36</f>
        <v>5.8493477156352691</v>
      </c>
      <c r="U28" s="580">
        <f>M28*$E$18/M36</f>
        <v>11.889774442191412</v>
      </c>
      <c r="V28" s="581">
        <f>N28*$F$18/N36</f>
        <v>6.2909250133490113</v>
      </c>
      <c r="W28" s="488">
        <f t="shared" si="4"/>
        <v>32.403386802973898</v>
      </c>
    </row>
    <row r="29" spans="1:23">
      <c r="A29" s="539">
        <v>3</v>
      </c>
      <c r="B29" s="539">
        <v>2</v>
      </c>
      <c r="C29" s="582">
        <f>S11*$G$11/$W11</f>
        <v>16.441176470588236</v>
      </c>
      <c r="D29" s="583">
        <f>T11*$G$11/$W11</f>
        <v>10.117647058823529</v>
      </c>
      <c r="E29" s="583">
        <f>U11*$G$11/$W11</f>
        <v>2.5294117647058822</v>
      </c>
      <c r="F29" s="584">
        <f>V11*$G$11/$W11</f>
        <v>13.911764705882353</v>
      </c>
      <c r="G29" s="488">
        <f t="shared" si="2"/>
        <v>43</v>
      </c>
      <c r="I29" s="539">
        <v>3</v>
      </c>
      <c r="J29" s="539">
        <v>2</v>
      </c>
      <c r="K29" s="582">
        <f>C29*$C$16/C34</f>
        <v>15.632719645770218</v>
      </c>
      <c r="L29" s="583">
        <f>D29*$D$16/D34</f>
        <v>11.150729335494328</v>
      </c>
      <c r="M29" s="583">
        <f>E29*$E$16/E34</f>
        <v>2.5729244577412116</v>
      </c>
      <c r="N29" s="584">
        <f>F29*$F$16/F34</f>
        <v>13.564668769716089</v>
      </c>
      <c r="O29" s="488">
        <f t="shared" si="3"/>
        <v>42.921042208721843</v>
      </c>
      <c r="Q29" s="539">
        <v>3</v>
      </c>
      <c r="R29" s="539">
        <v>2</v>
      </c>
      <c r="S29" s="582">
        <f>K29*$C$19/K37</f>
        <v>15.618960088793516</v>
      </c>
      <c r="T29" s="583">
        <f>L29*$D$19/L37</f>
        <v>9.2524358713096397</v>
      </c>
      <c r="U29" s="583">
        <f>M29*$E$19/M37</f>
        <v>2.9770978617084585</v>
      </c>
      <c r="V29" s="584">
        <f>N29*$F$19/N37</f>
        <v>13.809619842653678</v>
      </c>
      <c r="W29" s="488">
        <f t="shared" si="4"/>
        <v>41.65811366446529</v>
      </c>
    </row>
    <row r="30" spans="1:23">
      <c r="C30" s="585">
        <f>SUM(C24:C29)</f>
        <v>48.957754010695183</v>
      </c>
      <c r="D30" s="585">
        <f>SUM(D24:D29)</f>
        <v>47.032575757575756</v>
      </c>
      <c r="E30" s="585">
        <f>SUM(E24:E29)</f>
        <v>42.101069518716578</v>
      </c>
      <c r="F30" s="585">
        <f>SUM(F24:F29)</f>
        <v>36.908600713012483</v>
      </c>
      <c r="G30" s="587">
        <f>SUM(G24:G29)</f>
        <v>175</v>
      </c>
      <c r="K30" s="585">
        <f>SUM(K24:K29)</f>
        <v>51</v>
      </c>
      <c r="L30" s="585">
        <f>SUM(L24:L29)</f>
        <v>44</v>
      </c>
      <c r="M30" s="585">
        <f>SUM(M24:M29)</f>
        <v>41</v>
      </c>
      <c r="N30" s="585">
        <f>SUM(N24:N29)</f>
        <v>39</v>
      </c>
      <c r="O30" s="587">
        <f>SUM(O24:O29)</f>
        <v>175</v>
      </c>
      <c r="S30" s="585">
        <f>SUM(S24:S29)</f>
        <v>51</v>
      </c>
      <c r="T30" s="585">
        <f>SUM(T24:T29)</f>
        <v>44</v>
      </c>
      <c r="U30" s="585">
        <f>SUM(U24:U29)</f>
        <v>40.999999999999993</v>
      </c>
      <c r="V30" s="585">
        <f>SUM(V24:V29)</f>
        <v>39</v>
      </c>
      <c r="W30" s="587">
        <f>SUM(W24:W29)</f>
        <v>175</v>
      </c>
    </row>
    <row r="32" spans="1:23">
      <c r="A32" s="539">
        <v>1</v>
      </c>
      <c r="C32" s="569">
        <f>SUMIF(A24:A29,A32,C24:C29)</f>
        <v>10.488636363636363</v>
      </c>
      <c r="D32" s="570">
        <f>SUMIF(A24:A29,A32,D24:D29)</f>
        <v>13.34090909090909</v>
      </c>
      <c r="E32" s="570">
        <f>SUMIF(A24:A29,A32,E24:E29)</f>
        <v>14.511363636363637</v>
      </c>
      <c r="F32" s="571">
        <f>SUMIF(A24:A29,A32,F24:F29)</f>
        <v>11.659090909090908</v>
      </c>
      <c r="G32" s="586">
        <f>SUM(C32:F32)</f>
        <v>50</v>
      </c>
      <c r="I32" s="539">
        <v>1</v>
      </c>
      <c r="K32" s="569">
        <f>SUMIF(I24:I29,I32,K24:K29)</f>
        <v>12</v>
      </c>
      <c r="L32" s="570">
        <f>SUMIF(I24:I29,I32,L24:L29)</f>
        <v>14</v>
      </c>
      <c r="M32" s="570">
        <f>SUMIF(I24:I29,I32,M24:M29)</f>
        <v>12</v>
      </c>
      <c r="N32" s="571">
        <f>SUMIF(I24:I29,I32,N24:N29)</f>
        <v>12.000000000000002</v>
      </c>
      <c r="O32" s="586">
        <f>SUM(K32:N32)</f>
        <v>50</v>
      </c>
      <c r="Q32" s="539">
        <v>1</v>
      </c>
      <c r="S32" s="569">
        <f>SUMIF(Q24:Q29,Q32,S24:S29)</f>
        <v>12.001118447949178</v>
      </c>
      <c r="T32" s="570">
        <f>SUMIF(Q24:Q29,Q32,T24:T29)</f>
        <v>13.627918889875398</v>
      </c>
      <c r="U32" s="570">
        <f>SUMIF(Q24:Q29,Q32,U24:U29)</f>
        <v>12.17007383798644</v>
      </c>
      <c r="V32" s="571">
        <f>SUMIF(Q24:Q29,Q32,V24:V29)</f>
        <v>11.845349704760677</v>
      </c>
      <c r="W32" s="586">
        <f>SUM(S32:V32)</f>
        <v>49.6444608805717</v>
      </c>
    </row>
    <row r="33" spans="1:23">
      <c r="A33" s="539">
        <v>2</v>
      </c>
      <c r="C33" s="572">
        <f>SUMIF(A24:A29,A33,C24:C29)</f>
        <v>13.227941176470589</v>
      </c>
      <c r="D33" s="488">
        <f>SUMIF(A24:A29,A33,D24:D29)</f>
        <v>19.174019607843135</v>
      </c>
      <c r="E33" s="488">
        <f>SUMIF(A24:A29,A33,E24:E29)</f>
        <v>11.860294117647058</v>
      </c>
      <c r="F33" s="485">
        <f>SUMIF(A24:A29,A33,F24:F29)</f>
        <v>4.7377450980392153</v>
      </c>
      <c r="G33" s="586">
        <f>SUM(C33:F33)</f>
        <v>48.999999999999993</v>
      </c>
      <c r="I33" s="539">
        <v>2</v>
      </c>
      <c r="K33" s="572">
        <f>SUMIF(I24:I29,I33,K24:K29)</f>
        <v>15</v>
      </c>
      <c r="L33" s="488">
        <f>SUMIF(I24:I29,I33,L24:L29)</f>
        <v>14</v>
      </c>
      <c r="M33" s="488">
        <f>SUMIF(I24:I29,I33,M24:M29)</f>
        <v>13</v>
      </c>
      <c r="N33" s="485">
        <f>SUMIF(I24:I29,I33,N24:N29)</f>
        <v>7</v>
      </c>
      <c r="O33" s="586">
        <f>SUM(K33:N33)</f>
        <v>49</v>
      </c>
      <c r="Q33" s="539">
        <v>2</v>
      </c>
      <c r="S33" s="572">
        <f>SUMIF(Q24:Q29,Q33,S24:S29)</f>
        <v>15.006581831459101</v>
      </c>
      <c r="T33" s="488">
        <f>SUMIF(Q24:Q29,Q33,T24:T29)</f>
        <v>15.270297523179689</v>
      </c>
      <c r="U33" s="488">
        <f>SUMIF(Q24:Q29,Q33,U24:U29)</f>
        <v>13.963053858113687</v>
      </c>
      <c r="V33" s="485">
        <f>SUMIF(Q24:Q29,Q33,V24:V29)</f>
        <v>7.0541054392366345</v>
      </c>
      <c r="W33" s="586">
        <f>SUM(S33:V33)</f>
        <v>51.294038651989112</v>
      </c>
    </row>
    <row r="34" spans="1:23">
      <c r="A34" s="539">
        <v>3</v>
      </c>
      <c r="C34" s="573">
        <f>SUMIF(A24:A29,A34,C24:C29)</f>
        <v>25.241176470588236</v>
      </c>
      <c r="D34" s="574">
        <f>SUMIF(A24:A29,A34,D24:D29)</f>
        <v>14.517647058823529</v>
      </c>
      <c r="E34" s="574">
        <f>SUMIF(A24:A29,A34,E24:E29)</f>
        <v>15.729411764705882</v>
      </c>
      <c r="F34" s="575">
        <f>SUMIF(A24:A29,A34,F24:F29)</f>
        <v>20.511764705882353</v>
      </c>
      <c r="G34" s="586">
        <f>SUM(C34:F34)</f>
        <v>76</v>
      </c>
      <c r="I34" s="539">
        <v>3</v>
      </c>
      <c r="K34" s="573">
        <f>SUMIF(I24:I29,I34,K24:K29)</f>
        <v>24</v>
      </c>
      <c r="L34" s="574">
        <f>SUMIF(I24:I29,I34,L24:L29)</f>
        <v>16</v>
      </c>
      <c r="M34" s="574">
        <f>SUMIF(I24:I29,I34,M24:M29)</f>
        <v>16</v>
      </c>
      <c r="N34" s="575">
        <f>SUMIF(I24:I29,I34,N24:N29)</f>
        <v>20</v>
      </c>
      <c r="O34" s="586">
        <f>SUM(K34:N34)</f>
        <v>76</v>
      </c>
      <c r="Q34" s="539">
        <v>3</v>
      </c>
      <c r="S34" s="573">
        <f>SUMIF(Q24:Q29,Q34,S24:S29)</f>
        <v>23.992299720591724</v>
      </c>
      <c r="T34" s="574">
        <f>SUMIF(Q24:Q29,Q34,T24:T29)</f>
        <v>15.101783586944908</v>
      </c>
      <c r="U34" s="574">
        <f>SUMIF(Q24:Q29,Q34,U24:U29)</f>
        <v>14.86687230389987</v>
      </c>
      <c r="V34" s="575">
        <f>SUMIF(Q24:Q29,Q34,V24:V29)</f>
        <v>20.100544856002688</v>
      </c>
      <c r="W34" s="586">
        <f>SUM(S34:V34)</f>
        <v>74.061500467439188</v>
      </c>
    </row>
    <row r="36" spans="1:23">
      <c r="B36" s="539">
        <v>1</v>
      </c>
      <c r="C36" s="569">
        <f>SUMIF(B24:B29,B36,C24:C29)</f>
        <v>26.038636363636364</v>
      </c>
      <c r="D36" s="570">
        <f>SUMIF(B24:B29,B36,D24:D29)</f>
        <v>22.782575757575756</v>
      </c>
      <c r="E36" s="570">
        <f>SUMIF(B24:B29,B36,E24:E29)</f>
        <v>24.461363636363636</v>
      </c>
      <c r="F36" s="571">
        <f>SUMIF(B24:B29,B36,F24:F29)</f>
        <v>16.717424242424244</v>
      </c>
      <c r="G36" s="586">
        <f>SUM(C36:F36)</f>
        <v>90</v>
      </c>
      <c r="J36" s="539">
        <v>1</v>
      </c>
      <c r="K36" s="569">
        <f>SUMIF(J24:J29,J36,K24:K29)</f>
        <v>27.979738099805303</v>
      </c>
      <c r="L36" s="570">
        <f>SUMIF(J24:J29,J36,L24:L29)</f>
        <v>19.896662261511054</v>
      </c>
      <c r="M36" s="570">
        <f>SUMIF(J24:J29,J36,M24:M29)</f>
        <v>23.71521745499696</v>
      </c>
      <c r="N36" s="571">
        <f>SUMIF(J24:J29,J36,N24:N29)</f>
        <v>17.390229685250439</v>
      </c>
      <c r="O36" s="586">
        <f>SUM(K36:N36)</f>
        <v>88.981847501563749</v>
      </c>
      <c r="R36" s="539">
        <v>1</v>
      </c>
      <c r="S36" s="569">
        <f>SUMIF(R24:R29,R36,S24:S29)</f>
        <v>28</v>
      </c>
      <c r="T36" s="570">
        <f>SUMIF(R24:R29,R36,T24:T29)</f>
        <v>23.999999999999996</v>
      </c>
      <c r="U36" s="570">
        <f>SUMIF(R24:R29,R36,U24:U29)</f>
        <v>21</v>
      </c>
      <c r="V36" s="571">
        <f>SUMIF(R24:R29,R36,V24:V29)</f>
        <v>17</v>
      </c>
      <c r="W36" s="586">
        <f>SUM(S36:V36)</f>
        <v>90</v>
      </c>
    </row>
    <row r="37" spans="1:23">
      <c r="B37" s="539">
        <v>2</v>
      </c>
      <c r="C37" s="573">
        <f>SUMIF(B24:B29,B37,C24:C29)</f>
        <v>22.919117647058826</v>
      </c>
      <c r="D37" s="574">
        <f>SUMIF(B24:B29,B37,D24:D29)</f>
        <v>24.25</v>
      </c>
      <c r="E37" s="574">
        <f>SUMIF(B24:B29,B37,E24:E29)</f>
        <v>17.639705882352942</v>
      </c>
      <c r="F37" s="575">
        <f>SUMIF(B24:B29,B37,F24:F29)</f>
        <v>20.191176470588236</v>
      </c>
      <c r="G37" s="586">
        <f>SUM(C37:F37)</f>
        <v>85</v>
      </c>
      <c r="J37" s="539">
        <v>2</v>
      </c>
      <c r="K37" s="573">
        <f>SUMIF(J24:J29,J37,K24:K29)</f>
        <v>23.020261900194701</v>
      </c>
      <c r="L37" s="574">
        <f>SUMIF(J24:J29,J37,L24:L29)</f>
        <v>24.10333773848895</v>
      </c>
      <c r="M37" s="574">
        <f>SUMIF(J24:J29,J37,M24:M29)</f>
        <v>17.28478254500304</v>
      </c>
      <c r="N37" s="575">
        <f>SUMIF(J24:J29,J37,N24:N29)</f>
        <v>21.609770314749564</v>
      </c>
      <c r="O37" s="586">
        <f>SUM(K37:N37)</f>
        <v>86.018152498436251</v>
      </c>
      <c r="R37" s="539">
        <v>2</v>
      </c>
      <c r="S37" s="573">
        <f>SUMIF(R24:R29,R37,S24:S29)</f>
        <v>23</v>
      </c>
      <c r="T37" s="574">
        <f>SUMIF(R24:R29,R37,T24:T29)</f>
        <v>20</v>
      </c>
      <c r="U37" s="574">
        <f>SUMIF(R24:R29,R37,U24:U29)</f>
        <v>19.999999999999996</v>
      </c>
      <c r="V37" s="575">
        <f>SUMIF(R24:R29,R37,V24:V29)</f>
        <v>22</v>
      </c>
      <c r="W37" s="586">
        <f>SUM(S37:V37)</f>
        <v>85</v>
      </c>
    </row>
    <row r="39" spans="1:23">
      <c r="A39" s="539" t="s">
        <v>134</v>
      </c>
      <c r="B39" s="539" t="s">
        <v>1379</v>
      </c>
      <c r="C39">
        <v>1</v>
      </c>
      <c r="D39">
        <f>C39+1</f>
        <v>2</v>
      </c>
      <c r="E39">
        <f>D39+1</f>
        <v>3</v>
      </c>
      <c r="F39">
        <f>E39+1</f>
        <v>4</v>
      </c>
      <c r="I39" s="539" t="s">
        <v>134</v>
      </c>
      <c r="J39" s="539" t="s">
        <v>1379</v>
      </c>
      <c r="K39">
        <v>1</v>
      </c>
      <c r="L39">
        <f>K39+1</f>
        <v>2</v>
      </c>
      <c r="M39">
        <f>L39+1</f>
        <v>3</v>
      </c>
      <c r="N39">
        <f>M39+1</f>
        <v>4</v>
      </c>
      <c r="Q39" s="539" t="s">
        <v>134</v>
      </c>
      <c r="R39" s="539" t="s">
        <v>1379</v>
      </c>
      <c r="S39">
        <v>1</v>
      </c>
      <c r="T39">
        <f>S39+1</f>
        <v>2</v>
      </c>
      <c r="U39">
        <f>T39+1</f>
        <v>3</v>
      </c>
      <c r="V39">
        <f>U39+1</f>
        <v>4</v>
      </c>
    </row>
    <row r="40" spans="1:23">
      <c r="A40" s="539">
        <v>1</v>
      </c>
      <c r="B40" s="539">
        <v>1</v>
      </c>
      <c r="C40" s="576">
        <f>S24*$G$6/$W24</f>
        <v>7.2122855661131888</v>
      </c>
      <c r="D40" s="577">
        <f>T24*$G$6/$W24</f>
        <v>6.3791075182069781</v>
      </c>
      <c r="E40" s="577">
        <f>U24*$G$6/$W24</f>
        <v>5.5353203601530092</v>
      </c>
      <c r="F40" s="578">
        <f>V24*$G$6/$W24</f>
        <v>8.8732865555268248</v>
      </c>
      <c r="G40" s="488">
        <f t="shared" ref="G40:G45" si="5">SUM(C40:F40)</f>
        <v>28</v>
      </c>
      <c r="I40" s="539">
        <v>1</v>
      </c>
      <c r="J40" s="539">
        <v>1</v>
      </c>
      <c r="K40" s="576">
        <f>C40*$C$14/C48</f>
        <v>7.1709988853993032</v>
      </c>
      <c r="L40" s="577">
        <f>D40*$D$14/D48</f>
        <v>6.4816555924291448</v>
      </c>
      <c r="M40" s="577">
        <f>E40*$E$14/E48</f>
        <v>5.3954479715885748</v>
      </c>
      <c r="N40" s="578">
        <f>F40*F32/F48</f>
        <v>8.7367342473175622</v>
      </c>
      <c r="O40" s="488">
        <f t="shared" ref="O40:O45" si="6">SUM(K40:N40)</f>
        <v>27.784836696734587</v>
      </c>
      <c r="Q40" s="539">
        <v>1</v>
      </c>
      <c r="R40" s="539">
        <v>1</v>
      </c>
      <c r="S40" s="576">
        <f>K40*$C$18/K52</f>
        <v>7.1740693667716027</v>
      </c>
      <c r="T40" s="577">
        <f>L40*$D$18/L52</f>
        <v>6.6010535437648361</v>
      </c>
      <c r="U40" s="577">
        <f>M40*$E$18/M52</f>
        <v>5.2353125708419261</v>
      </c>
      <c r="V40" s="578">
        <f>N40*$F$18/N52</f>
        <v>8.8502550578894468</v>
      </c>
      <c r="W40" s="488">
        <f t="shared" ref="W40:W45" si="7">SUM(S40:V40)</f>
        <v>27.860690539267814</v>
      </c>
    </row>
    <row r="41" spans="1:23">
      <c r="A41" s="539">
        <v>1</v>
      </c>
      <c r="B41" s="539">
        <v>2</v>
      </c>
      <c r="C41" s="579">
        <f>S25*$G$7/$W25</f>
        <v>4.8568038559442295</v>
      </c>
      <c r="D41" s="580">
        <f>T25*$G$7/$W25</f>
        <v>7.3993945915337394</v>
      </c>
      <c r="E41" s="580">
        <f>U25*$G$7/$W25</f>
        <v>6.7757694087803069</v>
      </c>
      <c r="F41" s="581">
        <f>V25*$G$7/$W25</f>
        <v>2.9680321437417243</v>
      </c>
      <c r="G41" s="488">
        <f t="shared" si="5"/>
        <v>22</v>
      </c>
      <c r="I41" s="539">
        <v>1</v>
      </c>
      <c r="J41" s="539">
        <v>2</v>
      </c>
      <c r="K41" s="579">
        <f>C41*$C$14/C48</f>
        <v>4.8290011146006968</v>
      </c>
      <c r="L41" s="580">
        <f>D41*$D$14/D48</f>
        <v>7.5183444075708543</v>
      </c>
      <c r="M41" s="580">
        <f>E41*$E$14/E48</f>
        <v>6.6045520284114261</v>
      </c>
      <c r="N41" s="581">
        <f>F41*$F$14/F48</f>
        <v>3.0078056869713978</v>
      </c>
      <c r="O41" s="488">
        <f t="shared" si="6"/>
        <v>21.959703237554375</v>
      </c>
      <c r="Q41" s="539">
        <v>1</v>
      </c>
      <c r="R41" s="539">
        <v>2</v>
      </c>
      <c r="S41" s="579">
        <f>K41*$C$19/K53</f>
        <v>4.8264863220195044</v>
      </c>
      <c r="T41" s="580">
        <f>L41*$D$19/L53</f>
        <v>7.3586236153966356</v>
      </c>
      <c r="U41" s="580">
        <f>M41*$E$19/M53</f>
        <v>6.8237086044563418</v>
      </c>
      <c r="V41" s="581">
        <f>N41*$F$19/N53</f>
        <v>3.012928182027415</v>
      </c>
      <c r="W41" s="488">
        <f t="shared" si="7"/>
        <v>22.021746723899899</v>
      </c>
    </row>
    <row r="42" spans="1:23">
      <c r="A42" s="539">
        <v>2</v>
      </c>
      <c r="B42" s="539">
        <v>1</v>
      </c>
      <c r="C42" s="579">
        <f>S26*$G$8/$W26</f>
        <v>12.209881366979996</v>
      </c>
      <c r="D42" s="580">
        <f>T26*$G$8/$W26</f>
        <v>11.582281389472202</v>
      </c>
      <c r="E42" s="580">
        <f>U26*$G$8/$W26</f>
        <v>3.481103019581067</v>
      </c>
      <c r="F42" s="581">
        <f>V26*$G$8/$W26</f>
        <v>1.7267342239667374</v>
      </c>
      <c r="G42" s="488">
        <f t="shared" si="5"/>
        <v>29.000000000000004</v>
      </c>
      <c r="I42" s="539">
        <v>2</v>
      </c>
      <c r="J42" s="539">
        <v>1</v>
      </c>
      <c r="K42" s="579">
        <f>C42*$C$15/C49</f>
        <v>12.514231113513453</v>
      </c>
      <c r="L42" s="580">
        <f>D42*$D$15/D49</f>
        <v>10.938012402353761</v>
      </c>
      <c r="M42" s="580">
        <f>E42*$E$15/E49</f>
        <v>3.4855252884383887</v>
      </c>
      <c r="N42" s="581">
        <f>F42*$F$15/F49</f>
        <v>1.8434868605587875</v>
      </c>
      <c r="O42" s="488">
        <f t="shared" si="6"/>
        <v>28.781255664864393</v>
      </c>
      <c r="Q42" s="539">
        <v>2</v>
      </c>
      <c r="R42" s="539">
        <v>1</v>
      </c>
      <c r="S42" s="579">
        <f>K42*$C$18/K52</f>
        <v>12.519589462348359</v>
      </c>
      <c r="T42" s="580">
        <f>L42*$D$18/L52</f>
        <v>11.139500471860394</v>
      </c>
      <c r="U42" s="580">
        <f>M42*$E$18/M52</f>
        <v>3.3820758636981623</v>
      </c>
      <c r="V42" s="581">
        <f>N42*$F$18/N52</f>
        <v>1.8674402185029764</v>
      </c>
      <c r="W42" s="488">
        <f t="shared" si="7"/>
        <v>28.908606016409891</v>
      </c>
    </row>
    <row r="43" spans="1:23">
      <c r="A43" s="539">
        <v>2</v>
      </c>
      <c r="B43" s="539">
        <v>2</v>
      </c>
      <c r="C43" s="579">
        <f>S27*$G$9/$W27</f>
        <v>2.4253142629718849</v>
      </c>
      <c r="D43" s="580">
        <f>T27*$G$9/$W27</f>
        <v>3.2423442817984935</v>
      </c>
      <c r="E43" s="580">
        <f>U27*$G$9/$W27</f>
        <v>9.5024031981658315</v>
      </c>
      <c r="F43" s="581">
        <f>V27*$G$9/$W27</f>
        <v>4.8299382570637892</v>
      </c>
      <c r="G43" s="488">
        <f t="shared" si="5"/>
        <v>20</v>
      </c>
      <c r="I43" s="539">
        <v>2</v>
      </c>
      <c r="J43" s="539">
        <v>2</v>
      </c>
      <c r="K43" s="579">
        <f>C43*$C$15/C49</f>
        <v>2.4857688864865475</v>
      </c>
      <c r="L43" s="580">
        <f>D43*$D$15/D49</f>
        <v>3.0619875976462381</v>
      </c>
      <c r="M43" s="580">
        <f>E43*$E$15/E49</f>
        <v>9.5144747115616113</v>
      </c>
      <c r="N43" s="581">
        <f>F43*$F$15/F49</f>
        <v>5.1565131394412127</v>
      </c>
      <c r="O43" s="488">
        <f t="shared" si="6"/>
        <v>20.218744335135611</v>
      </c>
      <c r="Q43" s="539">
        <v>2</v>
      </c>
      <c r="R43" s="539">
        <v>2</v>
      </c>
      <c r="S43" s="579">
        <f>K43*$C$19/K53</f>
        <v>2.4844743758815708</v>
      </c>
      <c r="T43" s="580">
        <f>L43*$D$19/L53</f>
        <v>2.9969382918135326</v>
      </c>
      <c r="U43" s="580">
        <f>M43*$E$19/M53</f>
        <v>9.8301902501298368</v>
      </c>
      <c r="V43" s="581">
        <f>N43*$F$19/N53</f>
        <v>5.1652950275723137</v>
      </c>
      <c r="W43" s="488">
        <f t="shared" si="7"/>
        <v>20.476897945397255</v>
      </c>
    </row>
    <row r="44" spans="1:23">
      <c r="A44" s="539">
        <v>3</v>
      </c>
      <c r="B44" s="539">
        <v>1</v>
      </c>
      <c r="C44" s="579">
        <f>S28*$G$10/$W28</f>
        <v>8.5275100880498353</v>
      </c>
      <c r="D44" s="580">
        <f>T28*$G$10/$W28</f>
        <v>5.9570462738866619</v>
      </c>
      <c r="E44" s="580">
        <f>U28*$G$10/$W28</f>
        <v>12.108689717468256</v>
      </c>
      <c r="F44" s="581">
        <f>V28*$G$10/$W28</f>
        <v>6.4067539205952491</v>
      </c>
      <c r="G44" s="488">
        <f t="shared" si="5"/>
        <v>33</v>
      </c>
      <c r="I44" s="539">
        <v>3</v>
      </c>
      <c r="J44" s="539">
        <v>1</v>
      </c>
      <c r="K44" s="579">
        <f>C44*$C$16/C50</f>
        <v>8.3027860803821287</v>
      </c>
      <c r="L44" s="580">
        <f>D44*$D$16/D50</f>
        <v>6.1462269319802161</v>
      </c>
      <c r="M44" s="580">
        <f>E44*$E$16/E50</f>
        <v>12.761365353031021</v>
      </c>
      <c r="N44" s="581">
        <f>F44*$F$16/F50</f>
        <v>6.2017226025479397</v>
      </c>
      <c r="O44" s="488">
        <f t="shared" si="6"/>
        <v>33.412100967941306</v>
      </c>
      <c r="Q44" s="539">
        <v>3</v>
      </c>
      <c r="R44" s="539">
        <v>1</v>
      </c>
      <c r="S44" s="579">
        <f>K44*$C$18/K52</f>
        <v>8.306341170880037</v>
      </c>
      <c r="T44" s="580">
        <f>L44*$D$18/L52</f>
        <v>6.2594459843747696</v>
      </c>
      <c r="U44" s="580">
        <f>M44*$E$18/M52</f>
        <v>12.382611565459912</v>
      </c>
      <c r="V44" s="581">
        <f>N44*$F$18/N52</f>
        <v>6.2823047236075764</v>
      </c>
      <c r="W44" s="488">
        <f t="shared" si="7"/>
        <v>33.230703444322295</v>
      </c>
    </row>
    <row r="45" spans="1:23">
      <c r="A45" s="539">
        <v>3</v>
      </c>
      <c r="B45" s="539">
        <v>2</v>
      </c>
      <c r="C45" s="582">
        <f>S29*$G$11/$W29</f>
        <v>16.122076223317197</v>
      </c>
      <c r="D45" s="583">
        <f>T29*$G$11/$W29</f>
        <v>9.5504742646493828</v>
      </c>
      <c r="E45" s="583">
        <f>U29*$G$11/$W29</f>
        <v>3.0729957934379954</v>
      </c>
      <c r="F45" s="584">
        <f>V29*$G$11/$W29</f>
        <v>14.254453718595427</v>
      </c>
      <c r="G45" s="488">
        <f t="shared" si="5"/>
        <v>43.000000000000007</v>
      </c>
      <c r="I45" s="539">
        <v>3</v>
      </c>
      <c r="J45" s="539">
        <v>2</v>
      </c>
      <c r="K45" s="582">
        <f>C45*$C$16/C50</f>
        <v>15.697213919617875</v>
      </c>
      <c r="L45" s="583">
        <f>D45*$D$16/D50</f>
        <v>9.8537730680197821</v>
      </c>
      <c r="M45" s="583">
        <f>E45*$E$16/E50</f>
        <v>3.2386346469689791</v>
      </c>
      <c r="N45" s="584">
        <f>F45*$F$16/F50</f>
        <v>13.798277397452059</v>
      </c>
      <c r="O45" s="488">
        <f t="shared" si="6"/>
        <v>42.587899032058694</v>
      </c>
      <c r="Q45" s="539">
        <v>3</v>
      </c>
      <c r="R45" s="539">
        <v>2</v>
      </c>
      <c r="S45" s="582">
        <f>K45*$C$19/K53</f>
        <v>15.689039302098925</v>
      </c>
      <c r="T45" s="583">
        <f>L45*$D$19/L53</f>
        <v>9.6444380927898301</v>
      </c>
      <c r="U45" s="583">
        <f>M45*$E$19/M53</f>
        <v>3.3461011454138214</v>
      </c>
      <c r="V45" s="584">
        <f>N45*$F$19/N53</f>
        <v>13.82177679040027</v>
      </c>
      <c r="W45" s="488">
        <f t="shared" si="7"/>
        <v>42.501355330702843</v>
      </c>
    </row>
    <row r="46" spans="1:23">
      <c r="C46" s="585">
        <f>SUM(C40:C45)</f>
        <v>51.353871363376328</v>
      </c>
      <c r="D46" s="585">
        <f>SUM(D40:D45)</f>
        <v>44.110648319547458</v>
      </c>
      <c r="E46" s="585">
        <f>SUM(E40:E45)</f>
        <v>40.47628149758647</v>
      </c>
      <c r="F46" s="585">
        <f>SUM(F40:F45)</f>
        <v>39.059198819489751</v>
      </c>
      <c r="G46" s="587">
        <f>SUM(G40:G45)</f>
        <v>175</v>
      </c>
      <c r="K46" s="585">
        <f>SUM(K40:K45)</f>
        <v>51</v>
      </c>
      <c r="L46" s="585">
        <f>SUM(L40:L45)</f>
        <v>44</v>
      </c>
      <c r="M46" s="585">
        <f>SUM(M40:M45)</f>
        <v>41</v>
      </c>
      <c r="N46" s="585">
        <f>SUM(N40:N45)</f>
        <v>38.744539934288959</v>
      </c>
      <c r="O46" s="587">
        <f>SUM(O40:O45)</f>
        <v>174.74453993428895</v>
      </c>
      <c r="S46" s="585">
        <f>SUM(S40:S45)</f>
        <v>51</v>
      </c>
      <c r="T46" s="585">
        <f>SUM(T40:T45)</f>
        <v>44</v>
      </c>
      <c r="U46" s="585">
        <f>SUM(U40:U45)</f>
        <v>41</v>
      </c>
      <c r="V46" s="585">
        <f>SUM(V40:V45)</f>
        <v>39</v>
      </c>
      <c r="W46" s="587">
        <f>SUM(W40:W45)</f>
        <v>175</v>
      </c>
    </row>
    <row r="48" spans="1:23">
      <c r="A48" s="539">
        <v>1</v>
      </c>
      <c r="C48" s="569">
        <f>SUMIF(A40:A45,A48,C40:C45)</f>
        <v>12.069089422057418</v>
      </c>
      <c r="D48" s="570">
        <f>SUMIF(A40:A45,A48,D40:D45)</f>
        <v>13.778502109740717</v>
      </c>
      <c r="E48" s="570">
        <f>SUMIF(A40:A45,A48,E40:E45)</f>
        <v>12.311089768933316</v>
      </c>
      <c r="F48" s="571">
        <f>SUMIF(A40:A45,A48,F40:F45)</f>
        <v>11.841318699268548</v>
      </c>
      <c r="G48" s="586">
        <f>SUM(C48:F48)</f>
        <v>50</v>
      </c>
      <c r="I48" s="539">
        <v>1</v>
      </c>
      <c r="K48" s="569">
        <f>SUMIF(I40:I45,I48,K40:K45)</f>
        <v>12</v>
      </c>
      <c r="L48" s="570">
        <f>SUMIF(I40:I45,I48,L40:L45)</f>
        <v>14</v>
      </c>
      <c r="M48" s="570">
        <f>SUMIF(I40:I45,I48,M40:M45)</f>
        <v>12</v>
      </c>
      <c r="N48" s="571">
        <f>SUMIF(I40:I45,I48,N40:N45)</f>
        <v>11.74453993428896</v>
      </c>
      <c r="O48" s="586">
        <f>SUM(K48:N48)</f>
        <v>49.744539934288959</v>
      </c>
      <c r="Q48" s="539">
        <v>1</v>
      </c>
      <c r="S48" s="569">
        <f>SUMIF(Q40:Q45,Q48,S40:S45)</f>
        <v>12.000555688791106</v>
      </c>
      <c r="T48" s="570">
        <f>SUMIF(Q40:Q45,Q48,T40:T45)</f>
        <v>13.959677159161473</v>
      </c>
      <c r="U48" s="570">
        <f>SUMIF(Q40:Q45,Q48,U40:U45)</f>
        <v>12.059021175298268</v>
      </c>
      <c r="V48" s="571">
        <f>SUMIF(Q40:Q45,Q48,V40:V45)</f>
        <v>11.863183239916861</v>
      </c>
      <c r="W48" s="586">
        <f>SUM(S48:V48)</f>
        <v>49.882437263167702</v>
      </c>
    </row>
    <row r="49" spans="1:23">
      <c r="A49" s="539">
        <v>2</v>
      </c>
      <c r="C49" s="572">
        <f>SUMIF(A40:A45,A49,C40:C45)</f>
        <v>14.63519562995188</v>
      </c>
      <c r="D49" s="488">
        <f>SUMIF(A40:A45,A49,D40:D45)</f>
        <v>14.824625671270695</v>
      </c>
      <c r="E49" s="488">
        <f>SUMIF(A40:A45,A49,E40:E45)</f>
        <v>12.983506217746898</v>
      </c>
      <c r="F49" s="485">
        <f>SUMIF(A40:A45,A49,F40:F45)</f>
        <v>6.5566724810305264</v>
      </c>
      <c r="G49" s="586">
        <f>SUM(C49:F49)</f>
        <v>49</v>
      </c>
      <c r="I49" s="539">
        <v>2</v>
      </c>
      <c r="K49" s="572">
        <f>SUMIF(I40:I45,I49,K40:K45)</f>
        <v>15</v>
      </c>
      <c r="L49" s="488">
        <f>SUMIF(I40:I45,I49,L40:L45)</f>
        <v>14</v>
      </c>
      <c r="M49" s="488">
        <f>SUMIF(I40:I45,I49,M40:M45)</f>
        <v>13</v>
      </c>
      <c r="N49" s="485">
        <f>SUMIF(I40:I45,I49,N40:N45)</f>
        <v>7</v>
      </c>
      <c r="O49" s="586">
        <f>SUM(K49:N49)</f>
        <v>49</v>
      </c>
      <c r="Q49" s="539">
        <v>2</v>
      </c>
      <c r="S49" s="572">
        <f>SUMIF(Q40:Q45,Q49,S40:S45)</f>
        <v>15.004063838229929</v>
      </c>
      <c r="T49" s="488">
        <f>SUMIF(Q40:Q45,Q49,T40:T45)</f>
        <v>14.136438763673926</v>
      </c>
      <c r="U49" s="488">
        <f>SUMIF(Q40:Q45,Q49,U40:U45)</f>
        <v>13.212266113827999</v>
      </c>
      <c r="V49" s="485">
        <f>SUMIF(Q40:Q45,Q49,V40:V45)</f>
        <v>7.0327352460752905</v>
      </c>
      <c r="W49" s="586">
        <f>SUM(S49:V49)</f>
        <v>49.385503961807146</v>
      </c>
    </row>
    <row r="50" spans="1:23">
      <c r="A50" s="539">
        <v>3</v>
      </c>
      <c r="C50" s="573">
        <f>SUMIF(A40:A45,A50,C40:C45)</f>
        <v>24.649586311367031</v>
      </c>
      <c r="D50" s="574">
        <f>SUMIF(A40:A45,A50,D40:D45)</f>
        <v>15.507520538536046</v>
      </c>
      <c r="E50" s="574">
        <f>SUMIF(A40:A45,A50,E40:E45)</f>
        <v>15.181685510906251</v>
      </c>
      <c r="F50" s="575">
        <f>SUMIF(A40:A45,A50,F40:F45)</f>
        <v>20.661207639190675</v>
      </c>
      <c r="G50" s="586">
        <f>SUM(C50:F50)</f>
        <v>76</v>
      </c>
      <c r="I50" s="539">
        <v>3</v>
      </c>
      <c r="K50" s="573">
        <f>SUMIF(I40:I45,I50,K40:K45)</f>
        <v>24.000000000000004</v>
      </c>
      <c r="L50" s="574">
        <f>SUMIF(I40:I45,I50,L40:L45)</f>
        <v>15.999999999999998</v>
      </c>
      <c r="M50" s="574">
        <f>SUMIF(I40:I45,I50,M40:M45)</f>
        <v>16</v>
      </c>
      <c r="N50" s="575">
        <f>SUMIF(I40:I45,I50,N40:N45)</f>
        <v>20</v>
      </c>
      <c r="O50" s="586">
        <f>SUM(K50:N50)</f>
        <v>76</v>
      </c>
      <c r="Q50" s="539">
        <v>3</v>
      </c>
      <c r="S50" s="573">
        <f>SUMIF(Q40:Q45,Q50,S40:S45)</f>
        <v>23.995380472978962</v>
      </c>
      <c r="T50" s="574">
        <f>SUMIF(Q40:Q45,Q50,T40:T45)</f>
        <v>15.9038840771646</v>
      </c>
      <c r="U50" s="574">
        <f>SUMIF(Q40:Q45,Q50,U40:U45)</f>
        <v>15.728712710873733</v>
      </c>
      <c r="V50" s="575">
        <f>SUMIF(Q40:Q45,Q50,V40:V45)</f>
        <v>20.104081514007845</v>
      </c>
      <c r="W50" s="586">
        <f>SUM(S50:V50)</f>
        <v>75.732058775025138</v>
      </c>
    </row>
    <row r="52" spans="1:23">
      <c r="B52" s="539">
        <v>1</v>
      </c>
      <c r="C52" s="569">
        <f>SUMIF(B40:B45,B52,C40:C45)</f>
        <v>27.949677021143017</v>
      </c>
      <c r="D52" s="570">
        <f>SUMIF(B40:B45,B52,D40:D45)</f>
        <v>23.91843518156584</v>
      </c>
      <c r="E52" s="570">
        <f>SUMIF(B40:B45,B52,E40:E45)</f>
        <v>21.12511309720233</v>
      </c>
      <c r="F52" s="571">
        <f>SUMIF(B40:B45,B52,F40:F45)</f>
        <v>17.006774700088812</v>
      </c>
      <c r="G52" s="586">
        <f>SUM(C52:F52)</f>
        <v>90</v>
      </c>
      <c r="J52" s="539">
        <v>1</v>
      </c>
      <c r="K52" s="569">
        <f>SUMIF(J40:J45,J52,K40:K45)</f>
        <v>27.988016079294887</v>
      </c>
      <c r="L52" s="570">
        <f>SUMIF(J40:J45,J52,L40:L45)</f>
        <v>23.565894926763121</v>
      </c>
      <c r="M52" s="570">
        <f>SUMIF(J40:J45,J52,M40:M45)</f>
        <v>21.642338613057984</v>
      </c>
      <c r="N52" s="571">
        <f>SUMIF(J40:J45,J52,N40:N45)</f>
        <v>16.78194371042429</v>
      </c>
      <c r="O52" s="586">
        <f>SUM(K52:N52)</f>
        <v>89.978193329540275</v>
      </c>
      <c r="R52" s="539">
        <v>1</v>
      </c>
      <c r="S52" s="569">
        <f>SUMIF(R40:R45,R52,S40:S45)</f>
        <v>28</v>
      </c>
      <c r="T52" s="570">
        <f>SUMIF(R40:R45,R52,T40:T45)</f>
        <v>24</v>
      </c>
      <c r="U52" s="570">
        <f>SUMIF(R40:R45,R52,U40:U45)</f>
        <v>21</v>
      </c>
      <c r="V52" s="571">
        <f>SUMIF(R40:R45,R52,V40:V45)</f>
        <v>17</v>
      </c>
      <c r="W52" s="586">
        <f>SUM(S52:V52)</f>
        <v>90</v>
      </c>
    </row>
    <row r="53" spans="1:23">
      <c r="B53" s="539">
        <v>2</v>
      </c>
      <c r="C53" s="573">
        <f>SUMIF(B40:B45,B53,C40:C45)</f>
        <v>23.404194342233311</v>
      </c>
      <c r="D53" s="574">
        <f>SUMIF(B40:B45,B53,D40:D45)</f>
        <v>20.192213137981618</v>
      </c>
      <c r="E53" s="574">
        <f>SUMIF(B40:B45,B53,E40:E45)</f>
        <v>19.351168400384136</v>
      </c>
      <c r="F53" s="575">
        <f>SUMIF(B40:B45,B53,F40:F45)</f>
        <v>22.052424119400939</v>
      </c>
      <c r="G53" s="586">
        <f>SUM(C53:F53)</f>
        <v>85</v>
      </c>
      <c r="J53" s="539">
        <v>2</v>
      </c>
      <c r="K53" s="573">
        <f>SUMIF(J40:J45,J53,K40:K45)</f>
        <v>23.01198392070512</v>
      </c>
      <c r="L53" s="574">
        <f>SUMIF(J40:J45,J53,L40:L45)</f>
        <v>20.434105073236875</v>
      </c>
      <c r="M53" s="574">
        <f>SUMIF(J40:J45,J53,M40:M45)</f>
        <v>19.357661386942016</v>
      </c>
      <c r="N53" s="575">
        <f>SUMIF(J40:J45,J53,N40:N45)</f>
        <v>21.962596223864672</v>
      </c>
      <c r="O53" s="586">
        <f>SUM(K53:N53)</f>
        <v>84.766346604748691</v>
      </c>
      <c r="R53" s="539">
        <v>2</v>
      </c>
      <c r="S53" s="573">
        <f>SUMIF(R40:R45,R53,S40:S45)</f>
        <v>23</v>
      </c>
      <c r="T53" s="574">
        <f>SUMIF(R40:R45,R53,T40:T45)</f>
        <v>20</v>
      </c>
      <c r="U53" s="574">
        <f>SUMIF(R40:R45,R53,U40:U45)</f>
        <v>20</v>
      </c>
      <c r="V53" s="575">
        <f>SUMIF(R40:R45,R53,V40:V45)</f>
        <v>22</v>
      </c>
      <c r="W53" s="586">
        <f>SUM(S53:V53)</f>
        <v>85</v>
      </c>
    </row>
    <row r="55" spans="1:23">
      <c r="A55" s="539" t="s">
        <v>134</v>
      </c>
      <c r="B55" s="539" t="s">
        <v>1379</v>
      </c>
      <c r="C55">
        <v>1</v>
      </c>
      <c r="D55">
        <f>C55+1</f>
        <v>2</v>
      </c>
      <c r="E55">
        <f>D55+1</f>
        <v>3</v>
      </c>
      <c r="F55">
        <f>E55+1</f>
        <v>4</v>
      </c>
      <c r="I55" s="539" t="s">
        <v>134</v>
      </c>
      <c r="J55" s="539" t="s">
        <v>1379</v>
      </c>
      <c r="K55">
        <v>1</v>
      </c>
      <c r="L55">
        <f>K55+1</f>
        <v>2</v>
      </c>
      <c r="M55">
        <f>L55+1</f>
        <v>3</v>
      </c>
      <c r="N55">
        <f>M55+1</f>
        <v>4</v>
      </c>
      <c r="Q55" s="539" t="s">
        <v>134</v>
      </c>
      <c r="R55" s="539" t="s">
        <v>1379</v>
      </c>
      <c r="S55">
        <v>1</v>
      </c>
      <c r="T55">
        <f>S55+1</f>
        <v>2</v>
      </c>
      <c r="U55">
        <f>T55+1</f>
        <v>3</v>
      </c>
      <c r="V55">
        <f>U55+1</f>
        <v>4</v>
      </c>
    </row>
    <row r="56" spans="1:23">
      <c r="A56" s="539">
        <v>1</v>
      </c>
      <c r="B56" s="539">
        <v>1</v>
      </c>
      <c r="C56" s="576">
        <f>S40*$G$6/$W40</f>
        <v>7.2099412606620872</v>
      </c>
      <c r="D56" s="577">
        <f>T40*$G$6/$W40</f>
        <v>6.634060234971936</v>
      </c>
      <c r="E56" s="577">
        <f>U40*$G$6/$W40</f>
        <v>5.261490262668354</v>
      </c>
      <c r="F56" s="578">
        <f>V40*$G$6/$W40</f>
        <v>8.8945082416976202</v>
      </c>
      <c r="G56" s="488">
        <f t="shared" ref="G56:G61" si="8">SUM(C56:F56)</f>
        <v>28</v>
      </c>
      <c r="I56" s="539">
        <v>1</v>
      </c>
      <c r="J56" s="539">
        <v>1</v>
      </c>
      <c r="K56" s="576">
        <f>C56*$C$14/C64</f>
        <v>7.1909682667004127</v>
      </c>
      <c r="L56" s="577">
        <f>D56*$D$14/D64</f>
        <v>6.6409777020291383</v>
      </c>
      <c r="M56" s="577">
        <f>E56*$E$14/E64</f>
        <v>5.2273121886039489</v>
      </c>
      <c r="N56" s="578">
        <f>F56*F48/F64</f>
        <v>8.8473309017780668</v>
      </c>
      <c r="O56" s="488">
        <f t="shared" ref="O56:O61" si="9">SUM(K56:N56)</f>
        <v>27.906589059111568</v>
      </c>
      <c r="Q56" s="539">
        <v>1</v>
      </c>
      <c r="R56" s="539">
        <v>1</v>
      </c>
      <c r="S56" s="576">
        <f>K56*$C$18/K68</f>
        <v>7.1989171372322742</v>
      </c>
      <c r="T56" s="577">
        <f>L56*$D$18/L68</f>
        <v>6.6517173283429498</v>
      </c>
      <c r="U56" s="577">
        <f>M56*$E$18/M68</f>
        <v>5.18591477013823</v>
      </c>
      <c r="V56" s="578">
        <f>N56*$F$18/N68</f>
        <v>8.8929491613329521</v>
      </c>
      <c r="W56" s="488">
        <f t="shared" ref="W56:W61" si="10">SUM(S56:V56)</f>
        <v>27.929498397046409</v>
      </c>
    </row>
    <row r="57" spans="1:23">
      <c r="A57" s="539">
        <v>1</v>
      </c>
      <c r="B57" s="539">
        <v>2</v>
      </c>
      <c r="C57" s="579">
        <f>S41*$G$7/$W41</f>
        <v>4.8217201122012039</v>
      </c>
      <c r="D57" s="580">
        <f>T41*$G$7/$W41</f>
        <v>7.3513568913690799</v>
      </c>
      <c r="E57" s="580">
        <f>U41*$G$7/$W41</f>
        <v>6.8169701150506201</v>
      </c>
      <c r="F57" s="581">
        <f>V41*$G$7/$W41</f>
        <v>3.0099528813790943</v>
      </c>
      <c r="G57" s="488">
        <f t="shared" si="8"/>
        <v>22</v>
      </c>
      <c r="I57" s="539">
        <v>1</v>
      </c>
      <c r="J57" s="539">
        <v>2</v>
      </c>
      <c r="K57" s="579">
        <f>C57*$C$14/C64</f>
        <v>4.8090317332995882</v>
      </c>
      <c r="L57" s="580">
        <f>D57*$D$14/D64</f>
        <v>7.3590222979708626</v>
      </c>
      <c r="M57" s="580">
        <f>E57*$E$14/E64</f>
        <v>6.7726878113960511</v>
      </c>
      <c r="N57" s="581">
        <f>F57*$F$14/F64</f>
        <v>3.0341091632053687</v>
      </c>
      <c r="O57" s="488">
        <f t="shared" si="9"/>
        <v>21.974851005871869</v>
      </c>
      <c r="Q57" s="539">
        <v>1</v>
      </c>
      <c r="R57" s="539">
        <v>2</v>
      </c>
      <c r="S57" s="579">
        <f>K57*$C$19/K69</f>
        <v>4.8025760429035698</v>
      </c>
      <c r="T57" s="580">
        <f>L57*$D$19/L69</f>
        <v>7.3447919300605262</v>
      </c>
      <c r="U57" s="580">
        <f>M57*$E$19/M69</f>
        <v>6.829934945594581</v>
      </c>
      <c r="V57" s="581">
        <f>N57*$F$19/N69</f>
        <v>3.0384396091014572</v>
      </c>
      <c r="W57" s="488">
        <f t="shared" si="10"/>
        <v>22.015742527660134</v>
      </c>
    </row>
    <row r="58" spans="1:23">
      <c r="A58" s="539">
        <v>2</v>
      </c>
      <c r="B58" s="539">
        <v>1</v>
      </c>
      <c r="C58" s="579">
        <f>S42*$G$8/$W42</f>
        <v>12.559169895705375</v>
      </c>
      <c r="D58" s="580">
        <f>T42*$G$8/$W42</f>
        <v>11.174717781292378</v>
      </c>
      <c r="E58" s="580">
        <f>U42*$G$8/$W42</f>
        <v>3.3927682293491341</v>
      </c>
      <c r="F58" s="581">
        <f>V42*$G$8/$W42</f>
        <v>1.8733440936531129</v>
      </c>
      <c r="G58" s="488">
        <f t="shared" si="8"/>
        <v>29</v>
      </c>
      <c r="I58" s="539">
        <v>2</v>
      </c>
      <c r="J58" s="539">
        <v>1</v>
      </c>
      <c r="K58" s="579">
        <f>C58*$C$15/C65</f>
        <v>12.571085645385825</v>
      </c>
      <c r="L58" s="580">
        <f>D58*$D$15/D65</f>
        <v>11.094002023521192</v>
      </c>
      <c r="M58" s="580">
        <f>E58*$E$15/E65</f>
        <v>3.3943302288821728</v>
      </c>
      <c r="N58" s="581">
        <f>F58*$F$15/F65</f>
        <v>1.8954554829511534</v>
      </c>
      <c r="O58" s="488">
        <f t="shared" si="9"/>
        <v>28.954873380740342</v>
      </c>
      <c r="Q58" s="539">
        <v>2</v>
      </c>
      <c r="R58" s="539">
        <v>1</v>
      </c>
      <c r="S58" s="579">
        <f>K58*$C$18/K68</f>
        <v>12.584981678372488</v>
      </c>
      <c r="T58" s="580">
        <f>L58*$D$18/L68</f>
        <v>11.111942971586849</v>
      </c>
      <c r="U58" s="580">
        <f>M58*$E$18/M68</f>
        <v>3.3674490127186898</v>
      </c>
      <c r="V58" s="581">
        <f>N58*$F$18/N68</f>
        <v>1.9052287559479417</v>
      </c>
      <c r="W58" s="488">
        <f t="shared" si="10"/>
        <v>28.969602418625968</v>
      </c>
    </row>
    <row r="59" spans="1:23">
      <c r="A59" s="539">
        <v>2</v>
      </c>
      <c r="B59" s="539">
        <v>2</v>
      </c>
      <c r="C59" s="579">
        <f>S43*$G$9/$W43</f>
        <v>2.4266120605831558</v>
      </c>
      <c r="D59" s="580">
        <f>T43*$G$9/$W43</f>
        <v>2.9271409173450285</v>
      </c>
      <c r="E59" s="580">
        <f>U43*$G$9/$W43</f>
        <v>9.6012494434875499</v>
      </c>
      <c r="F59" s="581">
        <f>V43*$G$9/$W43</f>
        <v>5.0449975785842653</v>
      </c>
      <c r="G59" s="488">
        <f t="shared" si="8"/>
        <v>20</v>
      </c>
      <c r="I59" s="539">
        <v>2</v>
      </c>
      <c r="J59" s="539">
        <v>2</v>
      </c>
      <c r="K59" s="579">
        <f>C59*$C$15/C65</f>
        <v>2.4289143546141774</v>
      </c>
      <c r="L59" s="580">
        <f>D59*$D$15/D65</f>
        <v>2.9059979764788095</v>
      </c>
      <c r="M59" s="580">
        <f>E59*$E$15/E65</f>
        <v>9.6056697711178263</v>
      </c>
      <c r="N59" s="581">
        <f>F59*$F$15/F65</f>
        <v>5.1045445170488462</v>
      </c>
      <c r="O59" s="488">
        <f t="shared" si="9"/>
        <v>20.045126619259658</v>
      </c>
      <c r="Q59" s="539">
        <v>2</v>
      </c>
      <c r="R59" s="539">
        <v>2</v>
      </c>
      <c r="S59" s="579">
        <f>K59*$C$19/K69</f>
        <v>2.4256537566515441</v>
      </c>
      <c r="T59" s="580">
        <f>L59*$D$19/L69</f>
        <v>2.9003785587521653</v>
      </c>
      <c r="U59" s="580">
        <f>M59*$E$19/M69</f>
        <v>9.6868630996407585</v>
      </c>
      <c r="V59" s="581">
        <f>N59*$F$19/N69</f>
        <v>5.1118300010793227</v>
      </c>
      <c r="W59" s="488">
        <f t="shared" si="10"/>
        <v>20.124725416123791</v>
      </c>
    </row>
    <row r="60" spans="1:23">
      <c r="A60" s="539">
        <v>3</v>
      </c>
      <c r="B60" s="539">
        <v>1</v>
      </c>
      <c r="C60" s="579">
        <f>S44*$G$10/$W44</f>
        <v>8.2486745758574891</v>
      </c>
      <c r="D60" s="580">
        <f>T44*$G$10/$W44</f>
        <v>6.2159899151836928</v>
      </c>
      <c r="E60" s="580">
        <f>U44*$G$10/$W44</f>
        <v>12.296645550848062</v>
      </c>
      <c r="F60" s="581">
        <f>V44*$G$10/$W44</f>
        <v>6.2386899581107569</v>
      </c>
      <c r="G60" s="488">
        <f t="shared" si="8"/>
        <v>33</v>
      </c>
      <c r="I60" s="539">
        <v>3</v>
      </c>
      <c r="J60" s="539">
        <v>1</v>
      </c>
      <c r="K60" s="579">
        <f>C60*$C$16/C66</f>
        <v>8.2070291637917983</v>
      </c>
      <c r="L60" s="580">
        <f>D60*$D$16/D66</f>
        <v>6.2262707277073215</v>
      </c>
      <c r="M60" s="580">
        <f>E60*$E$16/E66</f>
        <v>12.545993539970413</v>
      </c>
      <c r="N60" s="581">
        <f>F60*$F$16/F66</f>
        <v>6.1700085274687479</v>
      </c>
      <c r="O60" s="488">
        <f t="shared" si="9"/>
        <v>33.149301958938281</v>
      </c>
      <c r="Q60" s="539">
        <v>3</v>
      </c>
      <c r="R60" s="539">
        <v>1</v>
      </c>
      <c r="S60" s="579">
        <f>K60*$C$18/K68</f>
        <v>8.2161011843952387</v>
      </c>
      <c r="T60" s="580">
        <f>L60*$D$18/L68</f>
        <v>6.2363397000701966</v>
      </c>
      <c r="U60" s="580">
        <f>M60*$E$18/M68</f>
        <v>12.446636217143082</v>
      </c>
      <c r="V60" s="581">
        <f>N60*$F$18/N68</f>
        <v>6.2018220827191071</v>
      </c>
      <c r="W60" s="488">
        <f t="shared" si="10"/>
        <v>33.100899184327623</v>
      </c>
    </row>
    <row r="61" spans="1:23">
      <c r="A61" s="539">
        <v>3</v>
      </c>
      <c r="B61" s="539">
        <v>2</v>
      </c>
      <c r="C61" s="582">
        <f>S45*$G$11/$W45</f>
        <v>15.87311003945571</v>
      </c>
      <c r="D61" s="583">
        <f>T45*$G$11/$W45</f>
        <v>9.7575908994689602</v>
      </c>
      <c r="E61" s="583">
        <f>U45*$G$11/$W45</f>
        <v>3.3853590816868411</v>
      </c>
      <c r="F61" s="584">
        <f>V45*$G$11/$W45</f>
        <v>13.98393997938849</v>
      </c>
      <c r="G61" s="488">
        <f t="shared" si="8"/>
        <v>43</v>
      </c>
      <c r="I61" s="539">
        <v>3</v>
      </c>
      <c r="J61" s="539">
        <v>2</v>
      </c>
      <c r="K61" s="582">
        <f>C61*$C$16/C66</f>
        <v>15.792970836208202</v>
      </c>
      <c r="L61" s="583">
        <f>D61*$D$16/D66</f>
        <v>9.7737292722926785</v>
      </c>
      <c r="M61" s="583">
        <f>E61*$E$16/E66</f>
        <v>3.4540064600295866</v>
      </c>
      <c r="N61" s="584">
        <f>F61*$F$16/F66</f>
        <v>13.829991472531253</v>
      </c>
      <c r="O61" s="488">
        <f t="shared" si="9"/>
        <v>42.850698041061719</v>
      </c>
      <c r="Q61" s="539">
        <v>3</v>
      </c>
      <c r="R61" s="539">
        <v>2</v>
      </c>
      <c r="S61" s="582">
        <f>K61*$C$19/K69</f>
        <v>15.771770200444887</v>
      </c>
      <c r="T61" s="583">
        <f>L61*$D$19/L69</f>
        <v>9.7548295111873067</v>
      </c>
      <c r="U61" s="583">
        <f>M61*$E$19/M69</f>
        <v>3.4832019547646591</v>
      </c>
      <c r="V61" s="584">
        <f>N61*$F$19/N69</f>
        <v>13.849730389819218</v>
      </c>
      <c r="W61" s="488">
        <f t="shared" si="10"/>
        <v>42.859532056216068</v>
      </c>
    </row>
    <row r="62" spans="1:23">
      <c r="C62" s="585">
        <f>SUM(C56:C61)</f>
        <v>51.13922794446502</v>
      </c>
      <c r="D62" s="585">
        <f>SUM(D56:D61)</f>
        <v>44.060856639631069</v>
      </c>
      <c r="E62" s="585">
        <f>SUM(E56:E61)</f>
        <v>40.754482683090565</v>
      </c>
      <c r="F62" s="585">
        <f>SUM(F56:F61)</f>
        <v>39.045432732813339</v>
      </c>
      <c r="G62" s="587">
        <f>SUM(G56:G61)</f>
        <v>175</v>
      </c>
      <c r="K62" s="585">
        <f>SUM(K56:K61)</f>
        <v>51</v>
      </c>
      <c r="L62" s="585">
        <f>SUM(L56:L61)</f>
        <v>44</v>
      </c>
      <c r="M62" s="585">
        <f>SUM(M56:M61)</f>
        <v>41</v>
      </c>
      <c r="N62" s="585">
        <f>SUM(N56:N61)</f>
        <v>38.881440064983437</v>
      </c>
      <c r="O62" s="587">
        <f>SUM(O56:O61)</f>
        <v>174.88144006498345</v>
      </c>
      <c r="S62" s="585">
        <f>SUM(S56:S61)</f>
        <v>51</v>
      </c>
      <c r="T62" s="585">
        <f>SUM(T56:T61)</f>
        <v>44</v>
      </c>
      <c r="U62" s="585">
        <f>SUM(U56:U61)</f>
        <v>41</v>
      </c>
      <c r="V62" s="585">
        <f>SUM(V56:V61)</f>
        <v>39</v>
      </c>
      <c r="W62" s="587">
        <f>SUM(W56:W61)</f>
        <v>175</v>
      </c>
    </row>
    <row r="64" spans="1:23">
      <c r="A64" s="539">
        <v>1</v>
      </c>
      <c r="C64" s="569">
        <f>SUMIF(A56:A61,A64,C56:C61)</f>
        <v>12.03166137286329</v>
      </c>
      <c r="D64" s="570">
        <f>SUMIF(A56:A61,A64,D56:D61)</f>
        <v>13.985417126341016</v>
      </c>
      <c r="E64" s="570">
        <f>SUMIF(A56:A61,A64,E56:E61)</f>
        <v>12.078460377718974</v>
      </c>
      <c r="F64" s="571">
        <f>SUMIF(A56:A61,A64,F56:F61)</f>
        <v>11.904461123076715</v>
      </c>
      <c r="G64" s="586">
        <f>SUM(C64:F64)</f>
        <v>49.999999999999993</v>
      </c>
      <c r="I64" s="539">
        <v>1</v>
      </c>
      <c r="K64" s="569">
        <f>SUMIF(I56:I61,I64,K56:K61)</f>
        <v>12</v>
      </c>
      <c r="L64" s="570">
        <f>SUMIF(I56:I61,I64,L56:L61)</f>
        <v>14</v>
      </c>
      <c r="M64" s="570">
        <f>SUMIF(I56:I61,I64,M56:M61)</f>
        <v>12</v>
      </c>
      <c r="N64" s="571">
        <f>SUMIF(I56:I61,I64,N56:N61)</f>
        <v>11.881440064983435</v>
      </c>
      <c r="O64" s="586">
        <f>SUM(K64:N64)</f>
        <v>49.881440064983437</v>
      </c>
      <c r="Q64" s="539">
        <v>1</v>
      </c>
      <c r="S64" s="569">
        <f>SUMIF(Q56:Q61,Q64,S56:S61)</f>
        <v>12.001493180135844</v>
      </c>
      <c r="T64" s="570">
        <f>SUMIF(Q56:Q61,Q64,T56:T61)</f>
        <v>13.996509258403476</v>
      </c>
      <c r="U64" s="570">
        <f>SUMIF(Q56:Q61,Q64,U56:U61)</f>
        <v>12.015849715732811</v>
      </c>
      <c r="V64" s="571">
        <f>SUMIF(Q56:Q61,Q64,V56:V61)</f>
        <v>11.93138877043441</v>
      </c>
      <c r="W64" s="586">
        <f>SUM(S64:V64)</f>
        <v>49.945240924706539</v>
      </c>
    </row>
    <row r="65" spans="1:23">
      <c r="A65" s="539">
        <v>2</v>
      </c>
      <c r="C65" s="572">
        <f>SUMIF(A56:A61,A65,C56:C61)</f>
        <v>14.98578195628853</v>
      </c>
      <c r="D65" s="488">
        <f>SUMIF(A56:A61,A65,D56:D61)</f>
        <v>14.101858698637406</v>
      </c>
      <c r="E65" s="488">
        <f>SUMIF(A56:A61,A65,E56:E61)</f>
        <v>12.994017672836684</v>
      </c>
      <c r="F65" s="485">
        <f>SUMIF(A56:A61,A65,F56:F61)</f>
        <v>6.9183416722373785</v>
      </c>
      <c r="G65" s="586">
        <f>SUM(C65:F65)</f>
        <v>49</v>
      </c>
      <c r="I65" s="539">
        <v>2</v>
      </c>
      <c r="K65" s="572">
        <f>SUMIF(I56:I61,I65,K56:K61)</f>
        <v>15.000000000000002</v>
      </c>
      <c r="L65" s="488">
        <f>SUMIF(I56:I61,I65,L56:L61)</f>
        <v>14.000000000000002</v>
      </c>
      <c r="M65" s="488">
        <f>SUMIF(I56:I61,I65,M56:M61)</f>
        <v>13</v>
      </c>
      <c r="N65" s="485">
        <f>SUMIF(I56:I61,I65,N56:N61)</f>
        <v>7</v>
      </c>
      <c r="O65" s="586">
        <f>SUM(K65:N65)</f>
        <v>49</v>
      </c>
      <c r="Q65" s="539">
        <v>2</v>
      </c>
      <c r="S65" s="572">
        <f>SUMIF(Q56:Q61,Q65,S56:S61)</f>
        <v>15.010635435024032</v>
      </c>
      <c r="T65" s="488">
        <f>SUMIF(Q56:Q61,Q65,T56:T61)</f>
        <v>14.012321530339015</v>
      </c>
      <c r="U65" s="488">
        <f>SUMIF(Q56:Q61,Q65,U56:U61)</f>
        <v>13.054312112359447</v>
      </c>
      <c r="V65" s="485">
        <f>SUMIF(Q56:Q61,Q65,V56:V61)</f>
        <v>7.0170587570272644</v>
      </c>
      <c r="W65" s="586">
        <f>SUM(S65:V65)</f>
        <v>49.094327834749755</v>
      </c>
    </row>
    <row r="66" spans="1:23">
      <c r="A66" s="539">
        <v>3</v>
      </c>
      <c r="C66" s="573">
        <f>SUMIF(A56:A61,A66,C56:C61)</f>
        <v>24.121784615313199</v>
      </c>
      <c r="D66" s="574">
        <f>SUMIF(A56:A61,A66,D56:D61)</f>
        <v>15.973580814652653</v>
      </c>
      <c r="E66" s="574">
        <f>SUMIF(A56:A61,A66,E56:E61)</f>
        <v>15.682004632534904</v>
      </c>
      <c r="F66" s="575">
        <f>SUMIF(A56:A61,A66,F56:F61)</f>
        <v>20.222629937499246</v>
      </c>
      <c r="G66" s="586">
        <f>SUM(C66:F66)</f>
        <v>76</v>
      </c>
      <c r="I66" s="539">
        <v>3</v>
      </c>
      <c r="K66" s="573">
        <f>SUMIF(I56:I61,I66,K56:K61)</f>
        <v>24</v>
      </c>
      <c r="L66" s="574">
        <f>SUMIF(I56:I61,I66,L56:L61)</f>
        <v>16</v>
      </c>
      <c r="M66" s="574">
        <f>SUMIF(I56:I61,I66,M56:M61)</f>
        <v>16</v>
      </c>
      <c r="N66" s="575">
        <f>SUMIF(I56:I61,I66,N56:N61)</f>
        <v>20</v>
      </c>
      <c r="O66" s="586">
        <f>SUM(K66:N66)</f>
        <v>76</v>
      </c>
      <c r="Q66" s="539">
        <v>3</v>
      </c>
      <c r="S66" s="573">
        <f>SUMIF(Q56:Q61,Q66,S56:S61)</f>
        <v>23.987871384840126</v>
      </c>
      <c r="T66" s="574">
        <f>SUMIF(Q56:Q61,Q66,T56:T61)</f>
        <v>15.991169211257503</v>
      </c>
      <c r="U66" s="574">
        <f>SUMIF(Q56:Q61,Q66,U56:U61)</f>
        <v>15.929838171907742</v>
      </c>
      <c r="V66" s="575">
        <f>SUMIF(Q56:Q61,Q66,V56:V61)</f>
        <v>20.051552472538326</v>
      </c>
      <c r="W66" s="586">
        <f>SUM(S66:V66)</f>
        <v>75.960431240543699</v>
      </c>
    </row>
    <row r="68" spans="1:23">
      <c r="B68" s="539">
        <v>1</v>
      </c>
      <c r="C68" s="569">
        <f>SUMIF(B56:B61,B68,C56:C61)</f>
        <v>28.017785732224951</v>
      </c>
      <c r="D68" s="570">
        <f>SUMIF(B56:B61,B68,D56:D61)</f>
        <v>24.024767931448004</v>
      </c>
      <c r="E68" s="570">
        <f>SUMIF(B56:B61,B68,E56:E61)</f>
        <v>20.950904042865552</v>
      </c>
      <c r="F68" s="571">
        <f>SUMIF(B56:B61,B68,F56:F61)</f>
        <v>17.006542293461489</v>
      </c>
      <c r="G68" s="586">
        <f>SUM(C68:F68)</f>
        <v>90</v>
      </c>
      <c r="J68" s="539">
        <v>1</v>
      </c>
      <c r="K68" s="569">
        <f>SUMIF(J56:J61,J68,K56:K61)</f>
        <v>27.969083075878036</v>
      </c>
      <c r="L68" s="570">
        <f>SUMIF(J56:J61,J68,L56:L61)</f>
        <v>23.961250453257655</v>
      </c>
      <c r="M68" s="570">
        <f>SUMIF(J56:J61,J68,M56:M61)</f>
        <v>21.167635957456532</v>
      </c>
      <c r="N68" s="571">
        <f>SUMIF(J56:J61,J68,N56:N61)</f>
        <v>16.912794912197967</v>
      </c>
      <c r="O68" s="586">
        <f>SUM(K68:N68)</f>
        <v>90.010764398790201</v>
      </c>
      <c r="R68" s="539">
        <v>1</v>
      </c>
      <c r="S68" s="569">
        <f>SUMIF(R56:R61,R68,S56:S61)</f>
        <v>28</v>
      </c>
      <c r="T68" s="570">
        <f>SUMIF(R56:R61,R68,T56:T61)</f>
        <v>23.999999999999996</v>
      </c>
      <c r="U68" s="570">
        <f>SUMIF(R56:R61,R68,U56:U61)</f>
        <v>21</v>
      </c>
      <c r="V68" s="571">
        <f>SUMIF(R56:R61,R68,V56:V61)</f>
        <v>17</v>
      </c>
      <c r="W68" s="586">
        <f>SUM(S68:V68)</f>
        <v>90</v>
      </c>
    </row>
    <row r="69" spans="1:23">
      <c r="B69" s="539">
        <v>2</v>
      </c>
      <c r="C69" s="573">
        <f>SUMIF(B56:B61,B69,C56:C61)</f>
        <v>23.121442212240069</v>
      </c>
      <c r="D69" s="574">
        <f>SUMIF(B56:B61,B69,D56:D61)</f>
        <v>20.036088708183069</v>
      </c>
      <c r="E69" s="574">
        <f>SUMIF(B56:B61,B69,E56:E61)</f>
        <v>19.803578640225009</v>
      </c>
      <c r="F69" s="575">
        <f>SUMIF(B56:B61,B69,F56:F61)</f>
        <v>22.038890439351849</v>
      </c>
      <c r="G69" s="586">
        <f>SUM(C69:F69)</f>
        <v>85</v>
      </c>
      <c r="J69" s="539">
        <v>2</v>
      </c>
      <c r="K69" s="573">
        <f>SUMIF(J56:J61,J69,K56:K61)</f>
        <v>23.030916924121968</v>
      </c>
      <c r="L69" s="574">
        <f>SUMIF(J56:J61,J69,L56:L61)</f>
        <v>20.038749546742352</v>
      </c>
      <c r="M69" s="574">
        <f>SUMIF(J56:J61,J69,M56:M61)</f>
        <v>19.832364042543464</v>
      </c>
      <c r="N69" s="575">
        <f>SUMIF(J56:J61,J69,N56:N61)</f>
        <v>21.96864515278547</v>
      </c>
      <c r="O69" s="586">
        <f>SUM(K69:N69)</f>
        <v>84.87067566619325</v>
      </c>
      <c r="R69" s="539">
        <v>2</v>
      </c>
      <c r="S69" s="573">
        <f>SUMIF(R56:R61,R69,S56:S61)</f>
        <v>23</v>
      </c>
      <c r="T69" s="574">
        <f>SUMIF(R56:R61,R69,T56:T61)</f>
        <v>20</v>
      </c>
      <c r="U69" s="574">
        <f>SUMIF(R56:R61,R69,U56:U61)</f>
        <v>20</v>
      </c>
      <c r="V69" s="575">
        <f>SUMIF(R56:R61,R69,V56:V61)</f>
        <v>22</v>
      </c>
      <c r="W69" s="586">
        <f>SUM(S69:V69)</f>
        <v>85</v>
      </c>
    </row>
    <row r="71" spans="1:23">
      <c r="A71" s="539" t="s">
        <v>134</v>
      </c>
      <c r="B71" s="539" t="s">
        <v>1379</v>
      </c>
      <c r="C71">
        <v>1</v>
      </c>
      <c r="D71">
        <f>C71+1</f>
        <v>2</v>
      </c>
      <c r="E71">
        <f>D71+1</f>
        <v>3</v>
      </c>
      <c r="F71">
        <f>E71+1</f>
        <v>4</v>
      </c>
      <c r="I71" s="539" t="s">
        <v>134</v>
      </c>
      <c r="J71" s="539" t="s">
        <v>1379</v>
      </c>
      <c r="K71">
        <v>1</v>
      </c>
      <c r="L71">
        <f>K71+1</f>
        <v>2</v>
      </c>
      <c r="M71">
        <f>L71+1</f>
        <v>3</v>
      </c>
      <c r="N71">
        <f>M71+1</f>
        <v>4</v>
      </c>
      <c r="Q71" s="539" t="s">
        <v>134</v>
      </c>
      <c r="R71" s="539" t="s">
        <v>1379</v>
      </c>
      <c r="S71">
        <v>1</v>
      </c>
      <c r="T71">
        <f>S71+1</f>
        <v>2</v>
      </c>
      <c r="U71">
        <f>T71+1</f>
        <v>3</v>
      </c>
      <c r="V71">
        <f>U71+1</f>
        <v>4</v>
      </c>
    </row>
    <row r="72" spans="1:23">
      <c r="A72" s="539">
        <v>1</v>
      </c>
      <c r="B72" s="539">
        <v>1</v>
      </c>
      <c r="C72" s="576">
        <f>S56*$G$6/$W56</f>
        <v>7.2170891498652914</v>
      </c>
      <c r="D72" s="577">
        <f>T56*$G$6/$W56</f>
        <v>6.6685080607569613</v>
      </c>
      <c r="E72" s="577">
        <f>U56*$G$6/$W56</f>
        <v>5.1990054207069525</v>
      </c>
      <c r="F72" s="578">
        <f>V56*$G$6/$W56</f>
        <v>8.9153973686707921</v>
      </c>
      <c r="G72" s="488">
        <f t="shared" ref="G72:G77" si="11">SUM(C72:F72)</f>
        <v>27.999999999999996</v>
      </c>
      <c r="I72" s="539">
        <v>1</v>
      </c>
      <c r="J72" s="539">
        <v>1</v>
      </c>
      <c r="K72" s="576">
        <f>C72*$C$14/C80</f>
        <v>7.2073405769935857</v>
      </c>
      <c r="L72" s="577">
        <f>D72*$D$14/D80</f>
        <v>6.6646768045010329</v>
      </c>
      <c r="M72" s="577">
        <f>E72*$E$14/E80</f>
        <v>5.1886037539997645</v>
      </c>
      <c r="N72" s="578">
        <f>F72*F64/F80</f>
        <v>8.8801859346786483</v>
      </c>
      <c r="O72" s="488">
        <f t="shared" ref="O72:O77" si="12">SUM(K72:N72)</f>
        <v>27.94080707017303</v>
      </c>
      <c r="Q72" s="539">
        <v>1</v>
      </c>
      <c r="R72" s="539">
        <v>1</v>
      </c>
      <c r="S72" s="576">
        <f>K72*$C$18/K84</f>
        <v>7.2113996527352109</v>
      </c>
      <c r="T72" s="577">
        <f>L72*$D$18/L84</f>
        <v>6.6648892033524891</v>
      </c>
      <c r="U72" s="577">
        <f>M72*$E$18/M84</f>
        <v>5.1776836760511076</v>
      </c>
      <c r="V72" s="578">
        <f>N72*$F$18/N84</f>
        <v>8.9065150477306823</v>
      </c>
      <c r="W72" s="488">
        <f t="shared" ref="W72:W77" si="13">SUM(S72:V72)</f>
        <v>27.96048757986949</v>
      </c>
    </row>
    <row r="73" spans="1:23">
      <c r="A73" s="539">
        <v>1</v>
      </c>
      <c r="B73" s="539">
        <v>2</v>
      </c>
      <c r="C73" s="579">
        <f>S57*$G$7/$W57</f>
        <v>4.7991419236091462</v>
      </c>
      <c r="D73" s="580">
        <f>T57*$G$7/$W57</f>
        <v>7.339539979554127</v>
      </c>
      <c r="E73" s="580">
        <f>U57*$G$7/$W57</f>
        <v>6.8250511475731033</v>
      </c>
      <c r="F73" s="581">
        <f>V57*$G$7/$W57</f>
        <v>3.0362669492636241</v>
      </c>
      <c r="G73" s="488">
        <f t="shared" si="11"/>
        <v>22</v>
      </c>
      <c r="I73" s="539">
        <v>1</v>
      </c>
      <c r="J73" s="539">
        <v>2</v>
      </c>
      <c r="K73" s="579">
        <f>C73*$C$14/C80</f>
        <v>4.7926594230064161</v>
      </c>
      <c r="L73" s="580">
        <f>D73*$D$14/D80</f>
        <v>7.3353231954989671</v>
      </c>
      <c r="M73" s="580">
        <f>E73*$E$14/E80</f>
        <v>6.8113962460002355</v>
      </c>
      <c r="N73" s="581">
        <f>F73*$F$14/F80</f>
        <v>3.0485464134471707</v>
      </c>
      <c r="O73" s="488">
        <f t="shared" si="12"/>
        <v>21.98792527795279</v>
      </c>
      <c r="Q73" s="539">
        <v>1</v>
      </c>
      <c r="R73" s="539">
        <v>2</v>
      </c>
      <c r="S73" s="579">
        <f>K73*$C$19/K85</f>
        <v>4.7893775870914972</v>
      </c>
      <c r="T73" s="580">
        <f>L73*$D$19/L85</f>
        <v>7.3350426888747817</v>
      </c>
      <c r="U73" s="580">
        <f>M73*$E$19/M85</f>
        <v>6.8265136941949063</v>
      </c>
      <c r="V73" s="581">
        <f>N73*$F$19/N85</f>
        <v>3.0514609575031537</v>
      </c>
      <c r="W73" s="488">
        <f t="shared" si="13"/>
        <v>22.002394927664341</v>
      </c>
    </row>
    <row r="74" spans="1:23">
      <c r="A74" s="539">
        <v>2</v>
      </c>
      <c r="B74" s="539">
        <v>1</v>
      </c>
      <c r="C74" s="579">
        <f>S58*$G$8/$W58</f>
        <v>12.5981870030135</v>
      </c>
      <c r="D74" s="580">
        <f>T58*$G$8/$W58</f>
        <v>11.123602648023597</v>
      </c>
      <c r="E74" s="580">
        <f>U58*$G$8/$W58</f>
        <v>3.3709824511106925</v>
      </c>
      <c r="F74" s="581">
        <f>V58*$G$8/$W58</f>
        <v>1.9072278978522104</v>
      </c>
      <c r="G74" s="488">
        <f t="shared" si="11"/>
        <v>29</v>
      </c>
      <c r="I74" s="539">
        <v>2</v>
      </c>
      <c r="J74" s="539">
        <v>1</v>
      </c>
      <c r="K74" s="579">
        <f>C74*$C$15/C81</f>
        <v>12.590794127218595</v>
      </c>
      <c r="L74" s="580">
        <f>D74*$D$15/D81</f>
        <v>11.118832859022396</v>
      </c>
      <c r="M74" s="580">
        <f>E74*$E$15/E81</f>
        <v>3.3715504155275866</v>
      </c>
      <c r="N74" s="581">
        <f>F74*$F$15/F81</f>
        <v>1.9106734657627182</v>
      </c>
      <c r="O74" s="488">
        <f t="shared" si="12"/>
        <v>28.991850867531298</v>
      </c>
      <c r="Q74" s="539">
        <v>2</v>
      </c>
      <c r="R74" s="539">
        <v>1</v>
      </c>
      <c r="S74" s="579">
        <f>K74*$C$18/K84</f>
        <v>12.597885090447491</v>
      </c>
      <c r="T74" s="580">
        <f>L74*$D$18/L84</f>
        <v>11.119187208887825</v>
      </c>
      <c r="U74" s="580">
        <f>M74*$E$18/M84</f>
        <v>3.3644545579344909</v>
      </c>
      <c r="V74" s="581">
        <f>N74*$F$18/N84</f>
        <v>1.9163384752631536</v>
      </c>
      <c r="W74" s="488">
        <f t="shared" si="13"/>
        <v>28.997865332532957</v>
      </c>
    </row>
    <row r="75" spans="1:23">
      <c r="A75" s="539">
        <v>2</v>
      </c>
      <c r="B75" s="539">
        <v>2</v>
      </c>
      <c r="C75" s="579">
        <f>S59*$G$9/$W59</f>
        <v>2.410620474561235</v>
      </c>
      <c r="D75" s="580">
        <f>T59*$G$9/$W59</f>
        <v>2.8824031123708176</v>
      </c>
      <c r="E75" s="580">
        <f>U59*$G$9/$W59</f>
        <v>9.6268275957491678</v>
      </c>
      <c r="F75" s="581">
        <f>V59*$G$9/$W59</f>
        <v>5.0801488173187792</v>
      </c>
      <c r="G75" s="488">
        <f t="shared" si="11"/>
        <v>20</v>
      </c>
      <c r="I75" s="539">
        <v>2</v>
      </c>
      <c r="J75" s="539">
        <v>2</v>
      </c>
      <c r="K75" s="579">
        <f>C75*$C$15/C81</f>
        <v>2.4092058727814054</v>
      </c>
      <c r="L75" s="580">
        <f>D75*$D$15/D81</f>
        <v>2.8811671409776052</v>
      </c>
      <c r="M75" s="580">
        <f>E75*$E$15/E81</f>
        <v>9.6284495844724134</v>
      </c>
      <c r="N75" s="581">
        <f>F75*$F$15/F81</f>
        <v>5.0893265342372818</v>
      </c>
      <c r="O75" s="488">
        <f t="shared" si="12"/>
        <v>20.008149132468706</v>
      </c>
      <c r="Q75" s="539">
        <v>2</v>
      </c>
      <c r="R75" s="539">
        <v>2</v>
      </c>
      <c r="S75" s="579">
        <f>K75*$C$19/K85</f>
        <v>2.4075561377049315</v>
      </c>
      <c r="T75" s="580">
        <f>L75*$D$19/L85</f>
        <v>2.8810569636279659</v>
      </c>
      <c r="U75" s="580">
        <f>M75*$E$19/M85</f>
        <v>9.6498192981891471</v>
      </c>
      <c r="V75" s="581">
        <f>N75*$F$19/N85</f>
        <v>5.0941921535809431</v>
      </c>
      <c r="W75" s="488">
        <f t="shared" si="13"/>
        <v>20.032624553102988</v>
      </c>
    </row>
    <row r="76" spans="1:23">
      <c r="A76" s="539">
        <v>3</v>
      </c>
      <c r="B76" s="539">
        <v>1</v>
      </c>
      <c r="C76" s="579">
        <f>S60*$G$10/$W60</f>
        <v>8.1910566107344973</v>
      </c>
      <c r="D76" s="580">
        <f>T60*$G$10/$W60</f>
        <v>6.217329896577457</v>
      </c>
      <c r="E76" s="580">
        <f>U60*$G$10/$W60</f>
        <v>12.408695995793234</v>
      </c>
      <c r="F76" s="581">
        <f>V60*$G$10/$W60</f>
        <v>6.182917496894814</v>
      </c>
      <c r="G76" s="488">
        <f t="shared" si="11"/>
        <v>33.000000000000007</v>
      </c>
      <c r="I76" s="539">
        <v>3</v>
      </c>
      <c r="J76" s="539">
        <v>1</v>
      </c>
      <c r="K76" s="579">
        <f>C76*$C$16/C82</f>
        <v>8.1861049543508511</v>
      </c>
      <c r="L76" s="580">
        <f>D76*$D$16/D82</f>
        <v>6.2157254966901263</v>
      </c>
      <c r="M76" s="580">
        <f>E76*$E$16/E82</f>
        <v>12.48413622194297</v>
      </c>
      <c r="N76" s="581">
        <f>F76*$F$16/F82</f>
        <v>6.1588858231970747</v>
      </c>
      <c r="O76" s="488">
        <f t="shared" si="12"/>
        <v>33.044852496181022</v>
      </c>
      <c r="Q76" s="539">
        <v>3</v>
      </c>
      <c r="R76" s="539">
        <v>1</v>
      </c>
      <c r="S76" s="579">
        <f>K76*$C$18/K84</f>
        <v>8.1907152568172936</v>
      </c>
      <c r="T76" s="580">
        <f>L76*$D$18/L84</f>
        <v>6.2159235877596855</v>
      </c>
      <c r="U76" s="580">
        <f>M76*$E$18/M84</f>
        <v>12.457861766014405</v>
      </c>
      <c r="V76" s="581">
        <f>N76*$F$18/N84</f>
        <v>6.1771464770061648</v>
      </c>
      <c r="W76" s="488">
        <f t="shared" si="13"/>
        <v>33.041647087597553</v>
      </c>
    </row>
    <row r="77" spans="1:23">
      <c r="A77" s="539">
        <v>3</v>
      </c>
      <c r="B77" s="539">
        <v>2</v>
      </c>
      <c r="C77" s="582">
        <f>S61*$G$11/$W61</f>
        <v>15.823460641838027</v>
      </c>
      <c r="D77" s="583">
        <f>T61*$G$11/$W61</f>
        <v>9.7868000152423225</v>
      </c>
      <c r="E77" s="583">
        <f>U61*$G$11/$W61</f>
        <v>3.4946178100691041</v>
      </c>
      <c r="F77" s="584">
        <f>V61*$G$11/$W61</f>
        <v>13.895121532850553</v>
      </c>
      <c r="G77" s="488">
        <f t="shared" si="11"/>
        <v>43.000000000000007</v>
      </c>
      <c r="I77" s="539">
        <v>3</v>
      </c>
      <c r="J77" s="539">
        <v>2</v>
      </c>
      <c r="K77" s="582">
        <f>C77*$C$16/C82</f>
        <v>15.813895045649149</v>
      </c>
      <c r="L77" s="583">
        <f>D77*$D$16/D82</f>
        <v>9.7842745033098719</v>
      </c>
      <c r="M77" s="583">
        <f>E77*$E$16/E82</f>
        <v>3.5158637780570285</v>
      </c>
      <c r="N77" s="584">
        <f>F77*$F$16/F82</f>
        <v>13.841114176802927</v>
      </c>
      <c r="O77" s="488">
        <f t="shared" si="12"/>
        <v>42.955147503818978</v>
      </c>
      <c r="Q77" s="539">
        <v>3</v>
      </c>
      <c r="R77" s="539">
        <v>2</v>
      </c>
      <c r="S77" s="582">
        <f>K77*$C$19/K85</f>
        <v>15.803066275203571</v>
      </c>
      <c r="T77" s="583">
        <f>L77*$D$19/L85</f>
        <v>9.783900347497255</v>
      </c>
      <c r="U77" s="583">
        <f>M77*$E$19/M85</f>
        <v>3.5236670076159475</v>
      </c>
      <c r="V77" s="584">
        <f>N77*$F$19/N85</f>
        <v>13.8543468889159</v>
      </c>
      <c r="W77" s="488">
        <f t="shared" si="13"/>
        <v>42.964980519232675</v>
      </c>
    </row>
    <row r="78" spans="1:23">
      <c r="C78" s="585">
        <f>SUM(C72:C77)</f>
        <v>51.039555803621695</v>
      </c>
      <c r="D78" s="585">
        <f>SUM(D72:D77)</f>
        <v>44.018183712525286</v>
      </c>
      <c r="E78" s="585">
        <f>SUM(E72:E77)</f>
        <v>40.925180421002253</v>
      </c>
      <c r="F78" s="585">
        <f>SUM(F72:F77)</f>
        <v>39.017080062850766</v>
      </c>
      <c r="G78" s="587">
        <f>SUM(G72:G77)</f>
        <v>175</v>
      </c>
      <c r="K78" s="585">
        <f>SUM(K72:K77)</f>
        <v>51</v>
      </c>
      <c r="L78" s="585">
        <f>SUM(L72:L77)</f>
        <v>44</v>
      </c>
      <c r="M78" s="585">
        <f>SUM(M72:M77)</f>
        <v>41</v>
      </c>
      <c r="N78" s="585">
        <f>SUM(N72:N77)</f>
        <v>38.92873234812582</v>
      </c>
      <c r="O78" s="587">
        <f>SUM(O72:O77)</f>
        <v>174.92873234812583</v>
      </c>
      <c r="S78" s="585">
        <f>SUM(S72:S77)</f>
        <v>50.999999999999993</v>
      </c>
      <c r="T78" s="585">
        <f>SUM(T72:T77)</f>
        <v>44</v>
      </c>
      <c r="U78" s="585">
        <f>SUM(U72:U77)</f>
        <v>41.000000000000007</v>
      </c>
      <c r="V78" s="585">
        <f>SUM(V72:V77)</f>
        <v>39</v>
      </c>
      <c r="W78" s="587">
        <f>SUM(W72:W77)</f>
        <v>175.00000000000003</v>
      </c>
    </row>
    <row r="80" spans="1:23">
      <c r="A80" s="539">
        <v>1</v>
      </c>
      <c r="C80" s="569">
        <f>SUMIF(A72:A77,A80,C72:C77)</f>
        <v>12.016231073474437</v>
      </c>
      <c r="D80" s="570">
        <f>SUMIF(A72:A77,A80,D72:D77)</f>
        <v>14.008048040311088</v>
      </c>
      <c r="E80" s="570">
        <f>SUMIF(A72:A77,A80,E72:E77)</f>
        <v>12.024056568280056</v>
      </c>
      <c r="F80" s="571">
        <f>SUMIF(A72:A77,A80,F72:F77)</f>
        <v>11.951664317934416</v>
      </c>
      <c r="G80" s="586">
        <f>SUM(C80:F80)</f>
        <v>50</v>
      </c>
      <c r="I80" s="539">
        <v>1</v>
      </c>
      <c r="K80" s="569">
        <f>SUMIF(I72:I77,I80,K72:K77)</f>
        <v>12.000000000000002</v>
      </c>
      <c r="L80" s="570">
        <f>SUMIF(I72:I77,I80,L72:L77)</f>
        <v>14</v>
      </c>
      <c r="M80" s="570">
        <f>SUMIF(I72:I77,I80,M72:M77)</f>
        <v>12</v>
      </c>
      <c r="N80" s="571">
        <f>SUMIF(I72:I77,I80,N72:N77)</f>
        <v>11.92873234812582</v>
      </c>
      <c r="O80" s="586">
        <f>SUM(K80:N80)</f>
        <v>49.92873234812582</v>
      </c>
      <c r="Q80" s="539">
        <v>1</v>
      </c>
      <c r="S80" s="569">
        <f>SUMIF(Q72:Q77,Q80,S72:S77)</f>
        <v>12.000777239826707</v>
      </c>
      <c r="T80" s="570">
        <f>SUMIF(Q72:Q77,Q80,T72:T77)</f>
        <v>13.99993189222727</v>
      </c>
      <c r="U80" s="570">
        <f>SUMIF(Q72:Q77,Q80,U72:U77)</f>
        <v>12.004197370246015</v>
      </c>
      <c r="V80" s="571">
        <f>SUMIF(Q72:Q77,Q80,V72:V77)</f>
        <v>11.957976005233835</v>
      </c>
      <c r="W80" s="586">
        <f>SUM(S80:V80)</f>
        <v>49.96288250753382</v>
      </c>
    </row>
    <row r="81" spans="1:23">
      <c r="A81" s="539">
        <v>2</v>
      </c>
      <c r="C81" s="572">
        <f>SUMIF(A72:A77,A81,C72:C77)</f>
        <v>15.008807477574734</v>
      </c>
      <c r="D81" s="488">
        <f>SUMIF(A72:A77,A81,D72:D77)</f>
        <v>14.006005760394416</v>
      </c>
      <c r="E81" s="488">
        <f>SUMIF(A72:A77,A81,E72:E77)</f>
        <v>12.997810046859861</v>
      </c>
      <c r="F81" s="485">
        <f>SUMIF(A72:A77,A81,F72:F77)</f>
        <v>6.9873767151709893</v>
      </c>
      <c r="G81" s="586">
        <f>SUM(C81:F81)</f>
        <v>49</v>
      </c>
      <c r="I81" s="539">
        <v>2</v>
      </c>
      <c r="K81" s="572">
        <f>SUMIF(I72:I77,I81,K72:K77)</f>
        <v>15</v>
      </c>
      <c r="L81" s="488">
        <f>SUMIF(I72:I77,I81,L72:L77)</f>
        <v>14</v>
      </c>
      <c r="M81" s="488">
        <f>SUMIF(I72:I77,I81,M72:M77)</f>
        <v>13</v>
      </c>
      <c r="N81" s="485">
        <f>SUMIF(I72:I77,I81,N72:N77)</f>
        <v>7</v>
      </c>
      <c r="O81" s="586">
        <f>SUM(K81:N81)</f>
        <v>49</v>
      </c>
      <c r="Q81" s="539">
        <v>2</v>
      </c>
      <c r="S81" s="572">
        <f>SUMIF(Q72:Q77,Q81,S72:S77)</f>
        <v>15.005441228152423</v>
      </c>
      <c r="T81" s="488">
        <f>SUMIF(Q72:Q77,Q81,T72:T77)</f>
        <v>14.00024417251579</v>
      </c>
      <c r="U81" s="488">
        <f>SUMIF(Q72:Q77,Q81,U72:U77)</f>
        <v>13.014273856123637</v>
      </c>
      <c r="V81" s="485">
        <f>SUMIF(Q72:Q77,Q81,V72:V77)</f>
        <v>7.0105306288440969</v>
      </c>
      <c r="W81" s="586">
        <f>SUM(S81:V81)</f>
        <v>49.030489885635944</v>
      </c>
    </row>
    <row r="82" spans="1:23">
      <c r="A82" s="539">
        <v>3</v>
      </c>
      <c r="C82" s="573">
        <f>SUMIF(A72:A77,A82,C72:C77)</f>
        <v>24.014517252572524</v>
      </c>
      <c r="D82" s="574">
        <f>SUMIF(A72:A77,A82,D72:D77)</f>
        <v>16.004129911819781</v>
      </c>
      <c r="E82" s="574">
        <f>SUMIF(A72:A77,A82,E72:E77)</f>
        <v>15.903313805862339</v>
      </c>
      <c r="F82" s="575">
        <f>SUMIF(A72:A77,A82,F72:F77)</f>
        <v>20.078039029745366</v>
      </c>
      <c r="G82" s="586">
        <f>SUM(C82:F82)</f>
        <v>76.000000000000014</v>
      </c>
      <c r="I82" s="539">
        <v>3</v>
      </c>
      <c r="K82" s="573">
        <f>SUMIF(I72:I77,I82,K72:K77)</f>
        <v>24</v>
      </c>
      <c r="L82" s="574">
        <f>SUMIF(I72:I77,I82,L72:L77)</f>
        <v>15.999999999999998</v>
      </c>
      <c r="M82" s="574">
        <f>SUMIF(I72:I77,I82,M72:M77)</f>
        <v>15.999999999999998</v>
      </c>
      <c r="N82" s="575">
        <f>SUMIF(I72:I77,I82,N72:N77)</f>
        <v>20</v>
      </c>
      <c r="O82" s="586">
        <f>SUM(K82:N82)</f>
        <v>76</v>
      </c>
      <c r="Q82" s="539">
        <v>3</v>
      </c>
      <c r="S82" s="573">
        <f>SUMIF(Q72:Q77,Q82,S72:S77)</f>
        <v>23.993781532020865</v>
      </c>
      <c r="T82" s="574">
        <f>SUMIF(Q72:Q77,Q82,T72:T77)</f>
        <v>15.999823935256941</v>
      </c>
      <c r="U82" s="574">
        <f>SUMIF(Q72:Q77,Q82,U72:U77)</f>
        <v>15.981528773630352</v>
      </c>
      <c r="V82" s="575">
        <f>SUMIF(Q72:Q77,Q82,V72:V77)</f>
        <v>20.031493365922067</v>
      </c>
      <c r="W82" s="586">
        <f>SUM(S82:V82)</f>
        <v>76.006627606830222</v>
      </c>
    </row>
    <row r="84" spans="1:23">
      <c r="B84" s="539">
        <v>1</v>
      </c>
      <c r="C84" s="569">
        <f>SUMIF(B72:B77,B84,C72:C77)</f>
        <v>28.006332763613287</v>
      </c>
      <c r="D84" s="570">
        <f>SUMIF(B72:B77,B84,D72:D77)</f>
        <v>24.009440605358016</v>
      </c>
      <c r="E84" s="570">
        <f>SUMIF(B72:B77,B84,E72:E77)</f>
        <v>20.978683867610879</v>
      </c>
      <c r="F84" s="571">
        <f>SUMIF(B72:B77,B84,F72:F77)</f>
        <v>17.005542763417818</v>
      </c>
      <c r="G84" s="586">
        <f>SUM(C84:F84)</f>
        <v>90</v>
      </c>
      <c r="J84" s="539">
        <v>1</v>
      </c>
      <c r="K84" s="569">
        <f>SUMIF(J72:J77,J84,K72:K77)</f>
        <v>27.984239658563034</v>
      </c>
      <c r="L84" s="570">
        <f>SUMIF(J72:J77,J84,L72:L77)</f>
        <v>23.999235160213555</v>
      </c>
      <c r="M84" s="570">
        <f>SUMIF(J72:J77,J84,M72:M77)</f>
        <v>21.044290391470319</v>
      </c>
      <c r="N84" s="571">
        <f>SUMIF(J72:J77,J84,N72:N77)</f>
        <v>16.949745223638441</v>
      </c>
      <c r="O84" s="586">
        <f>SUM(K84:N84)</f>
        <v>89.977510433885357</v>
      </c>
      <c r="R84" s="539">
        <v>1</v>
      </c>
      <c r="S84" s="569">
        <f>SUMIF(R72:R77,R84,S72:S77)</f>
        <v>27.999999999999993</v>
      </c>
      <c r="T84" s="570">
        <f>SUMIF(R72:R77,R84,T72:T77)</f>
        <v>24</v>
      </c>
      <c r="U84" s="570">
        <f>SUMIF(R72:R77,R84,U72:U77)</f>
        <v>21.000000000000004</v>
      </c>
      <c r="V84" s="571">
        <f>SUMIF(R72:R77,R84,V72:V77)</f>
        <v>17</v>
      </c>
      <c r="W84" s="586">
        <f>SUM(S84:V84)</f>
        <v>90</v>
      </c>
    </row>
    <row r="85" spans="1:23">
      <c r="B85" s="539">
        <v>2</v>
      </c>
      <c r="C85" s="573">
        <f>SUMIF(B72:B77,B85,C72:C77)</f>
        <v>23.033223040008409</v>
      </c>
      <c r="D85" s="574">
        <f>SUMIF(B72:B77,B85,D72:D77)</f>
        <v>20.00874310716727</v>
      </c>
      <c r="E85" s="574">
        <f>SUMIF(B72:B77,B85,E72:E77)</f>
        <v>19.946496553391377</v>
      </c>
      <c r="F85" s="575">
        <f>SUMIF(B72:B77,B85,F72:F77)</f>
        <v>22.011537299432955</v>
      </c>
      <c r="G85" s="586">
        <f>SUM(C85:F85)</f>
        <v>85.000000000000014</v>
      </c>
      <c r="J85" s="539">
        <v>2</v>
      </c>
      <c r="K85" s="573">
        <f>SUMIF(J72:J77,J85,K72:K77)</f>
        <v>23.01576034143697</v>
      </c>
      <c r="L85" s="574">
        <f>SUMIF(J72:J77,J85,L72:L77)</f>
        <v>20.000764839786441</v>
      </c>
      <c r="M85" s="574">
        <f>SUMIF(J72:J77,J85,M72:M77)</f>
        <v>19.955709608529677</v>
      </c>
      <c r="N85" s="575">
        <f>SUMIF(J72:J77,J85,N72:N77)</f>
        <v>21.978987124487382</v>
      </c>
      <c r="O85" s="586">
        <f>SUM(K85:N85)</f>
        <v>84.951221914240477</v>
      </c>
      <c r="R85" s="539">
        <v>2</v>
      </c>
      <c r="S85" s="573">
        <f>SUMIF(R72:R77,R85,S72:S77)</f>
        <v>23</v>
      </c>
      <c r="T85" s="574">
        <f>SUMIF(R72:R77,R85,T72:T77)</f>
        <v>20.000000000000004</v>
      </c>
      <c r="U85" s="574">
        <f>SUMIF(R72:R77,R85,U72:U77)</f>
        <v>20</v>
      </c>
      <c r="V85" s="575">
        <f>SUMIF(R72:R77,R85,V72:V77)</f>
        <v>22</v>
      </c>
      <c r="W85" s="586">
        <f>SUM(S85:V85)</f>
        <v>85</v>
      </c>
    </row>
    <row r="87" spans="1:23">
      <c r="A87" s="539" t="s">
        <v>134</v>
      </c>
      <c r="B87" s="539" t="s">
        <v>1379</v>
      </c>
      <c r="C87">
        <v>1</v>
      </c>
      <c r="D87">
        <f>C87+1</f>
        <v>2</v>
      </c>
      <c r="E87">
        <f>D87+1</f>
        <v>3</v>
      </c>
      <c r="F87">
        <f>E87+1</f>
        <v>4</v>
      </c>
      <c r="I87" s="539" t="s">
        <v>134</v>
      </c>
      <c r="J87" s="539" t="s">
        <v>1379</v>
      </c>
      <c r="K87">
        <v>1</v>
      </c>
      <c r="L87">
        <f>K87+1</f>
        <v>2</v>
      </c>
      <c r="M87">
        <f>L87+1</f>
        <v>3</v>
      </c>
      <c r="N87">
        <f>M87+1</f>
        <v>4</v>
      </c>
      <c r="Q87" s="539" t="s">
        <v>134</v>
      </c>
      <c r="R87" s="539" t="s">
        <v>1379</v>
      </c>
      <c r="S87">
        <v>1</v>
      </c>
      <c r="T87">
        <f>S87+1</f>
        <v>2</v>
      </c>
      <c r="U87">
        <f>T87+1</f>
        <v>3</v>
      </c>
      <c r="V87">
        <f>U87+1</f>
        <v>4</v>
      </c>
    </row>
    <row r="88" spans="1:23">
      <c r="A88" s="539">
        <v>1</v>
      </c>
      <c r="B88" s="539">
        <v>1</v>
      </c>
      <c r="C88" s="576">
        <f>S72*$G$6/$W72</f>
        <v>7.2215904568831704</v>
      </c>
      <c r="D88" s="577">
        <f>T72*$G$6/$W72</f>
        <v>6.6743077051427004</v>
      </c>
      <c r="E88" s="577">
        <f>U72*$G$6/$W72</f>
        <v>5.1850005303129159</v>
      </c>
      <c r="F88" s="578">
        <f>V72*$G$6/$W72</f>
        <v>8.9191013076612151</v>
      </c>
      <c r="G88" s="488">
        <f t="shared" ref="G88:G93" si="14">SUM(C88:F88)</f>
        <v>28</v>
      </c>
      <c r="I88" s="539">
        <v>1</v>
      </c>
      <c r="J88" s="539">
        <v>1</v>
      </c>
      <c r="K88" s="576">
        <f>C88*$C$14/C96</f>
        <v>7.21530909294213</v>
      </c>
      <c r="L88" s="577">
        <f>D88*$D$14/D96</f>
        <v>6.670233152423533</v>
      </c>
      <c r="M88" s="577">
        <f>E88*$E$14/E96</f>
        <v>5.180350661055158</v>
      </c>
      <c r="N88" s="578">
        <f>F88*F80/F96</f>
        <v>8.9052678013742419</v>
      </c>
      <c r="O88" s="488">
        <f t="shared" ref="O88:O93" si="15">SUM(K88:N88)</f>
        <v>27.971160707795065</v>
      </c>
      <c r="Q88" s="539">
        <v>1</v>
      </c>
      <c r="R88" s="539">
        <v>1</v>
      </c>
      <c r="S88" s="576">
        <f>K88*$C$18/K100</f>
        <v>7.2169314488685128</v>
      </c>
      <c r="T88" s="577">
        <f>L88*$D$18/L100</f>
        <v>6.6698926518703709</v>
      </c>
      <c r="U88" s="577">
        <f>M88*$E$18/M100</f>
        <v>5.1774142750448586</v>
      </c>
      <c r="V88" s="578">
        <f>N88*$F$18/N100</f>
        <v>8.9159247831594612</v>
      </c>
      <c r="W88" s="488">
        <f t="shared" ref="W88:W93" si="16">SUM(S88:V88)</f>
        <v>27.980163158943206</v>
      </c>
    </row>
    <row r="89" spans="1:23">
      <c r="A89" s="539">
        <v>1</v>
      </c>
      <c r="B89" s="539">
        <v>2</v>
      </c>
      <c r="C89" s="579">
        <f>S73*$G$7/$W73</f>
        <v>4.7888562705295499</v>
      </c>
      <c r="D89" s="580">
        <f>T73*$G$7/$W73</f>
        <v>7.3342442804873098</v>
      </c>
      <c r="E89" s="580">
        <f>U73*$G$7/$W73</f>
        <v>6.8257706384252508</v>
      </c>
      <c r="F89" s="581">
        <f>V73*$G$7/$W73</f>
        <v>3.0511288105578864</v>
      </c>
      <c r="G89" s="488">
        <f t="shared" si="14"/>
        <v>21.999999999999996</v>
      </c>
      <c r="I89" s="539">
        <v>1</v>
      </c>
      <c r="J89" s="539">
        <v>2</v>
      </c>
      <c r="K89" s="579">
        <f>C89*$C$14/C96</f>
        <v>4.78469090705787</v>
      </c>
      <c r="L89" s="580">
        <f>D89*$D$14/D96</f>
        <v>7.329766847576467</v>
      </c>
      <c r="M89" s="580">
        <f>E89*$E$14/E96</f>
        <v>6.819649338944842</v>
      </c>
      <c r="N89" s="581">
        <f>F89*$F$14/F96</f>
        <v>3.0587169473849602</v>
      </c>
      <c r="O89" s="488">
        <f t="shared" si="15"/>
        <v>21.992824040964138</v>
      </c>
      <c r="Q89" s="539">
        <v>1</v>
      </c>
      <c r="R89" s="539">
        <v>2</v>
      </c>
      <c r="S89" s="579">
        <f>K89*$C$19/K101</f>
        <v>4.7833818493082427</v>
      </c>
      <c r="T89" s="580">
        <f>L89*$D$19/L101</f>
        <v>7.3302158999433935</v>
      </c>
      <c r="U89" s="580">
        <f>M89*$E$19/M101</f>
        <v>6.8237129326299684</v>
      </c>
      <c r="V89" s="581">
        <f>N89*$F$19/N101</f>
        <v>3.0609007020012884</v>
      </c>
      <c r="W89" s="488">
        <f t="shared" si="16"/>
        <v>21.998211383882893</v>
      </c>
    </row>
    <row r="90" spans="1:23">
      <c r="A90" s="539">
        <v>2</v>
      </c>
      <c r="B90" s="539">
        <v>1</v>
      </c>
      <c r="C90" s="579">
        <f>S74*$G$8/$W74</f>
        <v>12.598812479244831</v>
      </c>
      <c r="D90" s="580">
        <f>T74*$G$8/$W74</f>
        <v>11.120005743870403</v>
      </c>
      <c r="E90" s="580">
        <f>U74*$G$8/$W74</f>
        <v>3.3647022310513504</v>
      </c>
      <c r="F90" s="581">
        <f>V74*$G$8/$W74</f>
        <v>1.9164795458334207</v>
      </c>
      <c r="G90" s="488">
        <f t="shared" si="14"/>
        <v>29.000000000000007</v>
      </c>
      <c r="I90" s="539">
        <v>2</v>
      </c>
      <c r="J90" s="539">
        <v>1</v>
      </c>
      <c r="K90" s="579">
        <f>C90*$C$15/C97</f>
        <v>12.596756906325316</v>
      </c>
      <c r="L90" s="580">
        <f>D90*$D$15/D97</f>
        <v>11.122889192856496</v>
      </c>
      <c r="M90" s="580">
        <f>E90*$E$15/E97</f>
        <v>3.3650112652588233</v>
      </c>
      <c r="N90" s="581">
        <f>F90*$F$15/F97</f>
        <v>1.9158294103896898</v>
      </c>
      <c r="O90" s="488">
        <f t="shared" si="15"/>
        <v>29.000486774830325</v>
      </c>
      <c r="Q90" s="539">
        <v>2</v>
      </c>
      <c r="R90" s="539">
        <v>1</v>
      </c>
      <c r="S90" s="579">
        <f>K90*$C$18/K100</f>
        <v>12.599589276076484</v>
      </c>
      <c r="T90" s="580">
        <f>L90*$D$18/L100</f>
        <v>11.12232139412497</v>
      </c>
      <c r="U90" s="580">
        <f>M90*$E$18/M100</f>
        <v>3.3631038708273824</v>
      </c>
      <c r="V90" s="581">
        <f>N90*$F$18/N100</f>
        <v>1.9181220937301011</v>
      </c>
      <c r="W90" s="488">
        <f t="shared" si="16"/>
        <v>29.003136634758935</v>
      </c>
    </row>
    <row r="91" spans="1:23">
      <c r="A91" s="539">
        <v>2</v>
      </c>
      <c r="B91" s="539">
        <v>2</v>
      </c>
      <c r="C91" s="579">
        <f>S75*$G$9/$W75</f>
        <v>2.4036352613936538</v>
      </c>
      <c r="D91" s="580">
        <f>T75*$G$9/$W75</f>
        <v>2.8763649575628869</v>
      </c>
      <c r="E91" s="580">
        <f>U75*$G$9/$W75</f>
        <v>9.6341038815050535</v>
      </c>
      <c r="F91" s="581">
        <f>V75*$G$9/$W75</f>
        <v>5.0858958995384045</v>
      </c>
      <c r="G91" s="488">
        <f t="shared" si="14"/>
        <v>20</v>
      </c>
      <c r="I91" s="539">
        <v>2</v>
      </c>
      <c r="J91" s="539">
        <v>2</v>
      </c>
      <c r="K91" s="579">
        <f>C91*$C$15/C97</f>
        <v>2.4032430936746842</v>
      </c>
      <c r="L91" s="580">
        <f>D91*$D$15/D97</f>
        <v>2.8771108071435036</v>
      </c>
      <c r="M91" s="580">
        <f>E91*$E$15/E97</f>
        <v>9.6349887347411762</v>
      </c>
      <c r="N91" s="581">
        <f>F91*$F$15/F97</f>
        <v>5.0841705896103093</v>
      </c>
      <c r="O91" s="488">
        <f t="shared" si="15"/>
        <v>19.999513225169672</v>
      </c>
      <c r="Q91" s="539">
        <v>2</v>
      </c>
      <c r="R91" s="539">
        <v>2</v>
      </c>
      <c r="S91" s="579">
        <f>K91*$C$19/K101</f>
        <v>2.4025855832822423</v>
      </c>
      <c r="T91" s="580">
        <f>L91*$D$19/L101</f>
        <v>2.8772870710608598</v>
      </c>
      <c r="U91" s="580">
        <f>M91*$E$19/M101</f>
        <v>9.6407298920108282</v>
      </c>
      <c r="V91" s="581">
        <f>N91*$F$19/N101</f>
        <v>5.0878004060288413</v>
      </c>
      <c r="W91" s="488">
        <f t="shared" si="16"/>
        <v>20.00840295238277</v>
      </c>
    </row>
    <row r="92" spans="1:23">
      <c r="A92" s="539">
        <v>3</v>
      </c>
      <c r="B92" s="539">
        <v>1</v>
      </c>
      <c r="C92" s="579">
        <f>S76*$G$10/$W76</f>
        <v>8.1803913333493448</v>
      </c>
      <c r="D92" s="580">
        <f>T76*$G$10/$W76</f>
        <v>6.208088775122385</v>
      </c>
      <c r="E92" s="580">
        <f>U76*$G$10/$W76</f>
        <v>12.442159350851144</v>
      </c>
      <c r="F92" s="581">
        <f>V76*$G$10/$W76</f>
        <v>6.169360540677121</v>
      </c>
      <c r="G92" s="488">
        <f t="shared" si="14"/>
        <v>32.999999999999993</v>
      </c>
      <c r="I92" s="539">
        <v>3</v>
      </c>
      <c r="J92" s="539">
        <v>1</v>
      </c>
      <c r="K92" s="579">
        <f>C92*$C$16/C98</f>
        <v>8.1816396405518397</v>
      </c>
      <c r="L92" s="580">
        <f>D92*$D$16/D98</f>
        <v>6.2081028638353812</v>
      </c>
      <c r="M92" s="580">
        <f>E92*$E$16/E98</f>
        <v>12.466548286572307</v>
      </c>
      <c r="N92" s="581">
        <f>F92*$F$16/F98</f>
        <v>6.1585831136364231</v>
      </c>
      <c r="O92" s="488">
        <f t="shared" si="15"/>
        <v>33.014873904595952</v>
      </c>
      <c r="Q92" s="539">
        <v>3</v>
      </c>
      <c r="R92" s="539">
        <v>1</v>
      </c>
      <c r="S92" s="579">
        <f>K92*$C$18/K100</f>
        <v>8.1834792750550047</v>
      </c>
      <c r="T92" s="580">
        <f>L92*$D$18/L100</f>
        <v>6.2077859540046569</v>
      </c>
      <c r="U92" s="580">
        <f>M92*$E$18/M100</f>
        <v>12.459481854127759</v>
      </c>
      <c r="V92" s="581">
        <f>N92*$F$18/N100</f>
        <v>6.1659531231104401</v>
      </c>
      <c r="W92" s="488">
        <f t="shared" si="16"/>
        <v>33.016700206297863</v>
      </c>
    </row>
    <row r="93" spans="1:23">
      <c r="A93" s="539">
        <v>3</v>
      </c>
      <c r="B93" s="539">
        <v>2</v>
      </c>
      <c r="C93" s="582">
        <f>S77*$G$11/$W77</f>
        <v>15.815946885617009</v>
      </c>
      <c r="D93" s="583">
        <f>T77*$G$11/$W77</f>
        <v>9.7918749143632926</v>
      </c>
      <c r="E93" s="583">
        <f>U77*$G$11/$W77</f>
        <v>3.5265390440398541</v>
      </c>
      <c r="F93" s="584">
        <f>V77*$G$11/$W77</f>
        <v>13.86563915597984</v>
      </c>
      <c r="G93" s="488">
        <f t="shared" si="14"/>
        <v>42.999999999999993</v>
      </c>
      <c r="I93" s="539">
        <v>3</v>
      </c>
      <c r="J93" s="539">
        <v>2</v>
      </c>
      <c r="K93" s="582">
        <f>C93*$C$16/C98</f>
        <v>15.81836035944816</v>
      </c>
      <c r="L93" s="583">
        <f>D93*$D$16/D98</f>
        <v>9.7918971361646179</v>
      </c>
      <c r="M93" s="583">
        <f>E93*$E$16/E98</f>
        <v>3.5334517134276942</v>
      </c>
      <c r="N93" s="584">
        <f>F93*$F$16/F98</f>
        <v>13.841416886363579</v>
      </c>
      <c r="O93" s="488">
        <f t="shared" si="15"/>
        <v>42.985126095404055</v>
      </c>
      <c r="Q93" s="539">
        <v>3</v>
      </c>
      <c r="R93" s="539">
        <v>2</v>
      </c>
      <c r="S93" s="582">
        <f>K93*$C$19/K101</f>
        <v>15.814032567409516</v>
      </c>
      <c r="T93" s="583">
        <f>L93*$D$19/L101</f>
        <v>9.7924970289957471</v>
      </c>
      <c r="U93" s="583">
        <f>M93*$E$19/M101</f>
        <v>3.5355571753592026</v>
      </c>
      <c r="V93" s="584">
        <f>N93*$F$19/N101</f>
        <v>13.851298891969869</v>
      </c>
      <c r="W93" s="488">
        <f t="shared" si="16"/>
        <v>42.99338566373433</v>
      </c>
    </row>
    <row r="94" spans="1:23">
      <c r="C94" s="585">
        <f>SUM(C88:C93)</f>
        <v>51.009232687017558</v>
      </c>
      <c r="D94" s="585">
        <f>SUM(D88:D93)</f>
        <v>44.004886376548981</v>
      </c>
      <c r="E94" s="585">
        <f>SUM(E88:E93)</f>
        <v>40.978275676185561</v>
      </c>
      <c r="F94" s="585">
        <f>SUM(F88:F93)</f>
        <v>39.007605260247885</v>
      </c>
      <c r="G94" s="587">
        <f>SUM(G88:G93)</f>
        <v>175</v>
      </c>
      <c r="K94" s="585">
        <f>SUM(K88:K93)</f>
        <v>51</v>
      </c>
      <c r="L94" s="585">
        <f>SUM(L88:L93)</f>
        <v>44</v>
      </c>
      <c r="M94" s="585">
        <f>SUM(M88:M93)</f>
        <v>41</v>
      </c>
      <c r="N94" s="585">
        <f>SUM(N88:N93)</f>
        <v>38.963984748759202</v>
      </c>
      <c r="O94" s="587">
        <f>SUM(O88:O93)</f>
        <v>174.96398474875923</v>
      </c>
      <c r="S94" s="585">
        <f>SUM(S88:S93)</f>
        <v>51</v>
      </c>
      <c r="T94" s="585">
        <f>SUM(T88:T93)</f>
        <v>44</v>
      </c>
      <c r="U94" s="585">
        <f>SUM(U88:U93)</f>
        <v>41</v>
      </c>
      <c r="V94" s="585">
        <f>SUM(V88:V93)</f>
        <v>39</v>
      </c>
      <c r="W94" s="587">
        <f>SUM(W88:W93)</f>
        <v>175</v>
      </c>
    </row>
    <row r="96" spans="1:23">
      <c r="A96" s="539">
        <v>1</v>
      </c>
      <c r="C96" s="569">
        <f>SUMIF(A88:A93,A96,C88:C93)</f>
        <v>12.01044672741272</v>
      </c>
      <c r="D96" s="570">
        <f>SUMIF(A88:A93,A96,D88:D93)</f>
        <v>14.00855198563001</v>
      </c>
      <c r="E96" s="570">
        <f>SUMIF(A88:A93,A96,E88:E93)</f>
        <v>12.010771168738167</v>
      </c>
      <c r="F96" s="571">
        <f>SUMIF(A88:A93,A96,F88:F93)</f>
        <v>11.970230118219101</v>
      </c>
      <c r="G96" s="586">
        <f>SUM(C96:F96)</f>
        <v>49.999999999999993</v>
      </c>
      <c r="I96" s="539">
        <v>1</v>
      </c>
      <c r="K96" s="569">
        <f>SUMIF(I88:I93,I96,K88:K93)</f>
        <v>12</v>
      </c>
      <c r="L96" s="570">
        <f>SUMIF(I88:I93,I96,L88:L93)</f>
        <v>14</v>
      </c>
      <c r="M96" s="570">
        <f>SUMIF(I88:I93,I96,M88:M93)</f>
        <v>12</v>
      </c>
      <c r="N96" s="571">
        <f>SUMIF(I88:I93,I96,N88:N93)</f>
        <v>11.963984748759202</v>
      </c>
      <c r="O96" s="586">
        <f>SUM(K96:N96)</f>
        <v>49.963984748759202</v>
      </c>
      <c r="Q96" s="539">
        <v>1</v>
      </c>
      <c r="S96" s="569">
        <f>SUMIF(Q88:Q93,Q96,S88:S93)</f>
        <v>12.000313298176756</v>
      </c>
      <c r="T96" s="570">
        <f>SUMIF(Q88:Q93,Q96,T88:T93)</f>
        <v>14.000108551813764</v>
      </c>
      <c r="U96" s="570">
        <f>SUMIF(Q88:Q93,Q96,U88:U93)</f>
        <v>12.001127207674827</v>
      </c>
      <c r="V96" s="571">
        <f>SUMIF(Q88:Q93,Q96,V88:V93)</f>
        <v>11.976825485160749</v>
      </c>
      <c r="W96" s="586">
        <f>SUM(S96:V96)</f>
        <v>49.978374542826089</v>
      </c>
    </row>
    <row r="97" spans="1:23">
      <c r="A97" s="539">
        <v>2</v>
      </c>
      <c r="C97" s="572">
        <f>SUMIF(A88:A93,A97,C88:C93)</f>
        <v>15.002447740638484</v>
      </c>
      <c r="D97" s="488">
        <f>SUMIF(A88:A93,A97,D88:D93)</f>
        <v>13.996370701433289</v>
      </c>
      <c r="E97" s="488">
        <f>SUMIF(A88:A93,A97,E88:E93)</f>
        <v>12.998806112556403</v>
      </c>
      <c r="F97" s="485">
        <f>SUMIF(A88:A93,A97,F88:F93)</f>
        <v>7.0023754453718254</v>
      </c>
      <c r="G97" s="586">
        <f>SUM(C97:F97)</f>
        <v>49</v>
      </c>
      <c r="I97" s="539">
        <v>2</v>
      </c>
      <c r="K97" s="572">
        <f>SUMIF(I88:I93,I97,K88:K93)</f>
        <v>15</v>
      </c>
      <c r="L97" s="488">
        <f>SUMIF(I88:I93,I97,L88:L93)</f>
        <v>14</v>
      </c>
      <c r="M97" s="488">
        <f>SUMIF(I88:I93,I97,M88:M93)</f>
        <v>13</v>
      </c>
      <c r="N97" s="485">
        <f>SUMIF(I88:I93,I97,N88:N93)</f>
        <v>6.9999999999999991</v>
      </c>
      <c r="O97" s="586">
        <f>SUM(K97:N97)</f>
        <v>49</v>
      </c>
      <c r="Q97" s="539">
        <v>2</v>
      </c>
      <c r="S97" s="572">
        <f>SUMIF(Q88:Q93,Q97,S88:S93)</f>
        <v>15.002174859358727</v>
      </c>
      <c r="T97" s="488">
        <f>SUMIF(Q88:Q93,Q97,T88:T93)</f>
        <v>13.99960846518583</v>
      </c>
      <c r="U97" s="488">
        <f>SUMIF(Q88:Q93,Q97,U88:U93)</f>
        <v>13.003833762838211</v>
      </c>
      <c r="V97" s="485">
        <f>SUMIF(Q88:Q93,Q97,V88:V93)</f>
        <v>7.0059224997589427</v>
      </c>
      <c r="W97" s="586">
        <f>SUM(S97:V97)</f>
        <v>49.011539587141712</v>
      </c>
    </row>
    <row r="98" spans="1:23">
      <c r="A98" s="539">
        <v>3</v>
      </c>
      <c r="C98" s="573">
        <f>SUMIF(A88:A93,A98,C88:C93)</f>
        <v>23.996338218966354</v>
      </c>
      <c r="D98" s="574">
        <f>SUMIF(A88:A93,A98,D88:D93)</f>
        <v>15.999963689485678</v>
      </c>
      <c r="E98" s="574">
        <f>SUMIF(A88:A93,A98,E88:E93)</f>
        <v>15.968698394890998</v>
      </c>
      <c r="F98" s="575">
        <f>SUMIF(A88:A93,A98,F88:F93)</f>
        <v>20.034999696656961</v>
      </c>
      <c r="G98" s="586">
        <f>SUM(C98:F98)</f>
        <v>76</v>
      </c>
      <c r="I98" s="539">
        <v>3</v>
      </c>
      <c r="K98" s="573">
        <f>SUMIF(I88:I93,I98,K88:K93)</f>
        <v>24</v>
      </c>
      <c r="L98" s="574">
        <f>SUMIF(I88:I93,I98,L88:L93)</f>
        <v>16</v>
      </c>
      <c r="M98" s="574">
        <f>SUMIF(I88:I93,I98,M88:M93)</f>
        <v>16</v>
      </c>
      <c r="N98" s="575">
        <f>SUMIF(I88:I93,I98,N88:N93)</f>
        <v>20</v>
      </c>
      <c r="O98" s="586">
        <f>SUM(K98:N98)</f>
        <v>76</v>
      </c>
      <c r="Q98" s="539">
        <v>3</v>
      </c>
      <c r="S98" s="573">
        <f>SUMIF(Q88:Q93,Q98,S88:S93)</f>
        <v>23.997511842464519</v>
      </c>
      <c r="T98" s="574">
        <f>SUMIF(Q88:Q93,Q98,T88:T93)</f>
        <v>16.000282983000403</v>
      </c>
      <c r="U98" s="574">
        <f>SUMIF(Q88:Q93,Q98,U88:U93)</f>
        <v>15.995039029486961</v>
      </c>
      <c r="V98" s="575">
        <f>SUMIF(Q88:Q93,Q98,V88:V93)</f>
        <v>20.017252015080309</v>
      </c>
      <c r="W98" s="586">
        <f>SUM(S98:V98)</f>
        <v>76.010085870032185</v>
      </c>
    </row>
    <row r="100" spans="1:23">
      <c r="B100" s="539">
        <v>1</v>
      </c>
      <c r="C100" s="569">
        <f>SUMIF(B88:B93,B100,C88:C93)</f>
        <v>28.000794269477346</v>
      </c>
      <c r="D100" s="570">
        <f>SUMIF(B88:B93,B100,D88:D93)</f>
        <v>24.002402224135487</v>
      </c>
      <c r="E100" s="570">
        <f>SUMIF(B88:B93,B100,E88:E93)</f>
        <v>20.991862112215408</v>
      </c>
      <c r="F100" s="571">
        <f>SUMIF(B88:B93,B100,F88:F93)</f>
        <v>17.004941394171755</v>
      </c>
      <c r="G100" s="586">
        <f>SUM(C100:F100)</f>
        <v>89.999999999999986</v>
      </c>
      <c r="J100" s="539">
        <v>1</v>
      </c>
      <c r="K100" s="569">
        <f>SUMIF(J88:J93,J100,K88:K93)</f>
        <v>27.993705639819286</v>
      </c>
      <c r="L100" s="570">
        <f>SUMIF(J88:J93,J100,L88:L93)</f>
        <v>24.001225209115411</v>
      </c>
      <c r="M100" s="570">
        <f>SUMIF(J88:J93,J100,M88:M93)</f>
        <v>21.011910212886288</v>
      </c>
      <c r="N100" s="571">
        <f>SUMIF(J88:J93,J100,N88:N93)</f>
        <v>16.979680325400352</v>
      </c>
      <c r="O100" s="586">
        <f>SUM(K100:N100)</f>
        <v>89.986521387221345</v>
      </c>
      <c r="R100" s="539">
        <v>1</v>
      </c>
      <c r="S100" s="569">
        <f>SUMIF(R88:R93,R100,S88:S93)</f>
        <v>28</v>
      </c>
      <c r="T100" s="570">
        <f>SUMIF(R88:R93,R100,T88:T93)</f>
        <v>23.999999999999996</v>
      </c>
      <c r="U100" s="570">
        <f>SUMIF(R88:R93,R100,U88:U93)</f>
        <v>21</v>
      </c>
      <c r="V100" s="571">
        <f>SUMIF(R88:R93,R100,V88:V93)</f>
        <v>17.000000000000004</v>
      </c>
      <c r="W100" s="586">
        <f>SUM(S100:V100)</f>
        <v>90</v>
      </c>
    </row>
    <row r="101" spans="1:23">
      <c r="B101" s="539">
        <v>2</v>
      </c>
      <c r="C101" s="573">
        <f>SUMIF(B88:B93,B101,C88:C93)</f>
        <v>23.008438417540212</v>
      </c>
      <c r="D101" s="574">
        <f>SUMIF(B88:B93,B101,D88:D93)</f>
        <v>20.002484152413487</v>
      </c>
      <c r="E101" s="574">
        <f>SUMIF(B88:B93,B101,E88:E93)</f>
        <v>19.986413563970157</v>
      </c>
      <c r="F101" s="575">
        <f>SUMIF(B88:B93,B101,F88:F93)</f>
        <v>22.002663866076134</v>
      </c>
      <c r="G101" s="586">
        <f>SUM(C101:F101)</f>
        <v>84.999999999999986</v>
      </c>
      <c r="J101" s="539">
        <v>2</v>
      </c>
      <c r="K101" s="573">
        <f>SUMIF(J88:J93,J101,K88:K93)</f>
        <v>23.006294360180714</v>
      </c>
      <c r="L101" s="574">
        <f>SUMIF(J88:J93,J101,L88:L93)</f>
        <v>19.998774790884589</v>
      </c>
      <c r="M101" s="574">
        <f>SUMIF(J88:J93,J101,M88:M93)</f>
        <v>19.988089787113715</v>
      </c>
      <c r="N101" s="575">
        <f>SUMIF(J88:J93,J101,N88:N93)</f>
        <v>21.98430442335885</v>
      </c>
      <c r="O101" s="586">
        <f>SUM(K101:N101)</f>
        <v>84.977463361537872</v>
      </c>
      <c r="R101" s="539">
        <v>2</v>
      </c>
      <c r="S101" s="573">
        <f>SUMIF(R88:R93,R101,S88:S93)</f>
        <v>23</v>
      </c>
      <c r="T101" s="574">
        <f>SUMIF(R88:R93,R101,T88:T93)</f>
        <v>20</v>
      </c>
      <c r="U101" s="574">
        <f>SUMIF(R88:R93,R101,U88:U93)</f>
        <v>20</v>
      </c>
      <c r="V101" s="575">
        <f>SUMIF(R88:R93,R101,V88:V93)</f>
        <v>22</v>
      </c>
      <c r="W101" s="586">
        <f>SUM(S101:V101)</f>
        <v>85</v>
      </c>
    </row>
    <row r="103" spans="1:23">
      <c r="A103" s="539" t="s">
        <v>134</v>
      </c>
      <c r="B103" s="539" t="s">
        <v>1379</v>
      </c>
      <c r="C103">
        <v>1</v>
      </c>
      <c r="D103">
        <f>C103+1</f>
        <v>2</v>
      </c>
      <c r="E103">
        <f>D103+1</f>
        <v>3</v>
      </c>
      <c r="F103">
        <f>E103+1</f>
        <v>4</v>
      </c>
      <c r="I103" s="539" t="s">
        <v>134</v>
      </c>
      <c r="J103" s="539" t="s">
        <v>1379</v>
      </c>
      <c r="K103">
        <v>1</v>
      </c>
      <c r="L103">
        <f>K103+1</f>
        <v>2</v>
      </c>
      <c r="M103">
        <f>L103+1</f>
        <v>3</v>
      </c>
      <c r="N103">
        <f>M103+1</f>
        <v>4</v>
      </c>
      <c r="Q103" s="539" t="s">
        <v>134</v>
      </c>
      <c r="R103" s="539" t="s">
        <v>1379</v>
      </c>
      <c r="S103">
        <v>1</v>
      </c>
      <c r="T103">
        <f>S103+1</f>
        <v>2</v>
      </c>
      <c r="U103">
        <f>T103+1</f>
        <v>3</v>
      </c>
      <c r="V103">
        <f>U103+1</f>
        <v>4</v>
      </c>
    </row>
    <row r="104" spans="1:23">
      <c r="A104" s="539">
        <v>1</v>
      </c>
      <c r="B104" s="539">
        <v>1</v>
      </c>
      <c r="C104" s="576">
        <f>S88*$G$6/$W88</f>
        <v>7.2220479709293652</v>
      </c>
      <c r="D104" s="577">
        <f>T88*$G$6/$W88</f>
        <v>6.67462134482507</v>
      </c>
      <c r="E104" s="577">
        <f>U88*$G$6/$W88</f>
        <v>5.1810848592182177</v>
      </c>
      <c r="F104" s="578">
        <f>V88*$G$6/$W88</f>
        <v>8.9222458250273444</v>
      </c>
      <c r="G104" s="488">
        <f t="shared" ref="G104:G109" si="17">SUM(C104:F104)</f>
        <v>28</v>
      </c>
      <c r="I104" s="539">
        <v>1</v>
      </c>
      <c r="J104" s="539">
        <v>1</v>
      </c>
      <c r="K104" s="576">
        <f>C104*$C$14/C112</f>
        <v>7.218547730637229</v>
      </c>
      <c r="L104" s="577">
        <f>D104*$D$14/D112</f>
        <v>6.6720320030038209</v>
      </c>
      <c r="M104" s="577">
        <f>E104*$E$14/E112</f>
        <v>5.178774862454695</v>
      </c>
      <c r="N104" s="578">
        <f>F104*F96/F112</f>
        <v>8.9124436042872723</v>
      </c>
      <c r="O104" s="488">
        <f t="shared" ref="O104:O109" si="18">SUM(K104:N104)</f>
        <v>27.981798200383018</v>
      </c>
      <c r="Q104" s="539">
        <v>1</v>
      </c>
      <c r="R104" s="539">
        <v>1</v>
      </c>
      <c r="S104" s="576">
        <f>K104*$C$18/K116</f>
        <v>7.219138304661362</v>
      </c>
      <c r="T104" s="577">
        <f>L104*$D$18/L116</f>
        <v>6.6718799024809137</v>
      </c>
      <c r="U104" s="577">
        <f>M104*$E$18/M116</f>
        <v>5.1779875517329268</v>
      </c>
      <c r="V104" s="578">
        <f>N104*$F$18/N116</f>
        <v>8.9191565499525076</v>
      </c>
      <c r="W104" s="488">
        <f t="shared" ref="W104:W109" si="19">SUM(S104:V104)</f>
        <v>27.988162308827711</v>
      </c>
    </row>
    <row r="105" spans="1:23">
      <c r="A105" s="539">
        <v>1</v>
      </c>
      <c r="B105" s="539">
        <v>2</v>
      </c>
      <c r="C105" s="579">
        <f>S89*$G$7/$W89</f>
        <v>4.7837707733766885</v>
      </c>
      <c r="D105" s="580">
        <f>T89*$G$7/$W89</f>
        <v>7.3308119003214109</v>
      </c>
      <c r="E105" s="580">
        <f>U89*$G$7/$W89</f>
        <v>6.8242677505975218</v>
      </c>
      <c r="F105" s="581">
        <f>V89*$G$7/$W89</f>
        <v>3.0611495757043783</v>
      </c>
      <c r="G105" s="488">
        <f t="shared" si="17"/>
        <v>21.999999999999996</v>
      </c>
      <c r="I105" s="539">
        <v>1</v>
      </c>
      <c r="J105" s="539">
        <v>2</v>
      </c>
      <c r="K105" s="579">
        <f>C105*$C$14/C112</f>
        <v>4.7814522693627701</v>
      </c>
      <c r="L105" s="580">
        <f>D105*$D$14/D112</f>
        <v>7.32796799699618</v>
      </c>
      <c r="M105" s="580">
        <f>E105*$E$14/E112</f>
        <v>6.8212251375453059</v>
      </c>
      <c r="N105" s="581">
        <f>F105*$F$14/F112</f>
        <v>3.0653912084224078</v>
      </c>
      <c r="O105" s="488">
        <f t="shared" si="18"/>
        <v>21.996036612326662</v>
      </c>
      <c r="Q105" s="539">
        <v>1</v>
      </c>
      <c r="R105" s="539">
        <v>2</v>
      </c>
      <c r="S105" s="579">
        <f>K105*$C$19/K117</f>
        <v>4.7809761281767225</v>
      </c>
      <c r="T105" s="580">
        <f>L105*$D$19/L117</f>
        <v>7.3281684715142026</v>
      </c>
      <c r="U105" s="580">
        <f>M105*$E$19/M117</f>
        <v>6.8223143339226899</v>
      </c>
      <c r="V105" s="581">
        <f>N105*$F$19/N117</f>
        <v>3.0666973771323476</v>
      </c>
      <c r="W105" s="488">
        <f t="shared" si="19"/>
        <v>21.998156310745962</v>
      </c>
    </row>
    <row r="106" spans="1:23">
      <c r="A106" s="539">
        <v>2</v>
      </c>
      <c r="B106" s="539">
        <v>1</v>
      </c>
      <c r="C106" s="579">
        <f>S90*$G$8/$W90</f>
        <v>12.598226654158402</v>
      </c>
      <c r="D106" s="580">
        <f>T90*$G$8/$W90</f>
        <v>11.121118535954002</v>
      </c>
      <c r="E106" s="580">
        <f>U90*$G$8/$W90</f>
        <v>3.3627401574596876</v>
      </c>
      <c r="F106" s="581">
        <f>V90*$G$8/$W90</f>
        <v>1.9179146524279125</v>
      </c>
      <c r="G106" s="488">
        <f t="shared" si="17"/>
        <v>29.000000000000007</v>
      </c>
      <c r="I106" s="539">
        <v>2</v>
      </c>
      <c r="J106" s="539">
        <v>1</v>
      </c>
      <c r="K106" s="579">
        <f>C106*$C$15/C113</f>
        <v>12.598391927620954</v>
      </c>
      <c r="L106" s="580">
        <f>D106*$D$15/D113</f>
        <v>11.123345406345839</v>
      </c>
      <c r="M106" s="580">
        <f>E106*$E$15/E113</f>
        <v>3.3628898782668979</v>
      </c>
      <c r="N106" s="581">
        <f>F106*$F$15/F113</f>
        <v>1.9169347348425116</v>
      </c>
      <c r="O106" s="488">
        <f t="shared" si="18"/>
        <v>29.001561947076205</v>
      </c>
      <c r="Q106" s="539">
        <v>2</v>
      </c>
      <c r="R106" s="539">
        <v>1</v>
      </c>
      <c r="S106" s="579">
        <f>K106*$C$18/K116</f>
        <v>12.599422645058302</v>
      </c>
      <c r="T106" s="580">
        <f>L106*$D$18/L116</f>
        <v>11.123091830425937</v>
      </c>
      <c r="U106" s="580">
        <f>M106*$E$18/M116</f>
        <v>3.3623786300802885</v>
      </c>
      <c r="V106" s="581">
        <f>N106*$F$18/N116</f>
        <v>1.9183785901183659</v>
      </c>
      <c r="W106" s="488">
        <f t="shared" si="19"/>
        <v>29.003271695682894</v>
      </c>
    </row>
    <row r="107" spans="1:23">
      <c r="A107" s="539">
        <v>2</v>
      </c>
      <c r="B107" s="539">
        <v>2</v>
      </c>
      <c r="C107" s="579">
        <f>S91*$G$9/$W91</f>
        <v>2.4015765666056041</v>
      </c>
      <c r="D107" s="580">
        <f>T91*$G$9/$W91</f>
        <v>2.8760786934453537</v>
      </c>
      <c r="E107" s="580">
        <f>U91*$G$9/$W91</f>
        <v>9.636681063405641</v>
      </c>
      <c r="F107" s="581">
        <f>V91*$G$9/$W91</f>
        <v>5.085663676543402</v>
      </c>
      <c r="G107" s="488">
        <f t="shared" si="17"/>
        <v>20</v>
      </c>
      <c r="I107" s="539">
        <v>2</v>
      </c>
      <c r="J107" s="539">
        <v>2</v>
      </c>
      <c r="K107" s="579">
        <f>C107*$C$15/C113</f>
        <v>2.4016080723790467</v>
      </c>
      <c r="L107" s="580">
        <f>D107*$D$15/D113</f>
        <v>2.8766545936541608</v>
      </c>
      <c r="M107" s="580">
        <f>E107*$E$15/E113</f>
        <v>9.6371101217331017</v>
      </c>
      <c r="N107" s="581">
        <f>F107*$F$15/F113</f>
        <v>5.0830652651574884</v>
      </c>
      <c r="O107" s="488">
        <f t="shared" si="18"/>
        <v>19.998438052923795</v>
      </c>
      <c r="Q107" s="539">
        <v>2</v>
      </c>
      <c r="R107" s="539">
        <v>2</v>
      </c>
      <c r="S107" s="579">
        <f>K107*$C$19/K117</f>
        <v>2.401368918153179</v>
      </c>
      <c r="T107" s="580">
        <f>L107*$D$19/L117</f>
        <v>2.8767332915883514</v>
      </c>
      <c r="U107" s="580">
        <f>M107*$E$19/M117</f>
        <v>9.6386489516678093</v>
      </c>
      <c r="V107" s="581">
        <f>N107*$F$19/N117</f>
        <v>5.0852311684137153</v>
      </c>
      <c r="W107" s="488">
        <f t="shared" si="19"/>
        <v>20.001982329823058</v>
      </c>
    </row>
    <row r="108" spans="1:23">
      <c r="A108" s="539">
        <v>3</v>
      </c>
      <c r="B108" s="539">
        <v>1</v>
      </c>
      <c r="C108" s="579">
        <f>S92*$G$10/$W92</f>
        <v>8.1793399821737118</v>
      </c>
      <c r="D108" s="580">
        <f>T92*$G$10/$W92</f>
        <v>6.2046459883073863</v>
      </c>
      <c r="E108" s="580">
        <f>U92*$G$10/$W92</f>
        <v>12.453179712604582</v>
      </c>
      <c r="F108" s="581">
        <f>V92*$G$10/$W92</f>
        <v>6.162834316914318</v>
      </c>
      <c r="G108" s="488">
        <f t="shared" si="17"/>
        <v>33</v>
      </c>
      <c r="I108" s="539">
        <v>3</v>
      </c>
      <c r="J108" s="539">
        <v>1</v>
      </c>
      <c r="K108" s="579">
        <f>C108*$C$16/C114</f>
        <v>8.1807697535887911</v>
      </c>
      <c r="L108" s="580">
        <f>D108*$D$16/D114</f>
        <v>6.2051697246819932</v>
      </c>
      <c r="M108" s="580">
        <f>E108*$E$16/E114</f>
        <v>12.461528300009375</v>
      </c>
      <c r="N108" s="581">
        <f>F108*$F$16/F114</f>
        <v>6.1578267204888162</v>
      </c>
      <c r="O108" s="488">
        <f t="shared" si="18"/>
        <v>33.005294498768976</v>
      </c>
      <c r="Q108" s="539">
        <v>3</v>
      </c>
      <c r="R108" s="539">
        <v>1</v>
      </c>
      <c r="S108" s="579">
        <f>K108*$C$18/K116</f>
        <v>8.1814390502803374</v>
      </c>
      <c r="T108" s="580">
        <f>L108*$D$18/L116</f>
        <v>6.2050282670931463</v>
      </c>
      <c r="U108" s="580">
        <f>M108*$E$18/M116</f>
        <v>12.459633818186781</v>
      </c>
      <c r="V108" s="581">
        <f>N108*$F$18/N116</f>
        <v>6.1624648599291261</v>
      </c>
      <c r="W108" s="488">
        <f t="shared" si="19"/>
        <v>33.008565995489391</v>
      </c>
    </row>
    <row r="109" spans="1:23">
      <c r="A109" s="539">
        <v>3</v>
      </c>
      <c r="B109" s="539">
        <v>2</v>
      </c>
      <c r="C109" s="582">
        <f>S93*$G$11/$W93</f>
        <v>15.816465484182697</v>
      </c>
      <c r="D109" s="583">
        <f>T93*$G$11/$W93</f>
        <v>9.7940035599941879</v>
      </c>
      <c r="E109" s="583">
        <f>U93*$G$11/$W93</f>
        <v>3.5361011047028281</v>
      </c>
      <c r="F109" s="584">
        <f>V93*$G$11/$W93</f>
        <v>13.853429851120291</v>
      </c>
      <c r="G109" s="488">
        <f t="shared" si="17"/>
        <v>43</v>
      </c>
      <c r="I109" s="539">
        <v>3</v>
      </c>
      <c r="J109" s="539">
        <v>2</v>
      </c>
      <c r="K109" s="582">
        <f>C109*$C$16/C114</f>
        <v>15.819230246411207</v>
      </c>
      <c r="L109" s="583">
        <f>D109*$D$16/D114</f>
        <v>9.7948302753180059</v>
      </c>
      <c r="M109" s="583">
        <f>E109*$E$16/E114</f>
        <v>3.5384716999906254</v>
      </c>
      <c r="N109" s="584">
        <f>F109*$F$16/F114</f>
        <v>13.842173279511183</v>
      </c>
      <c r="O109" s="488">
        <f t="shared" si="18"/>
        <v>42.994705501231024</v>
      </c>
      <c r="Q109" s="539">
        <v>3</v>
      </c>
      <c r="R109" s="539">
        <v>2</v>
      </c>
      <c r="S109" s="582">
        <f>K109*$C$19/K117</f>
        <v>15.8176549536701</v>
      </c>
      <c r="T109" s="583">
        <f>L109*$D$19/L117</f>
        <v>9.7950982368974451</v>
      </c>
      <c r="U109" s="583">
        <f>M109*$E$19/M117</f>
        <v>3.5390367144095003</v>
      </c>
      <c r="V109" s="584">
        <f>N109*$F$19/N117</f>
        <v>13.848071454453939</v>
      </c>
      <c r="W109" s="488">
        <f t="shared" si="19"/>
        <v>42.999861359430987</v>
      </c>
    </row>
    <row r="110" spans="1:23">
      <c r="C110" s="585">
        <f>SUM(C104:C109)</f>
        <v>51.001427431426478</v>
      </c>
      <c r="D110" s="585">
        <f>SUM(D104:D109)</f>
        <v>44.001280022847411</v>
      </c>
      <c r="E110" s="585">
        <f>SUM(E104:E109)</f>
        <v>40.994054647988477</v>
      </c>
      <c r="F110" s="585">
        <f>SUM(F104:F109)</f>
        <v>39.003237897737648</v>
      </c>
      <c r="G110" s="587">
        <f>SUM(G104:G109)</f>
        <v>175</v>
      </c>
      <c r="K110" s="585">
        <f>SUM(K104:K109)</f>
        <v>51</v>
      </c>
      <c r="L110" s="585">
        <f>SUM(L104:L109)</f>
        <v>44</v>
      </c>
      <c r="M110" s="585">
        <f>SUM(M104:M109)</f>
        <v>41</v>
      </c>
      <c r="N110" s="585">
        <f>SUM(N104:N109)</f>
        <v>38.977834812709681</v>
      </c>
      <c r="O110" s="587">
        <f>SUM(O104:O109)</f>
        <v>174.97783481270966</v>
      </c>
      <c r="S110" s="585">
        <f>SUM(S104:S109)</f>
        <v>51</v>
      </c>
      <c r="T110" s="585">
        <f>SUM(T104:T109)</f>
        <v>44</v>
      </c>
      <c r="U110" s="585">
        <f>SUM(U104:U109)</f>
        <v>40.999999999999993</v>
      </c>
      <c r="V110" s="585">
        <f>SUM(V104:V109)</f>
        <v>39</v>
      </c>
      <c r="W110" s="587">
        <f>SUM(W104:W109)</f>
        <v>175</v>
      </c>
    </row>
    <row r="112" spans="1:23">
      <c r="A112" s="539">
        <v>1</v>
      </c>
      <c r="C112" s="569">
        <f>SUMIF(A104:A109,A112,C104:C109)</f>
        <v>12.005818744306055</v>
      </c>
      <c r="D112" s="570">
        <f>SUMIF(A104:A109,A112,D104:D109)</f>
        <v>14.005433245146481</v>
      </c>
      <c r="E112" s="570">
        <f>SUMIF(A104:A109,A112,E104:E109)</f>
        <v>12.005352609815739</v>
      </c>
      <c r="F112" s="571">
        <f>SUMIF(A104:A109,A112,F104:F109)</f>
        <v>11.983395400731723</v>
      </c>
      <c r="G112" s="586">
        <f>SUM(C112:F112)</f>
        <v>50</v>
      </c>
      <c r="I112" s="539">
        <v>1</v>
      </c>
      <c r="K112" s="569">
        <f>SUMIF(I104:I109,I112,K104:K109)</f>
        <v>12</v>
      </c>
      <c r="L112" s="570">
        <f>SUMIF(I104:I109,I112,L104:L109)</f>
        <v>14</v>
      </c>
      <c r="M112" s="570">
        <f>SUMIF(I104:I109,I112,M104:M109)</f>
        <v>12</v>
      </c>
      <c r="N112" s="571">
        <f>SUMIF(I104:I109,I112,N104:N109)</f>
        <v>11.977834812709681</v>
      </c>
      <c r="O112" s="586">
        <f>SUM(K112:N112)</f>
        <v>49.977834812709681</v>
      </c>
      <c r="Q112" s="539">
        <v>1</v>
      </c>
      <c r="S112" s="569">
        <f>SUMIF(Q104:Q109,Q112,S104:S109)</f>
        <v>12.000114432838085</v>
      </c>
      <c r="T112" s="570">
        <f>SUMIF(Q104:Q109,Q112,T104:T109)</f>
        <v>14.000048373995117</v>
      </c>
      <c r="U112" s="570">
        <f>SUMIF(Q104:Q109,Q112,U104:U109)</f>
        <v>12.000301885655617</v>
      </c>
      <c r="V112" s="571">
        <f>SUMIF(Q104:Q109,Q112,V104:V109)</f>
        <v>11.985853927084856</v>
      </c>
      <c r="W112" s="586">
        <f>SUM(S112:V112)</f>
        <v>49.986318619573673</v>
      </c>
    </row>
    <row r="113" spans="1:23">
      <c r="A113" s="539">
        <v>2</v>
      </c>
      <c r="C113" s="572">
        <f>SUMIF(A104:A109,A113,C104:C109)</f>
        <v>14.999803220764006</v>
      </c>
      <c r="D113" s="488">
        <f>SUMIF(A104:A109,A113,D104:D109)</f>
        <v>13.997197229399356</v>
      </c>
      <c r="E113" s="488">
        <f>SUMIF(A104:A109,A113,E104:E109)</f>
        <v>12.999421220865329</v>
      </c>
      <c r="F113" s="485">
        <f>SUMIF(A104:A109,A113,F104:F109)</f>
        <v>7.0035783289713143</v>
      </c>
      <c r="G113" s="586">
        <f>SUM(C113:F113)</f>
        <v>49.000000000000007</v>
      </c>
      <c r="I113" s="539">
        <v>2</v>
      </c>
      <c r="K113" s="572">
        <f>SUMIF(I104:I109,I113,K104:K109)</f>
        <v>15</v>
      </c>
      <c r="L113" s="488">
        <f>SUMIF(I104:I109,I113,L104:L109)</f>
        <v>14</v>
      </c>
      <c r="M113" s="488">
        <f>SUMIF(I104:I109,I113,M104:M109)</f>
        <v>13</v>
      </c>
      <c r="N113" s="485">
        <f>SUMIF(I104:I109,I113,N104:N109)</f>
        <v>7</v>
      </c>
      <c r="O113" s="586">
        <f>SUM(K113:N113)</f>
        <v>49</v>
      </c>
      <c r="Q113" s="539">
        <v>2</v>
      </c>
      <c r="S113" s="572">
        <f>SUMIF(Q104:Q109,Q113,S104:S109)</f>
        <v>15.000791563211482</v>
      </c>
      <c r="T113" s="488">
        <f>SUMIF(Q104:Q109,Q113,T104:T109)</f>
        <v>13.999825122014288</v>
      </c>
      <c r="U113" s="488">
        <f>SUMIF(Q104:Q109,Q113,U104:U109)</f>
        <v>13.001027581748097</v>
      </c>
      <c r="V113" s="485">
        <f>SUMIF(Q104:Q109,Q113,V104:V109)</f>
        <v>7.0036097585320807</v>
      </c>
      <c r="W113" s="586">
        <f>SUM(S113:V113)</f>
        <v>49.005254025505948</v>
      </c>
    </row>
    <row r="114" spans="1:23">
      <c r="A114" s="539">
        <v>3</v>
      </c>
      <c r="C114" s="573">
        <f>SUMIF(A104:A109,A114,C104:C109)</f>
        <v>23.995805466356408</v>
      </c>
      <c r="D114" s="574">
        <f>SUMIF(A104:A109,A114,D104:D109)</f>
        <v>15.998649548301575</v>
      </c>
      <c r="E114" s="574">
        <f>SUMIF(A104:A109,A114,E104:E109)</f>
        <v>15.98928081730741</v>
      </c>
      <c r="F114" s="575">
        <f>SUMIF(A104:A109,A114,F104:F109)</f>
        <v>20.01626416803461</v>
      </c>
      <c r="G114" s="586">
        <f>SUM(C114:F114)</f>
        <v>76</v>
      </c>
      <c r="I114" s="539">
        <v>3</v>
      </c>
      <c r="K114" s="573">
        <f>SUMIF(I104:I109,I114,K104:K109)</f>
        <v>24</v>
      </c>
      <c r="L114" s="574">
        <f>SUMIF(I104:I109,I114,L104:L109)</f>
        <v>16</v>
      </c>
      <c r="M114" s="574">
        <f>SUMIF(I104:I109,I114,M104:M109)</f>
        <v>16</v>
      </c>
      <c r="N114" s="575">
        <f>SUMIF(I104:I109,I114,N104:N109)</f>
        <v>20</v>
      </c>
      <c r="O114" s="586">
        <f>SUM(K114:N114)</f>
        <v>76</v>
      </c>
      <c r="Q114" s="539">
        <v>3</v>
      </c>
      <c r="S114" s="573">
        <f>SUMIF(Q104:Q109,Q114,S104:S109)</f>
        <v>23.999094003950439</v>
      </c>
      <c r="T114" s="574">
        <f>SUMIF(Q104:Q109,Q114,T104:T109)</f>
        <v>16.000126503990593</v>
      </c>
      <c r="U114" s="574">
        <f>SUMIF(Q104:Q109,Q114,U104:U109)</f>
        <v>15.998670532596281</v>
      </c>
      <c r="V114" s="575">
        <f>SUMIF(Q104:Q109,Q114,V104:V109)</f>
        <v>20.010536314383064</v>
      </c>
      <c r="W114" s="586">
        <f>SUM(S114:V114)</f>
        <v>76.008427354920371</v>
      </c>
    </row>
    <row r="116" spans="1:23">
      <c r="B116" s="539">
        <v>1</v>
      </c>
      <c r="C116" s="569">
        <f>SUMIF(B104:B109,B116,C104:C109)</f>
        <v>27.999614607261481</v>
      </c>
      <c r="D116" s="570">
        <f>SUMIF(B104:B109,B116,D104:D109)</f>
        <v>24.000385869086461</v>
      </c>
      <c r="E116" s="570">
        <f>SUMIF(B104:B109,B116,E104:E109)</f>
        <v>20.997004729282487</v>
      </c>
      <c r="F116" s="571">
        <f>SUMIF(B104:B109,B116,F104:F109)</f>
        <v>17.002994794369574</v>
      </c>
      <c r="G116" s="586">
        <f>SUM(C116:F116)</f>
        <v>90</v>
      </c>
      <c r="J116" s="539">
        <v>1</v>
      </c>
      <c r="K116" s="569">
        <f>SUMIF(J104:J109,J116,K104:K109)</f>
        <v>27.997709411846973</v>
      </c>
      <c r="L116" s="570">
        <f>SUMIF(J104:J109,J116,L104:L109)</f>
        <v>24.000547134031656</v>
      </c>
      <c r="M116" s="570">
        <f>SUMIF(J104:J109,J116,M104:M109)</f>
        <v>21.00319304073097</v>
      </c>
      <c r="N116" s="571">
        <f>SUMIF(J104:J109,J116,N104:N109)</f>
        <v>16.987205059618599</v>
      </c>
      <c r="O116" s="586">
        <f>SUM(K116:N116)</f>
        <v>89.988654646228198</v>
      </c>
      <c r="R116" s="539">
        <v>1</v>
      </c>
      <c r="S116" s="569">
        <f>SUMIF(R104:R109,R116,S104:S109)</f>
        <v>28</v>
      </c>
      <c r="T116" s="570">
        <f>SUMIF(R104:R109,R116,T104:T109)</f>
        <v>24</v>
      </c>
      <c r="U116" s="570">
        <f>SUMIF(R104:R109,R116,U104:U109)</f>
        <v>20.999999999999996</v>
      </c>
      <c r="V116" s="571">
        <f>SUMIF(R104:R109,R116,V104:V109)</f>
        <v>17</v>
      </c>
      <c r="W116" s="586">
        <f>SUM(S116:V116)</f>
        <v>90</v>
      </c>
    </row>
    <row r="117" spans="1:23">
      <c r="B117" s="539">
        <v>2</v>
      </c>
      <c r="C117" s="573">
        <f>SUMIF(B104:B109,B117,C104:C109)</f>
        <v>23.00181282416499</v>
      </c>
      <c r="D117" s="574">
        <f>SUMIF(B104:B109,B117,D104:D109)</f>
        <v>20.000894153760953</v>
      </c>
      <c r="E117" s="574">
        <f>SUMIF(B104:B109,B117,E104:E109)</f>
        <v>19.99704991870599</v>
      </c>
      <c r="F117" s="575">
        <f>SUMIF(B104:B109,B117,F104:F109)</f>
        <v>22.000243103368071</v>
      </c>
      <c r="G117" s="586">
        <f>SUM(C117:F117)</f>
        <v>85</v>
      </c>
      <c r="J117" s="539">
        <v>2</v>
      </c>
      <c r="K117" s="573">
        <f>SUMIF(J104:J109,J117,K104:K109)</f>
        <v>23.002290588153024</v>
      </c>
      <c r="L117" s="574">
        <f>SUMIF(J104:J109,J117,L104:L109)</f>
        <v>19.999452865968347</v>
      </c>
      <c r="M117" s="574">
        <f>SUMIF(J104:J109,J117,M104:M109)</f>
        <v>19.996806959269033</v>
      </c>
      <c r="N117" s="575">
        <f>SUMIF(J104:J109,J117,N104:N109)</f>
        <v>21.990629753091078</v>
      </c>
      <c r="O117" s="586">
        <f>SUM(K117:N117)</f>
        <v>84.989180166481475</v>
      </c>
      <c r="R117" s="539">
        <v>2</v>
      </c>
      <c r="S117" s="573">
        <f>SUMIF(R104:R109,R117,S104:S109)</f>
        <v>23</v>
      </c>
      <c r="T117" s="574">
        <f>SUMIF(R104:R109,R117,T104:T109)</f>
        <v>20</v>
      </c>
      <c r="U117" s="574">
        <f>SUMIF(R104:R109,R117,U104:U109)</f>
        <v>20</v>
      </c>
      <c r="V117" s="575">
        <f>SUMIF(R104:R109,R117,V104:V109)</f>
        <v>22</v>
      </c>
      <c r="W117" s="586">
        <f>SUM(S117:V117)</f>
        <v>85</v>
      </c>
    </row>
    <row r="119" spans="1:23">
      <c r="A119" s="539" t="s">
        <v>134</v>
      </c>
      <c r="B119" s="539" t="s">
        <v>1379</v>
      </c>
      <c r="C119">
        <v>1</v>
      </c>
      <c r="D119">
        <f>C119+1</f>
        <v>2</v>
      </c>
      <c r="E119">
        <f>D119+1</f>
        <v>3</v>
      </c>
      <c r="F119">
        <f>E119+1</f>
        <v>4</v>
      </c>
      <c r="I119" s="539" t="s">
        <v>134</v>
      </c>
      <c r="J119" s="539" t="s">
        <v>1379</v>
      </c>
      <c r="K119">
        <v>1</v>
      </c>
      <c r="L119">
        <f>K119+1</f>
        <v>2</v>
      </c>
      <c r="M119">
        <f>L119+1</f>
        <v>3</v>
      </c>
      <c r="N119">
        <f>M119+1</f>
        <v>4</v>
      </c>
      <c r="Q119" s="539" t="s">
        <v>134</v>
      </c>
      <c r="R119" s="539" t="s">
        <v>1379</v>
      </c>
      <c r="S119">
        <v>1</v>
      </c>
      <c r="T119">
        <f>S119+1</f>
        <v>2</v>
      </c>
      <c r="U119">
        <f>T119+1</f>
        <v>3</v>
      </c>
      <c r="V119">
        <f>U119+1</f>
        <v>4</v>
      </c>
    </row>
    <row r="120" spans="1:23">
      <c r="A120" s="539">
        <v>1</v>
      </c>
      <c r="B120" s="539">
        <v>1</v>
      </c>
      <c r="C120" s="576">
        <f>S104*$G$6/$W104</f>
        <v>7.2221916644653268</v>
      </c>
      <c r="D120" s="577">
        <f>T104*$G$6/$W104</f>
        <v>6.6747017974289529</v>
      </c>
      <c r="E120" s="577">
        <f>U104*$G$6/$W104</f>
        <v>5.180177599684451</v>
      </c>
      <c r="F120" s="578">
        <f>V104*$G$6/$W104</f>
        <v>8.9229289384212684</v>
      </c>
      <c r="G120" s="488">
        <f t="shared" ref="G120:G125" si="20">SUM(C120:F120)</f>
        <v>28</v>
      </c>
      <c r="I120" s="539">
        <v>1</v>
      </c>
      <c r="J120" s="539">
        <v>1</v>
      </c>
      <c r="K120" s="576">
        <f>C120*$C$14/C128</f>
        <v>7.22004460886318</v>
      </c>
      <c r="L120" s="577">
        <f>D120*$D$14/D128</f>
        <v>6.6730409487179632</v>
      </c>
      <c r="M120" s="577">
        <f>E120*$E$14/E128</f>
        <v>5.1788553864849751</v>
      </c>
      <c r="N120" s="578">
        <f>F120*F112/F128</f>
        <v>8.9181005836757414</v>
      </c>
      <c r="O120" s="488">
        <f t="shared" ref="O120:O125" si="21">SUM(K120:N120)</f>
        <v>27.990041527741859</v>
      </c>
      <c r="Q120" s="539">
        <v>1</v>
      </c>
      <c r="R120" s="539">
        <v>1</v>
      </c>
      <c r="S120" s="576">
        <f>K120*$C$18/K132</f>
        <v>7.2202752013687252</v>
      </c>
      <c r="T120" s="577">
        <f>L120*$D$18/L132</f>
        <v>6.672979362793714</v>
      </c>
      <c r="U120" s="577">
        <f>M120*$E$18/M132</f>
        <v>5.1786386315238522</v>
      </c>
      <c r="V120" s="578">
        <f>N120*$F$18/N132</f>
        <v>8.921474231007986</v>
      </c>
      <c r="W120" s="488">
        <f t="shared" ref="W120:W125" si="22">SUM(S120:V120)</f>
        <v>27.993367426694277</v>
      </c>
    </row>
    <row r="121" spans="1:23">
      <c r="A121" s="539">
        <v>1</v>
      </c>
      <c r="B121" s="539">
        <v>2</v>
      </c>
      <c r="C121" s="579">
        <f>S105*$G$7/$W105</f>
        <v>4.7813768269528749</v>
      </c>
      <c r="D121" s="580">
        <f>T105*$G$7/$W105</f>
        <v>7.3287826532334268</v>
      </c>
      <c r="E121" s="580">
        <f>U105*$G$7/$W105</f>
        <v>6.8228861194599606</v>
      </c>
      <c r="F121" s="581">
        <f>V105*$G$7/$W105</f>
        <v>3.0669544003537368</v>
      </c>
      <c r="G121" s="488">
        <f t="shared" si="20"/>
        <v>22</v>
      </c>
      <c r="I121" s="539">
        <v>1</v>
      </c>
      <c r="J121" s="539">
        <v>2</v>
      </c>
      <c r="K121" s="579">
        <f>C121*$C$14/C128</f>
        <v>4.77995539113682</v>
      </c>
      <c r="L121" s="580">
        <f>D121*$D$14/D128</f>
        <v>7.326959051282036</v>
      </c>
      <c r="M121" s="580">
        <f>E121*$E$14/E128</f>
        <v>6.8211446135150258</v>
      </c>
      <c r="N121" s="581">
        <f>F121*$F$14/F128</f>
        <v>3.0695421935610772</v>
      </c>
      <c r="O121" s="488">
        <f t="shared" si="21"/>
        <v>21.997601249494956</v>
      </c>
      <c r="Q121" s="539">
        <v>1</v>
      </c>
      <c r="R121" s="539">
        <v>2</v>
      </c>
      <c r="S121" s="579">
        <f>K121*$C$19/K133</f>
        <v>4.7797695556750126</v>
      </c>
      <c r="T121" s="580">
        <f>L121*$D$19/L133</f>
        <v>7.3270401981014244</v>
      </c>
      <c r="U121" s="580">
        <f>M121*$E$19/M133</f>
        <v>6.8214444048546188</v>
      </c>
      <c r="V121" s="581">
        <f>N121*$F$19/N133</f>
        <v>3.0703696146692412</v>
      </c>
      <c r="W121" s="488">
        <f t="shared" si="22"/>
        <v>21.998623773300295</v>
      </c>
    </row>
    <row r="122" spans="1:23">
      <c r="A122" s="539">
        <v>2</v>
      </c>
      <c r="B122" s="539">
        <v>1</v>
      </c>
      <c r="C122" s="579">
        <f>S106*$G$8/$W106</f>
        <v>12.598001375171673</v>
      </c>
      <c r="D122" s="580">
        <f>T106*$G$8/$W106</f>
        <v>11.121837097101233</v>
      </c>
      <c r="E122" s="580">
        <f>U106*$G$8/$W106</f>
        <v>3.3619993390898202</v>
      </c>
      <c r="F122" s="581">
        <f>V106*$G$8/$W106</f>
        <v>1.9181621886372744</v>
      </c>
      <c r="G122" s="488">
        <f t="shared" si="20"/>
        <v>29</v>
      </c>
      <c r="I122" s="539">
        <v>2</v>
      </c>
      <c r="J122" s="539">
        <v>1</v>
      </c>
      <c r="K122" s="579">
        <f>C122*$C$15/C129</f>
        <v>12.598730168328084</v>
      </c>
      <c r="L122" s="580">
        <f>D122*$D$15/D129</f>
        <v>11.12319946240957</v>
      </c>
      <c r="M122" s="580">
        <f>E122*$E$15/E129</f>
        <v>3.362078726464556</v>
      </c>
      <c r="N122" s="581">
        <f>F122*$F$15/F129</f>
        <v>1.9173707591428144</v>
      </c>
      <c r="O122" s="488">
        <f t="shared" si="21"/>
        <v>29.001379116345028</v>
      </c>
      <c r="Q122" s="539">
        <v>2</v>
      </c>
      <c r="R122" s="539">
        <v>1</v>
      </c>
      <c r="S122" s="579">
        <f>K122*$C$18/K132</f>
        <v>12.599132544340087</v>
      </c>
      <c r="T122" s="580">
        <f>L122*$D$18/L132</f>
        <v>11.12309680568608</v>
      </c>
      <c r="U122" s="580">
        <f>M122*$E$18/M132</f>
        <v>3.361938010574796</v>
      </c>
      <c r="V122" s="581">
        <f>N122*$F$18/N132</f>
        <v>1.9180960854256717</v>
      </c>
      <c r="W122" s="488">
        <f t="shared" si="22"/>
        <v>29.002263446026635</v>
      </c>
    </row>
    <row r="123" spans="1:23">
      <c r="A123" s="539">
        <v>2</v>
      </c>
      <c r="B123" s="539">
        <v>2</v>
      </c>
      <c r="C123" s="579">
        <f>S107*$G$9/$W107</f>
        <v>2.4011309264809473</v>
      </c>
      <c r="D123" s="580">
        <f>T107*$G$9/$W107</f>
        <v>2.8764481881369601</v>
      </c>
      <c r="E123" s="580">
        <f>U107*$G$9/$W107</f>
        <v>9.6376936972857283</v>
      </c>
      <c r="F123" s="581">
        <f>V107*$G$9/$W107</f>
        <v>5.0847271880963607</v>
      </c>
      <c r="G123" s="488">
        <f t="shared" si="20"/>
        <v>19.999999999999996</v>
      </c>
      <c r="I123" s="539">
        <v>2</v>
      </c>
      <c r="J123" s="539">
        <v>2</v>
      </c>
      <c r="K123" s="579">
        <f>C123*$C$15/C129</f>
        <v>2.4012698316719177</v>
      </c>
      <c r="L123" s="580">
        <f>D123*$D$15/D129</f>
        <v>2.8768005375904298</v>
      </c>
      <c r="M123" s="580">
        <f>E123*$E$15/E129</f>
        <v>9.6379212735354436</v>
      </c>
      <c r="N123" s="581">
        <f>F123*$F$15/F129</f>
        <v>5.0826292408571856</v>
      </c>
      <c r="O123" s="488">
        <f t="shared" si="21"/>
        <v>19.998620883654979</v>
      </c>
      <c r="Q123" s="539">
        <v>2</v>
      </c>
      <c r="R123" s="539">
        <v>2</v>
      </c>
      <c r="S123" s="579">
        <f>K123*$C$19/K133</f>
        <v>2.4011764749245055</v>
      </c>
      <c r="T123" s="580">
        <f>L123*$D$19/L133</f>
        <v>2.8768323984500315</v>
      </c>
      <c r="U123" s="580">
        <f>M123*$E$19/M133</f>
        <v>9.6383448630491095</v>
      </c>
      <c r="V123" s="581">
        <f>N123*$F$19/N133</f>
        <v>5.0839993066369225</v>
      </c>
      <c r="W123" s="488">
        <f t="shared" si="22"/>
        <v>20.000353043060571</v>
      </c>
    </row>
    <row r="124" spans="1:23">
      <c r="A124" s="539">
        <v>3</v>
      </c>
      <c r="B124" s="539">
        <v>1</v>
      </c>
      <c r="C124" s="579">
        <f>S108*$G$10/$W108</f>
        <v>8.1793158992773218</v>
      </c>
      <c r="D124" s="580">
        <f>T108*$G$10/$W108</f>
        <v>6.2034180110112942</v>
      </c>
      <c r="E124" s="580">
        <f>U108*$G$10/$W108</f>
        <v>12.456400440308425</v>
      </c>
      <c r="F124" s="581">
        <f>V108*$G$10/$W108</f>
        <v>6.1608656494029583</v>
      </c>
      <c r="G124" s="488">
        <f t="shared" si="20"/>
        <v>33</v>
      </c>
      <c r="I124" s="539">
        <v>3</v>
      </c>
      <c r="J124" s="539">
        <v>1</v>
      </c>
      <c r="K124" s="579">
        <f>C124*$C$16/C130</f>
        <v>8.1803309923292602</v>
      </c>
      <c r="L124" s="580">
        <f>D124*$D$16/D130</f>
        <v>6.2039810884608242</v>
      </c>
      <c r="M124" s="580">
        <f>E124*$E$16/E130</f>
        <v>12.459944854382904</v>
      </c>
      <c r="N124" s="581">
        <f>F124*$F$16/F130</f>
        <v>6.1581001227079808</v>
      </c>
      <c r="O124" s="488">
        <f t="shared" si="21"/>
        <v>33.002357057880971</v>
      </c>
      <c r="Q124" s="539">
        <v>3</v>
      </c>
      <c r="R124" s="539">
        <v>1</v>
      </c>
      <c r="S124" s="579">
        <f>K124*$C$18/K132</f>
        <v>8.1805922542911862</v>
      </c>
      <c r="T124" s="580">
        <f>L124*$D$18/L132</f>
        <v>6.2039238315202034</v>
      </c>
      <c r="U124" s="580">
        <f>M124*$E$18/M132</f>
        <v>12.459423357901354</v>
      </c>
      <c r="V124" s="581">
        <f>N124*$F$18/N132</f>
        <v>6.1604296835663428</v>
      </c>
      <c r="W124" s="488">
        <f t="shared" si="22"/>
        <v>33.004369127279084</v>
      </c>
    </row>
    <row r="125" spans="1:23">
      <c r="A125" s="539">
        <v>3</v>
      </c>
      <c r="B125" s="539">
        <v>2</v>
      </c>
      <c r="C125" s="582">
        <f>S109*$G$11/$W109</f>
        <v>15.817705953106236</v>
      </c>
      <c r="D125" s="583">
        <f>T109*$G$11/$W109</f>
        <v>9.7951298183479469</v>
      </c>
      <c r="E125" s="583">
        <f>U109*$G$11/$W109</f>
        <v>3.5390481250059147</v>
      </c>
      <c r="F125" s="584">
        <f>V109*$G$11/$W109</f>
        <v>13.848116103539899</v>
      </c>
      <c r="G125" s="488">
        <f t="shared" si="20"/>
        <v>43</v>
      </c>
      <c r="I125" s="539">
        <v>3</v>
      </c>
      <c r="J125" s="539">
        <v>2</v>
      </c>
      <c r="K125" s="582">
        <f>C125*$C$16/C130</f>
        <v>15.81966900767074</v>
      </c>
      <c r="L125" s="583">
        <f>D125*$D$16/D130</f>
        <v>9.7960189115391749</v>
      </c>
      <c r="M125" s="583">
        <f>E125*$E$16/E130</f>
        <v>3.5400551456170968</v>
      </c>
      <c r="N125" s="584">
        <f>F125*$F$16/F130</f>
        <v>13.841899877292018</v>
      </c>
      <c r="O125" s="488">
        <f t="shared" si="21"/>
        <v>42.997642942119029</v>
      </c>
      <c r="Q125" s="539">
        <v>3</v>
      </c>
      <c r="R125" s="539">
        <v>2</v>
      </c>
      <c r="S125" s="582">
        <f>K125*$C$19/K133</f>
        <v>15.81905396940048</v>
      </c>
      <c r="T125" s="583">
        <f>L125*$D$19/L133</f>
        <v>9.7961274034485442</v>
      </c>
      <c r="U125" s="583">
        <f>M125*$E$19/M133</f>
        <v>3.5402107320962686</v>
      </c>
      <c r="V125" s="584">
        <f>N125*$F$19/N133</f>
        <v>13.845631078693838</v>
      </c>
      <c r="W125" s="488">
        <f t="shared" si="22"/>
        <v>43.001023183639134</v>
      </c>
    </row>
    <row r="126" spans="1:23">
      <c r="C126" s="585">
        <f>SUM(C120:C125)</f>
        <v>50.999722645454376</v>
      </c>
      <c r="D126" s="585">
        <f>SUM(D120:D125)</f>
        <v>44.000317565259813</v>
      </c>
      <c r="E126" s="585">
        <f>SUM(E120:E125)</f>
        <v>40.998205320834295</v>
      </c>
      <c r="F126" s="585">
        <f>SUM(F120:F125)</f>
        <v>39.001754468451502</v>
      </c>
      <c r="G126" s="587">
        <f>SUM(G120:G125)</f>
        <v>175</v>
      </c>
      <c r="K126" s="585">
        <f>SUM(K120:K125)</f>
        <v>51</v>
      </c>
      <c r="L126" s="585">
        <f>SUM(L120:L125)</f>
        <v>44</v>
      </c>
      <c r="M126" s="585">
        <f>SUM(M120:M125)</f>
        <v>41</v>
      </c>
      <c r="N126" s="585">
        <f>SUM(N120:N125)</f>
        <v>38.987642777236815</v>
      </c>
      <c r="O126" s="587">
        <f>SUM(O120:O125)</f>
        <v>174.98764277723683</v>
      </c>
      <c r="S126" s="585">
        <f>SUM(S120:S125)</f>
        <v>50.999999999999993</v>
      </c>
      <c r="T126" s="585">
        <f>SUM(T120:T125)</f>
        <v>43.999999999999993</v>
      </c>
      <c r="U126" s="585">
        <f>SUM(U120:U125)</f>
        <v>41</v>
      </c>
      <c r="V126" s="585">
        <f>SUM(V120:V125)</f>
        <v>39</v>
      </c>
      <c r="W126" s="587">
        <f>SUM(W120:W125)</f>
        <v>175</v>
      </c>
    </row>
    <row r="128" spans="1:23">
      <c r="A128" s="539">
        <v>1</v>
      </c>
      <c r="C128" s="569">
        <f>SUMIF(A120:A125,A128,C120:C125)</f>
        <v>12.003568491418202</v>
      </c>
      <c r="D128" s="570">
        <f>SUMIF(A120:A125,A128,D120:D125)</f>
        <v>14.003484450662381</v>
      </c>
      <c r="E128" s="570">
        <f>SUMIF(A120:A125,A128,E120:E125)</f>
        <v>12.003063719144411</v>
      </c>
      <c r="F128" s="571">
        <f>SUMIF(A120:A125,A128,F120:F125)</f>
        <v>11.989883338775005</v>
      </c>
      <c r="G128" s="586">
        <f>SUM(C128:F128)</f>
        <v>50</v>
      </c>
      <c r="I128" s="539">
        <v>1</v>
      </c>
      <c r="K128" s="569">
        <f>SUMIF(I120:I125,I128,K120:K125)</f>
        <v>12</v>
      </c>
      <c r="L128" s="570">
        <f>SUMIF(I120:I125,I128,L120:L125)</f>
        <v>14</v>
      </c>
      <c r="M128" s="570">
        <f>SUMIF(I120:I125,I128,M120:M125)</f>
        <v>12</v>
      </c>
      <c r="N128" s="571">
        <f>SUMIF(I120:I125,I128,N120:N125)</f>
        <v>11.987642777236818</v>
      </c>
      <c r="O128" s="586">
        <f>SUM(K128:N128)</f>
        <v>49.987642777236815</v>
      </c>
      <c r="Q128" s="539">
        <v>1</v>
      </c>
      <c r="S128" s="569">
        <f>SUMIF(Q120:Q125,Q128,S120:S125)</f>
        <v>12.000044757043739</v>
      </c>
      <c r="T128" s="570">
        <f>SUMIF(Q120:Q125,Q128,T120:T125)</f>
        <v>14.000019560895138</v>
      </c>
      <c r="U128" s="570">
        <f>SUMIF(Q120:Q125,Q128,U120:U125)</f>
        <v>12.00008303637847</v>
      </c>
      <c r="V128" s="571">
        <f>SUMIF(Q120:Q125,Q128,V120:V125)</f>
        <v>11.991843845677227</v>
      </c>
      <c r="W128" s="586">
        <f>SUM(S128:V128)</f>
        <v>49.991991199994573</v>
      </c>
    </row>
    <row r="129" spans="1:23">
      <c r="A129" s="539">
        <v>2</v>
      </c>
      <c r="C129" s="572">
        <f>SUMIF(A120:A125,A129,C120:C125)</f>
        <v>14.999132301652621</v>
      </c>
      <c r="D129" s="488">
        <f>SUMIF(A120:A125,A129,D120:D125)</f>
        <v>13.998285285238193</v>
      </c>
      <c r="E129" s="488">
        <f>SUMIF(A120:A125,A129,E120:E125)</f>
        <v>12.999693036375549</v>
      </c>
      <c r="F129" s="485">
        <f>SUMIF(A120:A125,A129,F120:F125)</f>
        <v>7.0028893767336351</v>
      </c>
      <c r="G129" s="586">
        <f>SUM(C129:F129)</f>
        <v>48.999999999999993</v>
      </c>
      <c r="I129" s="539">
        <v>2</v>
      </c>
      <c r="K129" s="572">
        <f>SUMIF(I120:I125,I129,K120:K125)</f>
        <v>15.000000000000002</v>
      </c>
      <c r="L129" s="488">
        <f>SUMIF(I120:I125,I129,L120:L125)</f>
        <v>14</v>
      </c>
      <c r="M129" s="488">
        <f>SUMIF(I120:I125,I129,M120:M125)</f>
        <v>13</v>
      </c>
      <c r="N129" s="485">
        <f>SUMIF(I120:I125,I129,N120:N125)</f>
        <v>7</v>
      </c>
      <c r="O129" s="586">
        <f>SUM(K129:N129)</f>
        <v>49</v>
      </c>
      <c r="Q129" s="539">
        <v>2</v>
      </c>
      <c r="S129" s="572">
        <f>SUMIF(Q120:Q125,Q129,S120:S125)</f>
        <v>15.000309019264591</v>
      </c>
      <c r="T129" s="488">
        <f>SUMIF(Q120:Q125,Q129,T120:T125)</f>
        <v>13.999929204136112</v>
      </c>
      <c r="U129" s="488">
        <f>SUMIF(Q120:Q125,Q129,U120:U125)</f>
        <v>13.000282873623906</v>
      </c>
      <c r="V129" s="485">
        <f>SUMIF(Q120:Q125,Q129,V120:V125)</f>
        <v>7.0020953920625946</v>
      </c>
      <c r="W129" s="586">
        <f>SUM(S129:V129)</f>
        <v>49.002616489087202</v>
      </c>
    </row>
    <row r="130" spans="1:23">
      <c r="A130" s="539">
        <v>3</v>
      </c>
      <c r="C130" s="573">
        <f>SUMIF(A120:A125,A130,C120:C125)</f>
        <v>23.997021852383558</v>
      </c>
      <c r="D130" s="574">
        <f>SUMIF(A120:A125,A130,D120:D125)</f>
        <v>15.998547829359241</v>
      </c>
      <c r="E130" s="574">
        <f>SUMIF(A120:A125,A130,E120:E125)</f>
        <v>15.995448565314339</v>
      </c>
      <c r="F130" s="575">
        <f>SUMIF(A120:A125,A130,F120:F125)</f>
        <v>20.008981752942859</v>
      </c>
      <c r="G130" s="586">
        <f>SUM(C130:F130)</f>
        <v>76</v>
      </c>
      <c r="I130" s="539">
        <v>3</v>
      </c>
      <c r="K130" s="573">
        <f>SUMIF(I120:I125,I130,K120:K125)</f>
        <v>24</v>
      </c>
      <c r="L130" s="574">
        <f>SUMIF(I120:I125,I130,L120:L125)</f>
        <v>16</v>
      </c>
      <c r="M130" s="574">
        <f>SUMIF(I120:I125,I130,M120:M125)</f>
        <v>16</v>
      </c>
      <c r="N130" s="575">
        <f>SUMIF(I120:I125,I130,N120:N125)</f>
        <v>20</v>
      </c>
      <c r="O130" s="586">
        <f>SUM(K130:N130)</f>
        <v>76</v>
      </c>
      <c r="Q130" s="539">
        <v>3</v>
      </c>
      <c r="S130" s="573">
        <f>SUMIF(Q120:Q125,Q130,S120:S125)</f>
        <v>23.999646223691666</v>
      </c>
      <c r="T130" s="574">
        <f>SUMIF(Q120:Q125,Q130,T120:T125)</f>
        <v>16.000051234968748</v>
      </c>
      <c r="U130" s="574">
        <f>SUMIF(Q120:Q125,Q130,U120:U125)</f>
        <v>15.999634089997622</v>
      </c>
      <c r="V130" s="575">
        <f>SUMIF(Q120:Q125,Q130,V120:V125)</f>
        <v>20.00606076226018</v>
      </c>
      <c r="W130" s="586">
        <f>SUM(S130:V130)</f>
        <v>76.005392310918211</v>
      </c>
    </row>
    <row r="132" spans="1:23">
      <c r="B132" s="539">
        <v>1</v>
      </c>
      <c r="C132" s="569">
        <f>SUMIF(B120:B125,B132,C120:C125)</f>
        <v>27.999508938914325</v>
      </c>
      <c r="D132" s="570">
        <f>SUMIF(B120:B125,B132,D120:D125)</f>
        <v>23.999956905541481</v>
      </c>
      <c r="E132" s="570">
        <f>SUMIF(B120:B125,B132,E120:E125)</f>
        <v>20.998577379082697</v>
      </c>
      <c r="F132" s="571">
        <f>SUMIF(B120:B125,B132,F120:F125)</f>
        <v>17.001956776461501</v>
      </c>
      <c r="G132" s="586">
        <f>SUM(C132:F132)</f>
        <v>90</v>
      </c>
      <c r="J132" s="539">
        <v>1</v>
      </c>
      <c r="K132" s="569">
        <f>SUMIF(J120:J125,J132,K120:K125)</f>
        <v>27.999105769520526</v>
      </c>
      <c r="L132" s="570">
        <f>SUMIF(J120:J125,J132,L120:L125)</f>
        <v>24.00022149958836</v>
      </c>
      <c r="M132" s="570">
        <f>SUMIF(J120:J125,J132,M120:M125)</f>
        <v>21.000878967332433</v>
      </c>
      <c r="N132" s="571">
        <f>SUMIF(J120:J125,J132,N120:N125)</f>
        <v>16.993571465526536</v>
      </c>
      <c r="O132" s="586">
        <f>SUM(K132:N132)</f>
        <v>89.993777701967872</v>
      </c>
      <c r="R132" s="539">
        <v>1</v>
      </c>
      <c r="S132" s="569">
        <f>SUMIF(R120:R125,R132,S120:S125)</f>
        <v>28</v>
      </c>
      <c r="T132" s="570">
        <f>SUMIF(R120:R125,R132,T120:T125)</f>
        <v>23.999999999999996</v>
      </c>
      <c r="U132" s="570">
        <f>SUMIF(R120:R125,R132,U120:U125)</f>
        <v>21</v>
      </c>
      <c r="V132" s="571">
        <f>SUMIF(R120:R125,R132,V120:V125)</f>
        <v>17</v>
      </c>
      <c r="W132" s="586">
        <f>SUM(S132:V132)</f>
        <v>90</v>
      </c>
    </row>
    <row r="133" spans="1:23">
      <c r="B133" s="539">
        <v>2</v>
      </c>
      <c r="C133" s="573">
        <f>SUMIF(B120:B125,B133,C120:C125)</f>
        <v>23.000213706540059</v>
      </c>
      <c r="D133" s="574">
        <f>SUMIF(B120:B125,B133,D120:D125)</f>
        <v>20.000360659718332</v>
      </c>
      <c r="E133" s="574">
        <f>SUMIF(B120:B125,B133,E120:E125)</f>
        <v>19.999627941751605</v>
      </c>
      <c r="F133" s="575">
        <f>SUMIF(B120:B125,B133,F120:F125)</f>
        <v>21.999797691989997</v>
      </c>
      <c r="G133" s="586">
        <f>SUM(C133:F133)</f>
        <v>85</v>
      </c>
      <c r="J133" s="539">
        <v>2</v>
      </c>
      <c r="K133" s="573">
        <f>SUMIF(J120:J125,J133,K120:K125)</f>
        <v>23.000894230479478</v>
      </c>
      <c r="L133" s="574">
        <f>SUMIF(J120:J125,J133,L120:L125)</f>
        <v>19.99977850041164</v>
      </c>
      <c r="M133" s="574">
        <f>SUMIF(J120:J125,J133,M120:M125)</f>
        <v>19.999121032667567</v>
      </c>
      <c r="N133" s="575">
        <f>SUMIF(J120:J125,J133,N120:N125)</f>
        <v>21.994071311710279</v>
      </c>
      <c r="O133" s="586">
        <f>SUM(K133:N133)</f>
        <v>84.993865075268957</v>
      </c>
      <c r="R133" s="539">
        <v>2</v>
      </c>
      <c r="S133" s="573">
        <f>SUMIF(R120:R125,R133,S120:S125)</f>
        <v>23</v>
      </c>
      <c r="T133" s="574">
        <f>SUMIF(R120:R125,R133,T120:T125)</f>
        <v>20</v>
      </c>
      <c r="U133" s="574">
        <f>SUMIF(R120:R125,R133,U120:U125)</f>
        <v>20</v>
      </c>
      <c r="V133" s="575">
        <f>SUMIF(R120:R125,R133,V120:V125)</f>
        <v>22</v>
      </c>
      <c r="W133" s="586">
        <f>SUM(S133:V133)</f>
        <v>85</v>
      </c>
    </row>
    <row r="135" spans="1:23">
      <c r="A135" s="539" t="s">
        <v>134</v>
      </c>
      <c r="B135" s="539" t="s">
        <v>1379</v>
      </c>
      <c r="C135">
        <v>1</v>
      </c>
      <c r="D135">
        <f>C135+1</f>
        <v>2</v>
      </c>
      <c r="E135">
        <f>D135+1</f>
        <v>3</v>
      </c>
      <c r="F135">
        <f>E135+1</f>
        <v>4</v>
      </c>
      <c r="I135" s="539" t="s">
        <v>134</v>
      </c>
      <c r="J135" s="539" t="s">
        <v>1379</v>
      </c>
      <c r="K135">
        <v>1</v>
      </c>
      <c r="L135">
        <f>K135+1</f>
        <v>2</v>
      </c>
      <c r="M135">
        <f>L135+1</f>
        <v>3</v>
      </c>
      <c r="N135">
        <f>M135+1</f>
        <v>4</v>
      </c>
      <c r="Q135" s="539" t="s">
        <v>134</v>
      </c>
      <c r="R135" s="539" t="s">
        <v>1379</v>
      </c>
      <c r="S135">
        <v>1</v>
      </c>
      <c r="T135">
        <f>S135+1</f>
        <v>2</v>
      </c>
      <c r="U135">
        <f>T135+1</f>
        <v>3</v>
      </c>
      <c r="V135">
        <f>U135+1</f>
        <v>4</v>
      </c>
    </row>
    <row r="136" spans="1:23">
      <c r="A136" s="539">
        <v>1</v>
      </c>
      <c r="B136" s="539">
        <v>1</v>
      </c>
      <c r="C136" s="576">
        <f>S120*$G$6/$W120</f>
        <v>7.2219859281930701</v>
      </c>
      <c r="D136" s="577">
        <f>T120*$G$6/$W120</f>
        <v>6.6745604167668455</v>
      </c>
      <c r="E136" s="577">
        <f>U120*$G$6/$W120</f>
        <v>5.1798656257551601</v>
      </c>
      <c r="F136" s="578">
        <f>V120*$G$6/$W120</f>
        <v>8.9235880292849252</v>
      </c>
      <c r="G136" s="488">
        <f t="shared" ref="G136:G141" si="23">SUM(C136:F136)</f>
        <v>28</v>
      </c>
      <c r="I136" s="539">
        <v>1</v>
      </c>
      <c r="J136" s="539">
        <v>1</v>
      </c>
      <c r="K136" s="576">
        <f>C136*$C$14/C144</f>
        <v>7.2207496728562628</v>
      </c>
      <c r="L136" s="577">
        <f>D136*$D$14/D144</f>
        <v>6.6735789277442565</v>
      </c>
      <c r="M136" s="577">
        <f>E136*$E$14/E144</f>
        <v>5.1791160445481044</v>
      </c>
      <c r="N136" s="578">
        <f>F136*F128/F144</f>
        <v>8.9204138588482031</v>
      </c>
      <c r="O136" s="488">
        <f t="shared" ref="O136:O141" si="24">SUM(K136:N136)</f>
        <v>27.99385850399683</v>
      </c>
      <c r="Q136" s="539">
        <v>1</v>
      </c>
      <c r="R136" s="539">
        <v>1</v>
      </c>
      <c r="S136" s="576">
        <f>K136*$C$18/K148</f>
        <v>7.2208455683619643</v>
      </c>
      <c r="T136" s="577">
        <f>L136*$D$18/L148</f>
        <v>6.673555174440982</v>
      </c>
      <c r="U136" s="577">
        <f>M136*$E$18/M148</f>
        <v>5.1790570330745327</v>
      </c>
      <c r="V136" s="578">
        <f>N136*$F$18/N148</f>
        <v>8.922538245578151</v>
      </c>
      <c r="W136" s="488">
        <f t="shared" ref="W136:W141" si="25">SUM(S136:V136)</f>
        <v>27.995996021455632</v>
      </c>
    </row>
    <row r="137" spans="1:23">
      <c r="A137" s="539">
        <v>1</v>
      </c>
      <c r="B137" s="539">
        <v>2</v>
      </c>
      <c r="C137" s="579">
        <f>S121*$G$7/$W121</f>
        <v>4.7800685764932576</v>
      </c>
      <c r="D137" s="580">
        <f>T121*$G$7/$W121</f>
        <v>7.3274985753369446</v>
      </c>
      <c r="E137" s="580">
        <f>U121*$G$7/$W121</f>
        <v>6.8218711521828723</v>
      </c>
      <c r="F137" s="581">
        <f>V121*$G$7/$W121</f>
        <v>3.0705616959869282</v>
      </c>
      <c r="G137" s="488">
        <f t="shared" si="23"/>
        <v>22.000000000000004</v>
      </c>
      <c r="I137" s="539">
        <v>1</v>
      </c>
      <c r="J137" s="539">
        <v>2</v>
      </c>
      <c r="K137" s="579">
        <f>C137*$C$14/C144</f>
        <v>4.7792503271437372</v>
      </c>
      <c r="L137" s="580">
        <f>D137*$D$14/D144</f>
        <v>7.3264210722557426</v>
      </c>
      <c r="M137" s="580">
        <f>E137*$E$14/E144</f>
        <v>6.8208839554518974</v>
      </c>
      <c r="N137" s="581">
        <f>F137*$F$14/F144</f>
        <v>3.0720593952738895</v>
      </c>
      <c r="O137" s="488">
        <f t="shared" si="24"/>
        <v>21.998614750125267</v>
      </c>
      <c r="Q137" s="539">
        <v>1</v>
      </c>
      <c r="R137" s="539">
        <v>2</v>
      </c>
      <c r="S137" s="579">
        <f>K137*$C$19/K149</f>
        <v>4.7791730603040552</v>
      </c>
      <c r="T137" s="580">
        <f>L137*$D$19/L149</f>
        <v>7.3264523648619289</v>
      </c>
      <c r="U137" s="580">
        <f>M137*$E$19/M149</f>
        <v>6.820965561232196</v>
      </c>
      <c r="V137" s="581">
        <f>N137*$F$19/N149</f>
        <v>3.0725453013495057</v>
      </c>
      <c r="W137" s="488">
        <f t="shared" si="25"/>
        <v>21.999136287747689</v>
      </c>
    </row>
    <row r="138" spans="1:23">
      <c r="A138" s="539">
        <v>2</v>
      </c>
      <c r="B138" s="539">
        <v>1</v>
      </c>
      <c r="C138" s="579">
        <f>S122*$G$8/$W122</f>
        <v>12.59814926051641</v>
      </c>
      <c r="D138" s="580">
        <f>T122*$G$8/$W122</f>
        <v>11.122228717258583</v>
      </c>
      <c r="E138" s="580">
        <f>U122*$G$8/$W122</f>
        <v>3.3616756322522909</v>
      </c>
      <c r="F138" s="581">
        <f>V122*$G$8/$W122</f>
        <v>1.9179463899727172</v>
      </c>
      <c r="G138" s="488">
        <f t="shared" si="23"/>
        <v>29</v>
      </c>
      <c r="I138" s="539">
        <v>2</v>
      </c>
      <c r="J138" s="539">
        <v>1</v>
      </c>
      <c r="K138" s="579">
        <f>C138*$C$15/C145</f>
        <v>12.598751186638493</v>
      </c>
      <c r="L138" s="580">
        <f>D138*$D$15/D145</f>
        <v>11.123015007702817</v>
      </c>
      <c r="M138" s="580">
        <f>E138*$E$15/E145</f>
        <v>3.3617143279720114</v>
      </c>
      <c r="N138" s="581">
        <f>F138*$F$15/F145</f>
        <v>1.9174380074005548</v>
      </c>
      <c r="O138" s="488">
        <f t="shared" si="24"/>
        <v>29.000918529713879</v>
      </c>
      <c r="Q138" s="539">
        <v>2</v>
      </c>
      <c r="R138" s="539">
        <v>1</v>
      </c>
      <c r="S138" s="579">
        <f>K138*$C$18/K148</f>
        <v>12.598918504946285</v>
      </c>
      <c r="T138" s="580">
        <f>L138*$D$18/L148</f>
        <v>11.12297541749917</v>
      </c>
      <c r="U138" s="580">
        <f>M138*$E$18/M148</f>
        <v>3.3616760241930432</v>
      </c>
      <c r="V138" s="581">
        <f>N138*$F$18/N148</f>
        <v>1.9178946431489488</v>
      </c>
      <c r="W138" s="488">
        <f t="shared" si="25"/>
        <v>29.001464589787446</v>
      </c>
    </row>
    <row r="139" spans="1:23">
      <c r="A139" s="539">
        <v>2</v>
      </c>
      <c r="B139" s="539">
        <v>2</v>
      </c>
      <c r="C139" s="579">
        <f>S123*$G$9/$W123</f>
        <v>2.401134089738111</v>
      </c>
      <c r="D139" s="580">
        <f>T123*$G$9/$W123</f>
        <v>2.8767816170606975</v>
      </c>
      <c r="E139" s="580">
        <f>U123*$G$9/$W123</f>
        <v>9.6381747285138868</v>
      </c>
      <c r="F139" s="581">
        <f>V123*$G$9/$W123</f>
        <v>5.0839095646873034</v>
      </c>
      <c r="G139" s="488">
        <f t="shared" si="23"/>
        <v>20</v>
      </c>
      <c r="I139" s="539">
        <v>2</v>
      </c>
      <c r="J139" s="539">
        <v>2</v>
      </c>
      <c r="K139" s="579">
        <f>C139*$C$15/C145</f>
        <v>2.4012488133615064</v>
      </c>
      <c r="L139" s="580">
        <f>D139*$D$15/D145</f>
        <v>2.8769849922971851</v>
      </c>
      <c r="M139" s="580">
        <f>E139*$E$15/E145</f>
        <v>9.6382856720279886</v>
      </c>
      <c r="N139" s="581">
        <f>F139*$F$15/F145</f>
        <v>5.0825619925994454</v>
      </c>
      <c r="O139" s="488">
        <f t="shared" si="24"/>
        <v>19.999081470286125</v>
      </c>
      <c r="Q139" s="539">
        <v>2</v>
      </c>
      <c r="R139" s="539">
        <v>2</v>
      </c>
      <c r="S139" s="579">
        <f>K139*$C$19/K149</f>
        <v>2.4012099920204175</v>
      </c>
      <c r="T139" s="580">
        <f>L139*$D$19/L149</f>
        <v>2.8769972804741109</v>
      </c>
      <c r="U139" s="580">
        <f>M139*$E$19/M149</f>
        <v>9.6384009855017467</v>
      </c>
      <c r="V139" s="581">
        <f>N139*$F$19/N149</f>
        <v>5.0833658988506389</v>
      </c>
      <c r="W139" s="488">
        <f t="shared" si="25"/>
        <v>19.999974156846914</v>
      </c>
    </row>
    <row r="140" spans="1:23">
      <c r="A140" s="539">
        <v>3</v>
      </c>
      <c r="B140" s="539">
        <v>1</v>
      </c>
      <c r="C140" s="579">
        <f>S124*$G$10/$W124</f>
        <v>8.1795093052840571</v>
      </c>
      <c r="D140" s="580">
        <f>T124*$G$10/$W124</f>
        <v>6.2031025544115534</v>
      </c>
      <c r="E140" s="580">
        <f>U124*$G$10/$W124</f>
        <v>12.45777397607967</v>
      </c>
      <c r="F140" s="581">
        <f>V124*$G$10/$W124</f>
        <v>6.1596141642247204</v>
      </c>
      <c r="G140" s="488">
        <f t="shared" si="23"/>
        <v>33</v>
      </c>
      <c r="I140" s="539">
        <v>3</v>
      </c>
      <c r="J140" s="539">
        <v>1</v>
      </c>
      <c r="K140" s="579">
        <f>C140*$C$16/C146</f>
        <v>8.180127290126471</v>
      </c>
      <c r="L140" s="580">
        <f>D140*$D$16/D146</f>
        <v>6.2034914881785186</v>
      </c>
      <c r="M140" s="580">
        <f>E140*$E$16/E146</f>
        <v>12.459408906741938</v>
      </c>
      <c r="N140" s="581">
        <f>F140*$F$16/F146</f>
        <v>6.1581005664094013</v>
      </c>
      <c r="O140" s="488">
        <f t="shared" si="24"/>
        <v>33.001128251456329</v>
      </c>
      <c r="Q140" s="539">
        <v>3</v>
      </c>
      <c r="R140" s="539">
        <v>1</v>
      </c>
      <c r="S140" s="579">
        <f>K140*$C$18/K148</f>
        <v>8.1802359266917488</v>
      </c>
      <c r="T140" s="580">
        <f>L140*$D$18/L148</f>
        <v>6.2034694080598483</v>
      </c>
      <c r="U140" s="580">
        <f>M140*$E$18/M148</f>
        <v>12.459266942732425</v>
      </c>
      <c r="V140" s="581">
        <f>N140*$F$18/N148</f>
        <v>6.1595671112728985</v>
      </c>
      <c r="W140" s="488">
        <f t="shared" si="25"/>
        <v>33.002539388756922</v>
      </c>
    </row>
    <row r="141" spans="1:23">
      <c r="A141" s="539">
        <v>3</v>
      </c>
      <c r="B141" s="539">
        <v>2</v>
      </c>
      <c r="C141" s="582">
        <f>S125*$G$11/$W125</f>
        <v>15.818677564468464</v>
      </c>
      <c r="D141" s="583">
        <f>T125*$G$11/$W125</f>
        <v>9.7958943104534484</v>
      </c>
      <c r="E141" s="583">
        <f>U125*$G$11/$W125</f>
        <v>3.5401264948983604</v>
      </c>
      <c r="F141" s="584">
        <f>V125*$G$11/$W125</f>
        <v>13.845301630179724</v>
      </c>
      <c r="G141" s="488">
        <f t="shared" si="23"/>
        <v>43</v>
      </c>
      <c r="I141" s="539">
        <v>3</v>
      </c>
      <c r="J141" s="539">
        <v>2</v>
      </c>
      <c r="K141" s="582">
        <f>C141*$C$16/C146</f>
        <v>15.819872709873527</v>
      </c>
      <c r="L141" s="583">
        <f>D141*$D$16/D146</f>
        <v>9.7965085118214805</v>
      </c>
      <c r="M141" s="583">
        <f>E141*$E$16/E146</f>
        <v>3.5405910932580618</v>
      </c>
      <c r="N141" s="584">
        <f>F141*$F$16/F146</f>
        <v>13.841899433590596</v>
      </c>
      <c r="O141" s="488">
        <f t="shared" si="24"/>
        <v>42.998871748543664</v>
      </c>
      <c r="Q141" s="539">
        <v>3</v>
      </c>
      <c r="R141" s="539">
        <v>2</v>
      </c>
      <c r="S141" s="582">
        <f>K141*$C$19/K149</f>
        <v>15.819616947675529</v>
      </c>
      <c r="T141" s="583">
        <f>L141*$D$19/L149</f>
        <v>9.7965503546639603</v>
      </c>
      <c r="U141" s="583">
        <f>M141*$E$19/M149</f>
        <v>3.5406334532660564</v>
      </c>
      <c r="V141" s="584">
        <f>N141*$F$19/N149</f>
        <v>13.844088799799854</v>
      </c>
      <c r="W141" s="488">
        <f t="shared" si="25"/>
        <v>43.000889555405401</v>
      </c>
    </row>
    <row r="142" spans="1:23">
      <c r="C142" s="585">
        <f>SUM(C136:C141)</f>
        <v>50.999524724693366</v>
      </c>
      <c r="D142" s="585">
        <f>SUM(D136:D141)</f>
        <v>44.00006619128807</v>
      </c>
      <c r="E142" s="585">
        <f>SUM(E136:E141)</f>
        <v>40.999487609682241</v>
      </c>
      <c r="F142" s="585">
        <f>SUM(F136:F141)</f>
        <v>39.000921474336323</v>
      </c>
      <c r="G142" s="587">
        <f>SUM(G136:G141)</f>
        <v>175</v>
      </c>
      <c r="K142" s="585">
        <f>SUM(K136:K141)</f>
        <v>51</v>
      </c>
      <c r="L142" s="585">
        <f>SUM(L136:L141)</f>
        <v>44</v>
      </c>
      <c r="M142" s="585">
        <f>SUM(M136:M141)</f>
        <v>41</v>
      </c>
      <c r="N142" s="585">
        <f>SUM(N136:N141)</f>
        <v>38.992473254122089</v>
      </c>
      <c r="O142" s="587">
        <f>SUM(O136:O141)</f>
        <v>174.9924732541221</v>
      </c>
      <c r="S142" s="585">
        <f>SUM(S136:S141)</f>
        <v>51</v>
      </c>
      <c r="T142" s="585">
        <f>SUM(T136:T141)</f>
        <v>44</v>
      </c>
      <c r="U142" s="585">
        <f>SUM(U136:U141)</f>
        <v>41</v>
      </c>
      <c r="V142" s="585">
        <f>SUM(V136:V141)</f>
        <v>39</v>
      </c>
      <c r="W142" s="587">
        <f>SUM(W136:W141)</f>
        <v>175</v>
      </c>
    </row>
    <row r="144" spans="1:23">
      <c r="A144" s="539">
        <v>1</v>
      </c>
      <c r="C144" s="569">
        <f>SUMIF(A136:A141,A144,C136:C141)</f>
        <v>12.002054504686328</v>
      </c>
      <c r="D144" s="570">
        <f>SUMIF(A136:A141,A144,D136:D141)</f>
        <v>14.002058992103791</v>
      </c>
      <c r="E144" s="570">
        <f>SUMIF(A136:A141,A144,E136:E141)</f>
        <v>12.001736777938032</v>
      </c>
      <c r="F144" s="571">
        <f>SUMIF(A136:A141,A144,F136:F141)</f>
        <v>11.994149725271853</v>
      </c>
      <c r="G144" s="586">
        <f>SUM(C144:F144)</f>
        <v>50</v>
      </c>
      <c r="I144" s="539">
        <v>1</v>
      </c>
      <c r="K144" s="569">
        <f>SUMIF(I136:I141,I144,K136:K141)</f>
        <v>12</v>
      </c>
      <c r="L144" s="570">
        <f>SUMIF(I136:I141,I144,L136:L141)</f>
        <v>14</v>
      </c>
      <c r="M144" s="570">
        <f>SUMIF(I136:I141,I144,M136:M141)</f>
        <v>12.000000000000002</v>
      </c>
      <c r="N144" s="571">
        <f>SUMIF(I136:I141,I144,N136:N141)</f>
        <v>11.992473254122093</v>
      </c>
      <c r="O144" s="586">
        <f>SUM(K144:N144)</f>
        <v>49.992473254122089</v>
      </c>
      <c r="Q144" s="539">
        <v>1</v>
      </c>
      <c r="S144" s="569">
        <f>SUMIF(Q136:Q141,Q144,S136:S141)</f>
        <v>12.00001862866602</v>
      </c>
      <c r="T144" s="570">
        <f>SUMIF(Q136:Q141,Q144,T136:T141)</f>
        <v>14.00000753930291</v>
      </c>
      <c r="U144" s="570">
        <f>SUMIF(Q136:Q141,Q144,U136:U141)</f>
        <v>12.000022594306728</v>
      </c>
      <c r="V144" s="571">
        <f>SUMIF(Q136:Q141,Q144,V136:V141)</f>
        <v>11.995083546927656</v>
      </c>
      <c r="W144" s="586">
        <f>SUM(S144:V144)</f>
        <v>49.995132309203314</v>
      </c>
    </row>
    <row r="145" spans="1:23">
      <c r="A145" s="539">
        <v>2</v>
      </c>
      <c r="C145" s="572">
        <f>SUMIF(A136:A141,A145,C136:C141)</f>
        <v>14.999283350254521</v>
      </c>
      <c r="D145" s="488">
        <f>SUMIF(A136:A141,A145,D136:D141)</f>
        <v>13.99901033431928</v>
      </c>
      <c r="E145" s="488">
        <f>SUMIF(A136:A141,A145,E136:E141)</f>
        <v>12.999850360766178</v>
      </c>
      <c r="F145" s="485">
        <f>SUMIF(A136:A141,A145,F136:F141)</f>
        <v>7.0018559546600203</v>
      </c>
      <c r="G145" s="586">
        <f>SUM(C145:F145)</f>
        <v>49.000000000000007</v>
      </c>
      <c r="I145" s="539">
        <v>2</v>
      </c>
      <c r="K145" s="572">
        <f>SUMIF(I136:I141,I145,K136:K141)</f>
        <v>15</v>
      </c>
      <c r="L145" s="488">
        <f>SUMIF(I136:I141,I145,L136:L141)</f>
        <v>14.000000000000002</v>
      </c>
      <c r="M145" s="488">
        <f>SUMIF(I136:I141,I145,M136:M141)</f>
        <v>13</v>
      </c>
      <c r="N145" s="485">
        <f>SUMIF(I136:I141,I145,N136:N141)</f>
        <v>7</v>
      </c>
      <c r="O145" s="586">
        <f>SUM(K145:N145)</f>
        <v>49</v>
      </c>
      <c r="Q145" s="539">
        <v>2</v>
      </c>
      <c r="S145" s="572">
        <f>SUMIF(Q136:Q141,Q145,S136:S141)</f>
        <v>15.000128496966703</v>
      </c>
      <c r="T145" s="488">
        <f>SUMIF(Q136:Q141,Q145,T136:T141)</f>
        <v>13.999972697973281</v>
      </c>
      <c r="U145" s="488">
        <f>SUMIF(Q136:Q141,Q145,U136:U141)</f>
        <v>13.00007700969479</v>
      </c>
      <c r="V145" s="485">
        <f>SUMIF(Q136:Q141,Q145,V136:V141)</f>
        <v>7.0012605419995877</v>
      </c>
      <c r="W145" s="586">
        <f>SUM(S145:V145)</f>
        <v>49.001438746634356</v>
      </c>
    </row>
    <row r="146" spans="1:23">
      <c r="A146" s="539">
        <v>3</v>
      </c>
      <c r="C146" s="573">
        <f>SUMIF(A136:A141,A146,C136:C141)</f>
        <v>23.998186869752523</v>
      </c>
      <c r="D146" s="574">
        <f>SUMIF(A136:A141,A146,D136:D141)</f>
        <v>15.998996864865003</v>
      </c>
      <c r="E146" s="574">
        <f>SUMIF(A136:A141,A146,E136:E141)</f>
        <v>15.997900470978031</v>
      </c>
      <c r="F146" s="575">
        <f>SUMIF(A136:A141,A146,F136:F141)</f>
        <v>20.004915794404447</v>
      </c>
      <c r="G146" s="586">
        <f>SUM(C146:F146)</f>
        <v>76</v>
      </c>
      <c r="I146" s="539">
        <v>3</v>
      </c>
      <c r="K146" s="573">
        <f>SUMIF(I136:I141,I146,K136:K141)</f>
        <v>24</v>
      </c>
      <c r="L146" s="574">
        <f>SUMIF(I136:I141,I146,L136:L141)</f>
        <v>16</v>
      </c>
      <c r="M146" s="574">
        <f>SUMIF(I136:I141,I146,M136:M141)</f>
        <v>16</v>
      </c>
      <c r="N146" s="575">
        <f>SUMIF(I136:I141,I146,N136:N141)</f>
        <v>19.999999999999996</v>
      </c>
      <c r="O146" s="586">
        <f>SUM(K146:N146)</f>
        <v>76</v>
      </c>
      <c r="Q146" s="539">
        <v>3</v>
      </c>
      <c r="S146" s="573">
        <f>SUMIF(Q136:Q141,Q146,S136:S141)</f>
        <v>23.999852874367278</v>
      </c>
      <c r="T146" s="574">
        <f>SUMIF(Q136:Q141,Q146,T136:T141)</f>
        <v>16.000019762723809</v>
      </c>
      <c r="U146" s="574">
        <f>SUMIF(Q136:Q141,Q146,U136:U141)</f>
        <v>15.99990039599848</v>
      </c>
      <c r="V146" s="575">
        <f>SUMIF(Q136:Q141,Q146,V136:V141)</f>
        <v>20.003655911072752</v>
      </c>
      <c r="W146" s="586">
        <f>SUM(S146:V146)</f>
        <v>76.003428944162323</v>
      </c>
    </row>
    <row r="148" spans="1:23">
      <c r="B148" s="539">
        <v>1</v>
      </c>
      <c r="C148" s="569">
        <f>SUMIF(B136:B141,B148,C136:C141)</f>
        <v>27.999644493993536</v>
      </c>
      <c r="D148" s="570">
        <f>SUMIF(B136:B141,B148,D136:D141)</f>
        <v>23.999891688436982</v>
      </c>
      <c r="E148" s="570">
        <f>SUMIF(B136:B141,B148,E136:E141)</f>
        <v>20.999315234087121</v>
      </c>
      <c r="F148" s="571">
        <f>SUMIF(B136:B141,B148,F136:F141)</f>
        <v>17.001148583482362</v>
      </c>
      <c r="G148" s="586">
        <f>SUM(C148:F148)</f>
        <v>90</v>
      </c>
      <c r="J148" s="539">
        <v>1</v>
      </c>
      <c r="K148" s="569">
        <f>SUMIF(J136:J141,J148,K136:K141)</f>
        <v>27.999628149621227</v>
      </c>
      <c r="L148" s="570">
        <f>SUMIF(J136:J141,J148,L136:L141)</f>
        <v>24.000085423625592</v>
      </c>
      <c r="M148" s="570">
        <f>SUMIF(J136:J141,J148,M136:M141)</f>
        <v>21.000239279262054</v>
      </c>
      <c r="N148" s="571">
        <f>SUMIF(J136:J141,J148,N136:N141)</f>
        <v>16.995952432658161</v>
      </c>
      <c r="O148" s="586">
        <f>SUM(K148:N148)</f>
        <v>89.995905285167026</v>
      </c>
      <c r="R148" s="539">
        <v>1</v>
      </c>
      <c r="S148" s="569">
        <f>SUMIF(R136:R141,R148,S136:S141)</f>
        <v>28</v>
      </c>
      <c r="T148" s="570">
        <f>SUMIF(R136:R141,R148,T136:T141)</f>
        <v>24</v>
      </c>
      <c r="U148" s="570">
        <f>SUMIF(R136:R141,R148,U136:U141)</f>
        <v>21</v>
      </c>
      <c r="V148" s="571">
        <f>SUMIF(R136:R141,R148,V136:V141)</f>
        <v>17</v>
      </c>
      <c r="W148" s="586">
        <f>SUM(S148:V148)</f>
        <v>90</v>
      </c>
    </row>
    <row r="149" spans="1:23">
      <c r="B149" s="539">
        <v>2</v>
      </c>
      <c r="C149" s="573">
        <f>SUMIF(B136:B141,B149,C136:C141)</f>
        <v>22.999880230699834</v>
      </c>
      <c r="D149" s="574">
        <f>SUMIF(B136:B141,B149,D136:D141)</f>
        <v>20.000174502851088</v>
      </c>
      <c r="E149" s="574">
        <f>SUMIF(B136:B141,B149,E136:E141)</f>
        <v>20.00017237559512</v>
      </c>
      <c r="F149" s="575">
        <f>SUMIF(B136:B141,B149,F136:F141)</f>
        <v>21.999772890853954</v>
      </c>
      <c r="G149" s="586">
        <f>SUM(C149:F149)</f>
        <v>85</v>
      </c>
      <c r="J149" s="539">
        <v>2</v>
      </c>
      <c r="K149" s="573">
        <f>SUMIF(J136:J141,J149,K136:K141)</f>
        <v>23.00037185037877</v>
      </c>
      <c r="L149" s="574">
        <f>SUMIF(J136:J141,J149,L136:L141)</f>
        <v>19.999914576374408</v>
      </c>
      <c r="M149" s="574">
        <f>SUMIF(J136:J141,J149,M136:M141)</f>
        <v>19.99976072073795</v>
      </c>
      <c r="N149" s="575">
        <f>SUMIF(J136:J141,J149,N136:N141)</f>
        <v>21.996520821463932</v>
      </c>
      <c r="O149" s="586">
        <f>SUM(K149:N149)</f>
        <v>84.996567968955063</v>
      </c>
      <c r="R149" s="539">
        <v>2</v>
      </c>
      <c r="S149" s="573">
        <f>SUMIF(R136:R141,R149,S136:S141)</f>
        <v>23</v>
      </c>
      <c r="T149" s="574">
        <f>SUMIF(R136:R141,R149,T136:T141)</f>
        <v>20</v>
      </c>
      <c r="U149" s="574">
        <f>SUMIF(R136:R141,R149,U136:U141)</f>
        <v>20</v>
      </c>
      <c r="V149" s="575">
        <f>SUMIF(R136:R141,R149,V136:V141)</f>
        <v>22</v>
      </c>
      <c r="W149" s="586">
        <f>SUM(S149:V149)</f>
        <v>85</v>
      </c>
    </row>
    <row r="151" spans="1:23">
      <c r="A151" s="539" t="s">
        <v>134</v>
      </c>
      <c r="B151" s="539" t="s">
        <v>1379</v>
      </c>
      <c r="C151">
        <v>1</v>
      </c>
      <c r="D151">
        <f>C151+1</f>
        <v>2</v>
      </c>
      <c r="E151">
        <f>D151+1</f>
        <v>3</v>
      </c>
      <c r="F151">
        <f>E151+1</f>
        <v>4</v>
      </c>
      <c r="I151" s="539" t="s">
        <v>134</v>
      </c>
      <c r="J151" s="539" t="s">
        <v>1379</v>
      </c>
      <c r="K151">
        <v>1</v>
      </c>
      <c r="L151">
        <f>K151+1</f>
        <v>2</v>
      </c>
      <c r="M151">
        <f>L151+1</f>
        <v>3</v>
      </c>
      <c r="N151">
        <f>M151+1</f>
        <v>4</v>
      </c>
      <c r="Q151" s="539" t="s">
        <v>134</v>
      </c>
      <c r="R151" s="539" t="s">
        <v>1379</v>
      </c>
      <c r="S151">
        <v>1</v>
      </c>
      <c r="T151">
        <f>S151+1</f>
        <v>2</v>
      </c>
      <c r="U151">
        <f>T151+1</f>
        <v>3</v>
      </c>
      <c r="V151">
        <f>U151+1</f>
        <v>4</v>
      </c>
    </row>
    <row r="152" spans="1:23">
      <c r="A152" s="539">
        <v>1</v>
      </c>
      <c r="B152" s="539">
        <v>1</v>
      </c>
      <c r="C152" s="576">
        <f>S136*$G$6/$W136</f>
        <v>7.2218782914237103</v>
      </c>
      <c r="D152" s="577">
        <f>T136*$G$6/$W136</f>
        <v>6.6745096242027486</v>
      </c>
      <c r="E152" s="577">
        <f>U136*$G$6/$W136</f>
        <v>5.1797977401822415</v>
      </c>
      <c r="F152" s="578">
        <f>V136*$G$6/$W136</f>
        <v>8.923814344191296</v>
      </c>
      <c r="G152" s="488">
        <f t="shared" ref="G152:G157" si="26">SUM(C152:F152)</f>
        <v>27.999999999999996</v>
      </c>
      <c r="I152" s="539">
        <v>1</v>
      </c>
      <c r="J152" s="539">
        <v>1</v>
      </c>
      <c r="K152" s="576">
        <f>C152*$C$14/C160</f>
        <v>7.2211327168449371</v>
      </c>
      <c r="L152" s="577">
        <f>D152*$D$14/D160</f>
        <v>6.6739139133653973</v>
      </c>
      <c r="M152" s="577">
        <f>E152*$E$14/E160</f>
        <v>5.1793527040275267</v>
      </c>
      <c r="N152" s="578">
        <f>F152*F144/F160</f>
        <v>8.9220807178821371</v>
      </c>
      <c r="O152" s="488">
        <f t="shared" ref="O152:O157" si="27">SUM(K152:N152)</f>
        <v>27.996480052119999</v>
      </c>
      <c r="Q152" s="539">
        <v>1</v>
      </c>
      <c r="R152" s="539">
        <v>1</v>
      </c>
      <c r="S152" s="576">
        <f>K152*$C$18/K164</f>
        <v>7.2211787398351364</v>
      </c>
      <c r="T152" s="577">
        <f>L152*$D$18/L164</f>
        <v>6.6739026003320125</v>
      </c>
      <c r="U152" s="577">
        <f>M152*$E$18/M164</f>
        <v>5.1793356592354209</v>
      </c>
      <c r="V152" s="578">
        <f>N152*$F$18/N164</f>
        <v>8.923256734792492</v>
      </c>
      <c r="W152" s="488">
        <f t="shared" ref="W152:W157" si="28">SUM(S152:V152)</f>
        <v>27.997673734195061</v>
      </c>
    </row>
    <row r="153" spans="1:23">
      <c r="A153" s="539">
        <v>1</v>
      </c>
      <c r="B153" s="539">
        <v>2</v>
      </c>
      <c r="C153" s="579">
        <f>S137*$G$7/$W137</f>
        <v>4.7793606963218567</v>
      </c>
      <c r="D153" s="580">
        <f>T137*$G$7/$W137</f>
        <v>7.3267400100944844</v>
      </c>
      <c r="E153" s="580">
        <f>U137*$G$7/$W137</f>
        <v>6.8212333604517088</v>
      </c>
      <c r="F153" s="581">
        <f>V137*$G$7/$W137</f>
        <v>3.072665933131947</v>
      </c>
      <c r="G153" s="488">
        <f t="shared" si="26"/>
        <v>21.999999999999996</v>
      </c>
      <c r="I153" s="539">
        <v>1</v>
      </c>
      <c r="J153" s="539">
        <v>2</v>
      </c>
      <c r="K153" s="579">
        <f>C153*$C$14/C160</f>
        <v>4.7788672831550638</v>
      </c>
      <c r="L153" s="580">
        <f>D153*$D$14/D160</f>
        <v>7.3260860866346036</v>
      </c>
      <c r="M153" s="580">
        <f>E153*$E$14/E160</f>
        <v>6.8206472959724733</v>
      </c>
      <c r="N153" s="581">
        <f>F153*$F$14/F160</f>
        <v>3.0735674418839252</v>
      </c>
      <c r="O153" s="488">
        <f t="shared" si="27"/>
        <v>21.999168107646064</v>
      </c>
      <c r="Q153" s="539">
        <v>1</v>
      </c>
      <c r="R153" s="539">
        <v>2</v>
      </c>
      <c r="S153" s="579">
        <f>K153*$C$19/K165</f>
        <v>4.778830204964458</v>
      </c>
      <c r="T153" s="580">
        <f>L153*$D$19/L165</f>
        <v>7.3261009889363056</v>
      </c>
      <c r="U153" s="580">
        <f>M153*$E$19/M165</f>
        <v>6.8206708645864405</v>
      </c>
      <c r="V153" s="581">
        <f>N153*$F$19/N165</f>
        <v>3.0738624447111826</v>
      </c>
      <c r="W153" s="488">
        <f t="shared" si="28"/>
        <v>21.999464503198386</v>
      </c>
    </row>
    <row r="154" spans="1:23">
      <c r="A154" s="539">
        <v>2</v>
      </c>
      <c r="B154" s="539">
        <v>1</v>
      </c>
      <c r="C154" s="579">
        <f>S138*$G$8/$W138</f>
        <v>12.598282252686746</v>
      </c>
      <c r="D154" s="580">
        <f>T138*$G$8/$W138</f>
        <v>11.122413701170947</v>
      </c>
      <c r="E154" s="580">
        <f>U138*$G$8/$W138</f>
        <v>3.3615062577194053</v>
      </c>
      <c r="F154" s="581">
        <f>V138*$G$8/$W138</f>
        <v>1.9177977884229036</v>
      </c>
      <c r="G154" s="488">
        <f t="shared" si="26"/>
        <v>29</v>
      </c>
      <c r="I154" s="539">
        <v>2</v>
      </c>
      <c r="J154" s="539">
        <v>1</v>
      </c>
      <c r="K154" s="579">
        <f>C154*$C$15/C161</f>
        <v>12.598706117295443</v>
      </c>
      <c r="L154" s="580">
        <f>D154*$D$15/D161</f>
        <v>11.122878717598846</v>
      </c>
      <c r="M154" s="580">
        <f>E154*$E$15/E161</f>
        <v>3.3615270222413689</v>
      </c>
      <c r="N154" s="581">
        <f>F154*$F$15/F161</f>
        <v>1.9174772257329324</v>
      </c>
      <c r="O154" s="488">
        <f t="shared" si="27"/>
        <v>29.000589082868586</v>
      </c>
      <c r="Q154" s="539">
        <v>2</v>
      </c>
      <c r="R154" s="539">
        <v>1</v>
      </c>
      <c r="S154" s="579">
        <f>K154*$C$18/K164</f>
        <v>12.598786413580097</v>
      </c>
      <c r="T154" s="580">
        <f>L154*$D$18/L164</f>
        <v>11.122859863070619</v>
      </c>
      <c r="U154" s="580">
        <f>M154*$E$18/M164</f>
        <v>3.36151595975296</v>
      </c>
      <c r="V154" s="581">
        <f>N154*$F$18/N164</f>
        <v>1.9177299678582269</v>
      </c>
      <c r="W154" s="488">
        <f t="shared" si="28"/>
        <v>29.000892204261902</v>
      </c>
    </row>
    <row r="155" spans="1:23">
      <c r="A155" s="539">
        <v>2</v>
      </c>
      <c r="B155" s="539">
        <v>2</v>
      </c>
      <c r="C155" s="579">
        <f>S139*$G$9/$W139</f>
        <v>2.4012130947662977</v>
      </c>
      <c r="D155" s="580">
        <f>T139*$G$9/$W139</f>
        <v>2.877000998012972</v>
      </c>
      <c r="E155" s="580">
        <f>U139*$G$9/$W139</f>
        <v>9.6384134398514476</v>
      </c>
      <c r="F155" s="581">
        <f>V139*$G$9/$W139</f>
        <v>5.0833724673692817</v>
      </c>
      <c r="G155" s="488">
        <f t="shared" si="26"/>
        <v>20</v>
      </c>
      <c r="I155" s="539">
        <v>2</v>
      </c>
      <c r="J155" s="539">
        <v>2</v>
      </c>
      <c r="K155" s="579">
        <f>C155*$C$15/C161</f>
        <v>2.4012938827045573</v>
      </c>
      <c r="L155" s="580">
        <f>D155*$D$15/D161</f>
        <v>2.8771212824011547</v>
      </c>
      <c r="M155" s="580">
        <f>E155*$E$15/E161</f>
        <v>9.6384729777586315</v>
      </c>
      <c r="N155" s="581">
        <f>F155*$F$15/F161</f>
        <v>5.0825227742670673</v>
      </c>
      <c r="O155" s="488">
        <f t="shared" si="27"/>
        <v>19.999410917131414</v>
      </c>
      <c r="Q155" s="539">
        <v>2</v>
      </c>
      <c r="R155" s="539">
        <v>2</v>
      </c>
      <c r="S155" s="579">
        <f>K155*$C$19/K165</f>
        <v>2.4012752515882263</v>
      </c>
      <c r="T155" s="580">
        <f>L155*$D$19/L165</f>
        <v>2.8771271348752969</v>
      </c>
      <c r="U155" s="580">
        <f>M155*$E$19/M165</f>
        <v>9.638506283314392</v>
      </c>
      <c r="V155" s="581">
        <f>N155*$F$19/N165</f>
        <v>5.0830105978194569</v>
      </c>
      <c r="W155" s="488">
        <f t="shared" si="28"/>
        <v>19.99991926759737</v>
      </c>
    </row>
    <row r="156" spans="1:23">
      <c r="A156" s="539">
        <v>3</v>
      </c>
      <c r="B156" s="539">
        <v>1</v>
      </c>
      <c r="C156" s="579">
        <f>S140*$G$10/$W140</f>
        <v>8.179606496365297</v>
      </c>
      <c r="D156" s="580">
        <f>T140*$G$10/$W140</f>
        <v>6.2029920805341332</v>
      </c>
      <c r="E156" s="580">
        <f>U140*$G$10/$W140</f>
        <v>12.458308261280033</v>
      </c>
      <c r="F156" s="581">
        <f>V140*$G$10/$W140</f>
        <v>6.159093161820536</v>
      </c>
      <c r="G156" s="488">
        <f t="shared" si="26"/>
        <v>33</v>
      </c>
      <c r="I156" s="539">
        <v>3</v>
      </c>
      <c r="J156" s="539">
        <v>1</v>
      </c>
      <c r="K156" s="579">
        <f>C156*$C$16/C162</f>
        <v>8.1799827124835147</v>
      </c>
      <c r="L156" s="580">
        <f>D156*$D$16/D162</f>
        <v>6.2032480517992763</v>
      </c>
      <c r="M156" s="580">
        <f>E156*$E$16/E162</f>
        <v>12.459189383102999</v>
      </c>
      <c r="N156" s="581">
        <f>F156*$F$16/F162</f>
        <v>6.1582015865575723</v>
      </c>
      <c r="O156" s="488">
        <f t="shared" si="27"/>
        <v>33.000621733943362</v>
      </c>
      <c r="Q156" s="539">
        <v>3</v>
      </c>
      <c r="R156" s="539">
        <v>1</v>
      </c>
      <c r="S156" s="579">
        <f>K156*$C$18/K164</f>
        <v>8.1800348465847659</v>
      </c>
      <c r="T156" s="580">
        <f>L156*$D$18/L164</f>
        <v>6.2032375365973698</v>
      </c>
      <c r="U156" s="580">
        <f>M156*$E$18/M164</f>
        <v>12.459148381011621</v>
      </c>
      <c r="V156" s="581">
        <f>N156*$F$18/N164</f>
        <v>6.1590132973492775</v>
      </c>
      <c r="W156" s="488">
        <f t="shared" si="28"/>
        <v>33.00143406154303</v>
      </c>
    </row>
    <row r="157" spans="1:23">
      <c r="A157" s="539">
        <v>3</v>
      </c>
      <c r="B157" s="539">
        <v>2</v>
      </c>
      <c r="C157" s="582">
        <f>S141*$G$11/$W141</f>
        <v>15.819289688730128</v>
      </c>
      <c r="D157" s="583">
        <f>T141*$G$11/$W141</f>
        <v>9.7963476943373387</v>
      </c>
      <c r="E157" s="583">
        <f>U141*$G$11/$W141</f>
        <v>3.540560208510902</v>
      </c>
      <c r="F157" s="584">
        <f>V141*$G$11/$W141</f>
        <v>13.843802408421627</v>
      </c>
      <c r="G157" s="488">
        <f t="shared" si="26"/>
        <v>43</v>
      </c>
      <c r="I157" s="539">
        <v>3</v>
      </c>
      <c r="J157" s="539">
        <v>2</v>
      </c>
      <c r="K157" s="582">
        <f>C157*$C$16/C162</f>
        <v>15.820017287516485</v>
      </c>
      <c r="L157" s="583">
        <f>D157*$D$16/D162</f>
        <v>9.7967519482007237</v>
      </c>
      <c r="M157" s="583">
        <f>E157*$E$16/E162</f>
        <v>3.5408106168970019</v>
      </c>
      <c r="N157" s="584">
        <f>F157*$F$16/F162</f>
        <v>13.841798413442428</v>
      </c>
      <c r="O157" s="488">
        <f t="shared" si="27"/>
        <v>42.999378266056638</v>
      </c>
      <c r="Q157" s="539">
        <v>3</v>
      </c>
      <c r="R157" s="539">
        <v>2</v>
      </c>
      <c r="S157" s="582">
        <f>K157*$C$19/K165</f>
        <v>15.819894543447313</v>
      </c>
      <c r="T157" s="583">
        <f>L157*$D$19/L165</f>
        <v>9.796771876188398</v>
      </c>
      <c r="U157" s="583">
        <f>M157*$E$19/M165</f>
        <v>3.5408228520991667</v>
      </c>
      <c r="V157" s="584">
        <f>N157*$F$19/N165</f>
        <v>13.843126957469362</v>
      </c>
      <c r="W157" s="488">
        <f t="shared" si="28"/>
        <v>43.00061622920424</v>
      </c>
    </row>
    <row r="158" spans="1:23">
      <c r="C158" s="585">
        <f>SUM(C152:C157)</f>
        <v>50.999630520294033</v>
      </c>
      <c r="D158" s="585">
        <f>SUM(D152:D157)</f>
        <v>44.000004108352627</v>
      </c>
      <c r="E158" s="585">
        <f>SUM(E152:E157)</f>
        <v>40.99981926799574</v>
      </c>
      <c r="F158" s="585">
        <f>SUM(F152:F157)</f>
        <v>39.000546103357593</v>
      </c>
      <c r="G158" s="587">
        <f>SUM(G152:G157)</f>
        <v>175</v>
      </c>
      <c r="K158" s="585">
        <f>SUM(K152:K157)</f>
        <v>51</v>
      </c>
      <c r="L158" s="585">
        <f>SUM(L152:L157)</f>
        <v>44</v>
      </c>
      <c r="M158" s="585">
        <f>SUM(M152:M157)</f>
        <v>41</v>
      </c>
      <c r="N158" s="585">
        <f>SUM(N152:N157)</f>
        <v>38.995648159766063</v>
      </c>
      <c r="O158" s="587">
        <f>SUM(O152:O157)</f>
        <v>174.99564815976606</v>
      </c>
      <c r="S158" s="585">
        <f>SUM(S152:S157)</f>
        <v>50.999999999999993</v>
      </c>
      <c r="T158" s="585">
        <f>SUM(T152:T157)</f>
        <v>44</v>
      </c>
      <c r="U158" s="585">
        <f>SUM(U152:U157)</f>
        <v>41.000000000000007</v>
      </c>
      <c r="V158" s="585">
        <f>SUM(V152:V157)</f>
        <v>39</v>
      </c>
      <c r="W158" s="587">
        <f>SUM(W152:W157)</f>
        <v>174.99999999999997</v>
      </c>
    </row>
    <row r="160" spans="1:23">
      <c r="A160" s="539">
        <v>1</v>
      </c>
      <c r="C160" s="569">
        <f>SUMIF(A152:A157,A160,C152:C157)</f>
        <v>12.001238987745566</v>
      </c>
      <c r="D160" s="570">
        <f>SUMIF(A152:A157,A160,D152:D157)</f>
        <v>14.001249634297233</v>
      </c>
      <c r="E160" s="570">
        <f>SUMIF(A152:A157,A160,E152:E157)</f>
        <v>12.00103110063395</v>
      </c>
      <c r="F160" s="571">
        <f>SUMIF(A152:A157,A160,F152:F157)</f>
        <v>11.996480277323244</v>
      </c>
      <c r="G160" s="586">
        <f>SUM(C160:F160)</f>
        <v>49.999999999999993</v>
      </c>
      <c r="I160" s="539">
        <v>1</v>
      </c>
      <c r="K160" s="569">
        <f>SUMIF(I152:I157,I160,K152:K157)</f>
        <v>12</v>
      </c>
      <c r="L160" s="570">
        <f>SUMIF(I152:I157,I160,L152:L157)</f>
        <v>14</v>
      </c>
      <c r="M160" s="570">
        <f>SUMIF(I152:I157,I160,M152:M157)</f>
        <v>12</v>
      </c>
      <c r="N160" s="571">
        <f>SUMIF(I152:I157,I160,N152:N157)</f>
        <v>11.995648159766063</v>
      </c>
      <c r="O160" s="586">
        <f>SUM(K160:N160)</f>
        <v>49.995648159766063</v>
      </c>
      <c r="Q160" s="539">
        <v>1</v>
      </c>
      <c r="S160" s="569">
        <f>SUMIF(Q152:Q157,Q160,S152:S157)</f>
        <v>12.000008944799594</v>
      </c>
      <c r="T160" s="570">
        <f>SUMIF(Q152:Q157,Q160,T152:T157)</f>
        <v>14.000003589268317</v>
      </c>
      <c r="U160" s="570">
        <f>SUMIF(Q152:Q157,Q160,U152:U157)</f>
        <v>12.000006523821861</v>
      </c>
      <c r="V160" s="571">
        <f>SUMIF(Q152:Q157,Q160,V152:V157)</f>
        <v>11.997119179503674</v>
      </c>
      <c r="W160" s="586">
        <f>SUM(S160:V160)</f>
        <v>49.997138237393443</v>
      </c>
    </row>
    <row r="161" spans="1:23">
      <c r="A161" s="539">
        <v>2</v>
      </c>
      <c r="C161" s="572">
        <f>SUMIF(A152:A157,A161,C152:C157)</f>
        <v>14.999495347453044</v>
      </c>
      <c r="D161" s="488">
        <f>SUMIF(A152:A157,A161,D152:D157)</f>
        <v>13.999414699183919</v>
      </c>
      <c r="E161" s="488">
        <f>SUMIF(A152:A157,A161,E152:E157)</f>
        <v>12.999919697570853</v>
      </c>
      <c r="F161" s="485">
        <f>SUMIF(A152:A157,A161,F152:F157)</f>
        <v>7.0011702557921858</v>
      </c>
      <c r="G161" s="586">
        <f>SUM(C161:F161)</f>
        <v>49</v>
      </c>
      <c r="I161" s="539">
        <v>2</v>
      </c>
      <c r="K161" s="572">
        <f>SUMIF(I152:I157,I161,K152:K157)</f>
        <v>15</v>
      </c>
      <c r="L161" s="488">
        <f>SUMIF(I152:I157,I161,L152:L157)</f>
        <v>14</v>
      </c>
      <c r="M161" s="488">
        <f>SUMIF(I152:I157,I161,M152:M157)</f>
        <v>13</v>
      </c>
      <c r="N161" s="485">
        <f>SUMIF(I152:I157,I161,N152:N157)</f>
        <v>7</v>
      </c>
      <c r="O161" s="586">
        <f>SUM(K161:N161)</f>
        <v>49</v>
      </c>
      <c r="Q161" s="539">
        <v>2</v>
      </c>
      <c r="S161" s="572">
        <f>SUMIF(Q152:Q157,Q161,S152:S157)</f>
        <v>15.000061665168323</v>
      </c>
      <c r="T161" s="488">
        <f>SUMIF(Q152:Q157,Q161,T152:T157)</f>
        <v>13.999986997945916</v>
      </c>
      <c r="U161" s="488">
        <f>SUMIF(Q152:Q157,Q161,U152:U157)</f>
        <v>13.000022243067352</v>
      </c>
      <c r="V161" s="485">
        <f>SUMIF(Q152:Q157,Q161,V152:V157)</f>
        <v>7.0007405656776838</v>
      </c>
      <c r="W161" s="586">
        <f>SUM(S161:V161)</f>
        <v>49.000811471859272</v>
      </c>
    </row>
    <row r="162" spans="1:23">
      <c r="A162" s="539">
        <v>3</v>
      </c>
      <c r="C162" s="573">
        <f>SUMIF(A152:A157,A162,C152:C157)</f>
        <v>23.998896185095425</v>
      </c>
      <c r="D162" s="574">
        <f>SUMIF(A152:A157,A162,D152:D157)</f>
        <v>15.999339774871473</v>
      </c>
      <c r="E162" s="574">
        <f>SUMIF(A152:A157,A162,E152:E157)</f>
        <v>15.998868469790935</v>
      </c>
      <c r="F162" s="575">
        <f>SUMIF(A152:A157,A162,F152:F157)</f>
        <v>20.002895570242163</v>
      </c>
      <c r="G162" s="586">
        <f>SUM(C162:F162)</f>
        <v>76</v>
      </c>
      <c r="I162" s="539">
        <v>3</v>
      </c>
      <c r="K162" s="573">
        <f>SUMIF(I152:I157,I162,K152:K157)</f>
        <v>24</v>
      </c>
      <c r="L162" s="574">
        <f>SUMIF(I152:I157,I162,L152:L157)</f>
        <v>16</v>
      </c>
      <c r="M162" s="574">
        <f>SUMIF(I152:I157,I162,M152:M157)</f>
        <v>16</v>
      </c>
      <c r="N162" s="575">
        <f>SUMIF(I152:I157,I162,N152:N157)</f>
        <v>20</v>
      </c>
      <c r="O162" s="586">
        <f>SUM(K162:N162)</f>
        <v>76</v>
      </c>
      <c r="Q162" s="539">
        <v>3</v>
      </c>
      <c r="S162" s="573">
        <f>SUMIF(Q152:Q157,Q162,S152:S157)</f>
        <v>23.999929390032079</v>
      </c>
      <c r="T162" s="574">
        <f>SUMIF(Q152:Q157,Q162,T152:T157)</f>
        <v>16.000009412785769</v>
      </c>
      <c r="U162" s="574">
        <f>SUMIF(Q152:Q157,Q162,U152:U157)</f>
        <v>15.999971233110788</v>
      </c>
      <c r="V162" s="575">
        <f>SUMIF(Q152:Q157,Q162,V152:V157)</f>
        <v>20.002140254818642</v>
      </c>
      <c r="W162" s="586">
        <f>SUM(S162:V162)</f>
        <v>76.002050290747277</v>
      </c>
    </row>
    <row r="164" spans="1:23">
      <c r="B164" s="539">
        <v>1</v>
      </c>
      <c r="C164" s="569">
        <f>SUMIF(B152:B157,B164,C152:C157)</f>
        <v>27.999767040475753</v>
      </c>
      <c r="D164" s="570">
        <f>SUMIF(B152:B157,B164,D152:D157)</f>
        <v>23.999915405907831</v>
      </c>
      <c r="E164" s="570">
        <f>SUMIF(B152:B157,B164,E152:E157)</f>
        <v>20.999612259181681</v>
      </c>
      <c r="F164" s="571">
        <f>SUMIF(B152:B157,B164,F152:F157)</f>
        <v>17.000705294434738</v>
      </c>
      <c r="G164" s="586">
        <f>SUM(C164:F164)</f>
        <v>90</v>
      </c>
      <c r="J164" s="539">
        <v>1</v>
      </c>
      <c r="K164" s="569">
        <f>SUMIF(J152:J157,J164,K152:K157)</f>
        <v>27.999821546623895</v>
      </c>
      <c r="L164" s="570">
        <f>SUMIF(J152:J157,J164,L152:L157)</f>
        <v>24.000040682763519</v>
      </c>
      <c r="M164" s="570">
        <f>SUMIF(J152:J157,J164,M152:M157)</f>
        <v>21.000069109371893</v>
      </c>
      <c r="N164" s="571">
        <f>SUMIF(J152:J157,J164,N152:N157)</f>
        <v>16.997759530172644</v>
      </c>
      <c r="O164" s="586">
        <f>SUM(K164:N164)</f>
        <v>89.997690868931954</v>
      </c>
      <c r="R164" s="539">
        <v>1</v>
      </c>
      <c r="S164" s="569">
        <f>SUMIF(R152:R157,R164,S152:S157)</f>
        <v>28</v>
      </c>
      <c r="T164" s="570">
        <f>SUMIF(R152:R157,R164,T152:T157)</f>
        <v>24.000000000000004</v>
      </c>
      <c r="U164" s="570">
        <f>SUMIF(R152:R157,R164,U152:U157)</f>
        <v>21</v>
      </c>
      <c r="V164" s="571">
        <f>SUMIF(R152:R157,R164,V152:V157)</f>
        <v>16.999999999999996</v>
      </c>
      <c r="W164" s="586">
        <f>SUM(S164:V164)</f>
        <v>90</v>
      </c>
    </row>
    <row r="165" spans="1:23">
      <c r="B165" s="539">
        <v>2</v>
      </c>
      <c r="C165" s="573">
        <f>SUMIF(B152:B157,B165,C152:C157)</f>
        <v>22.999863479818281</v>
      </c>
      <c r="D165" s="574">
        <f>SUMIF(B152:B157,B165,D152:D157)</f>
        <v>20.000088702444796</v>
      </c>
      <c r="E165" s="574">
        <f>SUMIF(B152:B157,B165,E152:E157)</f>
        <v>20.000207008814058</v>
      </c>
      <c r="F165" s="575">
        <f>SUMIF(B152:B157,B165,F152:F157)</f>
        <v>21.999840808922855</v>
      </c>
      <c r="G165" s="586">
        <f>SUM(C165:F165)</f>
        <v>84.999999999999986</v>
      </c>
      <c r="J165" s="539">
        <v>2</v>
      </c>
      <c r="K165" s="573">
        <f>SUMIF(J152:J157,J165,K152:K157)</f>
        <v>23.000178453376108</v>
      </c>
      <c r="L165" s="574">
        <f>SUMIF(J152:J157,J165,L152:L157)</f>
        <v>19.999959317236481</v>
      </c>
      <c r="M165" s="574">
        <f>SUMIF(J152:J157,J165,M152:M157)</f>
        <v>19.999930890628107</v>
      </c>
      <c r="N165" s="575">
        <f>SUMIF(J152:J157,J165,N152:N157)</f>
        <v>21.997888629593419</v>
      </c>
      <c r="O165" s="586">
        <f>SUM(K165:N165)</f>
        <v>84.997957290834108</v>
      </c>
      <c r="R165" s="539">
        <v>2</v>
      </c>
      <c r="S165" s="573">
        <f>SUMIF(R152:R157,R165,S152:S157)</f>
        <v>23</v>
      </c>
      <c r="T165" s="574">
        <f>SUMIF(R152:R157,R165,T152:T157)</f>
        <v>20</v>
      </c>
      <c r="U165" s="574">
        <f>SUMIF(R152:R157,R165,U152:U157)</f>
        <v>20</v>
      </c>
      <c r="V165" s="575">
        <f>SUMIF(R152:R157,R165,V152:V157)</f>
        <v>22</v>
      </c>
      <c r="W165" s="586">
        <f>SUM(S165:V165)</f>
        <v>85</v>
      </c>
    </row>
    <row r="167" spans="1:23">
      <c r="A167" s="539" t="s">
        <v>134</v>
      </c>
      <c r="B167" s="539" t="s">
        <v>1379</v>
      </c>
      <c r="C167">
        <v>1</v>
      </c>
      <c r="D167">
        <f>C167+1</f>
        <v>2</v>
      </c>
      <c r="E167">
        <f>D167+1</f>
        <v>3</v>
      </c>
      <c r="F167">
        <f>E167+1</f>
        <v>4</v>
      </c>
      <c r="I167" s="539" t="s">
        <v>134</v>
      </c>
      <c r="J167" s="539" t="s">
        <v>1379</v>
      </c>
      <c r="K167">
        <v>1</v>
      </c>
      <c r="L167">
        <f>K167+1</f>
        <v>2</v>
      </c>
      <c r="M167">
        <f>L167+1</f>
        <v>3</v>
      </c>
      <c r="N167">
        <f>M167+1</f>
        <v>4</v>
      </c>
      <c r="Q167" s="539" t="s">
        <v>134</v>
      </c>
      <c r="R167" s="539" t="s">
        <v>1379</v>
      </c>
      <c r="S167">
        <v>1</v>
      </c>
      <c r="T167">
        <f>S167+1</f>
        <v>2</v>
      </c>
      <c r="U167">
        <f>T167+1</f>
        <v>3</v>
      </c>
      <c r="V167">
        <f>U167+1</f>
        <v>4</v>
      </c>
    </row>
    <row r="168" spans="1:23">
      <c r="A168" s="539">
        <v>1</v>
      </c>
      <c r="B168" s="539">
        <v>1</v>
      </c>
      <c r="C168" s="576">
        <f>S152*$G$6/$W152</f>
        <v>7.2217787318678068</v>
      </c>
      <c r="D168" s="577">
        <f>T152*$G$6/$W152</f>
        <v>6.6744571203807865</v>
      </c>
      <c r="E168" s="577">
        <f>U152*$G$6/$W152</f>
        <v>5.1797659989683131</v>
      </c>
      <c r="F168" s="578">
        <f>V152*$G$6/$W152</f>
        <v>8.9239981487830953</v>
      </c>
      <c r="G168" s="488">
        <f t="shared" ref="G168:G173" si="29">SUM(C168:F168)</f>
        <v>28.000000000000004</v>
      </c>
      <c r="I168" s="539">
        <v>1</v>
      </c>
      <c r="J168" s="539">
        <v>1</v>
      </c>
      <c r="K168" s="576">
        <f>C168*$C$14/C176</f>
        <v>7.2213422859512493</v>
      </c>
      <c r="L168" s="577">
        <f>D168*$D$14/D176</f>
        <v>6.6741060449782559</v>
      </c>
      <c r="M168" s="577">
        <f>E168*$E$14/E176</f>
        <v>5.1795057771736506</v>
      </c>
      <c r="N168" s="578">
        <f>F168*F160/F176</f>
        <v>8.9229158250563589</v>
      </c>
      <c r="O168" s="488">
        <f t="shared" ref="O168:O173" si="30">SUM(K168:N168)</f>
        <v>27.997869933159514</v>
      </c>
      <c r="Q168" s="539">
        <v>1</v>
      </c>
      <c r="R168" s="539">
        <v>1</v>
      </c>
      <c r="S168" s="576">
        <f>K168*$C$18/K180</f>
        <v>7.2213658615812832</v>
      </c>
      <c r="T168" s="577">
        <f>L168*$D$18/L180</f>
        <v>6.6741004968687196</v>
      </c>
      <c r="U168" s="577">
        <f>M168*$E$18/M180</f>
        <v>5.1795009116336166</v>
      </c>
      <c r="V168" s="578">
        <f>N168*$F$18/N180</f>
        <v>8.9236377897803205</v>
      </c>
      <c r="W168" s="488">
        <f t="shared" ref="W168:W173" si="31">SUM(S168:V168)</f>
        <v>27.998605059863941</v>
      </c>
    </row>
    <row r="169" spans="1:23">
      <c r="A169" s="539">
        <v>1</v>
      </c>
      <c r="B169" s="539">
        <v>2</v>
      </c>
      <c r="C169" s="579">
        <f>S153*$G$7/$W153</f>
        <v>4.7789465281726811</v>
      </c>
      <c r="D169" s="580">
        <f>T153*$G$7/$W153</f>
        <v>7.3262793161700115</v>
      </c>
      <c r="E169" s="580">
        <f>U153*$G$7/$W153</f>
        <v>6.8208368889654576</v>
      </c>
      <c r="F169" s="581">
        <f>V153*$G$7/$W153</f>
        <v>3.0739372666918494</v>
      </c>
      <c r="G169" s="488">
        <f t="shared" si="29"/>
        <v>22</v>
      </c>
      <c r="I169" s="539">
        <v>1</v>
      </c>
      <c r="J169" s="539">
        <v>2</v>
      </c>
      <c r="K169" s="579">
        <f>C169*$C$14/C176</f>
        <v>4.7786577140487498</v>
      </c>
      <c r="L169" s="580">
        <f>D169*$D$14/D176</f>
        <v>7.3258939550217432</v>
      </c>
      <c r="M169" s="580">
        <f>E169*$E$14/E176</f>
        <v>6.8204942228263494</v>
      </c>
      <c r="N169" s="581">
        <f>F169*$F$14/F176</f>
        <v>3.0744662246410326</v>
      </c>
      <c r="O169" s="488">
        <f t="shared" si="30"/>
        <v>21.999512116537876</v>
      </c>
      <c r="Q169" s="539">
        <v>1</v>
      </c>
      <c r="R169" s="539">
        <v>2</v>
      </c>
      <c r="S169" s="579">
        <f>K169*$C$19/K181</f>
        <v>4.7786387217141773</v>
      </c>
      <c r="T169" s="580">
        <f>L169*$D$19/L181</f>
        <v>7.3259012629553322</v>
      </c>
      <c r="U169" s="580">
        <f>M169*$E$19/M181</f>
        <v>6.8205009502489409</v>
      </c>
      <c r="V169" s="581">
        <f>N169*$F$19/N181</f>
        <v>3.0746398816260707</v>
      </c>
      <c r="W169" s="488">
        <f t="shared" si="31"/>
        <v>21.999680816544519</v>
      </c>
    </row>
    <row r="170" spans="1:23">
      <c r="A170" s="539">
        <v>2</v>
      </c>
      <c r="B170" s="539">
        <v>1</v>
      </c>
      <c r="C170" s="579">
        <f>S154*$G$8/$W154</f>
        <v>12.598398815472638</v>
      </c>
      <c r="D170" s="580">
        <f>T154*$G$8/$W154</f>
        <v>11.122517671426843</v>
      </c>
      <c r="E170" s="580">
        <f>U154*$G$8/$W154</f>
        <v>3.3614125436633921</v>
      </c>
      <c r="F170" s="581">
        <f>V154*$G$8/$W154</f>
        <v>1.9176709694371283</v>
      </c>
      <c r="G170" s="488">
        <f t="shared" si="29"/>
        <v>29.000000000000004</v>
      </c>
      <c r="I170" s="539">
        <v>2</v>
      </c>
      <c r="J170" s="539">
        <v>1</v>
      </c>
      <c r="K170" s="579">
        <f>C170*$C$15/C177</f>
        <v>12.598664428800996</v>
      </c>
      <c r="L170" s="580">
        <f>D170*$D$15/D177</f>
        <v>11.122790640425396</v>
      </c>
      <c r="M170" s="580">
        <f>E170*$E$15/E177</f>
        <v>3.3614234723949226</v>
      </c>
      <c r="N170" s="581">
        <f>F170*$F$15/F177</f>
        <v>1.9174786502943106</v>
      </c>
      <c r="O170" s="488">
        <f t="shared" si="30"/>
        <v>29.000357191915626</v>
      </c>
      <c r="Q170" s="539">
        <v>2</v>
      </c>
      <c r="R170" s="539">
        <v>1</v>
      </c>
      <c r="S170" s="579">
        <f>K170*$C$18/K180</f>
        <v>12.598705559859425</v>
      </c>
      <c r="T170" s="580">
        <f>L170*$D$18/L180</f>
        <v>11.122781394174229</v>
      </c>
      <c r="U170" s="580">
        <f>M170*$E$18/M180</f>
        <v>3.3614203147306245</v>
      </c>
      <c r="V170" s="581">
        <f>N170*$F$18/N180</f>
        <v>1.9176337959856524</v>
      </c>
      <c r="W170" s="488">
        <f t="shared" si="31"/>
        <v>29.000541064749932</v>
      </c>
    </row>
    <row r="171" spans="1:23">
      <c r="A171" s="539">
        <v>2</v>
      </c>
      <c r="B171" s="539">
        <v>2</v>
      </c>
      <c r="C171" s="579">
        <f>S155*$G$9/$W155</f>
        <v>2.4012849446633755</v>
      </c>
      <c r="D171" s="580">
        <f>T155*$G$9/$W155</f>
        <v>2.8771387487914915</v>
      </c>
      <c r="E171" s="580">
        <f>U155*$G$9/$W155</f>
        <v>9.6385451904599453</v>
      </c>
      <c r="F171" s="581">
        <f>V155*$G$9/$W155</f>
        <v>5.0830311160851886</v>
      </c>
      <c r="G171" s="488">
        <f t="shared" si="29"/>
        <v>20</v>
      </c>
      <c r="I171" s="539">
        <v>2</v>
      </c>
      <c r="J171" s="539">
        <v>2</v>
      </c>
      <c r="K171" s="579">
        <f>C171*$C$15/C177</f>
        <v>2.4013355711990036</v>
      </c>
      <c r="L171" s="580">
        <f>D171*$D$15/D177</f>
        <v>2.8772093595746036</v>
      </c>
      <c r="M171" s="580">
        <f>E171*$E$15/E177</f>
        <v>9.6385765276050765</v>
      </c>
      <c r="N171" s="581">
        <f>F171*$F$15/F177</f>
        <v>5.08252134970569</v>
      </c>
      <c r="O171" s="488">
        <f t="shared" si="30"/>
        <v>19.999642808084374</v>
      </c>
      <c r="Q171" s="539">
        <v>2</v>
      </c>
      <c r="R171" s="539">
        <v>2</v>
      </c>
      <c r="S171" s="579">
        <f>K171*$C$19/K181</f>
        <v>2.4013260273121384</v>
      </c>
      <c r="T171" s="580">
        <f>L171*$D$19/L181</f>
        <v>2.8772122297301164</v>
      </c>
      <c r="U171" s="580">
        <f>M171*$E$19/M181</f>
        <v>9.6385860346547645</v>
      </c>
      <c r="V171" s="581">
        <f>N171*$F$19/N181</f>
        <v>5.0828084289153788</v>
      </c>
      <c r="W171" s="488">
        <f t="shared" si="31"/>
        <v>19.999932720612399</v>
      </c>
    </row>
    <row r="172" spans="1:23">
      <c r="A172" s="539">
        <v>3</v>
      </c>
      <c r="B172" s="539">
        <v>1</v>
      </c>
      <c r="C172" s="579">
        <f>S156*$G$10/$W156</f>
        <v>8.179679387080423</v>
      </c>
      <c r="D172" s="580">
        <f>T156*$G$10/$W156</f>
        <v>6.2029679778752564</v>
      </c>
      <c r="E172" s="580">
        <f>U156*$G$10/$W156</f>
        <v>12.458606974673982</v>
      </c>
      <c r="F172" s="581">
        <f>V156*$G$10/$W156</f>
        <v>6.158745660370343</v>
      </c>
      <c r="G172" s="488">
        <f t="shared" si="29"/>
        <v>33.000000000000007</v>
      </c>
      <c r="I172" s="539">
        <v>3</v>
      </c>
      <c r="J172" s="539">
        <v>1</v>
      </c>
      <c r="K172" s="579">
        <f>C172*$C$16/C178</f>
        <v>8.1799018735046563</v>
      </c>
      <c r="L172" s="580">
        <f>D172*$D$16/D178</f>
        <v>6.2031232655438844</v>
      </c>
      <c r="M172" s="580">
        <f>E172*$E$16/E178</f>
        <v>12.459090477494412</v>
      </c>
      <c r="N172" s="581">
        <f>F172*$F$16/F178</f>
        <v>6.1582301438240998</v>
      </c>
      <c r="O172" s="488">
        <f t="shared" si="30"/>
        <v>33.000345760367054</v>
      </c>
      <c r="Q172" s="539">
        <v>3</v>
      </c>
      <c r="R172" s="539">
        <v>1</v>
      </c>
      <c r="S172" s="579">
        <f>K172*$C$18/K180</f>
        <v>8.1799285785592915</v>
      </c>
      <c r="T172" s="580">
        <f>L172*$D$18/L180</f>
        <v>6.2031181089570531</v>
      </c>
      <c r="U172" s="580">
        <f>M172*$E$18/M180</f>
        <v>12.45907877363576</v>
      </c>
      <c r="V172" s="581">
        <f>N172*$F$18/N180</f>
        <v>6.1587284142340257</v>
      </c>
      <c r="W172" s="488">
        <f t="shared" si="31"/>
        <v>33.000853875386127</v>
      </c>
    </row>
    <row r="173" spans="1:23">
      <c r="A173" s="539">
        <v>3</v>
      </c>
      <c r="B173" s="539">
        <v>2</v>
      </c>
      <c r="C173" s="582">
        <f>S157*$G$11/$W157</f>
        <v>15.819667833184052</v>
      </c>
      <c r="D173" s="583">
        <f>T157*$G$11/$W157</f>
        <v>9.7966314815274202</v>
      </c>
      <c r="E173" s="583">
        <f>U157*$G$11/$W157</f>
        <v>3.5407721096066203</v>
      </c>
      <c r="F173" s="584">
        <f>V157*$G$11/$W157</f>
        <v>13.842928575681908</v>
      </c>
      <c r="G173" s="488">
        <f t="shared" si="29"/>
        <v>43</v>
      </c>
      <c r="I173" s="539">
        <v>3</v>
      </c>
      <c r="J173" s="539">
        <v>2</v>
      </c>
      <c r="K173" s="582">
        <f>C173*$C$16/C178</f>
        <v>15.820098126495342</v>
      </c>
      <c r="L173" s="583">
        <f>D173*$D$16/D178</f>
        <v>9.7968767344561147</v>
      </c>
      <c r="M173" s="583">
        <f>E173*$E$16/E178</f>
        <v>3.5409095225055887</v>
      </c>
      <c r="N173" s="584">
        <f>F173*$F$16/F178</f>
        <v>13.841769856175898</v>
      </c>
      <c r="O173" s="488">
        <f t="shared" si="30"/>
        <v>42.999654239632946</v>
      </c>
      <c r="Q173" s="539">
        <v>3</v>
      </c>
      <c r="R173" s="539">
        <v>2</v>
      </c>
      <c r="S173" s="582">
        <f>K173*$C$19/K181</f>
        <v>15.820035250973683</v>
      </c>
      <c r="T173" s="583">
        <f>L173*$D$19/L181</f>
        <v>9.7968865073145519</v>
      </c>
      <c r="U173" s="583">
        <f>M173*$E$19/M181</f>
        <v>3.540913015096292</v>
      </c>
      <c r="V173" s="584">
        <f>N173*$F$19/N181</f>
        <v>13.842551689458551</v>
      </c>
      <c r="W173" s="488">
        <f t="shared" si="31"/>
        <v>43.000386462843082</v>
      </c>
    </row>
    <row r="174" spans="1:23">
      <c r="C174" s="585">
        <f>SUM(C168:C173)</f>
        <v>50.999756240440973</v>
      </c>
      <c r="D174" s="585">
        <f>SUM(D168:D173)</f>
        <v>43.999992316171813</v>
      </c>
      <c r="E174" s="585">
        <f>SUM(E168:E173)</f>
        <v>40.999939706337713</v>
      </c>
      <c r="F174" s="585">
        <f>SUM(F168:F173)</f>
        <v>39.000311737049515</v>
      </c>
      <c r="G174" s="587">
        <f>SUM(G168:G173)</f>
        <v>175</v>
      </c>
      <c r="K174" s="585">
        <f>SUM(K168:K173)</f>
        <v>51</v>
      </c>
      <c r="L174" s="585">
        <f>SUM(L168:L173)</f>
        <v>44</v>
      </c>
      <c r="M174" s="585">
        <f>SUM(M168:M173)</f>
        <v>41</v>
      </c>
      <c r="N174" s="585">
        <f>SUM(N168:N173)</f>
        <v>38.997382049697393</v>
      </c>
      <c r="O174" s="587">
        <f>SUM(O168:O173)</f>
        <v>174.99738204969739</v>
      </c>
      <c r="S174" s="585">
        <f>SUM(S168:S173)</f>
        <v>50.999999999999993</v>
      </c>
      <c r="T174" s="585">
        <f>SUM(T168:T173)</f>
        <v>44</v>
      </c>
      <c r="U174" s="585">
        <f>SUM(U168:U173)</f>
        <v>41</v>
      </c>
      <c r="V174" s="585">
        <f>SUM(V168:V173)</f>
        <v>39</v>
      </c>
      <c r="W174" s="587">
        <f>SUM(W168:W173)</f>
        <v>175</v>
      </c>
    </row>
    <row r="176" spans="1:23">
      <c r="A176" s="539">
        <v>1</v>
      </c>
      <c r="C176" s="569">
        <f>SUMIF(A168:A173,A176,C168:C173)</f>
        <v>12.000725260040488</v>
      </c>
      <c r="D176" s="570">
        <f>SUMIF(A168:A173,A176,D168:D173)</f>
        <v>14.000736436550799</v>
      </c>
      <c r="E176" s="570">
        <f>SUMIF(A168:A173,A176,E168:E173)</f>
        <v>12.00060288793377</v>
      </c>
      <c r="F176" s="571">
        <f>SUMIF(A168:A173,A176,F168:F173)</f>
        <v>11.997935415474945</v>
      </c>
      <c r="G176" s="586">
        <f>SUM(C176:F176)</f>
        <v>50</v>
      </c>
      <c r="I176" s="539">
        <v>1</v>
      </c>
      <c r="K176" s="569">
        <f>SUMIF(I168:I173,I176,K168:K173)</f>
        <v>12</v>
      </c>
      <c r="L176" s="570">
        <f>SUMIF(I168:I173,I176,L168:L173)</f>
        <v>14</v>
      </c>
      <c r="M176" s="570">
        <f>SUMIF(I168:I173,I176,M168:M173)</f>
        <v>12</v>
      </c>
      <c r="N176" s="571">
        <f>SUMIF(I168:I173,I176,N168:N173)</f>
        <v>11.997382049697391</v>
      </c>
      <c r="O176" s="586">
        <f>SUM(K176:N176)</f>
        <v>49.997382049697393</v>
      </c>
      <c r="Q176" s="539">
        <v>1</v>
      </c>
      <c r="S176" s="569">
        <f>SUMIF(Q168:Q173,Q176,S168:S173)</f>
        <v>12.00000458329546</v>
      </c>
      <c r="T176" s="570">
        <f>SUMIF(Q168:Q173,Q176,T168:T173)</f>
        <v>14.000001759824052</v>
      </c>
      <c r="U176" s="570">
        <f>SUMIF(Q168:Q173,Q176,U168:U173)</f>
        <v>12.000001861882557</v>
      </c>
      <c r="V176" s="571">
        <f>SUMIF(Q168:Q173,Q176,V168:V173)</f>
        <v>11.998277671406392</v>
      </c>
      <c r="W176" s="586">
        <f>SUM(S176:V176)</f>
        <v>49.99828587640846</v>
      </c>
    </row>
    <row r="177" spans="1:23">
      <c r="A177" s="539">
        <v>2</v>
      </c>
      <c r="C177" s="572">
        <f>SUMIF(A168:A173,A177,C168:C173)</f>
        <v>14.999683760136014</v>
      </c>
      <c r="D177" s="488">
        <f>SUMIF(A168:A173,A177,D168:D173)</f>
        <v>13.999656420218335</v>
      </c>
      <c r="E177" s="488">
        <f>SUMIF(A168:A173,A177,E168:E173)</f>
        <v>12.999957734123338</v>
      </c>
      <c r="F177" s="485">
        <f>SUMIF(A168:A173,A177,F168:F173)</f>
        <v>7.0007020855223168</v>
      </c>
      <c r="G177" s="586">
        <f>SUM(C177:F177)</f>
        <v>49</v>
      </c>
      <c r="I177" s="539">
        <v>2</v>
      </c>
      <c r="K177" s="572">
        <f>SUMIF(I168:I173,I177,K168:K173)</f>
        <v>15</v>
      </c>
      <c r="L177" s="488">
        <f>SUMIF(I168:I173,I177,L168:L173)</f>
        <v>14</v>
      </c>
      <c r="M177" s="488">
        <f>SUMIF(I168:I173,I177,M168:M173)</f>
        <v>13</v>
      </c>
      <c r="N177" s="485">
        <f>SUMIF(I168:I173,I177,N168:N173)</f>
        <v>7.0000000000000009</v>
      </c>
      <c r="O177" s="586">
        <f>SUM(K177:N177)</f>
        <v>49</v>
      </c>
      <c r="Q177" s="539">
        <v>2</v>
      </c>
      <c r="S177" s="572">
        <f>SUMIF(Q168:Q173,Q177,S168:S173)</f>
        <v>15.000031587171563</v>
      </c>
      <c r="T177" s="488">
        <f>SUMIF(Q168:Q173,Q177,T168:T173)</f>
        <v>13.999993623904345</v>
      </c>
      <c r="U177" s="488">
        <f>SUMIF(Q168:Q173,Q177,U168:U173)</f>
        <v>13.000006349385389</v>
      </c>
      <c r="V177" s="485">
        <f>SUMIF(Q168:Q173,Q177,V168:V173)</f>
        <v>7.0004422249010307</v>
      </c>
      <c r="W177" s="586">
        <f>SUM(S177:V177)</f>
        <v>49.000473785362324</v>
      </c>
    </row>
    <row r="178" spans="1:23">
      <c r="A178" s="539">
        <v>3</v>
      </c>
      <c r="C178" s="573">
        <f>SUMIF(A168:A173,A178,C168:C173)</f>
        <v>23.999347220264475</v>
      </c>
      <c r="D178" s="574">
        <f>SUMIF(A168:A173,A178,D168:D173)</f>
        <v>15.999599459402678</v>
      </c>
      <c r="E178" s="574">
        <f>SUMIF(A168:A173,A178,E168:E173)</f>
        <v>15.999379084280601</v>
      </c>
      <c r="F178" s="575">
        <f>SUMIF(A168:A173,A178,F168:F173)</f>
        <v>20.001674236052253</v>
      </c>
      <c r="G178" s="586">
        <f>SUM(C178:F178)</f>
        <v>76.000000000000014</v>
      </c>
      <c r="I178" s="539">
        <v>3</v>
      </c>
      <c r="K178" s="573">
        <f>SUMIF(I168:I173,I178,K168:K173)</f>
        <v>24</v>
      </c>
      <c r="L178" s="574">
        <f>SUMIF(I168:I173,I178,L168:L173)</f>
        <v>16</v>
      </c>
      <c r="M178" s="574">
        <f>SUMIF(I168:I173,I178,M168:M173)</f>
        <v>16</v>
      </c>
      <c r="N178" s="575">
        <f>SUMIF(I168:I173,I178,N168:N173)</f>
        <v>19.999999999999996</v>
      </c>
      <c r="O178" s="586">
        <f>SUM(K178:N178)</f>
        <v>76</v>
      </c>
      <c r="Q178" s="539">
        <v>3</v>
      </c>
      <c r="S178" s="573">
        <f>SUMIF(Q168:Q173,Q178,S168:S173)</f>
        <v>23.999963829532973</v>
      </c>
      <c r="T178" s="574">
        <f>SUMIF(Q168:Q173,Q178,T168:T173)</f>
        <v>16.000004616271603</v>
      </c>
      <c r="U178" s="574">
        <f>SUMIF(Q168:Q173,Q178,U168:U173)</f>
        <v>15.999991788732052</v>
      </c>
      <c r="V178" s="575">
        <f>SUMIF(Q168:Q173,Q178,V168:V173)</f>
        <v>20.001280103692576</v>
      </c>
      <c r="W178" s="586">
        <f>SUM(S178:V178)</f>
        <v>76.001240338229209</v>
      </c>
    </row>
    <row r="180" spans="1:23">
      <c r="B180" s="539">
        <v>1</v>
      </c>
      <c r="C180" s="569">
        <f>SUMIF(B168:B173,B180,C168:C173)</f>
        <v>27.999856934420869</v>
      </c>
      <c r="D180" s="570">
        <f>SUMIF(B168:B173,B180,D168:D173)</f>
        <v>23.999942769682885</v>
      </c>
      <c r="E180" s="570">
        <f>SUMIF(B168:B173,B180,E168:E173)</f>
        <v>20.999785517305689</v>
      </c>
      <c r="F180" s="571">
        <f>SUMIF(B168:B173,B180,F168:F173)</f>
        <v>17.000414778590567</v>
      </c>
      <c r="G180" s="586">
        <f>SUM(C180:F180)</f>
        <v>90</v>
      </c>
      <c r="J180" s="539">
        <v>1</v>
      </c>
      <c r="K180" s="569">
        <f>SUMIF(J168:J173,J180,K168:K173)</f>
        <v>27.999908588256901</v>
      </c>
      <c r="L180" s="570">
        <f>SUMIF(J168:J173,J180,L168:L173)</f>
        <v>24.000019950947536</v>
      </c>
      <c r="M180" s="570">
        <f>SUMIF(J168:J173,J180,M168:M173)</f>
        <v>21.000019727062984</v>
      </c>
      <c r="N180" s="571">
        <f>SUMIF(J168:J173,J180,N168:N173)</f>
        <v>16.99862461917477</v>
      </c>
      <c r="O180" s="586">
        <f>SUM(K180:N180)</f>
        <v>89.998572885442172</v>
      </c>
      <c r="R180" s="539">
        <v>1</v>
      </c>
      <c r="S180" s="569">
        <f>SUMIF(R168:R173,R180,S168:S173)</f>
        <v>28</v>
      </c>
      <c r="T180" s="570">
        <f>SUMIF(R168:R173,R180,T168:T173)</f>
        <v>24.000000000000004</v>
      </c>
      <c r="U180" s="570">
        <f>SUMIF(R168:R173,R180,U168:U173)</f>
        <v>21</v>
      </c>
      <c r="V180" s="571">
        <f>SUMIF(R168:R173,R180,V168:V173)</f>
        <v>17</v>
      </c>
      <c r="W180" s="586">
        <f>SUM(S180:V180)</f>
        <v>90</v>
      </c>
    </row>
    <row r="181" spans="1:23">
      <c r="B181" s="539">
        <v>2</v>
      </c>
      <c r="C181" s="573">
        <f>SUMIF(B168:B173,B181,C168:C173)</f>
        <v>22.999899306020108</v>
      </c>
      <c r="D181" s="574">
        <f>SUMIF(B168:B173,B181,D168:D173)</f>
        <v>20.000049546488924</v>
      </c>
      <c r="E181" s="574">
        <f>SUMIF(B168:B173,B181,E168:E173)</f>
        <v>20.000154189032024</v>
      </c>
      <c r="F181" s="575">
        <f>SUMIF(B168:B173,B181,F168:F173)</f>
        <v>21.999896958458947</v>
      </c>
      <c r="G181" s="586">
        <f>SUM(C181:F181)</f>
        <v>85</v>
      </c>
      <c r="J181" s="539">
        <v>2</v>
      </c>
      <c r="K181" s="573">
        <f>SUMIF(J168:J173,J181,K168:K173)</f>
        <v>23.000091411743096</v>
      </c>
      <c r="L181" s="574">
        <f>SUMIF(J168:J173,J181,L168:L173)</f>
        <v>19.999980049052461</v>
      </c>
      <c r="M181" s="574">
        <f>SUMIF(J168:J173,J181,M168:M173)</f>
        <v>19.999980272937016</v>
      </c>
      <c r="N181" s="575">
        <f>SUMIF(J168:J173,J181,N168:N173)</f>
        <v>21.99875743052262</v>
      </c>
      <c r="O181" s="586">
        <f>SUM(K181:N181)</f>
        <v>84.998809164255192</v>
      </c>
      <c r="R181" s="539">
        <v>2</v>
      </c>
      <c r="S181" s="573">
        <f>SUMIF(R168:R173,R181,S168:S173)</f>
        <v>23</v>
      </c>
      <c r="T181" s="574">
        <f>SUMIF(R168:R173,R181,T168:T173)</f>
        <v>20</v>
      </c>
      <c r="U181" s="574">
        <f>SUMIF(R168:R173,R181,U168:U173)</f>
        <v>20</v>
      </c>
      <c r="V181" s="575">
        <f>SUMIF(R168:R173,R181,V168:V173)</f>
        <v>22</v>
      </c>
      <c r="W181" s="586">
        <f>SUM(S181:V181)</f>
        <v>85</v>
      </c>
    </row>
    <row r="183" spans="1:23">
      <c r="A183" s="539" t="s">
        <v>134</v>
      </c>
      <c r="B183" s="539" t="s">
        <v>1379</v>
      </c>
      <c r="C183">
        <v>1</v>
      </c>
      <c r="D183">
        <f>C183+1</f>
        <v>2</v>
      </c>
      <c r="E183">
        <f>D183+1</f>
        <v>3</v>
      </c>
      <c r="F183">
        <f>E183+1</f>
        <v>4</v>
      </c>
      <c r="I183" s="539" t="s">
        <v>134</v>
      </c>
      <c r="J183" s="539" t="s">
        <v>1379</v>
      </c>
      <c r="K183">
        <v>1</v>
      </c>
      <c r="L183">
        <f>K183+1</f>
        <v>2</v>
      </c>
      <c r="M183">
        <f>L183+1</f>
        <v>3</v>
      </c>
      <c r="N183">
        <f>M183+1</f>
        <v>4</v>
      </c>
      <c r="Q183" s="539" t="s">
        <v>134</v>
      </c>
      <c r="R183" s="539" t="s">
        <v>1379</v>
      </c>
      <c r="S183">
        <v>1</v>
      </c>
      <c r="T183">
        <f>S183+1</f>
        <v>2</v>
      </c>
      <c r="U183">
        <f>T183+1</f>
        <v>3</v>
      </c>
      <c r="V183">
        <f>U183+1</f>
        <v>4</v>
      </c>
    </row>
    <row r="184" spans="1:23">
      <c r="A184" s="539">
        <v>1</v>
      </c>
      <c r="B184" s="539">
        <v>1</v>
      </c>
      <c r="C184" s="576">
        <f>S168*$G$6/$W168</f>
        <v>7.2217256428295258</v>
      </c>
      <c r="D184" s="577">
        <f>T168*$G$6/$W168</f>
        <v>6.6744330123863778</v>
      </c>
      <c r="E184" s="577">
        <f>U168*$G$6/$W168</f>
        <v>5.1797589635505226</v>
      </c>
      <c r="F184" s="578">
        <f>V168*$G$6/$W168</f>
        <v>8.924082381233573</v>
      </c>
      <c r="G184" s="488">
        <f t="shared" ref="G184:G189" si="32">SUM(C184:F184)</f>
        <v>28</v>
      </c>
      <c r="I184" s="539">
        <v>1</v>
      </c>
      <c r="J184" s="539">
        <v>1</v>
      </c>
      <c r="K184" s="576">
        <f>C184*$C$14/C192</f>
        <v>7.2214646496733348</v>
      </c>
      <c r="L184" s="577">
        <f>D184*$D$14/D192</f>
        <v>6.6742229824351744</v>
      </c>
      <c r="M184" s="577">
        <f>E184*$E$14/E192</f>
        <v>5.1796040634447422</v>
      </c>
      <c r="N184" s="578">
        <f>F184*F176/F192</f>
        <v>8.9234639859045384</v>
      </c>
      <c r="O184" s="488">
        <f t="shared" ref="O184:O189" si="33">SUM(K184:N184)</f>
        <v>27.998755681457787</v>
      </c>
      <c r="Q184" s="539">
        <v>1</v>
      </c>
      <c r="R184" s="539">
        <v>1</v>
      </c>
      <c r="S184" s="576">
        <f>K184*$C$18/K196</f>
        <v>7.2214777732106858</v>
      </c>
      <c r="T184" s="577">
        <f>L184*$D$18/L196</f>
        <v>6.674219844986002</v>
      </c>
      <c r="U184" s="577">
        <f>M184*$E$18/M196</f>
        <v>5.1796024703771399</v>
      </c>
      <c r="V184" s="578">
        <f>N184*$F$18/N196</f>
        <v>8.9238795978852679</v>
      </c>
      <c r="W184" s="488">
        <f t="shared" ref="W184:W189" si="34">SUM(S184:V184)</f>
        <v>27.999179686459097</v>
      </c>
    </row>
    <row r="185" spans="1:23">
      <c r="A185" s="539">
        <v>1</v>
      </c>
      <c r="B185" s="539">
        <v>2</v>
      </c>
      <c r="C185" s="579">
        <f>S169*$G$7/$W169</f>
        <v>4.7787080528300425</v>
      </c>
      <c r="D185" s="580">
        <f>T169*$G$7/$W169</f>
        <v>7.3260075511555618</v>
      </c>
      <c r="E185" s="580">
        <f>U169*$G$7/$W169</f>
        <v>6.8205999058237765</v>
      </c>
      <c r="F185" s="581">
        <f>V169*$G$7/$W169</f>
        <v>3.0746844901906205</v>
      </c>
      <c r="G185" s="488">
        <f t="shared" si="32"/>
        <v>22</v>
      </c>
      <c r="I185" s="539">
        <v>1</v>
      </c>
      <c r="J185" s="539">
        <v>2</v>
      </c>
      <c r="K185" s="579">
        <f>C185*$C$14/C192</f>
        <v>4.7785353503266652</v>
      </c>
      <c r="L185" s="580">
        <f>D185*$D$14/D192</f>
        <v>7.3257770175648247</v>
      </c>
      <c r="M185" s="580">
        <f>E185*$E$14/E192</f>
        <v>6.8203959365552578</v>
      </c>
      <c r="N185" s="581">
        <f>F185*$F$14/F192</f>
        <v>3.0750004794374384</v>
      </c>
      <c r="O185" s="488">
        <f t="shared" si="33"/>
        <v>21.999708783884184</v>
      </c>
      <c r="Q185" s="539">
        <v>1</v>
      </c>
      <c r="R185" s="539">
        <v>2</v>
      </c>
      <c r="S185" s="579">
        <f>K185*$C$19/K197</f>
        <v>4.7785247785283227</v>
      </c>
      <c r="T185" s="580">
        <f>L185*$D$19/L197</f>
        <v>7.3257811500506964</v>
      </c>
      <c r="U185" s="580">
        <f>M185*$E$19/M197</f>
        <v>6.8203981391611794</v>
      </c>
      <c r="V185" s="581">
        <f>N185*$F$19/N197</f>
        <v>3.0751044450004379</v>
      </c>
      <c r="W185" s="488">
        <f t="shared" si="34"/>
        <v>21.999808512740639</v>
      </c>
    </row>
    <row r="186" spans="1:23">
      <c r="A186" s="539">
        <v>2</v>
      </c>
      <c r="B186" s="539">
        <v>1</v>
      </c>
      <c r="C186" s="579">
        <f>S170*$G$8/$W170</f>
        <v>12.598470505090688</v>
      </c>
      <c r="D186" s="580">
        <f>T170*$G$8/$W170</f>
        <v>11.122573875806895</v>
      </c>
      <c r="E186" s="580">
        <f>U170*$G$8/$W170</f>
        <v>3.3613576005199501</v>
      </c>
      <c r="F186" s="581">
        <f>V170*$G$8/$W170</f>
        <v>1.9175980185824664</v>
      </c>
      <c r="G186" s="488">
        <f t="shared" si="32"/>
        <v>29</v>
      </c>
      <c r="I186" s="539">
        <v>2</v>
      </c>
      <c r="J186" s="539">
        <v>1</v>
      </c>
      <c r="K186" s="579">
        <f>C186*$C$15/C193</f>
        <v>12.598634614554744</v>
      </c>
      <c r="L186" s="580">
        <f>D186*$D$15/D193</f>
        <v>11.122736121233341</v>
      </c>
      <c r="M186" s="580">
        <f>E186*$E$15/E193</f>
        <v>3.3613637908095564</v>
      </c>
      <c r="N186" s="581">
        <f>F186*$F$15/F193</f>
        <v>1.9174819983299334</v>
      </c>
      <c r="O186" s="488">
        <f t="shared" si="33"/>
        <v>29.000216524927573</v>
      </c>
      <c r="Q186" s="539">
        <v>2</v>
      </c>
      <c r="R186" s="539">
        <v>1</v>
      </c>
      <c r="S186" s="579">
        <f>K186*$C$18/K196</f>
        <v>12.598657510000468</v>
      </c>
      <c r="T186" s="580">
        <f>L186*$D$18/L196</f>
        <v>11.122730892606828</v>
      </c>
      <c r="U186" s="580">
        <f>M186*$E$18/M196</f>
        <v>3.3613627569699642</v>
      </c>
      <c r="V186" s="581">
        <f>N186*$F$18/N196</f>
        <v>1.9175713054076107</v>
      </c>
      <c r="W186" s="488">
        <f t="shared" si="34"/>
        <v>29.000322464984869</v>
      </c>
    </row>
    <row r="187" spans="1:23">
      <c r="A187" s="539">
        <v>2</v>
      </c>
      <c r="B187" s="539">
        <v>2</v>
      </c>
      <c r="C187" s="579">
        <f>S171*$G$9/$W171</f>
        <v>2.4013341053265398</v>
      </c>
      <c r="D187" s="580">
        <f>T171*$G$9/$W171</f>
        <v>2.8772219086165163</v>
      </c>
      <c r="E187" s="580">
        <f>U171*$G$9/$W171</f>
        <v>9.6386184586721253</v>
      </c>
      <c r="F187" s="581">
        <f>V171*$G$9/$W171</f>
        <v>5.0828255273848164</v>
      </c>
      <c r="G187" s="488">
        <f t="shared" si="32"/>
        <v>20</v>
      </c>
      <c r="I187" s="539">
        <v>2</v>
      </c>
      <c r="J187" s="539">
        <v>2</v>
      </c>
      <c r="K187" s="579">
        <f>C187*$C$15/C193</f>
        <v>2.4013653854452559</v>
      </c>
      <c r="L187" s="580">
        <f>D187*$D$15/D193</f>
        <v>2.8772638787666596</v>
      </c>
      <c r="M187" s="580">
        <f>E187*$E$15/E193</f>
        <v>9.6386362091904427</v>
      </c>
      <c r="N187" s="581">
        <f>F187*$F$15/F193</f>
        <v>5.0825180016700671</v>
      </c>
      <c r="O187" s="488">
        <f t="shared" si="33"/>
        <v>19.999783475072427</v>
      </c>
      <c r="Q187" s="539">
        <v>2</v>
      </c>
      <c r="R187" s="539">
        <v>2</v>
      </c>
      <c r="S187" s="579">
        <f>K187*$C$19/K197</f>
        <v>2.401360072781701</v>
      </c>
      <c r="T187" s="580">
        <f>L187*$D$19/L197</f>
        <v>2.8772655018371269</v>
      </c>
      <c r="U187" s="580">
        <f>M187*$E$19/M197</f>
        <v>9.6386393219301425</v>
      </c>
      <c r="V187" s="581">
        <f>N187*$F$19/N197</f>
        <v>5.0826898412678272</v>
      </c>
      <c r="W187" s="488">
        <f t="shared" si="34"/>
        <v>19.9999547378168</v>
      </c>
    </row>
    <row r="188" spans="1:23">
      <c r="A188" s="539">
        <v>3</v>
      </c>
      <c r="B188" s="539">
        <v>1</v>
      </c>
      <c r="C188" s="579">
        <f>S172*$G$10/$W172</f>
        <v>8.1797169282880624</v>
      </c>
      <c r="D188" s="580">
        <f>T172*$G$10/$W172</f>
        <v>6.2029576073563835</v>
      </c>
      <c r="E188" s="580">
        <f>U172*$G$10/$W172</f>
        <v>12.458756403168051</v>
      </c>
      <c r="F188" s="581">
        <f>V172*$G$10/$W172</f>
        <v>6.1585690611875066</v>
      </c>
      <c r="G188" s="488">
        <f t="shared" si="32"/>
        <v>33</v>
      </c>
      <c r="I188" s="539">
        <v>3</v>
      </c>
      <c r="J188" s="539">
        <v>1</v>
      </c>
      <c r="K188" s="579">
        <f>C188*$C$16/C194</f>
        <v>8.1798498515820999</v>
      </c>
      <c r="L188" s="580">
        <f>D188*$D$16/D194</f>
        <v>6.2030521783662218</v>
      </c>
      <c r="M188" s="580">
        <f>E188*$E$16/E194</f>
        <v>12.459038604623547</v>
      </c>
      <c r="N188" s="581">
        <f>F188*$F$16/F194</f>
        <v>6.1582622745060345</v>
      </c>
      <c r="O188" s="488">
        <f t="shared" si="33"/>
        <v>33.000202909077906</v>
      </c>
      <c r="Q188" s="539">
        <v>3</v>
      </c>
      <c r="R188" s="539">
        <v>1</v>
      </c>
      <c r="S188" s="579">
        <f>K188*$C$18/K196</f>
        <v>8.1798647167888507</v>
      </c>
      <c r="T188" s="580">
        <f>L188*$D$18/L196</f>
        <v>6.2030492624071698</v>
      </c>
      <c r="U188" s="580">
        <f>M188*$E$18/M196</f>
        <v>12.459034772652897</v>
      </c>
      <c r="V188" s="581">
        <f>N188*$F$18/N196</f>
        <v>6.1585490967071213</v>
      </c>
      <c r="W188" s="488">
        <f t="shared" si="34"/>
        <v>33.000497848556037</v>
      </c>
    </row>
    <row r="189" spans="1:23">
      <c r="A189" s="539">
        <v>3</v>
      </c>
      <c r="B189" s="539">
        <v>2</v>
      </c>
      <c r="C189" s="582">
        <f>S173*$G$11/$W173</f>
        <v>15.8198930695585</v>
      </c>
      <c r="D189" s="583">
        <f>T173*$G$11/$W173</f>
        <v>9.7967984585102403</v>
      </c>
      <c r="E189" s="583">
        <f>U173*$G$11/$W173</f>
        <v>3.5408811913983325</v>
      </c>
      <c r="F189" s="584">
        <f>V173*$G$11/$W173</f>
        <v>13.842427280532924</v>
      </c>
      <c r="G189" s="488">
        <f t="shared" si="32"/>
        <v>43</v>
      </c>
      <c r="I189" s="539">
        <v>3</v>
      </c>
      <c r="J189" s="539">
        <v>2</v>
      </c>
      <c r="K189" s="582">
        <f>C189*$C$16/C194</f>
        <v>15.820150148417898</v>
      </c>
      <c r="L189" s="583">
        <f>D189*$D$16/D194</f>
        <v>9.7969478216337773</v>
      </c>
      <c r="M189" s="583">
        <f>E189*$E$16/E194</f>
        <v>3.5409613953764518</v>
      </c>
      <c r="N189" s="584">
        <f>F189*$F$16/F194</f>
        <v>13.841737725493964</v>
      </c>
      <c r="O189" s="488">
        <f t="shared" si="33"/>
        <v>42.999797090922087</v>
      </c>
      <c r="Q189" s="539">
        <v>3</v>
      </c>
      <c r="R189" s="539">
        <v>2</v>
      </c>
      <c r="S189" s="582">
        <f>K189*$C$19/K197</f>
        <v>15.820115148689977</v>
      </c>
      <c r="T189" s="583">
        <f>L189*$D$19/L197</f>
        <v>9.7969533481121793</v>
      </c>
      <c r="U189" s="583">
        <f>M189*$E$19/M197</f>
        <v>3.5409625389086767</v>
      </c>
      <c r="V189" s="584">
        <f>N189*$F$19/N197</f>
        <v>13.842205713731735</v>
      </c>
      <c r="W189" s="488">
        <f t="shared" si="34"/>
        <v>43.000236749442564</v>
      </c>
    </row>
    <row r="190" spans="1:23">
      <c r="C190" s="585">
        <f>SUM(C184:C189)</f>
        <v>50.999848303923358</v>
      </c>
      <c r="D190" s="585">
        <f>SUM(D184:D189)</f>
        <v>43.999992413831976</v>
      </c>
      <c r="E190" s="585">
        <f>SUM(E184:E189)</f>
        <v>40.999972523132762</v>
      </c>
      <c r="F190" s="585">
        <f>SUM(F184:F189)</f>
        <v>39.000186759111905</v>
      </c>
      <c r="G190" s="587">
        <f>SUM(G184:G189)</f>
        <v>175</v>
      </c>
      <c r="K190" s="585">
        <f>SUM(K184:K189)</f>
        <v>51</v>
      </c>
      <c r="L190" s="585">
        <f>SUM(L184:L189)</f>
        <v>44</v>
      </c>
      <c r="M190" s="585">
        <f>SUM(M184:M189)</f>
        <v>40.999999999999993</v>
      </c>
      <c r="N190" s="585">
        <f>SUM(N184:N189)</f>
        <v>38.998464465341975</v>
      </c>
      <c r="O190" s="587">
        <f>SUM(O184:O189)</f>
        <v>174.99846446534195</v>
      </c>
      <c r="S190" s="585">
        <f>SUM(S184:S189)</f>
        <v>51.000000000000007</v>
      </c>
      <c r="T190" s="585">
        <f>SUM(T184:T189)</f>
        <v>44</v>
      </c>
      <c r="U190" s="585">
        <f>SUM(U184:U189)</f>
        <v>41</v>
      </c>
      <c r="V190" s="585">
        <f>SUM(V184:V189)</f>
        <v>39</v>
      </c>
      <c r="W190" s="587">
        <f>SUM(W184:W189)</f>
        <v>175.00000000000003</v>
      </c>
    </row>
    <row r="192" spans="1:23">
      <c r="A192" s="539">
        <v>1</v>
      </c>
      <c r="C192" s="569">
        <f>SUMIF(A184:A189,A192,C184:C189)</f>
        <v>12.000433695659568</v>
      </c>
      <c r="D192" s="570">
        <f>SUMIF(A184:A189,A192,D184:D189)</f>
        <v>14.00044056354194</v>
      </c>
      <c r="E192" s="570">
        <f>SUMIF(A184:A189,A192,E184:E189)</f>
        <v>12.000358869374299</v>
      </c>
      <c r="F192" s="571">
        <f>SUMIF(A184:A189,A192,F184:F189)</f>
        <v>11.998766871424193</v>
      </c>
      <c r="G192" s="586">
        <f>SUM(C192:F192)</f>
        <v>50</v>
      </c>
      <c r="I192" s="539">
        <v>1</v>
      </c>
      <c r="K192" s="569">
        <f>SUMIF(I184:I189,I192,K184:K189)</f>
        <v>12</v>
      </c>
      <c r="L192" s="570">
        <f>SUMIF(I184:I189,I192,L184:L189)</f>
        <v>14</v>
      </c>
      <c r="M192" s="570">
        <f>SUMIF(I184:I189,I192,M184:M189)</f>
        <v>12</v>
      </c>
      <c r="N192" s="571">
        <f>SUMIF(I184:I189,I192,N184:N189)</f>
        <v>11.998464465341977</v>
      </c>
      <c r="O192" s="586">
        <f>SUM(K192:N192)</f>
        <v>49.998464465341975</v>
      </c>
      <c r="Q192" s="539">
        <v>1</v>
      </c>
      <c r="S192" s="569">
        <f>SUMIF(Q184:Q189,Q192,S184:S189)</f>
        <v>12.000002551739009</v>
      </c>
      <c r="T192" s="570">
        <f>SUMIF(Q184:Q189,Q192,T184:T189)</f>
        <v>14.000000995036698</v>
      </c>
      <c r="U192" s="570">
        <f>SUMIF(Q184:Q189,Q192,U184:U189)</f>
        <v>12.000000609538318</v>
      </c>
      <c r="V192" s="571">
        <f>SUMIF(Q184:Q189,Q192,V184:V189)</f>
        <v>11.998984042885706</v>
      </c>
      <c r="W192" s="586">
        <f>SUM(S192:V192)</f>
        <v>49.998988199199729</v>
      </c>
    </row>
    <row r="193" spans="1:23">
      <c r="A193" s="539">
        <v>2</v>
      </c>
      <c r="C193" s="572">
        <f>SUMIF(A184:A189,A193,C184:C189)</f>
        <v>14.999804610417229</v>
      </c>
      <c r="D193" s="488">
        <f>SUMIF(A184:A189,A193,D184:D189)</f>
        <v>13.99979578442341</v>
      </c>
      <c r="E193" s="488">
        <f>SUMIF(A184:A189,A193,E184:E189)</f>
        <v>12.999976059192075</v>
      </c>
      <c r="F193" s="485">
        <f>SUMIF(A184:A189,A193,F184:F189)</f>
        <v>7.0004235459672826</v>
      </c>
      <c r="G193" s="586">
        <f>SUM(C193:F193)</f>
        <v>49</v>
      </c>
      <c r="I193" s="539">
        <v>2</v>
      </c>
      <c r="K193" s="572">
        <f>SUMIF(I184:I189,I193,K184:K189)</f>
        <v>15</v>
      </c>
      <c r="L193" s="488">
        <f>SUMIF(I184:I189,I193,L184:L189)</f>
        <v>14</v>
      </c>
      <c r="M193" s="488">
        <f>SUMIF(I184:I189,I193,M184:M189)</f>
        <v>13</v>
      </c>
      <c r="N193" s="485">
        <f>SUMIF(I184:I189,I193,N184:N189)</f>
        <v>7</v>
      </c>
      <c r="O193" s="586">
        <f>SUM(K193:N193)</f>
        <v>49</v>
      </c>
      <c r="Q193" s="539">
        <v>2</v>
      </c>
      <c r="S193" s="572">
        <f>SUMIF(Q184:Q189,Q193,S184:S189)</f>
        <v>15.000017582782169</v>
      </c>
      <c r="T193" s="488">
        <f>SUMIF(Q184:Q189,Q193,T184:T189)</f>
        <v>13.999996394443954</v>
      </c>
      <c r="U193" s="488">
        <f>SUMIF(Q184:Q189,Q193,U184:U189)</f>
        <v>13.000002078900106</v>
      </c>
      <c r="V193" s="485">
        <f>SUMIF(Q184:Q189,Q193,V184:V189)</f>
        <v>7.0002611466754381</v>
      </c>
      <c r="W193" s="586">
        <f>SUM(S193:V193)</f>
        <v>49.000277202801669</v>
      </c>
    </row>
    <row r="194" spans="1:23">
      <c r="A194" s="539">
        <v>3</v>
      </c>
      <c r="C194" s="573">
        <f>SUMIF(A184:A189,A194,C184:C189)</f>
        <v>23.999609997846562</v>
      </c>
      <c r="D194" s="574">
        <f>SUMIF(A184:A189,A194,D184:D189)</f>
        <v>15.999756065866624</v>
      </c>
      <c r="E194" s="574">
        <f>SUMIF(A184:A189,A194,E184:E189)</f>
        <v>15.999637594566384</v>
      </c>
      <c r="F194" s="575">
        <f>SUMIF(A184:A189,A194,F184:F189)</f>
        <v>20.00099634172043</v>
      </c>
      <c r="G194" s="586">
        <f>SUM(C194:F194)</f>
        <v>76</v>
      </c>
      <c r="I194" s="539">
        <v>3</v>
      </c>
      <c r="K194" s="573">
        <f>SUMIF(I184:I189,I194,K184:K189)</f>
        <v>24</v>
      </c>
      <c r="L194" s="574">
        <f>SUMIF(I184:I189,I194,L184:L189)</f>
        <v>16</v>
      </c>
      <c r="M194" s="574">
        <f>SUMIF(I184:I189,I194,M184:M189)</f>
        <v>16</v>
      </c>
      <c r="N194" s="575">
        <f>SUMIF(I184:I189,I194,N184:N189)</f>
        <v>20</v>
      </c>
      <c r="O194" s="586">
        <f>SUM(K194:N194)</f>
        <v>76</v>
      </c>
      <c r="Q194" s="539">
        <v>3</v>
      </c>
      <c r="S194" s="573">
        <f>SUMIF(Q184:Q189,Q194,S184:S189)</f>
        <v>23.999979865478828</v>
      </c>
      <c r="T194" s="574">
        <f>SUMIF(Q184:Q189,Q194,T184:T189)</f>
        <v>16.000002610519349</v>
      </c>
      <c r="U194" s="574">
        <f>SUMIF(Q184:Q189,Q194,U184:U189)</f>
        <v>15.999997311561573</v>
      </c>
      <c r="V194" s="575">
        <f>SUMIF(Q184:Q189,Q194,V184:V189)</f>
        <v>20.000754810438856</v>
      </c>
      <c r="W194" s="586">
        <f>SUM(S194:V194)</f>
        <v>76.000734597998616</v>
      </c>
    </row>
    <row r="196" spans="1:23">
      <c r="B196" s="539">
        <v>1</v>
      </c>
      <c r="C196" s="569">
        <f>SUMIF(B184:B189,B196,C184:C189)</f>
        <v>27.999913076208276</v>
      </c>
      <c r="D196" s="570">
        <f>SUMIF(B184:B189,B196,D184:D189)</f>
        <v>23.999964495549655</v>
      </c>
      <c r="E196" s="570">
        <f>SUMIF(B184:B189,B196,E184:E189)</f>
        <v>20.999872967238524</v>
      </c>
      <c r="F196" s="571">
        <f>SUMIF(B184:B189,B196,F184:F189)</f>
        <v>17.000249461003548</v>
      </c>
      <c r="G196" s="586">
        <f>SUM(C196:F196)</f>
        <v>90.000000000000014</v>
      </c>
      <c r="J196" s="539">
        <v>1</v>
      </c>
      <c r="K196" s="569">
        <f>SUMIF(J184:J189,J196,K184:K189)</f>
        <v>27.999949115810175</v>
      </c>
      <c r="L196" s="570">
        <f>SUMIF(J184:J189,J196,L184:L189)</f>
        <v>24.000011282034738</v>
      </c>
      <c r="M196" s="570">
        <f>SUMIF(J184:J189,J196,M184:M189)</f>
        <v>21.000006458877845</v>
      </c>
      <c r="N196" s="571">
        <f>SUMIF(J184:J189,J196,N184:N189)</f>
        <v>16.999208258740506</v>
      </c>
      <c r="O196" s="586">
        <f>SUM(K196:N196)</f>
        <v>89.999175115463274</v>
      </c>
      <c r="R196" s="539">
        <v>1</v>
      </c>
      <c r="S196" s="569">
        <f>SUMIF(R184:R189,R196,S184:S189)</f>
        <v>28.000000000000007</v>
      </c>
      <c r="T196" s="570">
        <f>SUMIF(R184:R189,R196,T184:T189)</f>
        <v>24</v>
      </c>
      <c r="U196" s="570">
        <f>SUMIF(R184:R189,R196,U184:U189)</f>
        <v>21</v>
      </c>
      <c r="V196" s="571">
        <f>SUMIF(R184:R189,R196,V184:V189)</f>
        <v>17</v>
      </c>
      <c r="W196" s="586">
        <f>SUM(S196:V196)</f>
        <v>90</v>
      </c>
    </row>
    <row r="197" spans="1:23">
      <c r="B197" s="539">
        <v>2</v>
      </c>
      <c r="C197" s="573">
        <f>SUMIF(B184:B189,B197,C184:C189)</f>
        <v>22.999935227715081</v>
      </c>
      <c r="D197" s="574">
        <f>SUMIF(B184:B189,B197,D184:D189)</f>
        <v>20.000027918282321</v>
      </c>
      <c r="E197" s="574">
        <f>SUMIF(B184:B189,B197,E184:E189)</f>
        <v>20.000099555894238</v>
      </c>
      <c r="F197" s="575">
        <f>SUMIF(B184:B189,B197,F184:F189)</f>
        <v>21.99993729810836</v>
      </c>
      <c r="G197" s="586">
        <f>SUM(C197:F197)</f>
        <v>85</v>
      </c>
      <c r="J197" s="539">
        <v>2</v>
      </c>
      <c r="K197" s="573">
        <f>SUMIF(J184:J189,J197,K184:K189)</f>
        <v>23.000050884189818</v>
      </c>
      <c r="L197" s="574">
        <f>SUMIF(J184:J189,J197,L184:L189)</f>
        <v>19.999988717965259</v>
      </c>
      <c r="M197" s="574">
        <f>SUMIF(J184:J189,J197,M184:M189)</f>
        <v>19.999993541122155</v>
      </c>
      <c r="N197" s="575">
        <f>SUMIF(J184:J189,J197,N184:N189)</f>
        <v>21.999256206601469</v>
      </c>
      <c r="O197" s="586">
        <f>SUM(K197:N197)</f>
        <v>84.999289349878708</v>
      </c>
      <c r="R197" s="539">
        <v>2</v>
      </c>
      <c r="S197" s="573">
        <f>SUMIF(R184:R189,R197,S184:S189)</f>
        <v>23</v>
      </c>
      <c r="T197" s="574">
        <f>SUMIF(R184:R189,R197,T184:T189)</f>
        <v>20.000000000000004</v>
      </c>
      <c r="U197" s="574">
        <f>SUMIF(R184:R189,R197,U184:U189)</f>
        <v>19.999999999999996</v>
      </c>
      <c r="V197" s="575">
        <f>SUMIF(R184:R189,R197,V184:V189)</f>
        <v>22</v>
      </c>
      <c r="W197" s="586">
        <f>SUM(S197:V197)</f>
        <v>85</v>
      </c>
    </row>
    <row r="199" spans="1:23">
      <c r="A199" s="539" t="s">
        <v>134</v>
      </c>
      <c r="B199" s="539" t="s">
        <v>1379</v>
      </c>
      <c r="C199">
        <v>1</v>
      </c>
      <c r="D199">
        <f>C199+1</f>
        <v>2</v>
      </c>
      <c r="E199">
        <f>D199+1</f>
        <v>3</v>
      </c>
      <c r="F199">
        <f>E199+1</f>
        <v>4</v>
      </c>
      <c r="I199" s="539" t="s">
        <v>134</v>
      </c>
      <c r="J199" s="539" t="s">
        <v>1379</v>
      </c>
      <c r="K199">
        <v>1</v>
      </c>
      <c r="L199">
        <f>K199+1</f>
        <v>2</v>
      </c>
      <c r="M199">
        <f>L199+1</f>
        <v>3</v>
      </c>
      <c r="N199">
        <f>M199+1</f>
        <v>4</v>
      </c>
      <c r="Q199" s="539" t="s">
        <v>134</v>
      </c>
      <c r="R199" s="539" t="s">
        <v>1379</v>
      </c>
      <c r="S199">
        <v>1</v>
      </c>
      <c r="T199">
        <f>S199+1</f>
        <v>2</v>
      </c>
      <c r="U199">
        <f>T199+1</f>
        <v>3</v>
      </c>
      <c r="V199">
        <f>U199+1</f>
        <v>4</v>
      </c>
    </row>
    <row r="200" spans="1:23">
      <c r="A200" s="539">
        <v>1</v>
      </c>
      <c r="B200" s="539">
        <v>1</v>
      </c>
      <c r="C200" s="576">
        <f>S184*$G$6/$W184</f>
        <v>7.2216893464092236</v>
      </c>
      <c r="D200" s="577">
        <f>T184*$G$6/$W184</f>
        <v>6.6744153847473493</v>
      </c>
      <c r="E200" s="577">
        <f>U184*$G$6/$W184</f>
        <v>5.1797542211816463</v>
      </c>
      <c r="F200" s="578">
        <f>V184*$G$6/$W184</f>
        <v>8.9241410476617791</v>
      </c>
      <c r="G200" s="488">
        <f t="shared" ref="G200:G205" si="35">SUM(C200:F200)</f>
        <v>28</v>
      </c>
      <c r="I200" s="539">
        <v>1</v>
      </c>
      <c r="J200" s="539">
        <v>1</v>
      </c>
      <c r="K200" s="576">
        <f>C200*$C$14/C208</f>
        <v>7.221535457042247</v>
      </c>
      <c r="L200" s="577">
        <f>D200*$D$14/D208</f>
        <v>6.6742912912199523</v>
      </c>
      <c r="M200" s="577">
        <f>E200*$E$14/E208</f>
        <v>5.1796628323435412</v>
      </c>
      <c r="N200" s="578">
        <f>F200*F192/F208</f>
        <v>8.9237651794042971</v>
      </c>
      <c r="O200" s="488">
        <f t="shared" ref="O200:O205" si="36">SUM(K200:N200)</f>
        <v>27.999254760010039</v>
      </c>
      <c r="Q200" s="539">
        <v>1</v>
      </c>
      <c r="R200" s="539">
        <v>1</v>
      </c>
      <c r="S200" s="576">
        <f>K200*$C$18/K212</f>
        <v>7.2215429030614668</v>
      </c>
      <c r="T200" s="577">
        <f>L200*$D$18/L212</f>
        <v>6.6742895339803212</v>
      </c>
      <c r="U200" s="577">
        <f>M200*$E$18/M212</f>
        <v>5.1796623021895289</v>
      </c>
      <c r="V200" s="578">
        <f>N200*$F$18/N212</f>
        <v>8.9240160157192729</v>
      </c>
      <c r="W200" s="488">
        <f t="shared" ref="W200:W205" si="37">SUM(S200:V200)</f>
        <v>27.999510754950592</v>
      </c>
    </row>
    <row r="201" spans="1:23">
      <c r="A201" s="539">
        <v>1</v>
      </c>
      <c r="B201" s="539">
        <v>2</v>
      </c>
      <c r="C201" s="579">
        <f>S185*$G$7/$W185</f>
        <v>4.7785663710091431</v>
      </c>
      <c r="D201" s="580">
        <f>T185*$G$7/$W185</f>
        <v>7.3258449139581998</v>
      </c>
      <c r="E201" s="580">
        <f>U185*$G$7/$W185</f>
        <v>6.8204575041936826</v>
      </c>
      <c r="F201" s="581">
        <f>V185*$G$7/$W185</f>
        <v>3.0751312108389719</v>
      </c>
      <c r="G201" s="488">
        <f t="shared" si="35"/>
        <v>21.999999999999996</v>
      </c>
      <c r="I201" s="539">
        <v>1</v>
      </c>
      <c r="J201" s="539">
        <v>2</v>
      </c>
      <c r="K201" s="579">
        <f>C201*$C$14/C208</f>
        <v>4.778464542957753</v>
      </c>
      <c r="L201" s="580">
        <f>D201*$D$14/D208</f>
        <v>7.3257087087800485</v>
      </c>
      <c r="M201" s="580">
        <f>E201*$E$14/E208</f>
        <v>6.8203371676564579</v>
      </c>
      <c r="N201" s="581">
        <f>F201*$F$14/F208</f>
        <v>3.0753177138659518</v>
      </c>
      <c r="O201" s="488">
        <f t="shared" si="36"/>
        <v>21.999828133260213</v>
      </c>
      <c r="Q201" s="539">
        <v>1</v>
      </c>
      <c r="R201" s="539">
        <v>2</v>
      </c>
      <c r="S201" s="579">
        <f>K201*$C$19/K213</f>
        <v>4.7784585448788395</v>
      </c>
      <c r="T201" s="580">
        <f>L201*$D$19/L213</f>
        <v>7.3257110232789353</v>
      </c>
      <c r="U201" s="580">
        <f>M201*$E$19/M213</f>
        <v>6.8203379006426577</v>
      </c>
      <c r="V201" s="581">
        <f>N201*$F$19/N213</f>
        <v>3.0753791194842934</v>
      </c>
      <c r="W201" s="488">
        <f t="shared" si="37"/>
        <v>21.999886588284728</v>
      </c>
    </row>
    <row r="202" spans="1:23">
      <c r="A202" s="539">
        <v>2</v>
      </c>
      <c r="B202" s="539">
        <v>1</v>
      </c>
      <c r="C202" s="579">
        <f>S186*$G$8/$W186</f>
        <v>12.598517421009795</v>
      </c>
      <c r="D202" s="580">
        <f>T186*$G$8/$W186</f>
        <v>11.122607214973472</v>
      </c>
      <c r="E202" s="580">
        <f>U186*$G$8/$W186</f>
        <v>3.3613253807721004</v>
      </c>
      <c r="F202" s="581">
        <f>V186*$G$8/$W186</f>
        <v>1.9175499832446337</v>
      </c>
      <c r="G202" s="488">
        <f t="shared" si="35"/>
        <v>29</v>
      </c>
      <c r="I202" s="539">
        <v>2</v>
      </c>
      <c r="J202" s="539">
        <v>1</v>
      </c>
      <c r="K202" s="579">
        <f>C202*$C$15/C209</f>
        <v>12.598615750397267</v>
      </c>
      <c r="L202" s="580">
        <f>D202*$D$15/D209</f>
        <v>11.122703165455968</v>
      </c>
      <c r="M202" s="580">
        <f>E202*$E$15/E209</f>
        <v>3.3613288672343082</v>
      </c>
      <c r="N202" s="581">
        <f>F202*$F$15/F209</f>
        <v>1.9174811382153916</v>
      </c>
      <c r="O202" s="488">
        <f t="shared" si="36"/>
        <v>29.000128921302938</v>
      </c>
      <c r="Q202" s="539">
        <v>2</v>
      </c>
      <c r="R202" s="539">
        <v>1</v>
      </c>
      <c r="S202" s="579">
        <f>K202*$C$18/K212</f>
        <v>12.598628740645058</v>
      </c>
      <c r="T202" s="580">
        <f>L202*$D$18/L212</f>
        <v>11.122700237016984</v>
      </c>
      <c r="U202" s="580">
        <f>M202*$E$18/M212</f>
        <v>3.3613285231922259</v>
      </c>
      <c r="V202" s="581">
        <f>N202*$F$18/N212</f>
        <v>1.9175350363058365</v>
      </c>
      <c r="W202" s="488">
        <f t="shared" si="37"/>
        <v>29.000192537160103</v>
      </c>
    </row>
    <row r="203" spans="1:23">
      <c r="A203" s="539">
        <v>2</v>
      </c>
      <c r="B203" s="539">
        <v>2</v>
      </c>
      <c r="C203" s="579">
        <f>S187*$G$9/$W187</f>
        <v>2.4013655073339772</v>
      </c>
      <c r="D203" s="580">
        <f>T187*$G$9/$W187</f>
        <v>2.8772720134177763</v>
      </c>
      <c r="E203" s="580">
        <f>U187*$G$9/$W187</f>
        <v>9.6386611352724483</v>
      </c>
      <c r="F203" s="581">
        <f>V187*$G$9/$W187</f>
        <v>5.0827013439757964</v>
      </c>
      <c r="G203" s="488">
        <f t="shared" si="35"/>
        <v>19.999999999999996</v>
      </c>
      <c r="I203" s="539">
        <v>2</v>
      </c>
      <c r="J203" s="539">
        <v>2</v>
      </c>
      <c r="K203" s="579">
        <f>C203*$C$15/C209</f>
        <v>2.4013842496027333</v>
      </c>
      <c r="L203" s="580">
        <f>D203*$D$15/D209</f>
        <v>2.8772968345440306</v>
      </c>
      <c r="M203" s="580">
        <f>E203*$E$15/E209</f>
        <v>9.6386711327656922</v>
      </c>
      <c r="N203" s="581">
        <f>F203*$F$15/F209</f>
        <v>5.0825188617846084</v>
      </c>
      <c r="O203" s="488">
        <f t="shared" si="36"/>
        <v>19.999871078697062</v>
      </c>
      <c r="Q203" s="539">
        <v>2</v>
      </c>
      <c r="R203" s="539">
        <v>2</v>
      </c>
      <c r="S203" s="579">
        <f>K203*$C$19/K213</f>
        <v>2.4013812353097315</v>
      </c>
      <c r="T203" s="580">
        <f>L203*$D$19/L213</f>
        <v>2.8772977436028784</v>
      </c>
      <c r="U203" s="580">
        <f>M203*$E$19/M213</f>
        <v>9.6386721686401291</v>
      </c>
      <c r="V203" s="581">
        <f>N203*$F$19/N213</f>
        <v>5.0826203456774879</v>
      </c>
      <c r="W203" s="488">
        <f t="shared" si="37"/>
        <v>19.999971493230227</v>
      </c>
    </row>
    <row r="204" spans="1:23">
      <c r="A204" s="539">
        <v>3</v>
      </c>
      <c r="B204" s="539">
        <v>1</v>
      </c>
      <c r="C204" s="579">
        <f>S188*$G$10/$W188</f>
        <v>8.1797413145948443</v>
      </c>
      <c r="D204" s="580">
        <f>T188*$G$10/$W188</f>
        <v>6.202955682633541</v>
      </c>
      <c r="E204" s="580">
        <f>U188*$G$10/$W188</f>
        <v>12.458846814504518</v>
      </c>
      <c r="F204" s="581">
        <f>V188*$G$10/$W188</f>
        <v>6.158456188267099</v>
      </c>
      <c r="G204" s="488">
        <f t="shared" si="35"/>
        <v>33</v>
      </c>
      <c r="I204" s="539">
        <v>3</v>
      </c>
      <c r="J204" s="539">
        <v>1</v>
      </c>
      <c r="K204" s="579">
        <f>C204*$C$16/C210</f>
        <v>8.1798199222012027</v>
      </c>
      <c r="L204" s="580">
        <f>D204*$D$16/D210</f>
        <v>6.2030118621616035</v>
      </c>
      <c r="M204" s="580">
        <f>E204*$E$16/E210</f>
        <v>12.459010449835301</v>
      </c>
      <c r="N204" s="581">
        <f>F204*$F$16/F210</f>
        <v>6.1582758462416152</v>
      </c>
      <c r="O204" s="488">
        <f t="shared" si="36"/>
        <v>33.000118080439719</v>
      </c>
      <c r="Q204" s="539">
        <v>3</v>
      </c>
      <c r="R204" s="539">
        <v>1</v>
      </c>
      <c r="S204" s="579">
        <f>K204*$C$18/K212</f>
        <v>8.1798283562934699</v>
      </c>
      <c r="T204" s="580">
        <f>L204*$D$18/L212</f>
        <v>6.2030102290026958</v>
      </c>
      <c r="U204" s="580">
        <f>M204*$E$18/M212</f>
        <v>12.459009174618245</v>
      </c>
      <c r="V204" s="581">
        <f>N204*$F$18/N212</f>
        <v>6.1584489479748896</v>
      </c>
      <c r="W204" s="488">
        <f t="shared" si="37"/>
        <v>33.000296707889305</v>
      </c>
    </row>
    <row r="205" spans="1:23">
      <c r="A205" s="539">
        <v>3</v>
      </c>
      <c r="B205" s="539">
        <v>2</v>
      </c>
      <c r="C205" s="582">
        <f>S189*$G$11/$W189</f>
        <v>15.820028046763897</v>
      </c>
      <c r="D205" s="583">
        <f>T189*$G$11/$W189</f>
        <v>9.7968994083337204</v>
      </c>
      <c r="E205" s="583">
        <f>U189*$G$11/$W189</f>
        <v>3.5409430431809645</v>
      </c>
      <c r="F205" s="584">
        <f>V189*$G$11/$W189</f>
        <v>13.842129501721422</v>
      </c>
      <c r="G205" s="488">
        <f t="shared" si="35"/>
        <v>43</v>
      </c>
      <c r="I205" s="539">
        <v>3</v>
      </c>
      <c r="J205" s="539">
        <v>2</v>
      </c>
      <c r="K205" s="582">
        <f>C205*$C$16/C210</f>
        <v>15.820180077798797</v>
      </c>
      <c r="L205" s="583">
        <f>D205*$D$16/D210</f>
        <v>9.7969881378383956</v>
      </c>
      <c r="M205" s="583">
        <f>E205*$E$16/E210</f>
        <v>3.5409895501646989</v>
      </c>
      <c r="N205" s="584">
        <f>F205*$F$16/F210</f>
        <v>13.841724153758387</v>
      </c>
      <c r="O205" s="488">
        <f t="shared" si="36"/>
        <v>42.999881919560281</v>
      </c>
      <c r="Q205" s="539">
        <v>3</v>
      </c>
      <c r="R205" s="539">
        <v>2</v>
      </c>
      <c r="S205" s="582">
        <f>K205*$C$19/K213</f>
        <v>15.820160219811429</v>
      </c>
      <c r="T205" s="583">
        <f>L205*$D$19/L213</f>
        <v>9.7969912331181899</v>
      </c>
      <c r="U205" s="583">
        <f>M205*$E$19/M213</f>
        <v>3.540989930717215</v>
      </c>
      <c r="V205" s="584">
        <f>N205*$F$19/N213</f>
        <v>13.842000534838217</v>
      </c>
      <c r="W205" s="488">
        <f t="shared" si="37"/>
        <v>43.000141918485056</v>
      </c>
    </row>
    <row r="206" spans="1:23">
      <c r="C206" s="585">
        <f>SUM(C200:C205)</f>
        <v>50.999908007120879</v>
      </c>
      <c r="D206" s="585">
        <f>SUM(D200:D205)</f>
        <v>43.999994618064058</v>
      </c>
      <c r="E206" s="585">
        <f>SUM(E200:E205)</f>
        <v>40.999988099105366</v>
      </c>
      <c r="F206" s="585">
        <f>SUM(F200:F205)</f>
        <v>39.000109275709704</v>
      </c>
      <c r="G206" s="587">
        <f>SUM(G200:G205)</f>
        <v>175</v>
      </c>
      <c r="K206" s="585">
        <f>SUM(K200:K205)</f>
        <v>51</v>
      </c>
      <c r="L206" s="585">
        <f>SUM(L200:L205)</f>
        <v>44</v>
      </c>
      <c r="M206" s="585">
        <f>SUM(M200:M205)</f>
        <v>41</v>
      </c>
      <c r="N206" s="585">
        <f>SUM(N200:N205)</f>
        <v>38.999082893270248</v>
      </c>
      <c r="O206" s="587">
        <f>SUM(O200:O205)</f>
        <v>174.99908289327021</v>
      </c>
      <c r="S206" s="585">
        <f>SUM(S200:S205)</f>
        <v>50.999999999999993</v>
      </c>
      <c r="T206" s="585">
        <f>SUM(T200:T205)</f>
        <v>44.000000000000007</v>
      </c>
      <c r="U206" s="585">
        <f>SUM(U200:U205)</f>
        <v>41</v>
      </c>
      <c r="V206" s="585">
        <f>SUM(V200:V205)</f>
        <v>39</v>
      </c>
      <c r="W206" s="587">
        <f>SUM(W200:W205)</f>
        <v>175</v>
      </c>
    </row>
    <row r="208" spans="1:23">
      <c r="A208" s="539">
        <v>1</v>
      </c>
      <c r="C208" s="569">
        <f>SUMIF(A200:A205,A208,C200:C205)</f>
        <v>12.000255717418366</v>
      </c>
      <c r="D208" s="570">
        <f>SUMIF(A200:A205,A208,D200:D205)</f>
        <v>14.000260298705548</v>
      </c>
      <c r="E208" s="570">
        <f>SUMIF(A200:A205,A208,E200:E205)</f>
        <v>12.00021172537533</v>
      </c>
      <c r="F208" s="571">
        <f>SUMIF(A200:A205,A208,F200:F205)</f>
        <v>11.999272258500751</v>
      </c>
      <c r="G208" s="586">
        <f>SUM(C208:F208)</f>
        <v>50</v>
      </c>
      <c r="I208" s="539">
        <v>1</v>
      </c>
      <c r="K208" s="569">
        <f>SUMIF(I200:I205,I208,K200:K205)</f>
        <v>12</v>
      </c>
      <c r="L208" s="570">
        <f>SUMIF(I200:I205,I208,L200:L205)</f>
        <v>14</v>
      </c>
      <c r="M208" s="570">
        <f>SUMIF(I200:I205,I208,M200:M205)</f>
        <v>12</v>
      </c>
      <c r="N208" s="571">
        <f>SUMIF(I200:I205,I208,N200:N205)</f>
        <v>11.999082893270248</v>
      </c>
      <c r="O208" s="586">
        <f>SUM(K208:N208)</f>
        <v>49.999082893270248</v>
      </c>
      <c r="Q208" s="539">
        <v>1</v>
      </c>
      <c r="S208" s="569">
        <f>SUMIF(Q200:Q205,Q208,S200:S205)</f>
        <v>12.000001447940306</v>
      </c>
      <c r="T208" s="570">
        <f>SUMIF(Q200:Q205,Q208,T200:T205)</f>
        <v>14.000000557259256</v>
      </c>
      <c r="U208" s="570">
        <f>SUMIF(Q200:Q205,Q208,U200:U205)</f>
        <v>12.000000202832187</v>
      </c>
      <c r="V208" s="571">
        <f>SUMIF(Q200:Q205,Q208,V200:V205)</f>
        <v>11.999395135203567</v>
      </c>
      <c r="W208" s="586">
        <f>SUM(S208:V208)</f>
        <v>49.999397343235316</v>
      </c>
    </row>
    <row r="209" spans="1:23">
      <c r="A209" s="539">
        <v>2</v>
      </c>
      <c r="C209" s="572">
        <f>SUMIF(A200:A205,A209,C200:C205)</f>
        <v>14.999882928343773</v>
      </c>
      <c r="D209" s="488">
        <f>SUMIF(A200:A205,A209,D200:D205)</f>
        <v>13.999879228391249</v>
      </c>
      <c r="E209" s="488">
        <f>SUMIF(A200:A205,A209,E200:E205)</f>
        <v>12.999986516044549</v>
      </c>
      <c r="F209" s="485">
        <f>SUMIF(A200:A205,A209,F200:F205)</f>
        <v>7.0002513272204299</v>
      </c>
      <c r="G209" s="586">
        <f>SUM(C209:F209)</f>
        <v>49.000000000000007</v>
      </c>
      <c r="I209" s="539">
        <v>2</v>
      </c>
      <c r="K209" s="572">
        <f>SUMIF(I200:I205,I209,K200:K205)</f>
        <v>15</v>
      </c>
      <c r="L209" s="488">
        <f>SUMIF(I200:I205,I209,L200:L205)</f>
        <v>14</v>
      </c>
      <c r="M209" s="488">
        <f>SUMIF(I200:I205,I209,M200:M205)</f>
        <v>13</v>
      </c>
      <c r="N209" s="485">
        <f>SUMIF(I200:I205,I209,N200:N205)</f>
        <v>7</v>
      </c>
      <c r="O209" s="586">
        <f>SUM(K209:N209)</f>
        <v>49</v>
      </c>
      <c r="Q209" s="539">
        <v>2</v>
      </c>
      <c r="S209" s="572">
        <f>SUMIF(Q200:Q205,Q209,S200:S205)</f>
        <v>15.000009975954789</v>
      </c>
      <c r="T209" s="488">
        <f>SUMIF(Q200:Q205,Q209,T200:T205)</f>
        <v>13.999997980619863</v>
      </c>
      <c r="U209" s="488">
        <f>SUMIF(Q200:Q205,Q209,U200:U205)</f>
        <v>13.000000691832355</v>
      </c>
      <c r="V209" s="485">
        <f>SUMIF(Q200:Q205,Q209,V200:V205)</f>
        <v>7.0001553819833244</v>
      </c>
      <c r="W209" s="586">
        <f>SUM(S209:V209)</f>
        <v>49.00016403039033</v>
      </c>
    </row>
    <row r="210" spans="1:23">
      <c r="A210" s="539">
        <v>3</v>
      </c>
      <c r="C210" s="573">
        <f>SUMIF(A200:A205,A210,C200:C205)</f>
        <v>23.999769361358741</v>
      </c>
      <c r="D210" s="574">
        <f>SUMIF(A200:A205,A210,D200:D205)</f>
        <v>15.999855090967262</v>
      </c>
      <c r="E210" s="574">
        <f>SUMIF(A200:A205,A210,E200:E205)</f>
        <v>15.999789857685483</v>
      </c>
      <c r="F210" s="575">
        <f>SUMIF(A200:A205,A210,F200:F205)</f>
        <v>20.000585689988519</v>
      </c>
      <c r="G210" s="586">
        <f>SUM(C210:F210)</f>
        <v>76</v>
      </c>
      <c r="I210" s="539">
        <v>3</v>
      </c>
      <c r="K210" s="573">
        <f>SUMIF(I200:I205,I210,K200:K205)</f>
        <v>24</v>
      </c>
      <c r="L210" s="574">
        <f>SUMIF(I200:I205,I210,L200:L205)</f>
        <v>16</v>
      </c>
      <c r="M210" s="574">
        <f>SUMIF(I200:I205,I210,M200:M205)</f>
        <v>16</v>
      </c>
      <c r="N210" s="575">
        <f>SUMIF(I200:I205,I210,N200:N205)</f>
        <v>20</v>
      </c>
      <c r="O210" s="586">
        <f>SUM(K210:N210)</f>
        <v>76</v>
      </c>
      <c r="Q210" s="539">
        <v>3</v>
      </c>
      <c r="S210" s="573">
        <f>SUMIF(Q200:Q205,Q210,S200:S205)</f>
        <v>23.999988576104897</v>
      </c>
      <c r="T210" s="574">
        <f>SUMIF(Q200:Q205,Q210,T200:T205)</f>
        <v>16.000001462120885</v>
      </c>
      <c r="U210" s="574">
        <f>SUMIF(Q200:Q205,Q210,U200:U205)</f>
        <v>15.99999910533546</v>
      </c>
      <c r="V210" s="575">
        <f>SUMIF(Q200:Q205,Q210,V200:V205)</f>
        <v>20.000449482813107</v>
      </c>
      <c r="W210" s="586">
        <f>SUM(S210:V210)</f>
        <v>76.000438626374347</v>
      </c>
    </row>
    <row r="212" spans="1:23">
      <c r="B212" s="539">
        <v>1</v>
      </c>
      <c r="C212" s="569">
        <f>SUMIF(B200:B205,B212,C200:C205)</f>
        <v>27.999948082013866</v>
      </c>
      <c r="D212" s="570">
        <f>SUMIF(B200:B205,B212,D200:D205)</f>
        <v>23.999978282354363</v>
      </c>
      <c r="E212" s="570">
        <f>SUMIF(B200:B205,B212,E200:E205)</f>
        <v>20.999926416458266</v>
      </c>
      <c r="F212" s="571">
        <f>SUMIF(B200:B205,B212,F200:F205)</f>
        <v>17.000147219173513</v>
      </c>
      <c r="G212" s="586">
        <f>SUM(C212:F212)</f>
        <v>90.000000000000014</v>
      </c>
      <c r="J212" s="539">
        <v>1</v>
      </c>
      <c r="K212" s="569">
        <f>SUMIF(J200:J205,J212,K200:K205)</f>
        <v>27.99997112964072</v>
      </c>
      <c r="L212" s="570">
        <f>SUMIF(J200:J205,J212,L200:L205)</f>
        <v>24.000006318837524</v>
      </c>
      <c r="M212" s="570">
        <f>SUMIF(J200:J205,J212,M200:M205)</f>
        <v>21.000002149413149</v>
      </c>
      <c r="N212" s="571">
        <f>SUMIF(J200:J205,J212,N200:N205)</f>
        <v>16.999522163861304</v>
      </c>
      <c r="O212" s="586">
        <f>SUM(K212:N212)</f>
        <v>89.999501761752697</v>
      </c>
      <c r="R212" s="539">
        <v>1</v>
      </c>
      <c r="S212" s="569">
        <f>SUMIF(R200:R205,R212,S200:S205)</f>
        <v>27.999999999999993</v>
      </c>
      <c r="T212" s="570">
        <f>SUMIF(R200:R205,R212,T200:T205)</f>
        <v>24.000000000000004</v>
      </c>
      <c r="U212" s="570">
        <f>SUMIF(R200:R205,R212,U200:U205)</f>
        <v>21</v>
      </c>
      <c r="V212" s="571">
        <f>SUMIF(R200:R205,R212,V200:V205)</f>
        <v>17</v>
      </c>
      <c r="W212" s="586">
        <f>SUM(S212:V212)</f>
        <v>90</v>
      </c>
    </row>
    <row r="213" spans="1:23">
      <c r="B213" s="539">
        <v>2</v>
      </c>
      <c r="C213" s="573">
        <f>SUMIF(B200:B205,B213,C200:C205)</f>
        <v>22.999959925107017</v>
      </c>
      <c r="D213" s="574">
        <f>SUMIF(B200:B205,B213,D200:D205)</f>
        <v>20.000016335709695</v>
      </c>
      <c r="E213" s="574">
        <f>SUMIF(B200:B205,B213,E200:E205)</f>
        <v>20.000061682647093</v>
      </c>
      <c r="F213" s="575">
        <f>SUMIF(B200:B205,B213,F200:F205)</f>
        <v>21.999962056536191</v>
      </c>
      <c r="G213" s="586">
        <f>SUM(C213:F213)</f>
        <v>85</v>
      </c>
      <c r="J213" s="539">
        <v>2</v>
      </c>
      <c r="K213" s="573">
        <f>SUMIF(J200:J205,J213,K200:K205)</f>
        <v>23.000028870359284</v>
      </c>
      <c r="L213" s="574">
        <f>SUMIF(J200:J205,J213,L200:L205)</f>
        <v>19.999993681162472</v>
      </c>
      <c r="M213" s="574">
        <f>SUMIF(J200:J205,J213,M200:M205)</f>
        <v>19.999997850586848</v>
      </c>
      <c r="N213" s="575">
        <f>SUMIF(J200:J205,J213,N200:N205)</f>
        <v>21.999560729408948</v>
      </c>
      <c r="O213" s="586">
        <f>SUM(K213:N213)</f>
        <v>84.999581131517544</v>
      </c>
      <c r="R213" s="539">
        <v>2</v>
      </c>
      <c r="S213" s="573">
        <f>SUMIF(R200:R205,R213,S200:S205)</f>
        <v>23</v>
      </c>
      <c r="T213" s="574">
        <f>SUMIF(R200:R205,R213,T200:T205)</f>
        <v>20.000000000000004</v>
      </c>
      <c r="U213" s="574">
        <f>SUMIF(R200:R205,R213,U200:U205)</f>
        <v>20</v>
      </c>
      <c r="V213" s="575">
        <f>SUMIF(R200:R205,R213,V200:V205)</f>
        <v>22</v>
      </c>
      <c r="W213" s="586">
        <f>SUM(S213:V213)</f>
        <v>85</v>
      </c>
    </row>
    <row r="215" spans="1:23">
      <c r="A215" s="539" t="s">
        <v>134</v>
      </c>
      <c r="B215" s="539" t="s">
        <v>1379</v>
      </c>
      <c r="C215">
        <v>1</v>
      </c>
      <c r="D215">
        <f>C215+1</f>
        <v>2</v>
      </c>
      <c r="E215">
        <f>D215+1</f>
        <v>3</v>
      </c>
      <c r="F215">
        <f>E215+1</f>
        <v>4</v>
      </c>
      <c r="I215" s="539" t="s">
        <v>134</v>
      </c>
      <c r="J215" s="539" t="s">
        <v>1379</v>
      </c>
      <c r="K215">
        <v>1</v>
      </c>
      <c r="L215">
        <f>K215+1</f>
        <v>2</v>
      </c>
      <c r="M215">
        <f>L215+1</f>
        <v>3</v>
      </c>
      <c r="N215">
        <f>M215+1</f>
        <v>4</v>
      </c>
      <c r="Q215" s="539" t="s">
        <v>134</v>
      </c>
      <c r="R215" s="539" t="s">
        <v>1379</v>
      </c>
      <c r="S215">
        <v>1</v>
      </c>
      <c r="T215">
        <f>S215+1</f>
        <v>2</v>
      </c>
      <c r="U215">
        <f>T215+1</f>
        <v>3</v>
      </c>
      <c r="V215">
        <f>U215+1</f>
        <v>4</v>
      </c>
    </row>
    <row r="216" spans="1:23">
      <c r="A216" s="539">
        <v>1</v>
      </c>
      <c r="B216" s="539">
        <v>1</v>
      </c>
      <c r="C216" s="576">
        <f>S200*$G$6/$W200</f>
        <v>7.2216690875560934</v>
      </c>
      <c r="D216" s="577">
        <f>T200*$G$6/$W200</f>
        <v>6.674406156129236</v>
      </c>
      <c r="E216" s="577">
        <f>U200*$G$6/$W200</f>
        <v>5.1797528082044781</v>
      </c>
      <c r="F216" s="578">
        <f>V200*$G$6/$W200</f>
        <v>8.9241719481101907</v>
      </c>
      <c r="G216" s="488">
        <f t="shared" ref="G216:G221" si="38">SUM(C216:F216)</f>
        <v>28</v>
      </c>
      <c r="I216" s="539">
        <v>1</v>
      </c>
      <c r="J216" s="539">
        <v>1</v>
      </c>
      <c r="K216" s="576">
        <f>C216*$C$14/C224</f>
        <v>7.2215774542306042</v>
      </c>
      <c r="L216" s="577">
        <f>D216*$D$14/D224</f>
        <v>6.6743322883311889</v>
      </c>
      <c r="M216" s="577">
        <f>E216*$E$14/E224</f>
        <v>5.1796984781736111</v>
      </c>
      <c r="N216" s="578">
        <f>F216*F208/F224</f>
        <v>8.9239528049321279</v>
      </c>
      <c r="O216" s="488">
        <f t="shared" ref="O216:O221" si="39">SUM(K216:N216)</f>
        <v>27.999561025667532</v>
      </c>
      <c r="Q216" s="539">
        <v>1</v>
      </c>
      <c r="R216" s="539">
        <v>1</v>
      </c>
      <c r="S216" s="576">
        <f>K216*$C$18/K228</f>
        <v>7.2215818087387813</v>
      </c>
      <c r="T216" s="577">
        <f>L216*$D$18/L228</f>
        <v>6.6743312475584311</v>
      </c>
      <c r="U216" s="577">
        <f>M216*$E$18/M228</f>
        <v>5.1796982551512167</v>
      </c>
      <c r="V216" s="578">
        <f>N216*$F$18/N228</f>
        <v>8.9240996109490798</v>
      </c>
      <c r="W216" s="488">
        <f t="shared" ref="W216:W221" si="40">SUM(S216:V216)</f>
        <v>27.999710922397512</v>
      </c>
    </row>
    <row r="217" spans="1:23">
      <c r="A217" s="539">
        <v>1</v>
      </c>
      <c r="B217" s="539">
        <v>2</v>
      </c>
      <c r="C217" s="579">
        <f>S201*$G$7/$W201</f>
        <v>4.7784831783321877</v>
      </c>
      <c r="D217" s="580">
        <f>T201*$G$7/$W201</f>
        <v>7.3257487880851038</v>
      </c>
      <c r="E217" s="580">
        <f>U201*$G$7/$W201</f>
        <v>6.8203730601975456</v>
      </c>
      <c r="F217" s="581">
        <f>V201*$G$7/$W201</f>
        <v>3.0753949733851602</v>
      </c>
      <c r="G217" s="488">
        <f t="shared" si="38"/>
        <v>22</v>
      </c>
      <c r="I217" s="539">
        <v>1</v>
      </c>
      <c r="J217" s="539">
        <v>2</v>
      </c>
      <c r="K217" s="579">
        <f>C217*$C$14/C224</f>
        <v>4.778422545769395</v>
      </c>
      <c r="L217" s="580">
        <f>D217*$D$14/D224</f>
        <v>7.3256677116688103</v>
      </c>
      <c r="M217" s="580">
        <f>E217*$E$14/E224</f>
        <v>6.8203015218263898</v>
      </c>
      <c r="N217" s="581">
        <f>F217*$F$14/F224</f>
        <v>3.0755059680122989</v>
      </c>
      <c r="O217" s="488">
        <f t="shared" si="39"/>
        <v>21.999897747276894</v>
      </c>
      <c r="Q217" s="539">
        <v>1</v>
      </c>
      <c r="R217" s="539">
        <v>2</v>
      </c>
      <c r="S217" s="579">
        <f>K217*$C$19/K229</f>
        <v>4.7784190380794129</v>
      </c>
      <c r="T217" s="580">
        <f>L217*$D$19/L229</f>
        <v>7.3256690824770381</v>
      </c>
      <c r="U217" s="580">
        <f>M217*$E$19/M229</f>
        <v>6.8203018301713865</v>
      </c>
      <c r="V217" s="581">
        <f>N217*$F$19/N229</f>
        <v>3.0755425345821625</v>
      </c>
      <c r="W217" s="488">
        <f t="shared" si="40"/>
        <v>21.999932485309998</v>
      </c>
    </row>
    <row r="218" spans="1:23">
      <c r="A218" s="539">
        <v>2</v>
      </c>
      <c r="B218" s="539">
        <v>1</v>
      </c>
      <c r="C218" s="579">
        <f>S202*$G$8/$W202</f>
        <v>12.598545096228014</v>
      </c>
      <c r="D218" s="580">
        <f>T202*$G$8/$W202</f>
        <v>11.122626391537732</v>
      </c>
      <c r="E218" s="580">
        <f>U202*$G$8/$W202</f>
        <v>3.3613062067663191</v>
      </c>
      <c r="F218" s="581">
        <f>V202*$G$8/$W202</f>
        <v>1.9175223054679356</v>
      </c>
      <c r="G218" s="488">
        <f t="shared" si="38"/>
        <v>29</v>
      </c>
      <c r="I218" s="539">
        <v>2</v>
      </c>
      <c r="J218" s="539">
        <v>1</v>
      </c>
      <c r="K218" s="579">
        <f>C218*$C$15/C225</f>
        <v>12.598604096059006</v>
      </c>
      <c r="L218" s="580">
        <f>D218*$D$15/D225</f>
        <v>11.122683406198624</v>
      </c>
      <c r="M218" s="580">
        <f>E218*$E$15/E225</f>
        <v>3.3613082458402435</v>
      </c>
      <c r="N218" s="581">
        <f>F218*$F$15/F225</f>
        <v>1.9174812451791929</v>
      </c>
      <c r="O218" s="488">
        <f t="shared" si="39"/>
        <v>29.000076993277066</v>
      </c>
      <c r="Q218" s="539">
        <v>2</v>
      </c>
      <c r="R218" s="539">
        <v>1</v>
      </c>
      <c r="S218" s="579">
        <f>K218*$C$18/K228</f>
        <v>12.598611692837537</v>
      </c>
      <c r="T218" s="580">
        <f>L218*$D$18/L228</f>
        <v>11.122681671765067</v>
      </c>
      <c r="U218" s="580">
        <f>M218*$E$18/M228</f>
        <v>3.3613081011123183</v>
      </c>
      <c r="V218" s="581">
        <f>N218*$F$18/N228</f>
        <v>1.9175127892483219</v>
      </c>
      <c r="W218" s="488">
        <f t="shared" si="40"/>
        <v>29.00011425496324</v>
      </c>
    </row>
    <row r="219" spans="1:23">
      <c r="A219" s="539">
        <v>2</v>
      </c>
      <c r="B219" s="539">
        <v>2</v>
      </c>
      <c r="C219" s="579">
        <f>S203*$G$9/$W203</f>
        <v>2.4013846580957106</v>
      </c>
      <c r="D219" s="580">
        <f>T203*$G$9/$W203</f>
        <v>2.8773018447319409</v>
      </c>
      <c r="E219" s="580">
        <f>U203*$G$9/$W203</f>
        <v>9.6386859070301316</v>
      </c>
      <c r="F219" s="581">
        <f>V203*$G$9/$W203</f>
        <v>5.0826275901422155</v>
      </c>
      <c r="G219" s="488">
        <f t="shared" si="38"/>
        <v>20</v>
      </c>
      <c r="I219" s="539">
        <v>2</v>
      </c>
      <c r="J219" s="539">
        <v>2</v>
      </c>
      <c r="K219" s="579">
        <f>C219*$C$15/C225</f>
        <v>2.4013959039409962</v>
      </c>
      <c r="L219" s="580">
        <f>D219*$D$15/D225</f>
        <v>2.8773165938013765</v>
      </c>
      <c r="M219" s="580">
        <f>E219*$E$15/E225</f>
        <v>9.6386917541597565</v>
      </c>
      <c r="N219" s="581">
        <f>F219*$F$15/F225</f>
        <v>5.0825187548208071</v>
      </c>
      <c r="O219" s="488">
        <f t="shared" si="39"/>
        <v>19.999923006722938</v>
      </c>
      <c r="Q219" s="539">
        <v>2</v>
      </c>
      <c r="R219" s="539">
        <v>2</v>
      </c>
      <c r="S219" s="579">
        <f>K219*$C$19/K229</f>
        <v>2.4013941411516502</v>
      </c>
      <c r="T219" s="580">
        <f>L219*$D$19/L229</f>
        <v>2.8773171322163598</v>
      </c>
      <c r="U219" s="580">
        <f>M219*$E$19/M229</f>
        <v>9.6386921899238303</v>
      </c>
      <c r="V219" s="581">
        <f>N219*$F$19/N229</f>
        <v>5.0825791839921575</v>
      </c>
      <c r="W219" s="488">
        <f t="shared" si="40"/>
        <v>19.999982647284</v>
      </c>
    </row>
    <row r="220" spans="1:23">
      <c r="A220" s="539">
        <v>3</v>
      </c>
      <c r="B220" s="539">
        <v>1</v>
      </c>
      <c r="C220" s="579">
        <f>S204*$G$10/$W204</f>
        <v>8.1797548109060454</v>
      </c>
      <c r="D220" s="580">
        <f>T204*$G$10/$W204</f>
        <v>6.2029544573201356</v>
      </c>
      <c r="E220" s="580">
        <f>U204*$G$10/$W204</f>
        <v>12.458897154828007</v>
      </c>
      <c r="F220" s="581">
        <f>V204*$G$10/$W204</f>
        <v>6.1583935769458069</v>
      </c>
      <c r="G220" s="488">
        <f t="shared" si="38"/>
        <v>32.999999999999993</v>
      </c>
      <c r="I220" s="539">
        <v>3</v>
      </c>
      <c r="J220" s="539">
        <v>1</v>
      </c>
      <c r="K220" s="579">
        <f>C220*$C$16/C226</f>
        <v>8.1798015661200338</v>
      </c>
      <c r="L220" s="580">
        <f>D220*$D$16/D226</f>
        <v>6.2029880479494359</v>
      </c>
      <c r="M220" s="580">
        <f>E220*$E$16/E226</f>
        <v>12.458994180183657</v>
      </c>
      <c r="N220" s="581">
        <f>F220*$F$16/F226</f>
        <v>6.158286291167129</v>
      </c>
      <c r="O220" s="488">
        <f t="shared" si="39"/>
        <v>33.000070085420255</v>
      </c>
      <c r="Q220" s="539">
        <v>3</v>
      </c>
      <c r="R220" s="539">
        <v>1</v>
      </c>
      <c r="S220" s="579">
        <f>K220*$C$18/K228</f>
        <v>8.1798064984236802</v>
      </c>
      <c r="T220" s="580">
        <f>L220*$D$18/L228</f>
        <v>6.2029870806765013</v>
      </c>
      <c r="U220" s="580">
        <f>M220*$E$18/M228</f>
        <v>12.458993643736463</v>
      </c>
      <c r="V220" s="581">
        <f>N220*$F$18/N228</f>
        <v>6.1583875998025972</v>
      </c>
      <c r="W220" s="488">
        <f t="shared" si="40"/>
        <v>33.000174822639238</v>
      </c>
    </row>
    <row r="221" spans="1:23">
      <c r="A221" s="539">
        <v>3</v>
      </c>
      <c r="B221" s="539">
        <v>2</v>
      </c>
      <c r="C221" s="582">
        <f>S205*$G$11/$W205</f>
        <v>15.820108006654179</v>
      </c>
      <c r="D221" s="583">
        <f>T205*$G$11/$W205</f>
        <v>9.7969588989422576</v>
      </c>
      <c r="E221" s="583">
        <f>U205*$G$11/$W205</f>
        <v>3.5409782439667961</v>
      </c>
      <c r="F221" s="584">
        <f>V205*$G$11/$W205</f>
        <v>13.84195485043676</v>
      </c>
      <c r="G221" s="488">
        <f t="shared" si="38"/>
        <v>43</v>
      </c>
      <c r="I221" s="539">
        <v>3</v>
      </c>
      <c r="J221" s="539">
        <v>2</v>
      </c>
      <c r="K221" s="582">
        <f>C221*$C$16/C226</f>
        <v>15.820198433879966</v>
      </c>
      <c r="L221" s="583">
        <f>D221*$D$16/D226</f>
        <v>9.7970119520505641</v>
      </c>
      <c r="M221" s="583">
        <f>E221*$E$16/E226</f>
        <v>3.5410058198163434</v>
      </c>
      <c r="N221" s="584">
        <f>F221*$F$16/F226</f>
        <v>13.841713708832868</v>
      </c>
      <c r="O221" s="488">
        <f t="shared" si="39"/>
        <v>42.999929914579745</v>
      </c>
      <c r="Q221" s="539">
        <v>3</v>
      </c>
      <c r="R221" s="539">
        <v>2</v>
      </c>
      <c r="S221" s="582">
        <f>K221*$C$19/K229</f>
        <v>15.820186820768939</v>
      </c>
      <c r="T221" s="583">
        <f>L221*$D$19/L229</f>
        <v>9.7970137853066053</v>
      </c>
      <c r="U221" s="583">
        <f>M221*$E$19/M229</f>
        <v>3.5410059799047828</v>
      </c>
      <c r="V221" s="584">
        <f>N221*$F$19/N229</f>
        <v>13.84187828142568</v>
      </c>
      <c r="W221" s="488">
        <f t="shared" si="40"/>
        <v>43.000084867406002</v>
      </c>
    </row>
    <row r="222" spans="1:23">
      <c r="C222" s="585">
        <f>SUM(C216:C221)</f>
        <v>50.999944837772233</v>
      </c>
      <c r="D222" s="585">
        <f>SUM(D216:D221)</f>
        <v>43.999996536746409</v>
      </c>
      <c r="E222" s="585">
        <f>SUM(E216:E221)</f>
        <v>40.999993380993281</v>
      </c>
      <c r="F222" s="585">
        <f>SUM(F216:F221)</f>
        <v>39.00006524448807</v>
      </c>
      <c r="G222" s="587">
        <f>SUM(G216:G221)</f>
        <v>175</v>
      </c>
      <c r="K222" s="585">
        <f>SUM(K216:K221)</f>
        <v>51</v>
      </c>
      <c r="L222" s="585">
        <f>SUM(L216:L221)</f>
        <v>44</v>
      </c>
      <c r="M222" s="585">
        <f>SUM(M216:M221)</f>
        <v>41</v>
      </c>
      <c r="N222" s="585">
        <f>SUM(N216:N221)</f>
        <v>38.999458772944429</v>
      </c>
      <c r="O222" s="587">
        <f>SUM(O216:O221)</f>
        <v>174.99945877294442</v>
      </c>
      <c r="S222" s="585">
        <f>SUM(S216:S221)</f>
        <v>51</v>
      </c>
      <c r="T222" s="585">
        <f>SUM(T216:T221)</f>
        <v>44</v>
      </c>
      <c r="U222" s="585">
        <f>SUM(U216:U221)</f>
        <v>41</v>
      </c>
      <c r="V222" s="585">
        <f>SUM(V216:V221)</f>
        <v>39</v>
      </c>
      <c r="W222" s="587">
        <f>SUM(W216:W221)</f>
        <v>174.99999999999997</v>
      </c>
    </row>
    <row r="224" spans="1:23">
      <c r="A224" s="539">
        <v>1</v>
      </c>
      <c r="C224" s="569">
        <f>SUMIF(A216:A221,A224,C216:C221)</f>
        <v>12.000152265888282</v>
      </c>
      <c r="D224" s="570">
        <f>SUMIF(A216:A221,A224,D216:D221)</f>
        <v>14.000154944214341</v>
      </c>
      <c r="E224" s="570">
        <f>SUMIF(A216:A221,A224,E216:E221)</f>
        <v>12.000125868402023</v>
      </c>
      <c r="F224" s="571">
        <f>SUMIF(A216:A221,A224,F216:F221)</f>
        <v>11.999566921495351</v>
      </c>
      <c r="G224" s="586">
        <f>SUM(C224:F224)</f>
        <v>49.999999999999993</v>
      </c>
      <c r="I224" s="539">
        <v>1</v>
      </c>
      <c r="K224" s="569">
        <f>SUMIF(I216:I221,I224,K216:K221)</f>
        <v>12</v>
      </c>
      <c r="L224" s="570">
        <f>SUMIF(I216:I221,I224,L216:L221)</f>
        <v>14</v>
      </c>
      <c r="M224" s="570">
        <f>SUMIF(I216:I221,I224,M216:M221)</f>
        <v>12</v>
      </c>
      <c r="N224" s="571">
        <f>SUMIF(I216:I221,I224,N216:N221)</f>
        <v>11.999458772944427</v>
      </c>
      <c r="O224" s="586">
        <f>SUM(K224:N224)</f>
        <v>49.999458772944429</v>
      </c>
      <c r="Q224" s="539">
        <v>1</v>
      </c>
      <c r="S224" s="569">
        <f>SUMIF(Q216:Q221,Q224,S216:S221)</f>
        <v>12.000000846818194</v>
      </c>
      <c r="T224" s="570">
        <f>SUMIF(Q216:Q221,Q224,T216:T221)</f>
        <v>14.000000330035469</v>
      </c>
      <c r="U224" s="570">
        <f>SUMIF(Q216:Q221,Q224,U216:U221)</f>
        <v>12.000000085322604</v>
      </c>
      <c r="V224" s="571">
        <f>SUMIF(Q216:Q221,Q224,V216:V221)</f>
        <v>11.999642145531242</v>
      </c>
      <c r="W224" s="586">
        <f>SUM(S224:V224)</f>
        <v>49.999643407707509</v>
      </c>
    </row>
    <row r="225" spans="1:23">
      <c r="A225" s="539">
        <v>2</v>
      </c>
      <c r="C225" s="572">
        <f>SUMIF(A216:A221,A225,C216:C221)</f>
        <v>14.999929754323723</v>
      </c>
      <c r="D225" s="488">
        <f>SUMIF(A216:A221,A225,D216:D221)</f>
        <v>13.999928236269673</v>
      </c>
      <c r="E225" s="488">
        <f>SUMIF(A216:A221,A225,E216:E221)</f>
        <v>12.99999211379645</v>
      </c>
      <c r="F225" s="485">
        <f>SUMIF(A216:A221,A225,F216:F221)</f>
        <v>7.0001498956101509</v>
      </c>
      <c r="G225" s="586">
        <f>SUM(C225:F225)</f>
        <v>49</v>
      </c>
      <c r="I225" s="539">
        <v>2</v>
      </c>
      <c r="K225" s="572">
        <f>SUMIF(I216:I221,I225,K216:K221)</f>
        <v>15.000000000000002</v>
      </c>
      <c r="L225" s="488">
        <f>SUMIF(I216:I221,I225,L216:L221)</f>
        <v>14</v>
      </c>
      <c r="M225" s="488">
        <f>SUMIF(I216:I221,I225,M216:M221)</f>
        <v>13</v>
      </c>
      <c r="N225" s="485">
        <f>SUMIF(I216:I221,I225,N216:N221)</f>
        <v>7</v>
      </c>
      <c r="O225" s="586">
        <f>SUM(K225:N225)</f>
        <v>49</v>
      </c>
      <c r="Q225" s="539">
        <v>2</v>
      </c>
      <c r="S225" s="572">
        <f>SUMIF(Q216:Q221,Q225,S216:S221)</f>
        <v>15.000005833989187</v>
      </c>
      <c r="T225" s="488">
        <f>SUMIF(Q216:Q221,Q225,T216:T221)</f>
        <v>13.999998803981427</v>
      </c>
      <c r="U225" s="488">
        <f>SUMIF(Q216:Q221,Q225,U216:U221)</f>
        <v>13.000000291036148</v>
      </c>
      <c r="V225" s="485">
        <f>SUMIF(Q216:Q221,Q225,V216:V221)</f>
        <v>7.0000919732404796</v>
      </c>
      <c r="W225" s="586">
        <f>SUM(S225:V225)</f>
        <v>49.000096902247243</v>
      </c>
    </row>
    <row r="226" spans="1:23">
      <c r="A226" s="539">
        <v>3</v>
      </c>
      <c r="C226" s="573">
        <f>SUMIF(A216:A221,A226,C216:C221)</f>
        <v>23.999862817560224</v>
      </c>
      <c r="D226" s="574">
        <f>SUMIF(A216:A221,A226,D216:D221)</f>
        <v>15.999913356262393</v>
      </c>
      <c r="E226" s="574">
        <f>SUMIF(A216:A221,A226,E216:E221)</f>
        <v>15.999875398794803</v>
      </c>
      <c r="F226" s="575">
        <f>SUMIF(A216:A221,A226,F216:F221)</f>
        <v>20.000348427382569</v>
      </c>
      <c r="G226" s="586">
        <f>SUM(C226:F226)</f>
        <v>76</v>
      </c>
      <c r="I226" s="539">
        <v>3</v>
      </c>
      <c r="K226" s="573">
        <f>SUMIF(I216:I221,I226,K216:K221)</f>
        <v>24</v>
      </c>
      <c r="L226" s="574">
        <f>SUMIF(I216:I221,I226,L216:L221)</f>
        <v>16</v>
      </c>
      <c r="M226" s="574">
        <f>SUMIF(I216:I221,I226,M216:M221)</f>
        <v>16</v>
      </c>
      <c r="N226" s="575">
        <f>SUMIF(I216:I221,I226,N216:N221)</f>
        <v>19.999999999999996</v>
      </c>
      <c r="O226" s="586">
        <f>SUM(K226:N226)</f>
        <v>76</v>
      </c>
      <c r="Q226" s="539">
        <v>3</v>
      </c>
      <c r="S226" s="573">
        <f>SUMIF(Q216:Q221,Q226,S216:S221)</f>
        <v>23.999993319192619</v>
      </c>
      <c r="T226" s="574">
        <f>SUMIF(Q216:Q221,Q226,T216:T221)</f>
        <v>16.000000865983107</v>
      </c>
      <c r="U226" s="574">
        <f>SUMIF(Q216:Q221,Q226,U216:U221)</f>
        <v>15.999999623641246</v>
      </c>
      <c r="V226" s="575">
        <f>SUMIF(Q216:Q221,Q226,V216:V221)</f>
        <v>20.000265881228277</v>
      </c>
      <c r="W226" s="586">
        <f>SUM(S226:V226)</f>
        <v>76.00025969004524</v>
      </c>
    </row>
    <row r="228" spans="1:23">
      <c r="B228" s="539">
        <v>1</v>
      </c>
      <c r="C228" s="569">
        <f>SUMIF(B216:B221,B228,C216:C221)</f>
        <v>27.99996899469015</v>
      </c>
      <c r="D228" s="570">
        <f>SUMIF(B216:B221,B228,D216:D221)</f>
        <v>23.999987004987105</v>
      </c>
      <c r="E228" s="570">
        <f>SUMIF(B216:B221,B228,E216:E221)</f>
        <v>20.999956169798804</v>
      </c>
      <c r="F228" s="571">
        <f>SUMIF(B216:B221,B228,F216:F221)</f>
        <v>17.000087830523931</v>
      </c>
      <c r="G228" s="586">
        <f>SUM(C228:F228)</f>
        <v>90</v>
      </c>
      <c r="J228" s="539">
        <v>1</v>
      </c>
      <c r="K228" s="569">
        <f>SUMIF(J216:J221,J228,K216:K221)</f>
        <v>27.999983116409645</v>
      </c>
      <c r="L228" s="570">
        <f>SUMIF(J216:J221,J228,L216:L221)</f>
        <v>24.000003742479247</v>
      </c>
      <c r="M228" s="570">
        <f>SUMIF(J216:J221,J228,M216:M221)</f>
        <v>21.000000904197513</v>
      </c>
      <c r="N228" s="571">
        <f>SUMIF(J216:J221,J228,N216:N221)</f>
        <v>16.999720341278451</v>
      </c>
      <c r="O228" s="586">
        <f>SUM(K228:N228)</f>
        <v>89.999708104364856</v>
      </c>
      <c r="R228" s="539">
        <v>1</v>
      </c>
      <c r="S228" s="569">
        <f>SUMIF(R216:R221,R228,S216:S221)</f>
        <v>28</v>
      </c>
      <c r="T228" s="570">
        <f>SUMIF(R216:R221,R228,T216:T221)</f>
        <v>24</v>
      </c>
      <c r="U228" s="570">
        <f>SUMIF(R216:R221,R228,U216:U221)</f>
        <v>21</v>
      </c>
      <c r="V228" s="571">
        <f>SUMIF(R216:R221,R228,V216:V221)</f>
        <v>17</v>
      </c>
      <c r="W228" s="586">
        <f>SUM(S228:V228)</f>
        <v>90</v>
      </c>
    </row>
    <row r="229" spans="1:23">
      <c r="B229" s="539">
        <v>2</v>
      </c>
      <c r="C229" s="573">
        <f>SUMIF(B216:B221,B229,C216:C221)</f>
        <v>22.999975843082076</v>
      </c>
      <c r="D229" s="574">
        <f>SUMIF(B216:B221,B229,D216:D221)</f>
        <v>20.000009531759304</v>
      </c>
      <c r="E229" s="574">
        <f>SUMIF(B216:B221,B229,E216:E221)</f>
        <v>20.000037211194474</v>
      </c>
      <c r="F229" s="575">
        <f>SUMIF(B216:B221,B229,F216:F221)</f>
        <v>21.999977413964135</v>
      </c>
      <c r="G229" s="586">
        <f>SUM(C229:F229)</f>
        <v>84.999999999999986</v>
      </c>
      <c r="J229" s="539">
        <v>2</v>
      </c>
      <c r="K229" s="573">
        <f>SUMIF(J216:J221,J229,K216:K221)</f>
        <v>23.000016883590355</v>
      </c>
      <c r="L229" s="574">
        <f>SUMIF(J216:J221,J229,L216:L221)</f>
        <v>19.999996257520749</v>
      </c>
      <c r="M229" s="574">
        <f>SUMIF(J216:J221,J229,M216:M221)</f>
        <v>19.99999909580249</v>
      </c>
      <c r="N229" s="575">
        <f>SUMIF(J216:J221,J229,N216:N221)</f>
        <v>21.999738431665975</v>
      </c>
      <c r="O229" s="586">
        <f>SUM(K229:N229)</f>
        <v>84.999750668579566</v>
      </c>
      <c r="R229" s="539">
        <v>2</v>
      </c>
      <c r="S229" s="573">
        <f>SUMIF(R216:R221,R229,S216:S221)</f>
        <v>23</v>
      </c>
      <c r="T229" s="574">
        <f>SUMIF(R216:R221,R229,T216:T221)</f>
        <v>20.000000000000004</v>
      </c>
      <c r="U229" s="574">
        <f>SUMIF(R216:R221,R229,U216:U221)</f>
        <v>20</v>
      </c>
      <c r="V229" s="575">
        <f>SUMIF(R216:R221,R229,V216:V221)</f>
        <v>22</v>
      </c>
      <c r="W229" s="586">
        <f>SUM(S229:V229)</f>
        <v>85</v>
      </c>
    </row>
    <row r="231" spans="1:23">
      <c r="A231" s="539" t="s">
        <v>134</v>
      </c>
      <c r="B231" s="539" t="s">
        <v>1379</v>
      </c>
      <c r="C231">
        <v>1</v>
      </c>
      <c r="D231">
        <f>C231+1</f>
        <v>2</v>
      </c>
      <c r="E231">
        <f>D231+1</f>
        <v>3</v>
      </c>
      <c r="F231">
        <f>E231+1</f>
        <v>4</v>
      </c>
      <c r="I231" s="539" t="s">
        <v>134</v>
      </c>
      <c r="J231" s="539" t="s">
        <v>1379</v>
      </c>
      <c r="K231">
        <v>1</v>
      </c>
      <c r="L231">
        <f>K231+1</f>
        <v>2</v>
      </c>
      <c r="M231">
        <f>L231+1</f>
        <v>3</v>
      </c>
      <c r="N231">
        <f>M231+1</f>
        <v>4</v>
      </c>
      <c r="Q231" s="539" t="s">
        <v>134</v>
      </c>
      <c r="R231" s="539" t="s">
        <v>1379</v>
      </c>
      <c r="S231">
        <v>1</v>
      </c>
      <c r="T231">
        <f>S231+1</f>
        <v>2</v>
      </c>
      <c r="U231">
        <f>T231+1</f>
        <v>3</v>
      </c>
      <c r="V231">
        <f>U231+1</f>
        <v>4</v>
      </c>
    </row>
    <row r="232" spans="1:23">
      <c r="A232" s="539">
        <v>1</v>
      </c>
      <c r="B232" s="539">
        <v>1</v>
      </c>
      <c r="C232" s="576">
        <f>S216*$G$6/$W216</f>
        <v>7.2216563665640825</v>
      </c>
      <c r="D232" s="577">
        <f>T216*$G$6/$W216</f>
        <v>6.6744001554011092</v>
      </c>
      <c r="E232" s="577">
        <f>U216*$G$6/$W216</f>
        <v>5.1797517319445081</v>
      </c>
      <c r="F232" s="578">
        <f>V216*$G$6/$W216</f>
        <v>8.9241917460902975</v>
      </c>
      <c r="G232" s="488">
        <f t="shared" ref="G232:G237" si="41">SUM(C232:F232)</f>
        <v>27.999999999999996</v>
      </c>
      <c r="I232" s="539">
        <v>1</v>
      </c>
      <c r="J232" s="539">
        <v>1</v>
      </c>
      <c r="K232" s="576">
        <f>C232*$C$14/C240</f>
        <v>7.2216021630612044</v>
      </c>
      <c r="L232" s="577">
        <f>D232*$D$14/D240</f>
        <v>6.674356429154277</v>
      </c>
      <c r="M232" s="577">
        <f>E232*$E$14/E240</f>
        <v>5.1797195776869289</v>
      </c>
      <c r="N232" s="578">
        <f>F232*F224/F240</f>
        <v>8.9240602619876945</v>
      </c>
      <c r="O232" s="488">
        <f t="shared" ref="O232:O237" si="42">SUM(K232:N232)</f>
        <v>27.999738431890105</v>
      </c>
      <c r="Q232" s="539">
        <v>1</v>
      </c>
      <c r="R232" s="539">
        <v>1</v>
      </c>
      <c r="S232" s="576">
        <f>K232*$C$18/K244</f>
        <v>7.22160471325377</v>
      </c>
      <c r="T232" s="577">
        <f>L232*$D$18/L244</f>
        <v>6.6743558225272785</v>
      </c>
      <c r="U232" s="577">
        <f>M232*$E$18/M244</f>
        <v>5.1797194805363524</v>
      </c>
      <c r="V232" s="578">
        <f>N232*$F$18/N244</f>
        <v>8.9241480713706043</v>
      </c>
      <c r="W232" s="488">
        <f t="shared" ref="W232:W237" si="43">SUM(S232:V232)</f>
        <v>27.999828087688002</v>
      </c>
    </row>
    <row r="233" spans="1:23">
      <c r="A233" s="539">
        <v>1</v>
      </c>
      <c r="B233" s="539">
        <v>2</v>
      </c>
      <c r="C233" s="579">
        <f>S217*$G$7/$W217</f>
        <v>4.7784337023735093</v>
      </c>
      <c r="D233" s="580">
        <f>T217*$G$7/$W217</f>
        <v>7.3256915639222653</v>
      </c>
      <c r="E233" s="580">
        <f>U217*$G$7/$W217</f>
        <v>6.8203227607157917</v>
      </c>
      <c r="F233" s="581">
        <f>V217*$G$7/$W217</f>
        <v>3.0755519729884373</v>
      </c>
      <c r="G233" s="488">
        <f t="shared" si="41"/>
        <v>22</v>
      </c>
      <c r="I233" s="539">
        <v>1</v>
      </c>
      <c r="J233" s="539">
        <v>2</v>
      </c>
      <c r="K233" s="579">
        <f>C233*$C$14/C240</f>
        <v>4.7783978369387956</v>
      </c>
      <c r="L233" s="580">
        <f>D233*$D$14/D240</f>
        <v>7.3256435708457222</v>
      </c>
      <c r="M233" s="580">
        <f>E233*$E$14/E240</f>
        <v>6.820280422313072</v>
      </c>
      <c r="N233" s="581">
        <f>F233*$F$14/F240</f>
        <v>3.0756176581656787</v>
      </c>
      <c r="O233" s="488">
        <f t="shared" si="42"/>
        <v>21.999939488263269</v>
      </c>
      <c r="Q233" s="539">
        <v>1</v>
      </c>
      <c r="R233" s="539">
        <v>2</v>
      </c>
      <c r="S233" s="579">
        <f>K233*$C$19/K245</f>
        <v>4.7783957826969292</v>
      </c>
      <c r="T233" s="580">
        <f>L233*$D$19/L245</f>
        <v>7.3256443698322506</v>
      </c>
      <c r="U233" s="580">
        <f>M233*$E$19/M245</f>
        <v>6.8202805566299807</v>
      </c>
      <c r="V233" s="581">
        <f>N233*$F$19/N245</f>
        <v>3.0756393005883758</v>
      </c>
      <c r="W233" s="488">
        <f t="shared" si="43"/>
        <v>21.999960009747536</v>
      </c>
    </row>
    <row r="234" spans="1:23">
      <c r="A234" s="539">
        <v>2</v>
      </c>
      <c r="B234" s="539">
        <v>1</v>
      </c>
      <c r="C234" s="579">
        <f>S218*$G$8/$W218</f>
        <v>12.59856205669117</v>
      </c>
      <c r="D234" s="580">
        <f>T218*$G$8/$W218</f>
        <v>11.122637850503731</v>
      </c>
      <c r="E234" s="580">
        <f>U218*$G$8/$W218</f>
        <v>3.3612948581943711</v>
      </c>
      <c r="F234" s="581">
        <f>V218*$G$8/$W218</f>
        <v>1.9175052346107324</v>
      </c>
      <c r="G234" s="488">
        <f t="shared" si="41"/>
        <v>29.000000000000004</v>
      </c>
      <c r="I234" s="539">
        <v>2</v>
      </c>
      <c r="J234" s="539">
        <v>1</v>
      </c>
      <c r="K234" s="579">
        <f>C234*$C$15/C241</f>
        <v>12.598597096430025</v>
      </c>
      <c r="L234" s="580">
        <f>D234*$D$15/D241</f>
        <v>11.122671632293445</v>
      </c>
      <c r="M234" s="580">
        <f>E234*$E$15/E241</f>
        <v>3.3612960447319091</v>
      </c>
      <c r="N234" s="581">
        <f>F234*$F$15/F241</f>
        <v>1.917480902206949</v>
      </c>
      <c r="O234" s="488">
        <f t="shared" si="42"/>
        <v>29.000045675662328</v>
      </c>
      <c r="Q234" s="539">
        <v>2</v>
      </c>
      <c r="R234" s="539">
        <v>1</v>
      </c>
      <c r="S234" s="579">
        <f>K234*$C$18/K244</f>
        <v>12.598601545421802</v>
      </c>
      <c r="T234" s="580">
        <f>L234*$D$18/L244</f>
        <v>11.12267062136258</v>
      </c>
      <c r="U234" s="580">
        <f>M234*$E$18/M244</f>
        <v>3.3612959816875989</v>
      </c>
      <c r="V234" s="581">
        <f>N234*$F$18/N244</f>
        <v>1.9174997694949119</v>
      </c>
      <c r="W234" s="488">
        <f t="shared" si="43"/>
        <v>29.000067917966891</v>
      </c>
    </row>
    <row r="235" spans="1:23">
      <c r="A235" s="539">
        <v>2</v>
      </c>
      <c r="B235" s="539">
        <v>2</v>
      </c>
      <c r="C235" s="579">
        <f>S219*$G$9/$W219</f>
        <v>2.4013962246889848</v>
      </c>
      <c r="D235" s="580">
        <f>T219*$G$9/$W219</f>
        <v>2.8773196286818776</v>
      </c>
      <c r="E235" s="580">
        <f>U219*$G$9/$W219</f>
        <v>9.6387005528054956</v>
      </c>
      <c r="F235" s="581">
        <f>V219*$G$9/$W219</f>
        <v>5.0825835938236406</v>
      </c>
      <c r="G235" s="488">
        <f t="shared" si="41"/>
        <v>20</v>
      </c>
      <c r="I235" s="539">
        <v>2</v>
      </c>
      <c r="J235" s="539">
        <v>2</v>
      </c>
      <c r="K235" s="579">
        <f>C235*$C$15/C241</f>
        <v>2.4014029035699731</v>
      </c>
      <c r="L235" s="580">
        <f>D235*$D$15/D241</f>
        <v>2.8773283677065535</v>
      </c>
      <c r="M235" s="580">
        <f>E235*$E$15/E241</f>
        <v>9.63870395526809</v>
      </c>
      <c r="N235" s="581">
        <f>F235*$F$15/F241</f>
        <v>5.0825190977930506</v>
      </c>
      <c r="O235" s="488">
        <f t="shared" si="42"/>
        <v>19.999954324337669</v>
      </c>
      <c r="Q235" s="539">
        <v>2</v>
      </c>
      <c r="R235" s="539">
        <v>2</v>
      </c>
      <c r="S235" s="579">
        <f>K235*$C$19/K245</f>
        <v>2.4014018712025251</v>
      </c>
      <c r="T235" s="580">
        <f>L235*$D$19/L245</f>
        <v>2.877328681528347</v>
      </c>
      <c r="U235" s="580">
        <f>M235*$E$19/M245</f>
        <v>9.6387041450903315</v>
      </c>
      <c r="V235" s="581">
        <f>N235*$F$19/N245</f>
        <v>5.0825548623252219</v>
      </c>
      <c r="W235" s="488">
        <f t="shared" si="43"/>
        <v>19.999989560146425</v>
      </c>
    </row>
    <row r="236" spans="1:23">
      <c r="A236" s="539">
        <v>3</v>
      </c>
      <c r="B236" s="539">
        <v>1</v>
      </c>
      <c r="C236" s="579">
        <f>S220*$G$10/$W220</f>
        <v>8.1797631648544424</v>
      </c>
      <c r="D236" s="580">
        <f>T220*$G$10/$W220</f>
        <v>6.2029542195605094</v>
      </c>
      <c r="E236" s="580">
        <f>U220*$G$10/$W220</f>
        <v>12.458927640627001</v>
      </c>
      <c r="F236" s="581">
        <f>V220*$G$10/$W220</f>
        <v>6.1583549749580495</v>
      </c>
      <c r="G236" s="488">
        <f t="shared" si="41"/>
        <v>33.000000000000007</v>
      </c>
      <c r="I236" s="539">
        <v>3</v>
      </c>
      <c r="J236" s="539">
        <v>1</v>
      </c>
      <c r="K236" s="579">
        <f>C236*$C$16/C242</f>
        <v>8.1797908527629488</v>
      </c>
      <c r="L236" s="580">
        <f>D236*$D$16/D242</f>
        <v>6.2029741198935717</v>
      </c>
      <c r="M236" s="580">
        <f>E236*$E$16/E242</f>
        <v>12.458984771456182</v>
      </c>
      <c r="N236" s="581">
        <f>F236*$F$16/F242</f>
        <v>6.1582915638711055</v>
      </c>
      <c r="O236" s="488">
        <f t="shared" si="42"/>
        <v>33.000041307983807</v>
      </c>
      <c r="Q236" s="539">
        <v>3</v>
      </c>
      <c r="R236" s="539">
        <v>1</v>
      </c>
      <c r="S236" s="579">
        <f>K236*$C$18/K244</f>
        <v>8.1797937413244277</v>
      </c>
      <c r="T236" s="580">
        <f>L236*$D$18/L244</f>
        <v>6.2029735561101402</v>
      </c>
      <c r="U236" s="580">
        <f>M236*$E$18/M244</f>
        <v>12.458984537776049</v>
      </c>
      <c r="V236" s="581">
        <f>N236*$F$18/N244</f>
        <v>6.1583521591344859</v>
      </c>
      <c r="W236" s="488">
        <f t="shared" si="43"/>
        <v>33.000103994345103</v>
      </c>
    </row>
    <row r="237" spans="1:23">
      <c r="A237" s="539">
        <v>3</v>
      </c>
      <c r="B237" s="539">
        <v>2</v>
      </c>
      <c r="C237" s="582">
        <f>S221*$G$11/$W221</f>
        <v>15.820155597151077</v>
      </c>
      <c r="D237" s="583">
        <f>T221*$G$11/$W221</f>
        <v>9.7969944493646164</v>
      </c>
      <c r="E237" s="583">
        <f>U221*$G$11/$W221</f>
        <v>3.5409989911745727</v>
      </c>
      <c r="F237" s="584">
        <f>V221*$G$11/$W221</f>
        <v>13.841850962309739</v>
      </c>
      <c r="G237" s="488">
        <f t="shared" si="41"/>
        <v>43</v>
      </c>
      <c r="I237" s="539">
        <v>3</v>
      </c>
      <c r="J237" s="539">
        <v>2</v>
      </c>
      <c r="K237" s="582">
        <f>C237*$C$16/C242</f>
        <v>15.820209147237049</v>
      </c>
      <c r="L237" s="583">
        <f>D237*$D$16/D242</f>
        <v>9.7970258801064301</v>
      </c>
      <c r="M237" s="583">
        <f>E237*$E$16/E242</f>
        <v>3.5410152285438175</v>
      </c>
      <c r="N237" s="584">
        <f>F237*$F$16/F242</f>
        <v>13.841708436128897</v>
      </c>
      <c r="O237" s="488">
        <f t="shared" si="42"/>
        <v>42.999958692016193</v>
      </c>
      <c r="Q237" s="539">
        <v>3</v>
      </c>
      <c r="R237" s="539">
        <v>2</v>
      </c>
      <c r="S237" s="582">
        <f>K237*$C$19/K245</f>
        <v>15.820202346100544</v>
      </c>
      <c r="T237" s="583">
        <f>L237*$D$19/L245</f>
        <v>9.7970269486394024</v>
      </c>
      <c r="U237" s="583">
        <f>M237*$E$19/M245</f>
        <v>3.5410152982796914</v>
      </c>
      <c r="V237" s="584">
        <f>N237*$F$19/N245</f>
        <v>13.841805837086403</v>
      </c>
      <c r="W237" s="488">
        <f t="shared" si="43"/>
        <v>43.000050430106043</v>
      </c>
    </row>
    <row r="238" spans="1:23">
      <c r="C238" s="585">
        <f>SUM(C232:C237)</f>
        <v>50.999967112323269</v>
      </c>
      <c r="D238" s="585">
        <f>SUM(D232:D237)</f>
        <v>43.999997867434111</v>
      </c>
      <c r="E238" s="585">
        <f>SUM(E232:E237)</f>
        <v>40.999996535461747</v>
      </c>
      <c r="F238" s="585">
        <f>SUM(F232:F237)</f>
        <v>39.000038484780902</v>
      </c>
      <c r="G238" s="587">
        <f>SUM(G232:G237)</f>
        <v>175</v>
      </c>
      <c r="K238" s="585">
        <f>SUM(K232:K237)</f>
        <v>51</v>
      </c>
      <c r="L238" s="585">
        <f>SUM(L232:L237)</f>
        <v>44</v>
      </c>
      <c r="M238" s="585">
        <f>SUM(M232:M237)</f>
        <v>41</v>
      </c>
      <c r="N238" s="585">
        <f>SUM(N232:N237)</f>
        <v>38.999677920153374</v>
      </c>
      <c r="O238" s="587">
        <f>SUM(O232:O237)</f>
        <v>174.99967792015337</v>
      </c>
      <c r="S238" s="585">
        <f>SUM(S232:S237)</f>
        <v>51</v>
      </c>
      <c r="T238" s="585">
        <f>SUM(T232:T237)</f>
        <v>44</v>
      </c>
      <c r="U238" s="585">
        <f>SUM(U232:U237)</f>
        <v>41</v>
      </c>
      <c r="V238" s="585">
        <f>SUM(V232:V237)</f>
        <v>39.000000000000007</v>
      </c>
      <c r="W238" s="587">
        <f>SUM(W232:W237)</f>
        <v>175</v>
      </c>
    </row>
    <row r="240" spans="1:23">
      <c r="A240" s="539">
        <v>1</v>
      </c>
      <c r="C240" s="569">
        <f>SUMIF(A232:A237,A240,C232:C237)</f>
        <v>12.000090068937592</v>
      </c>
      <c r="D240" s="570">
        <f>SUMIF(A232:A237,A240,D232:D237)</f>
        <v>14.000091719323375</v>
      </c>
      <c r="E240" s="570">
        <f>SUMIF(A232:A237,A240,E232:E237)</f>
        <v>12.0000744926603</v>
      </c>
      <c r="F240" s="571">
        <f>SUMIF(A232:A237,A240,F232:F237)</f>
        <v>11.999743719078735</v>
      </c>
      <c r="G240" s="586">
        <f>SUM(C240:F240)</f>
        <v>50</v>
      </c>
      <c r="I240" s="539">
        <v>1</v>
      </c>
      <c r="K240" s="569">
        <f>SUMIF(I232:I237,I240,K232:K237)</f>
        <v>12</v>
      </c>
      <c r="L240" s="570">
        <f>SUMIF(I232:I237,I240,L232:L237)</f>
        <v>14</v>
      </c>
      <c r="M240" s="570">
        <f>SUMIF(I232:I237,I240,M232:M237)</f>
        <v>12</v>
      </c>
      <c r="N240" s="571">
        <f>SUMIF(I232:I237,I240,N232:N237)</f>
        <v>11.999677920153374</v>
      </c>
      <c r="O240" s="586">
        <f>SUM(K240:N240)</f>
        <v>49.999677920153374</v>
      </c>
      <c r="Q240" s="539">
        <v>1</v>
      </c>
      <c r="S240" s="569">
        <f>SUMIF(Q232:Q237,Q240,S232:S237)</f>
        <v>12.000000495950699</v>
      </c>
      <c r="T240" s="570">
        <f>SUMIF(Q232:Q237,Q240,T232:T237)</f>
        <v>14.000000192359529</v>
      </c>
      <c r="U240" s="570">
        <f>SUMIF(Q232:Q237,Q240,U232:U237)</f>
        <v>12.000000037166334</v>
      </c>
      <c r="V240" s="571">
        <f>SUMIF(Q232:Q237,Q240,V232:V237)</f>
        <v>11.99978737195898</v>
      </c>
      <c r="W240" s="586">
        <f>SUM(S240:V240)</f>
        <v>49.999788097435548</v>
      </c>
    </row>
    <row r="241" spans="1:23">
      <c r="A241" s="539">
        <v>2</v>
      </c>
      <c r="C241" s="572">
        <f>SUMIF(A232:A237,A241,C232:C237)</f>
        <v>14.999958281380156</v>
      </c>
      <c r="D241" s="488">
        <f>SUMIF(A232:A237,A241,D232:D237)</f>
        <v>13.999957479185609</v>
      </c>
      <c r="E241" s="488">
        <f>SUMIF(A232:A237,A241,E232:E237)</f>
        <v>12.999995410999867</v>
      </c>
      <c r="F241" s="485">
        <f>SUMIF(A232:A237,A241,F232:F237)</f>
        <v>7.0000888284343734</v>
      </c>
      <c r="G241" s="586">
        <f>SUM(C241:F241)</f>
        <v>49</v>
      </c>
      <c r="I241" s="539">
        <v>2</v>
      </c>
      <c r="K241" s="572">
        <f>SUMIF(I232:I237,I241,K232:K237)</f>
        <v>14.999999999999998</v>
      </c>
      <c r="L241" s="488">
        <f>SUMIF(I232:I237,I241,L232:L237)</f>
        <v>13.999999999999998</v>
      </c>
      <c r="M241" s="488">
        <f>SUMIF(I232:I237,I241,M232:M237)</f>
        <v>13</v>
      </c>
      <c r="N241" s="485">
        <f>SUMIF(I232:I237,I241,N232:N237)</f>
        <v>7</v>
      </c>
      <c r="O241" s="586">
        <f>SUM(K241:N241)</f>
        <v>49</v>
      </c>
      <c r="Q241" s="539">
        <v>2</v>
      </c>
      <c r="S241" s="572">
        <f>SUMIF(Q232:Q237,Q241,S232:S237)</f>
        <v>15.000003416624327</v>
      </c>
      <c r="T241" s="488">
        <f>SUMIF(Q232:Q237,Q241,T232:T237)</f>
        <v>13.999999302890927</v>
      </c>
      <c r="U241" s="488">
        <f>SUMIF(Q232:Q237,Q241,U232:U237)</f>
        <v>13.00000012677793</v>
      </c>
      <c r="V241" s="485">
        <f>SUMIF(Q232:Q237,Q241,V232:V237)</f>
        <v>7.0000546318201335</v>
      </c>
      <c r="W241" s="586">
        <f>SUM(S241:V241)</f>
        <v>49.00005747811332</v>
      </c>
    </row>
    <row r="242" spans="1:23">
      <c r="A242" s="539">
        <v>3</v>
      </c>
      <c r="C242" s="573">
        <f>SUMIF(A232:A237,A242,C232:C237)</f>
        <v>23.999918762005521</v>
      </c>
      <c r="D242" s="574">
        <f>SUMIF(A232:A237,A242,D232:D237)</f>
        <v>15.999948668925125</v>
      </c>
      <c r="E242" s="574">
        <f>SUMIF(A232:A237,A242,E232:E237)</f>
        <v>15.999926631801575</v>
      </c>
      <c r="F242" s="575">
        <f>SUMIF(A232:A237,A242,F232:F237)</f>
        <v>20.000205937267786</v>
      </c>
      <c r="G242" s="586">
        <f>SUM(C242:F242)</f>
        <v>76</v>
      </c>
      <c r="I242" s="539">
        <v>3</v>
      </c>
      <c r="K242" s="573">
        <f>SUMIF(I232:I237,I242,K232:K237)</f>
        <v>24</v>
      </c>
      <c r="L242" s="574">
        <f>SUMIF(I232:I237,I242,L232:L237)</f>
        <v>16</v>
      </c>
      <c r="M242" s="574">
        <f>SUMIF(I232:I237,I242,M232:M237)</f>
        <v>16</v>
      </c>
      <c r="N242" s="575">
        <f>SUMIF(I232:I237,I242,N232:N237)</f>
        <v>20.000000000000004</v>
      </c>
      <c r="O242" s="586">
        <f>SUM(K242:N242)</f>
        <v>76</v>
      </c>
      <c r="Q242" s="539">
        <v>3</v>
      </c>
      <c r="S242" s="573">
        <f>SUMIF(Q232:Q237,Q242,S232:S237)</f>
        <v>23.999996087424972</v>
      </c>
      <c r="T242" s="574">
        <f>SUMIF(Q232:Q237,Q242,T232:T237)</f>
        <v>16.000000504749543</v>
      </c>
      <c r="U242" s="574">
        <f>SUMIF(Q232:Q237,Q242,U232:U237)</f>
        <v>15.999999836055739</v>
      </c>
      <c r="V242" s="575">
        <f>SUMIF(Q232:Q237,Q242,V232:V237)</f>
        <v>20.000157996220889</v>
      </c>
      <c r="W242" s="586">
        <f>SUM(S242:V242)</f>
        <v>76.000154424451139</v>
      </c>
    </row>
    <row r="244" spans="1:23">
      <c r="B244" s="539">
        <v>1</v>
      </c>
      <c r="C244" s="569">
        <f>SUMIF(B232:B237,B244,C232:C237)</f>
        <v>27.999981588109694</v>
      </c>
      <c r="D244" s="570">
        <f>SUMIF(B232:B237,B244,D232:D237)</f>
        <v>23.999992225465348</v>
      </c>
      <c r="E244" s="570">
        <f>SUMIF(B232:B237,B244,E232:E237)</f>
        <v>20.999974230765879</v>
      </c>
      <c r="F244" s="571">
        <f>SUMIF(B232:B237,B244,F232:F237)</f>
        <v>17.000051955659082</v>
      </c>
      <c r="G244" s="586">
        <f>SUM(C244:F244)</f>
        <v>90</v>
      </c>
      <c r="J244" s="539">
        <v>1</v>
      </c>
      <c r="K244" s="569">
        <f>SUMIF(J232:J237,J244,K232:K237)</f>
        <v>27.999990112254178</v>
      </c>
      <c r="L244" s="570">
        <f>SUMIF(J232:J237,J244,L232:L237)</f>
        <v>24.000002181341294</v>
      </c>
      <c r="M244" s="570">
        <f>SUMIF(J232:J237,J244,M232:M237)</f>
        <v>21.00000039387502</v>
      </c>
      <c r="N244" s="571">
        <f>SUMIF(J232:J237,J244,N232:N237)</f>
        <v>16.999832728065748</v>
      </c>
      <c r="O244" s="586">
        <f>SUM(K244:N244)</f>
        <v>89.999825415536236</v>
      </c>
      <c r="R244" s="539">
        <v>1</v>
      </c>
      <c r="S244" s="569">
        <f>SUMIF(R232:R237,R244,S232:S237)</f>
        <v>28</v>
      </c>
      <c r="T244" s="570">
        <f>SUMIF(R232:R237,R244,T232:T237)</f>
        <v>24</v>
      </c>
      <c r="U244" s="570">
        <f>SUMIF(R232:R237,R244,U232:U237)</f>
        <v>21</v>
      </c>
      <c r="V244" s="571">
        <f>SUMIF(R232:R237,R244,V232:V237)</f>
        <v>17</v>
      </c>
      <c r="W244" s="586">
        <f>SUM(S244:V244)</f>
        <v>90</v>
      </c>
    </row>
    <row r="245" spans="1:23">
      <c r="B245" s="539">
        <v>2</v>
      </c>
      <c r="C245" s="573">
        <f>SUMIF(B232:B237,B245,C232:C237)</f>
        <v>22.999985524213571</v>
      </c>
      <c r="D245" s="574">
        <f>SUMIF(B232:B237,B245,D232:D237)</f>
        <v>20.000005641968759</v>
      </c>
      <c r="E245" s="574">
        <f>SUMIF(B232:B237,B245,E232:E237)</f>
        <v>20.000022304695857</v>
      </c>
      <c r="F245" s="575">
        <f>SUMIF(B232:B237,B245,F232:F237)</f>
        <v>21.999986529121816</v>
      </c>
      <c r="G245" s="586">
        <f>SUM(C245:F245)</f>
        <v>85</v>
      </c>
      <c r="J245" s="539">
        <v>2</v>
      </c>
      <c r="K245" s="573">
        <f>SUMIF(J232:J237,J245,K232:K237)</f>
        <v>23.000009887745819</v>
      </c>
      <c r="L245" s="574">
        <f>SUMIF(J232:J237,J245,L232:L237)</f>
        <v>19.999997818658706</v>
      </c>
      <c r="M245" s="574">
        <f>SUMIF(J232:J237,J245,M232:M237)</f>
        <v>19.999999606124977</v>
      </c>
      <c r="N245" s="575">
        <f>SUMIF(J232:J237,J245,N232:N237)</f>
        <v>21.999845192087626</v>
      </c>
      <c r="O245" s="586">
        <f>SUM(K245:N245)</f>
        <v>84.999852504617138</v>
      </c>
      <c r="R245" s="539">
        <v>2</v>
      </c>
      <c r="S245" s="573">
        <f>SUMIF(R232:R237,R245,S232:S237)</f>
        <v>23</v>
      </c>
      <c r="T245" s="574">
        <f>SUMIF(R232:R237,R245,T232:T237)</f>
        <v>20</v>
      </c>
      <c r="U245" s="574">
        <f>SUMIF(R232:R237,R245,U232:U237)</f>
        <v>20.000000000000004</v>
      </c>
      <c r="V245" s="575">
        <f>SUMIF(R232:R237,R245,V232:V237)</f>
        <v>22</v>
      </c>
      <c r="W245" s="586">
        <f>SUM(S245:V245)</f>
        <v>85</v>
      </c>
    </row>
    <row r="247" spans="1:23">
      <c r="A247" s="539" t="s">
        <v>134</v>
      </c>
      <c r="B247" s="539" t="s">
        <v>1379</v>
      </c>
      <c r="C247">
        <v>1</v>
      </c>
      <c r="D247">
        <f>C247+1</f>
        <v>2</v>
      </c>
      <c r="E247">
        <f>D247+1</f>
        <v>3</v>
      </c>
      <c r="F247">
        <f>E247+1</f>
        <v>4</v>
      </c>
      <c r="I247" s="539" t="s">
        <v>134</v>
      </c>
      <c r="J247" s="539" t="s">
        <v>1379</v>
      </c>
      <c r="K247">
        <v>1</v>
      </c>
      <c r="L247">
        <f>K247+1</f>
        <v>2</v>
      </c>
      <c r="M247">
        <f>L247+1</f>
        <v>3</v>
      </c>
      <c r="N247">
        <f>M247+1</f>
        <v>4</v>
      </c>
      <c r="Q247" s="539" t="s">
        <v>134</v>
      </c>
      <c r="R247" s="539" t="s">
        <v>1379</v>
      </c>
      <c r="S247">
        <v>1</v>
      </c>
      <c r="T247">
        <f>S247+1</f>
        <v>2</v>
      </c>
      <c r="U247">
        <f>T247+1</f>
        <v>3</v>
      </c>
      <c r="V247">
        <f>U247+1</f>
        <v>4</v>
      </c>
    </row>
    <row r="248" spans="1:23">
      <c r="A248" s="539">
        <v>1</v>
      </c>
      <c r="B248" s="539">
        <v>1</v>
      </c>
      <c r="C248" s="576">
        <f>S232*$G$6/$W232</f>
        <v>7.2216490521960921</v>
      </c>
      <c r="D248" s="577">
        <f>T232*$G$6/$W232</f>
        <v>6.6743968014910413</v>
      </c>
      <c r="E248" s="577">
        <f>U232*$G$6/$W232</f>
        <v>5.1797512827870174</v>
      </c>
      <c r="F248" s="578">
        <f>V232*$G$6/$W232</f>
        <v>8.9242028635258546</v>
      </c>
      <c r="G248" s="488">
        <f t="shared" ref="G248:G253" si="44">SUM(C248:F248)</f>
        <v>28.000000000000007</v>
      </c>
      <c r="I248" s="539">
        <v>1</v>
      </c>
      <c r="J248" s="539">
        <v>1</v>
      </c>
      <c r="K248" s="576">
        <f>C248*$C$14/C256</f>
        <v>7.2216168433131713</v>
      </c>
      <c r="L248" s="577">
        <f>D248*$D$14/D256</f>
        <v>6.6743708250995537</v>
      </c>
      <c r="M248" s="577">
        <f>E248*$E$14/E256</f>
        <v>5.179732188167125</v>
      </c>
      <c r="N248" s="578">
        <f>F248*F240/F256</f>
        <v>8.9241254928628067</v>
      </c>
      <c r="O248" s="488">
        <f t="shared" ref="O248:O253" si="45">SUM(K248:N248)</f>
        <v>27.999845349442658</v>
      </c>
      <c r="Q248" s="539">
        <v>1</v>
      </c>
      <c r="R248" s="539">
        <v>1</v>
      </c>
      <c r="S248" s="576">
        <f>K248*$C$18/K260</f>
        <v>7.2216183523156676</v>
      </c>
      <c r="T248" s="577">
        <f>L248*$D$18/L260</f>
        <v>6.6743704638839123</v>
      </c>
      <c r="U248" s="577">
        <f>M248*$E$18/M260</f>
        <v>5.1797321365257423</v>
      </c>
      <c r="V248" s="578">
        <f>N248*$F$18/N260</f>
        <v>8.9241772599571334</v>
      </c>
      <c r="W248" s="488">
        <f t="shared" ref="W248:W253" si="46">SUM(S248:V248)</f>
        <v>27.999898212682456</v>
      </c>
    </row>
    <row r="249" spans="1:23">
      <c r="A249" s="539">
        <v>1</v>
      </c>
      <c r="B249" s="539">
        <v>2</v>
      </c>
      <c r="C249" s="579">
        <f>S233*$G$7/$W233</f>
        <v>4.7784044685878868</v>
      </c>
      <c r="D249" s="580">
        <f>T233*$G$7/$W233</f>
        <v>7.3256576859640843</v>
      </c>
      <c r="E249" s="580">
        <f>U233*$G$7/$W233</f>
        <v>6.8202929541407586</v>
      </c>
      <c r="F249" s="581">
        <f>V233*$G$7/$W233</f>
        <v>3.0756448913072711</v>
      </c>
      <c r="G249" s="488">
        <f t="shared" si="44"/>
        <v>22</v>
      </c>
      <c r="I249" s="539">
        <v>1</v>
      </c>
      <c r="J249" s="539">
        <v>2</v>
      </c>
      <c r="K249" s="579">
        <f>C249*$C$14/C256</f>
        <v>4.7783831566868287</v>
      </c>
      <c r="L249" s="580">
        <f>D249*$D$14/D256</f>
        <v>7.3256291749004463</v>
      </c>
      <c r="M249" s="580">
        <f>E249*$E$14/E256</f>
        <v>6.820267811832875</v>
      </c>
      <c r="N249" s="581">
        <f>F249*$F$14/F256</f>
        <v>3.075683912808151</v>
      </c>
      <c r="O249" s="488">
        <f t="shared" si="45"/>
        <v>21.999964056228301</v>
      </c>
      <c r="Q249" s="539">
        <v>1</v>
      </c>
      <c r="R249" s="539">
        <v>2</v>
      </c>
      <c r="S249" s="579">
        <f>K249*$C$19/K261</f>
        <v>4.778381941154592</v>
      </c>
      <c r="T249" s="580">
        <f>L249*$D$19/L261</f>
        <v>7.3256296506544416</v>
      </c>
      <c r="U249" s="580">
        <f>M249*$E$19/M261</f>
        <v>6.8202678832300947</v>
      </c>
      <c r="V249" s="581">
        <f>N249*$F$19/N261</f>
        <v>3.0756967721914079</v>
      </c>
      <c r="W249" s="488">
        <f t="shared" si="46"/>
        <v>21.999976247230535</v>
      </c>
    </row>
    <row r="250" spans="1:23">
      <c r="A250" s="539">
        <v>2</v>
      </c>
      <c r="B250" s="539">
        <v>1</v>
      </c>
      <c r="C250" s="579">
        <f>S234*$G$8/$W234</f>
        <v>12.598572039580469</v>
      </c>
      <c r="D250" s="580">
        <f>T234*$G$8/$W234</f>
        <v>11.12264457214169</v>
      </c>
      <c r="E250" s="580">
        <f>U234*$G$8/$W234</f>
        <v>3.3612881095546836</v>
      </c>
      <c r="F250" s="581">
        <f>V234*$G$8/$W234</f>
        <v>1.9174952787231583</v>
      </c>
      <c r="G250" s="488">
        <f t="shared" si="44"/>
        <v>29</v>
      </c>
      <c r="I250" s="539">
        <v>2</v>
      </c>
      <c r="J250" s="539">
        <v>1</v>
      </c>
      <c r="K250" s="579">
        <f>C250*$C$15/C257</f>
        <v>12.598592899240526</v>
      </c>
      <c r="L250" s="580">
        <f>D250*$D$15/D257</f>
        <v>11.12266462820058</v>
      </c>
      <c r="M250" s="580">
        <f>E250*$E$15/E257</f>
        <v>3.3612888112933699</v>
      </c>
      <c r="N250" s="581">
        <f>F250*$F$15/F257</f>
        <v>1.9174808170537472</v>
      </c>
      <c r="O250" s="488">
        <f t="shared" si="45"/>
        <v>29.000027155788221</v>
      </c>
      <c r="Q250" s="539">
        <v>2</v>
      </c>
      <c r="R250" s="539">
        <v>1</v>
      </c>
      <c r="S250" s="579">
        <f>K250*$C$18/K260</f>
        <v>12.598595531796162</v>
      </c>
      <c r="T250" s="580">
        <f>L250*$D$18/L260</f>
        <v>11.122664026244149</v>
      </c>
      <c r="U250" s="580">
        <f>M250*$E$18/M260</f>
        <v>3.3612887777816756</v>
      </c>
      <c r="V250" s="581">
        <f>N250*$F$18/N260</f>
        <v>1.9174919399823083</v>
      </c>
      <c r="W250" s="488">
        <f t="shared" si="46"/>
        <v>29.000040275804292</v>
      </c>
    </row>
    <row r="251" spans="1:23">
      <c r="A251" s="539">
        <v>2</v>
      </c>
      <c r="B251" s="539">
        <v>2</v>
      </c>
      <c r="C251" s="579">
        <f>S235*$G$9/$W235</f>
        <v>2.4014031247173748</v>
      </c>
      <c r="D251" s="580">
        <f>T235*$G$9/$W235</f>
        <v>2.8773301834736373</v>
      </c>
      <c r="E251" s="580">
        <f>U235*$G$9/$W235</f>
        <v>9.6387091764259534</v>
      </c>
      <c r="F251" s="581">
        <f>V235*$G$9/$W235</f>
        <v>5.0825575153830345</v>
      </c>
      <c r="G251" s="488">
        <f t="shared" si="44"/>
        <v>20</v>
      </c>
      <c r="I251" s="539">
        <v>2</v>
      </c>
      <c r="J251" s="539">
        <v>2</v>
      </c>
      <c r="K251" s="579">
        <f>C251*$C$15/C257</f>
        <v>2.4014071007594753</v>
      </c>
      <c r="L251" s="580">
        <f>D251*$D$15/D257</f>
        <v>2.8773353717994201</v>
      </c>
      <c r="M251" s="580">
        <f>E251*$E$15/E257</f>
        <v>9.6387111887066297</v>
      </c>
      <c r="N251" s="581">
        <f>F251*$F$15/F257</f>
        <v>5.0825191829462524</v>
      </c>
      <c r="O251" s="488">
        <f t="shared" si="45"/>
        <v>19.999972844211779</v>
      </c>
      <c r="Q251" s="539">
        <v>2</v>
      </c>
      <c r="R251" s="539">
        <v>2</v>
      </c>
      <c r="S251" s="579">
        <f>K251*$C$19/K261</f>
        <v>2.4014064898859542</v>
      </c>
      <c r="T251" s="580">
        <f>L251*$D$19/L261</f>
        <v>2.8773355586644342</v>
      </c>
      <c r="U251" s="580">
        <f>M251*$E$19/M261</f>
        <v>9.6387112896084126</v>
      </c>
      <c r="V251" s="581">
        <f>N251*$F$19/N261</f>
        <v>5.082540432874378</v>
      </c>
      <c r="W251" s="488">
        <f t="shared" si="46"/>
        <v>19.999993771033179</v>
      </c>
    </row>
    <row r="252" spans="1:23">
      <c r="A252" s="539">
        <v>3</v>
      </c>
      <c r="B252" s="539">
        <v>1</v>
      </c>
      <c r="C252" s="579">
        <f>S236*$G$10/$W236</f>
        <v>8.1797679640634424</v>
      </c>
      <c r="D252" s="580">
        <f>T236*$G$10/$W236</f>
        <v>6.2029540084695398</v>
      </c>
      <c r="E252" s="580">
        <f>U236*$G$10/$W236</f>
        <v>12.458945275356214</v>
      </c>
      <c r="F252" s="581">
        <f>V236*$G$10/$W236</f>
        <v>6.1583327521108044</v>
      </c>
      <c r="G252" s="488">
        <f t="shared" si="44"/>
        <v>33</v>
      </c>
      <c r="I252" s="539">
        <v>3</v>
      </c>
      <c r="J252" s="539">
        <v>1</v>
      </c>
      <c r="K252" s="579">
        <f>C252*$C$16/C258</f>
        <v>8.1797844066705014</v>
      </c>
      <c r="L252" s="580">
        <f>D252*$D$16/D258</f>
        <v>6.2029658455752346</v>
      </c>
      <c r="M252" s="580">
        <f>E252*$E$16/E258</f>
        <v>12.458979209907289</v>
      </c>
      <c r="N252" s="581">
        <f>F252*$F$16/F258</f>
        <v>6.1582950770037286</v>
      </c>
      <c r="O252" s="488">
        <f t="shared" si="45"/>
        <v>33.000024539156755</v>
      </c>
      <c r="Q252" s="539">
        <v>3</v>
      </c>
      <c r="R252" s="539">
        <v>1</v>
      </c>
      <c r="S252" s="579">
        <f>K252*$C$18/K260</f>
        <v>8.1797861158881684</v>
      </c>
      <c r="T252" s="580">
        <f>L252*$D$18/L260</f>
        <v>6.2029655098719383</v>
      </c>
      <c r="U252" s="580">
        <f>M252*$E$18/M260</f>
        <v>12.458979085692583</v>
      </c>
      <c r="V252" s="581">
        <f>N252*$F$18/N260</f>
        <v>6.1583308000605586</v>
      </c>
      <c r="W252" s="488">
        <f t="shared" si="46"/>
        <v>33.000061511513252</v>
      </c>
    </row>
    <row r="253" spans="1:23">
      <c r="A253" s="539">
        <v>3</v>
      </c>
      <c r="B253" s="539">
        <v>2</v>
      </c>
      <c r="C253" s="582">
        <f>S237*$G$11/$W237</f>
        <v>15.820183792297142</v>
      </c>
      <c r="D253" s="583">
        <f>T237*$G$11/$W237</f>
        <v>9.797015458766646</v>
      </c>
      <c r="E253" s="583">
        <f>U237*$G$11/$W237</f>
        <v>3.5410111454060273</v>
      </c>
      <c r="F253" s="584">
        <f>V237*$G$11/$W237</f>
        <v>13.841789603530181</v>
      </c>
      <c r="G253" s="488">
        <f t="shared" si="44"/>
        <v>43</v>
      </c>
      <c r="I253" s="539">
        <v>3</v>
      </c>
      <c r="J253" s="539">
        <v>2</v>
      </c>
      <c r="K253" s="582">
        <f>C253*$C$16/C258</f>
        <v>15.820215593329499</v>
      </c>
      <c r="L253" s="583">
        <f>D253*$D$16/D258</f>
        <v>9.7970341544247663</v>
      </c>
      <c r="M253" s="583">
        <f>E253*$E$16/E258</f>
        <v>3.5410207900927095</v>
      </c>
      <c r="N253" s="584">
        <f>F253*$F$16/F258</f>
        <v>13.84170492299627</v>
      </c>
      <c r="O253" s="488">
        <f t="shared" si="45"/>
        <v>42.999975460843245</v>
      </c>
      <c r="Q253" s="539">
        <v>3</v>
      </c>
      <c r="R253" s="539">
        <v>2</v>
      </c>
      <c r="S253" s="582">
        <f>K253*$C$19/K261</f>
        <v>15.820211568959454</v>
      </c>
      <c r="T253" s="583">
        <f>L253*$D$19/L261</f>
        <v>9.7970347906811242</v>
      </c>
      <c r="U253" s="583">
        <f>M253*$E$19/M261</f>
        <v>3.5410208271614945</v>
      </c>
      <c r="V253" s="584">
        <f>N253*$F$19/N261</f>
        <v>13.841762794934214</v>
      </c>
      <c r="W253" s="488">
        <f t="shared" si="46"/>
        <v>43.000029981736283</v>
      </c>
    </row>
    <row r="254" spans="1:23">
      <c r="C254" s="585">
        <f>SUM(C248:C253)</f>
        <v>50.99998044144241</v>
      </c>
      <c r="D254" s="585">
        <f>SUM(D248:D253)</f>
        <v>43.999998710306635</v>
      </c>
      <c r="E254" s="585">
        <f>SUM(E248:E253)</f>
        <v>40.99999794367065</v>
      </c>
      <c r="F254" s="585">
        <f>SUM(F248:F253)</f>
        <v>39.000022904580305</v>
      </c>
      <c r="G254" s="587">
        <f>SUM(G248:G253)</f>
        <v>175</v>
      </c>
      <c r="K254" s="585">
        <f>SUM(K248:K253)</f>
        <v>51</v>
      </c>
      <c r="L254" s="585">
        <f>SUM(L248:L253)</f>
        <v>44</v>
      </c>
      <c r="M254" s="585">
        <f>SUM(M248:M253)</f>
        <v>41</v>
      </c>
      <c r="N254" s="585">
        <f>SUM(N248:N253)</f>
        <v>38.999809405670952</v>
      </c>
      <c r="O254" s="587">
        <f>SUM(O248:O253)</f>
        <v>174.99980940567096</v>
      </c>
      <c r="S254" s="585">
        <f>SUM(S248:S253)</f>
        <v>51</v>
      </c>
      <c r="T254" s="585">
        <f>SUM(T248:T253)</f>
        <v>44</v>
      </c>
      <c r="U254" s="585">
        <f>SUM(U248:U253)</f>
        <v>41.000000000000007</v>
      </c>
      <c r="V254" s="585">
        <f>SUM(V248:V253)</f>
        <v>39</v>
      </c>
      <c r="W254" s="587">
        <f>SUM(W248:W253)</f>
        <v>174.99999999999997</v>
      </c>
    </row>
    <row r="256" spans="1:23">
      <c r="A256" s="539">
        <v>1</v>
      </c>
      <c r="C256" s="569">
        <f>SUMIF(A248:A253,A256,C248:C253)</f>
        <v>12.000053520783979</v>
      </c>
      <c r="D256" s="570">
        <f>SUMIF(A248:A253,A256,D248:D253)</f>
        <v>14.000054487455126</v>
      </c>
      <c r="E256" s="570">
        <f>SUMIF(A248:A253,A256,E248:E253)</f>
        <v>12.000044236927776</v>
      </c>
      <c r="F256" s="571">
        <f>SUMIF(A248:A253,A256,F248:F253)</f>
        <v>11.999847754833127</v>
      </c>
      <c r="G256" s="586">
        <f>SUM(C256:F256)</f>
        <v>50.000000000000007</v>
      </c>
      <c r="I256" s="539">
        <v>1</v>
      </c>
      <c r="K256" s="569">
        <f>SUMIF(I248:I253,I256,K248:K253)</f>
        <v>12</v>
      </c>
      <c r="L256" s="570">
        <f>SUMIF(I248:I253,I256,L248:L253)</f>
        <v>14</v>
      </c>
      <c r="M256" s="570">
        <f>SUMIF(I248:I253,I256,M248:M253)</f>
        <v>12</v>
      </c>
      <c r="N256" s="571">
        <f>SUMIF(I248:I253,I256,N248:N253)</f>
        <v>11.999809405670957</v>
      </c>
      <c r="O256" s="586">
        <f>SUM(K256:N256)</f>
        <v>49.999809405670959</v>
      </c>
      <c r="Q256" s="539">
        <v>1</v>
      </c>
      <c r="S256" s="569">
        <f>SUMIF(Q248:Q253,Q256,S248:S253)</f>
        <v>12.00000029347026</v>
      </c>
      <c r="T256" s="570">
        <f>SUMIF(Q248:Q253,Q256,T248:T253)</f>
        <v>14.000000114538354</v>
      </c>
      <c r="U256" s="570">
        <f>SUMIF(Q248:Q253,Q256,U248:U253)</f>
        <v>12.000000019755838</v>
      </c>
      <c r="V256" s="571">
        <f>SUMIF(Q248:Q253,Q256,V248:V253)</f>
        <v>11.999874032148542</v>
      </c>
      <c r="W256" s="586">
        <f>SUM(S256:V256)</f>
        <v>49.999874459912988</v>
      </c>
    </row>
    <row r="257" spans="1:23">
      <c r="A257" s="539">
        <v>2</v>
      </c>
      <c r="C257" s="572">
        <f>SUMIF(A248:A253,A257,C248:C253)</f>
        <v>14.999975164297844</v>
      </c>
      <c r="D257" s="488">
        <f>SUMIF(A248:A253,A257,D248:D253)</f>
        <v>13.999974755615327</v>
      </c>
      <c r="E257" s="488">
        <f>SUMIF(A248:A253,A257,E248:E253)</f>
        <v>12.999997285980637</v>
      </c>
      <c r="F257" s="485">
        <f>SUMIF(A248:A253,A257,F248:F253)</f>
        <v>7.0000527941061925</v>
      </c>
      <c r="G257" s="586">
        <f>SUM(C257:F257)</f>
        <v>49</v>
      </c>
      <c r="I257" s="539">
        <v>2</v>
      </c>
      <c r="K257" s="572">
        <f>SUMIF(I248:I253,I257,K248:K253)</f>
        <v>15</v>
      </c>
      <c r="L257" s="488">
        <f>SUMIF(I248:I253,I257,L248:L253)</f>
        <v>14</v>
      </c>
      <c r="M257" s="488">
        <f>SUMIF(I248:I253,I257,M248:M253)</f>
        <v>13</v>
      </c>
      <c r="N257" s="485">
        <f>SUMIF(I248:I253,I257,N248:N253)</f>
        <v>7</v>
      </c>
      <c r="O257" s="586">
        <f>SUM(K257:N257)</f>
        <v>49</v>
      </c>
      <c r="Q257" s="539">
        <v>2</v>
      </c>
      <c r="S257" s="572">
        <f>SUMIF(Q248:Q253,Q257,S248:S253)</f>
        <v>15.000002021682116</v>
      </c>
      <c r="T257" s="488">
        <f>SUMIF(Q248:Q253,Q257,T248:T253)</f>
        <v>13.999999584908583</v>
      </c>
      <c r="U257" s="488">
        <f>SUMIF(Q248:Q253,Q257,U248:U253)</f>
        <v>13.000000067390088</v>
      </c>
      <c r="V257" s="485">
        <f>SUMIF(Q248:Q253,Q257,V248:V253)</f>
        <v>7.000032372856686</v>
      </c>
      <c r="W257" s="586">
        <f>SUM(S257:V257)</f>
        <v>49.000034046837477</v>
      </c>
    </row>
    <row r="258" spans="1:23">
      <c r="A258" s="539">
        <v>3</v>
      </c>
      <c r="C258" s="573">
        <f>SUMIF(A248:A253,A258,C248:C253)</f>
        <v>23.999951756360584</v>
      </c>
      <c r="D258" s="574">
        <f>SUMIF(A248:A253,A258,D248:D253)</f>
        <v>15.999969467236186</v>
      </c>
      <c r="E258" s="574">
        <f>SUMIF(A248:A253,A258,E248:E253)</f>
        <v>15.999956420762242</v>
      </c>
      <c r="F258" s="575">
        <f>SUMIF(A248:A253,A258,F248:F253)</f>
        <v>20.000122355640986</v>
      </c>
      <c r="G258" s="586">
        <f>SUM(C258:F258)</f>
        <v>76</v>
      </c>
      <c r="I258" s="539">
        <v>3</v>
      </c>
      <c r="K258" s="573">
        <f>SUMIF(I248:I253,I258,K248:K253)</f>
        <v>24</v>
      </c>
      <c r="L258" s="574">
        <f>SUMIF(I248:I253,I258,L248:L253)</f>
        <v>16</v>
      </c>
      <c r="M258" s="574">
        <f>SUMIF(I248:I253,I258,M248:M253)</f>
        <v>15.999999999999998</v>
      </c>
      <c r="N258" s="575">
        <f>SUMIF(I248:I253,I258,N248:N253)</f>
        <v>20</v>
      </c>
      <c r="O258" s="586">
        <f>SUM(K258:N258)</f>
        <v>76</v>
      </c>
      <c r="Q258" s="539">
        <v>3</v>
      </c>
      <c r="S258" s="573">
        <f>SUMIF(Q248:Q253,Q258,S248:S253)</f>
        <v>23.999997684847621</v>
      </c>
      <c r="T258" s="574">
        <f>SUMIF(Q248:Q253,Q258,T248:T253)</f>
        <v>16.000000300553062</v>
      </c>
      <c r="U258" s="574">
        <f>SUMIF(Q248:Q253,Q258,U248:U253)</f>
        <v>15.999999912854078</v>
      </c>
      <c r="V258" s="575">
        <f>SUMIF(Q248:Q253,Q258,V248:V253)</f>
        <v>20.000093594994773</v>
      </c>
      <c r="W258" s="586">
        <f>SUM(S258:V258)</f>
        <v>76.000091493249528</v>
      </c>
    </row>
    <row r="260" spans="1:23">
      <c r="B260" s="539">
        <v>1</v>
      </c>
      <c r="C260" s="569">
        <f>SUMIF(B248:B253,B260,C248:C253)</f>
        <v>27.999989055840004</v>
      </c>
      <c r="D260" s="570">
        <f>SUMIF(B248:B253,B260,D248:D253)</f>
        <v>23.99999538210227</v>
      </c>
      <c r="E260" s="570">
        <f>SUMIF(B248:B253,B260,E248:E253)</f>
        <v>20.999984667697916</v>
      </c>
      <c r="F260" s="571">
        <f>SUMIF(B248:B253,B260,F248:F253)</f>
        <v>17.000030894359817</v>
      </c>
      <c r="G260" s="586">
        <f>SUM(C260:F260)</f>
        <v>90</v>
      </c>
      <c r="J260" s="539">
        <v>1</v>
      </c>
      <c r="K260" s="569">
        <f>SUMIF(J248:J253,J260,K248:K253)</f>
        <v>27.9999941492242</v>
      </c>
      <c r="L260" s="570">
        <f>SUMIF(J248:J253,J260,L248:L253)</f>
        <v>24.000001298875368</v>
      </c>
      <c r="M260" s="570">
        <f>SUMIF(J248:J253,J260,M248:M253)</f>
        <v>21.000000209367784</v>
      </c>
      <c r="N260" s="571">
        <f>SUMIF(J248:J253,J260,N248:N253)</f>
        <v>16.999901386920282</v>
      </c>
      <c r="O260" s="586">
        <f>SUM(K260:N260)</f>
        <v>89.999897044387637</v>
      </c>
      <c r="R260" s="539">
        <v>1</v>
      </c>
      <c r="S260" s="569">
        <f>SUMIF(R248:R253,R260,S248:S253)</f>
        <v>28</v>
      </c>
      <c r="T260" s="570">
        <f>SUMIF(R248:R253,R260,T248:T253)</f>
        <v>24</v>
      </c>
      <c r="U260" s="570">
        <f>SUMIF(R248:R253,R260,U248:U253)</f>
        <v>21</v>
      </c>
      <c r="V260" s="571">
        <f>SUMIF(R248:R253,R260,V248:V253)</f>
        <v>17</v>
      </c>
      <c r="W260" s="586">
        <f>SUM(S260:V260)</f>
        <v>90</v>
      </c>
    </row>
    <row r="261" spans="1:23">
      <c r="B261" s="539">
        <v>2</v>
      </c>
      <c r="C261" s="573">
        <f>SUMIF(B248:B253,B261,C248:C253)</f>
        <v>22.999991385602403</v>
      </c>
      <c r="D261" s="574">
        <f>SUMIF(B248:B253,B261,D248:D253)</f>
        <v>20.000003328204368</v>
      </c>
      <c r="E261" s="574">
        <f>SUMIF(B248:B253,B261,E248:E253)</f>
        <v>20.000013275972741</v>
      </c>
      <c r="F261" s="575">
        <f>SUMIF(B248:B253,B261,F248:F253)</f>
        <v>21.999992010220488</v>
      </c>
      <c r="G261" s="586">
        <f>SUM(C261:F261)</f>
        <v>85</v>
      </c>
      <c r="J261" s="539">
        <v>2</v>
      </c>
      <c r="K261" s="573">
        <f>SUMIF(J248:J253,J261,K248:K253)</f>
        <v>23.000005850775803</v>
      </c>
      <c r="L261" s="574">
        <f>SUMIF(J248:J253,J261,L248:L253)</f>
        <v>19.999998701124632</v>
      </c>
      <c r="M261" s="574">
        <f>SUMIF(J248:J253,J261,M248:M253)</f>
        <v>19.999999790632213</v>
      </c>
      <c r="N261" s="575">
        <f>SUMIF(J248:J253,J261,N248:N253)</f>
        <v>21.999908018750673</v>
      </c>
      <c r="O261" s="586">
        <f>SUM(K261:N261)</f>
        <v>84.999912361283322</v>
      </c>
      <c r="R261" s="539">
        <v>2</v>
      </c>
      <c r="S261" s="573">
        <f>SUMIF(R248:R253,R261,S248:S253)</f>
        <v>23</v>
      </c>
      <c r="T261" s="574">
        <f>SUMIF(R248:R253,R261,T248:T253)</f>
        <v>20</v>
      </c>
      <c r="U261" s="574">
        <f>SUMIF(R248:R253,R261,U248:U253)</f>
        <v>20</v>
      </c>
      <c r="V261" s="575">
        <f>SUMIF(R248:R253,R261,V248:V253)</f>
        <v>22</v>
      </c>
      <c r="W261" s="586">
        <f>SUM(S261:V261)</f>
        <v>85</v>
      </c>
    </row>
    <row r="263" spans="1:23">
      <c r="A263" s="539" t="s">
        <v>134</v>
      </c>
      <c r="B263" s="539" t="s">
        <v>1379</v>
      </c>
      <c r="C263">
        <v>1</v>
      </c>
      <c r="D263">
        <f>C263+1</f>
        <v>2</v>
      </c>
      <c r="E263">
        <f>D263+1</f>
        <v>3</v>
      </c>
      <c r="F263">
        <f>E263+1</f>
        <v>4</v>
      </c>
      <c r="I263" s="539" t="s">
        <v>134</v>
      </c>
      <c r="J263" s="539" t="s">
        <v>1379</v>
      </c>
      <c r="K263">
        <v>1</v>
      </c>
      <c r="L263">
        <f>K263+1</f>
        <v>2</v>
      </c>
      <c r="M263">
        <f>L263+1</f>
        <v>3</v>
      </c>
      <c r="N263">
        <f>M263+1</f>
        <v>4</v>
      </c>
      <c r="Q263" s="539" t="s">
        <v>134</v>
      </c>
      <c r="R263" s="539" t="s">
        <v>1379</v>
      </c>
      <c r="S263">
        <v>1</v>
      </c>
      <c r="T263">
        <f>S263+1</f>
        <v>2</v>
      </c>
      <c r="U263">
        <f>T263+1</f>
        <v>3</v>
      </c>
      <c r="V263">
        <f>U263+1</f>
        <v>4</v>
      </c>
    </row>
    <row r="264" spans="1:23">
      <c r="A264" s="539">
        <v>1</v>
      </c>
      <c r="B264" s="539">
        <v>1</v>
      </c>
      <c r="C264" s="576">
        <f>S248*$G$6/$W248</f>
        <v>7.2216446048811171</v>
      </c>
      <c r="D264" s="577">
        <f>T248*$G$6/$W248</f>
        <v>6.6743947270530377</v>
      </c>
      <c r="E264" s="577">
        <f>U248*$G$6/$W248</f>
        <v>5.1797509662741854</v>
      </c>
      <c r="F264" s="578">
        <f>V248*$G$6/$W248</f>
        <v>8.9242097017916606</v>
      </c>
      <c r="G264" s="488">
        <f t="shared" ref="G264:G269" si="47">SUM(C264:F264)</f>
        <v>28</v>
      </c>
      <c r="I264" s="539">
        <v>1</v>
      </c>
      <c r="J264" s="539">
        <v>1</v>
      </c>
      <c r="K264" s="576">
        <f>C264*$C$14/C272</f>
        <v>7.221625524670471</v>
      </c>
      <c r="L264" s="577">
        <f>D264*$D$14/D272</f>
        <v>6.6743793345095996</v>
      </c>
      <c r="M264" s="577">
        <f>E264*$E$14/E272</f>
        <v>5.1797396514955025</v>
      </c>
      <c r="N264" s="578">
        <f>F264*F256/F272</f>
        <v>8.9241635633586274</v>
      </c>
      <c r="O264" s="488">
        <f t="shared" ref="O264:O269" si="48">SUM(K264:N264)</f>
        <v>27.999908074034202</v>
      </c>
      <c r="Q264" s="539">
        <v>1</v>
      </c>
      <c r="R264" s="539">
        <v>1</v>
      </c>
      <c r="S264" s="576">
        <f>K264*$C$18/K276</f>
        <v>7.2216264162593902</v>
      </c>
      <c r="T264" s="577">
        <f>L264*$D$18/L276</f>
        <v>6.6743791215789248</v>
      </c>
      <c r="U264" s="577">
        <f>M264*$E$18/M276</f>
        <v>5.1797396241357037</v>
      </c>
      <c r="V264" s="578">
        <f>N264*$F$18/N276</f>
        <v>8.9241943904407091</v>
      </c>
      <c r="W264" s="488">
        <f t="shared" ref="W264:W269" si="49">SUM(S264:V264)</f>
        <v>27.99993955241473</v>
      </c>
    </row>
    <row r="265" spans="1:23">
      <c r="A265" s="539">
        <v>1</v>
      </c>
      <c r="B265" s="539">
        <v>2</v>
      </c>
      <c r="C265" s="579">
        <f>S249*$G$7/$W249</f>
        <v>4.7783871002421927</v>
      </c>
      <c r="D265" s="580">
        <f>T249*$G$7/$W249</f>
        <v>7.325637559935358</v>
      </c>
      <c r="E265" s="580">
        <f>U249*$G$7/$W249</f>
        <v>6.8202752468858057</v>
      </c>
      <c r="F265" s="581">
        <f>V249*$G$7/$W249</f>
        <v>3.0757000929366467</v>
      </c>
      <c r="G265" s="488">
        <f t="shared" si="47"/>
        <v>22.000000000000004</v>
      </c>
      <c r="I265" s="539">
        <v>1</v>
      </c>
      <c r="J265" s="539">
        <v>2</v>
      </c>
      <c r="K265" s="579">
        <f>C265*$C$14/C272</f>
        <v>4.7783744753295299</v>
      </c>
      <c r="L265" s="580">
        <f>D265*$D$14/D272</f>
        <v>7.3256206654903986</v>
      </c>
      <c r="M265" s="580">
        <f>E265*$E$14/E272</f>
        <v>6.8202603485044975</v>
      </c>
      <c r="N265" s="581">
        <f>F265*$F$14/F272</f>
        <v>3.0757232134739905</v>
      </c>
      <c r="O265" s="488">
        <f t="shared" si="48"/>
        <v>21.999978702798415</v>
      </c>
      <c r="Q265" s="539">
        <v>1</v>
      </c>
      <c r="R265" s="539">
        <v>2</v>
      </c>
      <c r="S265" s="579">
        <f>K265*$C$19/K277</f>
        <v>4.7783737571385334</v>
      </c>
      <c r="T265" s="580">
        <f>L265*$D$19/L277</f>
        <v>7.3256209459388524</v>
      </c>
      <c r="U265" s="580">
        <f>M265*$E$19/M277</f>
        <v>6.8202603863309159</v>
      </c>
      <c r="V265" s="581">
        <f>N265*$F$19/N277</f>
        <v>3.0757308328442949</v>
      </c>
      <c r="W265" s="488">
        <f t="shared" si="49"/>
        <v>21.999985922252598</v>
      </c>
    </row>
    <row r="266" spans="1:23">
      <c r="A266" s="539">
        <v>2</v>
      </c>
      <c r="B266" s="539">
        <v>1</v>
      </c>
      <c r="C266" s="579">
        <f>S250*$G$8/$W250</f>
        <v>12.598578034628462</v>
      </c>
      <c r="D266" s="580">
        <f>T250*$G$8/$W250</f>
        <v>11.122648578878032</v>
      </c>
      <c r="E266" s="580">
        <f>U250*$G$8/$W250</f>
        <v>3.361284109560263</v>
      </c>
      <c r="F266" s="581">
        <f>V250*$G$8/$W250</f>
        <v>1.9174892769332446</v>
      </c>
      <c r="G266" s="488">
        <f t="shared" si="47"/>
        <v>29.000000000000004</v>
      </c>
      <c r="I266" s="539">
        <v>2</v>
      </c>
      <c r="J266" s="539">
        <v>1</v>
      </c>
      <c r="K266" s="579">
        <f>C266*$C$15/C273</f>
        <v>12.598590404404344</v>
      </c>
      <c r="L266" s="580">
        <f>D266*$D$15/D273</f>
        <v>11.122660469253024</v>
      </c>
      <c r="M266" s="580">
        <f>E266*$E$15/E273</f>
        <v>3.3612845229645814</v>
      </c>
      <c r="N266" s="581">
        <f>F266*$F$15/F273</f>
        <v>1.9174807050393066</v>
      </c>
      <c r="O266" s="488">
        <f t="shared" si="48"/>
        <v>29.000016101661256</v>
      </c>
      <c r="Q266" s="539">
        <v>2</v>
      </c>
      <c r="R266" s="539">
        <v>1</v>
      </c>
      <c r="S266" s="579">
        <f>K266*$C$18/K276</f>
        <v>12.598591959838583</v>
      </c>
      <c r="T266" s="580">
        <f>L266*$D$18/L276</f>
        <v>11.122660114410202</v>
      </c>
      <c r="U266" s="580">
        <f>M266*$E$18/M276</f>
        <v>3.361284505210008</v>
      </c>
      <c r="V266" s="581">
        <f>N266*$F$18/N276</f>
        <v>1.9174873286667944</v>
      </c>
      <c r="W266" s="488">
        <f t="shared" si="49"/>
        <v>29.000023908125588</v>
      </c>
    </row>
    <row r="267" spans="1:23">
      <c r="A267" s="539">
        <v>2</v>
      </c>
      <c r="B267" s="539">
        <v>2</v>
      </c>
      <c r="C267" s="579">
        <f>S251*$G$9/$W251</f>
        <v>2.4014072378002544</v>
      </c>
      <c r="D267" s="580">
        <f>T251*$G$9/$W251</f>
        <v>2.8773364548061</v>
      </c>
      <c r="E267" s="580">
        <f>U251*$G$9/$W251</f>
        <v>9.6387142915699879</v>
      </c>
      <c r="F267" s="581">
        <f>V251*$G$9/$W251</f>
        <v>5.0825420158236572</v>
      </c>
      <c r="G267" s="488">
        <f t="shared" si="47"/>
        <v>20</v>
      </c>
      <c r="I267" s="539">
        <v>2</v>
      </c>
      <c r="J267" s="539">
        <v>2</v>
      </c>
      <c r="K267" s="579">
        <f>C267*$C$15/C273</f>
        <v>2.4014095955956543</v>
      </c>
      <c r="L267" s="580">
        <f>D267*$D$15/D273</f>
        <v>2.8773395307469771</v>
      </c>
      <c r="M267" s="580">
        <f>E267*$E$15/E273</f>
        <v>9.6387154770354186</v>
      </c>
      <c r="N267" s="581">
        <f>F267*$F$15/F273</f>
        <v>5.0825192949606937</v>
      </c>
      <c r="O267" s="488">
        <f t="shared" si="48"/>
        <v>19.999983898338744</v>
      </c>
      <c r="Q267" s="539">
        <v>2</v>
      </c>
      <c r="R267" s="539">
        <v>2</v>
      </c>
      <c r="S267" s="579">
        <f>K267*$C$19/K277</f>
        <v>2.4014092346631322</v>
      </c>
      <c r="T267" s="580">
        <f>L267*$D$19/L277</f>
        <v>2.8773396409008405</v>
      </c>
      <c r="U267" s="580">
        <f>M267*$E$19/M277</f>
        <v>9.6387155304935082</v>
      </c>
      <c r="V267" s="581">
        <f>N267*$F$19/N277</f>
        <v>5.0825318856894111</v>
      </c>
      <c r="W267" s="488">
        <f t="shared" si="49"/>
        <v>19.999996291746889</v>
      </c>
    </row>
    <row r="268" spans="1:23">
      <c r="A268" s="539">
        <v>3</v>
      </c>
      <c r="B268" s="539">
        <v>1</v>
      </c>
      <c r="C268" s="579">
        <f>S252*$G$10/$W252</f>
        <v>8.1797708689159201</v>
      </c>
      <c r="D268" s="580">
        <f>T252*$G$10/$W252</f>
        <v>6.2029539476572735</v>
      </c>
      <c r="E268" s="580">
        <f>U252*$G$10/$W252</f>
        <v>12.458955862382625</v>
      </c>
      <c r="F268" s="581">
        <f>V252*$G$10/$W252</f>
        <v>6.1583193210441785</v>
      </c>
      <c r="G268" s="488">
        <f t="shared" si="47"/>
        <v>33</v>
      </c>
      <c r="I268" s="539">
        <v>3</v>
      </c>
      <c r="J268" s="539">
        <v>1</v>
      </c>
      <c r="K268" s="579">
        <f>C268*$C$16/C274</f>
        <v>8.1797806140183447</v>
      </c>
      <c r="L268" s="580">
        <f>D268*$D$16/D274</f>
        <v>6.2029609619020345</v>
      </c>
      <c r="M268" s="580">
        <f>E268*$E$16/E274</f>
        <v>12.458975936463597</v>
      </c>
      <c r="N268" s="581">
        <f>F268*$F$16/F274</f>
        <v>6.1582970080498374</v>
      </c>
      <c r="O268" s="488">
        <f t="shared" si="48"/>
        <v>33.000014520433815</v>
      </c>
      <c r="Q268" s="539">
        <v>3</v>
      </c>
      <c r="R268" s="539">
        <v>1</v>
      </c>
      <c r="S268" s="579">
        <f>K268*$C$18/K276</f>
        <v>8.1797816239020253</v>
      </c>
      <c r="T268" s="580">
        <f>L268*$D$18/L276</f>
        <v>6.2029607640108742</v>
      </c>
      <c r="U268" s="580">
        <f>M268*$E$18/M276</f>
        <v>12.458975870654291</v>
      </c>
      <c r="V268" s="581">
        <f>N268*$F$18/N276</f>
        <v>6.1583182808924972</v>
      </c>
      <c r="W268" s="488">
        <f t="shared" si="49"/>
        <v>33.000036539459686</v>
      </c>
    </row>
    <row r="269" spans="1:23">
      <c r="A269" s="539">
        <v>3</v>
      </c>
      <c r="B269" s="539">
        <v>2</v>
      </c>
      <c r="C269" s="582">
        <f>S253*$G$11/$W253</f>
        <v>15.820200538329676</v>
      </c>
      <c r="D269" s="583">
        <f>T253*$G$11/$W253</f>
        <v>9.7970279597065044</v>
      </c>
      <c r="E269" s="583">
        <f>U253*$G$11/$W253</f>
        <v>3.541018358187574</v>
      </c>
      <c r="F269" s="584">
        <f>V253*$G$11/$W253</f>
        <v>13.84175314377625</v>
      </c>
      <c r="G269" s="488">
        <f t="shared" si="47"/>
        <v>43.000000000000007</v>
      </c>
      <c r="I269" s="539">
        <v>3</v>
      </c>
      <c r="J269" s="539">
        <v>2</v>
      </c>
      <c r="K269" s="582">
        <f>C269*$C$16/C274</f>
        <v>15.820219385981657</v>
      </c>
      <c r="L269" s="583">
        <f>D269*$D$16/D274</f>
        <v>9.7970390380979637</v>
      </c>
      <c r="M269" s="583">
        <f>E269*$E$16/E274</f>
        <v>3.5410240635364034</v>
      </c>
      <c r="N269" s="584">
        <f>F269*$F$16/F274</f>
        <v>13.841702991950164</v>
      </c>
      <c r="O269" s="488">
        <f t="shared" si="48"/>
        <v>42.999985479566192</v>
      </c>
      <c r="Q269" s="539">
        <v>3</v>
      </c>
      <c r="R269" s="539">
        <v>2</v>
      </c>
      <c r="S269" s="582">
        <f>K269*$C$19/K277</f>
        <v>15.820217008198336</v>
      </c>
      <c r="T269" s="583">
        <f>L269*$D$19/L277</f>
        <v>9.7970394131603058</v>
      </c>
      <c r="U269" s="583">
        <f>M269*$E$19/M277</f>
        <v>3.5410240831755742</v>
      </c>
      <c r="V269" s="584">
        <f>N269*$F$19/N277</f>
        <v>13.841737281466296</v>
      </c>
      <c r="W269" s="488">
        <f t="shared" si="49"/>
        <v>43.000017786000512</v>
      </c>
    </row>
    <row r="270" spans="1:23">
      <c r="C270" s="585">
        <f>SUM(C264:C269)</f>
        <v>50.999988384797618</v>
      </c>
      <c r="D270" s="585">
        <f>SUM(D264:D269)</f>
        <v>43.999999228036302</v>
      </c>
      <c r="E270" s="585">
        <f>SUM(E264:E269)</f>
        <v>40.999998834860435</v>
      </c>
      <c r="F270" s="585">
        <f>SUM(F264:F269)</f>
        <v>39.000013552305639</v>
      </c>
      <c r="G270" s="587">
        <f>SUM(G264:G269)</f>
        <v>175</v>
      </c>
      <c r="K270" s="585">
        <f>SUM(K264:K269)</f>
        <v>51</v>
      </c>
      <c r="L270" s="585">
        <f>SUM(L264:L269)</f>
        <v>43.999999999999993</v>
      </c>
      <c r="M270" s="585">
        <f>SUM(M264:M269)</f>
        <v>41</v>
      </c>
      <c r="N270" s="585">
        <f>SUM(N264:N269)</f>
        <v>38.999886776832618</v>
      </c>
      <c r="O270" s="587">
        <f>SUM(O264:O269)</f>
        <v>174.99988677683262</v>
      </c>
      <c r="S270" s="585">
        <f>SUM(S264:S269)</f>
        <v>51</v>
      </c>
      <c r="T270" s="585">
        <f>SUM(T264:T269)</f>
        <v>44</v>
      </c>
      <c r="U270" s="585">
        <f>SUM(U264:U269)</f>
        <v>41</v>
      </c>
      <c r="V270" s="585">
        <f>SUM(V264:V269)</f>
        <v>39.000000000000007</v>
      </c>
      <c r="W270" s="587">
        <f>SUM(W264:W269)</f>
        <v>175</v>
      </c>
    </row>
    <row r="272" spans="1:23">
      <c r="A272" s="539">
        <v>1</v>
      </c>
      <c r="C272" s="569">
        <f>SUMIF(A264:A269,A272,C264:C269)</f>
        <v>12.000031705123309</v>
      </c>
      <c r="D272" s="570">
        <f>SUMIF(A264:A269,A272,D264:D269)</f>
        <v>14.000032286988397</v>
      </c>
      <c r="E272" s="570">
        <f>SUMIF(A264:A269,A272,E264:E269)</f>
        <v>12.000026213159991</v>
      </c>
      <c r="F272" s="571">
        <f>SUMIF(A264:A269,A272,F264:F269)</f>
        <v>11.999909794728307</v>
      </c>
      <c r="G272" s="586">
        <f>SUM(C272:F272)</f>
        <v>50</v>
      </c>
      <c r="I272" s="539">
        <v>1</v>
      </c>
      <c r="K272" s="569">
        <f>SUMIF(I264:I269,I272,K264:K269)</f>
        <v>12</v>
      </c>
      <c r="L272" s="570">
        <f>SUMIF(I264:I269,I272,L264:L269)</f>
        <v>13.999999999999998</v>
      </c>
      <c r="M272" s="570">
        <f>SUMIF(I264:I269,I272,M264:M269)</f>
        <v>12</v>
      </c>
      <c r="N272" s="571">
        <f>SUMIF(I264:I269,I272,N264:N269)</f>
        <v>11.999886776832618</v>
      </c>
      <c r="O272" s="586">
        <f>SUM(K272:N272)</f>
        <v>49.999886776832618</v>
      </c>
      <c r="Q272" s="539">
        <v>1</v>
      </c>
      <c r="S272" s="569">
        <f>SUMIF(Q264:Q269,Q272,S264:S269)</f>
        <v>12.000000173397924</v>
      </c>
      <c r="T272" s="570">
        <f>SUMIF(Q264:Q269,Q272,T264:T269)</f>
        <v>14.000000067517778</v>
      </c>
      <c r="U272" s="570">
        <f>SUMIF(Q264:Q269,Q272,U264:U269)</f>
        <v>12.00000001046662</v>
      </c>
      <c r="V272" s="571">
        <f>SUMIF(Q264:Q269,Q272,V264:V269)</f>
        <v>11.999925223285004</v>
      </c>
      <c r="W272" s="586">
        <f>SUM(S272:V272)</f>
        <v>49.999925474667329</v>
      </c>
    </row>
    <row r="273" spans="1:23">
      <c r="A273" s="539">
        <v>2</v>
      </c>
      <c r="C273" s="572">
        <f>SUMIF(A264:A269,A273,C264:C269)</f>
        <v>14.999985272428717</v>
      </c>
      <c r="D273" s="488">
        <f>SUMIF(A264:A269,A273,D264:D269)</f>
        <v>13.999985033684132</v>
      </c>
      <c r="E273" s="488">
        <f>SUMIF(A264:A269,A273,E264:E269)</f>
        <v>12.999998401130251</v>
      </c>
      <c r="F273" s="485">
        <f>SUMIF(A264:A269,A273,F264:F269)</f>
        <v>7.0000312927569013</v>
      </c>
      <c r="G273" s="586">
        <f>SUM(C273:F273)</f>
        <v>49</v>
      </c>
      <c r="I273" s="539">
        <v>2</v>
      </c>
      <c r="K273" s="572">
        <f>SUMIF(I264:I269,I273,K264:K269)</f>
        <v>14.999999999999998</v>
      </c>
      <c r="L273" s="488">
        <f>SUMIF(I264:I269,I273,L264:L269)</f>
        <v>14</v>
      </c>
      <c r="M273" s="488">
        <f>SUMIF(I264:I269,I273,M264:M269)</f>
        <v>13</v>
      </c>
      <c r="N273" s="485">
        <f>SUMIF(I264:I269,I273,N264:N269)</f>
        <v>7</v>
      </c>
      <c r="O273" s="586">
        <f>SUM(K273:N273)</f>
        <v>49</v>
      </c>
      <c r="Q273" s="539">
        <v>2</v>
      </c>
      <c r="S273" s="572">
        <f>SUMIF(Q264:Q269,Q273,S264:S269)</f>
        <v>15.000001194501715</v>
      </c>
      <c r="T273" s="488">
        <f>SUMIF(Q264:Q269,Q273,T264:T269)</f>
        <v>13.999999755311043</v>
      </c>
      <c r="U273" s="488">
        <f>SUMIF(Q264:Q269,Q273,U264:U269)</f>
        <v>13.000000035703517</v>
      </c>
      <c r="V273" s="485">
        <f>SUMIF(Q264:Q269,Q273,V264:V269)</f>
        <v>7.0000192143562057</v>
      </c>
      <c r="W273" s="586">
        <f>SUM(S273:V273)</f>
        <v>49.00002019987248</v>
      </c>
    </row>
    <row r="274" spans="1:23">
      <c r="A274" s="539">
        <v>3</v>
      </c>
      <c r="C274" s="573">
        <f>SUMIF(A264:A269,A274,C264:C269)</f>
        <v>23.999971407245596</v>
      </c>
      <c r="D274" s="574">
        <f>SUMIF(A264:A269,A274,D264:D269)</f>
        <v>15.999981907363779</v>
      </c>
      <c r="E274" s="574">
        <f>SUMIF(A264:A269,A274,E264:E269)</f>
        <v>15.999974220570198</v>
      </c>
      <c r="F274" s="575">
        <f>SUMIF(A264:A269,A274,F264:F269)</f>
        <v>20.000072464820427</v>
      </c>
      <c r="G274" s="586">
        <f>SUM(C274:F274)</f>
        <v>76</v>
      </c>
      <c r="I274" s="539">
        <v>3</v>
      </c>
      <c r="K274" s="573">
        <f>SUMIF(I264:I269,I274,K264:K269)</f>
        <v>24</v>
      </c>
      <c r="L274" s="574">
        <f>SUMIF(I264:I269,I274,L264:L269)</f>
        <v>15.999999999999998</v>
      </c>
      <c r="M274" s="574">
        <f>SUMIF(I264:I269,I274,M264:M269)</f>
        <v>16</v>
      </c>
      <c r="N274" s="575">
        <f>SUMIF(I264:I269,I274,N264:N269)</f>
        <v>20</v>
      </c>
      <c r="O274" s="586">
        <f>SUM(K274:N274)</f>
        <v>76</v>
      </c>
      <c r="Q274" s="539">
        <v>3</v>
      </c>
      <c r="S274" s="573">
        <f>SUMIF(Q264:Q269,Q274,S264:S269)</f>
        <v>23.999998632100361</v>
      </c>
      <c r="T274" s="574">
        <f>SUMIF(Q264:Q269,Q274,T264:T269)</f>
        <v>16.000000177171181</v>
      </c>
      <c r="U274" s="574">
        <f>SUMIF(Q264:Q269,Q274,U264:U269)</f>
        <v>15.999999953829864</v>
      </c>
      <c r="V274" s="575">
        <f>SUMIF(Q264:Q269,Q274,V264:V269)</f>
        <v>20.000055562358792</v>
      </c>
      <c r="W274" s="586">
        <f>SUM(S274:V274)</f>
        <v>76.000054325460198</v>
      </c>
    </row>
    <row r="276" spans="1:23">
      <c r="B276" s="539">
        <v>1</v>
      </c>
      <c r="C276" s="569">
        <f>SUMIF(B264:B269,B276,C264:C269)</f>
        <v>27.999993508425501</v>
      </c>
      <c r="D276" s="570">
        <f>SUMIF(B264:B269,B276,D264:D269)</f>
        <v>23.999997253588344</v>
      </c>
      <c r="E276" s="570">
        <f>SUMIF(B264:B269,B276,E264:E269)</f>
        <v>20.999990938217074</v>
      </c>
      <c r="F276" s="571">
        <f>SUMIF(B264:B269,B276,F264:F269)</f>
        <v>17.000018299769081</v>
      </c>
      <c r="G276" s="586">
        <f>SUM(C276:F276)</f>
        <v>90</v>
      </c>
      <c r="J276" s="539">
        <v>1</v>
      </c>
      <c r="K276" s="569">
        <f>SUMIF(J264:J269,J276,K264:K269)</f>
        <v>27.999996543093161</v>
      </c>
      <c r="L276" s="570">
        <f>SUMIF(J264:J269,J276,L264:L269)</f>
        <v>24.000000765664659</v>
      </c>
      <c r="M276" s="570">
        <f>SUMIF(J264:J269,J276,M264:M269)</f>
        <v>21.000000110923679</v>
      </c>
      <c r="N276" s="571">
        <f>SUMIF(J264:J269,J276,N264:N269)</f>
        <v>16.999941276447771</v>
      </c>
      <c r="O276" s="586">
        <f>SUM(K276:N276)</f>
        <v>89.999938696129277</v>
      </c>
      <c r="R276" s="539">
        <v>1</v>
      </c>
      <c r="S276" s="569">
        <f>SUMIF(R264:R269,R276,S264:S269)</f>
        <v>28</v>
      </c>
      <c r="T276" s="570">
        <f>SUMIF(R264:R269,R276,T264:T269)</f>
        <v>24</v>
      </c>
      <c r="U276" s="570">
        <f>SUMIF(R264:R269,R276,U264:U269)</f>
        <v>21</v>
      </c>
      <c r="V276" s="571">
        <f>SUMIF(R264:R269,R276,V264:V269)</f>
        <v>17</v>
      </c>
      <c r="W276" s="586">
        <f>SUM(S276:V276)</f>
        <v>90</v>
      </c>
    </row>
    <row r="277" spans="1:23">
      <c r="B277" s="539">
        <v>2</v>
      </c>
      <c r="C277" s="573">
        <f>SUMIF(B264:B269,B277,C264:C269)</f>
        <v>22.999994876372121</v>
      </c>
      <c r="D277" s="574">
        <f>SUMIF(B264:B269,B277,D264:D269)</f>
        <v>20.000001974447962</v>
      </c>
      <c r="E277" s="574">
        <f>SUMIF(B264:B269,B277,E264:E269)</f>
        <v>20.000007896643368</v>
      </c>
      <c r="F277" s="575">
        <f>SUMIF(B264:B269,B277,F264:F269)</f>
        <v>21.999995252536554</v>
      </c>
      <c r="G277" s="586">
        <f>SUM(C277:F277)</f>
        <v>85</v>
      </c>
      <c r="J277" s="539">
        <v>2</v>
      </c>
      <c r="K277" s="573">
        <f>SUMIF(J264:J269,J277,K264:K269)</f>
        <v>23.000003456906839</v>
      </c>
      <c r="L277" s="574">
        <f>SUMIF(J264:J269,J277,L264:L269)</f>
        <v>19.999999234335341</v>
      </c>
      <c r="M277" s="574">
        <f>SUMIF(J264:J269,J277,M264:M269)</f>
        <v>19.999999889076321</v>
      </c>
      <c r="N277" s="575">
        <f>SUMIF(J264:J269,J277,N264:N269)</f>
        <v>21.999945500384847</v>
      </c>
      <c r="O277" s="586">
        <f>SUM(K277:N277)</f>
        <v>84.999948080703348</v>
      </c>
      <c r="R277" s="539">
        <v>2</v>
      </c>
      <c r="S277" s="573">
        <f>SUMIF(R264:R269,R277,S264:S269)</f>
        <v>23</v>
      </c>
      <c r="T277" s="574">
        <f>SUMIF(R264:R269,R277,T264:T269)</f>
        <v>20</v>
      </c>
      <c r="U277" s="574">
        <f>SUMIF(R264:R269,R277,U264:U269)</f>
        <v>20</v>
      </c>
      <c r="V277" s="575">
        <f>SUMIF(R264:R269,R277,V264:V269)</f>
        <v>22</v>
      </c>
      <c r="W277" s="586">
        <f>SUM(S277:V277)</f>
        <v>85</v>
      </c>
    </row>
    <row r="279" spans="1:23">
      <c r="A279" s="539" t="s">
        <v>134</v>
      </c>
      <c r="B279" s="539" t="s">
        <v>1379</v>
      </c>
      <c r="C279">
        <v>1</v>
      </c>
      <c r="D279">
        <f>C279+1</f>
        <v>2</v>
      </c>
      <c r="E279">
        <f>D279+1</f>
        <v>3</v>
      </c>
      <c r="F279">
        <f>E279+1</f>
        <v>4</v>
      </c>
      <c r="I279" s="539" t="s">
        <v>134</v>
      </c>
      <c r="J279" s="539" t="s">
        <v>1379</v>
      </c>
      <c r="K279">
        <v>1</v>
      </c>
      <c r="L279">
        <f>K279+1</f>
        <v>2</v>
      </c>
      <c r="M279">
        <f>L279+1</f>
        <v>3</v>
      </c>
      <c r="N279">
        <f>M279+1</f>
        <v>4</v>
      </c>
      <c r="Q279" s="539" t="s">
        <v>134</v>
      </c>
      <c r="R279" s="539" t="s">
        <v>1379</v>
      </c>
      <c r="S279">
        <v>1</v>
      </c>
      <c r="T279">
        <f>S279+1</f>
        <v>2</v>
      </c>
      <c r="U279">
        <f>T279+1</f>
        <v>3</v>
      </c>
      <c r="V279">
        <f>U279+1</f>
        <v>4</v>
      </c>
    </row>
    <row r="280" spans="1:23">
      <c r="A280" s="539">
        <v>1</v>
      </c>
      <c r="B280" s="539">
        <v>1</v>
      </c>
      <c r="C280" s="576">
        <f>S264*$G$6/$W264</f>
        <v>7.2216420066458538</v>
      </c>
      <c r="D280" s="577">
        <f>T264*$G$6/$W264</f>
        <v>6.6743935305422131</v>
      </c>
      <c r="E280" s="577">
        <f>U264*$G$6/$W264</f>
        <v>5.1797508064010085</v>
      </c>
      <c r="F280" s="578">
        <f>V264*$G$6/$W264</f>
        <v>8.924213656410922</v>
      </c>
      <c r="G280" s="488">
        <f t="shared" ref="G280:G285" si="50">SUM(C280:F280)</f>
        <v>27.999999999999993</v>
      </c>
      <c r="I280" s="539">
        <v>1</v>
      </c>
      <c r="J280" s="539">
        <v>1</v>
      </c>
      <c r="K280" s="576">
        <f>C280*$C$14/C288</f>
        <v>7.2216306798453402</v>
      </c>
      <c r="L280" s="577">
        <f>D280*$D$14/D288</f>
        <v>6.6743843942008194</v>
      </c>
      <c r="M280" s="577">
        <f>E280*$E$14/E288</f>
        <v>5.1797440912931307</v>
      </c>
      <c r="N280" s="578">
        <f>F280*F272/F288</f>
        <v>8.9241863908227455</v>
      </c>
      <c r="O280" s="488">
        <f t="shared" ref="O280:O285" si="51">SUM(K280:N280)</f>
        <v>27.999945556162039</v>
      </c>
      <c r="Q280" s="539">
        <v>1</v>
      </c>
      <c r="R280" s="539">
        <v>1</v>
      </c>
      <c r="S280" s="576">
        <f>K280*$C$18/K292</f>
        <v>7.2216312086332515</v>
      </c>
      <c r="T280" s="577">
        <f>L280*$D$18/L292</f>
        <v>6.6743842675622176</v>
      </c>
      <c r="U280" s="577">
        <f>M280*$E$18/M292</f>
        <v>5.179744075355015</v>
      </c>
      <c r="V280" s="578">
        <f>N280*$F$18/N292</f>
        <v>8.9242046243509261</v>
      </c>
      <c r="W280" s="488">
        <f t="shared" ref="W280:W285" si="52">SUM(S280:V280)</f>
        <v>27.999964175901411</v>
      </c>
    </row>
    <row r="281" spans="1:23">
      <c r="A281" s="539">
        <v>1</v>
      </c>
      <c r="B281" s="539">
        <v>2</v>
      </c>
      <c r="C281" s="579">
        <f>S265*$G$7/$W265</f>
        <v>4.7783768148104331</v>
      </c>
      <c r="D281" s="580">
        <f>T265*$G$7/$W265</f>
        <v>7.3256256335891816</v>
      </c>
      <c r="E281" s="580">
        <f>U265*$G$7/$W265</f>
        <v>6.820264750602024</v>
      </c>
      <c r="F281" s="581">
        <f>V265*$G$7/$W265</f>
        <v>3.0757328009983609</v>
      </c>
      <c r="G281" s="488">
        <f t="shared" si="50"/>
        <v>22</v>
      </c>
      <c r="I281" s="539">
        <v>1</v>
      </c>
      <c r="J281" s="539">
        <v>2</v>
      </c>
      <c r="K281" s="579">
        <f>C281*$C$14/C288</f>
        <v>4.7783693201546598</v>
      </c>
      <c r="L281" s="580">
        <f>D281*$D$14/D288</f>
        <v>7.3256156057991806</v>
      </c>
      <c r="M281" s="580">
        <f>E281*$E$14/E288</f>
        <v>6.8202559087068693</v>
      </c>
      <c r="N281" s="581">
        <f>F281*$F$14/F288</f>
        <v>3.075746524618137</v>
      </c>
      <c r="O281" s="488">
        <f t="shared" si="51"/>
        <v>21.999987359278844</v>
      </c>
      <c r="Q281" s="539">
        <v>1</v>
      </c>
      <c r="R281" s="539">
        <v>2</v>
      </c>
      <c r="S281" s="579">
        <f>K281*$C$19/K293</f>
        <v>4.7783688942071505</v>
      </c>
      <c r="T281" s="580">
        <f>L281*$D$19/L293</f>
        <v>7.3256157725931255</v>
      </c>
      <c r="U281" s="580">
        <f>M281*$E$19/M293</f>
        <v>6.820255930742154</v>
      </c>
      <c r="V281" s="581">
        <f>N281*$F$19/N293</f>
        <v>3.0757510475008072</v>
      </c>
      <c r="W281" s="488">
        <f t="shared" si="52"/>
        <v>21.999991645043238</v>
      </c>
    </row>
    <row r="282" spans="1:23">
      <c r="A282" s="539">
        <v>2</v>
      </c>
      <c r="B282" s="539">
        <v>1</v>
      </c>
      <c r="C282" s="579">
        <f>S266*$G$8/$W266</f>
        <v>12.598581573339601</v>
      </c>
      <c r="D282" s="580">
        <f>T266*$G$8/$W266</f>
        <v>11.122650944695179</v>
      </c>
      <c r="E282" s="580">
        <f>U266*$G$8/$W266</f>
        <v>3.3612817341084273</v>
      </c>
      <c r="F282" s="581">
        <f>V266*$G$8/$W266</f>
        <v>1.9174857478567919</v>
      </c>
      <c r="G282" s="488">
        <f t="shared" si="50"/>
        <v>29</v>
      </c>
      <c r="I282" s="539">
        <v>2</v>
      </c>
      <c r="J282" s="539">
        <v>1</v>
      </c>
      <c r="K282" s="579">
        <f>C282*$C$15/C289</f>
        <v>12.598588919783015</v>
      </c>
      <c r="L282" s="580">
        <f>D282*$D$15/D289</f>
        <v>11.122658000360191</v>
      </c>
      <c r="M282" s="580">
        <f>E282*$E$15/E289</f>
        <v>3.3612819792901325</v>
      </c>
      <c r="N282" s="581">
        <f>F282*$F$15/F289</f>
        <v>1.9174806594350482</v>
      </c>
      <c r="O282" s="488">
        <f t="shared" si="51"/>
        <v>29.000009558868392</v>
      </c>
      <c r="Q282" s="539">
        <v>2</v>
      </c>
      <c r="R282" s="539">
        <v>1</v>
      </c>
      <c r="S282" s="579">
        <f>K282*$C$18/K292</f>
        <v>12.598589842286785</v>
      </c>
      <c r="T282" s="580">
        <f>L282*$D$18/L292</f>
        <v>11.122657789320826</v>
      </c>
      <c r="U282" s="580">
        <f>M282*$E$18/M292</f>
        <v>3.3612819689474396</v>
      </c>
      <c r="V282" s="581">
        <f>N282*$F$18/N292</f>
        <v>1.9174845771521496</v>
      </c>
      <c r="W282" s="488">
        <f t="shared" si="52"/>
        <v>29.000014177707197</v>
      </c>
    </row>
    <row r="283" spans="1:23">
      <c r="A283" s="539">
        <v>2</v>
      </c>
      <c r="B283" s="539">
        <v>2</v>
      </c>
      <c r="C283" s="579">
        <f>S267*$G$9/$W267</f>
        <v>2.4014096799148779</v>
      </c>
      <c r="D283" s="580">
        <f>T267*$G$9/$W267</f>
        <v>2.8773401743961231</v>
      </c>
      <c r="E283" s="580">
        <f>U267*$G$9/$W267</f>
        <v>9.6387173176336809</v>
      </c>
      <c r="F283" s="581">
        <f>V267*$G$9/$W267</f>
        <v>5.0825328280553199</v>
      </c>
      <c r="G283" s="488">
        <f t="shared" si="50"/>
        <v>20.000000000000004</v>
      </c>
      <c r="I283" s="539">
        <v>2</v>
      </c>
      <c r="J283" s="539">
        <v>2</v>
      </c>
      <c r="K283" s="579">
        <f>C283*$C$15/C289</f>
        <v>2.4014110802169855</v>
      </c>
      <c r="L283" s="580">
        <f>D283*$D$15/D289</f>
        <v>2.8773419996398082</v>
      </c>
      <c r="M283" s="580">
        <f>E283*$E$15/E289</f>
        <v>9.6387180207098684</v>
      </c>
      <c r="N283" s="581">
        <f>F283*$F$15/F289</f>
        <v>5.0825193405649518</v>
      </c>
      <c r="O283" s="488">
        <f t="shared" si="51"/>
        <v>19.999990441131615</v>
      </c>
      <c r="Q283" s="539">
        <v>2</v>
      </c>
      <c r="R283" s="539">
        <v>2</v>
      </c>
      <c r="S283" s="579">
        <f>K283*$C$19/K293</f>
        <v>2.4014108661533586</v>
      </c>
      <c r="T283" s="580">
        <f>L283*$D$19/L293</f>
        <v>2.8773420651528312</v>
      </c>
      <c r="U283" s="580">
        <f>M283*$E$19/M293</f>
        <v>9.6387180518512068</v>
      </c>
      <c r="V283" s="581">
        <f>N283*$F$19/N293</f>
        <v>5.0825268144053553</v>
      </c>
      <c r="W283" s="488">
        <f t="shared" si="52"/>
        <v>19.999997797562752</v>
      </c>
    </row>
    <row r="284" spans="1:23">
      <c r="A284" s="539">
        <v>3</v>
      </c>
      <c r="B284" s="539">
        <v>1</v>
      </c>
      <c r="C284" s="579">
        <f>S268*$G$10/$W268</f>
        <v>8.1797725667968759</v>
      </c>
      <c r="D284" s="580">
        <f>T268*$G$10/$W268</f>
        <v>6.2029538957507588</v>
      </c>
      <c r="E284" s="580">
        <f>U268*$G$10/$W268</f>
        <v>12.458962075389367</v>
      </c>
      <c r="F284" s="581">
        <f>V268*$G$10/$W268</f>
        <v>6.1583114620630006</v>
      </c>
      <c r="G284" s="488">
        <f t="shared" si="50"/>
        <v>33</v>
      </c>
      <c r="I284" s="539">
        <v>3</v>
      </c>
      <c r="J284" s="539">
        <v>1</v>
      </c>
      <c r="K284" s="579">
        <f>C284*$C$16/C290</f>
        <v>8.1797783501338106</v>
      </c>
      <c r="L284" s="580">
        <f>D284*$D$16/D290</f>
        <v>6.2029580608107979</v>
      </c>
      <c r="M284" s="580">
        <f>E284*$E$16/E290</f>
        <v>12.458973994033913</v>
      </c>
      <c r="N284" s="581">
        <f>F284*$F$16/F290</f>
        <v>6.1582982161169584</v>
      </c>
      <c r="O284" s="488">
        <f t="shared" si="51"/>
        <v>33.000008621095482</v>
      </c>
      <c r="Q284" s="539">
        <v>3</v>
      </c>
      <c r="R284" s="539">
        <v>1</v>
      </c>
      <c r="S284" s="579">
        <f>K284*$C$18/K292</f>
        <v>8.1797789490799637</v>
      </c>
      <c r="T284" s="580">
        <f>L284*$D$18/L292</f>
        <v>6.2029579431169575</v>
      </c>
      <c r="U284" s="580">
        <f>M284*$E$18/M292</f>
        <v>12.458973955697546</v>
      </c>
      <c r="V284" s="581">
        <f>N284*$F$18/N292</f>
        <v>6.1583107984969256</v>
      </c>
      <c r="W284" s="488">
        <f t="shared" si="52"/>
        <v>33.000021646391396</v>
      </c>
    </row>
    <row r="285" spans="1:23">
      <c r="A285" s="539">
        <v>3</v>
      </c>
      <c r="B285" s="539">
        <v>2</v>
      </c>
      <c r="C285" s="582">
        <f>S269*$G$11/$W269</f>
        <v>15.820210464517604</v>
      </c>
      <c r="D285" s="583">
        <f>T269*$G$11/$W269</f>
        <v>9.7970353608329592</v>
      </c>
      <c r="E285" s="583">
        <f>U269*$G$11/$W269</f>
        <v>3.541022618509758</v>
      </c>
      <c r="F285" s="584">
        <f>V269*$G$11/$W269</f>
        <v>13.841731556139679</v>
      </c>
      <c r="G285" s="488">
        <f t="shared" si="50"/>
        <v>43</v>
      </c>
      <c r="I285" s="539">
        <v>3</v>
      </c>
      <c r="J285" s="539">
        <v>2</v>
      </c>
      <c r="K285" s="582">
        <f>C285*$C$16/C290</f>
        <v>15.820221649866191</v>
      </c>
      <c r="L285" s="583">
        <f>D285*$D$16/D290</f>
        <v>9.797041939189203</v>
      </c>
      <c r="M285" s="583">
        <f>E285*$E$16/E290</f>
        <v>3.5410260059660859</v>
      </c>
      <c r="N285" s="584">
        <f>F285*$F$16/F290</f>
        <v>13.841701783883041</v>
      </c>
      <c r="O285" s="488">
        <f t="shared" si="51"/>
        <v>42.999991378904518</v>
      </c>
      <c r="Q285" s="539">
        <v>3</v>
      </c>
      <c r="R285" s="539">
        <v>2</v>
      </c>
      <c r="S285" s="582">
        <f>K285*$C$19/K293</f>
        <v>15.820220239639491</v>
      </c>
      <c r="T285" s="583">
        <f>L285*$D$19/L293</f>
        <v>9.7970421622540425</v>
      </c>
      <c r="U285" s="583">
        <f>M285*$E$19/M293</f>
        <v>3.5410260174066415</v>
      </c>
      <c r="V285" s="584">
        <f>N285*$F$19/N293</f>
        <v>13.841722138093838</v>
      </c>
      <c r="W285" s="488">
        <f t="shared" si="52"/>
        <v>43.000010557394013</v>
      </c>
    </row>
    <row r="286" spans="1:23">
      <c r="C286" s="585">
        <f>SUM(C280:C285)</f>
        <v>50.999993106025244</v>
      </c>
      <c r="D286" s="585">
        <f>SUM(D280:D285)</f>
        <v>43.999999539806417</v>
      </c>
      <c r="E286" s="585">
        <f>SUM(E280:E285)</f>
        <v>40.999999302644262</v>
      </c>
      <c r="F286" s="585">
        <f>SUM(F280:F285)</f>
        <v>39.000008051524077</v>
      </c>
      <c r="G286" s="587">
        <f>SUM(G280:G285)</f>
        <v>175</v>
      </c>
      <c r="K286" s="585">
        <f>SUM(K280:K285)</f>
        <v>51</v>
      </c>
      <c r="L286" s="585">
        <f>SUM(L280:L285)</f>
        <v>44</v>
      </c>
      <c r="M286" s="585">
        <f>SUM(M280:M285)</f>
        <v>41</v>
      </c>
      <c r="N286" s="585">
        <f>SUM(N280:N285)</f>
        <v>38.99993291544088</v>
      </c>
      <c r="O286" s="587">
        <f>SUM(O280:O285)</f>
        <v>174.99993291544089</v>
      </c>
      <c r="S286" s="585">
        <f>SUM(S280:S285)</f>
        <v>51</v>
      </c>
      <c r="T286" s="585">
        <f>SUM(T280:T285)</f>
        <v>44</v>
      </c>
      <c r="U286" s="585">
        <f>SUM(U280:U285)</f>
        <v>41.000000000000007</v>
      </c>
      <c r="V286" s="585">
        <f>SUM(V280:V285)</f>
        <v>39</v>
      </c>
      <c r="W286" s="587">
        <f>SUM(W280:W285)</f>
        <v>175</v>
      </c>
    </row>
    <row r="288" spans="1:23">
      <c r="A288" s="539">
        <v>1</v>
      </c>
      <c r="C288" s="569">
        <f>SUMIF(A280:A285,A288,C280:C285)</f>
        <v>12.000018821456287</v>
      </c>
      <c r="D288" s="570">
        <f>SUMIF(A280:A285,A288,D280:D285)</f>
        <v>14.000019164131395</v>
      </c>
      <c r="E288" s="570">
        <f>SUMIF(A280:A285,A288,E280:E285)</f>
        <v>12.000015557003032</v>
      </c>
      <c r="F288" s="571">
        <f>SUMIF(A280:A285,A288,F280:F285)</f>
        <v>11.999946457409283</v>
      </c>
      <c r="G288" s="586">
        <f>SUM(C288:F288)</f>
        <v>50</v>
      </c>
      <c r="I288" s="539">
        <v>1</v>
      </c>
      <c r="K288" s="569">
        <f>SUMIF(I280:I285,I288,K280:K285)</f>
        <v>12</v>
      </c>
      <c r="L288" s="570">
        <f>SUMIF(I280:I285,I288,L280:L285)</f>
        <v>14</v>
      </c>
      <c r="M288" s="570">
        <f>SUMIF(I280:I285,I288,M280:M285)</f>
        <v>12</v>
      </c>
      <c r="N288" s="571">
        <f>SUMIF(I280:I285,I288,N280:N285)</f>
        <v>11.999932915440883</v>
      </c>
      <c r="O288" s="586">
        <f>SUM(K288:N288)</f>
        <v>49.99993291544088</v>
      </c>
      <c r="Q288" s="539">
        <v>1</v>
      </c>
      <c r="S288" s="569">
        <f>SUMIF(Q280:Q285,Q288,S280:S285)</f>
        <v>12.000000102840403</v>
      </c>
      <c r="T288" s="570">
        <f>SUMIF(Q280:Q285,Q288,T280:T285)</f>
        <v>14.000000040155342</v>
      </c>
      <c r="U288" s="570">
        <f>SUMIF(Q280:Q285,Q288,U280:U285)</f>
        <v>12.000000006097169</v>
      </c>
      <c r="V288" s="571">
        <f>SUMIF(Q280:Q285,Q288,V280:V285)</f>
        <v>11.999955671851733</v>
      </c>
      <c r="W288" s="586">
        <f>SUM(S288:V288)</f>
        <v>49.999955820944649</v>
      </c>
    </row>
    <row r="289" spans="1:23">
      <c r="A289" s="539">
        <v>2</v>
      </c>
      <c r="C289" s="572">
        <f>SUMIF(A280:A285,A289,C280:C285)</f>
        <v>14.999991253254478</v>
      </c>
      <c r="D289" s="488">
        <f>SUMIF(A280:A285,A289,D280:D285)</f>
        <v>13.999991119091302</v>
      </c>
      <c r="E289" s="488">
        <f>SUMIF(A280:A285,A289,E280:E285)</f>
        <v>12.999999051742108</v>
      </c>
      <c r="F289" s="485">
        <f>SUMIF(A280:A285,A289,F280:F285)</f>
        <v>7.0000185759121116</v>
      </c>
      <c r="G289" s="586">
        <f>SUM(C289:F289)</f>
        <v>49</v>
      </c>
      <c r="I289" s="539">
        <v>2</v>
      </c>
      <c r="K289" s="572">
        <f>SUMIF(I280:I285,I289,K280:K285)</f>
        <v>15</v>
      </c>
      <c r="L289" s="488">
        <f>SUMIF(I280:I285,I289,L280:L285)</f>
        <v>14</v>
      </c>
      <c r="M289" s="488">
        <f>SUMIF(I280:I285,I289,M280:M285)</f>
        <v>13</v>
      </c>
      <c r="N289" s="485">
        <f>SUMIF(I280:I285,I289,N280:N285)</f>
        <v>7</v>
      </c>
      <c r="O289" s="586">
        <f>SUM(K289:N289)</f>
        <v>49</v>
      </c>
      <c r="Q289" s="539">
        <v>2</v>
      </c>
      <c r="S289" s="572">
        <f>SUMIF(Q280:Q285,Q289,S280:S285)</f>
        <v>15.000000708440144</v>
      </c>
      <c r="T289" s="488">
        <f>SUMIF(Q280:Q285,Q289,T280:T285)</f>
        <v>13.999999854473657</v>
      </c>
      <c r="U289" s="488">
        <f>SUMIF(Q280:Q285,Q289,U280:U285)</f>
        <v>13.000000020798646</v>
      </c>
      <c r="V289" s="485">
        <f>SUMIF(Q280:Q285,Q289,V280:V285)</f>
        <v>7.0000113915575053</v>
      </c>
      <c r="W289" s="586">
        <f>SUM(S289:V289)</f>
        <v>49.000011975269956</v>
      </c>
    </row>
    <row r="290" spans="1:23">
      <c r="A290" s="539">
        <v>3</v>
      </c>
      <c r="C290" s="573">
        <f>SUMIF(A280:A285,A290,C280:C285)</f>
        <v>23.999983031314478</v>
      </c>
      <c r="D290" s="574">
        <f>SUMIF(A280:A285,A290,D280:D285)</f>
        <v>15.999989256583717</v>
      </c>
      <c r="E290" s="574">
        <f>SUMIF(A280:A285,A290,E280:E285)</f>
        <v>15.999984693899126</v>
      </c>
      <c r="F290" s="575">
        <f>SUMIF(A280:A285,A290,F280:F285)</f>
        <v>20.000043018202682</v>
      </c>
      <c r="G290" s="586">
        <f>SUM(C290:F290)</f>
        <v>76</v>
      </c>
      <c r="I290" s="539">
        <v>3</v>
      </c>
      <c r="K290" s="573">
        <f>SUMIF(I280:I285,I290,K280:K285)</f>
        <v>24</v>
      </c>
      <c r="L290" s="574">
        <f>SUMIF(I280:I285,I290,L280:L285)</f>
        <v>16</v>
      </c>
      <c r="M290" s="574">
        <f>SUMIF(I280:I285,I290,M280:M285)</f>
        <v>16</v>
      </c>
      <c r="N290" s="575">
        <f>SUMIF(I280:I285,I290,N280:N285)</f>
        <v>20</v>
      </c>
      <c r="O290" s="586">
        <f>SUM(K290:N290)</f>
        <v>76</v>
      </c>
      <c r="Q290" s="539">
        <v>3</v>
      </c>
      <c r="S290" s="573">
        <f>SUMIF(Q280:Q285,Q290,S280:S285)</f>
        <v>23.999999188719457</v>
      </c>
      <c r="T290" s="574">
        <f>SUMIF(Q280:Q285,Q290,T280:T285)</f>
        <v>16.000000105371001</v>
      </c>
      <c r="U290" s="574">
        <f>SUMIF(Q280:Q285,Q290,U280:U285)</f>
        <v>15.999999973104188</v>
      </c>
      <c r="V290" s="575">
        <f>SUMIF(Q280:Q285,Q290,V280:V285)</f>
        <v>20.000032936590763</v>
      </c>
      <c r="W290" s="586">
        <f>SUM(S290:V290)</f>
        <v>76.000032203785409</v>
      </c>
    </row>
    <row r="292" spans="1:23">
      <c r="B292" s="539">
        <v>1</v>
      </c>
      <c r="C292" s="569">
        <f>SUMIF(B280:B285,B292,C280:C285)</f>
        <v>27.99999614678233</v>
      </c>
      <c r="D292" s="570">
        <f>SUMIF(B280:B285,B292,D280:D285)</f>
        <v>23.999998370988152</v>
      </c>
      <c r="E292" s="570">
        <f>SUMIF(B280:B285,B292,E280:E285)</f>
        <v>20.999994615898803</v>
      </c>
      <c r="F292" s="571">
        <f>SUMIF(B280:B285,B292,F280:F285)</f>
        <v>17.000010866330715</v>
      </c>
      <c r="G292" s="586">
        <f>SUM(C292:F292)</f>
        <v>90</v>
      </c>
      <c r="J292" s="539">
        <v>1</v>
      </c>
      <c r="K292" s="569">
        <f>SUMIF(J280:J285,J292,K280:K285)</f>
        <v>27.999997949762168</v>
      </c>
      <c r="L292" s="570">
        <f>SUMIF(J280:J285,J292,L280:L285)</f>
        <v>24.000000455371808</v>
      </c>
      <c r="M292" s="570">
        <f>SUMIF(J280:J285,J292,M280:M285)</f>
        <v>21.000000064617176</v>
      </c>
      <c r="N292" s="571">
        <f>SUMIF(J280:J285,J292,N280:N285)</f>
        <v>16.999965266374751</v>
      </c>
      <c r="O292" s="586">
        <f>SUM(K292:N292)</f>
        <v>89.999963736125892</v>
      </c>
      <c r="R292" s="539">
        <v>1</v>
      </c>
      <c r="S292" s="569">
        <f>SUMIF(R280:R285,R292,S280:S285)</f>
        <v>28</v>
      </c>
      <c r="T292" s="570">
        <f>SUMIF(R280:R285,R292,T280:T285)</f>
        <v>24</v>
      </c>
      <c r="U292" s="570">
        <f>SUMIF(R280:R285,R292,U280:U285)</f>
        <v>21</v>
      </c>
      <c r="V292" s="571">
        <f>SUMIF(R280:R285,R292,V280:V285)</f>
        <v>17</v>
      </c>
      <c r="W292" s="586">
        <f>SUM(S292:V292)</f>
        <v>90</v>
      </c>
    </row>
    <row r="293" spans="1:23">
      <c r="B293" s="539">
        <v>2</v>
      </c>
      <c r="C293" s="573">
        <f>SUMIF(B280:B285,B293,C280:C285)</f>
        <v>22.999996959242914</v>
      </c>
      <c r="D293" s="574">
        <f>SUMIF(B280:B285,B293,D280:D285)</f>
        <v>20.000001168818265</v>
      </c>
      <c r="E293" s="574">
        <f>SUMIF(B280:B285,B293,E280:E285)</f>
        <v>20.000004686745463</v>
      </c>
      <c r="F293" s="575">
        <f>SUMIF(B280:B285,B293,F280:F285)</f>
        <v>21.999997185193358</v>
      </c>
      <c r="G293" s="586">
        <f>SUM(C293:F293)</f>
        <v>85</v>
      </c>
      <c r="J293" s="539">
        <v>2</v>
      </c>
      <c r="K293" s="573">
        <f>SUMIF(J280:J285,J293,K280:K285)</f>
        <v>23.000002050237836</v>
      </c>
      <c r="L293" s="574">
        <f>SUMIF(J280:J285,J293,L280:L285)</f>
        <v>19.999999544628192</v>
      </c>
      <c r="M293" s="574">
        <f>SUMIF(J280:J285,J293,M280:M285)</f>
        <v>19.999999935382821</v>
      </c>
      <c r="N293" s="575">
        <f>SUMIF(J280:J285,J293,N280:N285)</f>
        <v>21.999967649066129</v>
      </c>
      <c r="O293" s="586">
        <f>SUM(K293:N293)</f>
        <v>84.999969179314974</v>
      </c>
      <c r="R293" s="539">
        <v>2</v>
      </c>
      <c r="S293" s="573">
        <f>SUMIF(R280:R285,R293,S280:S285)</f>
        <v>23</v>
      </c>
      <c r="T293" s="574">
        <f>SUMIF(R280:R285,R293,T280:T285)</f>
        <v>20</v>
      </c>
      <c r="U293" s="574">
        <f>SUMIF(R280:R285,R293,U280:U285)</f>
        <v>20</v>
      </c>
      <c r="V293" s="575">
        <f>SUMIF(R280:R285,R293,V280:V285)</f>
        <v>22</v>
      </c>
      <c r="W293" s="586">
        <f>SUM(S293:V293)</f>
        <v>85</v>
      </c>
    </row>
    <row r="295" spans="1:23">
      <c r="A295" s="539" t="s">
        <v>134</v>
      </c>
      <c r="B295" s="539" t="s">
        <v>1379</v>
      </c>
      <c r="C295">
        <v>1</v>
      </c>
      <c r="D295">
        <f>C295+1</f>
        <v>2</v>
      </c>
      <c r="E295">
        <f>D295+1</f>
        <v>3</v>
      </c>
      <c r="F295">
        <f>E295+1</f>
        <v>4</v>
      </c>
      <c r="I295" s="539" t="s">
        <v>134</v>
      </c>
      <c r="J295" s="539" t="s">
        <v>1379</v>
      </c>
      <c r="K295">
        <v>1</v>
      </c>
      <c r="L295">
        <f>K295+1</f>
        <v>2</v>
      </c>
      <c r="M295">
        <f>L295+1</f>
        <v>3</v>
      </c>
      <c r="N295">
        <f>M295+1</f>
        <v>4</v>
      </c>
      <c r="Q295" s="539" t="s">
        <v>134</v>
      </c>
      <c r="R295" s="539" t="s">
        <v>1379</v>
      </c>
      <c r="S295">
        <v>1</v>
      </c>
      <c r="T295">
        <f>S295+1</f>
        <v>2</v>
      </c>
      <c r="U295">
        <f>T295+1</f>
        <v>3</v>
      </c>
      <c r="V295">
        <f>U295+1</f>
        <v>4</v>
      </c>
    </row>
    <row r="296" spans="1:23">
      <c r="A296" s="539">
        <v>1</v>
      </c>
      <c r="B296" s="539">
        <v>1</v>
      </c>
      <c r="C296" s="576">
        <f>S280*$G$6/$W280</f>
        <v>7.2216404482318008</v>
      </c>
      <c r="D296" s="577">
        <f>T280*$G$6/$W280</f>
        <v>6.6743928069945726</v>
      </c>
      <c r="E296" s="577">
        <f>U280*$G$6/$W280</f>
        <v>5.1797507024942941</v>
      </c>
      <c r="F296" s="578">
        <f>V280*$G$6/$W280</f>
        <v>8.9242160422793297</v>
      </c>
      <c r="G296" s="488">
        <f t="shared" ref="G296:G301" si="53">SUM(C296:F296)</f>
        <v>27.999999999999996</v>
      </c>
      <c r="I296" s="539">
        <v>1</v>
      </c>
      <c r="J296" s="539">
        <v>1</v>
      </c>
      <c r="K296" s="576">
        <f>C296*$C$14/C304</f>
        <v>7.2216337338429497</v>
      </c>
      <c r="L296" s="577">
        <f>D296*$D$14/D304</f>
        <v>6.6743873904224511</v>
      </c>
      <c r="M296" s="577">
        <f>E296*$E$14/E304</f>
        <v>5.1797467212670565</v>
      </c>
      <c r="N296" s="578">
        <f>F296*F288/F304</f>
        <v>8.9241998295747731</v>
      </c>
      <c r="O296" s="488">
        <f t="shared" ref="O296:O301" si="54">SUM(K296:N296)</f>
        <v>27.999967675107229</v>
      </c>
      <c r="Q296" s="539">
        <v>1</v>
      </c>
      <c r="R296" s="539">
        <v>1</v>
      </c>
      <c r="S296" s="576">
        <f>K296*$C$18/K308</f>
        <v>7.2216340470784832</v>
      </c>
      <c r="T296" s="577">
        <f>L296*$D$18/L308</f>
        <v>6.6743873154955091</v>
      </c>
      <c r="U296" s="577">
        <f>M296*$E$18/M308</f>
        <v>5.1797467121561649</v>
      </c>
      <c r="V296" s="578">
        <f>N296*$F$18/N308</f>
        <v>8.924210664685214</v>
      </c>
      <c r="W296" s="488">
        <f t="shared" ref="W296:W301" si="55">SUM(S296:V296)</f>
        <v>27.999978739415369</v>
      </c>
    </row>
    <row r="297" spans="1:23">
      <c r="A297" s="539">
        <v>1</v>
      </c>
      <c r="B297" s="539">
        <v>2</v>
      </c>
      <c r="C297" s="579">
        <f>S281*$G$7/$W281</f>
        <v>4.778370708892635</v>
      </c>
      <c r="D297" s="580">
        <f>T281*$G$7/$W281</f>
        <v>7.3256185546488659</v>
      </c>
      <c r="E297" s="580">
        <f>U281*$G$7/$W281</f>
        <v>6.8202585208769282</v>
      </c>
      <c r="F297" s="581">
        <f>V281*$G$7/$W281</f>
        <v>3.0757522155815695</v>
      </c>
      <c r="G297" s="488">
        <f t="shared" si="53"/>
        <v>21.999999999999996</v>
      </c>
      <c r="I297" s="539">
        <v>1</v>
      </c>
      <c r="J297" s="539">
        <v>2</v>
      </c>
      <c r="K297" s="579">
        <f>C297*$C$14/C304</f>
        <v>4.7783662661570494</v>
      </c>
      <c r="L297" s="580">
        <f>D297*$D$14/D304</f>
        <v>7.3256126095775489</v>
      </c>
      <c r="M297" s="580">
        <f>E297*$E$14/E304</f>
        <v>6.8202532787329435</v>
      </c>
      <c r="N297" s="581">
        <f>F297*$F$14/F304</f>
        <v>3.0757603515159793</v>
      </c>
      <c r="O297" s="488">
        <f t="shared" si="54"/>
        <v>21.999992505983517</v>
      </c>
      <c r="Q297" s="539">
        <v>1</v>
      </c>
      <c r="R297" s="539">
        <v>2</v>
      </c>
      <c r="S297" s="579">
        <f>K297*$C$19/K309</f>
        <v>4.7783660138408388</v>
      </c>
      <c r="T297" s="580">
        <f>L297*$D$19/L309</f>
        <v>7.3256127082626961</v>
      </c>
      <c r="U297" s="580">
        <f>M297*$E$19/M309</f>
        <v>6.8202532913292169</v>
      </c>
      <c r="V297" s="581">
        <f>N297*$F$19/N309</f>
        <v>3.0757630328513001</v>
      </c>
      <c r="W297" s="488">
        <f t="shared" si="55"/>
        <v>21.999995046284049</v>
      </c>
    </row>
    <row r="298" spans="1:23">
      <c r="A298" s="539">
        <v>2</v>
      </c>
      <c r="B298" s="539">
        <v>1</v>
      </c>
      <c r="C298" s="579">
        <f>S282*$G$8/$W282</f>
        <v>12.598583683009871</v>
      </c>
      <c r="D298" s="580">
        <f>T282*$G$8/$W282</f>
        <v>11.122652351606748</v>
      </c>
      <c r="E298" s="580">
        <f>U282*$G$8/$W282</f>
        <v>3.3612803256630168</v>
      </c>
      <c r="F298" s="581">
        <f>V282*$G$8/$W282</f>
        <v>1.9174836397203703</v>
      </c>
      <c r="G298" s="488">
        <f t="shared" si="53"/>
        <v>29.000000000000004</v>
      </c>
      <c r="I298" s="539">
        <v>2</v>
      </c>
      <c r="J298" s="539">
        <v>1</v>
      </c>
      <c r="K298" s="579">
        <f>C298*$C$15/C305</f>
        <v>12.598588039088352</v>
      </c>
      <c r="L298" s="580">
        <f>D298*$D$15/D305</f>
        <v>11.122656535618141</v>
      </c>
      <c r="M298" s="580">
        <f>E298*$E$15/E305</f>
        <v>3.3612804707286617</v>
      </c>
      <c r="N298" s="581">
        <f>F298*$F$15/F305</f>
        <v>1.9174806227500294</v>
      </c>
      <c r="O298" s="488">
        <f t="shared" si="54"/>
        <v>29.000005668185185</v>
      </c>
      <c r="Q298" s="539">
        <v>2</v>
      </c>
      <c r="R298" s="539">
        <v>1</v>
      </c>
      <c r="S298" s="579">
        <f>K298*$C$18/K308</f>
        <v>12.598588585547171</v>
      </c>
      <c r="T298" s="580">
        <f>L298*$D$18/L308</f>
        <v>11.12265641075475</v>
      </c>
      <c r="U298" s="580">
        <f>M298*$E$18/M308</f>
        <v>3.3612804648163532</v>
      </c>
      <c r="V298" s="581">
        <f>N298*$F$18/N308</f>
        <v>1.9174829508146978</v>
      </c>
      <c r="W298" s="488">
        <f t="shared" si="55"/>
        <v>29.000008411932971</v>
      </c>
    </row>
    <row r="299" spans="1:23">
      <c r="A299" s="539">
        <v>2</v>
      </c>
      <c r="B299" s="539">
        <v>2</v>
      </c>
      <c r="C299" s="579">
        <f>S283*$G$9/$W283</f>
        <v>2.4014111306012249</v>
      </c>
      <c r="D299" s="580">
        <f>T283*$G$9/$W283</f>
        <v>2.877342382011133</v>
      </c>
      <c r="E299" s="580">
        <f>U283*$G$9/$W283</f>
        <v>9.6387191132849068</v>
      </c>
      <c r="F299" s="581">
        <f>V283*$G$9/$W283</f>
        <v>5.0825273741027353</v>
      </c>
      <c r="G299" s="488">
        <f t="shared" si="53"/>
        <v>20</v>
      </c>
      <c r="I299" s="539">
        <v>2</v>
      </c>
      <c r="J299" s="539">
        <v>2</v>
      </c>
      <c r="K299" s="579">
        <f>C299*$C$15/C305</f>
        <v>2.401411960911648</v>
      </c>
      <c r="L299" s="580">
        <f>D299*$D$15/D305</f>
        <v>2.8773434643818598</v>
      </c>
      <c r="M299" s="580">
        <f>E299*$E$15/E305</f>
        <v>9.6387195292713379</v>
      </c>
      <c r="N299" s="581">
        <f>F299*$F$15/F305</f>
        <v>5.0825193772499704</v>
      </c>
      <c r="O299" s="488">
        <f t="shared" si="54"/>
        <v>19.999994331814815</v>
      </c>
      <c r="Q299" s="539">
        <v>2</v>
      </c>
      <c r="R299" s="539">
        <v>2</v>
      </c>
      <c r="S299" s="579">
        <f>K299*$C$19/K309</f>
        <v>2.4014118341078134</v>
      </c>
      <c r="T299" s="580">
        <f>L299*$D$19/L309</f>
        <v>2.8773435031432686</v>
      </c>
      <c r="U299" s="580">
        <f>M299*$E$19/M309</f>
        <v>9.6387195470730163</v>
      </c>
      <c r="V299" s="581">
        <f>N299*$F$19/N309</f>
        <v>5.0825238080043746</v>
      </c>
      <c r="W299" s="488">
        <f t="shared" si="55"/>
        <v>19.999998692328475</v>
      </c>
    </row>
    <row r="300" spans="1:23">
      <c r="A300" s="539">
        <v>3</v>
      </c>
      <c r="B300" s="539">
        <v>1</v>
      </c>
      <c r="C300" s="579">
        <f>S284*$G$10/$W284</f>
        <v>8.1797735835472203</v>
      </c>
      <c r="D300" s="580">
        <f>T284*$G$10/$W284</f>
        <v>6.2029538742815822</v>
      </c>
      <c r="E300" s="580">
        <f>U284*$G$10/$W284</f>
        <v>12.458965783223313</v>
      </c>
      <c r="F300" s="581">
        <f>V284*$G$10/$W284</f>
        <v>6.1583067589478819</v>
      </c>
      <c r="G300" s="488">
        <f t="shared" si="53"/>
        <v>33</v>
      </c>
      <c r="I300" s="539">
        <v>3</v>
      </c>
      <c r="J300" s="539">
        <v>1</v>
      </c>
      <c r="K300" s="579">
        <f>C300*$C$16/C306</f>
        <v>8.1797770125797236</v>
      </c>
      <c r="L300" s="580">
        <f>D300*$D$16/D306</f>
        <v>6.2029563433843764</v>
      </c>
      <c r="M300" s="580">
        <f>E300*$E$16/E306</f>
        <v>12.458972844942133</v>
      </c>
      <c r="N300" s="581">
        <f>F300*$F$16/F306</f>
        <v>6.1582989075441645</v>
      </c>
      <c r="O300" s="488">
        <f t="shared" si="54"/>
        <v>33.000005108450395</v>
      </c>
      <c r="Q300" s="539">
        <v>3</v>
      </c>
      <c r="R300" s="539">
        <v>1</v>
      </c>
      <c r="S300" s="579">
        <f>K300*$C$18/K308</f>
        <v>8.1797773673743475</v>
      </c>
      <c r="T300" s="580">
        <f>L300*$D$18/L308</f>
        <v>6.2029562737497388</v>
      </c>
      <c r="U300" s="580">
        <f>M300*$E$18/M308</f>
        <v>12.458972823027482</v>
      </c>
      <c r="V300" s="581">
        <f>N300*$F$18/N308</f>
        <v>6.1583063845000892</v>
      </c>
      <c r="W300" s="488">
        <f t="shared" si="55"/>
        <v>33.000012848651657</v>
      </c>
    </row>
    <row r="301" spans="1:23">
      <c r="A301" s="539">
        <v>3</v>
      </c>
      <c r="B301" s="539">
        <v>2</v>
      </c>
      <c r="C301" s="582">
        <f>S285*$G$11/$W285</f>
        <v>15.820216355447457</v>
      </c>
      <c r="D301" s="583">
        <f>T285*$G$11/$W285</f>
        <v>9.7970397568770924</v>
      </c>
      <c r="E301" s="583">
        <f>U285*$G$11/$W285</f>
        <v>3.5410251480113457</v>
      </c>
      <c r="F301" s="584">
        <f>V285*$G$11/$W285</f>
        <v>13.841718739664104</v>
      </c>
      <c r="G301" s="488">
        <f t="shared" si="53"/>
        <v>43</v>
      </c>
      <c r="I301" s="539">
        <v>3</v>
      </c>
      <c r="J301" s="539">
        <v>2</v>
      </c>
      <c r="K301" s="582">
        <f>C301*$C$16/C306</f>
        <v>15.820222987420276</v>
      </c>
      <c r="L301" s="583">
        <f>D301*$D$16/D306</f>
        <v>9.7970436566156245</v>
      </c>
      <c r="M301" s="583">
        <f>E301*$E$16/E306</f>
        <v>3.5410271550578667</v>
      </c>
      <c r="N301" s="584">
        <f>F301*$F$16/F306</f>
        <v>13.841701092455835</v>
      </c>
      <c r="O301" s="488">
        <f t="shared" si="54"/>
        <v>42.999994891549605</v>
      </c>
      <c r="Q301" s="539">
        <v>3</v>
      </c>
      <c r="R301" s="539">
        <v>2</v>
      </c>
      <c r="S301" s="582">
        <f>K301*$C$19/K309</f>
        <v>15.820222152051345</v>
      </c>
      <c r="T301" s="583">
        <f>L301*$D$19/L309</f>
        <v>9.7970437885940349</v>
      </c>
      <c r="U301" s="583">
        <f>M301*$E$19/M309</f>
        <v>3.5410271615977633</v>
      </c>
      <c r="V301" s="584">
        <f>N301*$F$19/N309</f>
        <v>13.841713159144328</v>
      </c>
      <c r="W301" s="488">
        <f t="shared" si="55"/>
        <v>43.000006261387476</v>
      </c>
    </row>
    <row r="302" spans="1:23">
      <c r="C302" s="585">
        <f>SUM(C296:C301)</f>
        <v>50.99999590973021</v>
      </c>
      <c r="D302" s="585">
        <f>SUM(D296:D301)</f>
        <v>43.999999726419986</v>
      </c>
      <c r="E302" s="585">
        <f>SUM(E296:E301)</f>
        <v>40.999999593553802</v>
      </c>
      <c r="F302" s="585">
        <f>SUM(F296:F301)</f>
        <v>39.000004770295988</v>
      </c>
      <c r="G302" s="587">
        <f>SUM(G296:G301)</f>
        <v>175</v>
      </c>
      <c r="K302" s="585">
        <f>SUM(K296:K301)</f>
        <v>51</v>
      </c>
      <c r="L302" s="585">
        <f>SUM(L296:L301)</f>
        <v>44</v>
      </c>
      <c r="M302" s="585">
        <f>SUM(M296:M301)</f>
        <v>41</v>
      </c>
      <c r="N302" s="585">
        <f>SUM(N296:N301)</f>
        <v>38.999960181090756</v>
      </c>
      <c r="O302" s="587">
        <f>SUM(O296:O301)</f>
        <v>174.99996018109073</v>
      </c>
      <c r="S302" s="585">
        <f>SUM(S296:S301)</f>
        <v>51</v>
      </c>
      <c r="T302" s="585">
        <f>SUM(T296:T301)</f>
        <v>44</v>
      </c>
      <c r="U302" s="585">
        <f>SUM(U296:U301)</f>
        <v>40.999999999999993</v>
      </c>
      <c r="V302" s="585">
        <f>SUM(V296:V301)</f>
        <v>39.000000000000007</v>
      </c>
      <c r="W302" s="587">
        <f>SUM(W296:W301)</f>
        <v>175</v>
      </c>
    </row>
    <row r="304" spans="1:23">
      <c r="A304" s="539">
        <v>1</v>
      </c>
      <c r="C304" s="569">
        <f>SUMIF(A296:A301,A304,C296:C301)</f>
        <v>12.000011157124437</v>
      </c>
      <c r="D304" s="570">
        <f>SUMIF(A296:A301,A304,D296:D301)</f>
        <v>14.000011361643438</v>
      </c>
      <c r="E304" s="570">
        <f>SUMIF(A296:A301,A304,E296:E301)</f>
        <v>12.000009223371222</v>
      </c>
      <c r="F304" s="571">
        <f>SUMIF(A296:A301,A304,F296:F301)</f>
        <v>11.9999682578609</v>
      </c>
      <c r="G304" s="586">
        <f>SUM(C304:F304)</f>
        <v>50</v>
      </c>
      <c r="I304" s="539">
        <v>1</v>
      </c>
      <c r="K304" s="569">
        <f>SUMIF(I296:I301,I304,K296:K301)</f>
        <v>12</v>
      </c>
      <c r="L304" s="570">
        <f>SUMIF(I296:I301,I304,L296:L301)</f>
        <v>14</v>
      </c>
      <c r="M304" s="570">
        <f>SUMIF(I296:I301,I304,M296:M301)</f>
        <v>12</v>
      </c>
      <c r="N304" s="571">
        <f>SUMIF(I296:I301,I304,N296:N301)</f>
        <v>11.999960181090753</v>
      </c>
      <c r="O304" s="586">
        <f>SUM(K304:N304)</f>
        <v>49.999960181090756</v>
      </c>
      <c r="Q304" s="539">
        <v>1</v>
      </c>
      <c r="S304" s="569">
        <f>SUMIF(Q296:Q301,Q304,S296:S301)</f>
        <v>12.000000060919323</v>
      </c>
      <c r="T304" s="570">
        <f>SUMIF(Q296:Q301,Q304,T296:T301)</f>
        <v>14.000000023758204</v>
      </c>
      <c r="U304" s="570">
        <f>SUMIF(Q296:Q301,Q304,U296:U301)</f>
        <v>12.000000003485383</v>
      </c>
      <c r="V304" s="571">
        <f>SUMIF(Q296:Q301,Q304,V296:V301)</f>
        <v>11.999973697536515</v>
      </c>
      <c r="W304" s="586">
        <f>SUM(S304:V304)</f>
        <v>49.999973785699424</v>
      </c>
    </row>
    <row r="305" spans="1:23">
      <c r="A305" s="539">
        <v>2</v>
      </c>
      <c r="C305" s="572">
        <f>SUMIF(A296:A301,A305,C296:C301)</f>
        <v>14.999994813611096</v>
      </c>
      <c r="D305" s="488">
        <f>SUMIF(A296:A301,A305,D296:D301)</f>
        <v>13.99999473361788</v>
      </c>
      <c r="E305" s="488">
        <f>SUMIF(A296:A301,A305,E296:E301)</f>
        <v>12.999999438947924</v>
      </c>
      <c r="F305" s="485">
        <f>SUMIF(A296:A301,A305,F296:F301)</f>
        <v>7.0000110138231051</v>
      </c>
      <c r="G305" s="586">
        <f>SUM(C305:F305)</f>
        <v>49.000000000000007</v>
      </c>
      <c r="I305" s="539">
        <v>2</v>
      </c>
      <c r="K305" s="572">
        <f>SUMIF(I296:I301,I305,K296:K301)</f>
        <v>15</v>
      </c>
      <c r="L305" s="488">
        <f>SUMIF(I296:I301,I305,L296:L301)</f>
        <v>14</v>
      </c>
      <c r="M305" s="488">
        <f>SUMIF(I296:I301,I305,M296:M301)</f>
        <v>13</v>
      </c>
      <c r="N305" s="485">
        <f>SUMIF(I296:I301,I305,N296:N301)</f>
        <v>7</v>
      </c>
      <c r="O305" s="586">
        <f>SUM(K305:N305)</f>
        <v>49</v>
      </c>
      <c r="Q305" s="539">
        <v>2</v>
      </c>
      <c r="S305" s="572">
        <f>SUMIF(Q296:Q301,Q305,S296:S301)</f>
        <v>15.000000419654985</v>
      </c>
      <c r="T305" s="488">
        <f>SUMIF(Q296:Q301,Q305,T296:T301)</f>
        <v>13.999999913898019</v>
      </c>
      <c r="U305" s="488">
        <f>SUMIF(Q296:Q301,Q305,U296:U301)</f>
        <v>13.000000011889369</v>
      </c>
      <c r="V305" s="485">
        <f>SUMIF(Q296:Q301,Q305,V296:V301)</f>
        <v>7.0000067588190724</v>
      </c>
      <c r="W305" s="586">
        <f>SUM(S305:V305)</f>
        <v>49.000007104261442</v>
      </c>
    </row>
    <row r="306" spans="1:23">
      <c r="A306" s="539">
        <v>3</v>
      </c>
      <c r="C306" s="573">
        <f>SUMIF(A296:A301,A306,C296:C301)</f>
        <v>23.999989938994677</v>
      </c>
      <c r="D306" s="574">
        <f>SUMIF(A296:A301,A306,D296:D301)</f>
        <v>15.999993631158674</v>
      </c>
      <c r="E306" s="574">
        <f>SUMIF(A296:A301,A306,E296:E301)</f>
        <v>15.99999093123466</v>
      </c>
      <c r="F306" s="575">
        <f>SUMIF(A296:A301,A306,F296:F301)</f>
        <v>20.000025498611986</v>
      </c>
      <c r="G306" s="586">
        <f>SUM(C306:F306)</f>
        <v>76</v>
      </c>
      <c r="I306" s="539">
        <v>3</v>
      </c>
      <c r="K306" s="573">
        <f>SUMIF(I296:I301,I306,K296:K301)</f>
        <v>24</v>
      </c>
      <c r="L306" s="574">
        <f>SUMIF(I296:I301,I306,L296:L301)</f>
        <v>16</v>
      </c>
      <c r="M306" s="574">
        <f>SUMIF(I296:I301,I306,M296:M301)</f>
        <v>16</v>
      </c>
      <c r="N306" s="575">
        <f>SUMIF(I296:I301,I306,N296:N301)</f>
        <v>20</v>
      </c>
      <c r="O306" s="586">
        <f>SUM(K306:N306)</f>
        <v>76</v>
      </c>
      <c r="Q306" s="539">
        <v>3</v>
      </c>
      <c r="S306" s="573">
        <f>SUMIF(Q296:Q301,Q306,S296:S301)</f>
        <v>23.999999519425693</v>
      </c>
      <c r="T306" s="574">
        <f>SUMIF(Q296:Q301,Q306,T296:T301)</f>
        <v>16.000000062343773</v>
      </c>
      <c r="U306" s="574">
        <f>SUMIF(Q296:Q301,Q306,U296:U301)</f>
        <v>15.999999984625244</v>
      </c>
      <c r="V306" s="575">
        <f>SUMIF(Q296:Q301,Q306,V296:V301)</f>
        <v>20.000019543644417</v>
      </c>
      <c r="W306" s="586">
        <f>SUM(S306:V306)</f>
        <v>76.000019110039119</v>
      </c>
    </row>
    <row r="308" spans="1:23">
      <c r="B308" s="539">
        <v>1</v>
      </c>
      <c r="C308" s="569">
        <f>SUMIF(B296:B301,B308,C296:C301)</f>
        <v>27.999997714788893</v>
      </c>
      <c r="D308" s="570">
        <f>SUMIF(B296:B301,B308,D296:D301)</f>
        <v>23.999999032882904</v>
      </c>
      <c r="E308" s="570">
        <f>SUMIF(B296:B301,B308,E296:E301)</f>
        <v>20.999996811380626</v>
      </c>
      <c r="F308" s="571">
        <f>SUMIF(B296:B301,B308,F296:F301)</f>
        <v>17.00000644094758</v>
      </c>
      <c r="G308" s="586">
        <f>SUM(C308:F308)</f>
        <v>90</v>
      </c>
      <c r="J308" s="539">
        <v>1</v>
      </c>
      <c r="K308" s="569">
        <f>SUMIF(J296:J301,J308,K296:K301)</f>
        <v>27.999998785511025</v>
      </c>
      <c r="L308" s="570">
        <f>SUMIF(J296:J301,J308,L296:L301)</f>
        <v>24.000000269424969</v>
      </c>
      <c r="M308" s="570">
        <f>SUMIF(J296:J301,J308,M296:M301)</f>
        <v>21.000000036937852</v>
      </c>
      <c r="N308" s="571">
        <f>SUMIF(J296:J301,J308,N296:N301)</f>
        <v>16.999979359868966</v>
      </c>
      <c r="O308" s="586">
        <f>SUM(K308:N308)</f>
        <v>89.999978451742805</v>
      </c>
      <c r="R308" s="539">
        <v>1</v>
      </c>
      <c r="S308" s="569">
        <f>SUMIF(R296:R301,R308,S296:S301)</f>
        <v>28</v>
      </c>
      <c r="T308" s="570">
        <f>SUMIF(R296:R301,R308,T296:T301)</f>
        <v>23.999999999999996</v>
      </c>
      <c r="U308" s="570">
        <f>SUMIF(R296:R301,R308,U296:U301)</f>
        <v>21</v>
      </c>
      <c r="V308" s="571">
        <f>SUMIF(R296:R301,R308,V296:V301)</f>
        <v>17</v>
      </c>
      <c r="W308" s="586">
        <f>SUM(S308:V308)</f>
        <v>90</v>
      </c>
    </row>
    <row r="309" spans="1:23">
      <c r="B309" s="539">
        <v>2</v>
      </c>
      <c r="C309" s="573">
        <f>SUMIF(B296:B301,B309,C296:C301)</f>
        <v>22.999998194941316</v>
      </c>
      <c r="D309" s="574">
        <f>SUMIF(B296:B301,B309,D296:D301)</f>
        <v>20.000000693537089</v>
      </c>
      <c r="E309" s="574">
        <f>SUMIF(B296:B301,B309,E296:E301)</f>
        <v>20.00000278217318</v>
      </c>
      <c r="F309" s="575">
        <f>SUMIF(B296:B301,B309,F296:F301)</f>
        <v>21.999998329348408</v>
      </c>
      <c r="G309" s="586">
        <f>SUM(C309:F309)</f>
        <v>85</v>
      </c>
      <c r="J309" s="539">
        <v>2</v>
      </c>
      <c r="K309" s="573">
        <f>SUMIF(J296:J301,J309,K296:K301)</f>
        <v>23.000001214488975</v>
      </c>
      <c r="L309" s="574">
        <f>SUMIF(J296:J301,J309,L296:L301)</f>
        <v>19.999999730575034</v>
      </c>
      <c r="M309" s="574">
        <f>SUMIF(J296:J301,J309,M296:M301)</f>
        <v>19.999999963062152</v>
      </c>
      <c r="N309" s="575">
        <f>SUMIF(J296:J301,J309,N296:N301)</f>
        <v>21.999980821221783</v>
      </c>
      <c r="O309" s="586">
        <f>SUM(K309:N309)</f>
        <v>84.999981729347951</v>
      </c>
      <c r="R309" s="539">
        <v>2</v>
      </c>
      <c r="S309" s="573">
        <f>SUMIF(R296:R301,R309,S296:S301)</f>
        <v>22.999999999999996</v>
      </c>
      <c r="T309" s="574">
        <f>SUMIF(R296:R301,R309,T296:T301)</f>
        <v>20</v>
      </c>
      <c r="U309" s="574">
        <f>SUMIF(R296:R301,R309,U296:U301)</f>
        <v>19.999999999999996</v>
      </c>
      <c r="V309" s="575">
        <f>SUMIF(R296:R301,R309,V296:V301)</f>
        <v>22.000000000000004</v>
      </c>
      <c r="W309" s="586">
        <f>SUM(S309:V309)</f>
        <v>85</v>
      </c>
    </row>
    <row r="311" spans="1:23">
      <c r="A311" s="539" t="s">
        <v>134</v>
      </c>
      <c r="B311" s="539" t="s">
        <v>1379</v>
      </c>
      <c r="C311">
        <v>1</v>
      </c>
      <c r="D311">
        <f>C311+1</f>
        <v>2</v>
      </c>
      <c r="E311">
        <f>D311+1</f>
        <v>3</v>
      </c>
      <c r="F311">
        <f>E311+1</f>
        <v>4</v>
      </c>
      <c r="I311" s="539" t="s">
        <v>134</v>
      </c>
      <c r="J311" s="539" t="s">
        <v>1379</v>
      </c>
      <c r="K311">
        <v>1</v>
      </c>
      <c r="L311">
        <f>K311+1</f>
        <v>2</v>
      </c>
      <c r="M311">
        <f>L311+1</f>
        <v>3</v>
      </c>
      <c r="N311">
        <f>M311+1</f>
        <v>4</v>
      </c>
      <c r="Q311" s="539" t="s">
        <v>134</v>
      </c>
      <c r="R311" s="539" t="s">
        <v>1379</v>
      </c>
      <c r="S311">
        <v>1</v>
      </c>
      <c r="T311">
        <f>S311+1</f>
        <v>2</v>
      </c>
      <c r="U311">
        <f>T311+1</f>
        <v>3</v>
      </c>
      <c r="V311">
        <f>U311+1</f>
        <v>4</v>
      </c>
    </row>
    <row r="312" spans="1:23">
      <c r="A312" s="539">
        <v>1</v>
      </c>
      <c r="B312" s="539">
        <v>1</v>
      </c>
      <c r="C312" s="576">
        <f>S296*$G$6/$W296</f>
        <v>7.221639530516998</v>
      </c>
      <c r="D312" s="577">
        <f>T296*$G$6/$W296</f>
        <v>6.6743923834056567</v>
      </c>
      <c r="E312" s="577">
        <f>U296*$G$6/$W296</f>
        <v>5.1797506451749848</v>
      </c>
      <c r="F312" s="578">
        <f>V296*$G$6/$W296</f>
        <v>8.924217440902364</v>
      </c>
      <c r="G312" s="488">
        <f t="shared" ref="G312:G317" si="56">SUM(C312:F312)</f>
        <v>28.000000000000004</v>
      </c>
      <c r="I312" s="539">
        <v>1</v>
      </c>
      <c r="J312" s="539">
        <v>1</v>
      </c>
      <c r="K312" s="576">
        <f>C312*$C$14/C320</f>
        <v>7.2216355464023341</v>
      </c>
      <c r="L312" s="577">
        <f>D312*$D$14/D320</f>
        <v>6.6743891696067355</v>
      </c>
      <c r="M312" s="577">
        <f>E312*$E$14/E320</f>
        <v>5.1797482831176005</v>
      </c>
      <c r="N312" s="578">
        <f>F312*F304/F320</f>
        <v>8.9242078410626302</v>
      </c>
      <c r="O312" s="488">
        <f t="shared" ref="O312:O317" si="57">SUM(K312:N312)</f>
        <v>27.999980840189302</v>
      </c>
      <c r="Q312" s="539">
        <v>1</v>
      </c>
      <c r="R312" s="539">
        <v>1</v>
      </c>
      <c r="S312" s="576">
        <f>K312*$C$18/K324</f>
        <v>7.2216357322319453</v>
      </c>
      <c r="T312" s="577">
        <f>L312*$D$18/L324</f>
        <v>6.6743891251014782</v>
      </c>
      <c r="U312" s="577">
        <f>M312*$E$18/M324</f>
        <v>5.1797482777067971</v>
      </c>
      <c r="V312" s="578">
        <f>N312*$F$18/N324</f>
        <v>8.9242142594219196</v>
      </c>
      <c r="W312" s="488">
        <f t="shared" ref="W312:W317" si="58">SUM(S312:V312)</f>
        <v>27.999987394462138</v>
      </c>
    </row>
    <row r="313" spans="1:23">
      <c r="A313" s="539">
        <v>1</v>
      </c>
      <c r="B313" s="539">
        <v>2</v>
      </c>
      <c r="C313" s="579">
        <f>S297*$G$7/$W297</f>
        <v>4.7783670897805326</v>
      </c>
      <c r="D313" s="580">
        <f>T297*$G$7/$W297</f>
        <v>7.3256143577632731</v>
      </c>
      <c r="E313" s="580">
        <f>U297*$G$7/$W297</f>
        <v>6.820254827038541</v>
      </c>
      <c r="F313" s="581">
        <f>V297*$G$7/$W297</f>
        <v>3.075763725417656</v>
      </c>
      <c r="G313" s="488">
        <f t="shared" si="56"/>
        <v>22.000000000000004</v>
      </c>
      <c r="I313" s="539">
        <v>1</v>
      </c>
      <c r="J313" s="539">
        <v>2</v>
      </c>
      <c r="K313" s="579">
        <f>C313*$C$14/C320</f>
        <v>4.7783644535976668</v>
      </c>
      <c r="L313" s="580">
        <f>D313*$D$14/D320</f>
        <v>7.3256108303932645</v>
      </c>
      <c r="M313" s="580">
        <f>E313*$E$14/E320</f>
        <v>6.8202517168823995</v>
      </c>
      <c r="N313" s="581">
        <f>F313*$F$14/F320</f>
        <v>3.0757685527543743</v>
      </c>
      <c r="O313" s="488">
        <f t="shared" si="57"/>
        <v>21.999995553627706</v>
      </c>
      <c r="Q313" s="539">
        <v>1</v>
      </c>
      <c r="R313" s="539">
        <v>2</v>
      </c>
      <c r="S313" s="579">
        <f>K313*$C$19/K325</f>
        <v>4.7783643039090435</v>
      </c>
      <c r="T313" s="580">
        <f>L313*$D$19/L325</f>
        <v>7.3256108890104414</v>
      </c>
      <c r="U313" s="580">
        <f>M313*$E$19/M325</f>
        <v>6.8202517243631098</v>
      </c>
      <c r="V313" s="581">
        <f>N313*$F$19/N325</f>
        <v>3.0757701437188976</v>
      </c>
      <c r="W313" s="488">
        <f t="shared" si="58"/>
        <v>21.999997061001494</v>
      </c>
    </row>
    <row r="314" spans="1:23">
      <c r="A314" s="539">
        <v>2</v>
      </c>
      <c r="B314" s="539">
        <v>1</v>
      </c>
      <c r="C314" s="579">
        <f>S298*$G$8/$W298</f>
        <v>12.598584931117793</v>
      </c>
      <c r="D314" s="580">
        <f>T298*$G$8/$W298</f>
        <v>11.122653184443955</v>
      </c>
      <c r="E314" s="580">
        <f>U298*$G$8/$W298</f>
        <v>3.3612794898212583</v>
      </c>
      <c r="F314" s="581">
        <f>V298*$G$8/$W298</f>
        <v>1.9174823946169952</v>
      </c>
      <c r="G314" s="488">
        <f t="shared" si="56"/>
        <v>29</v>
      </c>
      <c r="I314" s="539">
        <v>2</v>
      </c>
      <c r="J314" s="539">
        <v>1</v>
      </c>
      <c r="K314" s="579">
        <f>C314*$C$15/C321</f>
        <v>12.598587516147626</v>
      </c>
      <c r="L314" s="580">
        <f>D314*$D$15/D321</f>
        <v>11.122655666608969</v>
      </c>
      <c r="M314" s="580">
        <f>E314*$E$15/E321</f>
        <v>3.3612795758937328</v>
      </c>
      <c r="N314" s="581">
        <f>F314*$F$15/F321</f>
        <v>1.9174806045297004</v>
      </c>
      <c r="O314" s="488">
        <f t="shared" si="57"/>
        <v>29.000003363180028</v>
      </c>
      <c r="Q314" s="539">
        <v>2</v>
      </c>
      <c r="R314" s="539">
        <v>1</v>
      </c>
      <c r="S314" s="579">
        <f>K314*$C$18/K324</f>
        <v>12.598587840338816</v>
      </c>
      <c r="T314" s="580">
        <f>L314*$D$18/L324</f>
        <v>11.122655592442381</v>
      </c>
      <c r="U314" s="580">
        <f>M314*$E$18/M324</f>
        <v>3.3612795723825153</v>
      </c>
      <c r="V314" s="581">
        <f>N314*$F$18/N324</f>
        <v>1.9174819835965786</v>
      </c>
      <c r="W314" s="488">
        <f t="shared" si="58"/>
        <v>29.000004988760288</v>
      </c>
    </row>
    <row r="315" spans="1:23">
      <c r="A315" s="539">
        <v>2</v>
      </c>
      <c r="B315" s="539">
        <v>2</v>
      </c>
      <c r="C315" s="579">
        <f>S299*$G$9/$W299</f>
        <v>2.4014119911207175</v>
      </c>
      <c r="D315" s="580">
        <f>T299*$G$9/$W299</f>
        <v>2.8773436912742891</v>
      </c>
      <c r="E315" s="580">
        <f>U299*$G$9/$W299</f>
        <v>9.638720177287011</v>
      </c>
      <c r="F315" s="581">
        <f>V299*$G$9/$W299</f>
        <v>5.0825241403179788</v>
      </c>
      <c r="G315" s="488">
        <f t="shared" si="56"/>
        <v>19.999999999999996</v>
      </c>
      <c r="I315" s="539">
        <v>2</v>
      </c>
      <c r="J315" s="539">
        <v>2</v>
      </c>
      <c r="K315" s="579">
        <f>C315*$C$15/C321</f>
        <v>2.4014124838523752</v>
      </c>
      <c r="L315" s="580">
        <f>D315*$D$15/D321</f>
        <v>2.877344333391032</v>
      </c>
      <c r="M315" s="580">
        <f>E315*$E$15/E321</f>
        <v>9.6387204241062658</v>
      </c>
      <c r="N315" s="581">
        <f>F315*$F$15/F321</f>
        <v>5.0825193954702996</v>
      </c>
      <c r="O315" s="488">
        <f t="shared" si="57"/>
        <v>19.999996636819972</v>
      </c>
      <c r="Q315" s="539">
        <v>2</v>
      </c>
      <c r="R315" s="539">
        <v>2</v>
      </c>
      <c r="S315" s="579">
        <f>K315*$C$19/K325</f>
        <v>2.4014124086249349</v>
      </c>
      <c r="T315" s="580">
        <f>L315*$D$19/L325</f>
        <v>2.8773443564146137</v>
      </c>
      <c r="U315" s="580">
        <f>M315*$E$19/M325</f>
        <v>9.6387204346783815</v>
      </c>
      <c r="V315" s="581">
        <f>N315*$F$19/N325</f>
        <v>5.0825220244418583</v>
      </c>
      <c r="W315" s="488">
        <f t="shared" si="58"/>
        <v>19.999999224159787</v>
      </c>
    </row>
    <row r="316" spans="1:23">
      <c r="A316" s="539">
        <v>3</v>
      </c>
      <c r="B316" s="539">
        <v>1</v>
      </c>
      <c r="C316" s="579">
        <f>S300*$G$10/$W300</f>
        <v>8.1797741825540715</v>
      </c>
      <c r="D316" s="580">
        <f>T300*$G$10/$W300</f>
        <v>6.2029538586105462</v>
      </c>
      <c r="E316" s="580">
        <f>U300*$G$10/$W300</f>
        <v>12.458967972089921</v>
      </c>
      <c r="F316" s="581">
        <f>V300*$G$10/$W300</f>
        <v>6.1583039867454614</v>
      </c>
      <c r="G316" s="488">
        <f t="shared" si="56"/>
        <v>33</v>
      </c>
      <c r="I316" s="539">
        <v>3</v>
      </c>
      <c r="J316" s="539">
        <v>1</v>
      </c>
      <c r="K316" s="579">
        <f>C316*$C$16/C322</f>
        <v>8.1797762169444201</v>
      </c>
      <c r="L316" s="580">
        <f>D316*$D$16/D322</f>
        <v>6.2029553238178483</v>
      </c>
      <c r="M316" s="580">
        <f>E316*$E$16/E322</f>
        <v>12.458972162925424</v>
      </c>
      <c r="N316" s="581">
        <f>F316*$F$16/F322</f>
        <v>6.1582993278850076</v>
      </c>
      <c r="O316" s="488">
        <f t="shared" si="57"/>
        <v>33.000003031572703</v>
      </c>
      <c r="Q316" s="539">
        <v>3</v>
      </c>
      <c r="R316" s="539">
        <v>1</v>
      </c>
      <c r="S316" s="579">
        <f>K316*$C$18/K324</f>
        <v>8.1797764274292373</v>
      </c>
      <c r="T316" s="580">
        <f>L316*$D$18/L324</f>
        <v>6.2029552824561422</v>
      </c>
      <c r="U316" s="580">
        <f>M316*$E$18/M324</f>
        <v>12.458972149910688</v>
      </c>
      <c r="V316" s="581">
        <f>N316*$F$18/N324</f>
        <v>6.1583037569815042</v>
      </c>
      <c r="W316" s="488">
        <f t="shared" si="58"/>
        <v>33.000007616777573</v>
      </c>
    </row>
    <row r="317" spans="1:23">
      <c r="A317" s="539">
        <v>3</v>
      </c>
      <c r="B317" s="539">
        <v>2</v>
      </c>
      <c r="C317" s="582">
        <f>S301*$G$11/$W301</f>
        <v>15.820219848411195</v>
      </c>
      <c r="D317" s="583">
        <f>T301*$G$11/$W301</f>
        <v>9.7970423620108171</v>
      </c>
      <c r="E317" s="583">
        <f>U301*$G$11/$W301</f>
        <v>3.5410266459759057</v>
      </c>
      <c r="F317" s="584">
        <f>V301*$G$11/$W301</f>
        <v>13.841711143602076</v>
      </c>
      <c r="G317" s="488">
        <f t="shared" si="56"/>
        <v>42.999999999999993</v>
      </c>
      <c r="I317" s="539">
        <v>3</v>
      </c>
      <c r="J317" s="539">
        <v>2</v>
      </c>
      <c r="K317" s="582">
        <f>C317*$C$16/C322</f>
        <v>15.820223783055578</v>
      </c>
      <c r="L317" s="583">
        <f>D317*$D$16/D322</f>
        <v>9.7970446761821517</v>
      </c>
      <c r="M317" s="583">
        <f>E317*$E$16/E322</f>
        <v>3.541027837074576</v>
      </c>
      <c r="N317" s="584">
        <f>F317*$F$16/F322</f>
        <v>13.841700672114992</v>
      </c>
      <c r="O317" s="488">
        <f t="shared" si="57"/>
        <v>42.999996968427297</v>
      </c>
      <c r="Q317" s="539">
        <v>3</v>
      </c>
      <c r="R317" s="539">
        <v>2</v>
      </c>
      <c r="S317" s="582">
        <f>K317*$C$19/K325</f>
        <v>15.820223287466023</v>
      </c>
      <c r="T317" s="583">
        <f>L317*$D$19/L325</f>
        <v>9.7970447545749444</v>
      </c>
      <c r="U317" s="583">
        <f>M317*$E$19/M325</f>
        <v>3.5410278409585096</v>
      </c>
      <c r="V317" s="584">
        <f>N317*$F$19/N325</f>
        <v>13.841707831839248</v>
      </c>
      <c r="W317" s="488">
        <f t="shared" si="58"/>
        <v>43.000003714838726</v>
      </c>
    </row>
    <row r="318" spans="1:23">
      <c r="C318" s="585">
        <f>SUM(C312:C317)</f>
        <v>50.999997573501304</v>
      </c>
      <c r="D318" s="585">
        <f>SUM(D312:D317)</f>
        <v>43.99999983750854</v>
      </c>
      <c r="E318" s="585">
        <f>SUM(E312:E317)</f>
        <v>40.99999975738762</v>
      </c>
      <c r="F318" s="585">
        <f>SUM(F312:F317)</f>
        <v>39.000002831602529</v>
      </c>
      <c r="G318" s="587">
        <f>SUM(G312:G317)</f>
        <v>175</v>
      </c>
      <c r="K318" s="585">
        <f>SUM(K312:K317)</f>
        <v>51</v>
      </c>
      <c r="L318" s="585">
        <f>SUM(L312:L317)</f>
        <v>44.000000000000007</v>
      </c>
      <c r="M318" s="585">
        <f>SUM(M312:M317)</f>
        <v>40.999999999999993</v>
      </c>
      <c r="N318" s="585">
        <f>SUM(N312:N317)</f>
        <v>38.999976393817008</v>
      </c>
      <c r="O318" s="587">
        <f>SUM(O312:O317)</f>
        <v>174.99997639381701</v>
      </c>
      <c r="S318" s="585">
        <f>SUM(S312:S317)</f>
        <v>51</v>
      </c>
      <c r="T318" s="585">
        <f>SUM(T312:T317)</f>
        <v>44</v>
      </c>
      <c r="U318" s="585">
        <f>SUM(U312:U317)</f>
        <v>41</v>
      </c>
      <c r="V318" s="585">
        <f>SUM(V312:V317)</f>
        <v>39.000000000000007</v>
      </c>
      <c r="W318" s="587">
        <f>SUM(W312:W317)</f>
        <v>175</v>
      </c>
    </row>
    <row r="320" spans="1:23">
      <c r="A320" s="539">
        <v>1</v>
      </c>
      <c r="C320" s="569">
        <f>SUMIF(A312:A317,A320,C312:C317)</f>
        <v>12.00000662029753</v>
      </c>
      <c r="D320" s="570">
        <f>SUMIF(A312:A317,A320,D312:D317)</f>
        <v>14.00000674116893</v>
      </c>
      <c r="E320" s="570">
        <f>SUMIF(A312:A317,A320,E312:E317)</f>
        <v>12.000005472213527</v>
      </c>
      <c r="F320" s="571">
        <f>SUMIF(A312:A317,A320,F312:F317)</f>
        <v>11.999981166320019</v>
      </c>
      <c r="G320" s="586">
        <f>SUM(C320:F320)</f>
        <v>50.000000000000007</v>
      </c>
      <c r="I320" s="539">
        <v>1</v>
      </c>
      <c r="K320" s="569">
        <f>SUMIF(I312:I317,I320,K312:K317)</f>
        <v>12</v>
      </c>
      <c r="L320" s="570">
        <f>SUMIF(I312:I317,I320,L312:L317)</f>
        <v>14</v>
      </c>
      <c r="M320" s="570">
        <f>SUMIF(I312:I317,I320,M312:M317)</f>
        <v>12</v>
      </c>
      <c r="N320" s="571">
        <f>SUMIF(I312:I317,I320,N312:N317)</f>
        <v>11.999976393817004</v>
      </c>
      <c r="O320" s="586">
        <f>SUM(K320:N320)</f>
        <v>49.999976393817008</v>
      </c>
      <c r="Q320" s="539">
        <v>1</v>
      </c>
      <c r="S320" s="569">
        <f>SUMIF(Q312:Q317,Q320,S312:S317)</f>
        <v>12.000000036140989</v>
      </c>
      <c r="T320" s="570">
        <f>SUMIF(Q312:Q317,Q320,T312:T317)</f>
        <v>14.000000014111919</v>
      </c>
      <c r="U320" s="570">
        <f>SUMIF(Q312:Q317,Q320,U312:U317)</f>
        <v>12.000000002069907</v>
      </c>
      <c r="V320" s="571">
        <f>SUMIF(Q312:Q317,Q320,V312:V317)</f>
        <v>11.999984403140818</v>
      </c>
      <c r="W320" s="586">
        <f>SUM(S320:V320)</f>
        <v>49.999984455463633</v>
      </c>
    </row>
    <row r="321" spans="1:23">
      <c r="A321" s="539">
        <v>2</v>
      </c>
      <c r="C321" s="572">
        <f>SUMIF(A312:A317,A321,C312:C317)</f>
        <v>14.999996922238511</v>
      </c>
      <c r="D321" s="488">
        <f>SUMIF(A312:A317,A321,D312:D317)</f>
        <v>13.999996875718244</v>
      </c>
      <c r="E321" s="488">
        <f>SUMIF(A312:A317,A321,E312:E317)</f>
        <v>12.99999966710827</v>
      </c>
      <c r="F321" s="485">
        <f>SUMIF(A312:A317,A321,F312:F317)</f>
        <v>7.0000065349349736</v>
      </c>
      <c r="G321" s="586">
        <f>SUM(C321:F321)</f>
        <v>49</v>
      </c>
      <c r="I321" s="539">
        <v>2</v>
      </c>
      <c r="K321" s="572">
        <f>SUMIF(I312:I317,I321,K312:K317)</f>
        <v>15.000000000000002</v>
      </c>
      <c r="L321" s="488">
        <f>SUMIF(I312:I317,I321,L312:L317)</f>
        <v>14</v>
      </c>
      <c r="M321" s="488">
        <f>SUMIF(I312:I317,I321,M312:M317)</f>
        <v>12.999999999999998</v>
      </c>
      <c r="N321" s="485">
        <f>SUMIF(I312:I317,I321,N312:N317)</f>
        <v>7</v>
      </c>
      <c r="O321" s="586">
        <f>SUM(K321:N321)</f>
        <v>49</v>
      </c>
      <c r="Q321" s="539">
        <v>2</v>
      </c>
      <c r="S321" s="572">
        <f>SUMIF(Q312:Q317,Q321,S312:S317)</f>
        <v>15.000000248963751</v>
      </c>
      <c r="T321" s="488">
        <f>SUMIF(Q312:Q317,Q321,T312:T317)</f>
        <v>13.999999948856996</v>
      </c>
      <c r="U321" s="488">
        <f>SUMIF(Q312:Q317,Q321,U312:U317)</f>
        <v>13.000000007060898</v>
      </c>
      <c r="V321" s="485">
        <f>SUMIF(Q312:Q317,Q321,V312:V317)</f>
        <v>7.0000040080384371</v>
      </c>
      <c r="W321" s="586">
        <f>SUM(S321:V321)</f>
        <v>49.000004212920082</v>
      </c>
    </row>
    <row r="322" spans="1:23">
      <c r="A322" s="539">
        <v>3</v>
      </c>
      <c r="C322" s="573">
        <f>SUMIF(A312:A317,A322,C312:C317)</f>
        <v>23.999994030965269</v>
      </c>
      <c r="D322" s="574">
        <f>SUMIF(A312:A317,A322,D312:D317)</f>
        <v>15.999996220621362</v>
      </c>
      <c r="E322" s="574">
        <f>SUMIF(A312:A317,A322,E312:E317)</f>
        <v>15.999994618065827</v>
      </c>
      <c r="F322" s="575">
        <f>SUMIF(A312:A317,A322,F312:F317)</f>
        <v>20.000015130347538</v>
      </c>
      <c r="G322" s="586">
        <f>SUM(C322:F322)</f>
        <v>76</v>
      </c>
      <c r="I322" s="539">
        <v>3</v>
      </c>
      <c r="K322" s="573">
        <f>SUMIF(I312:I317,I322,K312:K317)</f>
        <v>24</v>
      </c>
      <c r="L322" s="574">
        <f>SUMIF(I312:I317,I322,L312:L317)</f>
        <v>16</v>
      </c>
      <c r="M322" s="574">
        <f>SUMIF(I312:I317,I322,M312:M317)</f>
        <v>16</v>
      </c>
      <c r="N322" s="575">
        <f>SUMIF(I312:I317,I322,N312:N317)</f>
        <v>20</v>
      </c>
      <c r="O322" s="586">
        <f>SUM(K322:N322)</f>
        <v>76</v>
      </c>
      <c r="Q322" s="539">
        <v>3</v>
      </c>
      <c r="S322" s="573">
        <f>SUMIF(Q312:Q317,Q322,S312:S317)</f>
        <v>23.99999971489526</v>
      </c>
      <c r="T322" s="574">
        <f>SUMIF(Q312:Q317,Q322,T312:T317)</f>
        <v>16.000000037031086</v>
      </c>
      <c r="U322" s="574">
        <f>SUMIF(Q312:Q317,Q322,U312:U317)</f>
        <v>15.999999990869197</v>
      </c>
      <c r="V322" s="575">
        <f>SUMIF(Q312:Q317,Q322,V312:V317)</f>
        <v>20.000011588820751</v>
      </c>
      <c r="W322" s="586">
        <f>SUM(S322:V322)</f>
        <v>76.000011331616292</v>
      </c>
    </row>
    <row r="324" spans="1:23">
      <c r="B324" s="539">
        <v>1</v>
      </c>
      <c r="C324" s="569">
        <f>SUMIF(B312:B317,B324,C312:C317)</f>
        <v>27.999998644188864</v>
      </c>
      <c r="D324" s="570">
        <f>SUMIF(B312:B317,B324,D312:D317)</f>
        <v>23.999999426460157</v>
      </c>
      <c r="E324" s="570">
        <f>SUMIF(B312:B317,B324,E312:E317)</f>
        <v>20.999998107086164</v>
      </c>
      <c r="F324" s="571">
        <f>SUMIF(B312:B317,B324,F312:F317)</f>
        <v>17.000003822264819</v>
      </c>
      <c r="G324" s="586">
        <f>SUM(C324:F324)</f>
        <v>90</v>
      </c>
      <c r="J324" s="539">
        <v>1</v>
      </c>
      <c r="K324" s="569">
        <f>SUMIF(J312:J317,J324,K312:K317)</f>
        <v>27.999999279494382</v>
      </c>
      <c r="L324" s="570">
        <f>SUMIF(J312:J317,J324,L312:L317)</f>
        <v>24.000000160033551</v>
      </c>
      <c r="M324" s="570">
        <f>SUMIF(J312:J317,J324,M312:M317)</f>
        <v>21.000000021936756</v>
      </c>
      <c r="N324" s="571">
        <f>SUMIF(J312:J317,J324,N312:N317)</f>
        <v>16.999987773477336</v>
      </c>
      <c r="O324" s="586">
        <f>SUM(K324:N324)</f>
        <v>89.999987234942012</v>
      </c>
      <c r="R324" s="539">
        <v>1</v>
      </c>
      <c r="S324" s="569">
        <f>SUMIF(R312:R317,R324,S312:S317)</f>
        <v>28</v>
      </c>
      <c r="T324" s="570">
        <f>SUMIF(R312:R317,R324,T312:T317)</f>
        <v>24</v>
      </c>
      <c r="U324" s="570">
        <f>SUMIF(R312:R317,R324,U312:U317)</f>
        <v>21</v>
      </c>
      <c r="V324" s="571">
        <f>SUMIF(R312:R317,R324,V312:V317)</f>
        <v>17.000000000000004</v>
      </c>
      <c r="W324" s="586">
        <f>SUM(S324:V324)</f>
        <v>90</v>
      </c>
    </row>
    <row r="325" spans="1:23">
      <c r="B325" s="539">
        <v>2</v>
      </c>
      <c r="C325" s="573">
        <f>SUMIF(B312:B317,B325,C312:C317)</f>
        <v>22.999998929312447</v>
      </c>
      <c r="D325" s="574">
        <f>SUMIF(B312:B317,B325,D312:D317)</f>
        <v>20.000000411048379</v>
      </c>
      <c r="E325" s="574">
        <f>SUMIF(B312:B317,B325,E312:E317)</f>
        <v>20.000001650301456</v>
      </c>
      <c r="F325" s="575">
        <f>SUMIF(B312:B317,B325,F312:F317)</f>
        <v>21.99999900933771</v>
      </c>
      <c r="G325" s="586">
        <f>SUM(C325:F325)</f>
        <v>85</v>
      </c>
      <c r="J325" s="539">
        <v>2</v>
      </c>
      <c r="K325" s="573">
        <f>SUMIF(J312:J317,J325,K312:K317)</f>
        <v>23.000000720505618</v>
      </c>
      <c r="L325" s="574">
        <f>SUMIF(J312:J317,J325,L312:L317)</f>
        <v>19.999999839966449</v>
      </c>
      <c r="M325" s="574">
        <f>SUMIF(J312:J317,J325,M312:M317)</f>
        <v>19.99999997806324</v>
      </c>
      <c r="N325" s="575">
        <f>SUMIF(J312:J317,J325,N312:N317)</f>
        <v>21.999988620339664</v>
      </c>
      <c r="O325" s="586">
        <f>SUM(K325:N325)</f>
        <v>84.999989158874968</v>
      </c>
      <c r="R325" s="539">
        <v>2</v>
      </c>
      <c r="S325" s="573">
        <f>SUMIF(R312:R317,R325,S312:S317)</f>
        <v>23</v>
      </c>
      <c r="T325" s="574">
        <f>SUMIF(R312:R317,R325,T312:T317)</f>
        <v>20</v>
      </c>
      <c r="U325" s="574">
        <f>SUMIF(R312:R317,R325,U312:U317)</f>
        <v>20</v>
      </c>
      <c r="V325" s="575">
        <f>SUMIF(R312:R317,R325,V312:V317)</f>
        <v>22.000000000000004</v>
      </c>
      <c r="W325" s="586">
        <f>SUM(S325:V325)</f>
        <v>85</v>
      </c>
    </row>
  </sheetData>
  <mergeCells count="2">
    <mergeCell ref="C4:F4"/>
    <mergeCell ref="S4:V4"/>
  </mergeCells>
  <pageMargins left="0.7" right="0.7" top="0.75" bottom="0.75" header="0.3" footer="0.3"/>
  <ignoredErrors>
    <ignoredError sqref="G18:G19" formulaRange="1"/>
  </ignoredErrors>
</worksheet>
</file>

<file path=xl/worksheets/sheet329.xml><?xml version="1.0" encoding="utf-8"?>
<worksheet xmlns="http://schemas.openxmlformats.org/spreadsheetml/2006/main" xmlns:r="http://schemas.openxmlformats.org/officeDocument/2006/relationships">
  <sheetPr codeName="Sheet327"/>
  <dimension ref="A1:N195"/>
  <sheetViews>
    <sheetView workbookViewId="0"/>
  </sheetViews>
  <sheetFormatPr defaultRowHeight="14.4"/>
  <cols>
    <col min="6" max="6" width="13.44140625" customWidth="1"/>
    <col min="7" max="7" width="9.109375" customWidth="1"/>
    <col min="8" max="8" width="4" customWidth="1"/>
    <col min="9" max="9" width="22.6640625" customWidth="1"/>
  </cols>
  <sheetData>
    <row r="1" spans="1:14">
      <c r="A1" s="1" t="s">
        <v>3550</v>
      </c>
    </row>
    <row r="3" spans="1:14">
      <c r="A3" s="1" t="s">
        <v>205</v>
      </c>
      <c r="F3" s="1347" t="s">
        <v>3524</v>
      </c>
      <c r="G3" s="1336"/>
      <c r="K3" t="s">
        <v>3523</v>
      </c>
    </row>
    <row r="4" spans="1:14">
      <c r="J4" s="65"/>
    </row>
    <row r="5" spans="1:14">
      <c r="A5" s="1339">
        <v>45</v>
      </c>
      <c r="B5" s="1340">
        <v>58</v>
      </c>
      <c r="C5" s="1340">
        <v>72</v>
      </c>
      <c r="D5" s="1341">
        <v>52</v>
      </c>
      <c r="F5" t="s">
        <v>3525</v>
      </c>
      <c r="G5" s="1235">
        <v>52</v>
      </c>
      <c r="I5" s="65"/>
      <c r="K5" s="477" t="s">
        <v>63</v>
      </c>
      <c r="L5" s="477" t="s">
        <v>1174</v>
      </c>
      <c r="M5" s="477" t="s">
        <v>1182</v>
      </c>
      <c r="N5" s="477" t="s">
        <v>1181</v>
      </c>
    </row>
    <row r="6" spans="1:14">
      <c r="A6" s="1342">
        <v>56</v>
      </c>
      <c r="B6" s="81">
        <v>49</v>
      </c>
      <c r="C6" s="81">
        <v>48</v>
      </c>
      <c r="D6" s="1343">
        <v>67</v>
      </c>
      <c r="F6" t="s">
        <v>1180</v>
      </c>
      <c r="G6" s="627">
        <f>COUNT(A5:D10)</f>
        <v>24</v>
      </c>
      <c r="I6" s="23" t="s">
        <v>3527</v>
      </c>
      <c r="K6">
        <v>52</v>
      </c>
      <c r="L6">
        <f>ABS((K6-$G$5)/$G$8)</f>
        <v>0</v>
      </c>
      <c r="M6" t="e">
        <f ca="1">[1]!t_dist(($G$21-K6)/$G$11,$G$12,TRUE)</f>
        <v>#NAME?</v>
      </c>
      <c r="N6" t="e">
        <f ca="1">1-M6</f>
        <v>#NAME?</v>
      </c>
    </row>
    <row r="7" spans="1:14">
      <c r="A7" s="1342">
        <v>71</v>
      </c>
      <c r="B7" s="81">
        <v>52</v>
      </c>
      <c r="C7" s="81">
        <v>62</v>
      </c>
      <c r="D7" s="1343">
        <v>56</v>
      </c>
      <c r="F7" s="1336" t="s">
        <v>1187</v>
      </c>
      <c r="G7" s="1337">
        <f>AVERAGE(A5:D10)</f>
        <v>53.166666666666664</v>
      </c>
      <c r="I7" t="s">
        <v>3528</v>
      </c>
      <c r="K7">
        <f>K6+0.5</f>
        <v>52.5</v>
      </c>
      <c r="L7">
        <f t="shared" ref="L7:L26" si="0">ABS((K7-$G$5)/$G$8)</f>
        <v>4.8471600449361961E-2</v>
      </c>
      <c r="M7" t="e">
        <f ca="1">[1]!t_dist(($G$21-K7)/$G$11,$G$12,TRUE)</f>
        <v>#NAME?</v>
      </c>
      <c r="N7" t="e">
        <f t="shared" ref="N7:N26" ca="1" si="1">1-M7</f>
        <v>#NAME?</v>
      </c>
    </row>
    <row r="8" spans="1:14">
      <c r="A8" s="1342">
        <v>38</v>
      </c>
      <c r="B8" s="81">
        <v>39</v>
      </c>
      <c r="C8" s="81">
        <v>54</v>
      </c>
      <c r="D8" s="1343">
        <v>52</v>
      </c>
      <c r="F8" t="s">
        <v>218</v>
      </c>
      <c r="G8" s="627">
        <f>STDEV(A5:D10)</f>
        <v>10.315318565194634</v>
      </c>
      <c r="I8" t="s">
        <v>3529</v>
      </c>
      <c r="K8">
        <f t="shared" ref="K8:K26" si="2">K7+0.5</f>
        <v>53</v>
      </c>
      <c r="L8">
        <f t="shared" si="0"/>
        <v>9.6943200898723922E-2</v>
      </c>
      <c r="M8" t="e">
        <f ca="1">[1]!t_dist(($G$21-K8)/$G$11,$G$12,TRUE)</f>
        <v>#NAME?</v>
      </c>
      <c r="N8" t="e">
        <f t="shared" ca="1" si="1"/>
        <v>#NAME?</v>
      </c>
    </row>
    <row r="9" spans="1:14">
      <c r="A9" s="1342">
        <v>61</v>
      </c>
      <c r="B9" s="81">
        <v>42</v>
      </c>
      <c r="C9" s="81">
        <v>45</v>
      </c>
      <c r="D9" s="1343">
        <v>46</v>
      </c>
      <c r="F9" t="s">
        <v>1946</v>
      </c>
      <c r="G9" s="627">
        <f>ABS(G5-G7)/G8</f>
        <v>0.11310040104851102</v>
      </c>
      <c r="I9" t="s">
        <v>3530</v>
      </c>
      <c r="K9">
        <f t="shared" si="2"/>
        <v>53.5</v>
      </c>
      <c r="L9">
        <f t="shared" si="0"/>
        <v>0.14541480134808588</v>
      </c>
      <c r="M9" t="e">
        <f ca="1">[1]!t_dist(($G$21-K9)/$G$11,$G$12,TRUE)</f>
        <v>#NAME?</v>
      </c>
      <c r="N9" t="e">
        <f t="shared" ca="1" si="1"/>
        <v>#NAME?</v>
      </c>
    </row>
    <row r="10" spans="1:14">
      <c r="A10" s="1344">
        <v>51</v>
      </c>
      <c r="B10" s="1345">
        <v>34</v>
      </c>
      <c r="C10" s="1345">
        <v>58</v>
      </c>
      <c r="D10" s="1346">
        <v>68</v>
      </c>
      <c r="F10" t="s">
        <v>1178</v>
      </c>
      <c r="G10" s="627">
        <v>1</v>
      </c>
      <c r="K10">
        <f t="shared" si="2"/>
        <v>54</v>
      </c>
      <c r="L10">
        <f t="shared" si="0"/>
        <v>0.19388640179744784</v>
      </c>
      <c r="M10" t="e">
        <f ca="1">[1]!t_dist(($G$21-K10)/$G$11,$G$12,TRUE)</f>
        <v>#NAME?</v>
      </c>
      <c r="N10" t="e">
        <f t="shared" ca="1" si="1"/>
        <v>#NAME?</v>
      </c>
    </row>
    <row r="11" spans="1:14">
      <c r="A11" s="81"/>
      <c r="B11" s="81"/>
      <c r="C11" s="81"/>
      <c r="D11" s="81"/>
      <c r="E11" s="81"/>
      <c r="F11" t="s">
        <v>522</v>
      </c>
      <c r="G11" s="627">
        <f>G8/SQRT(G6)</f>
        <v>2.1056055849154292</v>
      </c>
      <c r="I11" t="s">
        <v>3531</v>
      </c>
      <c r="K11">
        <f t="shared" si="2"/>
        <v>54.5</v>
      </c>
      <c r="L11">
        <f t="shared" si="0"/>
        <v>0.24235800224680981</v>
      </c>
      <c r="M11" t="e">
        <f ca="1">[1]!t_dist(($G$21-K11)/$G$11,$G$12,TRUE)</f>
        <v>#NAME?</v>
      </c>
      <c r="N11" t="e">
        <f t="shared" ca="1" si="1"/>
        <v>#NAME?</v>
      </c>
    </row>
    <row r="12" spans="1:14">
      <c r="A12" s="81"/>
      <c r="B12" s="81"/>
      <c r="C12" s="81"/>
      <c r="D12" s="81"/>
      <c r="E12" s="81"/>
      <c r="F12" t="s">
        <v>186</v>
      </c>
      <c r="G12" s="627">
        <f>G6-1</f>
        <v>23</v>
      </c>
      <c r="I12" t="s">
        <v>3532</v>
      </c>
      <c r="K12">
        <f t="shared" si="2"/>
        <v>55</v>
      </c>
      <c r="L12">
        <f t="shared" si="0"/>
        <v>0.29082960269617175</v>
      </c>
      <c r="M12" t="e">
        <f ca="1">[1]!t_dist(($G$21-K12)/$G$11,$G$12,TRUE)</f>
        <v>#NAME?</v>
      </c>
      <c r="N12" t="e">
        <f t="shared" ca="1" si="1"/>
        <v>#NAME?</v>
      </c>
    </row>
    <row r="13" spans="1:14">
      <c r="A13" s="81"/>
      <c r="B13" s="81"/>
      <c r="C13" s="81"/>
      <c r="D13" s="81"/>
      <c r="E13" s="81"/>
      <c r="F13" t="s">
        <v>264</v>
      </c>
      <c r="G13" s="627">
        <f>ABS(G7-G5)/G11</f>
        <v>0.55407654454598299</v>
      </c>
      <c r="I13" t="s">
        <v>3533</v>
      </c>
      <c r="K13">
        <f t="shared" si="2"/>
        <v>55.5</v>
      </c>
      <c r="L13">
        <f t="shared" si="0"/>
        <v>0.33930120314553375</v>
      </c>
      <c r="M13" t="e">
        <f ca="1">[1]!t_dist(($G$21-K13)/$G$11,$G$12,TRUE)</f>
        <v>#NAME?</v>
      </c>
      <c r="N13" t="e">
        <f t="shared" ca="1" si="1"/>
        <v>#NAME?</v>
      </c>
    </row>
    <row r="14" spans="1:14">
      <c r="A14" s="81"/>
      <c r="B14" s="81"/>
      <c r="C14" s="81"/>
      <c r="D14" s="81"/>
      <c r="E14" s="81"/>
      <c r="F14" t="s">
        <v>200</v>
      </c>
      <c r="G14" s="627">
        <f>TDIST(G13,G12,G10)</f>
        <v>0.29243697740740399</v>
      </c>
      <c r="I14" s="23" t="s">
        <v>3919</v>
      </c>
      <c r="K14">
        <f t="shared" si="2"/>
        <v>56</v>
      </c>
      <c r="L14">
        <f t="shared" si="0"/>
        <v>0.38777280359489569</v>
      </c>
      <c r="M14" t="e">
        <f ca="1">[1]!t_dist(($G$21-K14)/$G$11,$G$12,TRUE)</f>
        <v>#NAME?</v>
      </c>
      <c r="N14" t="e">
        <f t="shared" ca="1" si="1"/>
        <v>#NAME?</v>
      </c>
    </row>
    <row r="15" spans="1:14">
      <c r="C15" s="81"/>
      <c r="D15" s="81"/>
      <c r="F15" t="s">
        <v>337</v>
      </c>
      <c r="G15" s="627">
        <v>0.05</v>
      </c>
      <c r="K15">
        <f t="shared" si="2"/>
        <v>56.5</v>
      </c>
      <c r="L15">
        <f t="shared" si="0"/>
        <v>0.43624440404425768</v>
      </c>
      <c r="M15" t="e">
        <f ca="1">[1]!t_dist(($G$21-K15)/$G$11,$G$12,TRUE)</f>
        <v>#NAME?</v>
      </c>
      <c r="N15" t="e">
        <f t="shared" ca="1" si="1"/>
        <v>#NAME?</v>
      </c>
    </row>
    <row r="16" spans="1:14">
      <c r="F16" t="s">
        <v>948</v>
      </c>
      <c r="G16" s="538" t="str">
        <f>IF(G14&lt;G15,"yes","no")</f>
        <v>no</v>
      </c>
      <c r="I16" t="s">
        <v>3534</v>
      </c>
      <c r="K16">
        <f t="shared" si="2"/>
        <v>57</v>
      </c>
      <c r="L16">
        <f t="shared" si="0"/>
        <v>0.48471600449361962</v>
      </c>
      <c r="M16" t="e">
        <f ca="1">[1]!t_dist(($G$21-K16)/$G$11,$G$12,TRUE)</f>
        <v>#NAME?</v>
      </c>
      <c r="N16" t="e">
        <f t="shared" ca="1" si="1"/>
        <v>#NAME?</v>
      </c>
    </row>
    <row r="17" spans="6:14">
      <c r="K17">
        <f t="shared" si="2"/>
        <v>57.5</v>
      </c>
      <c r="L17">
        <f t="shared" si="0"/>
        <v>0.53318760494298156</v>
      </c>
      <c r="M17" t="e">
        <f ca="1">[1]!t_dist(($G$21-K17)/$G$11,$G$12,TRUE)</f>
        <v>#NAME?</v>
      </c>
      <c r="N17" t="e">
        <f t="shared" ca="1" si="1"/>
        <v>#NAME?</v>
      </c>
    </row>
    <row r="18" spans="6:14">
      <c r="F18" s="1" t="s">
        <v>1181</v>
      </c>
      <c r="K18">
        <f t="shared" si="2"/>
        <v>58</v>
      </c>
      <c r="L18">
        <f t="shared" si="0"/>
        <v>0.5816592053923435</v>
      </c>
      <c r="M18" t="e">
        <f ca="1">[1]!t_dist(($G$21-K18)/$G$11,$G$12,TRUE)</f>
        <v>#NAME?</v>
      </c>
      <c r="N18" t="e">
        <f t="shared" ca="1" si="1"/>
        <v>#NAME?</v>
      </c>
    </row>
    <row r="19" spans="6:14">
      <c r="K19">
        <f t="shared" si="2"/>
        <v>58.5</v>
      </c>
      <c r="L19">
        <f t="shared" si="0"/>
        <v>0.63013080584170555</v>
      </c>
      <c r="M19" t="e">
        <f ca="1">[1]!t_dist(($G$21-K19)/$G$11,$G$12,TRUE)</f>
        <v>#NAME?</v>
      </c>
      <c r="N19" t="e">
        <f t="shared" ca="1" si="1"/>
        <v>#NAME?</v>
      </c>
    </row>
    <row r="20" spans="6:14">
      <c r="F20" t="s">
        <v>201</v>
      </c>
      <c r="G20" s="1235">
        <f>TINV(G15*2,G12)</f>
        <v>1.7138715277470482</v>
      </c>
      <c r="I20" s="23" t="s">
        <v>3921</v>
      </c>
      <c r="K20">
        <f t="shared" si="2"/>
        <v>59</v>
      </c>
      <c r="L20">
        <f t="shared" si="0"/>
        <v>0.67860240629106749</v>
      </c>
      <c r="M20" t="e">
        <f ca="1">[1]!t_dist(($G$21-K20)/$G$11,$G$12,TRUE)</f>
        <v>#NAME?</v>
      </c>
      <c r="N20" t="e">
        <f t="shared" ca="1" si="1"/>
        <v>#NAME?</v>
      </c>
    </row>
    <row r="21" spans="6:14">
      <c r="F21" t="s">
        <v>351</v>
      </c>
      <c r="G21" s="627">
        <f>G5+G20*G11</f>
        <v>55.608737460651724</v>
      </c>
      <c r="I21" s="23" t="s">
        <v>3535</v>
      </c>
      <c r="K21">
        <f t="shared" si="2"/>
        <v>59.5</v>
      </c>
      <c r="L21">
        <f t="shared" si="0"/>
        <v>0.72707400674042943</v>
      </c>
      <c r="M21" t="e">
        <f ca="1">[1]!t_dist(($G$21-K21)/$G$11,$G$12,TRUE)</f>
        <v>#NAME?</v>
      </c>
      <c r="N21" t="e">
        <f t="shared" ca="1" si="1"/>
        <v>#NAME?</v>
      </c>
    </row>
    <row r="22" spans="6:14">
      <c r="F22" s="1336" t="s">
        <v>3526</v>
      </c>
      <c r="G22" s="1337">
        <f>G7</f>
        <v>53.166666666666664</v>
      </c>
      <c r="I22" s="23" t="s">
        <v>3536</v>
      </c>
      <c r="K22">
        <f t="shared" si="2"/>
        <v>60</v>
      </c>
      <c r="L22">
        <f t="shared" si="0"/>
        <v>0.77554560718979138</v>
      </c>
      <c r="M22" t="e">
        <f ca="1">[1]!t_dist(($G$21-K22)/$G$11,$G$12,TRUE)</f>
        <v>#NAME?</v>
      </c>
      <c r="N22" t="e">
        <f t="shared" ca="1" si="1"/>
        <v>#NAME?</v>
      </c>
    </row>
    <row r="23" spans="6:14">
      <c r="F23" s="28" t="s">
        <v>195</v>
      </c>
      <c r="G23" s="1337">
        <f>(G21-G22)/G11</f>
        <v>1.1597949832010657</v>
      </c>
      <c r="I23" s="23" t="s">
        <v>3537</v>
      </c>
      <c r="K23">
        <f t="shared" si="2"/>
        <v>60.5</v>
      </c>
      <c r="L23">
        <f t="shared" si="0"/>
        <v>0.82401720763915332</v>
      </c>
      <c r="M23" t="e">
        <f ca="1">[1]!t_dist(($G$21-K23)/$G$11,$G$12,TRUE)</f>
        <v>#NAME?</v>
      </c>
      <c r="N23" t="e">
        <f t="shared" ca="1" si="1"/>
        <v>#NAME?</v>
      </c>
    </row>
    <row r="24" spans="6:14">
      <c r="F24" s="28" t="s">
        <v>1182</v>
      </c>
      <c r="G24" s="1337" t="e">
        <f ca="1">[1]!t_dist(G23,G12,TRUE)</f>
        <v>#NAME?</v>
      </c>
      <c r="I24" s="23" t="s">
        <v>3920</v>
      </c>
      <c r="K24">
        <f t="shared" si="2"/>
        <v>61</v>
      </c>
      <c r="L24">
        <f t="shared" si="0"/>
        <v>0.87248880808851537</v>
      </c>
      <c r="M24" t="e">
        <f ca="1">[1]!t_dist(($G$21-K24)/$G$11,$G$12,TRUE)</f>
        <v>#NAME?</v>
      </c>
      <c r="N24" t="e">
        <f t="shared" ca="1" si="1"/>
        <v>#NAME?</v>
      </c>
    </row>
    <row r="25" spans="6:14">
      <c r="F25" s="28" t="s">
        <v>1181</v>
      </c>
      <c r="G25" s="1338" t="e">
        <f ca="1">1-G24</f>
        <v>#NAME?</v>
      </c>
      <c r="I25" s="23" t="s">
        <v>3538</v>
      </c>
      <c r="K25">
        <f t="shared" si="2"/>
        <v>61.5</v>
      </c>
      <c r="L25">
        <f t="shared" si="0"/>
        <v>0.92096040853787731</v>
      </c>
      <c r="M25" t="e">
        <f ca="1">[1]!t_dist(($G$21-K25)/$G$11,$G$12,TRUE)</f>
        <v>#NAME?</v>
      </c>
      <c r="N25" t="e">
        <f t="shared" ca="1" si="1"/>
        <v>#NAME?</v>
      </c>
    </row>
    <row r="26" spans="6:14">
      <c r="K26" s="1078">
        <f t="shared" si="2"/>
        <v>62</v>
      </c>
      <c r="L26" s="1078">
        <f t="shared" si="0"/>
        <v>0.96943200898723925</v>
      </c>
      <c r="M26" s="1078" t="e">
        <f ca="1">[1]!t_dist(($G$21-K26)/$G$11,$G$12,TRUE)</f>
        <v>#NAME?</v>
      </c>
      <c r="N26" s="1078" t="e">
        <f t="shared" ca="1" si="1"/>
        <v>#NAME?</v>
      </c>
    </row>
    <row r="27" spans="6:14">
      <c r="G27" s="1336"/>
    </row>
    <row r="28" spans="6:14">
      <c r="G28" s="1336"/>
    </row>
    <row r="29" spans="6:14">
      <c r="G29" s="1336"/>
    </row>
    <row r="30" spans="6:14">
      <c r="G30" s="1336"/>
    </row>
    <row r="31" spans="6:14">
      <c r="G31" s="1336"/>
    </row>
    <row r="32" spans="6:14">
      <c r="G32" s="1336"/>
    </row>
    <row r="34" spans="1:4">
      <c r="A34" s="19" t="s">
        <v>195</v>
      </c>
      <c r="B34" s="19" t="s">
        <v>28</v>
      </c>
      <c r="C34" s="19" t="s">
        <v>3539</v>
      </c>
      <c r="D34" s="19" t="s">
        <v>3540</v>
      </c>
    </row>
    <row r="35" spans="1:4">
      <c r="A35">
        <v>-4</v>
      </c>
      <c r="B35">
        <f>$G$5+A35*$G$11</f>
        <v>43.577577660338285</v>
      </c>
      <c r="C35">
        <f t="shared" ref="C35:C66" si="3">_xlfn.T.DIST(A35,$G$12,FALSE)</f>
        <v>6.9847313290886926E-4</v>
      </c>
    </row>
    <row r="36" spans="1:4">
      <c r="A36">
        <f>A35+0.05</f>
        <v>-3.95</v>
      </c>
      <c r="B36">
        <f t="shared" ref="B36:B99" si="4">$G$5+A36*$G$11</f>
        <v>43.682857939584053</v>
      </c>
      <c r="C36">
        <f t="shared" si="3"/>
        <v>7.8984124769042709E-4</v>
      </c>
    </row>
    <row r="37" spans="1:4">
      <c r="A37">
        <f t="shared" ref="A37:A100" si="5">A36+0.05</f>
        <v>-3.9000000000000004</v>
      </c>
      <c r="B37">
        <f t="shared" si="4"/>
        <v>43.788138218829829</v>
      </c>
      <c r="C37">
        <f t="shared" si="3"/>
        <v>8.9289530112840465E-4</v>
      </c>
    </row>
    <row r="38" spans="1:4">
      <c r="A38">
        <f t="shared" si="5"/>
        <v>-3.8500000000000005</v>
      </c>
      <c r="B38">
        <f t="shared" si="4"/>
        <v>43.893418498075597</v>
      </c>
      <c r="C38">
        <f t="shared" si="3"/>
        <v>1.009072129465419E-3</v>
      </c>
    </row>
    <row r="39" spans="1:4">
      <c r="A39">
        <f t="shared" si="5"/>
        <v>-3.8000000000000007</v>
      </c>
      <c r="B39">
        <f t="shared" si="4"/>
        <v>43.998698777321366</v>
      </c>
      <c r="C39">
        <f t="shared" si="3"/>
        <v>1.1399739020851629E-3</v>
      </c>
    </row>
    <row r="40" spans="1:4">
      <c r="A40">
        <f t="shared" si="5"/>
        <v>-3.7500000000000009</v>
      </c>
      <c r="B40">
        <f t="shared" si="4"/>
        <v>44.103979056567141</v>
      </c>
      <c r="C40">
        <f t="shared" si="3"/>
        <v>1.2873850492757806E-3</v>
      </c>
    </row>
    <row r="41" spans="1:4">
      <c r="A41">
        <f t="shared" si="5"/>
        <v>-3.7000000000000011</v>
      </c>
      <c r="B41">
        <f t="shared" si="4"/>
        <v>44.209259335812909</v>
      </c>
      <c r="C41">
        <f t="shared" si="3"/>
        <v>1.4532905470307582E-3</v>
      </c>
    </row>
    <row r="42" spans="1:4">
      <c r="A42">
        <f t="shared" si="5"/>
        <v>-3.6500000000000012</v>
      </c>
      <c r="B42">
        <f t="shared" si="4"/>
        <v>44.314539615058678</v>
      </c>
      <c r="C42">
        <f t="shared" si="3"/>
        <v>1.6398955995339201E-3</v>
      </c>
    </row>
    <row r="43" spans="1:4">
      <c r="A43">
        <f t="shared" si="5"/>
        <v>-3.6000000000000014</v>
      </c>
      <c r="B43">
        <f t="shared" si="4"/>
        <v>44.419819894304453</v>
      </c>
      <c r="C43">
        <f t="shared" si="3"/>
        <v>1.8496467470340457E-3</v>
      </c>
    </row>
    <row r="44" spans="1:4">
      <c r="A44">
        <f t="shared" si="5"/>
        <v>-3.5500000000000016</v>
      </c>
      <c r="B44">
        <f t="shared" si="4"/>
        <v>44.525100173550221</v>
      </c>
      <c r="C44">
        <f t="shared" si="3"/>
        <v>2.0852544104593158E-3</v>
      </c>
    </row>
    <row r="45" spans="1:4">
      <c r="A45">
        <f t="shared" si="5"/>
        <v>-3.5000000000000018</v>
      </c>
      <c r="B45">
        <f t="shared" si="4"/>
        <v>44.630380452795997</v>
      </c>
      <c r="C45">
        <f t="shared" si="3"/>
        <v>2.3497168638986388E-3</v>
      </c>
    </row>
    <row r="46" spans="1:4">
      <c r="A46">
        <f t="shared" si="5"/>
        <v>-3.450000000000002</v>
      </c>
      <c r="B46">
        <f t="shared" si="4"/>
        <v>44.735660732041765</v>
      </c>
      <c r="C46">
        <f t="shared" si="3"/>
        <v>2.6463456015155106E-3</v>
      </c>
      <c r="D46">
        <f>C35</f>
        <v>6.9847313290886926E-4</v>
      </c>
    </row>
    <row r="47" spans="1:4">
      <c r="A47">
        <f t="shared" si="5"/>
        <v>-3.4000000000000021</v>
      </c>
      <c r="B47">
        <f t="shared" si="4"/>
        <v>44.840941011287534</v>
      </c>
      <c r="C47">
        <f t="shared" si="3"/>
        <v>2.9787920360836552E-3</v>
      </c>
      <c r="D47">
        <f t="shared" ref="D47:D110" si="6">C36</f>
        <v>7.8984124769042709E-4</v>
      </c>
    </row>
    <row r="48" spans="1:4">
      <c r="A48">
        <f t="shared" si="5"/>
        <v>-3.3500000000000023</v>
      </c>
      <c r="B48">
        <f t="shared" si="4"/>
        <v>44.946221290533309</v>
      </c>
      <c r="C48">
        <f t="shared" si="3"/>
        <v>3.3510754316705203E-3</v>
      </c>
      <c r="D48">
        <f t="shared" si="6"/>
        <v>8.9289530112840465E-4</v>
      </c>
    </row>
    <row r="49" spans="1:4">
      <c r="A49">
        <f t="shared" si="5"/>
        <v>-3.3000000000000025</v>
      </c>
      <c r="B49">
        <f t="shared" si="4"/>
        <v>45.051501569779077</v>
      </c>
      <c r="C49">
        <f t="shared" si="3"/>
        <v>3.7676119325930216E-3</v>
      </c>
      <c r="D49">
        <f t="shared" si="6"/>
        <v>1.009072129465419E-3</v>
      </c>
    </row>
    <row r="50" spans="1:4">
      <c r="A50">
        <f t="shared" si="5"/>
        <v>-3.2500000000000027</v>
      </c>
      <c r="B50">
        <f t="shared" si="4"/>
        <v>45.156781849024853</v>
      </c>
      <c r="C50">
        <f t="shared" si="3"/>
        <v>4.2332445042163065E-3</v>
      </c>
      <c r="D50">
        <f t="shared" si="6"/>
        <v>1.1399739020851629E-3</v>
      </c>
    </row>
    <row r="51" spans="1:4">
      <c r="A51">
        <f t="shared" si="5"/>
        <v>-3.2000000000000028</v>
      </c>
      <c r="B51">
        <f t="shared" si="4"/>
        <v>45.262062128270621</v>
      </c>
      <c r="C51">
        <f t="shared" si="3"/>
        <v>4.7532735481092868E-3</v>
      </c>
      <c r="D51">
        <f t="shared" si="6"/>
        <v>1.2873850492757806E-3</v>
      </c>
    </row>
    <row r="52" spans="1:4">
      <c r="A52">
        <f t="shared" si="5"/>
        <v>-3.150000000000003</v>
      </c>
      <c r="B52">
        <f t="shared" si="4"/>
        <v>45.367342407516389</v>
      </c>
      <c r="C52">
        <f t="shared" si="3"/>
        <v>5.3334878942436457E-3</v>
      </c>
      <c r="D52">
        <f t="shared" si="6"/>
        <v>1.4532905470307582E-3</v>
      </c>
    </row>
    <row r="53" spans="1:4">
      <c r="A53">
        <f t="shared" si="5"/>
        <v>-3.1000000000000032</v>
      </c>
      <c r="B53">
        <f t="shared" si="4"/>
        <v>45.472622686762165</v>
      </c>
      <c r="C53">
        <f t="shared" si="3"/>
        <v>5.9801958061783105E-3</v>
      </c>
      <c r="D53">
        <f t="shared" si="6"/>
        <v>1.6398955995339201E-3</v>
      </c>
    </row>
    <row r="54" spans="1:4">
      <c r="A54">
        <f t="shared" si="5"/>
        <v>-3.0500000000000034</v>
      </c>
      <c r="B54">
        <f t="shared" si="4"/>
        <v>45.577902966007933</v>
      </c>
      <c r="C54">
        <f t="shared" si="3"/>
        <v>6.7002555615100464E-3</v>
      </c>
      <c r="D54">
        <f t="shared" si="6"/>
        <v>1.8496467470340457E-3</v>
      </c>
    </row>
    <row r="55" spans="1:4">
      <c r="A55">
        <f t="shared" si="5"/>
        <v>-3.0000000000000036</v>
      </c>
      <c r="B55">
        <f t="shared" si="4"/>
        <v>45.683183245253701</v>
      </c>
      <c r="C55">
        <f t="shared" si="3"/>
        <v>7.5011050894841901E-3</v>
      </c>
      <c r="D55">
        <f t="shared" si="6"/>
        <v>2.0852544104593158E-3</v>
      </c>
    </row>
    <row r="56" spans="1:4">
      <c r="A56">
        <f t="shared" si="5"/>
        <v>-2.9500000000000037</v>
      </c>
      <c r="B56">
        <f t="shared" si="4"/>
        <v>45.788463524499477</v>
      </c>
      <c r="C56">
        <f t="shared" si="3"/>
        <v>8.3907900609672421E-3</v>
      </c>
      <c r="D56">
        <f t="shared" si="6"/>
        <v>2.3497168638986388E-3</v>
      </c>
    </row>
    <row r="57" spans="1:4">
      <c r="A57">
        <f t="shared" si="5"/>
        <v>-2.9000000000000039</v>
      </c>
      <c r="B57">
        <f t="shared" si="4"/>
        <v>45.893743803745245</v>
      </c>
      <c r="C57">
        <f t="shared" si="3"/>
        <v>9.3779897336767962E-3</v>
      </c>
      <c r="D57">
        <f t="shared" si="6"/>
        <v>2.6463456015155106E-3</v>
      </c>
    </row>
    <row r="58" spans="1:4">
      <c r="A58">
        <f t="shared" si="5"/>
        <v>-2.8500000000000041</v>
      </c>
      <c r="B58">
        <f t="shared" si="4"/>
        <v>45.999024082991021</v>
      </c>
      <c r="C58">
        <f t="shared" si="3"/>
        <v>1.047203975865761E-2</v>
      </c>
      <c r="D58">
        <f t="shared" si="6"/>
        <v>2.9787920360836552E-3</v>
      </c>
    </row>
    <row r="59" spans="1:4">
      <c r="A59">
        <f t="shared" si="5"/>
        <v>-2.8000000000000043</v>
      </c>
      <c r="B59">
        <f t="shared" si="4"/>
        <v>46.104304362236789</v>
      </c>
      <c r="C59">
        <f t="shared" si="3"/>
        <v>1.1682951053855523E-2</v>
      </c>
      <c r="D59">
        <f t="shared" si="6"/>
        <v>3.3510754316705203E-3</v>
      </c>
    </row>
    <row r="60" spans="1:4">
      <c r="A60">
        <f t="shared" si="5"/>
        <v>-2.7500000000000044</v>
      </c>
      <c r="B60">
        <f t="shared" si="4"/>
        <v>46.209584641482564</v>
      </c>
      <c r="C60">
        <f t="shared" si="3"/>
        <v>1.3021423749058569E-2</v>
      </c>
      <c r="D60">
        <f t="shared" si="6"/>
        <v>3.7676119325930216E-3</v>
      </c>
    </row>
    <row r="61" spans="1:4">
      <c r="A61">
        <f t="shared" si="5"/>
        <v>-2.7000000000000046</v>
      </c>
      <c r="B61">
        <f t="shared" si="4"/>
        <v>46.314864920728333</v>
      </c>
      <c r="C61">
        <f t="shared" si="3"/>
        <v>1.4498855105670489E-2</v>
      </c>
      <c r="D61">
        <f t="shared" si="6"/>
        <v>4.2332445042163065E-3</v>
      </c>
    </row>
    <row r="62" spans="1:4">
      <c r="A62">
        <f t="shared" si="5"/>
        <v>-2.6500000000000048</v>
      </c>
      <c r="B62">
        <f t="shared" si="4"/>
        <v>46.420145199974101</v>
      </c>
      <c r="C62">
        <f t="shared" si="3"/>
        <v>1.6127340217466212E-2</v>
      </c>
      <c r="D62">
        <f t="shared" si="6"/>
        <v>4.7532735481092868E-3</v>
      </c>
    </row>
    <row r="63" spans="1:4">
      <c r="A63">
        <f t="shared" si="5"/>
        <v>-2.600000000000005</v>
      </c>
      <c r="B63">
        <f t="shared" si="4"/>
        <v>46.525425479219876</v>
      </c>
      <c r="C63">
        <f t="shared" si="3"/>
        <v>1.7919664207860907E-2</v>
      </c>
      <c r="D63">
        <f t="shared" si="6"/>
        <v>5.3334878942436457E-3</v>
      </c>
    </row>
    <row r="64" spans="1:4">
      <c r="A64">
        <f t="shared" si="5"/>
        <v>-2.5500000000000052</v>
      </c>
      <c r="B64">
        <f t="shared" si="4"/>
        <v>46.630705758465645</v>
      </c>
      <c r="C64">
        <f t="shared" si="3"/>
        <v>1.9889284559029965E-2</v>
      </c>
      <c r="D64">
        <f t="shared" si="6"/>
        <v>5.9801958061783105E-3</v>
      </c>
    </row>
    <row r="65" spans="1:4">
      <c r="A65">
        <f t="shared" si="5"/>
        <v>-2.5000000000000053</v>
      </c>
      <c r="B65">
        <f t="shared" si="4"/>
        <v>46.735986037711413</v>
      </c>
      <c r="C65">
        <f t="shared" si="3"/>
        <v>2.2050302142681284E-2</v>
      </c>
      <c r="D65">
        <f t="shared" si="6"/>
        <v>6.7002555615100464E-3</v>
      </c>
    </row>
    <row r="66" spans="1:4">
      <c r="A66">
        <f t="shared" si="5"/>
        <v>-2.4500000000000055</v>
      </c>
      <c r="B66">
        <f t="shared" si="4"/>
        <v>46.841266316957189</v>
      </c>
      <c r="C66">
        <f t="shared" si="3"/>
        <v>2.4417419476118345E-2</v>
      </c>
      <c r="D66">
        <f t="shared" si="6"/>
        <v>7.5011050894841901E-3</v>
      </c>
    </row>
    <row r="67" spans="1:4">
      <c r="A67">
        <f t="shared" si="5"/>
        <v>-2.4000000000000057</v>
      </c>
      <c r="B67">
        <f t="shared" si="4"/>
        <v>46.946546596202957</v>
      </c>
      <c r="C67">
        <f t="shared" ref="C67:C98" si="7">_xlfn.T.DIST(A67,$G$12,FALSE)</f>
        <v>2.700588470559059E-2</v>
      </c>
      <c r="D67">
        <f t="shared" si="6"/>
        <v>8.3907900609672421E-3</v>
      </c>
    </row>
    <row r="68" spans="1:4">
      <c r="A68">
        <f t="shared" si="5"/>
        <v>-2.3500000000000059</v>
      </c>
      <c r="B68">
        <f t="shared" si="4"/>
        <v>47.051826875448725</v>
      </c>
      <c r="C68">
        <f t="shared" si="7"/>
        <v>2.9831419827300948E-2</v>
      </c>
      <c r="D68">
        <f t="shared" si="6"/>
        <v>9.3779897336767962E-3</v>
      </c>
    </row>
    <row r="69" spans="1:4">
      <c r="A69">
        <f t="shared" si="5"/>
        <v>-2.300000000000006</v>
      </c>
      <c r="B69">
        <f t="shared" si="4"/>
        <v>47.157107154694501</v>
      </c>
      <c r="C69">
        <f t="shared" si="7"/>
        <v>3.2910131700565608E-2</v>
      </c>
      <c r="D69">
        <f t="shared" si="6"/>
        <v>1.047203975865761E-2</v>
      </c>
    </row>
    <row r="70" spans="1:4">
      <c r="A70">
        <f t="shared" si="5"/>
        <v>-2.2500000000000062</v>
      </c>
      <c r="B70">
        <f t="shared" si="4"/>
        <v>47.262387433940269</v>
      </c>
      <c r="C70">
        <f t="shared" si="7"/>
        <v>3.6258404493318533E-2</v>
      </c>
      <c r="D70">
        <f t="shared" si="6"/>
        <v>1.1682951053855523E-2</v>
      </c>
    </row>
    <row r="71" spans="1:4">
      <c r="A71">
        <f t="shared" si="5"/>
        <v>-2.2000000000000064</v>
      </c>
      <c r="B71">
        <f t="shared" si="4"/>
        <v>47.367667713186044</v>
      </c>
      <c r="C71">
        <f t="shared" si="7"/>
        <v>3.9892772333153199E-2</v>
      </c>
      <c r="D71">
        <f t="shared" si="6"/>
        <v>1.3021423749058569E-2</v>
      </c>
    </row>
    <row r="72" spans="1:4">
      <c r="A72">
        <f t="shared" si="5"/>
        <v>-2.1500000000000066</v>
      </c>
      <c r="B72">
        <f t="shared" si="4"/>
        <v>47.472947992431813</v>
      </c>
      <c r="C72">
        <f t="shared" si="7"/>
        <v>4.382977112280334E-2</v>
      </c>
      <c r="D72">
        <f t="shared" si="6"/>
        <v>1.4498855105670489E-2</v>
      </c>
    </row>
    <row r="73" spans="1:4">
      <c r="A73">
        <f t="shared" si="5"/>
        <v>-2.1000000000000068</v>
      </c>
      <c r="B73">
        <f t="shared" si="4"/>
        <v>47.578228271677588</v>
      </c>
      <c r="C73">
        <f t="shared" si="7"/>
        <v>4.8085768722214935E-2</v>
      </c>
      <c r="D73">
        <f t="shared" si="6"/>
        <v>1.6127340217466212E-2</v>
      </c>
    </row>
    <row r="74" spans="1:4">
      <c r="A74">
        <f t="shared" si="5"/>
        <v>-2.0500000000000069</v>
      </c>
      <c r="B74">
        <f t="shared" si="4"/>
        <v>47.683508550923356</v>
      </c>
      <c r="C74">
        <f t="shared" si="7"/>
        <v>5.2676773004108904E-2</v>
      </c>
      <c r="D74">
        <f t="shared" si="6"/>
        <v>1.7919664207860907E-2</v>
      </c>
    </row>
    <row r="75" spans="1:4">
      <c r="A75">
        <f t="shared" si="5"/>
        <v>-2.0000000000000071</v>
      </c>
      <c r="B75">
        <f t="shared" si="4"/>
        <v>47.788788830169125</v>
      </c>
      <c r="C75">
        <f t="shared" si="7"/>
        <v>5.7618217658942907E-2</v>
      </c>
      <c r="D75">
        <f t="shared" si="6"/>
        <v>1.9889284559029965E-2</v>
      </c>
    </row>
    <row r="76" spans="1:4">
      <c r="A76">
        <f t="shared" si="5"/>
        <v>-1.9500000000000071</v>
      </c>
      <c r="B76">
        <f t="shared" si="4"/>
        <v>47.8940691094149</v>
      </c>
      <c r="C76">
        <f t="shared" si="7"/>
        <v>6.2924726059680677E-2</v>
      </c>
      <c r="D76">
        <f t="shared" si="6"/>
        <v>2.2050302142681284E-2</v>
      </c>
    </row>
    <row r="77" spans="1:4">
      <c r="A77">
        <f t="shared" si="5"/>
        <v>-1.900000000000007</v>
      </c>
      <c r="B77">
        <f t="shared" si="4"/>
        <v>47.999349388660669</v>
      </c>
      <c r="C77">
        <f t="shared" si="7"/>
        <v>6.8609853996107487E-2</v>
      </c>
      <c r="D77">
        <f t="shared" si="6"/>
        <v>2.4417419476118345E-2</v>
      </c>
    </row>
    <row r="78" spans="1:4">
      <c r="A78">
        <f t="shared" si="5"/>
        <v>-1.850000000000007</v>
      </c>
      <c r="B78">
        <f t="shared" si="4"/>
        <v>48.104629667906444</v>
      </c>
      <c r="C78">
        <f t="shared" si="7"/>
        <v>7.4685812649714314E-2</v>
      </c>
      <c r="D78">
        <f t="shared" si="6"/>
        <v>2.700588470559059E-2</v>
      </c>
    </row>
    <row r="79" spans="1:4">
      <c r="A79">
        <f t="shared" si="5"/>
        <v>-1.8000000000000069</v>
      </c>
      <c r="B79">
        <f t="shared" si="4"/>
        <v>48.209909947152212</v>
      </c>
      <c r="C79">
        <f t="shared" si="7"/>
        <v>8.1163173797966212E-2</v>
      </c>
      <c r="D79">
        <f t="shared" si="6"/>
        <v>2.9831419827300948E-2</v>
      </c>
    </row>
    <row r="80" spans="1:4">
      <c r="A80">
        <f t="shared" si="5"/>
        <v>-1.7500000000000069</v>
      </c>
      <c r="B80">
        <f t="shared" si="4"/>
        <v>48.315190226397988</v>
      </c>
      <c r="C80">
        <f t="shared" si="7"/>
        <v>8.8050559902822512E-2</v>
      </c>
      <c r="D80">
        <f t="shared" si="6"/>
        <v>3.2910131700565608E-2</v>
      </c>
    </row>
    <row r="81" spans="1:4">
      <c r="A81">
        <f t="shared" si="5"/>
        <v>-1.7000000000000068</v>
      </c>
      <c r="B81">
        <f t="shared" si="4"/>
        <v>48.420470505643756</v>
      </c>
      <c r="C81">
        <f t="shared" si="7"/>
        <v>9.5354322441383171E-2</v>
      </c>
      <c r="D81">
        <f t="shared" si="6"/>
        <v>3.6258404493318533E-2</v>
      </c>
    </row>
    <row r="82" spans="1:4">
      <c r="A82">
        <f t="shared" si="5"/>
        <v>-1.6500000000000068</v>
      </c>
      <c r="B82">
        <f t="shared" si="4"/>
        <v>48.525750784889524</v>
      </c>
      <c r="C82">
        <f t="shared" si="7"/>
        <v>0.10307821256203414</v>
      </c>
      <c r="D82">
        <f t="shared" si="6"/>
        <v>3.9892772333153199E-2</v>
      </c>
    </row>
    <row r="83" spans="1:4">
      <c r="A83">
        <f t="shared" si="5"/>
        <v>-1.6000000000000068</v>
      </c>
      <c r="B83">
        <f t="shared" si="4"/>
        <v>48.6310310641353</v>
      </c>
      <c r="C83">
        <f t="shared" si="7"/>
        <v>0.1112230488798211</v>
      </c>
      <c r="D83">
        <f t="shared" si="6"/>
        <v>4.382977112280334E-2</v>
      </c>
    </row>
    <row r="84" spans="1:4">
      <c r="A84">
        <f t="shared" si="5"/>
        <v>-1.5500000000000067</v>
      </c>
      <c r="B84">
        <f t="shared" si="4"/>
        <v>48.736311343381068</v>
      </c>
      <c r="C84">
        <f t="shared" si="7"/>
        <v>0.11978638793929315</v>
      </c>
      <c r="D84">
        <f t="shared" si="6"/>
        <v>4.8085768722214935E-2</v>
      </c>
    </row>
    <row r="85" spans="1:4">
      <c r="A85">
        <f t="shared" si="5"/>
        <v>-1.5000000000000067</v>
      </c>
      <c r="B85">
        <f t="shared" si="4"/>
        <v>48.841591622626844</v>
      </c>
      <c r="C85">
        <f t="shared" si="7"/>
        <v>0.12876220354825577</v>
      </c>
      <c r="D85">
        <f t="shared" si="6"/>
        <v>5.2676773004108904E-2</v>
      </c>
    </row>
    <row r="86" spans="1:4">
      <c r="A86">
        <f t="shared" si="5"/>
        <v>-1.4500000000000066</v>
      </c>
      <c r="B86">
        <f t="shared" si="4"/>
        <v>48.946871901872612</v>
      </c>
      <c r="C86">
        <f t="shared" si="7"/>
        <v>0.13814058179593361</v>
      </c>
      <c r="D86">
        <f t="shared" si="6"/>
        <v>5.7618217658942907E-2</v>
      </c>
    </row>
    <row r="87" spans="1:4">
      <c r="A87">
        <f t="shared" si="5"/>
        <v>-1.4000000000000066</v>
      </c>
      <c r="B87">
        <f t="shared" si="4"/>
        <v>49.052152181118387</v>
      </c>
      <c r="C87">
        <f t="shared" si="7"/>
        <v>0.14790743908643475</v>
      </c>
      <c r="D87">
        <f t="shared" si="6"/>
        <v>6.2924726059680677E-2</v>
      </c>
    </row>
    <row r="88" spans="1:4">
      <c r="A88">
        <f t="shared" si="5"/>
        <v>-1.3500000000000065</v>
      </c>
      <c r="B88">
        <f t="shared" si="4"/>
        <v>49.157432460364156</v>
      </c>
      <c r="C88">
        <f t="shared" si="7"/>
        <v>0.15804427091466802</v>
      </c>
      <c r="D88">
        <f t="shared" si="6"/>
        <v>6.8609853996107487E-2</v>
      </c>
    </row>
    <row r="89" spans="1:4">
      <c r="A89">
        <f t="shared" si="5"/>
        <v>-1.3000000000000065</v>
      </c>
      <c r="B89">
        <f t="shared" si="4"/>
        <v>49.262712739609931</v>
      </c>
      <c r="C89">
        <f t="shared" si="7"/>
        <v>0.16852793935858928</v>
      </c>
      <c r="D89">
        <f t="shared" si="6"/>
        <v>7.4685812649714314E-2</v>
      </c>
    </row>
    <row r="90" spans="1:4">
      <c r="A90">
        <f t="shared" si="5"/>
        <v>-1.2500000000000064</v>
      </c>
      <c r="B90">
        <f t="shared" si="4"/>
        <v>49.367993018855699</v>
      </c>
      <c r="C90">
        <f t="shared" si="7"/>
        <v>0.17933050733160047</v>
      </c>
      <c r="D90">
        <f t="shared" si="6"/>
        <v>8.1163173797966212E-2</v>
      </c>
    </row>
    <row r="91" spans="1:4">
      <c r="A91">
        <f t="shared" si="5"/>
        <v>-1.2000000000000064</v>
      </c>
      <c r="B91">
        <f t="shared" si="4"/>
        <v>49.473273298101475</v>
      </c>
      <c r="C91">
        <f t="shared" si="7"/>
        <v>0.19041912750727322</v>
      </c>
      <c r="D91">
        <f t="shared" si="6"/>
        <v>8.8050559902822512E-2</v>
      </c>
    </row>
    <row r="92" spans="1:4">
      <c r="A92">
        <f t="shared" si="5"/>
        <v>-1.1500000000000064</v>
      </c>
      <c r="B92">
        <f t="shared" si="4"/>
        <v>49.578553577347243</v>
      </c>
      <c r="C92">
        <f t="shared" si="7"/>
        <v>0.20175599347423381</v>
      </c>
      <c r="D92">
        <f t="shared" si="6"/>
        <v>9.5354322441383171E-2</v>
      </c>
    </row>
    <row r="93" spans="1:4">
      <c r="A93">
        <f t="shared" si="5"/>
        <v>-1.1000000000000063</v>
      </c>
      <c r="B93">
        <f t="shared" si="4"/>
        <v>49.683833856593012</v>
      </c>
      <c r="C93">
        <f t="shared" si="7"/>
        <v>0.21329836008602401</v>
      </c>
      <c r="D93">
        <f t="shared" si="6"/>
        <v>0.10307821256203414</v>
      </c>
    </row>
    <row r="94" spans="1:4">
      <c r="A94">
        <f t="shared" si="5"/>
        <v>-1.0500000000000063</v>
      </c>
      <c r="B94">
        <f t="shared" si="4"/>
        <v>49.789114135838787</v>
      </c>
      <c r="C94">
        <f t="shared" si="7"/>
        <v>0.22499863912943704</v>
      </c>
      <c r="D94">
        <f t="shared" si="6"/>
        <v>0.1112230488798211</v>
      </c>
    </row>
    <row r="95" spans="1:4">
      <c r="A95">
        <f t="shared" si="5"/>
        <v>-1.0000000000000062</v>
      </c>
      <c r="B95">
        <f t="shared" si="4"/>
        <v>49.894394415084555</v>
      </c>
      <c r="C95">
        <f t="shared" si="7"/>
        <v>0.23680457534321936</v>
      </c>
      <c r="D95">
        <f t="shared" si="6"/>
        <v>0.11978638793929315</v>
      </c>
    </row>
    <row r="96" spans="1:4">
      <c r="A96">
        <f t="shared" si="5"/>
        <v>-0.95000000000000617</v>
      </c>
      <c r="B96">
        <f t="shared" si="4"/>
        <v>49.999674694330331</v>
      </c>
      <c r="C96">
        <f t="shared" si="7"/>
        <v>0.24865950648372862</v>
      </c>
      <c r="D96">
        <f t="shared" si="6"/>
        <v>0.12876220354825577</v>
      </c>
    </row>
    <row r="97" spans="1:4">
      <c r="A97">
        <f t="shared" si="5"/>
        <v>-0.90000000000000613</v>
      </c>
      <c r="B97">
        <f t="shared" si="4"/>
        <v>50.104954973576099</v>
      </c>
      <c r="C97">
        <f t="shared" si="7"/>
        <v>0.2605027095711378</v>
      </c>
      <c r="D97">
        <f t="shared" si="6"/>
        <v>0.13814058179593361</v>
      </c>
    </row>
    <row r="98" spans="1:4">
      <c r="A98">
        <f t="shared" si="5"/>
        <v>-0.85000000000000608</v>
      </c>
      <c r="B98">
        <f t="shared" si="4"/>
        <v>50.210235252821874</v>
      </c>
      <c r="C98">
        <f t="shared" si="7"/>
        <v>0.27226983368486285</v>
      </c>
      <c r="D98">
        <f t="shared" si="6"/>
        <v>0.14790743908643475</v>
      </c>
    </row>
    <row r="99" spans="1:4">
      <c r="A99">
        <f t="shared" si="5"/>
        <v>-0.80000000000000604</v>
      </c>
      <c r="B99">
        <f t="shared" si="4"/>
        <v>50.315515532067643</v>
      </c>
      <c r="C99">
        <f t="shared" ref="C99:C130" si="8">_xlfn.T.DIST(A99,$G$12,FALSE)</f>
        <v>0.28389341774567617</v>
      </c>
      <c r="D99">
        <f t="shared" si="6"/>
        <v>0.15804427091466802</v>
      </c>
    </row>
    <row r="100" spans="1:4">
      <c r="A100">
        <f t="shared" si="5"/>
        <v>-0.750000000000006</v>
      </c>
      <c r="B100">
        <f t="shared" ref="B100:B163" si="9">$G$5+A100*$G$11</f>
        <v>50.420795811313418</v>
      </c>
      <c r="C100">
        <f t="shared" si="8"/>
        <v>0.29530348966950626</v>
      </c>
      <c r="D100">
        <f t="shared" si="6"/>
        <v>0.16852793935858928</v>
      </c>
    </row>
    <row r="101" spans="1:4">
      <c r="A101">
        <f t="shared" ref="A101:A133" si="10">A100+0.05</f>
        <v>-0.70000000000000595</v>
      </c>
      <c r="B101">
        <f t="shared" si="9"/>
        <v>50.526076090559187</v>
      </c>
      <c r="C101">
        <f t="shared" si="8"/>
        <v>0.30642824115777911</v>
      </c>
      <c r="D101">
        <f t="shared" si="6"/>
        <v>0.17933050733160047</v>
      </c>
    </row>
    <row r="102" spans="1:4">
      <c r="A102">
        <f t="shared" si="10"/>
        <v>-0.65000000000000591</v>
      </c>
      <c r="B102">
        <f t="shared" si="9"/>
        <v>50.631356369804962</v>
      </c>
      <c r="C102">
        <f t="shared" si="8"/>
        <v>0.31719477026207782</v>
      </c>
      <c r="D102">
        <f t="shared" si="6"/>
        <v>0.19041912750727322</v>
      </c>
    </row>
    <row r="103" spans="1:4">
      <c r="A103">
        <f t="shared" si="10"/>
        <v>-0.60000000000000586</v>
      </c>
      <c r="B103">
        <f t="shared" si="9"/>
        <v>50.73663664905073</v>
      </c>
      <c r="C103">
        <f t="shared" si="8"/>
        <v>0.32752988179298531</v>
      </c>
      <c r="D103">
        <f t="shared" si="6"/>
        <v>0.20175599347423381</v>
      </c>
    </row>
    <row r="104" spans="1:4">
      <c r="A104">
        <f t="shared" si="10"/>
        <v>-0.55000000000000582</v>
      </c>
      <c r="B104">
        <f t="shared" si="9"/>
        <v>50.841916928296499</v>
      </c>
      <c r="C104">
        <f t="shared" si="8"/>
        <v>0.33736093370341957</v>
      </c>
      <c r="D104">
        <f t="shared" si="6"/>
        <v>0.21329836008602401</v>
      </c>
    </row>
    <row r="105" spans="1:4">
      <c r="A105">
        <f t="shared" si="10"/>
        <v>-0.50000000000000577</v>
      </c>
      <c r="B105">
        <f t="shared" si="9"/>
        <v>50.947197207542274</v>
      </c>
      <c r="C105">
        <f t="shared" si="8"/>
        <v>0.3466167158353175</v>
      </c>
      <c r="D105">
        <f t="shared" si="6"/>
        <v>0.22499863912943704</v>
      </c>
    </row>
    <row r="106" spans="1:4">
      <c r="A106">
        <f t="shared" si="10"/>
        <v>-0.45000000000000578</v>
      </c>
      <c r="B106">
        <f t="shared" si="9"/>
        <v>51.052477486788042</v>
      </c>
      <c r="C106">
        <f t="shared" si="8"/>
        <v>0.35522834594263486</v>
      </c>
      <c r="D106">
        <f t="shared" si="6"/>
        <v>0.23680457534321936</v>
      </c>
    </row>
    <row r="107" spans="1:4">
      <c r="A107">
        <f t="shared" si="10"/>
        <v>-0.4000000000000058</v>
      </c>
      <c r="B107">
        <f t="shared" si="9"/>
        <v>51.157757766033818</v>
      </c>
      <c r="C107">
        <f t="shared" si="8"/>
        <v>0.36313016675558774</v>
      </c>
      <c r="D107">
        <f t="shared" si="6"/>
        <v>0.24865950648372862</v>
      </c>
    </row>
    <row r="108" spans="1:4">
      <c r="A108">
        <f t="shared" si="10"/>
        <v>-0.35000000000000581</v>
      </c>
      <c r="B108">
        <f t="shared" si="9"/>
        <v>51.263038045279586</v>
      </c>
      <c r="C108">
        <f t="shared" si="8"/>
        <v>0.37026062708506108</v>
      </c>
      <c r="D108">
        <f t="shared" si="6"/>
        <v>0.2605027095711378</v>
      </c>
    </row>
    <row r="109" spans="1:4">
      <c r="A109">
        <f t="shared" si="10"/>
        <v>-0.30000000000000582</v>
      </c>
      <c r="B109">
        <f t="shared" si="9"/>
        <v>51.368318324525362</v>
      </c>
      <c r="C109">
        <f t="shared" si="8"/>
        <v>0.37656312962559563</v>
      </c>
      <c r="D109">
        <f t="shared" si="6"/>
        <v>0.27226983368486285</v>
      </c>
    </row>
    <row r="110" spans="1:4">
      <c r="A110">
        <f t="shared" si="10"/>
        <v>-0.25000000000000583</v>
      </c>
      <c r="B110">
        <f t="shared" si="9"/>
        <v>51.47359860377113</v>
      </c>
      <c r="C110">
        <f t="shared" si="8"/>
        <v>0.38198682823059565</v>
      </c>
      <c r="D110">
        <f t="shared" si="6"/>
        <v>0.28389341774567617</v>
      </c>
    </row>
    <row r="111" spans="1:4">
      <c r="A111">
        <f t="shared" si="10"/>
        <v>-0.20000000000000584</v>
      </c>
      <c r="B111">
        <f t="shared" si="9"/>
        <v>51.578878883016905</v>
      </c>
      <c r="C111">
        <f t="shared" si="8"/>
        <v>0.38648735801961398</v>
      </c>
      <c r="D111">
        <f t="shared" ref="D111:D174" si="11">C100</f>
        <v>0.29530348966950626</v>
      </c>
    </row>
    <row r="112" spans="1:4">
      <c r="A112">
        <f t="shared" si="10"/>
        <v>-0.15000000000000585</v>
      </c>
      <c r="B112">
        <f t="shared" si="9"/>
        <v>51.684159162262674</v>
      </c>
      <c r="C112">
        <f t="shared" si="8"/>
        <v>0.39002748273363458</v>
      </c>
      <c r="D112">
        <f t="shared" si="11"/>
        <v>0.30642824115777911</v>
      </c>
    </row>
    <row r="113" spans="1:4">
      <c r="A113">
        <f t="shared" si="10"/>
        <v>-0.10000000000000585</v>
      </c>
      <c r="B113">
        <f t="shared" si="9"/>
        <v>51.789439441508442</v>
      </c>
      <c r="C113">
        <f t="shared" si="8"/>
        <v>0.39257764526209188</v>
      </c>
      <c r="D113">
        <f t="shared" si="11"/>
        <v>0.31719477026207782</v>
      </c>
    </row>
    <row r="114" spans="1:4">
      <c r="A114">
        <f t="shared" si="10"/>
        <v>-5.0000000000005845E-2</v>
      </c>
      <c r="B114">
        <f t="shared" si="9"/>
        <v>51.894719720754217</v>
      </c>
      <c r="C114">
        <f t="shared" si="8"/>
        <v>0.39411640919001467</v>
      </c>
      <c r="D114">
        <f t="shared" si="11"/>
        <v>0.32752988179298531</v>
      </c>
    </row>
    <row r="115" spans="1:4">
      <c r="A115">
        <f t="shared" si="10"/>
        <v>-5.8425486670898863E-15</v>
      </c>
      <c r="B115">
        <f t="shared" si="9"/>
        <v>51.999999999999986</v>
      </c>
      <c r="C115">
        <f t="shared" si="8"/>
        <v>0.39463078150433906</v>
      </c>
      <c r="D115">
        <f t="shared" si="11"/>
        <v>0.33736093370341957</v>
      </c>
    </row>
    <row r="116" spans="1:4">
      <c r="A116">
        <f t="shared" si="10"/>
        <v>4.999999999999416E-2</v>
      </c>
      <c r="B116">
        <f t="shared" si="9"/>
        <v>52.105280279245761</v>
      </c>
      <c r="C116">
        <f t="shared" si="8"/>
        <v>0.39411640919001489</v>
      </c>
      <c r="D116">
        <f t="shared" si="11"/>
        <v>0.3466167158353175</v>
      </c>
    </row>
    <row r="117" spans="1:4">
      <c r="A117">
        <f t="shared" si="10"/>
        <v>9.9999999999994163E-2</v>
      </c>
      <c r="B117">
        <f t="shared" si="9"/>
        <v>52.21056055849153</v>
      </c>
      <c r="C117">
        <f t="shared" si="8"/>
        <v>0.39257764526209232</v>
      </c>
      <c r="D117">
        <f t="shared" si="11"/>
        <v>0.35522834594263486</v>
      </c>
    </row>
    <row r="118" spans="1:4">
      <c r="A118">
        <f t="shared" si="10"/>
        <v>0.14999999999999417</v>
      </c>
      <c r="B118">
        <f t="shared" si="9"/>
        <v>52.315840837737305</v>
      </c>
      <c r="C118">
        <f t="shared" si="8"/>
        <v>0.39002748273363524</v>
      </c>
      <c r="D118">
        <f t="shared" si="11"/>
        <v>0.36313016675558774</v>
      </c>
    </row>
    <row r="119" spans="1:4">
      <c r="A119">
        <f t="shared" si="10"/>
        <v>0.19999999999999418</v>
      </c>
      <c r="B119">
        <f t="shared" si="9"/>
        <v>52.421121116983073</v>
      </c>
      <c r="C119">
        <f t="shared" si="8"/>
        <v>0.38648735801961487</v>
      </c>
      <c r="D119">
        <f t="shared" si="11"/>
        <v>0.37026062708506108</v>
      </c>
    </row>
    <row r="120" spans="1:4">
      <c r="A120">
        <f t="shared" si="10"/>
        <v>0.24999999999999417</v>
      </c>
      <c r="B120">
        <f t="shared" si="9"/>
        <v>52.526401396228842</v>
      </c>
      <c r="C120">
        <f t="shared" si="8"/>
        <v>0.38198682823059676</v>
      </c>
      <c r="D120">
        <f t="shared" si="11"/>
        <v>0.37656312962559563</v>
      </c>
    </row>
    <row r="121" spans="1:4">
      <c r="A121">
        <f t="shared" si="10"/>
        <v>0.29999999999999416</v>
      </c>
      <c r="B121">
        <f t="shared" si="9"/>
        <v>52.631681675474617</v>
      </c>
      <c r="C121">
        <f t="shared" si="8"/>
        <v>0.37656312962559696</v>
      </c>
      <c r="D121">
        <f t="shared" si="11"/>
        <v>0.38198682823059565</v>
      </c>
    </row>
    <row r="122" spans="1:4">
      <c r="A122">
        <f t="shared" si="10"/>
        <v>0.34999999999999415</v>
      </c>
      <c r="B122">
        <f t="shared" si="9"/>
        <v>52.736961954720385</v>
      </c>
      <c r="C122">
        <f t="shared" si="8"/>
        <v>0.37026062708506263</v>
      </c>
      <c r="D122">
        <f t="shared" si="11"/>
        <v>0.38648735801961398</v>
      </c>
    </row>
    <row r="123" spans="1:4">
      <c r="A123">
        <f t="shared" si="10"/>
        <v>0.39999999999999414</v>
      </c>
      <c r="B123">
        <f t="shared" si="9"/>
        <v>52.842242233966161</v>
      </c>
      <c r="C123">
        <f t="shared" si="8"/>
        <v>0.36313016675558951</v>
      </c>
      <c r="D123">
        <f t="shared" si="11"/>
        <v>0.39002748273363458</v>
      </c>
    </row>
    <row r="124" spans="1:4">
      <c r="A124">
        <f t="shared" si="10"/>
        <v>0.44999999999999413</v>
      </c>
      <c r="B124">
        <f t="shared" si="9"/>
        <v>52.947522513211929</v>
      </c>
      <c r="C124">
        <f t="shared" si="8"/>
        <v>0.3552283459426368</v>
      </c>
      <c r="D124">
        <f t="shared" si="11"/>
        <v>0.39257764526209188</v>
      </c>
    </row>
    <row r="125" spans="1:4">
      <c r="A125">
        <f t="shared" si="10"/>
        <v>0.49999999999999412</v>
      </c>
      <c r="B125">
        <f t="shared" si="9"/>
        <v>53.052802792457705</v>
      </c>
      <c r="C125">
        <f t="shared" si="8"/>
        <v>0.34661671583531956</v>
      </c>
      <c r="D125">
        <f t="shared" si="11"/>
        <v>0.39411640919001467</v>
      </c>
    </row>
    <row r="126" spans="1:4">
      <c r="A126">
        <f t="shared" si="10"/>
        <v>0.54999999999999416</v>
      </c>
      <c r="B126">
        <f t="shared" si="9"/>
        <v>53.158083071703473</v>
      </c>
      <c r="C126">
        <f t="shared" si="8"/>
        <v>0.33736093370342191</v>
      </c>
      <c r="D126">
        <f t="shared" si="11"/>
        <v>0.39463078150433906</v>
      </c>
    </row>
    <row r="127" spans="1:4">
      <c r="A127">
        <f t="shared" si="10"/>
        <v>0.5999999999999942</v>
      </c>
      <c r="B127">
        <f t="shared" si="9"/>
        <v>53.263363350949248</v>
      </c>
      <c r="C127">
        <f t="shared" si="8"/>
        <v>0.32752988179298775</v>
      </c>
      <c r="D127">
        <f t="shared" si="11"/>
        <v>0.39411640919001489</v>
      </c>
    </row>
    <row r="128" spans="1:4">
      <c r="A128">
        <f t="shared" si="10"/>
        <v>0.64999999999999425</v>
      </c>
      <c r="B128">
        <f t="shared" si="9"/>
        <v>53.368643630195017</v>
      </c>
      <c r="C128">
        <f t="shared" si="8"/>
        <v>0.31719477026208032</v>
      </c>
      <c r="D128">
        <f t="shared" si="11"/>
        <v>0.39257764526209232</v>
      </c>
    </row>
    <row r="129" spans="1:4">
      <c r="A129">
        <f t="shared" si="10"/>
        <v>0.69999999999999429</v>
      </c>
      <c r="B129">
        <f t="shared" si="9"/>
        <v>53.473923909440785</v>
      </c>
      <c r="C129">
        <f t="shared" si="8"/>
        <v>0.30642824115778167</v>
      </c>
      <c r="D129">
        <f t="shared" si="11"/>
        <v>0.39002748273363524</v>
      </c>
    </row>
    <row r="130" spans="1:4">
      <c r="A130">
        <f t="shared" si="10"/>
        <v>0.74999999999999434</v>
      </c>
      <c r="B130">
        <f t="shared" si="9"/>
        <v>53.57920418868656</v>
      </c>
      <c r="C130">
        <f t="shared" si="8"/>
        <v>0.29530348966950876</v>
      </c>
      <c r="D130">
        <f t="shared" si="11"/>
        <v>0.38648735801961487</v>
      </c>
    </row>
    <row r="131" spans="1:4">
      <c r="A131">
        <f t="shared" si="10"/>
        <v>0.79999999999999438</v>
      </c>
      <c r="B131">
        <f t="shared" si="9"/>
        <v>53.684484467932329</v>
      </c>
      <c r="C131">
        <f t="shared" ref="C131:C162" si="12">_xlfn.T.DIST(A131,$G$12,FALSE)</f>
        <v>0.28389341774567878</v>
      </c>
      <c r="D131">
        <f t="shared" si="11"/>
        <v>0.38198682823059676</v>
      </c>
    </row>
    <row r="132" spans="1:4">
      <c r="A132">
        <f t="shared" si="10"/>
        <v>0.84999999999999443</v>
      </c>
      <c r="B132">
        <f t="shared" si="9"/>
        <v>53.789764747178104</v>
      </c>
      <c r="C132">
        <f t="shared" si="12"/>
        <v>0.27226983368486563</v>
      </c>
      <c r="D132">
        <f t="shared" si="11"/>
        <v>0.37656312962559696</v>
      </c>
    </row>
    <row r="133" spans="1:4">
      <c r="A133">
        <f t="shared" si="10"/>
        <v>0.89999999999999447</v>
      </c>
      <c r="B133">
        <f t="shared" si="9"/>
        <v>53.895045026423873</v>
      </c>
      <c r="C133">
        <f t="shared" si="12"/>
        <v>0.26050270957114058</v>
      </c>
      <c r="D133">
        <f t="shared" si="11"/>
        <v>0.37026062708506263</v>
      </c>
    </row>
    <row r="134" spans="1:4">
      <c r="A134">
        <f t="shared" ref="A134:A150" si="13">A133+0.05</f>
        <v>0.94999999999999452</v>
      </c>
      <c r="B134">
        <f t="shared" si="9"/>
        <v>54.000325305669648</v>
      </c>
      <c r="C134">
        <f t="shared" si="12"/>
        <v>0.24865950648373136</v>
      </c>
      <c r="D134">
        <f t="shared" si="11"/>
        <v>0.36313016675558951</v>
      </c>
    </row>
    <row r="135" spans="1:4">
      <c r="A135">
        <f t="shared" si="13"/>
        <v>0.99999999999999456</v>
      </c>
      <c r="B135">
        <f t="shared" si="9"/>
        <v>54.105605584915416</v>
      </c>
      <c r="C135">
        <f t="shared" si="12"/>
        <v>0.23680457534322211</v>
      </c>
      <c r="D135">
        <f t="shared" si="11"/>
        <v>0.3552283459426368</v>
      </c>
    </row>
    <row r="136" spans="1:4">
      <c r="A136">
        <f t="shared" si="13"/>
        <v>1.0499999999999945</v>
      </c>
      <c r="B136">
        <f t="shared" si="9"/>
        <v>54.210885864161192</v>
      </c>
      <c r="C136">
        <f t="shared" si="12"/>
        <v>0.22499863912943982</v>
      </c>
      <c r="D136">
        <f t="shared" si="11"/>
        <v>0.34661671583531956</v>
      </c>
    </row>
    <row r="137" spans="1:4">
      <c r="A137">
        <f t="shared" si="13"/>
        <v>1.0999999999999945</v>
      </c>
      <c r="B137">
        <f t="shared" si="9"/>
        <v>54.31616614340696</v>
      </c>
      <c r="C137">
        <f t="shared" si="12"/>
        <v>0.21329836008602673</v>
      </c>
      <c r="D137">
        <f t="shared" si="11"/>
        <v>0.33736093370342191</v>
      </c>
    </row>
    <row r="138" spans="1:4">
      <c r="A138">
        <f t="shared" si="13"/>
        <v>1.1499999999999946</v>
      </c>
      <c r="B138">
        <f t="shared" si="9"/>
        <v>54.421446422652735</v>
      </c>
      <c r="C138">
        <f t="shared" si="12"/>
        <v>0.20175599347423653</v>
      </c>
      <c r="D138">
        <f t="shared" si="11"/>
        <v>0.32752988179298775</v>
      </c>
    </row>
    <row r="139" spans="1:4">
      <c r="A139">
        <f t="shared" si="13"/>
        <v>1.1999999999999946</v>
      </c>
      <c r="B139">
        <f t="shared" si="9"/>
        <v>54.526726701898504</v>
      </c>
      <c r="C139">
        <f t="shared" si="12"/>
        <v>0.19041912750727583</v>
      </c>
      <c r="D139">
        <f t="shared" si="11"/>
        <v>0.31719477026208032</v>
      </c>
    </row>
    <row r="140" spans="1:4">
      <c r="A140">
        <f t="shared" si="13"/>
        <v>1.2499999999999947</v>
      </c>
      <c r="B140">
        <f t="shared" si="9"/>
        <v>54.632006981144272</v>
      </c>
      <c r="C140">
        <f t="shared" si="12"/>
        <v>0.17933050733160305</v>
      </c>
      <c r="D140">
        <f t="shared" si="11"/>
        <v>0.30642824115778167</v>
      </c>
    </row>
    <row r="141" spans="1:4">
      <c r="A141">
        <f t="shared" si="13"/>
        <v>1.2999999999999947</v>
      </c>
      <c r="B141">
        <f t="shared" si="9"/>
        <v>54.737287260390048</v>
      </c>
      <c r="C141">
        <f t="shared" si="12"/>
        <v>0.16852793935859181</v>
      </c>
      <c r="D141">
        <f t="shared" si="11"/>
        <v>0.29530348966950876</v>
      </c>
    </row>
    <row r="142" spans="1:4">
      <c r="A142">
        <f t="shared" si="13"/>
        <v>1.3499999999999948</v>
      </c>
      <c r="B142">
        <f t="shared" si="9"/>
        <v>54.842567539635816</v>
      </c>
      <c r="C142">
        <f t="shared" si="12"/>
        <v>0.15804427091467044</v>
      </c>
      <c r="D142">
        <f t="shared" si="11"/>
        <v>0.28389341774567878</v>
      </c>
    </row>
    <row r="143" spans="1:4">
      <c r="A143">
        <f t="shared" si="13"/>
        <v>1.3999999999999948</v>
      </c>
      <c r="B143">
        <f t="shared" si="9"/>
        <v>54.947847818881591</v>
      </c>
      <c r="C143">
        <f t="shared" si="12"/>
        <v>0.14790743908643708</v>
      </c>
      <c r="D143">
        <f t="shared" si="11"/>
        <v>0.27226983368486563</v>
      </c>
    </row>
    <row r="144" spans="1:4">
      <c r="A144">
        <f t="shared" si="13"/>
        <v>1.4499999999999948</v>
      </c>
      <c r="B144">
        <f t="shared" si="9"/>
        <v>55.05312809812736</v>
      </c>
      <c r="C144">
        <f t="shared" si="12"/>
        <v>0.13814058179593591</v>
      </c>
      <c r="D144">
        <f t="shared" si="11"/>
        <v>0.26050270957114058</v>
      </c>
    </row>
    <row r="145" spans="1:4">
      <c r="A145">
        <f t="shared" si="13"/>
        <v>1.4999999999999949</v>
      </c>
      <c r="B145">
        <f t="shared" si="9"/>
        <v>55.158408377373135</v>
      </c>
      <c r="C145">
        <f t="shared" si="12"/>
        <v>0.12876220354825788</v>
      </c>
      <c r="D145">
        <f t="shared" si="11"/>
        <v>0.24865950648373136</v>
      </c>
    </row>
    <row r="146" spans="1:4">
      <c r="A146">
        <f t="shared" si="13"/>
        <v>1.5499999999999949</v>
      </c>
      <c r="B146">
        <f t="shared" si="9"/>
        <v>55.263688656618903</v>
      </c>
      <c r="C146">
        <f t="shared" si="12"/>
        <v>0.11978638793929525</v>
      </c>
      <c r="D146">
        <f t="shared" si="11"/>
        <v>0.23680457534322211</v>
      </c>
    </row>
    <row r="147" spans="1:4">
      <c r="A147">
        <f t="shared" si="13"/>
        <v>1.599999999999995</v>
      </c>
      <c r="B147">
        <f t="shared" si="9"/>
        <v>55.368968935864679</v>
      </c>
      <c r="C147">
        <f t="shared" si="12"/>
        <v>0.11122304887982307</v>
      </c>
      <c r="D147">
        <f t="shared" si="11"/>
        <v>0.22499863912943982</v>
      </c>
    </row>
    <row r="148" spans="1:4">
      <c r="A148">
        <f t="shared" si="13"/>
        <v>1.649999999999995</v>
      </c>
      <c r="B148">
        <f t="shared" si="9"/>
        <v>55.474249215110447</v>
      </c>
      <c r="C148">
        <f t="shared" si="12"/>
        <v>0.103078212562036</v>
      </c>
      <c r="D148">
        <f t="shared" si="11"/>
        <v>0.21329836008602673</v>
      </c>
    </row>
    <row r="149" spans="1:4">
      <c r="A149">
        <f t="shared" si="13"/>
        <v>1.6999999999999951</v>
      </c>
      <c r="B149">
        <f t="shared" si="9"/>
        <v>55.579529494356223</v>
      </c>
      <c r="C149">
        <f t="shared" si="12"/>
        <v>9.5354322441384975E-2</v>
      </c>
      <c r="D149">
        <f t="shared" si="11"/>
        <v>0.20175599347423653</v>
      </c>
    </row>
    <row r="150" spans="1:4">
      <c r="A150">
        <f t="shared" si="13"/>
        <v>1.7499999999999951</v>
      </c>
      <c r="B150">
        <f t="shared" si="9"/>
        <v>55.684809773601991</v>
      </c>
      <c r="C150">
        <f t="shared" si="12"/>
        <v>8.8050559902824205E-2</v>
      </c>
      <c r="D150">
        <f t="shared" si="11"/>
        <v>0.19041912750727583</v>
      </c>
    </row>
    <row r="151" spans="1:4">
      <c r="A151">
        <f t="shared" ref="A151:A187" si="14">A150+0.05</f>
        <v>1.7999999999999952</v>
      </c>
      <c r="B151">
        <f t="shared" si="9"/>
        <v>55.790090052847759</v>
      </c>
      <c r="C151">
        <f t="shared" si="12"/>
        <v>8.116317379796778E-2</v>
      </c>
      <c r="D151">
        <f t="shared" si="11"/>
        <v>0.17933050733160305</v>
      </c>
    </row>
    <row r="152" spans="1:4">
      <c r="A152">
        <f t="shared" si="14"/>
        <v>1.8499999999999952</v>
      </c>
      <c r="B152">
        <f t="shared" si="9"/>
        <v>55.895370332093535</v>
      </c>
      <c r="C152">
        <f t="shared" si="12"/>
        <v>7.4685812649715799E-2</v>
      </c>
      <c r="D152">
        <f t="shared" si="11"/>
        <v>0.16852793935859181</v>
      </c>
    </row>
    <row r="153" spans="1:4">
      <c r="A153">
        <f t="shared" si="14"/>
        <v>1.8999999999999952</v>
      </c>
      <c r="B153">
        <f t="shared" si="9"/>
        <v>56.000650611339303</v>
      </c>
      <c r="C153">
        <f t="shared" si="12"/>
        <v>6.8609853996108847E-2</v>
      </c>
      <c r="D153">
        <f t="shared" si="11"/>
        <v>0.15804427091467044</v>
      </c>
    </row>
    <row r="154" spans="1:4">
      <c r="A154">
        <f t="shared" si="14"/>
        <v>1.9499999999999953</v>
      </c>
      <c r="B154">
        <f t="shared" si="9"/>
        <v>56.105930890585078</v>
      </c>
      <c r="C154">
        <f t="shared" si="12"/>
        <v>6.2924726059681954E-2</v>
      </c>
      <c r="D154">
        <f t="shared" si="11"/>
        <v>0.14790743908643708</v>
      </c>
    </row>
    <row r="155" spans="1:4">
      <c r="A155">
        <f t="shared" si="14"/>
        <v>1.9999999999999953</v>
      </c>
      <c r="B155">
        <f t="shared" si="9"/>
        <v>56.211211169830847</v>
      </c>
      <c r="C155">
        <f t="shared" si="12"/>
        <v>5.7618217658944128E-2</v>
      </c>
      <c r="D155">
        <f t="shared" si="11"/>
        <v>0.13814058179593591</v>
      </c>
    </row>
    <row r="156" spans="1:4">
      <c r="A156">
        <f t="shared" si="14"/>
        <v>2.0499999999999954</v>
      </c>
      <c r="B156">
        <f t="shared" si="9"/>
        <v>56.316491449076622</v>
      </c>
      <c r="C156">
        <f t="shared" si="12"/>
        <v>5.2676773004109993E-2</v>
      </c>
      <c r="D156">
        <f t="shared" si="11"/>
        <v>0.12876220354825788</v>
      </c>
    </row>
    <row r="157" spans="1:4">
      <c r="A157">
        <f t="shared" si="14"/>
        <v>2.0999999999999952</v>
      </c>
      <c r="B157">
        <f t="shared" si="9"/>
        <v>56.421771728322391</v>
      </c>
      <c r="C157">
        <f t="shared" si="12"/>
        <v>4.8085768722215941E-2</v>
      </c>
      <c r="D157">
        <f t="shared" si="11"/>
        <v>0.11978638793929525</v>
      </c>
    </row>
    <row r="158" spans="1:4">
      <c r="A158">
        <f t="shared" si="14"/>
        <v>2.149999999999995</v>
      </c>
      <c r="B158">
        <f t="shared" si="9"/>
        <v>56.527052007568159</v>
      </c>
      <c r="C158">
        <f t="shared" si="12"/>
        <v>4.3829771122804284E-2</v>
      </c>
      <c r="D158">
        <f t="shared" si="11"/>
        <v>0.11122304887982307</v>
      </c>
    </row>
    <row r="159" spans="1:4">
      <c r="A159">
        <f t="shared" si="14"/>
        <v>2.1999999999999948</v>
      </c>
      <c r="B159">
        <f t="shared" si="9"/>
        <v>56.632332286813934</v>
      </c>
      <c r="C159">
        <f t="shared" si="12"/>
        <v>3.989277233315406E-2</v>
      </c>
      <c r="D159">
        <f t="shared" si="11"/>
        <v>0.103078212562036</v>
      </c>
    </row>
    <row r="160" spans="1:4">
      <c r="A160">
        <f t="shared" si="14"/>
        <v>2.2499999999999947</v>
      </c>
      <c r="B160">
        <f t="shared" si="9"/>
        <v>56.737612566059703</v>
      </c>
      <c r="C160">
        <f t="shared" si="12"/>
        <v>3.6258404493319359E-2</v>
      </c>
      <c r="D160">
        <f t="shared" si="11"/>
        <v>9.5354322441384975E-2</v>
      </c>
    </row>
    <row r="161" spans="1:4">
      <c r="A161">
        <f t="shared" si="14"/>
        <v>2.2999999999999945</v>
      </c>
      <c r="B161">
        <f t="shared" si="9"/>
        <v>56.842892845305478</v>
      </c>
      <c r="C161">
        <f t="shared" si="12"/>
        <v>3.291013170056635E-2</v>
      </c>
      <c r="D161">
        <f t="shared" si="11"/>
        <v>8.8050559902824205E-2</v>
      </c>
    </row>
    <row r="162" spans="1:4">
      <c r="A162">
        <f t="shared" si="14"/>
        <v>2.3499999999999943</v>
      </c>
      <c r="B162">
        <f t="shared" si="9"/>
        <v>56.948173124551246</v>
      </c>
      <c r="C162">
        <f t="shared" si="12"/>
        <v>2.9831419827301624E-2</v>
      </c>
      <c r="D162">
        <f t="shared" si="11"/>
        <v>8.116317379796778E-2</v>
      </c>
    </row>
    <row r="163" spans="1:4">
      <c r="A163">
        <f t="shared" si="14"/>
        <v>2.3999999999999941</v>
      </c>
      <c r="B163">
        <f t="shared" si="9"/>
        <v>57.053453403797015</v>
      </c>
      <c r="C163">
        <f t="shared" ref="C163:C195" si="15">_xlfn.T.DIST(A163,$G$12,FALSE)</f>
        <v>2.7005884705591225E-2</v>
      </c>
      <c r="D163">
        <f t="shared" si="11"/>
        <v>7.4685812649715799E-2</v>
      </c>
    </row>
    <row r="164" spans="1:4">
      <c r="A164">
        <f t="shared" si="14"/>
        <v>2.449999999999994</v>
      </c>
      <c r="B164">
        <f t="shared" ref="B164:B195" si="16">$G$5+A164*$G$11</f>
        <v>57.15873368304279</v>
      </c>
      <c r="C164">
        <f t="shared" si="15"/>
        <v>2.4417419476118914E-2</v>
      </c>
      <c r="D164">
        <f t="shared" si="11"/>
        <v>6.8609853996108847E-2</v>
      </c>
    </row>
    <row r="165" spans="1:4">
      <c r="A165">
        <f t="shared" si="14"/>
        <v>2.4999999999999938</v>
      </c>
      <c r="B165">
        <f t="shared" si="16"/>
        <v>57.264013962288558</v>
      </c>
      <c r="C165">
        <f t="shared" si="15"/>
        <v>2.2050302142681801E-2</v>
      </c>
      <c r="D165">
        <f t="shared" si="11"/>
        <v>6.2924726059681954E-2</v>
      </c>
    </row>
    <row r="166" spans="1:4">
      <c r="A166">
        <f t="shared" si="14"/>
        <v>2.5499999999999936</v>
      </c>
      <c r="B166">
        <f t="shared" si="16"/>
        <v>57.369294241534334</v>
      </c>
      <c r="C166">
        <f t="shared" si="15"/>
        <v>1.9889284559030451E-2</v>
      </c>
      <c r="D166">
        <f t="shared" si="11"/>
        <v>5.7618217658944128E-2</v>
      </c>
    </row>
    <row r="167" spans="1:4">
      <c r="A167">
        <f t="shared" si="14"/>
        <v>2.5999999999999934</v>
      </c>
      <c r="B167">
        <f t="shared" si="16"/>
        <v>57.474574520780102</v>
      </c>
      <c r="C167">
        <f t="shared" si="15"/>
        <v>1.7919664207861331E-2</v>
      </c>
      <c r="D167">
        <f t="shared" si="11"/>
        <v>5.2676773004109993E-2</v>
      </c>
    </row>
    <row r="168" spans="1:4">
      <c r="A168">
        <f t="shared" si="14"/>
        <v>2.6499999999999932</v>
      </c>
      <c r="B168">
        <f t="shared" si="16"/>
        <v>57.579854800025871</v>
      </c>
      <c r="C168">
        <f t="shared" si="15"/>
        <v>1.6127340217466608E-2</v>
      </c>
      <c r="D168">
        <f t="shared" si="11"/>
        <v>4.8085768722215941E-2</v>
      </c>
    </row>
    <row r="169" spans="1:4">
      <c r="A169">
        <f t="shared" si="14"/>
        <v>2.6999999999999931</v>
      </c>
      <c r="B169">
        <f t="shared" si="16"/>
        <v>57.685135079271646</v>
      </c>
      <c r="C169">
        <f t="shared" si="15"/>
        <v>1.4498855105670852E-2</v>
      </c>
      <c r="D169">
        <f t="shared" si="11"/>
        <v>4.3829771122804284E-2</v>
      </c>
    </row>
    <row r="170" spans="1:4">
      <c r="A170">
        <f t="shared" si="14"/>
        <v>2.7499999999999929</v>
      </c>
      <c r="B170">
        <f t="shared" si="16"/>
        <v>57.790415358517414</v>
      </c>
      <c r="C170">
        <f t="shared" si="15"/>
        <v>1.3021423749058899E-2</v>
      </c>
      <c r="D170">
        <f t="shared" si="11"/>
        <v>3.989277233315406E-2</v>
      </c>
    </row>
    <row r="171" spans="1:4">
      <c r="A171">
        <f t="shared" si="14"/>
        <v>2.7999999999999927</v>
      </c>
      <c r="B171">
        <f t="shared" si="16"/>
        <v>57.895695637763183</v>
      </c>
      <c r="C171">
        <f t="shared" si="15"/>
        <v>1.1682951053855821E-2</v>
      </c>
      <c r="D171">
        <f t="shared" si="11"/>
        <v>3.6258404493319359E-2</v>
      </c>
    </row>
    <row r="172" spans="1:4">
      <c r="A172">
        <f t="shared" si="14"/>
        <v>2.8499999999999925</v>
      </c>
      <c r="B172">
        <f t="shared" si="16"/>
        <v>58.000975917008958</v>
      </c>
      <c r="C172">
        <f t="shared" si="15"/>
        <v>1.0472039758657872E-2</v>
      </c>
      <c r="D172">
        <f t="shared" si="11"/>
        <v>3.291013170056635E-2</v>
      </c>
    </row>
    <row r="173" spans="1:4">
      <c r="A173">
        <f t="shared" si="14"/>
        <v>2.8999999999999924</v>
      </c>
      <c r="B173">
        <f t="shared" si="16"/>
        <v>58.106256196254726</v>
      </c>
      <c r="C173">
        <f t="shared" si="15"/>
        <v>9.3779897336770356E-3</v>
      </c>
      <c r="D173">
        <f t="shared" si="11"/>
        <v>2.9831419827301624E-2</v>
      </c>
    </row>
    <row r="174" spans="1:4">
      <c r="A174">
        <f t="shared" si="14"/>
        <v>2.9499999999999922</v>
      </c>
      <c r="B174">
        <f t="shared" si="16"/>
        <v>58.211536475500502</v>
      </c>
      <c r="C174">
        <f t="shared" si="15"/>
        <v>8.3907900609674554E-3</v>
      </c>
      <c r="D174">
        <f t="shared" si="11"/>
        <v>2.7005884705591225E-2</v>
      </c>
    </row>
    <row r="175" spans="1:4">
      <c r="A175">
        <f t="shared" si="14"/>
        <v>2.999999999999992</v>
      </c>
      <c r="B175">
        <f t="shared" si="16"/>
        <v>58.31681675474627</v>
      </c>
      <c r="C175">
        <f t="shared" si="15"/>
        <v>7.5011050894843853E-3</v>
      </c>
      <c r="D175">
        <f t="shared" ref="D175:D195" si="17">C164</f>
        <v>2.4417419476118914E-2</v>
      </c>
    </row>
    <row r="176" spans="1:4">
      <c r="A176">
        <f t="shared" si="14"/>
        <v>3.0499999999999918</v>
      </c>
      <c r="B176">
        <f t="shared" si="16"/>
        <v>58.422097033992046</v>
      </c>
      <c r="C176">
        <f t="shared" si="15"/>
        <v>6.7002555615102146E-3</v>
      </c>
      <c r="D176">
        <f t="shared" si="17"/>
        <v>2.2050302142681801E-2</v>
      </c>
    </row>
    <row r="177" spans="1:4">
      <c r="A177">
        <f t="shared" si="14"/>
        <v>3.0999999999999917</v>
      </c>
      <c r="B177">
        <f t="shared" si="16"/>
        <v>58.527377313237814</v>
      </c>
      <c r="C177">
        <f t="shared" si="15"/>
        <v>5.9801958061784658E-3</v>
      </c>
      <c r="D177">
        <f t="shared" si="17"/>
        <v>1.9889284559030451E-2</v>
      </c>
    </row>
    <row r="178" spans="1:4">
      <c r="A178">
        <f t="shared" si="14"/>
        <v>3.1499999999999915</v>
      </c>
      <c r="B178">
        <f t="shared" si="16"/>
        <v>58.632657592483582</v>
      </c>
      <c r="C178">
        <f t="shared" si="15"/>
        <v>5.3334878942437837E-3</v>
      </c>
      <c r="D178">
        <f t="shared" si="17"/>
        <v>1.7919664207861331E-2</v>
      </c>
    </row>
    <row r="179" spans="1:4">
      <c r="A179">
        <f t="shared" si="14"/>
        <v>3.1999999999999913</v>
      </c>
      <c r="B179">
        <f t="shared" si="16"/>
        <v>58.737937871729358</v>
      </c>
      <c r="C179">
        <f t="shared" si="15"/>
        <v>4.7532735481094143E-3</v>
      </c>
      <c r="D179">
        <f t="shared" si="17"/>
        <v>1.6127340217466608E-2</v>
      </c>
    </row>
    <row r="180" spans="1:4">
      <c r="A180">
        <f t="shared" si="14"/>
        <v>3.2499999999999911</v>
      </c>
      <c r="B180">
        <f t="shared" si="16"/>
        <v>58.843218150975126</v>
      </c>
      <c r="C180">
        <f t="shared" si="15"/>
        <v>4.2332445042164279E-3</v>
      </c>
      <c r="D180">
        <f t="shared" si="17"/>
        <v>1.4498855105670852E-2</v>
      </c>
    </row>
    <row r="181" spans="1:4">
      <c r="A181">
        <f t="shared" si="14"/>
        <v>3.2999999999999909</v>
      </c>
      <c r="B181">
        <f t="shared" si="16"/>
        <v>58.948498430220894</v>
      </c>
      <c r="C181">
        <f t="shared" si="15"/>
        <v>3.7676119325931292E-3</v>
      </c>
      <c r="D181">
        <f t="shared" si="17"/>
        <v>1.3021423749058899E-2</v>
      </c>
    </row>
    <row r="182" spans="1:4">
      <c r="A182">
        <f t="shared" si="14"/>
        <v>3.3499999999999908</v>
      </c>
      <c r="B182">
        <f t="shared" si="16"/>
        <v>59.05377870946667</v>
      </c>
      <c r="C182">
        <f t="shared" si="15"/>
        <v>3.3510754316706131E-3</v>
      </c>
      <c r="D182">
        <f t="shared" si="17"/>
        <v>1.1682951053855821E-2</v>
      </c>
    </row>
    <row r="183" spans="1:4">
      <c r="A183">
        <f t="shared" si="14"/>
        <v>3.3999999999999906</v>
      </c>
      <c r="B183">
        <f t="shared" si="16"/>
        <v>59.159058988712438</v>
      </c>
      <c r="C183">
        <f t="shared" si="15"/>
        <v>2.9787920360837329E-3</v>
      </c>
      <c r="D183">
        <f t="shared" si="17"/>
        <v>1.0472039758657872E-2</v>
      </c>
    </row>
    <row r="184" spans="1:4">
      <c r="A184">
        <f t="shared" si="14"/>
        <v>3.4499999999999904</v>
      </c>
      <c r="B184">
        <f t="shared" si="16"/>
        <v>59.264339267958206</v>
      </c>
      <c r="C184">
        <f t="shared" si="15"/>
        <v>2.6463456015155843E-3</v>
      </c>
      <c r="D184">
        <f t="shared" si="17"/>
        <v>9.3779897336770356E-3</v>
      </c>
    </row>
    <row r="185" spans="1:4">
      <c r="A185">
        <f t="shared" si="14"/>
        <v>3.4999999999999902</v>
      </c>
      <c r="B185">
        <f t="shared" si="16"/>
        <v>59.369619547203982</v>
      </c>
      <c r="C185">
        <f t="shared" si="15"/>
        <v>2.3497168638986999E-3</v>
      </c>
      <c r="D185">
        <f t="shared" si="17"/>
        <v>8.3907900609674554E-3</v>
      </c>
    </row>
    <row r="186" spans="1:4">
      <c r="A186">
        <f t="shared" si="14"/>
        <v>3.5499999999999901</v>
      </c>
      <c r="B186">
        <f t="shared" si="16"/>
        <v>59.47489982644975</v>
      </c>
      <c r="C186">
        <f t="shared" si="15"/>
        <v>2.0852544104593717E-3</v>
      </c>
      <c r="D186">
        <f t="shared" si="17"/>
        <v>7.5011050894843853E-3</v>
      </c>
    </row>
    <row r="187" spans="1:4">
      <c r="A187">
        <f t="shared" si="14"/>
        <v>3.5999999999999899</v>
      </c>
      <c r="B187">
        <f t="shared" si="16"/>
        <v>59.580180105695526</v>
      </c>
      <c r="C187">
        <f t="shared" si="15"/>
        <v>1.8496467470340988E-3</v>
      </c>
      <c r="D187">
        <f t="shared" si="17"/>
        <v>6.7002555615102146E-3</v>
      </c>
    </row>
    <row r="188" spans="1:4">
      <c r="A188">
        <f t="shared" ref="A188:A195" si="18">A187+0.05</f>
        <v>3.6499999999999897</v>
      </c>
      <c r="B188">
        <f t="shared" si="16"/>
        <v>59.685460384941294</v>
      </c>
      <c r="C188">
        <f t="shared" si="15"/>
        <v>1.6398955995339658E-3</v>
      </c>
      <c r="D188">
        <f t="shared" si="17"/>
        <v>5.9801958061784658E-3</v>
      </c>
    </row>
    <row r="189" spans="1:4">
      <c r="A189">
        <f t="shared" si="18"/>
        <v>3.6999999999999895</v>
      </c>
      <c r="B189">
        <f t="shared" si="16"/>
        <v>59.790740664187069</v>
      </c>
      <c r="C189">
        <f t="shared" si="15"/>
        <v>1.4532905470307971E-3</v>
      </c>
      <c r="D189">
        <f t="shared" si="17"/>
        <v>5.3334878942437837E-3</v>
      </c>
    </row>
    <row r="190" spans="1:4">
      <c r="A190">
        <f t="shared" si="18"/>
        <v>3.7499999999999893</v>
      </c>
      <c r="B190">
        <f t="shared" si="16"/>
        <v>59.896020943432838</v>
      </c>
      <c r="C190">
        <f t="shared" si="15"/>
        <v>1.2873850492758165E-3</v>
      </c>
      <c r="D190">
        <f t="shared" si="17"/>
        <v>4.7532735481094143E-3</v>
      </c>
    </row>
    <row r="191" spans="1:4">
      <c r="A191">
        <f t="shared" si="18"/>
        <v>3.7999999999999892</v>
      </c>
      <c r="B191">
        <f t="shared" si="16"/>
        <v>60.001301222678606</v>
      </c>
      <c r="C191">
        <f t="shared" si="15"/>
        <v>1.1399739020851968E-3</v>
      </c>
      <c r="D191">
        <f t="shared" si="17"/>
        <v>4.2332445042164279E-3</v>
      </c>
    </row>
    <row r="192" spans="1:4">
      <c r="A192">
        <f t="shared" si="18"/>
        <v>3.849999999999989</v>
      </c>
      <c r="B192">
        <f t="shared" si="16"/>
        <v>60.106581501924381</v>
      </c>
      <c r="C192">
        <f t="shared" si="15"/>
        <v>1.0090721294654457E-3</v>
      </c>
      <c r="D192">
        <f t="shared" si="17"/>
        <v>3.7676119325931292E-3</v>
      </c>
    </row>
    <row r="193" spans="1:4">
      <c r="A193">
        <f t="shared" si="18"/>
        <v>3.8999999999999888</v>
      </c>
      <c r="B193">
        <f t="shared" si="16"/>
        <v>60.21186178117015</v>
      </c>
      <c r="C193">
        <f t="shared" si="15"/>
        <v>8.9289530112843024E-4</v>
      </c>
      <c r="D193">
        <f t="shared" si="17"/>
        <v>3.3510754316706131E-3</v>
      </c>
    </row>
    <row r="194" spans="1:4">
      <c r="A194">
        <f t="shared" si="18"/>
        <v>3.9499999999999886</v>
      </c>
      <c r="B194">
        <f t="shared" si="16"/>
        <v>60.317142060415918</v>
      </c>
      <c r="C194">
        <f t="shared" si="15"/>
        <v>7.8984124769044975E-4</v>
      </c>
      <c r="D194">
        <f t="shared" si="17"/>
        <v>2.9787920360837329E-3</v>
      </c>
    </row>
    <row r="195" spans="1:4">
      <c r="A195">
        <f t="shared" si="18"/>
        <v>3.9999999999999885</v>
      </c>
      <c r="B195">
        <f t="shared" si="16"/>
        <v>60.422422339661694</v>
      </c>
      <c r="C195">
        <f t="shared" si="15"/>
        <v>6.9847313290888867E-4</v>
      </c>
      <c r="D195">
        <f t="shared" si="17"/>
        <v>2.6463456015155843E-3</v>
      </c>
    </row>
  </sheetData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sheetPr codeName="Sheet146"/>
  <dimension ref="A1:D13"/>
  <sheetViews>
    <sheetView workbookViewId="0"/>
  </sheetViews>
  <sheetFormatPr defaultRowHeight="14.4"/>
  <cols>
    <col min="1" max="1" width="19" customWidth="1"/>
    <col min="2" max="2" width="12" customWidth="1"/>
    <col min="3" max="3" width="3.44140625" customWidth="1"/>
    <col min="4" max="4" width="29.44140625" customWidth="1"/>
  </cols>
  <sheetData>
    <row r="1" spans="1:4">
      <c r="A1" s="1" t="s">
        <v>3551</v>
      </c>
    </row>
    <row r="3" spans="1:4">
      <c r="A3" t="s">
        <v>1189</v>
      </c>
      <c r="B3">
        <f>'T Power 1'!G5</f>
        <v>52</v>
      </c>
    </row>
    <row r="4" spans="1:4">
      <c r="A4" t="s">
        <v>1190</v>
      </c>
      <c r="B4">
        <f>'T Power 1'!G8</f>
        <v>10.315318565194634</v>
      </c>
    </row>
    <row r="5" spans="1:4">
      <c r="A5" t="s">
        <v>116</v>
      </c>
      <c r="B5">
        <f>'T Power 1'!G15</f>
        <v>0.05</v>
      </c>
    </row>
    <row r="6" spans="1:4">
      <c r="A6" t="s">
        <v>1188</v>
      </c>
      <c r="B6">
        <f>'T Power 1'!G6</f>
        <v>24</v>
      </c>
    </row>
    <row r="7" spans="1:4">
      <c r="A7" t="s">
        <v>1195</v>
      </c>
      <c r="B7">
        <f>B4/SQRT(B6)</f>
        <v>2.1056055849154292</v>
      </c>
      <c r="D7" s="23" t="s">
        <v>1196</v>
      </c>
    </row>
    <row r="8" spans="1:4">
      <c r="A8" t="s">
        <v>1200</v>
      </c>
      <c r="B8">
        <f>TINV(2*B5,B6-1)</f>
        <v>1.7138715277470482</v>
      </c>
      <c r="D8" s="23" t="s">
        <v>3922</v>
      </c>
    </row>
    <row r="9" spans="1:4">
      <c r="A9" t="s">
        <v>1201</v>
      </c>
      <c r="B9">
        <f>B3+B8*B7</f>
        <v>55.608737460651724</v>
      </c>
      <c r="D9" s="23" t="s">
        <v>1199</v>
      </c>
    </row>
    <row r="10" spans="1:4">
      <c r="A10" t="s">
        <v>379</v>
      </c>
      <c r="B10">
        <f>(B11-B3)/B4</f>
        <v>0.11310040104851102</v>
      </c>
      <c r="D10" s="23" t="s">
        <v>1202</v>
      </c>
    </row>
    <row r="11" spans="1:4">
      <c r="A11" t="s">
        <v>1191</v>
      </c>
      <c r="B11">
        <f>'T Power 1'!G7</f>
        <v>53.166666666666664</v>
      </c>
      <c r="D11" s="23"/>
    </row>
    <row r="12" spans="1:4">
      <c r="A12" t="s">
        <v>1192</v>
      </c>
      <c r="B12" t="e">
        <f ca="1">[1]!t_dist((B9-B11)/B7,B6-1,TRUE)</f>
        <v>#NAME?</v>
      </c>
      <c r="D12" s="23" t="s">
        <v>3923</v>
      </c>
    </row>
    <row r="13" spans="1:4">
      <c r="A13" t="s">
        <v>114</v>
      </c>
      <c r="B13" t="e">
        <f ca="1">1-B12</f>
        <v>#NAME?</v>
      </c>
      <c r="D13" s="23" t="s">
        <v>1943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sheetPr codeName="Sheet144"/>
  <dimension ref="A1:D13"/>
  <sheetViews>
    <sheetView workbookViewId="0"/>
  </sheetViews>
  <sheetFormatPr defaultRowHeight="14.4"/>
  <cols>
    <col min="1" max="1" width="19" customWidth="1"/>
    <col min="2" max="2" width="12" customWidth="1"/>
    <col min="3" max="3" width="3.44140625" customWidth="1"/>
    <col min="4" max="4" width="29.44140625" customWidth="1"/>
  </cols>
  <sheetData>
    <row r="1" spans="1:4">
      <c r="A1" s="1" t="s">
        <v>3551</v>
      </c>
    </row>
    <row r="3" spans="1:4">
      <c r="A3" t="s">
        <v>1189</v>
      </c>
      <c r="B3">
        <f>'T Power 1'!G5</f>
        <v>52</v>
      </c>
    </row>
    <row r="4" spans="1:4">
      <c r="A4" t="s">
        <v>1190</v>
      </c>
      <c r="B4">
        <f>'T Power 1'!G8</f>
        <v>10.315318565194634</v>
      </c>
    </row>
    <row r="5" spans="1:4">
      <c r="A5" t="s">
        <v>116</v>
      </c>
      <c r="B5">
        <f>'T Power 1'!G15</f>
        <v>0.05</v>
      </c>
    </row>
    <row r="6" spans="1:4">
      <c r="A6" t="s">
        <v>1188</v>
      </c>
      <c r="B6">
        <f>'T Power 1'!G6</f>
        <v>24</v>
      </c>
    </row>
    <row r="7" spans="1:4">
      <c r="A7" t="s">
        <v>1195</v>
      </c>
      <c r="B7">
        <f>B4/SQRT(B6)</f>
        <v>2.1056055849154292</v>
      </c>
      <c r="D7" s="23" t="s">
        <v>1196</v>
      </c>
    </row>
    <row r="8" spans="1:4">
      <c r="A8" t="s">
        <v>1200</v>
      </c>
      <c r="B8">
        <f>TINV(2*B5,B6-1)</f>
        <v>1.7138715277470482</v>
      </c>
      <c r="D8" s="23" t="s">
        <v>3922</v>
      </c>
    </row>
    <row r="9" spans="1:4">
      <c r="A9" t="s">
        <v>1201</v>
      </c>
      <c r="B9">
        <f>B3+B8*B7</f>
        <v>55.608737460651724</v>
      </c>
      <c r="D9" s="23" t="s">
        <v>1199</v>
      </c>
    </row>
    <row r="10" spans="1:4">
      <c r="A10" t="s">
        <v>379</v>
      </c>
      <c r="B10">
        <v>0.4</v>
      </c>
      <c r="D10" s="23" t="s">
        <v>1202</v>
      </c>
    </row>
    <row r="11" spans="1:4">
      <c r="A11" t="s">
        <v>1191</v>
      </c>
      <c r="B11">
        <f>B3+B10*B4</f>
        <v>56.126127426077851</v>
      </c>
      <c r="D11" s="23"/>
    </row>
    <row r="12" spans="1:4">
      <c r="A12" t="s">
        <v>1192</v>
      </c>
      <c r="B12" t="e">
        <f ca="1">[1]!t_dist((B9-B11)/B7,B6-1,TRUE)</f>
        <v>#NAME?</v>
      </c>
      <c r="D12" s="23" t="s">
        <v>3923</v>
      </c>
    </row>
    <row r="13" spans="1:4">
      <c r="A13" t="s">
        <v>114</v>
      </c>
      <c r="B13" t="e">
        <f ca="1">1-B12</f>
        <v>#NAME?</v>
      </c>
      <c r="D13" s="23" t="s">
        <v>1943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sheetPr codeName="Sheet330"/>
  <dimension ref="A1:D13"/>
  <sheetViews>
    <sheetView workbookViewId="0"/>
  </sheetViews>
  <sheetFormatPr defaultRowHeight="14.4"/>
  <cols>
    <col min="1" max="1" width="19" customWidth="1"/>
    <col min="2" max="2" width="12" customWidth="1"/>
    <col min="3" max="3" width="3.44140625" customWidth="1"/>
    <col min="4" max="4" width="29.44140625" customWidth="1"/>
  </cols>
  <sheetData>
    <row r="1" spans="1:4">
      <c r="A1" s="1" t="s">
        <v>3551</v>
      </c>
    </row>
    <row r="3" spans="1:4">
      <c r="A3" t="s">
        <v>1189</v>
      </c>
      <c r="B3">
        <f>'T Power 1'!G5</f>
        <v>52</v>
      </c>
    </row>
    <row r="4" spans="1:4">
      <c r="A4" t="s">
        <v>1190</v>
      </c>
      <c r="B4">
        <f>'T Power 1'!G8</f>
        <v>10.315318565194634</v>
      </c>
    </row>
    <row r="5" spans="1:4">
      <c r="A5" t="s">
        <v>116</v>
      </c>
      <c r="B5">
        <f>'T Power 1'!G15</f>
        <v>0.05</v>
      </c>
    </row>
    <row r="6" spans="1:4">
      <c r="A6" t="s">
        <v>1188</v>
      </c>
      <c r="B6">
        <f>'T Power 1'!G6</f>
        <v>24</v>
      </c>
    </row>
    <row r="7" spans="1:4">
      <c r="A7" t="s">
        <v>1195</v>
      </c>
      <c r="B7">
        <f>B4/SQRT(B6)</f>
        <v>2.1056055849154292</v>
      </c>
      <c r="D7" s="23" t="s">
        <v>1196</v>
      </c>
    </row>
    <row r="8" spans="1:4">
      <c r="A8" t="s">
        <v>1200</v>
      </c>
      <c r="B8">
        <f>TINV(2*B5,B6-1)</f>
        <v>1.7138715277470482</v>
      </c>
      <c r="D8" s="23" t="s">
        <v>3922</v>
      </c>
    </row>
    <row r="9" spans="1:4">
      <c r="A9" t="s">
        <v>1201</v>
      </c>
      <c r="B9">
        <f>B3+B8*B7</f>
        <v>55.608737460651724</v>
      </c>
      <c r="D9" s="23" t="s">
        <v>1199</v>
      </c>
    </row>
    <row r="10" spans="1:4">
      <c r="A10" t="s">
        <v>379</v>
      </c>
      <c r="B10">
        <v>0.52484634018566534</v>
      </c>
      <c r="D10" s="23" t="s">
        <v>1202</v>
      </c>
    </row>
    <row r="11" spans="1:4">
      <c r="A11" t="s">
        <v>1191</v>
      </c>
      <c r="B11">
        <f>B3+B10*B4</f>
        <v>57.41395719679165</v>
      </c>
      <c r="D11" s="23"/>
    </row>
    <row r="12" spans="1:4">
      <c r="A12" t="s">
        <v>1192</v>
      </c>
      <c r="B12" t="e">
        <f ca="1">[1]!t_dist((B9-B11)/B7,B6-1,TRUE)</f>
        <v>#NAME?</v>
      </c>
      <c r="D12" s="23" t="s">
        <v>3923</v>
      </c>
    </row>
    <row r="13" spans="1:4">
      <c r="A13" t="s">
        <v>114</v>
      </c>
      <c r="B13" t="e">
        <f ca="1">1-B12</f>
        <v>#NAME?</v>
      </c>
      <c r="D13" s="23" t="s">
        <v>1943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sheetPr codeName="Sheet331"/>
  <dimension ref="A1:D13"/>
  <sheetViews>
    <sheetView workbookViewId="0"/>
  </sheetViews>
  <sheetFormatPr defaultRowHeight="14.4"/>
  <cols>
    <col min="1" max="1" width="19" customWidth="1"/>
    <col min="2" max="2" width="12" customWidth="1"/>
    <col min="3" max="3" width="3.44140625" customWidth="1"/>
    <col min="4" max="4" width="29.44140625" customWidth="1"/>
  </cols>
  <sheetData>
    <row r="1" spans="1:4">
      <c r="A1" s="1" t="s">
        <v>3551</v>
      </c>
    </row>
    <row r="3" spans="1:4">
      <c r="A3" t="s">
        <v>1189</v>
      </c>
      <c r="B3">
        <f>'T Power 1'!G5</f>
        <v>52</v>
      </c>
    </row>
    <row r="4" spans="1:4">
      <c r="A4" t="s">
        <v>1190</v>
      </c>
      <c r="B4">
        <f>'T Power 1'!G8</f>
        <v>10.315318565194634</v>
      </c>
    </row>
    <row r="5" spans="1:4">
      <c r="A5" t="s">
        <v>116</v>
      </c>
      <c r="B5">
        <f>'T Power 1'!G15</f>
        <v>0.05</v>
      </c>
    </row>
    <row r="6" spans="1:4">
      <c r="A6" t="s">
        <v>1188</v>
      </c>
      <c r="B6">
        <v>155.65623920311995</v>
      </c>
    </row>
    <row r="7" spans="1:4">
      <c r="A7" t="s">
        <v>1195</v>
      </c>
      <c r="B7">
        <f>B4/SQRT(B6)</f>
        <v>0.8267979251060954</v>
      </c>
      <c r="D7" s="23" t="s">
        <v>1196</v>
      </c>
    </row>
    <row r="8" spans="1:4">
      <c r="A8" t="s">
        <v>1200</v>
      </c>
      <c r="B8">
        <f>TINV(2*B5,B6-1)</f>
        <v>1.6548083854766809</v>
      </c>
      <c r="D8" s="23" t="s">
        <v>3922</v>
      </c>
    </row>
    <row r="9" spans="1:4">
      <c r="A9" t="s">
        <v>1201</v>
      </c>
      <c r="B9">
        <f>B3+B8*B7</f>
        <v>53.368192139560286</v>
      </c>
      <c r="D9" s="23" t="s">
        <v>1199</v>
      </c>
    </row>
    <row r="10" spans="1:4">
      <c r="A10" t="s">
        <v>379</v>
      </c>
      <c r="B10">
        <v>0.2</v>
      </c>
      <c r="D10" s="23" t="s">
        <v>1202</v>
      </c>
    </row>
    <row r="11" spans="1:4">
      <c r="A11" t="s">
        <v>1191</v>
      </c>
      <c r="B11">
        <f>B3+B10*B4</f>
        <v>54.063063713038929</v>
      </c>
      <c r="D11" s="23"/>
    </row>
    <row r="12" spans="1:4">
      <c r="A12" t="s">
        <v>1192</v>
      </c>
      <c r="B12" t="e">
        <f ca="1">[1]!t_dist((B9-B11)/B7,B6-1,TRUE)</f>
        <v>#NAME?</v>
      </c>
      <c r="D12" s="23" t="s">
        <v>3923</v>
      </c>
    </row>
    <row r="13" spans="1:4">
      <c r="A13" t="s">
        <v>114</v>
      </c>
      <c r="B13" t="e">
        <f ca="1">1-B12</f>
        <v>#NAME?</v>
      </c>
      <c r="D13" s="23" t="s">
        <v>1943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sheetPr codeName="Sheet329"/>
  <dimension ref="A1:N32"/>
  <sheetViews>
    <sheetView workbookViewId="0"/>
  </sheetViews>
  <sheetFormatPr defaultRowHeight="14.4"/>
  <cols>
    <col min="1" max="4" width="5.5546875" customWidth="1"/>
    <col min="5" max="5" width="6.33203125" customWidth="1"/>
    <col min="6" max="6" width="13.44140625" customWidth="1"/>
    <col min="7" max="7" width="9.109375" customWidth="1"/>
    <col min="8" max="8" width="2.109375" customWidth="1"/>
    <col min="9" max="9" width="22.6640625" customWidth="1"/>
    <col min="10" max="10" width="4.33203125" customWidth="1"/>
    <col min="11" max="11" width="13.44140625" customWidth="1"/>
    <col min="13" max="13" width="1.88671875" customWidth="1"/>
    <col min="14" max="14" width="20.6640625" customWidth="1"/>
  </cols>
  <sheetData>
    <row r="1" spans="1:14">
      <c r="A1" s="1" t="s">
        <v>3549</v>
      </c>
    </row>
    <row r="3" spans="1:14">
      <c r="A3" s="1" t="s">
        <v>205</v>
      </c>
      <c r="F3" s="1347" t="s">
        <v>3524</v>
      </c>
      <c r="G3" s="1336"/>
      <c r="K3" s="1" t="s">
        <v>1181</v>
      </c>
    </row>
    <row r="4" spans="1:14">
      <c r="J4" s="65"/>
    </row>
    <row r="5" spans="1:14">
      <c r="A5" s="1339">
        <v>45</v>
      </c>
      <c r="B5" s="1340">
        <v>58</v>
      </c>
      <c r="C5" s="1340">
        <v>72</v>
      </c>
      <c r="D5" s="1341">
        <v>52</v>
      </c>
      <c r="F5" t="s">
        <v>3525</v>
      </c>
      <c r="G5" s="1235">
        <v>52</v>
      </c>
      <c r="I5" s="65"/>
      <c r="K5" t="s">
        <v>3541</v>
      </c>
      <c r="L5" s="1235">
        <f>TINV(G15,G12)</f>
        <v>2.0686576104190491</v>
      </c>
      <c r="N5" s="23" t="s">
        <v>3928</v>
      </c>
    </row>
    <row r="6" spans="1:14">
      <c r="A6" s="1342">
        <v>56</v>
      </c>
      <c r="B6" s="81">
        <v>49</v>
      </c>
      <c r="C6" s="81">
        <v>48</v>
      </c>
      <c r="D6" s="1343">
        <v>67</v>
      </c>
      <c r="F6" t="s">
        <v>1180</v>
      </c>
      <c r="G6" s="627">
        <f>COUNT(A5:D10)</f>
        <v>24</v>
      </c>
      <c r="I6" s="23" t="s">
        <v>3527</v>
      </c>
      <c r="K6" t="s">
        <v>3542</v>
      </c>
      <c r="L6" s="627">
        <f>G5+L5*G11</f>
        <v>56.355777017776155</v>
      </c>
      <c r="N6" s="23" t="s">
        <v>3558</v>
      </c>
    </row>
    <row r="7" spans="1:14">
      <c r="A7" s="1342">
        <v>71</v>
      </c>
      <c r="B7" s="81">
        <v>52</v>
      </c>
      <c r="C7" s="81">
        <v>62</v>
      </c>
      <c r="D7" s="1343">
        <v>56</v>
      </c>
      <c r="F7" s="1336" t="s">
        <v>1187</v>
      </c>
      <c r="G7" s="1337">
        <f>AVERAGE(A5:D10)</f>
        <v>53.166666666666664</v>
      </c>
      <c r="I7" t="s">
        <v>3528</v>
      </c>
      <c r="K7" t="s">
        <v>3543</v>
      </c>
      <c r="L7" s="627">
        <f>-L5</f>
        <v>-2.0686576104190491</v>
      </c>
      <c r="N7" s="23" t="s">
        <v>3559</v>
      </c>
    </row>
    <row r="8" spans="1:14">
      <c r="A8" s="1342">
        <v>38</v>
      </c>
      <c r="B8" s="81">
        <v>39</v>
      </c>
      <c r="C8" s="81">
        <v>54</v>
      </c>
      <c r="D8" s="1343">
        <v>52</v>
      </c>
      <c r="F8" t="s">
        <v>218</v>
      </c>
      <c r="G8" s="627">
        <f>STDEV(A5:D10)</f>
        <v>10.315318565194634</v>
      </c>
      <c r="I8" s="23" t="s">
        <v>3924</v>
      </c>
      <c r="K8" t="s">
        <v>3544</v>
      </c>
      <c r="L8" s="627">
        <f>G5+L7*G11</f>
        <v>47.644222982223845</v>
      </c>
      <c r="N8" s="23" t="s">
        <v>3560</v>
      </c>
    </row>
    <row r="9" spans="1:14">
      <c r="A9" s="1342">
        <v>61</v>
      </c>
      <c r="B9" s="81">
        <v>42</v>
      </c>
      <c r="C9" s="81">
        <v>45</v>
      </c>
      <c r="D9" s="1343">
        <v>46</v>
      </c>
      <c r="F9" t="s">
        <v>1946</v>
      </c>
      <c r="G9" s="627">
        <f>ABS(G5-G7)/G8</f>
        <v>0.11310040104851102</v>
      </c>
      <c r="I9" t="s">
        <v>3530</v>
      </c>
      <c r="K9" s="1336" t="s">
        <v>3526</v>
      </c>
      <c r="L9" s="1337">
        <f>G7</f>
        <v>53.166666666666664</v>
      </c>
      <c r="N9" s="23" t="s">
        <v>3536</v>
      </c>
    </row>
    <row r="10" spans="1:14">
      <c r="A10" s="1344">
        <v>51</v>
      </c>
      <c r="B10" s="1345">
        <v>34</v>
      </c>
      <c r="C10" s="1345">
        <v>58</v>
      </c>
      <c r="D10" s="1346">
        <v>68</v>
      </c>
      <c r="F10" t="s">
        <v>1178</v>
      </c>
      <c r="G10" s="627">
        <v>2</v>
      </c>
      <c r="K10" s="28" t="s">
        <v>3545</v>
      </c>
      <c r="L10" s="1337">
        <f>(L6-L9)/G11</f>
        <v>1.5145810658730658</v>
      </c>
      <c r="N10" s="23" t="s">
        <v>3561</v>
      </c>
    </row>
    <row r="11" spans="1:14">
      <c r="A11" s="81"/>
      <c r="B11" s="81"/>
      <c r="C11" s="81"/>
      <c r="D11" s="81"/>
      <c r="E11" s="81"/>
      <c r="F11" t="s">
        <v>522</v>
      </c>
      <c r="G11" s="627">
        <f>G8/SQRT(G6)</f>
        <v>2.1056055849154292</v>
      </c>
      <c r="I11" t="s">
        <v>3531</v>
      </c>
      <c r="K11" s="28" t="s">
        <v>3546</v>
      </c>
      <c r="L11" s="627">
        <f>(L8-L9)/G11</f>
        <v>-2.6227341549650318</v>
      </c>
      <c r="N11" s="23" t="s">
        <v>3562</v>
      </c>
    </row>
    <row r="12" spans="1:14">
      <c r="A12" s="81"/>
      <c r="B12" s="81"/>
      <c r="C12" s="81"/>
      <c r="D12" s="81"/>
      <c r="E12" s="81"/>
      <c r="F12" t="s">
        <v>186</v>
      </c>
      <c r="G12" s="627">
        <f>G6-1</f>
        <v>23</v>
      </c>
      <c r="I12" t="s">
        <v>3532</v>
      </c>
      <c r="K12" s="28" t="s">
        <v>3547</v>
      </c>
      <c r="L12" s="627" t="e">
        <f ca="1">[1]!t_dist(L10,G12,TRUE)</f>
        <v>#NAME?</v>
      </c>
      <c r="N12" s="23" t="s">
        <v>3926</v>
      </c>
    </row>
    <row r="13" spans="1:14">
      <c r="A13" s="81"/>
      <c r="B13" s="81"/>
      <c r="C13" s="81"/>
      <c r="D13" s="81"/>
      <c r="E13" s="81"/>
      <c r="F13" t="s">
        <v>264</v>
      </c>
      <c r="G13" s="627">
        <f>ABS(G7-G5)/G11</f>
        <v>0.55407654454598299</v>
      </c>
      <c r="I13" t="s">
        <v>3533</v>
      </c>
      <c r="K13" s="28" t="s">
        <v>3548</v>
      </c>
      <c r="L13" s="627" t="e">
        <f ca="1">[1]!t_dist(L11,G12,TRUE)</f>
        <v>#NAME?</v>
      </c>
      <c r="N13" s="23" t="s">
        <v>3927</v>
      </c>
    </row>
    <row r="14" spans="1:14">
      <c r="A14" s="81"/>
      <c r="B14" s="81"/>
      <c r="C14" s="81"/>
      <c r="D14" s="81"/>
      <c r="E14" s="81"/>
      <c r="F14" t="s">
        <v>200</v>
      </c>
      <c r="G14" s="627">
        <f>TDIST(G13,G12,G10)</f>
        <v>0.58487395481480797</v>
      </c>
      <c r="I14" s="23" t="s">
        <v>3925</v>
      </c>
      <c r="K14" s="28" t="s">
        <v>1182</v>
      </c>
      <c r="L14" s="1337" t="e">
        <f ca="1">L12-L13</f>
        <v>#NAME?</v>
      </c>
      <c r="N14" s="23" t="s">
        <v>3563</v>
      </c>
    </row>
    <row r="15" spans="1:14">
      <c r="C15" s="81"/>
      <c r="D15" s="81"/>
      <c r="F15" t="s">
        <v>337</v>
      </c>
      <c r="G15" s="627">
        <v>0.05</v>
      </c>
      <c r="K15" s="28" t="s">
        <v>1181</v>
      </c>
      <c r="L15" s="1338" t="e">
        <f ca="1">1-L14</f>
        <v>#NAME?</v>
      </c>
      <c r="N15" s="23" t="s">
        <v>3564</v>
      </c>
    </row>
    <row r="16" spans="1:14">
      <c r="F16" t="s">
        <v>948</v>
      </c>
      <c r="G16" s="538" t="str">
        <f>IF(G14&lt;G15,"yes","no")</f>
        <v>no</v>
      </c>
      <c r="I16" t="s">
        <v>3534</v>
      </c>
    </row>
    <row r="31" spans="7:7">
      <c r="G31" s="1336"/>
    </row>
    <row r="32" spans="7:7">
      <c r="G32" s="1336"/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sheetPr codeName="Sheet42"/>
  <dimension ref="A1:Z146"/>
  <sheetViews>
    <sheetView topLeftCell="A36" workbookViewId="0">
      <selection activeCell="J49" sqref="J49"/>
    </sheetView>
  </sheetViews>
  <sheetFormatPr defaultRowHeight="14.4"/>
  <cols>
    <col min="1" max="26" width="7" customWidth="1"/>
  </cols>
  <sheetData>
    <row r="1" spans="1:26">
      <c r="A1" s="1" t="s">
        <v>268</v>
      </c>
    </row>
    <row r="3" spans="1:26">
      <c r="A3" s="1" t="s">
        <v>269</v>
      </c>
    </row>
    <row r="5" spans="1:26" ht="23.4">
      <c r="A5" s="858" t="s">
        <v>270</v>
      </c>
      <c r="B5">
        <v>1</v>
      </c>
      <c r="C5">
        <f t="shared" ref="C5:Z5" si="0">B5+1</f>
        <v>2</v>
      </c>
      <c r="D5">
        <f t="shared" si="0"/>
        <v>3</v>
      </c>
      <c r="E5">
        <f t="shared" si="0"/>
        <v>4</v>
      </c>
      <c r="F5">
        <f t="shared" si="0"/>
        <v>5</v>
      </c>
      <c r="G5">
        <f t="shared" si="0"/>
        <v>6</v>
      </c>
      <c r="H5">
        <f t="shared" si="0"/>
        <v>7</v>
      </c>
      <c r="I5">
        <f t="shared" si="0"/>
        <v>8</v>
      </c>
      <c r="J5">
        <f t="shared" si="0"/>
        <v>9</v>
      </c>
      <c r="K5">
        <f t="shared" si="0"/>
        <v>10</v>
      </c>
      <c r="L5">
        <f t="shared" si="0"/>
        <v>11</v>
      </c>
      <c r="M5">
        <f t="shared" si="0"/>
        <v>12</v>
      </c>
      <c r="N5">
        <f t="shared" si="0"/>
        <v>13</v>
      </c>
      <c r="O5">
        <f t="shared" si="0"/>
        <v>14</v>
      </c>
      <c r="P5">
        <f t="shared" si="0"/>
        <v>15</v>
      </c>
      <c r="Q5">
        <f t="shared" si="0"/>
        <v>16</v>
      </c>
      <c r="R5">
        <f t="shared" si="0"/>
        <v>17</v>
      </c>
      <c r="S5">
        <f t="shared" si="0"/>
        <v>18</v>
      </c>
      <c r="T5">
        <f t="shared" si="0"/>
        <v>19</v>
      </c>
      <c r="U5">
        <f t="shared" si="0"/>
        <v>20</v>
      </c>
      <c r="V5">
        <f t="shared" si="0"/>
        <v>21</v>
      </c>
      <c r="W5">
        <f t="shared" si="0"/>
        <v>22</v>
      </c>
      <c r="X5">
        <f t="shared" si="0"/>
        <v>23</v>
      </c>
      <c r="Y5">
        <f t="shared" si="0"/>
        <v>24</v>
      </c>
      <c r="Z5">
        <f t="shared" si="0"/>
        <v>25</v>
      </c>
    </row>
    <row r="6" spans="1:26">
      <c r="A6">
        <v>1</v>
      </c>
      <c r="B6" s="86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866"/>
    </row>
    <row r="7" spans="1:26">
      <c r="A7">
        <f>A6+1</f>
        <v>2</v>
      </c>
      <c r="B7" s="656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657"/>
    </row>
    <row r="8" spans="1:26">
      <c r="A8">
        <f t="shared" ref="A8:A30" si="1">A7+1</f>
        <v>3</v>
      </c>
      <c r="B8" s="656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657"/>
    </row>
    <row r="9" spans="1:26">
      <c r="A9">
        <f t="shared" si="1"/>
        <v>4</v>
      </c>
      <c r="B9" s="656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657"/>
    </row>
    <row r="10" spans="1:26">
      <c r="A10">
        <f t="shared" si="1"/>
        <v>5</v>
      </c>
      <c r="B10" s="656"/>
      <c r="D10" s="8"/>
      <c r="E10" s="94" t="s">
        <v>271</v>
      </c>
      <c r="F10" s="66">
        <v>15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657"/>
    </row>
    <row r="11" spans="1:26">
      <c r="A11">
        <f t="shared" si="1"/>
        <v>6</v>
      </c>
      <c r="B11" s="656"/>
      <c r="D11" s="8"/>
      <c r="E11" s="8">
        <v>10</v>
      </c>
      <c r="F11" s="66">
        <v>16</v>
      </c>
      <c r="G11" s="66">
        <v>23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657"/>
    </row>
    <row r="12" spans="1:26">
      <c r="A12">
        <f t="shared" si="1"/>
        <v>7</v>
      </c>
      <c r="B12" s="656"/>
      <c r="D12" s="8"/>
      <c r="E12" s="66">
        <v>10</v>
      </c>
      <c r="F12" s="66">
        <v>16</v>
      </c>
      <c r="G12" s="66">
        <v>24</v>
      </c>
      <c r="H12" s="66">
        <v>32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657"/>
    </row>
    <row r="13" spans="1:26">
      <c r="A13">
        <f t="shared" si="1"/>
        <v>8</v>
      </c>
      <c r="B13" s="656"/>
      <c r="D13" s="94" t="s">
        <v>271</v>
      </c>
      <c r="E13" s="66">
        <v>11</v>
      </c>
      <c r="F13" s="66">
        <v>17</v>
      </c>
      <c r="G13" s="66">
        <v>25</v>
      </c>
      <c r="H13" s="66">
        <v>34</v>
      </c>
      <c r="I13" s="66">
        <v>43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657"/>
    </row>
    <row r="14" spans="1:26">
      <c r="A14">
        <f t="shared" si="1"/>
        <v>9</v>
      </c>
      <c r="B14" s="656"/>
      <c r="D14" s="66">
        <v>6</v>
      </c>
      <c r="E14" s="66">
        <v>11</v>
      </c>
      <c r="F14" s="66">
        <v>18</v>
      </c>
      <c r="G14" s="66">
        <v>26</v>
      </c>
      <c r="H14" s="66">
        <v>35</v>
      </c>
      <c r="I14" s="66">
        <v>45</v>
      </c>
      <c r="J14" s="66">
        <v>56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657"/>
    </row>
    <row r="15" spans="1:26">
      <c r="A15">
        <f t="shared" si="1"/>
        <v>10</v>
      </c>
      <c r="B15" s="656"/>
      <c r="D15" s="66">
        <v>6</v>
      </c>
      <c r="E15" s="66">
        <v>12</v>
      </c>
      <c r="F15" s="66">
        <v>19</v>
      </c>
      <c r="G15" s="66">
        <v>27</v>
      </c>
      <c r="H15" s="66">
        <v>37</v>
      </c>
      <c r="I15" s="66">
        <v>47</v>
      </c>
      <c r="J15" s="66">
        <v>58</v>
      </c>
      <c r="K15" s="66">
        <v>71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657"/>
    </row>
    <row r="16" spans="1:26">
      <c r="A16">
        <f t="shared" si="1"/>
        <v>11</v>
      </c>
      <c r="B16" s="656"/>
      <c r="D16" s="66">
        <v>6</v>
      </c>
      <c r="E16" s="66">
        <v>12</v>
      </c>
      <c r="F16" s="66">
        <v>20</v>
      </c>
      <c r="G16" s="66">
        <v>28</v>
      </c>
      <c r="H16" s="66">
        <v>38</v>
      </c>
      <c r="I16" s="66">
        <v>49</v>
      </c>
      <c r="J16" s="66">
        <v>61</v>
      </c>
      <c r="K16" s="66">
        <v>73</v>
      </c>
      <c r="L16" s="66">
        <v>87</v>
      </c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57"/>
    </row>
    <row r="17" spans="1:26">
      <c r="A17">
        <f t="shared" si="1"/>
        <v>12</v>
      </c>
      <c r="B17" s="656"/>
      <c r="D17" s="66">
        <v>7</v>
      </c>
      <c r="E17" s="66">
        <v>13</v>
      </c>
      <c r="F17" s="66">
        <v>21</v>
      </c>
      <c r="G17" s="66">
        <v>30</v>
      </c>
      <c r="H17" s="66">
        <v>40</v>
      </c>
      <c r="I17" s="66">
        <v>51</v>
      </c>
      <c r="J17" s="66">
        <v>63</v>
      </c>
      <c r="K17" s="66">
        <v>76</v>
      </c>
      <c r="L17" s="66">
        <v>90</v>
      </c>
      <c r="M17" s="66">
        <v>105</v>
      </c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57"/>
    </row>
    <row r="18" spans="1:26">
      <c r="A18">
        <f t="shared" si="1"/>
        <v>13</v>
      </c>
      <c r="B18" s="656"/>
      <c r="D18" s="66">
        <v>7</v>
      </c>
      <c r="E18" s="66">
        <v>13</v>
      </c>
      <c r="F18" s="66">
        <v>22</v>
      </c>
      <c r="G18" s="66">
        <v>31</v>
      </c>
      <c r="H18" s="66">
        <v>41</v>
      </c>
      <c r="I18" s="66">
        <v>53</v>
      </c>
      <c r="J18" s="66">
        <v>65</v>
      </c>
      <c r="K18" s="66">
        <v>79</v>
      </c>
      <c r="L18" s="66">
        <v>93</v>
      </c>
      <c r="M18" s="66">
        <v>109</v>
      </c>
      <c r="N18" s="66">
        <v>125</v>
      </c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57"/>
    </row>
    <row r="19" spans="1:26">
      <c r="A19">
        <f t="shared" si="1"/>
        <v>14</v>
      </c>
      <c r="B19" s="656"/>
      <c r="D19" s="66">
        <v>7</v>
      </c>
      <c r="E19" s="66">
        <v>14</v>
      </c>
      <c r="F19" s="66">
        <v>22</v>
      </c>
      <c r="G19" s="66">
        <v>32</v>
      </c>
      <c r="H19" s="66">
        <v>43</v>
      </c>
      <c r="I19" s="66">
        <v>54</v>
      </c>
      <c r="J19" s="66">
        <v>67</v>
      </c>
      <c r="K19" s="66">
        <v>81</v>
      </c>
      <c r="L19" s="66">
        <v>96</v>
      </c>
      <c r="M19" s="66">
        <v>112</v>
      </c>
      <c r="N19" s="66">
        <v>129</v>
      </c>
      <c r="O19" s="66">
        <v>147</v>
      </c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57"/>
    </row>
    <row r="20" spans="1:26">
      <c r="A20">
        <f t="shared" si="1"/>
        <v>15</v>
      </c>
      <c r="B20" s="656"/>
      <c r="D20" s="66">
        <v>8</v>
      </c>
      <c r="E20" s="66">
        <v>15</v>
      </c>
      <c r="F20" s="66">
        <v>23</v>
      </c>
      <c r="G20" s="66">
        <v>33</v>
      </c>
      <c r="H20" s="66">
        <v>44</v>
      </c>
      <c r="I20" s="66">
        <v>56</v>
      </c>
      <c r="J20" s="66">
        <v>69</v>
      </c>
      <c r="K20" s="66">
        <v>84</v>
      </c>
      <c r="L20" s="66">
        <v>99</v>
      </c>
      <c r="M20" s="66">
        <v>115</v>
      </c>
      <c r="N20" s="66">
        <v>133</v>
      </c>
      <c r="O20" s="66">
        <v>151</v>
      </c>
      <c r="P20" s="66">
        <v>171</v>
      </c>
      <c r="Q20" s="66"/>
      <c r="R20" s="66"/>
      <c r="S20" s="66"/>
      <c r="T20" s="66"/>
      <c r="U20" s="66"/>
      <c r="V20" s="66"/>
      <c r="W20" s="66"/>
      <c r="X20" s="66"/>
      <c r="Y20" s="66"/>
      <c r="Z20" s="657"/>
    </row>
    <row r="21" spans="1:26">
      <c r="A21">
        <f t="shared" si="1"/>
        <v>16</v>
      </c>
      <c r="B21" s="656"/>
      <c r="D21" s="66">
        <v>8</v>
      </c>
      <c r="E21" s="66">
        <v>15</v>
      </c>
      <c r="F21" s="66">
        <v>24</v>
      </c>
      <c r="G21" s="66">
        <v>34</v>
      </c>
      <c r="H21" s="66">
        <v>46</v>
      </c>
      <c r="I21" s="66">
        <v>58</v>
      </c>
      <c r="J21" s="66">
        <v>72</v>
      </c>
      <c r="K21" s="66">
        <v>86</v>
      </c>
      <c r="L21" s="66">
        <v>102</v>
      </c>
      <c r="M21" s="66">
        <v>119</v>
      </c>
      <c r="N21" s="66">
        <v>136</v>
      </c>
      <c r="O21" s="66">
        <v>155</v>
      </c>
      <c r="P21" s="66">
        <v>175</v>
      </c>
      <c r="Q21" s="66">
        <v>196</v>
      </c>
      <c r="R21" s="66"/>
      <c r="S21" s="66"/>
      <c r="T21" s="66"/>
      <c r="U21" s="66"/>
      <c r="V21" s="66"/>
      <c r="W21" s="66"/>
      <c r="X21" s="66"/>
      <c r="Y21" s="66"/>
      <c r="Z21" s="657"/>
    </row>
    <row r="22" spans="1:26">
      <c r="A22">
        <f t="shared" si="1"/>
        <v>17</v>
      </c>
      <c r="B22" s="656"/>
      <c r="D22" s="66">
        <v>8</v>
      </c>
      <c r="E22" s="66">
        <v>16</v>
      </c>
      <c r="F22" s="66">
        <v>25</v>
      </c>
      <c r="G22" s="66">
        <v>36</v>
      </c>
      <c r="H22" s="66">
        <v>47</v>
      </c>
      <c r="I22" s="66">
        <v>60</v>
      </c>
      <c r="J22" s="66">
        <v>74</v>
      </c>
      <c r="K22" s="66">
        <v>89</v>
      </c>
      <c r="L22" s="66">
        <v>105</v>
      </c>
      <c r="M22" s="66">
        <v>122</v>
      </c>
      <c r="N22" s="66">
        <v>140</v>
      </c>
      <c r="O22" s="66">
        <v>159</v>
      </c>
      <c r="P22" s="66">
        <v>180</v>
      </c>
      <c r="Q22" s="66">
        <v>201</v>
      </c>
      <c r="R22" s="66">
        <v>223</v>
      </c>
      <c r="S22" s="66"/>
      <c r="T22" s="66"/>
      <c r="U22" s="66"/>
      <c r="V22" s="66"/>
      <c r="W22" s="66"/>
      <c r="X22" s="66"/>
      <c r="Y22" s="66"/>
      <c r="Z22" s="657"/>
    </row>
    <row r="23" spans="1:26">
      <c r="A23">
        <f t="shared" si="1"/>
        <v>18</v>
      </c>
      <c r="B23" s="656"/>
      <c r="C23" s="95" t="s">
        <v>271</v>
      </c>
      <c r="D23" s="66">
        <v>8</v>
      </c>
      <c r="E23" s="66">
        <v>16</v>
      </c>
      <c r="F23" s="66">
        <v>26</v>
      </c>
      <c r="G23" s="66">
        <v>37</v>
      </c>
      <c r="H23" s="66">
        <v>49</v>
      </c>
      <c r="I23" s="66">
        <v>62</v>
      </c>
      <c r="J23" s="66">
        <v>76</v>
      </c>
      <c r="K23" s="66">
        <v>92</v>
      </c>
      <c r="L23" s="66">
        <v>108</v>
      </c>
      <c r="M23" s="66">
        <v>125</v>
      </c>
      <c r="N23" s="66">
        <v>144</v>
      </c>
      <c r="O23" s="66">
        <v>163</v>
      </c>
      <c r="P23" s="66">
        <v>184</v>
      </c>
      <c r="Q23" s="66">
        <v>206</v>
      </c>
      <c r="R23" s="66">
        <v>228</v>
      </c>
      <c r="S23" s="66">
        <v>252</v>
      </c>
      <c r="T23" s="66"/>
      <c r="U23" s="66"/>
      <c r="V23" s="66"/>
      <c r="W23" s="66"/>
      <c r="X23" s="66"/>
      <c r="Y23" s="66"/>
      <c r="Z23" s="657"/>
    </row>
    <row r="24" spans="1:26">
      <c r="A24">
        <f t="shared" si="1"/>
        <v>19</v>
      </c>
      <c r="B24" s="656"/>
      <c r="C24" s="66">
        <v>3</v>
      </c>
      <c r="D24" s="66">
        <v>9</v>
      </c>
      <c r="E24" s="66">
        <v>17</v>
      </c>
      <c r="F24" s="66">
        <v>27</v>
      </c>
      <c r="G24" s="66">
        <v>38</v>
      </c>
      <c r="H24" s="66">
        <v>50</v>
      </c>
      <c r="I24" s="66">
        <v>64</v>
      </c>
      <c r="J24" s="66">
        <v>78</v>
      </c>
      <c r="K24" s="66">
        <v>94</v>
      </c>
      <c r="L24" s="66">
        <v>111</v>
      </c>
      <c r="M24" s="66">
        <v>129</v>
      </c>
      <c r="N24" s="66">
        <v>148</v>
      </c>
      <c r="O24" s="66">
        <v>168</v>
      </c>
      <c r="P24" s="66">
        <v>189</v>
      </c>
      <c r="Q24" s="66">
        <v>210</v>
      </c>
      <c r="R24" s="66">
        <v>234</v>
      </c>
      <c r="S24" s="66">
        <v>258</v>
      </c>
      <c r="T24" s="66">
        <v>283</v>
      </c>
      <c r="U24" s="66"/>
      <c r="V24" s="66"/>
      <c r="W24" s="66"/>
      <c r="X24" s="66"/>
      <c r="Y24" s="66"/>
      <c r="Z24" s="657"/>
    </row>
    <row r="25" spans="1:26">
      <c r="A25">
        <f t="shared" si="1"/>
        <v>20</v>
      </c>
      <c r="B25" s="656"/>
      <c r="C25" s="66">
        <v>3</v>
      </c>
      <c r="D25" s="66">
        <v>9</v>
      </c>
      <c r="E25" s="66">
        <v>18</v>
      </c>
      <c r="F25" s="66">
        <v>28</v>
      </c>
      <c r="G25" s="66">
        <v>39</v>
      </c>
      <c r="H25" s="66">
        <v>52</v>
      </c>
      <c r="I25" s="66">
        <v>66</v>
      </c>
      <c r="J25" s="66">
        <v>81</v>
      </c>
      <c r="K25" s="66">
        <v>97</v>
      </c>
      <c r="L25" s="66">
        <v>114</v>
      </c>
      <c r="M25" s="66">
        <v>132</v>
      </c>
      <c r="N25" s="66">
        <v>151</v>
      </c>
      <c r="O25" s="66">
        <v>172</v>
      </c>
      <c r="P25" s="66">
        <v>193</v>
      </c>
      <c r="Q25" s="66">
        <v>215</v>
      </c>
      <c r="R25" s="66">
        <v>239</v>
      </c>
      <c r="S25" s="66">
        <v>263</v>
      </c>
      <c r="T25" s="66">
        <v>289</v>
      </c>
      <c r="U25" s="66">
        <v>315</v>
      </c>
      <c r="V25" s="66"/>
      <c r="W25" s="66"/>
      <c r="X25" s="66"/>
      <c r="Y25" s="66"/>
      <c r="Z25" s="657"/>
    </row>
    <row r="26" spans="1:26">
      <c r="A26">
        <f t="shared" si="1"/>
        <v>21</v>
      </c>
      <c r="B26" s="656"/>
      <c r="C26" s="66">
        <v>3</v>
      </c>
      <c r="D26" s="66">
        <v>9</v>
      </c>
      <c r="E26" s="66">
        <v>18</v>
      </c>
      <c r="F26" s="66">
        <v>29</v>
      </c>
      <c r="G26" s="66">
        <v>40</v>
      </c>
      <c r="H26" s="66">
        <v>53</v>
      </c>
      <c r="I26" s="66">
        <v>68</v>
      </c>
      <c r="J26" s="66">
        <v>83</v>
      </c>
      <c r="K26" s="66">
        <v>99</v>
      </c>
      <c r="L26" s="66">
        <v>117</v>
      </c>
      <c r="M26" s="66">
        <v>136</v>
      </c>
      <c r="N26" s="66">
        <v>155</v>
      </c>
      <c r="O26" s="66">
        <v>176</v>
      </c>
      <c r="P26" s="66">
        <v>198</v>
      </c>
      <c r="Q26" s="66">
        <v>220</v>
      </c>
      <c r="R26" s="66">
        <v>244</v>
      </c>
      <c r="S26" s="66">
        <v>269</v>
      </c>
      <c r="T26" s="66">
        <v>295</v>
      </c>
      <c r="U26" s="66">
        <v>322</v>
      </c>
      <c r="V26" s="66">
        <v>349</v>
      </c>
      <c r="W26" s="66"/>
      <c r="X26" s="66"/>
      <c r="Y26" s="66"/>
      <c r="Z26" s="657"/>
    </row>
    <row r="27" spans="1:26">
      <c r="A27">
        <f t="shared" si="1"/>
        <v>22</v>
      </c>
      <c r="B27" s="656"/>
      <c r="C27" s="66">
        <v>3</v>
      </c>
      <c r="D27" s="66">
        <v>10</v>
      </c>
      <c r="E27" s="66">
        <v>19</v>
      </c>
      <c r="F27" s="66">
        <v>29</v>
      </c>
      <c r="G27" s="66">
        <v>42</v>
      </c>
      <c r="H27" s="66">
        <v>55</v>
      </c>
      <c r="I27" s="66">
        <v>70</v>
      </c>
      <c r="J27" s="66">
        <v>85</v>
      </c>
      <c r="K27" s="66">
        <v>102</v>
      </c>
      <c r="L27" s="66">
        <v>129</v>
      </c>
      <c r="M27" s="66">
        <v>139</v>
      </c>
      <c r="N27" s="66">
        <v>159</v>
      </c>
      <c r="O27" s="66">
        <v>180</v>
      </c>
      <c r="P27" s="66">
        <v>202</v>
      </c>
      <c r="Q27" s="66">
        <v>225</v>
      </c>
      <c r="R27" s="66">
        <v>249</v>
      </c>
      <c r="S27" s="66">
        <v>275</v>
      </c>
      <c r="T27" s="66">
        <v>301</v>
      </c>
      <c r="U27" s="66">
        <v>328</v>
      </c>
      <c r="V27" s="66">
        <v>356</v>
      </c>
      <c r="W27" s="66">
        <v>386</v>
      </c>
      <c r="X27" s="66"/>
      <c r="Y27" s="66"/>
      <c r="Z27" s="657"/>
    </row>
    <row r="28" spans="1:26">
      <c r="A28">
        <f t="shared" si="1"/>
        <v>23</v>
      </c>
      <c r="B28" s="656"/>
      <c r="C28" s="66">
        <v>3</v>
      </c>
      <c r="D28" s="66">
        <v>10</v>
      </c>
      <c r="E28" s="66">
        <v>19</v>
      </c>
      <c r="F28" s="66">
        <v>30</v>
      </c>
      <c r="G28" s="66">
        <v>43</v>
      </c>
      <c r="H28" s="66">
        <v>57</v>
      </c>
      <c r="I28" s="66">
        <v>71</v>
      </c>
      <c r="J28" s="66">
        <v>88</v>
      </c>
      <c r="K28" s="66">
        <v>105</v>
      </c>
      <c r="L28" s="66">
        <v>123</v>
      </c>
      <c r="M28" s="66">
        <v>142</v>
      </c>
      <c r="N28" s="66">
        <v>163</v>
      </c>
      <c r="O28" s="66">
        <v>184</v>
      </c>
      <c r="P28" s="66">
        <v>207</v>
      </c>
      <c r="Q28" s="66">
        <v>230</v>
      </c>
      <c r="R28" s="66">
        <v>255</v>
      </c>
      <c r="S28" s="66">
        <v>280</v>
      </c>
      <c r="T28" s="66">
        <v>307</v>
      </c>
      <c r="U28" s="66">
        <v>335</v>
      </c>
      <c r="V28" s="66">
        <v>363</v>
      </c>
      <c r="W28" s="66">
        <v>393</v>
      </c>
      <c r="X28" s="66">
        <v>424</v>
      </c>
      <c r="Y28" s="66"/>
      <c r="Z28" s="657"/>
    </row>
    <row r="29" spans="1:26">
      <c r="A29">
        <f t="shared" si="1"/>
        <v>24</v>
      </c>
      <c r="B29" s="656"/>
      <c r="C29" s="66">
        <v>3</v>
      </c>
      <c r="D29" s="66">
        <v>10</v>
      </c>
      <c r="E29" s="66">
        <v>20</v>
      </c>
      <c r="F29" s="66">
        <v>31</v>
      </c>
      <c r="G29" s="66">
        <v>44</v>
      </c>
      <c r="H29" s="66">
        <v>58</v>
      </c>
      <c r="I29" s="66">
        <v>73</v>
      </c>
      <c r="J29" s="66">
        <v>90</v>
      </c>
      <c r="K29" s="66">
        <v>107</v>
      </c>
      <c r="L29" s="66">
        <v>126</v>
      </c>
      <c r="M29" s="66">
        <v>146</v>
      </c>
      <c r="N29" s="66">
        <v>166</v>
      </c>
      <c r="O29" s="66">
        <v>188</v>
      </c>
      <c r="P29" s="66">
        <v>211</v>
      </c>
      <c r="Q29" s="66">
        <v>235</v>
      </c>
      <c r="R29" s="66">
        <v>260</v>
      </c>
      <c r="S29" s="66">
        <v>286</v>
      </c>
      <c r="T29" s="66">
        <v>313</v>
      </c>
      <c r="U29" s="66">
        <v>341</v>
      </c>
      <c r="V29" s="66">
        <v>370</v>
      </c>
      <c r="W29" s="66">
        <v>400</v>
      </c>
      <c r="X29" s="66">
        <v>431</v>
      </c>
      <c r="Y29" s="66">
        <v>464</v>
      </c>
      <c r="Z29" s="657"/>
    </row>
    <row r="30" spans="1:26">
      <c r="A30">
        <f t="shared" si="1"/>
        <v>25</v>
      </c>
      <c r="B30" s="893" t="s">
        <v>271</v>
      </c>
      <c r="C30" s="11">
        <v>3</v>
      </c>
      <c r="D30" s="11">
        <v>11</v>
      </c>
      <c r="E30" s="11">
        <v>20</v>
      </c>
      <c r="F30" s="11">
        <v>32</v>
      </c>
      <c r="G30" s="11">
        <v>45</v>
      </c>
      <c r="H30" s="11">
        <v>60</v>
      </c>
      <c r="I30" s="11">
        <v>75</v>
      </c>
      <c r="J30" s="11">
        <v>92</v>
      </c>
      <c r="K30" s="11">
        <v>110</v>
      </c>
      <c r="L30" s="11">
        <v>129</v>
      </c>
      <c r="M30" s="11">
        <v>149</v>
      </c>
      <c r="N30" s="11">
        <v>170</v>
      </c>
      <c r="O30" s="11">
        <v>192</v>
      </c>
      <c r="P30" s="11">
        <v>216</v>
      </c>
      <c r="Q30" s="11">
        <v>240</v>
      </c>
      <c r="R30" s="11">
        <v>265</v>
      </c>
      <c r="S30" s="11">
        <v>292</v>
      </c>
      <c r="T30" s="11">
        <v>319</v>
      </c>
      <c r="U30" s="11">
        <v>348</v>
      </c>
      <c r="V30" s="11">
        <v>377</v>
      </c>
      <c r="W30" s="11">
        <v>408</v>
      </c>
      <c r="X30" s="11">
        <v>439</v>
      </c>
      <c r="Y30" s="11">
        <v>472</v>
      </c>
      <c r="Z30" s="541">
        <v>505</v>
      </c>
    </row>
    <row r="32" spans="1:26">
      <c r="A32" s="1" t="s">
        <v>1966</v>
      </c>
    </row>
    <row r="34" spans="1:26" ht="23.4">
      <c r="A34" s="858" t="s">
        <v>270</v>
      </c>
      <c r="B34">
        <v>1</v>
      </c>
      <c r="C34">
        <f t="shared" ref="C34:Z34" si="2">B34+1</f>
        <v>2</v>
      </c>
      <c r="D34">
        <f t="shared" si="2"/>
        <v>3</v>
      </c>
      <c r="E34">
        <f t="shared" si="2"/>
        <v>4</v>
      </c>
      <c r="F34">
        <f t="shared" si="2"/>
        <v>5</v>
      </c>
      <c r="G34">
        <f t="shared" si="2"/>
        <v>6</v>
      </c>
      <c r="H34">
        <f t="shared" si="2"/>
        <v>7</v>
      </c>
      <c r="I34">
        <f t="shared" si="2"/>
        <v>8</v>
      </c>
      <c r="J34">
        <f t="shared" si="2"/>
        <v>9</v>
      </c>
      <c r="K34">
        <f t="shared" si="2"/>
        <v>10</v>
      </c>
      <c r="L34">
        <f t="shared" si="2"/>
        <v>11</v>
      </c>
      <c r="M34">
        <f t="shared" si="2"/>
        <v>12</v>
      </c>
      <c r="N34">
        <f t="shared" si="2"/>
        <v>13</v>
      </c>
      <c r="O34">
        <f t="shared" si="2"/>
        <v>14</v>
      </c>
      <c r="P34">
        <f t="shared" si="2"/>
        <v>15</v>
      </c>
      <c r="Q34">
        <f t="shared" si="2"/>
        <v>16</v>
      </c>
      <c r="R34">
        <f t="shared" si="2"/>
        <v>17</v>
      </c>
      <c r="S34">
        <f t="shared" si="2"/>
        <v>18</v>
      </c>
      <c r="T34">
        <f t="shared" si="2"/>
        <v>19</v>
      </c>
      <c r="U34">
        <f t="shared" si="2"/>
        <v>20</v>
      </c>
      <c r="V34">
        <f t="shared" si="2"/>
        <v>21</v>
      </c>
      <c r="W34">
        <f t="shared" si="2"/>
        <v>22</v>
      </c>
      <c r="X34">
        <f t="shared" si="2"/>
        <v>23</v>
      </c>
      <c r="Y34">
        <f t="shared" si="2"/>
        <v>24</v>
      </c>
      <c r="Z34">
        <f t="shared" si="2"/>
        <v>25</v>
      </c>
    </row>
    <row r="35" spans="1:26">
      <c r="A35">
        <v>1</v>
      </c>
      <c r="B35" s="86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866"/>
    </row>
    <row r="36" spans="1:26">
      <c r="A36">
        <f>A35+1</f>
        <v>2</v>
      </c>
      <c r="B36" s="656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657"/>
    </row>
    <row r="37" spans="1:26">
      <c r="A37">
        <f t="shared" ref="A37:A59" si="3">A36+1</f>
        <v>3</v>
      </c>
      <c r="B37" s="656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657"/>
    </row>
    <row r="38" spans="1:26">
      <c r="A38">
        <f t="shared" si="3"/>
        <v>4</v>
      </c>
      <c r="B38" s="656"/>
      <c r="D38" s="8"/>
      <c r="E38" s="95" t="s">
        <v>274</v>
      </c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657"/>
    </row>
    <row r="39" spans="1:26">
      <c r="A39">
        <f t="shared" si="3"/>
        <v>5</v>
      </c>
      <c r="B39" s="656"/>
      <c r="D39" s="8"/>
      <c r="E39" s="8">
        <v>10</v>
      </c>
      <c r="F39" s="66">
        <v>16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657"/>
    </row>
    <row r="40" spans="1:26">
      <c r="A40">
        <f t="shared" si="3"/>
        <v>6</v>
      </c>
      <c r="B40" s="656"/>
      <c r="D40" s="95" t="s">
        <v>274</v>
      </c>
      <c r="E40" s="66">
        <v>11</v>
      </c>
      <c r="F40" s="66">
        <v>17</v>
      </c>
      <c r="G40" s="66">
        <v>24</v>
      </c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657"/>
    </row>
    <row r="41" spans="1:26">
      <c r="A41">
        <f t="shared" si="3"/>
        <v>7</v>
      </c>
      <c r="B41" s="656"/>
      <c r="D41" s="66">
        <v>6</v>
      </c>
      <c r="E41" s="66">
        <v>11</v>
      </c>
      <c r="F41" s="66">
        <v>18</v>
      </c>
      <c r="G41" s="66">
        <v>25</v>
      </c>
      <c r="H41" s="66">
        <v>34</v>
      </c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657"/>
    </row>
    <row r="42" spans="1:26">
      <c r="A42">
        <f t="shared" si="3"/>
        <v>8</v>
      </c>
      <c r="B42" s="656"/>
      <c r="D42" s="66">
        <v>6</v>
      </c>
      <c r="E42" s="66">
        <v>12</v>
      </c>
      <c r="F42" s="66">
        <v>19</v>
      </c>
      <c r="G42" s="66">
        <v>27</v>
      </c>
      <c r="H42" s="66">
        <v>35</v>
      </c>
      <c r="I42" s="66">
        <v>45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657"/>
    </row>
    <row r="43" spans="1:26">
      <c r="A43">
        <f t="shared" si="3"/>
        <v>9</v>
      </c>
      <c r="B43" s="656"/>
      <c r="D43" s="66">
        <v>7</v>
      </c>
      <c r="E43" s="66">
        <v>13</v>
      </c>
      <c r="F43" s="66">
        <v>20</v>
      </c>
      <c r="G43" s="66">
        <v>28</v>
      </c>
      <c r="H43" s="66">
        <v>37</v>
      </c>
      <c r="I43" s="66">
        <v>47</v>
      </c>
      <c r="J43" s="66">
        <v>59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657"/>
    </row>
    <row r="44" spans="1:26">
      <c r="A44">
        <f t="shared" si="3"/>
        <v>10</v>
      </c>
      <c r="B44" s="656"/>
      <c r="D44" s="66">
        <v>7</v>
      </c>
      <c r="E44" s="66">
        <v>13</v>
      </c>
      <c r="F44" s="66">
        <v>21</v>
      </c>
      <c r="G44" s="66">
        <v>29</v>
      </c>
      <c r="H44" s="66">
        <v>39</v>
      </c>
      <c r="I44" s="66">
        <v>49</v>
      </c>
      <c r="J44" s="66">
        <v>61</v>
      </c>
      <c r="K44" s="66">
        <v>74</v>
      </c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657"/>
    </row>
    <row r="45" spans="1:26">
      <c r="A45">
        <f t="shared" si="3"/>
        <v>11</v>
      </c>
      <c r="B45" s="656"/>
      <c r="D45" s="66">
        <v>7</v>
      </c>
      <c r="E45" s="66">
        <v>14</v>
      </c>
      <c r="F45" s="66">
        <v>22</v>
      </c>
      <c r="G45" s="66">
        <v>30</v>
      </c>
      <c r="H45" s="66">
        <v>40</v>
      </c>
      <c r="I45" s="66">
        <v>51</v>
      </c>
      <c r="J45" s="66">
        <v>63</v>
      </c>
      <c r="K45" s="66">
        <v>77</v>
      </c>
      <c r="L45" s="66">
        <v>91</v>
      </c>
      <c r="M45" s="8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57"/>
    </row>
    <row r="46" spans="1:26">
      <c r="A46">
        <f t="shared" si="3"/>
        <v>12</v>
      </c>
      <c r="B46" s="656"/>
      <c r="C46" s="19" t="s">
        <v>274</v>
      </c>
      <c r="D46" s="66">
        <v>8</v>
      </c>
      <c r="E46" s="66">
        <v>15</v>
      </c>
      <c r="F46" s="66">
        <v>23</v>
      </c>
      <c r="G46" s="66">
        <v>32</v>
      </c>
      <c r="H46" s="66">
        <v>42</v>
      </c>
      <c r="I46" s="66">
        <v>53</v>
      </c>
      <c r="J46" s="66">
        <v>66</v>
      </c>
      <c r="K46" s="66">
        <v>79</v>
      </c>
      <c r="L46" s="66">
        <v>94</v>
      </c>
      <c r="M46" s="66">
        <v>109</v>
      </c>
      <c r="N46" s="66"/>
      <c r="O46" s="66"/>
      <c r="P46" s="66"/>
      <c r="Q46" s="66"/>
      <c r="R46" s="66"/>
      <c r="S46" s="66"/>
      <c r="T46" s="66"/>
      <c r="U46" s="66"/>
      <c r="V46" s="66"/>
      <c r="W46" s="66"/>
      <c r="X46" s="66"/>
      <c r="Y46" s="66"/>
      <c r="Z46" s="657"/>
    </row>
    <row r="47" spans="1:26">
      <c r="A47">
        <f t="shared" si="3"/>
        <v>13</v>
      </c>
      <c r="B47" s="656"/>
      <c r="C47" s="66">
        <v>3</v>
      </c>
      <c r="D47" s="66">
        <v>8</v>
      </c>
      <c r="E47" s="66">
        <v>15</v>
      </c>
      <c r="F47" s="66">
        <v>24</v>
      </c>
      <c r="G47" s="66">
        <v>33</v>
      </c>
      <c r="H47" s="66">
        <v>44</v>
      </c>
      <c r="I47" s="66">
        <v>56</v>
      </c>
      <c r="J47" s="66">
        <v>68</v>
      </c>
      <c r="K47" s="66">
        <v>82</v>
      </c>
      <c r="L47" s="66">
        <v>97</v>
      </c>
      <c r="M47" s="66">
        <v>113</v>
      </c>
      <c r="N47" s="66">
        <v>130</v>
      </c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57"/>
    </row>
    <row r="48" spans="1:26">
      <c r="A48">
        <f t="shared" si="3"/>
        <v>14</v>
      </c>
      <c r="B48" s="656"/>
      <c r="C48" s="66">
        <v>3</v>
      </c>
      <c r="D48" s="66">
        <v>8</v>
      </c>
      <c r="E48" s="66">
        <v>16</v>
      </c>
      <c r="F48" s="66">
        <v>25</v>
      </c>
      <c r="G48" s="66">
        <v>34</v>
      </c>
      <c r="H48" s="66">
        <v>45</v>
      </c>
      <c r="I48" s="66">
        <v>58</v>
      </c>
      <c r="J48" s="66">
        <v>71</v>
      </c>
      <c r="K48" s="66">
        <v>85</v>
      </c>
      <c r="L48" s="66">
        <v>100</v>
      </c>
      <c r="M48" s="66">
        <v>116</v>
      </c>
      <c r="N48" s="66">
        <v>134</v>
      </c>
      <c r="O48" s="66">
        <v>152</v>
      </c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57"/>
    </row>
    <row r="49" spans="1:26">
      <c r="A49">
        <f t="shared" si="3"/>
        <v>15</v>
      </c>
      <c r="B49" s="656"/>
      <c r="C49" s="66">
        <v>3</v>
      </c>
      <c r="D49" s="66">
        <v>9</v>
      </c>
      <c r="E49" s="66">
        <v>17</v>
      </c>
      <c r="F49" s="66">
        <v>26</v>
      </c>
      <c r="G49" s="66">
        <v>36</v>
      </c>
      <c r="H49" s="66">
        <v>47</v>
      </c>
      <c r="I49" s="66">
        <v>60</v>
      </c>
      <c r="J49" s="66">
        <v>73</v>
      </c>
      <c r="K49" s="66">
        <v>88</v>
      </c>
      <c r="L49" s="66">
        <v>103</v>
      </c>
      <c r="M49" s="66">
        <v>120</v>
      </c>
      <c r="N49" s="66">
        <v>138</v>
      </c>
      <c r="O49" s="66">
        <v>156</v>
      </c>
      <c r="P49" s="66">
        <v>176</v>
      </c>
      <c r="Q49" s="66"/>
      <c r="R49" s="66"/>
      <c r="S49" s="66"/>
      <c r="T49" s="66"/>
      <c r="U49" s="66"/>
      <c r="V49" s="66"/>
      <c r="W49" s="66"/>
      <c r="X49" s="66"/>
      <c r="Y49" s="66"/>
      <c r="Z49" s="657"/>
    </row>
    <row r="50" spans="1:26">
      <c r="A50">
        <f t="shared" si="3"/>
        <v>16</v>
      </c>
      <c r="B50" s="656"/>
      <c r="C50" s="66">
        <v>3</v>
      </c>
      <c r="D50" s="66">
        <v>9</v>
      </c>
      <c r="E50" s="66">
        <v>17</v>
      </c>
      <c r="F50" s="66">
        <v>27</v>
      </c>
      <c r="G50" s="66">
        <v>37</v>
      </c>
      <c r="H50" s="66">
        <v>49</v>
      </c>
      <c r="I50" s="66">
        <v>62</v>
      </c>
      <c r="J50" s="66">
        <v>76</v>
      </c>
      <c r="K50" s="66">
        <v>91</v>
      </c>
      <c r="L50" s="66">
        <v>107</v>
      </c>
      <c r="M50" s="66">
        <v>124</v>
      </c>
      <c r="N50" s="66">
        <v>142</v>
      </c>
      <c r="O50" s="66">
        <v>161</v>
      </c>
      <c r="P50" s="66">
        <v>181</v>
      </c>
      <c r="Q50" s="66">
        <v>202</v>
      </c>
      <c r="R50" s="66"/>
      <c r="S50" s="66"/>
      <c r="T50" s="66"/>
      <c r="U50" s="66"/>
      <c r="V50" s="66"/>
      <c r="W50" s="66"/>
      <c r="X50" s="66"/>
      <c r="Y50" s="66"/>
      <c r="Z50" s="657"/>
    </row>
    <row r="51" spans="1:26">
      <c r="A51">
        <f t="shared" si="3"/>
        <v>17</v>
      </c>
      <c r="B51" s="656"/>
      <c r="C51" s="66">
        <v>3</v>
      </c>
      <c r="D51" s="66">
        <v>10</v>
      </c>
      <c r="E51" s="66">
        <v>18</v>
      </c>
      <c r="F51" s="66">
        <v>28</v>
      </c>
      <c r="G51" s="66">
        <v>39</v>
      </c>
      <c r="H51" s="66">
        <v>51</v>
      </c>
      <c r="I51" s="66">
        <v>64</v>
      </c>
      <c r="J51" s="66">
        <v>78</v>
      </c>
      <c r="K51" s="66">
        <v>93</v>
      </c>
      <c r="L51" s="66">
        <v>110</v>
      </c>
      <c r="M51" s="66">
        <v>127</v>
      </c>
      <c r="N51" s="66">
        <v>146</v>
      </c>
      <c r="O51" s="66">
        <v>165</v>
      </c>
      <c r="P51" s="66">
        <v>186</v>
      </c>
      <c r="Q51" s="66">
        <v>207</v>
      </c>
      <c r="R51" s="66">
        <v>230</v>
      </c>
      <c r="S51" s="66"/>
      <c r="T51" s="66"/>
      <c r="U51" s="66"/>
      <c r="V51" s="66"/>
      <c r="W51" s="66"/>
      <c r="X51" s="66"/>
      <c r="Y51" s="66"/>
      <c r="Z51" s="657"/>
    </row>
    <row r="52" spans="1:26">
      <c r="A52">
        <f t="shared" si="3"/>
        <v>18</v>
      </c>
      <c r="B52" s="656"/>
      <c r="C52" s="66">
        <v>3</v>
      </c>
      <c r="D52" s="66">
        <v>10</v>
      </c>
      <c r="E52" s="66">
        <v>19</v>
      </c>
      <c r="F52" s="66">
        <v>29</v>
      </c>
      <c r="G52" s="66">
        <v>40</v>
      </c>
      <c r="H52" s="66">
        <v>52</v>
      </c>
      <c r="I52" s="66">
        <v>66</v>
      </c>
      <c r="J52" s="66">
        <v>81</v>
      </c>
      <c r="K52" s="66">
        <v>96</v>
      </c>
      <c r="L52" s="66">
        <v>113</v>
      </c>
      <c r="M52" s="66">
        <v>131</v>
      </c>
      <c r="N52" s="66">
        <v>150</v>
      </c>
      <c r="O52" s="66">
        <v>170</v>
      </c>
      <c r="P52" s="66">
        <v>190</v>
      </c>
      <c r="Q52" s="66">
        <v>212</v>
      </c>
      <c r="R52" s="66">
        <v>235</v>
      </c>
      <c r="S52" s="66">
        <v>259</v>
      </c>
      <c r="T52" s="66"/>
      <c r="U52" s="66"/>
      <c r="V52" s="66"/>
      <c r="W52" s="66"/>
      <c r="X52" s="66"/>
      <c r="Y52" s="66"/>
      <c r="Z52" s="657"/>
    </row>
    <row r="53" spans="1:26">
      <c r="A53">
        <f t="shared" si="3"/>
        <v>19</v>
      </c>
      <c r="B53" s="656"/>
      <c r="C53" s="66">
        <v>4</v>
      </c>
      <c r="D53" s="66">
        <v>10</v>
      </c>
      <c r="E53" s="66">
        <v>19</v>
      </c>
      <c r="F53" s="66">
        <v>30</v>
      </c>
      <c r="G53" s="66">
        <v>41</v>
      </c>
      <c r="H53" s="66">
        <v>54</v>
      </c>
      <c r="I53" s="66">
        <v>68</v>
      </c>
      <c r="J53" s="66">
        <v>83</v>
      </c>
      <c r="K53" s="66">
        <v>99</v>
      </c>
      <c r="L53" s="66">
        <v>116</v>
      </c>
      <c r="M53" s="66">
        <v>134</v>
      </c>
      <c r="N53" s="66">
        <v>154</v>
      </c>
      <c r="O53" s="66">
        <v>174</v>
      </c>
      <c r="P53" s="66">
        <v>195</v>
      </c>
      <c r="Q53" s="66">
        <v>218</v>
      </c>
      <c r="R53" s="66">
        <v>241</v>
      </c>
      <c r="S53" s="66">
        <v>265</v>
      </c>
      <c r="T53" s="66">
        <v>291</v>
      </c>
      <c r="U53" s="66"/>
      <c r="V53" s="66"/>
      <c r="W53" s="66"/>
      <c r="X53" s="66"/>
      <c r="Y53" s="66"/>
      <c r="Z53" s="657"/>
    </row>
    <row r="54" spans="1:26">
      <c r="A54">
        <f t="shared" si="3"/>
        <v>20</v>
      </c>
      <c r="B54" s="656"/>
      <c r="C54" s="66">
        <v>4</v>
      </c>
      <c r="D54" s="66">
        <v>11</v>
      </c>
      <c r="E54" s="66">
        <v>20</v>
      </c>
      <c r="F54" s="66">
        <v>31</v>
      </c>
      <c r="G54" s="66">
        <v>43</v>
      </c>
      <c r="H54" s="66">
        <v>56</v>
      </c>
      <c r="I54" s="66">
        <v>70</v>
      </c>
      <c r="J54" s="66">
        <v>85</v>
      </c>
      <c r="K54" s="66">
        <v>102</v>
      </c>
      <c r="L54" s="66">
        <v>119</v>
      </c>
      <c r="M54" s="66">
        <v>138</v>
      </c>
      <c r="N54" s="66">
        <v>158</v>
      </c>
      <c r="O54" s="66">
        <v>178</v>
      </c>
      <c r="P54" s="66">
        <v>200</v>
      </c>
      <c r="Q54" s="66">
        <v>223</v>
      </c>
      <c r="R54" s="66">
        <v>246</v>
      </c>
      <c r="S54" s="66">
        <v>271</v>
      </c>
      <c r="T54" s="66">
        <v>297</v>
      </c>
      <c r="U54" s="66">
        <v>324</v>
      </c>
      <c r="V54" s="66"/>
      <c r="W54" s="66"/>
      <c r="X54" s="66"/>
      <c r="Y54" s="66"/>
      <c r="Z54" s="657"/>
    </row>
    <row r="55" spans="1:26">
      <c r="A55">
        <f t="shared" si="3"/>
        <v>21</v>
      </c>
      <c r="B55" s="656"/>
      <c r="C55" s="66">
        <v>4</v>
      </c>
      <c r="D55" s="66">
        <v>11</v>
      </c>
      <c r="E55" s="66">
        <v>21</v>
      </c>
      <c r="F55" s="66">
        <v>32</v>
      </c>
      <c r="G55" s="66">
        <v>44</v>
      </c>
      <c r="H55" s="66">
        <v>58</v>
      </c>
      <c r="I55" s="66">
        <v>72</v>
      </c>
      <c r="J55" s="66">
        <v>88</v>
      </c>
      <c r="K55" s="66">
        <v>105</v>
      </c>
      <c r="L55" s="66">
        <v>123</v>
      </c>
      <c r="M55" s="66">
        <v>142</v>
      </c>
      <c r="N55" s="66">
        <v>162</v>
      </c>
      <c r="O55" s="66">
        <v>183</v>
      </c>
      <c r="P55" s="66">
        <v>205</v>
      </c>
      <c r="Q55" s="66">
        <v>228</v>
      </c>
      <c r="R55" s="66">
        <v>252</v>
      </c>
      <c r="S55" s="66">
        <v>277</v>
      </c>
      <c r="T55" s="66">
        <v>303</v>
      </c>
      <c r="U55" s="66">
        <v>331</v>
      </c>
      <c r="V55" s="66">
        <v>359</v>
      </c>
      <c r="W55" s="66"/>
      <c r="X55" s="66"/>
      <c r="Y55" s="66"/>
      <c r="Z55" s="657"/>
    </row>
    <row r="56" spans="1:26">
      <c r="A56">
        <f t="shared" si="3"/>
        <v>22</v>
      </c>
      <c r="B56" s="656"/>
      <c r="C56" s="66">
        <v>4</v>
      </c>
      <c r="D56" s="66">
        <v>12</v>
      </c>
      <c r="E56" s="66">
        <v>21</v>
      </c>
      <c r="F56" s="66">
        <v>33</v>
      </c>
      <c r="G56" s="66">
        <v>45</v>
      </c>
      <c r="H56" s="66">
        <v>59</v>
      </c>
      <c r="I56" s="66">
        <v>74</v>
      </c>
      <c r="J56" s="66">
        <v>90</v>
      </c>
      <c r="K56" s="66">
        <v>108</v>
      </c>
      <c r="L56" s="66">
        <v>126</v>
      </c>
      <c r="M56" s="66">
        <v>145</v>
      </c>
      <c r="N56" s="66">
        <v>166</v>
      </c>
      <c r="O56" s="66">
        <v>187</v>
      </c>
      <c r="P56" s="66">
        <v>210</v>
      </c>
      <c r="Q56" s="66">
        <v>233</v>
      </c>
      <c r="R56" s="66">
        <v>258</v>
      </c>
      <c r="S56" s="66">
        <v>283</v>
      </c>
      <c r="T56" s="66">
        <v>310</v>
      </c>
      <c r="U56" s="66">
        <v>337</v>
      </c>
      <c r="V56" s="66">
        <v>366</v>
      </c>
      <c r="W56" s="66">
        <v>396</v>
      </c>
      <c r="X56" s="66"/>
      <c r="Y56" s="66"/>
      <c r="Z56" s="657"/>
    </row>
    <row r="57" spans="1:26">
      <c r="A57">
        <f t="shared" si="3"/>
        <v>23</v>
      </c>
      <c r="B57" s="656"/>
      <c r="C57" s="66">
        <v>4</v>
      </c>
      <c r="D57" s="66">
        <v>12</v>
      </c>
      <c r="E57" s="66">
        <v>22</v>
      </c>
      <c r="F57" s="66">
        <v>34</v>
      </c>
      <c r="G57" s="66">
        <v>47</v>
      </c>
      <c r="H57" s="66">
        <v>61</v>
      </c>
      <c r="I57" s="66">
        <v>76</v>
      </c>
      <c r="J57" s="66">
        <v>93</v>
      </c>
      <c r="K57" s="66">
        <v>110</v>
      </c>
      <c r="L57" s="66">
        <v>129</v>
      </c>
      <c r="M57" s="66">
        <v>149</v>
      </c>
      <c r="N57" s="66">
        <v>170</v>
      </c>
      <c r="O57" s="66">
        <v>192</v>
      </c>
      <c r="P57" s="66">
        <v>214</v>
      </c>
      <c r="Q57" s="66">
        <v>238</v>
      </c>
      <c r="R57" s="66">
        <v>263</v>
      </c>
      <c r="S57" s="66">
        <v>289</v>
      </c>
      <c r="T57" s="66">
        <v>316</v>
      </c>
      <c r="U57" s="66">
        <v>344</v>
      </c>
      <c r="V57" s="66">
        <v>373</v>
      </c>
      <c r="W57" s="66">
        <v>403</v>
      </c>
      <c r="X57" s="66">
        <v>434</v>
      </c>
      <c r="Y57" s="66"/>
      <c r="Z57" s="657"/>
    </row>
    <row r="58" spans="1:26">
      <c r="A58">
        <f t="shared" si="3"/>
        <v>24</v>
      </c>
      <c r="B58" s="656"/>
      <c r="C58" s="66">
        <v>4</v>
      </c>
      <c r="D58" s="66">
        <v>12</v>
      </c>
      <c r="E58" s="66">
        <v>23</v>
      </c>
      <c r="F58" s="66">
        <v>35</v>
      </c>
      <c r="G58" s="66">
        <v>48</v>
      </c>
      <c r="H58" s="66">
        <v>63</v>
      </c>
      <c r="I58" s="66">
        <v>78</v>
      </c>
      <c r="J58" s="66">
        <v>95</v>
      </c>
      <c r="K58" s="66">
        <v>113</v>
      </c>
      <c r="L58" s="66">
        <v>132</v>
      </c>
      <c r="M58" s="66">
        <v>153</v>
      </c>
      <c r="N58" s="66">
        <v>174</v>
      </c>
      <c r="O58" s="66">
        <v>196</v>
      </c>
      <c r="P58" s="66">
        <v>219</v>
      </c>
      <c r="Q58" s="66">
        <v>244</v>
      </c>
      <c r="R58" s="66">
        <v>269</v>
      </c>
      <c r="S58" s="66">
        <v>295</v>
      </c>
      <c r="T58" s="66">
        <v>323</v>
      </c>
      <c r="U58" s="66">
        <v>351</v>
      </c>
      <c r="V58" s="66">
        <v>381</v>
      </c>
      <c r="W58" s="66">
        <v>411</v>
      </c>
      <c r="X58" s="66">
        <v>443</v>
      </c>
      <c r="Y58" s="66">
        <v>475</v>
      </c>
      <c r="Z58" s="657"/>
    </row>
    <row r="59" spans="1:26">
      <c r="A59">
        <f t="shared" si="3"/>
        <v>25</v>
      </c>
      <c r="B59" s="893" t="s">
        <v>274</v>
      </c>
      <c r="C59" s="11">
        <v>4</v>
      </c>
      <c r="D59" s="11">
        <v>13</v>
      </c>
      <c r="E59" s="11">
        <v>23</v>
      </c>
      <c r="F59" s="11">
        <v>36</v>
      </c>
      <c r="G59" s="11">
        <v>50</v>
      </c>
      <c r="H59" s="11">
        <v>64</v>
      </c>
      <c r="I59" s="11">
        <v>81</v>
      </c>
      <c r="J59" s="11">
        <v>98</v>
      </c>
      <c r="K59" s="11">
        <v>116</v>
      </c>
      <c r="L59" s="11">
        <v>136</v>
      </c>
      <c r="M59" s="11">
        <v>156</v>
      </c>
      <c r="N59" s="11">
        <v>178</v>
      </c>
      <c r="O59" s="11">
        <v>200</v>
      </c>
      <c r="P59" s="11">
        <v>224</v>
      </c>
      <c r="Q59" s="11">
        <v>249</v>
      </c>
      <c r="R59" s="11">
        <v>275</v>
      </c>
      <c r="S59" s="11">
        <v>301</v>
      </c>
      <c r="T59" s="11">
        <v>329</v>
      </c>
      <c r="U59" s="11">
        <v>358</v>
      </c>
      <c r="V59" s="11">
        <v>388</v>
      </c>
      <c r="W59" s="11">
        <v>419</v>
      </c>
      <c r="X59" s="11">
        <v>451</v>
      </c>
      <c r="Y59" s="11">
        <v>484</v>
      </c>
      <c r="Z59" s="541">
        <v>517</v>
      </c>
    </row>
    <row r="61" spans="1:26">
      <c r="A61" s="1" t="s">
        <v>272</v>
      </c>
    </row>
    <row r="63" spans="1:26" ht="23.4">
      <c r="A63" s="858" t="s">
        <v>270</v>
      </c>
      <c r="B63">
        <v>1</v>
      </c>
      <c r="C63">
        <f>B63+1</f>
        <v>2</v>
      </c>
      <c r="D63">
        <f t="shared" ref="D63:Z63" si="4">C63+1</f>
        <v>3</v>
      </c>
      <c r="E63">
        <f t="shared" si="4"/>
        <v>4</v>
      </c>
      <c r="F63">
        <f t="shared" si="4"/>
        <v>5</v>
      </c>
      <c r="G63">
        <f t="shared" si="4"/>
        <v>6</v>
      </c>
      <c r="H63">
        <f t="shared" si="4"/>
        <v>7</v>
      </c>
      <c r="I63">
        <f t="shared" si="4"/>
        <v>8</v>
      </c>
      <c r="J63">
        <f t="shared" si="4"/>
        <v>9</v>
      </c>
      <c r="K63">
        <f t="shared" si="4"/>
        <v>10</v>
      </c>
      <c r="L63">
        <f t="shared" si="4"/>
        <v>11</v>
      </c>
      <c r="M63">
        <f t="shared" si="4"/>
        <v>12</v>
      </c>
      <c r="N63">
        <f t="shared" si="4"/>
        <v>13</v>
      </c>
      <c r="O63">
        <f t="shared" si="4"/>
        <v>14</v>
      </c>
      <c r="P63">
        <f t="shared" si="4"/>
        <v>15</v>
      </c>
      <c r="Q63">
        <f t="shared" si="4"/>
        <v>16</v>
      </c>
      <c r="R63">
        <f t="shared" si="4"/>
        <v>17</v>
      </c>
      <c r="S63">
        <f t="shared" si="4"/>
        <v>18</v>
      </c>
      <c r="T63">
        <f t="shared" si="4"/>
        <v>19</v>
      </c>
      <c r="U63">
        <f t="shared" si="4"/>
        <v>20</v>
      </c>
      <c r="V63">
        <f t="shared" si="4"/>
        <v>21</v>
      </c>
      <c r="W63">
        <f t="shared" si="4"/>
        <v>22</v>
      </c>
      <c r="X63">
        <f t="shared" si="4"/>
        <v>23</v>
      </c>
      <c r="Y63">
        <f t="shared" si="4"/>
        <v>24</v>
      </c>
      <c r="Z63">
        <f t="shared" si="4"/>
        <v>25</v>
      </c>
    </row>
    <row r="64" spans="1:26">
      <c r="A64">
        <v>1</v>
      </c>
      <c r="B64" s="86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866"/>
    </row>
    <row r="65" spans="1:26">
      <c r="A65">
        <f>A64+1</f>
        <v>2</v>
      </c>
      <c r="B65" s="656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657"/>
    </row>
    <row r="66" spans="1:26">
      <c r="A66">
        <f t="shared" ref="A66:A88" si="5">A65+1</f>
        <v>3</v>
      </c>
      <c r="B66" s="656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657"/>
    </row>
    <row r="67" spans="1:26">
      <c r="A67">
        <f t="shared" si="5"/>
        <v>4</v>
      </c>
      <c r="B67" s="656"/>
      <c r="D67" s="94" t="s">
        <v>271</v>
      </c>
      <c r="E67" s="8">
        <v>10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657"/>
    </row>
    <row r="68" spans="1:26">
      <c r="A68">
        <f t="shared" si="5"/>
        <v>5</v>
      </c>
      <c r="B68" s="656"/>
      <c r="D68" s="8">
        <v>6</v>
      </c>
      <c r="E68" s="8">
        <v>11</v>
      </c>
      <c r="F68" s="66">
        <v>17</v>
      </c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657"/>
    </row>
    <row r="69" spans="1:26">
      <c r="A69">
        <f t="shared" si="5"/>
        <v>6</v>
      </c>
      <c r="B69" s="656"/>
      <c r="D69" s="66">
        <v>7</v>
      </c>
      <c r="E69" s="8">
        <v>12</v>
      </c>
      <c r="F69" s="66">
        <v>18</v>
      </c>
      <c r="G69" s="66">
        <v>26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657"/>
    </row>
    <row r="70" spans="1:26">
      <c r="A70">
        <f t="shared" si="5"/>
        <v>7</v>
      </c>
      <c r="B70" s="656"/>
      <c r="C70" s="96" t="s">
        <v>271</v>
      </c>
      <c r="D70" s="66">
        <v>7</v>
      </c>
      <c r="E70" s="66">
        <v>13</v>
      </c>
      <c r="F70" s="66">
        <v>20</v>
      </c>
      <c r="G70" s="66">
        <v>27</v>
      </c>
      <c r="H70" s="66">
        <v>36</v>
      </c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657"/>
    </row>
    <row r="71" spans="1:26">
      <c r="A71">
        <f t="shared" si="5"/>
        <v>8</v>
      </c>
      <c r="B71" s="656"/>
      <c r="C71" s="66">
        <v>3</v>
      </c>
      <c r="D71" s="66">
        <v>8</v>
      </c>
      <c r="E71" s="66">
        <v>14</v>
      </c>
      <c r="F71" s="66">
        <v>21</v>
      </c>
      <c r="G71" s="66">
        <v>29</v>
      </c>
      <c r="H71" s="66">
        <v>38</v>
      </c>
      <c r="I71" s="66">
        <v>49</v>
      </c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657"/>
    </row>
    <row r="72" spans="1:26">
      <c r="A72">
        <f t="shared" si="5"/>
        <v>9</v>
      </c>
      <c r="B72" s="656"/>
      <c r="C72" s="66">
        <v>3</v>
      </c>
      <c r="D72" s="66">
        <v>8</v>
      </c>
      <c r="E72" s="66">
        <v>14</v>
      </c>
      <c r="F72" s="66">
        <v>22</v>
      </c>
      <c r="G72" s="66">
        <v>31</v>
      </c>
      <c r="H72" s="66">
        <v>40</v>
      </c>
      <c r="I72" s="66">
        <v>51</v>
      </c>
      <c r="J72" s="66">
        <v>62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657"/>
    </row>
    <row r="73" spans="1:26">
      <c r="A73">
        <f t="shared" si="5"/>
        <v>10</v>
      </c>
      <c r="B73" s="656"/>
      <c r="C73" s="66">
        <v>3</v>
      </c>
      <c r="D73" s="66">
        <v>9</v>
      </c>
      <c r="E73" s="66">
        <v>15</v>
      </c>
      <c r="F73" s="66">
        <v>23</v>
      </c>
      <c r="G73" s="66">
        <v>32</v>
      </c>
      <c r="H73" s="66">
        <v>42</v>
      </c>
      <c r="I73" s="66">
        <v>53</v>
      </c>
      <c r="J73" s="66">
        <v>65</v>
      </c>
      <c r="K73" s="66">
        <v>78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657"/>
    </row>
    <row r="74" spans="1:26">
      <c r="A74">
        <f t="shared" si="5"/>
        <v>11</v>
      </c>
      <c r="B74" s="656"/>
      <c r="C74" s="66">
        <v>3</v>
      </c>
      <c r="D74" s="66">
        <v>9</v>
      </c>
      <c r="E74" s="66">
        <v>16</v>
      </c>
      <c r="F74" s="66">
        <v>24</v>
      </c>
      <c r="G74" s="66">
        <v>34</v>
      </c>
      <c r="H74" s="66">
        <v>44</v>
      </c>
      <c r="I74" s="66">
        <v>55</v>
      </c>
      <c r="J74" s="66">
        <v>68</v>
      </c>
      <c r="K74" s="66">
        <v>81</v>
      </c>
      <c r="L74" s="66">
        <v>96</v>
      </c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57"/>
    </row>
    <row r="75" spans="1:26">
      <c r="A75">
        <f t="shared" si="5"/>
        <v>12</v>
      </c>
      <c r="B75" s="656"/>
      <c r="C75" s="66">
        <v>4</v>
      </c>
      <c r="D75" s="66">
        <v>10</v>
      </c>
      <c r="E75" s="66">
        <v>17</v>
      </c>
      <c r="F75" s="66">
        <v>26</v>
      </c>
      <c r="G75" s="66">
        <v>35</v>
      </c>
      <c r="H75" s="66">
        <v>46</v>
      </c>
      <c r="I75" s="66">
        <v>58</v>
      </c>
      <c r="J75" s="66">
        <v>71</v>
      </c>
      <c r="K75" s="66">
        <v>84</v>
      </c>
      <c r="L75" s="66">
        <v>99</v>
      </c>
      <c r="M75" s="66">
        <v>115</v>
      </c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57"/>
    </row>
    <row r="76" spans="1:26">
      <c r="A76">
        <f t="shared" si="5"/>
        <v>13</v>
      </c>
      <c r="B76" s="656"/>
      <c r="C76" s="66">
        <v>4</v>
      </c>
      <c r="D76" s="66">
        <v>10</v>
      </c>
      <c r="E76" s="66">
        <v>18</v>
      </c>
      <c r="F76" s="66">
        <v>27</v>
      </c>
      <c r="G76" s="66">
        <v>37</v>
      </c>
      <c r="H76" s="66">
        <v>48</v>
      </c>
      <c r="I76" s="66">
        <v>60</v>
      </c>
      <c r="J76" s="66">
        <v>73</v>
      </c>
      <c r="K76" s="66">
        <v>88</v>
      </c>
      <c r="L76" s="66">
        <v>103</v>
      </c>
      <c r="M76" s="66">
        <v>119</v>
      </c>
      <c r="N76" s="66">
        <v>136</v>
      </c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57"/>
    </row>
    <row r="77" spans="1:26">
      <c r="A77">
        <f t="shared" si="5"/>
        <v>14</v>
      </c>
      <c r="B77" s="656"/>
      <c r="C77" s="66">
        <v>4</v>
      </c>
      <c r="D77" s="66">
        <v>11</v>
      </c>
      <c r="E77" s="66">
        <v>19</v>
      </c>
      <c r="F77" s="66">
        <v>28</v>
      </c>
      <c r="G77" s="66">
        <v>38</v>
      </c>
      <c r="H77" s="66">
        <v>50</v>
      </c>
      <c r="I77" s="66">
        <v>62</v>
      </c>
      <c r="J77" s="66">
        <v>76</v>
      </c>
      <c r="K77" s="66">
        <v>91</v>
      </c>
      <c r="L77" s="66">
        <v>106</v>
      </c>
      <c r="M77" s="66">
        <v>123</v>
      </c>
      <c r="N77" s="66">
        <v>141</v>
      </c>
      <c r="O77" s="66">
        <v>160</v>
      </c>
      <c r="P77" s="66"/>
      <c r="Q77" s="66"/>
      <c r="R77" s="66"/>
      <c r="S77" s="66"/>
      <c r="T77" s="66"/>
      <c r="U77" s="66"/>
      <c r="V77" s="66"/>
      <c r="W77" s="66"/>
      <c r="X77" s="66"/>
      <c r="Y77" s="66"/>
      <c r="Z77" s="657"/>
    </row>
    <row r="78" spans="1:26">
      <c r="A78">
        <f t="shared" si="5"/>
        <v>15</v>
      </c>
      <c r="B78" s="656"/>
      <c r="C78" s="66">
        <v>4</v>
      </c>
      <c r="D78" s="66">
        <v>11</v>
      </c>
      <c r="E78" s="66">
        <v>20</v>
      </c>
      <c r="F78" s="66">
        <v>29</v>
      </c>
      <c r="G78" s="66">
        <v>40</v>
      </c>
      <c r="H78" s="66">
        <v>52</v>
      </c>
      <c r="I78" s="66">
        <v>65</v>
      </c>
      <c r="J78" s="66">
        <v>79</v>
      </c>
      <c r="K78" s="66">
        <v>94</v>
      </c>
      <c r="L78" s="66">
        <v>110</v>
      </c>
      <c r="M78" s="66">
        <v>127</v>
      </c>
      <c r="N78" s="66">
        <v>145</v>
      </c>
      <c r="O78" s="66">
        <v>164</v>
      </c>
      <c r="P78" s="66">
        <v>184</v>
      </c>
      <c r="Q78" s="66"/>
      <c r="R78" s="66"/>
      <c r="S78" s="66"/>
      <c r="T78" s="66"/>
      <c r="U78" s="66"/>
      <c r="V78" s="66"/>
      <c r="W78" s="66"/>
      <c r="X78" s="66"/>
      <c r="Y78" s="66"/>
      <c r="Z78" s="657"/>
    </row>
    <row r="79" spans="1:26">
      <c r="A79">
        <f t="shared" si="5"/>
        <v>16</v>
      </c>
      <c r="B79" s="656"/>
      <c r="C79" s="66">
        <v>4</v>
      </c>
      <c r="D79" s="66">
        <v>12</v>
      </c>
      <c r="E79" s="66">
        <v>21</v>
      </c>
      <c r="F79" s="66">
        <v>30</v>
      </c>
      <c r="G79" s="66">
        <v>42</v>
      </c>
      <c r="H79" s="66">
        <v>54</v>
      </c>
      <c r="I79" s="66">
        <v>67</v>
      </c>
      <c r="J79" s="66">
        <v>82</v>
      </c>
      <c r="K79" s="66">
        <v>97</v>
      </c>
      <c r="L79" s="66">
        <v>113</v>
      </c>
      <c r="M79" s="66">
        <v>131</v>
      </c>
      <c r="N79" s="66">
        <v>150</v>
      </c>
      <c r="O79" s="66">
        <v>169</v>
      </c>
      <c r="P79" s="66">
        <v>190</v>
      </c>
      <c r="Q79" s="66">
        <v>211</v>
      </c>
      <c r="R79" s="66"/>
      <c r="S79" s="66"/>
      <c r="T79" s="66"/>
      <c r="U79" s="66"/>
      <c r="V79" s="66"/>
      <c r="W79" s="66"/>
      <c r="X79" s="66"/>
      <c r="Y79" s="66"/>
      <c r="Z79" s="657"/>
    </row>
    <row r="80" spans="1:26">
      <c r="A80">
        <f t="shared" si="5"/>
        <v>17</v>
      </c>
      <c r="B80" s="656"/>
      <c r="C80" s="66">
        <v>5</v>
      </c>
      <c r="D80" s="66">
        <v>12</v>
      </c>
      <c r="E80" s="66">
        <v>21</v>
      </c>
      <c r="F80" s="66">
        <v>32</v>
      </c>
      <c r="G80" s="66">
        <v>43</v>
      </c>
      <c r="H80" s="66">
        <v>56</v>
      </c>
      <c r="I80" s="66">
        <v>70</v>
      </c>
      <c r="J80" s="66">
        <v>84</v>
      </c>
      <c r="K80" s="66">
        <v>100</v>
      </c>
      <c r="L80" s="66">
        <v>117</v>
      </c>
      <c r="M80" s="66">
        <v>135</v>
      </c>
      <c r="N80" s="66">
        <v>154</v>
      </c>
      <c r="O80" s="66">
        <v>174</v>
      </c>
      <c r="P80" s="66">
        <v>195</v>
      </c>
      <c r="Q80" s="66">
        <v>217</v>
      </c>
      <c r="R80" s="66">
        <v>240</v>
      </c>
      <c r="S80" s="66"/>
      <c r="T80" s="66"/>
      <c r="U80" s="66"/>
      <c r="V80" s="66"/>
      <c r="W80" s="66"/>
      <c r="X80" s="66"/>
      <c r="Y80" s="66"/>
      <c r="Z80" s="657"/>
    </row>
    <row r="81" spans="1:26">
      <c r="A81">
        <f t="shared" si="5"/>
        <v>18</v>
      </c>
      <c r="B81" s="656"/>
      <c r="C81" s="66">
        <v>5</v>
      </c>
      <c r="D81" s="66">
        <v>13</v>
      </c>
      <c r="E81" s="66">
        <v>22</v>
      </c>
      <c r="F81" s="66">
        <v>33</v>
      </c>
      <c r="G81" s="66">
        <v>45</v>
      </c>
      <c r="H81" s="66">
        <v>58</v>
      </c>
      <c r="I81" s="66">
        <v>72</v>
      </c>
      <c r="J81" s="66">
        <v>87</v>
      </c>
      <c r="K81" s="66">
        <v>103</v>
      </c>
      <c r="L81" s="66">
        <v>121</v>
      </c>
      <c r="M81" s="66">
        <v>139</v>
      </c>
      <c r="N81" s="66">
        <v>158</v>
      </c>
      <c r="O81" s="66">
        <v>179</v>
      </c>
      <c r="P81" s="66">
        <v>200</v>
      </c>
      <c r="Q81" s="66">
        <v>222</v>
      </c>
      <c r="R81" s="66">
        <v>246</v>
      </c>
      <c r="S81" s="66">
        <v>270</v>
      </c>
      <c r="T81" s="66"/>
      <c r="U81" s="66"/>
      <c r="V81" s="66"/>
      <c r="W81" s="66"/>
      <c r="X81" s="66"/>
      <c r="Y81" s="66"/>
      <c r="Z81" s="657"/>
    </row>
    <row r="82" spans="1:26">
      <c r="A82">
        <f t="shared" si="5"/>
        <v>19</v>
      </c>
      <c r="B82" s="656"/>
      <c r="C82" s="66">
        <v>5</v>
      </c>
      <c r="D82" s="66">
        <v>13</v>
      </c>
      <c r="E82" s="66">
        <v>23</v>
      </c>
      <c r="F82" s="66">
        <v>34</v>
      </c>
      <c r="G82" s="66">
        <v>46</v>
      </c>
      <c r="H82" s="66">
        <v>60</v>
      </c>
      <c r="I82" s="66">
        <v>74</v>
      </c>
      <c r="J82" s="66">
        <v>90</v>
      </c>
      <c r="K82" s="66">
        <v>107</v>
      </c>
      <c r="L82" s="66">
        <v>124</v>
      </c>
      <c r="M82" s="66">
        <v>143</v>
      </c>
      <c r="N82" s="66">
        <v>163</v>
      </c>
      <c r="O82" s="66">
        <v>183</v>
      </c>
      <c r="P82" s="66">
        <v>205</v>
      </c>
      <c r="Q82" s="66">
        <v>228</v>
      </c>
      <c r="R82" s="66">
        <v>252</v>
      </c>
      <c r="S82" s="66">
        <v>277</v>
      </c>
      <c r="T82" s="66">
        <v>303</v>
      </c>
      <c r="U82" s="66"/>
      <c r="V82" s="66"/>
      <c r="W82" s="66"/>
      <c r="X82" s="66"/>
      <c r="Y82" s="66"/>
      <c r="Z82" s="657"/>
    </row>
    <row r="83" spans="1:26">
      <c r="A83">
        <f t="shared" si="5"/>
        <v>20</v>
      </c>
      <c r="B83" s="656"/>
      <c r="C83" s="66">
        <v>5</v>
      </c>
      <c r="D83" s="66">
        <v>14</v>
      </c>
      <c r="E83" s="66">
        <v>24</v>
      </c>
      <c r="F83" s="66">
        <v>35</v>
      </c>
      <c r="G83" s="66">
        <v>48</v>
      </c>
      <c r="H83" s="66">
        <v>62</v>
      </c>
      <c r="I83" s="66">
        <v>77</v>
      </c>
      <c r="J83" s="66">
        <v>93</v>
      </c>
      <c r="K83" s="66">
        <v>110</v>
      </c>
      <c r="L83" s="66">
        <v>128</v>
      </c>
      <c r="M83" s="66">
        <v>147</v>
      </c>
      <c r="N83" s="66">
        <v>167</v>
      </c>
      <c r="O83" s="66">
        <v>188</v>
      </c>
      <c r="P83" s="66">
        <v>210</v>
      </c>
      <c r="Q83" s="66">
        <v>234</v>
      </c>
      <c r="R83" s="66">
        <v>258</v>
      </c>
      <c r="S83" s="66">
        <v>283</v>
      </c>
      <c r="T83" s="66">
        <v>309</v>
      </c>
      <c r="U83" s="66">
        <v>337</v>
      </c>
      <c r="V83" s="66"/>
      <c r="W83" s="66"/>
      <c r="X83" s="66"/>
      <c r="Y83" s="66"/>
      <c r="Z83" s="657"/>
    </row>
    <row r="84" spans="1:26">
      <c r="A84">
        <f t="shared" si="5"/>
        <v>21</v>
      </c>
      <c r="B84" s="656"/>
      <c r="C84" s="66">
        <v>6</v>
      </c>
      <c r="D84" s="66">
        <v>14</v>
      </c>
      <c r="E84" s="66">
        <v>25</v>
      </c>
      <c r="F84" s="66">
        <v>37</v>
      </c>
      <c r="G84" s="66">
        <v>50</v>
      </c>
      <c r="H84" s="66">
        <v>64</v>
      </c>
      <c r="I84" s="66">
        <v>79</v>
      </c>
      <c r="J84" s="66">
        <v>95</v>
      </c>
      <c r="K84" s="66">
        <v>113</v>
      </c>
      <c r="L84" s="66">
        <v>131</v>
      </c>
      <c r="M84" s="66">
        <v>151</v>
      </c>
      <c r="N84" s="66">
        <v>171</v>
      </c>
      <c r="O84" s="66">
        <v>193</v>
      </c>
      <c r="P84" s="66">
        <v>216</v>
      </c>
      <c r="Q84" s="66">
        <v>239</v>
      </c>
      <c r="R84" s="66">
        <v>264</v>
      </c>
      <c r="S84" s="66">
        <v>290</v>
      </c>
      <c r="T84" s="66">
        <v>316</v>
      </c>
      <c r="U84" s="66">
        <v>344</v>
      </c>
      <c r="V84" s="66">
        <v>373</v>
      </c>
      <c r="W84" s="66"/>
      <c r="X84" s="66"/>
      <c r="Y84" s="66"/>
      <c r="Z84" s="657"/>
    </row>
    <row r="85" spans="1:26">
      <c r="A85">
        <f t="shared" si="5"/>
        <v>22</v>
      </c>
      <c r="B85" s="656"/>
      <c r="C85" s="66">
        <v>6</v>
      </c>
      <c r="D85" s="66">
        <v>15</v>
      </c>
      <c r="E85" s="66">
        <v>26</v>
      </c>
      <c r="F85" s="66">
        <v>38</v>
      </c>
      <c r="G85" s="66">
        <v>51</v>
      </c>
      <c r="H85" s="66">
        <v>66</v>
      </c>
      <c r="I85" s="66">
        <v>81</v>
      </c>
      <c r="J85" s="66">
        <v>98</v>
      </c>
      <c r="K85" s="66">
        <v>116</v>
      </c>
      <c r="L85" s="66">
        <v>135</v>
      </c>
      <c r="M85" s="66">
        <v>155</v>
      </c>
      <c r="N85" s="66">
        <v>176</v>
      </c>
      <c r="O85" s="66">
        <v>198</v>
      </c>
      <c r="P85" s="66">
        <v>221</v>
      </c>
      <c r="Q85" s="66">
        <v>245</v>
      </c>
      <c r="R85" s="66">
        <v>270</v>
      </c>
      <c r="S85" s="66">
        <v>296</v>
      </c>
      <c r="T85" s="66">
        <v>323</v>
      </c>
      <c r="U85" s="66">
        <v>351</v>
      </c>
      <c r="V85" s="66">
        <v>381</v>
      </c>
      <c r="W85" s="66">
        <v>411</v>
      </c>
      <c r="X85" s="66"/>
      <c r="Y85" s="66"/>
      <c r="Z85" s="657"/>
    </row>
    <row r="86" spans="1:26">
      <c r="A86">
        <f t="shared" si="5"/>
        <v>23</v>
      </c>
      <c r="B86" s="656"/>
      <c r="C86" s="66">
        <v>6</v>
      </c>
      <c r="D86" s="66">
        <v>15</v>
      </c>
      <c r="E86" s="66">
        <v>27</v>
      </c>
      <c r="F86" s="66">
        <v>39</v>
      </c>
      <c r="G86" s="66">
        <v>53</v>
      </c>
      <c r="H86" s="66">
        <v>68</v>
      </c>
      <c r="I86" s="66">
        <v>84</v>
      </c>
      <c r="J86" s="66">
        <v>101</v>
      </c>
      <c r="K86" s="66">
        <v>119</v>
      </c>
      <c r="L86" s="66">
        <v>139</v>
      </c>
      <c r="M86" s="66">
        <v>159</v>
      </c>
      <c r="N86" s="66">
        <v>180</v>
      </c>
      <c r="O86" s="66">
        <v>203</v>
      </c>
      <c r="P86" s="66">
        <v>226</v>
      </c>
      <c r="Q86" s="66">
        <v>251</v>
      </c>
      <c r="R86" s="66">
        <v>276</v>
      </c>
      <c r="S86" s="66">
        <v>303</v>
      </c>
      <c r="T86" s="66">
        <v>330</v>
      </c>
      <c r="U86" s="66">
        <v>359</v>
      </c>
      <c r="V86" s="66">
        <v>388</v>
      </c>
      <c r="W86" s="66">
        <v>419</v>
      </c>
      <c r="X86" s="66">
        <v>451</v>
      </c>
      <c r="Y86" s="66"/>
      <c r="Z86" s="657"/>
    </row>
    <row r="87" spans="1:26">
      <c r="A87">
        <f t="shared" si="5"/>
        <v>24</v>
      </c>
      <c r="B87" s="656"/>
      <c r="C87" s="66">
        <v>6</v>
      </c>
      <c r="D87" s="66">
        <v>16</v>
      </c>
      <c r="E87" s="66">
        <v>27</v>
      </c>
      <c r="F87" s="66">
        <v>40</v>
      </c>
      <c r="G87" s="66">
        <v>54</v>
      </c>
      <c r="H87" s="66">
        <v>70</v>
      </c>
      <c r="I87" s="66">
        <v>86</v>
      </c>
      <c r="J87" s="66">
        <v>104</v>
      </c>
      <c r="K87" s="66">
        <v>122</v>
      </c>
      <c r="L87" s="66">
        <v>142</v>
      </c>
      <c r="M87" s="66">
        <v>163</v>
      </c>
      <c r="N87" s="66">
        <v>185</v>
      </c>
      <c r="O87" s="66">
        <v>207</v>
      </c>
      <c r="P87" s="66">
        <v>231</v>
      </c>
      <c r="Q87" s="66">
        <v>256</v>
      </c>
      <c r="R87" s="66">
        <v>282</v>
      </c>
      <c r="S87" s="66">
        <v>309</v>
      </c>
      <c r="T87" s="66">
        <v>337</v>
      </c>
      <c r="U87" s="66">
        <v>366</v>
      </c>
      <c r="V87" s="66">
        <v>396</v>
      </c>
      <c r="W87" s="66">
        <v>427</v>
      </c>
      <c r="X87" s="66">
        <v>459</v>
      </c>
      <c r="Y87" s="66">
        <v>492</v>
      </c>
      <c r="Z87" s="657"/>
    </row>
    <row r="88" spans="1:26">
      <c r="A88">
        <f t="shared" si="5"/>
        <v>25</v>
      </c>
      <c r="B88" s="893" t="s">
        <v>271</v>
      </c>
      <c r="C88" s="11">
        <v>6</v>
      </c>
      <c r="D88" s="11">
        <v>16</v>
      </c>
      <c r="E88" s="11">
        <v>28</v>
      </c>
      <c r="F88" s="11">
        <v>42</v>
      </c>
      <c r="G88" s="11">
        <v>56</v>
      </c>
      <c r="H88" s="11">
        <v>72</v>
      </c>
      <c r="I88" s="11">
        <v>89</v>
      </c>
      <c r="J88" s="11">
        <v>107</v>
      </c>
      <c r="K88" s="11">
        <v>126</v>
      </c>
      <c r="L88" s="11">
        <v>146</v>
      </c>
      <c r="M88" s="11">
        <v>167</v>
      </c>
      <c r="N88" s="11">
        <v>189</v>
      </c>
      <c r="O88" s="11">
        <v>212</v>
      </c>
      <c r="P88" s="11">
        <v>237</v>
      </c>
      <c r="Q88" s="11">
        <v>262</v>
      </c>
      <c r="R88" s="11">
        <v>288</v>
      </c>
      <c r="S88" s="11">
        <v>316</v>
      </c>
      <c r="T88" s="11">
        <v>344</v>
      </c>
      <c r="U88" s="11">
        <v>373</v>
      </c>
      <c r="V88" s="11">
        <v>404</v>
      </c>
      <c r="W88" s="11">
        <v>435</v>
      </c>
      <c r="X88" s="11">
        <v>468</v>
      </c>
      <c r="Y88" s="11">
        <v>501</v>
      </c>
      <c r="Z88" s="541">
        <v>536</v>
      </c>
    </row>
    <row r="90" spans="1:26">
      <c r="A90" s="1" t="s">
        <v>1965</v>
      </c>
    </row>
    <row r="92" spans="1:26" ht="23.4">
      <c r="A92" s="858" t="s">
        <v>270</v>
      </c>
      <c r="B92">
        <v>1</v>
      </c>
      <c r="C92">
        <f t="shared" ref="C92:Z92" si="6">B92+1</f>
        <v>2</v>
      </c>
      <c r="D92">
        <f t="shared" si="6"/>
        <v>3</v>
      </c>
      <c r="E92">
        <f t="shared" si="6"/>
        <v>4</v>
      </c>
      <c r="F92">
        <f t="shared" si="6"/>
        <v>5</v>
      </c>
      <c r="G92">
        <f t="shared" si="6"/>
        <v>6</v>
      </c>
      <c r="H92">
        <f t="shared" si="6"/>
        <v>7</v>
      </c>
      <c r="I92">
        <f t="shared" si="6"/>
        <v>8</v>
      </c>
      <c r="J92">
        <f t="shared" si="6"/>
        <v>9</v>
      </c>
      <c r="K92">
        <f t="shared" si="6"/>
        <v>10</v>
      </c>
      <c r="L92">
        <f t="shared" si="6"/>
        <v>11</v>
      </c>
      <c r="M92">
        <f t="shared" si="6"/>
        <v>12</v>
      </c>
      <c r="N92">
        <f t="shared" si="6"/>
        <v>13</v>
      </c>
      <c r="O92">
        <f t="shared" si="6"/>
        <v>14</v>
      </c>
      <c r="P92">
        <f t="shared" si="6"/>
        <v>15</v>
      </c>
      <c r="Q92">
        <f t="shared" si="6"/>
        <v>16</v>
      </c>
      <c r="R92">
        <f t="shared" si="6"/>
        <v>17</v>
      </c>
      <c r="S92">
        <f t="shared" si="6"/>
        <v>18</v>
      </c>
      <c r="T92">
        <f t="shared" si="6"/>
        <v>19</v>
      </c>
      <c r="U92">
        <f t="shared" si="6"/>
        <v>20</v>
      </c>
      <c r="V92">
        <f t="shared" si="6"/>
        <v>21</v>
      </c>
      <c r="W92">
        <f t="shared" si="6"/>
        <v>22</v>
      </c>
      <c r="X92">
        <f t="shared" si="6"/>
        <v>23</v>
      </c>
      <c r="Y92">
        <f t="shared" si="6"/>
        <v>24</v>
      </c>
      <c r="Z92">
        <f t="shared" si="6"/>
        <v>25</v>
      </c>
    </row>
    <row r="93" spans="1:26">
      <c r="A93">
        <v>1</v>
      </c>
      <c r="B93" s="86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866"/>
    </row>
    <row r="94" spans="1:26">
      <c r="A94">
        <f>A93+1</f>
        <v>2</v>
      </c>
      <c r="B94" s="65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657"/>
    </row>
    <row r="95" spans="1:26">
      <c r="A95">
        <f t="shared" ref="A95:A117" si="7">A94+1</f>
        <v>3</v>
      </c>
      <c r="B95" s="656"/>
      <c r="D95" s="8">
        <v>6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657"/>
    </row>
    <row r="96" spans="1:26">
      <c r="A96">
        <f t="shared" si="7"/>
        <v>4</v>
      </c>
      <c r="B96" s="656"/>
      <c r="C96" s="19" t="s">
        <v>274</v>
      </c>
      <c r="D96" s="8">
        <v>6</v>
      </c>
      <c r="E96" s="8">
        <v>11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657"/>
    </row>
    <row r="97" spans="1:26">
      <c r="A97">
        <f t="shared" si="7"/>
        <v>5</v>
      </c>
      <c r="B97" s="656"/>
      <c r="C97" s="8">
        <v>3</v>
      </c>
      <c r="D97" s="8">
        <v>7</v>
      </c>
      <c r="E97" s="8">
        <v>12</v>
      </c>
      <c r="F97" s="66">
        <v>19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657"/>
    </row>
    <row r="98" spans="1:26">
      <c r="A98">
        <f t="shared" si="7"/>
        <v>6</v>
      </c>
      <c r="B98" s="656"/>
      <c r="C98" s="8">
        <v>3</v>
      </c>
      <c r="D98" s="66">
        <v>8</v>
      </c>
      <c r="E98" s="8">
        <v>13</v>
      </c>
      <c r="F98" s="66">
        <v>20</v>
      </c>
      <c r="G98" s="66">
        <v>28</v>
      </c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657"/>
    </row>
    <row r="99" spans="1:26">
      <c r="A99">
        <f t="shared" si="7"/>
        <v>7</v>
      </c>
      <c r="B99" s="656"/>
      <c r="C99" s="8">
        <v>3</v>
      </c>
      <c r="D99" s="66">
        <v>8</v>
      </c>
      <c r="E99" s="66">
        <v>14</v>
      </c>
      <c r="F99" s="66">
        <v>21</v>
      </c>
      <c r="G99" s="66">
        <v>29</v>
      </c>
      <c r="H99" s="66">
        <v>39</v>
      </c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657"/>
    </row>
    <row r="100" spans="1:26">
      <c r="A100">
        <f t="shared" si="7"/>
        <v>8</v>
      </c>
      <c r="B100" s="656"/>
      <c r="C100" s="66">
        <v>4</v>
      </c>
      <c r="D100" s="66">
        <v>9</v>
      </c>
      <c r="E100" s="66">
        <v>15</v>
      </c>
      <c r="F100" s="66">
        <v>23</v>
      </c>
      <c r="G100" s="66">
        <v>31</v>
      </c>
      <c r="H100" s="66">
        <v>41</v>
      </c>
      <c r="I100" s="66">
        <v>51</v>
      </c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657"/>
    </row>
    <row r="101" spans="1:26">
      <c r="A101">
        <f t="shared" si="7"/>
        <v>9</v>
      </c>
      <c r="B101" s="656"/>
      <c r="C101" s="66">
        <v>4</v>
      </c>
      <c r="D101" s="66">
        <v>10</v>
      </c>
      <c r="E101" s="66">
        <v>16</v>
      </c>
      <c r="F101" s="66">
        <v>24</v>
      </c>
      <c r="G101" s="66">
        <v>33</v>
      </c>
      <c r="H101" s="66">
        <v>43</v>
      </c>
      <c r="I101" s="66">
        <v>54</v>
      </c>
      <c r="J101" s="66">
        <v>66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657"/>
    </row>
    <row r="102" spans="1:26">
      <c r="A102">
        <f t="shared" si="7"/>
        <v>10</v>
      </c>
      <c r="B102" s="656"/>
      <c r="C102" s="66">
        <v>4</v>
      </c>
      <c r="D102" s="66">
        <v>10</v>
      </c>
      <c r="E102" s="66">
        <v>17</v>
      </c>
      <c r="F102" s="66">
        <v>26</v>
      </c>
      <c r="G102" s="66">
        <v>35</v>
      </c>
      <c r="H102" s="66">
        <v>45</v>
      </c>
      <c r="I102" s="66">
        <v>56</v>
      </c>
      <c r="J102" s="66">
        <v>69</v>
      </c>
      <c r="K102" s="66">
        <v>82</v>
      </c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657"/>
    </row>
    <row r="103" spans="1:26">
      <c r="A103">
        <f t="shared" si="7"/>
        <v>11</v>
      </c>
      <c r="B103" s="656"/>
      <c r="C103" s="66">
        <v>4</v>
      </c>
      <c r="D103" s="66">
        <v>11</v>
      </c>
      <c r="E103" s="66">
        <v>18</v>
      </c>
      <c r="F103" s="66">
        <v>27</v>
      </c>
      <c r="G103" s="66">
        <v>37</v>
      </c>
      <c r="H103" s="66">
        <v>47</v>
      </c>
      <c r="I103" s="66">
        <v>59</v>
      </c>
      <c r="J103" s="66">
        <v>72</v>
      </c>
      <c r="K103" s="66">
        <v>86</v>
      </c>
      <c r="L103" s="66">
        <v>100</v>
      </c>
      <c r="M103" s="8"/>
      <c r="N103" s="66"/>
      <c r="O103" s="66"/>
      <c r="P103" s="66"/>
      <c r="Q103" s="66"/>
      <c r="R103" s="66"/>
      <c r="S103" s="66"/>
      <c r="T103" s="66"/>
      <c r="U103" s="66"/>
      <c r="V103" s="66"/>
      <c r="W103" s="66"/>
      <c r="X103" s="66"/>
      <c r="Y103" s="66"/>
      <c r="Z103" s="657"/>
    </row>
    <row r="104" spans="1:26">
      <c r="A104">
        <f t="shared" si="7"/>
        <v>12</v>
      </c>
      <c r="B104" s="656"/>
      <c r="C104" s="66">
        <v>5</v>
      </c>
      <c r="D104" s="66">
        <v>11</v>
      </c>
      <c r="E104" s="66">
        <v>19</v>
      </c>
      <c r="F104" s="66">
        <v>28</v>
      </c>
      <c r="G104" s="66">
        <v>38</v>
      </c>
      <c r="H104" s="66">
        <v>49</v>
      </c>
      <c r="I104" s="66">
        <v>62</v>
      </c>
      <c r="J104" s="66">
        <v>75</v>
      </c>
      <c r="K104" s="66">
        <v>89</v>
      </c>
      <c r="L104" s="66">
        <v>104</v>
      </c>
      <c r="M104" s="66">
        <v>120</v>
      </c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57"/>
    </row>
    <row r="105" spans="1:26">
      <c r="A105">
        <f t="shared" si="7"/>
        <v>13</v>
      </c>
      <c r="B105" s="656"/>
      <c r="C105" s="66">
        <v>5</v>
      </c>
      <c r="D105" s="66">
        <v>12</v>
      </c>
      <c r="E105" s="66">
        <v>20</v>
      </c>
      <c r="F105" s="66">
        <v>30</v>
      </c>
      <c r="G105" s="66">
        <v>40</v>
      </c>
      <c r="H105" s="66">
        <v>52</v>
      </c>
      <c r="I105" s="66">
        <v>64</v>
      </c>
      <c r="J105" s="66">
        <v>78</v>
      </c>
      <c r="K105" s="66">
        <v>92</v>
      </c>
      <c r="L105" s="66">
        <v>108</v>
      </c>
      <c r="M105" s="66">
        <v>125</v>
      </c>
      <c r="N105" s="66">
        <v>142</v>
      </c>
      <c r="O105" s="66"/>
      <c r="P105" s="66"/>
      <c r="Q105" s="66"/>
      <c r="R105" s="66"/>
      <c r="S105" s="66"/>
      <c r="T105" s="66"/>
      <c r="U105" s="66"/>
      <c r="V105" s="66"/>
      <c r="W105" s="66"/>
      <c r="X105" s="66"/>
      <c r="Y105" s="66"/>
      <c r="Z105" s="657"/>
    </row>
    <row r="106" spans="1:26">
      <c r="A106">
        <f t="shared" si="7"/>
        <v>14</v>
      </c>
      <c r="B106" s="656"/>
      <c r="C106" s="66">
        <v>6</v>
      </c>
      <c r="D106" s="66">
        <v>13</v>
      </c>
      <c r="E106" s="66">
        <v>21</v>
      </c>
      <c r="F106" s="66">
        <v>31</v>
      </c>
      <c r="G106" s="66">
        <v>42</v>
      </c>
      <c r="H106" s="66">
        <v>54</v>
      </c>
      <c r="I106" s="66">
        <v>67</v>
      </c>
      <c r="J106" s="66">
        <v>81</v>
      </c>
      <c r="K106" s="66">
        <v>96</v>
      </c>
      <c r="L106" s="66">
        <v>112</v>
      </c>
      <c r="M106" s="66">
        <v>129</v>
      </c>
      <c r="N106" s="66">
        <v>147</v>
      </c>
      <c r="O106" s="66">
        <v>166</v>
      </c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57"/>
    </row>
    <row r="107" spans="1:26">
      <c r="A107">
        <f t="shared" si="7"/>
        <v>15</v>
      </c>
      <c r="B107" s="656"/>
      <c r="C107" s="66">
        <v>6</v>
      </c>
      <c r="D107" s="66">
        <v>13</v>
      </c>
      <c r="E107" s="66">
        <v>22</v>
      </c>
      <c r="F107" s="66">
        <v>33</v>
      </c>
      <c r="G107" s="66">
        <v>44</v>
      </c>
      <c r="H107" s="66">
        <v>56</v>
      </c>
      <c r="I107" s="66">
        <v>69</v>
      </c>
      <c r="J107" s="66">
        <v>84</v>
      </c>
      <c r="K107" s="66">
        <v>99</v>
      </c>
      <c r="L107" s="66">
        <v>116</v>
      </c>
      <c r="M107" s="66">
        <v>133</v>
      </c>
      <c r="N107" s="66">
        <v>152</v>
      </c>
      <c r="O107" s="66">
        <v>171</v>
      </c>
      <c r="P107" s="66">
        <v>192</v>
      </c>
      <c r="Q107" s="66"/>
      <c r="R107" s="66"/>
      <c r="S107" s="66"/>
      <c r="T107" s="66"/>
      <c r="U107" s="66"/>
      <c r="V107" s="66"/>
      <c r="W107" s="66"/>
      <c r="X107" s="66"/>
      <c r="Y107" s="66"/>
      <c r="Z107" s="657"/>
    </row>
    <row r="108" spans="1:26">
      <c r="A108">
        <f t="shared" si="7"/>
        <v>16</v>
      </c>
      <c r="B108" s="656"/>
      <c r="C108" s="66">
        <v>6</v>
      </c>
      <c r="D108" s="66">
        <v>14</v>
      </c>
      <c r="E108" s="66">
        <v>24</v>
      </c>
      <c r="F108" s="66">
        <v>34</v>
      </c>
      <c r="G108" s="66">
        <v>46</v>
      </c>
      <c r="H108" s="66">
        <v>58</v>
      </c>
      <c r="I108" s="66">
        <v>72</v>
      </c>
      <c r="J108" s="66">
        <v>87</v>
      </c>
      <c r="K108" s="66">
        <v>103</v>
      </c>
      <c r="L108" s="66">
        <v>120</v>
      </c>
      <c r="M108" s="66">
        <v>138</v>
      </c>
      <c r="N108" s="66">
        <v>156</v>
      </c>
      <c r="O108" s="66">
        <v>176</v>
      </c>
      <c r="P108" s="66">
        <v>197</v>
      </c>
      <c r="Q108" s="66">
        <v>219</v>
      </c>
      <c r="R108" s="66"/>
      <c r="S108" s="66"/>
      <c r="T108" s="66"/>
      <c r="U108" s="66"/>
      <c r="V108" s="66"/>
      <c r="W108" s="66"/>
      <c r="X108" s="66"/>
      <c r="Y108" s="66"/>
      <c r="Z108" s="657"/>
    </row>
    <row r="109" spans="1:26">
      <c r="A109">
        <f t="shared" si="7"/>
        <v>17</v>
      </c>
      <c r="B109" s="656"/>
      <c r="C109" s="66">
        <v>6</v>
      </c>
      <c r="D109" s="66">
        <v>15</v>
      </c>
      <c r="E109" s="66">
        <v>25</v>
      </c>
      <c r="F109" s="66">
        <v>35</v>
      </c>
      <c r="G109" s="66">
        <v>47</v>
      </c>
      <c r="H109" s="66">
        <v>61</v>
      </c>
      <c r="I109" s="66">
        <v>75</v>
      </c>
      <c r="J109" s="66">
        <v>90</v>
      </c>
      <c r="K109" s="66">
        <v>106</v>
      </c>
      <c r="L109" s="66">
        <v>123</v>
      </c>
      <c r="M109" s="66">
        <v>142</v>
      </c>
      <c r="N109" s="66">
        <v>161</v>
      </c>
      <c r="O109" s="66">
        <v>182</v>
      </c>
      <c r="P109" s="66">
        <v>203</v>
      </c>
      <c r="Q109" s="66">
        <v>225</v>
      </c>
      <c r="R109" s="66">
        <v>249</v>
      </c>
      <c r="S109" s="66"/>
      <c r="T109" s="66"/>
      <c r="U109" s="66"/>
      <c r="V109" s="66"/>
      <c r="W109" s="66"/>
      <c r="X109" s="66"/>
      <c r="Y109" s="66"/>
      <c r="Z109" s="657"/>
    </row>
    <row r="110" spans="1:26">
      <c r="A110">
        <f t="shared" si="7"/>
        <v>18</v>
      </c>
      <c r="B110" s="750" t="s">
        <v>274</v>
      </c>
      <c r="C110" s="66">
        <v>7</v>
      </c>
      <c r="D110" s="66">
        <v>15</v>
      </c>
      <c r="E110" s="66">
        <v>26</v>
      </c>
      <c r="F110" s="66">
        <v>37</v>
      </c>
      <c r="G110" s="66">
        <v>49</v>
      </c>
      <c r="H110" s="66">
        <v>63</v>
      </c>
      <c r="I110" s="66">
        <v>77</v>
      </c>
      <c r="J110" s="66">
        <v>93</v>
      </c>
      <c r="K110" s="66">
        <v>110</v>
      </c>
      <c r="L110" s="66">
        <v>127</v>
      </c>
      <c r="M110" s="66">
        <v>146</v>
      </c>
      <c r="N110" s="66">
        <v>166</v>
      </c>
      <c r="O110" s="66">
        <v>187</v>
      </c>
      <c r="P110" s="66">
        <v>208</v>
      </c>
      <c r="Q110" s="66">
        <v>231</v>
      </c>
      <c r="R110" s="66">
        <v>255</v>
      </c>
      <c r="S110" s="66">
        <v>280</v>
      </c>
      <c r="T110" s="66"/>
      <c r="U110" s="66"/>
      <c r="V110" s="66"/>
      <c r="W110" s="66"/>
      <c r="X110" s="66"/>
      <c r="Y110" s="66"/>
      <c r="Z110" s="657"/>
    </row>
    <row r="111" spans="1:26">
      <c r="A111">
        <f t="shared" si="7"/>
        <v>19</v>
      </c>
      <c r="B111" s="656">
        <v>1</v>
      </c>
      <c r="C111" s="66">
        <v>7</v>
      </c>
      <c r="D111" s="66">
        <v>16</v>
      </c>
      <c r="E111" s="66">
        <v>27</v>
      </c>
      <c r="F111" s="66">
        <v>38</v>
      </c>
      <c r="G111" s="66">
        <v>51</v>
      </c>
      <c r="H111" s="66">
        <v>65</v>
      </c>
      <c r="I111" s="66">
        <v>80</v>
      </c>
      <c r="J111" s="66">
        <v>96</v>
      </c>
      <c r="K111" s="66">
        <v>113</v>
      </c>
      <c r="L111" s="66">
        <v>131</v>
      </c>
      <c r="M111" s="66">
        <v>150</v>
      </c>
      <c r="N111" s="66">
        <v>171</v>
      </c>
      <c r="O111" s="66">
        <v>192</v>
      </c>
      <c r="P111" s="66">
        <v>214</v>
      </c>
      <c r="Q111" s="66">
        <v>237</v>
      </c>
      <c r="R111" s="66">
        <v>262</v>
      </c>
      <c r="S111" s="66">
        <v>287</v>
      </c>
      <c r="T111" s="66">
        <v>313</v>
      </c>
      <c r="U111" s="66"/>
      <c r="V111" s="66"/>
      <c r="W111" s="66"/>
      <c r="X111" s="66"/>
      <c r="Y111" s="66"/>
      <c r="Z111" s="657"/>
    </row>
    <row r="112" spans="1:26">
      <c r="A112">
        <f t="shared" si="7"/>
        <v>20</v>
      </c>
      <c r="B112" s="656">
        <v>1</v>
      </c>
      <c r="C112" s="66">
        <v>7</v>
      </c>
      <c r="D112" s="66">
        <v>17</v>
      </c>
      <c r="E112" s="66">
        <v>28</v>
      </c>
      <c r="F112" s="66">
        <v>40</v>
      </c>
      <c r="G112" s="66">
        <v>53</v>
      </c>
      <c r="H112" s="66">
        <v>67</v>
      </c>
      <c r="I112" s="66">
        <v>83</v>
      </c>
      <c r="J112" s="66">
        <v>99</v>
      </c>
      <c r="K112" s="66">
        <v>117</v>
      </c>
      <c r="L112" s="66">
        <v>135</v>
      </c>
      <c r="M112" s="66">
        <v>155</v>
      </c>
      <c r="N112" s="66">
        <v>175</v>
      </c>
      <c r="O112" s="66">
        <v>197</v>
      </c>
      <c r="P112" s="66">
        <v>220</v>
      </c>
      <c r="Q112" s="66">
        <v>243</v>
      </c>
      <c r="R112" s="66">
        <v>268</v>
      </c>
      <c r="S112" s="66">
        <v>294</v>
      </c>
      <c r="T112" s="66">
        <v>320</v>
      </c>
      <c r="U112" s="66">
        <v>348</v>
      </c>
      <c r="V112" s="66"/>
      <c r="W112" s="66"/>
      <c r="X112" s="66"/>
      <c r="Y112" s="66"/>
      <c r="Z112" s="657"/>
    </row>
    <row r="113" spans="1:26">
      <c r="A113">
        <f t="shared" si="7"/>
        <v>21</v>
      </c>
      <c r="B113" s="656">
        <v>1</v>
      </c>
      <c r="C113" s="66">
        <v>8</v>
      </c>
      <c r="D113" s="66">
        <v>17</v>
      </c>
      <c r="E113" s="66">
        <v>29</v>
      </c>
      <c r="F113" s="66">
        <v>41</v>
      </c>
      <c r="G113" s="66">
        <v>55</v>
      </c>
      <c r="H113" s="66">
        <v>69</v>
      </c>
      <c r="I113" s="66">
        <v>85</v>
      </c>
      <c r="J113" s="66">
        <v>102</v>
      </c>
      <c r="K113" s="66">
        <v>120</v>
      </c>
      <c r="L113" s="66">
        <v>139</v>
      </c>
      <c r="M113" s="66">
        <v>159</v>
      </c>
      <c r="N113" s="66">
        <v>180</v>
      </c>
      <c r="O113" s="66">
        <v>202</v>
      </c>
      <c r="P113" s="66">
        <v>225</v>
      </c>
      <c r="Q113" s="66">
        <v>249</v>
      </c>
      <c r="R113" s="66">
        <v>274</v>
      </c>
      <c r="S113" s="66">
        <v>301</v>
      </c>
      <c r="T113" s="66">
        <v>328</v>
      </c>
      <c r="U113" s="66">
        <v>356</v>
      </c>
      <c r="V113" s="66">
        <v>385</v>
      </c>
      <c r="W113" s="66"/>
      <c r="X113" s="66"/>
      <c r="Y113" s="66"/>
      <c r="Z113" s="657"/>
    </row>
    <row r="114" spans="1:26">
      <c r="A114">
        <f t="shared" si="7"/>
        <v>22</v>
      </c>
      <c r="B114" s="656">
        <v>1</v>
      </c>
      <c r="C114" s="66">
        <v>8</v>
      </c>
      <c r="D114" s="66">
        <v>18</v>
      </c>
      <c r="E114" s="66">
        <v>30</v>
      </c>
      <c r="F114" s="66">
        <v>43</v>
      </c>
      <c r="G114" s="66">
        <v>57</v>
      </c>
      <c r="H114" s="66">
        <v>72</v>
      </c>
      <c r="I114" s="66">
        <v>88</v>
      </c>
      <c r="J114" s="66">
        <v>105</v>
      </c>
      <c r="K114" s="66">
        <v>123</v>
      </c>
      <c r="L114" s="66">
        <v>143</v>
      </c>
      <c r="M114" s="66">
        <v>163</v>
      </c>
      <c r="N114" s="66">
        <v>185</v>
      </c>
      <c r="O114" s="66">
        <v>207</v>
      </c>
      <c r="P114" s="66">
        <v>231</v>
      </c>
      <c r="Q114" s="66">
        <v>255</v>
      </c>
      <c r="R114" s="66">
        <v>281</v>
      </c>
      <c r="S114" s="66">
        <v>307</v>
      </c>
      <c r="T114" s="66">
        <v>335</v>
      </c>
      <c r="U114" s="66">
        <v>364</v>
      </c>
      <c r="V114" s="66">
        <v>393</v>
      </c>
      <c r="W114" s="66">
        <v>424</v>
      </c>
      <c r="X114" s="66"/>
      <c r="Y114" s="66"/>
      <c r="Z114" s="657"/>
    </row>
    <row r="115" spans="1:26">
      <c r="A115">
        <f t="shared" si="7"/>
        <v>23</v>
      </c>
      <c r="B115" s="656">
        <v>1</v>
      </c>
      <c r="C115" s="66">
        <v>8</v>
      </c>
      <c r="D115" s="66">
        <v>19</v>
      </c>
      <c r="E115" s="66">
        <v>31</v>
      </c>
      <c r="F115" s="66">
        <v>44</v>
      </c>
      <c r="G115" s="66">
        <v>58</v>
      </c>
      <c r="H115" s="66">
        <v>74</v>
      </c>
      <c r="I115" s="66">
        <v>90</v>
      </c>
      <c r="J115" s="66">
        <v>108</v>
      </c>
      <c r="K115" s="66">
        <v>127</v>
      </c>
      <c r="L115" s="66">
        <v>147</v>
      </c>
      <c r="M115" s="66">
        <v>168</v>
      </c>
      <c r="N115" s="66">
        <v>189</v>
      </c>
      <c r="O115" s="66">
        <v>212</v>
      </c>
      <c r="P115" s="66">
        <v>236</v>
      </c>
      <c r="Q115" s="66">
        <v>261</v>
      </c>
      <c r="R115" s="66">
        <v>287</v>
      </c>
      <c r="S115" s="66">
        <v>314</v>
      </c>
      <c r="T115" s="66">
        <v>342</v>
      </c>
      <c r="U115" s="66">
        <v>371</v>
      </c>
      <c r="V115" s="66">
        <v>401</v>
      </c>
      <c r="W115" s="66">
        <v>432</v>
      </c>
      <c r="X115" s="66">
        <v>465</v>
      </c>
      <c r="Y115" s="66"/>
      <c r="Z115" s="657"/>
    </row>
    <row r="116" spans="1:26">
      <c r="A116">
        <f t="shared" si="7"/>
        <v>24</v>
      </c>
      <c r="B116" s="656">
        <v>1</v>
      </c>
      <c r="C116" s="66">
        <v>9</v>
      </c>
      <c r="D116" s="66">
        <v>19</v>
      </c>
      <c r="E116" s="66">
        <v>32</v>
      </c>
      <c r="F116" s="66">
        <v>45</v>
      </c>
      <c r="G116" s="66">
        <v>60</v>
      </c>
      <c r="H116" s="66">
        <v>76</v>
      </c>
      <c r="I116" s="66">
        <v>93</v>
      </c>
      <c r="J116" s="66">
        <v>111</v>
      </c>
      <c r="K116" s="66">
        <v>130</v>
      </c>
      <c r="L116" s="66">
        <v>151</v>
      </c>
      <c r="M116" s="66">
        <v>172</v>
      </c>
      <c r="N116" s="66">
        <v>194</v>
      </c>
      <c r="O116" s="66">
        <v>218</v>
      </c>
      <c r="P116" s="66">
        <v>242</v>
      </c>
      <c r="Q116" s="66">
        <v>267</v>
      </c>
      <c r="R116" s="66">
        <v>294</v>
      </c>
      <c r="S116" s="66">
        <v>321</v>
      </c>
      <c r="T116" s="66">
        <v>350</v>
      </c>
      <c r="U116" s="66">
        <v>379</v>
      </c>
      <c r="V116" s="66">
        <v>410</v>
      </c>
      <c r="W116" s="66">
        <v>441</v>
      </c>
      <c r="X116" s="66">
        <v>474</v>
      </c>
      <c r="Y116" s="66">
        <v>507</v>
      </c>
      <c r="Z116" s="657"/>
    </row>
    <row r="117" spans="1:26">
      <c r="A117">
        <f t="shared" si="7"/>
        <v>25</v>
      </c>
      <c r="B117" s="533">
        <v>1</v>
      </c>
      <c r="C117" s="11">
        <v>9</v>
      </c>
      <c r="D117" s="11">
        <v>20</v>
      </c>
      <c r="E117" s="11">
        <v>33</v>
      </c>
      <c r="F117" s="11">
        <v>47</v>
      </c>
      <c r="G117" s="11">
        <v>62</v>
      </c>
      <c r="H117" s="11">
        <v>78</v>
      </c>
      <c r="I117" s="11">
        <v>96</v>
      </c>
      <c r="J117" s="11">
        <v>114</v>
      </c>
      <c r="K117" s="11">
        <v>134</v>
      </c>
      <c r="L117" s="11">
        <v>155</v>
      </c>
      <c r="M117" s="11">
        <v>176</v>
      </c>
      <c r="N117" s="11">
        <v>199</v>
      </c>
      <c r="O117" s="11">
        <v>223</v>
      </c>
      <c r="P117" s="11">
        <v>248</v>
      </c>
      <c r="Q117" s="11">
        <v>273</v>
      </c>
      <c r="R117" s="11">
        <v>300</v>
      </c>
      <c r="S117" s="11">
        <v>328</v>
      </c>
      <c r="T117" s="11">
        <v>357</v>
      </c>
      <c r="U117" s="11">
        <v>387</v>
      </c>
      <c r="V117" s="11">
        <v>418</v>
      </c>
      <c r="W117" s="11">
        <v>450</v>
      </c>
      <c r="X117" s="11">
        <v>483</v>
      </c>
      <c r="Y117" s="11">
        <v>517</v>
      </c>
      <c r="Z117" s="541">
        <v>552</v>
      </c>
    </row>
    <row r="119" spans="1:26">
      <c r="A119" s="1" t="s">
        <v>273</v>
      </c>
    </row>
    <row r="121" spans="1:26" ht="23.4">
      <c r="A121" s="858" t="s">
        <v>270</v>
      </c>
      <c r="B121">
        <v>1</v>
      </c>
      <c r="C121">
        <f t="shared" ref="C121:Z121" si="8">B121+1</f>
        <v>2</v>
      </c>
      <c r="D121">
        <f t="shared" si="8"/>
        <v>3</v>
      </c>
      <c r="E121">
        <f t="shared" si="8"/>
        <v>4</v>
      </c>
      <c r="F121">
        <f t="shared" si="8"/>
        <v>5</v>
      </c>
      <c r="G121">
        <f t="shared" si="8"/>
        <v>6</v>
      </c>
      <c r="H121">
        <f t="shared" si="8"/>
        <v>7</v>
      </c>
      <c r="I121">
        <f t="shared" si="8"/>
        <v>8</v>
      </c>
      <c r="J121">
        <f t="shared" si="8"/>
        <v>9</v>
      </c>
      <c r="K121">
        <f t="shared" si="8"/>
        <v>10</v>
      </c>
      <c r="L121">
        <f t="shared" si="8"/>
        <v>11</v>
      </c>
      <c r="M121">
        <f t="shared" si="8"/>
        <v>12</v>
      </c>
      <c r="N121">
        <f t="shared" si="8"/>
        <v>13</v>
      </c>
      <c r="O121">
        <f t="shared" si="8"/>
        <v>14</v>
      </c>
      <c r="P121">
        <f t="shared" si="8"/>
        <v>15</v>
      </c>
      <c r="Q121">
        <f t="shared" si="8"/>
        <v>16</v>
      </c>
      <c r="R121">
        <f t="shared" si="8"/>
        <v>17</v>
      </c>
      <c r="S121">
        <f t="shared" si="8"/>
        <v>18</v>
      </c>
      <c r="T121">
        <f t="shared" si="8"/>
        <v>19</v>
      </c>
      <c r="U121">
        <f t="shared" si="8"/>
        <v>20</v>
      </c>
      <c r="V121">
        <f t="shared" si="8"/>
        <v>21</v>
      </c>
      <c r="W121">
        <f t="shared" si="8"/>
        <v>22</v>
      </c>
      <c r="X121">
        <f t="shared" si="8"/>
        <v>23</v>
      </c>
      <c r="Y121">
        <f t="shared" si="8"/>
        <v>24</v>
      </c>
      <c r="Z121">
        <f t="shared" si="8"/>
        <v>25</v>
      </c>
    </row>
    <row r="122" spans="1:26">
      <c r="A122">
        <v>1</v>
      </c>
      <c r="B122" s="86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866"/>
    </row>
    <row r="123" spans="1:26">
      <c r="A123">
        <f>A122+1</f>
        <v>2</v>
      </c>
      <c r="B123" s="656"/>
      <c r="C123" s="19" t="s">
        <v>274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657"/>
    </row>
    <row r="124" spans="1:26">
      <c r="A124">
        <f t="shared" ref="A124:A146" si="9">A123+1</f>
        <v>3</v>
      </c>
      <c r="B124" s="656"/>
      <c r="C124" s="8">
        <v>3</v>
      </c>
      <c r="D124" s="8">
        <v>7</v>
      </c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657"/>
    </row>
    <row r="125" spans="1:26">
      <c r="A125">
        <f t="shared" si="9"/>
        <v>4</v>
      </c>
      <c r="B125" s="656"/>
      <c r="C125" s="8">
        <v>3</v>
      </c>
      <c r="D125" s="8">
        <v>7</v>
      </c>
      <c r="E125" s="8">
        <v>13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657"/>
    </row>
    <row r="126" spans="1:26">
      <c r="A126">
        <f t="shared" si="9"/>
        <v>5</v>
      </c>
      <c r="B126" s="656"/>
      <c r="C126" s="8">
        <v>4</v>
      </c>
      <c r="D126" s="8">
        <v>8</v>
      </c>
      <c r="E126" s="8">
        <v>14</v>
      </c>
      <c r="F126" s="66">
        <v>20</v>
      </c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657"/>
    </row>
    <row r="127" spans="1:26">
      <c r="A127">
        <f t="shared" si="9"/>
        <v>6</v>
      </c>
      <c r="B127" s="656"/>
      <c r="C127" s="66">
        <v>4</v>
      </c>
      <c r="D127" s="66">
        <v>9</v>
      </c>
      <c r="E127" s="8">
        <v>15</v>
      </c>
      <c r="F127" s="66">
        <v>22</v>
      </c>
      <c r="G127" s="66">
        <v>30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657"/>
    </row>
    <row r="128" spans="1:26">
      <c r="A128">
        <f t="shared" si="9"/>
        <v>7</v>
      </c>
      <c r="B128" s="656"/>
      <c r="C128" s="66">
        <v>4</v>
      </c>
      <c r="D128" s="66">
        <v>10</v>
      </c>
      <c r="E128" s="66">
        <v>16</v>
      </c>
      <c r="F128" s="66">
        <v>23</v>
      </c>
      <c r="G128" s="66">
        <v>32</v>
      </c>
      <c r="H128" s="66">
        <v>41</v>
      </c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657"/>
    </row>
    <row r="129" spans="1:26">
      <c r="A129">
        <f t="shared" si="9"/>
        <v>8</v>
      </c>
      <c r="B129" s="750" t="s">
        <v>274</v>
      </c>
      <c r="C129" s="66">
        <v>5</v>
      </c>
      <c r="D129" s="66">
        <v>11</v>
      </c>
      <c r="E129" s="66">
        <v>17</v>
      </c>
      <c r="F129" s="66">
        <v>25</v>
      </c>
      <c r="G129" s="66">
        <v>34</v>
      </c>
      <c r="H129" s="66">
        <v>44</v>
      </c>
      <c r="I129" s="66">
        <v>55</v>
      </c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657"/>
    </row>
    <row r="130" spans="1:26">
      <c r="A130">
        <f t="shared" si="9"/>
        <v>9</v>
      </c>
      <c r="B130" s="656">
        <v>1</v>
      </c>
      <c r="C130" s="66">
        <v>5</v>
      </c>
      <c r="D130" s="66">
        <v>11</v>
      </c>
      <c r="E130" s="66">
        <v>19</v>
      </c>
      <c r="F130" s="66">
        <v>27</v>
      </c>
      <c r="G130" s="66">
        <v>36</v>
      </c>
      <c r="H130" s="66">
        <v>46</v>
      </c>
      <c r="I130" s="66">
        <v>58</v>
      </c>
      <c r="J130" s="66">
        <v>70</v>
      </c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657"/>
    </row>
    <row r="131" spans="1:26">
      <c r="A131">
        <f t="shared" si="9"/>
        <v>10</v>
      </c>
      <c r="B131" s="656">
        <v>1</v>
      </c>
      <c r="C131" s="66">
        <v>6</v>
      </c>
      <c r="D131" s="66">
        <v>12</v>
      </c>
      <c r="E131" s="66">
        <v>20</v>
      </c>
      <c r="F131" s="66">
        <v>28</v>
      </c>
      <c r="G131" s="66">
        <v>38</v>
      </c>
      <c r="H131" s="66">
        <v>49</v>
      </c>
      <c r="I131" s="66">
        <v>60</v>
      </c>
      <c r="J131" s="66">
        <v>73</v>
      </c>
      <c r="K131" s="66">
        <v>87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657"/>
    </row>
    <row r="132" spans="1:26">
      <c r="A132">
        <f t="shared" si="9"/>
        <v>11</v>
      </c>
      <c r="B132" s="656">
        <v>1</v>
      </c>
      <c r="C132" s="66">
        <v>6</v>
      </c>
      <c r="D132" s="66">
        <v>13</v>
      </c>
      <c r="E132" s="66">
        <v>21</v>
      </c>
      <c r="F132" s="66">
        <v>30</v>
      </c>
      <c r="G132" s="66">
        <v>40</v>
      </c>
      <c r="H132" s="66">
        <v>51</v>
      </c>
      <c r="I132" s="66">
        <v>63</v>
      </c>
      <c r="J132" s="66">
        <v>76</v>
      </c>
      <c r="K132" s="66">
        <v>91</v>
      </c>
      <c r="L132" s="66">
        <v>106</v>
      </c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57"/>
    </row>
    <row r="133" spans="1:26">
      <c r="A133">
        <f t="shared" si="9"/>
        <v>12</v>
      </c>
      <c r="B133" s="656">
        <v>1</v>
      </c>
      <c r="C133" s="66">
        <v>7</v>
      </c>
      <c r="D133" s="66">
        <v>14</v>
      </c>
      <c r="E133" s="66">
        <v>22</v>
      </c>
      <c r="F133" s="66">
        <v>32</v>
      </c>
      <c r="G133" s="66">
        <v>42</v>
      </c>
      <c r="H133" s="66">
        <v>54</v>
      </c>
      <c r="I133" s="66">
        <v>66</v>
      </c>
      <c r="J133" s="66">
        <v>80</v>
      </c>
      <c r="K133" s="66">
        <v>94</v>
      </c>
      <c r="L133" s="66">
        <v>110</v>
      </c>
      <c r="M133" s="66">
        <v>127</v>
      </c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57"/>
    </row>
    <row r="134" spans="1:26">
      <c r="A134">
        <f t="shared" si="9"/>
        <v>13</v>
      </c>
      <c r="B134" s="656">
        <v>1</v>
      </c>
      <c r="C134" s="66">
        <v>7</v>
      </c>
      <c r="D134" s="66">
        <v>15</v>
      </c>
      <c r="E134" s="66">
        <v>23</v>
      </c>
      <c r="F134" s="66">
        <v>33</v>
      </c>
      <c r="G134" s="66">
        <v>44</v>
      </c>
      <c r="H134" s="66">
        <v>56</v>
      </c>
      <c r="I134" s="66">
        <v>69</v>
      </c>
      <c r="J134" s="66">
        <v>83</v>
      </c>
      <c r="K134" s="66">
        <v>98</v>
      </c>
      <c r="L134" s="66">
        <v>114</v>
      </c>
      <c r="M134" s="66">
        <v>131</v>
      </c>
      <c r="N134" s="66">
        <v>149</v>
      </c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57"/>
    </row>
    <row r="135" spans="1:26">
      <c r="A135">
        <f t="shared" si="9"/>
        <v>14</v>
      </c>
      <c r="B135" s="656">
        <v>1</v>
      </c>
      <c r="C135" s="66">
        <v>8</v>
      </c>
      <c r="D135" s="66">
        <v>16</v>
      </c>
      <c r="E135" s="66">
        <v>25</v>
      </c>
      <c r="F135" s="66">
        <v>35</v>
      </c>
      <c r="G135" s="66">
        <v>46</v>
      </c>
      <c r="H135" s="66">
        <v>59</v>
      </c>
      <c r="I135" s="66">
        <v>72</v>
      </c>
      <c r="J135" s="66">
        <v>86</v>
      </c>
      <c r="K135" s="66">
        <v>102</v>
      </c>
      <c r="L135" s="66">
        <v>118</v>
      </c>
      <c r="M135" s="66">
        <v>136</v>
      </c>
      <c r="N135" s="66">
        <v>154</v>
      </c>
      <c r="O135" s="66">
        <v>174</v>
      </c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57"/>
    </row>
    <row r="136" spans="1:26">
      <c r="A136">
        <f t="shared" si="9"/>
        <v>15</v>
      </c>
      <c r="B136" s="656">
        <v>1</v>
      </c>
      <c r="C136" s="66">
        <v>8</v>
      </c>
      <c r="D136" s="66">
        <v>16</v>
      </c>
      <c r="E136" s="66">
        <v>26</v>
      </c>
      <c r="F136" s="66">
        <v>37</v>
      </c>
      <c r="G136" s="66">
        <v>48</v>
      </c>
      <c r="H136" s="66">
        <v>61</v>
      </c>
      <c r="I136" s="66">
        <v>75</v>
      </c>
      <c r="J136" s="66">
        <v>90</v>
      </c>
      <c r="K136" s="66">
        <v>106</v>
      </c>
      <c r="L136" s="66">
        <v>123</v>
      </c>
      <c r="M136" s="66">
        <v>141</v>
      </c>
      <c r="N136" s="66">
        <v>159</v>
      </c>
      <c r="O136" s="66">
        <v>179</v>
      </c>
      <c r="P136" s="66">
        <v>200</v>
      </c>
      <c r="Q136" s="66"/>
      <c r="R136" s="66"/>
      <c r="S136" s="66"/>
      <c r="T136" s="66"/>
      <c r="U136" s="66"/>
      <c r="V136" s="66"/>
      <c r="W136" s="66"/>
      <c r="X136" s="66"/>
      <c r="Y136" s="66"/>
      <c r="Z136" s="657"/>
    </row>
    <row r="137" spans="1:26">
      <c r="A137">
        <f t="shared" si="9"/>
        <v>16</v>
      </c>
      <c r="B137" s="656">
        <v>1</v>
      </c>
      <c r="C137" s="66">
        <v>8</v>
      </c>
      <c r="D137" s="66">
        <v>17</v>
      </c>
      <c r="E137" s="66">
        <v>27</v>
      </c>
      <c r="F137" s="66">
        <v>38</v>
      </c>
      <c r="G137" s="66">
        <v>50</v>
      </c>
      <c r="H137" s="66">
        <v>64</v>
      </c>
      <c r="I137" s="66">
        <v>78</v>
      </c>
      <c r="J137" s="66">
        <v>93</v>
      </c>
      <c r="K137" s="66">
        <v>109</v>
      </c>
      <c r="L137" s="66">
        <v>127</v>
      </c>
      <c r="M137" s="66">
        <v>145</v>
      </c>
      <c r="N137" s="66">
        <v>165</v>
      </c>
      <c r="O137" s="66">
        <v>185</v>
      </c>
      <c r="P137" s="66">
        <v>206</v>
      </c>
      <c r="Q137" s="66">
        <v>229</v>
      </c>
      <c r="R137" s="66"/>
      <c r="S137" s="66"/>
      <c r="T137" s="66"/>
      <c r="U137" s="66"/>
      <c r="V137" s="66"/>
      <c r="W137" s="66"/>
      <c r="X137" s="66"/>
      <c r="Y137" s="66"/>
      <c r="Z137" s="657"/>
    </row>
    <row r="138" spans="1:26">
      <c r="A138">
        <f t="shared" si="9"/>
        <v>17</v>
      </c>
      <c r="B138" s="656">
        <v>1</v>
      </c>
      <c r="C138" s="66">
        <v>9</v>
      </c>
      <c r="D138" s="66">
        <v>18</v>
      </c>
      <c r="E138" s="66">
        <v>28</v>
      </c>
      <c r="F138" s="66">
        <v>40</v>
      </c>
      <c r="G138" s="66">
        <v>52</v>
      </c>
      <c r="H138" s="66">
        <v>66</v>
      </c>
      <c r="I138" s="66">
        <v>81</v>
      </c>
      <c r="J138" s="66">
        <v>97</v>
      </c>
      <c r="K138" s="66">
        <v>113</v>
      </c>
      <c r="L138" s="66">
        <v>131</v>
      </c>
      <c r="M138" s="66">
        <v>150</v>
      </c>
      <c r="N138" s="66">
        <v>170</v>
      </c>
      <c r="O138" s="66">
        <v>190</v>
      </c>
      <c r="P138" s="66">
        <v>212</v>
      </c>
      <c r="Q138" s="66">
        <v>235</v>
      </c>
      <c r="R138" s="66">
        <v>259</v>
      </c>
      <c r="S138" s="66"/>
      <c r="T138" s="66"/>
      <c r="U138" s="66"/>
      <c r="V138" s="66"/>
      <c r="W138" s="66"/>
      <c r="X138" s="66"/>
      <c r="Y138" s="66"/>
      <c r="Z138" s="657"/>
    </row>
    <row r="139" spans="1:26">
      <c r="A139">
        <f t="shared" si="9"/>
        <v>18</v>
      </c>
      <c r="B139" s="656">
        <v>1</v>
      </c>
      <c r="C139" s="66">
        <v>9</v>
      </c>
      <c r="D139" s="66">
        <v>19</v>
      </c>
      <c r="E139" s="66">
        <v>30</v>
      </c>
      <c r="F139" s="66">
        <v>42</v>
      </c>
      <c r="G139" s="66">
        <v>55</v>
      </c>
      <c r="H139" s="66">
        <v>69</v>
      </c>
      <c r="I139" s="66">
        <v>84</v>
      </c>
      <c r="J139" s="66">
        <v>100</v>
      </c>
      <c r="K139" s="66">
        <v>117</v>
      </c>
      <c r="L139" s="66">
        <v>135</v>
      </c>
      <c r="M139" s="66">
        <v>155</v>
      </c>
      <c r="N139" s="66">
        <v>175</v>
      </c>
      <c r="O139" s="66">
        <v>196</v>
      </c>
      <c r="P139" s="66">
        <v>218</v>
      </c>
      <c r="Q139" s="66">
        <v>242</v>
      </c>
      <c r="R139" s="66">
        <v>266</v>
      </c>
      <c r="S139" s="66">
        <v>291</v>
      </c>
      <c r="T139" s="66"/>
      <c r="U139" s="66"/>
      <c r="V139" s="66"/>
      <c r="W139" s="66"/>
      <c r="X139" s="66"/>
      <c r="Y139" s="66"/>
      <c r="Z139" s="657"/>
    </row>
    <row r="140" spans="1:26">
      <c r="A140">
        <f t="shared" si="9"/>
        <v>19</v>
      </c>
      <c r="B140" s="656">
        <v>2</v>
      </c>
      <c r="C140" s="66">
        <v>10</v>
      </c>
      <c r="D140" s="66">
        <v>20</v>
      </c>
      <c r="E140" s="66">
        <v>31</v>
      </c>
      <c r="F140" s="66">
        <v>43</v>
      </c>
      <c r="G140" s="66">
        <v>57</v>
      </c>
      <c r="H140" s="66">
        <v>71</v>
      </c>
      <c r="I140" s="66">
        <v>87</v>
      </c>
      <c r="J140" s="66">
        <v>103</v>
      </c>
      <c r="K140" s="66">
        <v>121</v>
      </c>
      <c r="L140" s="66">
        <v>139</v>
      </c>
      <c r="M140" s="66">
        <v>159</v>
      </c>
      <c r="N140" s="66">
        <v>180</v>
      </c>
      <c r="O140" s="66">
        <v>202</v>
      </c>
      <c r="P140" s="66">
        <v>224</v>
      </c>
      <c r="Q140" s="66">
        <v>248</v>
      </c>
      <c r="R140" s="66">
        <v>273</v>
      </c>
      <c r="S140" s="66">
        <v>299</v>
      </c>
      <c r="T140" s="66">
        <v>325</v>
      </c>
      <c r="U140" s="66"/>
      <c r="V140" s="66"/>
      <c r="W140" s="66"/>
      <c r="X140" s="66"/>
      <c r="Y140" s="66"/>
      <c r="Z140" s="657"/>
    </row>
    <row r="141" spans="1:26">
      <c r="A141">
        <f t="shared" si="9"/>
        <v>20</v>
      </c>
      <c r="B141" s="656">
        <v>2</v>
      </c>
      <c r="C141" s="66">
        <v>10</v>
      </c>
      <c r="D141" s="66">
        <v>21</v>
      </c>
      <c r="E141" s="66">
        <v>32</v>
      </c>
      <c r="F141" s="66">
        <v>45</v>
      </c>
      <c r="G141" s="66">
        <v>59</v>
      </c>
      <c r="H141" s="66">
        <v>74</v>
      </c>
      <c r="I141" s="66">
        <v>90</v>
      </c>
      <c r="J141" s="66">
        <v>107</v>
      </c>
      <c r="K141" s="66">
        <v>125</v>
      </c>
      <c r="L141" s="66">
        <v>144</v>
      </c>
      <c r="M141" s="66">
        <v>164</v>
      </c>
      <c r="N141" s="66">
        <v>185</v>
      </c>
      <c r="O141" s="66">
        <v>207</v>
      </c>
      <c r="P141" s="66">
        <v>230</v>
      </c>
      <c r="Q141" s="66">
        <v>255</v>
      </c>
      <c r="R141" s="66">
        <v>280</v>
      </c>
      <c r="S141" s="66">
        <v>306</v>
      </c>
      <c r="T141" s="66">
        <v>333</v>
      </c>
      <c r="U141" s="66">
        <v>361</v>
      </c>
      <c r="V141" s="66"/>
      <c r="W141" s="66"/>
      <c r="X141" s="66"/>
      <c r="Y141" s="66"/>
      <c r="Z141" s="657"/>
    </row>
    <row r="142" spans="1:26">
      <c r="A142">
        <f t="shared" si="9"/>
        <v>21</v>
      </c>
      <c r="B142" s="656">
        <v>2</v>
      </c>
      <c r="C142" s="66">
        <v>11</v>
      </c>
      <c r="D142" s="66">
        <v>21</v>
      </c>
      <c r="E142" s="66">
        <v>33</v>
      </c>
      <c r="F142" s="66">
        <v>47</v>
      </c>
      <c r="G142" s="66">
        <v>61</v>
      </c>
      <c r="H142" s="66">
        <v>76</v>
      </c>
      <c r="I142" s="66">
        <v>92</v>
      </c>
      <c r="J142" s="66">
        <v>110</v>
      </c>
      <c r="K142" s="66">
        <v>128</v>
      </c>
      <c r="L142" s="66">
        <v>148</v>
      </c>
      <c r="M142" s="66">
        <v>169</v>
      </c>
      <c r="N142" s="66">
        <v>190</v>
      </c>
      <c r="O142" s="66">
        <v>213</v>
      </c>
      <c r="P142" s="66">
        <v>236</v>
      </c>
      <c r="Q142" s="66">
        <v>261</v>
      </c>
      <c r="R142" s="66">
        <v>287</v>
      </c>
      <c r="S142" s="66">
        <v>313</v>
      </c>
      <c r="T142" s="66">
        <v>341</v>
      </c>
      <c r="U142" s="66">
        <v>370</v>
      </c>
      <c r="V142" s="66">
        <v>399</v>
      </c>
      <c r="W142" s="66"/>
      <c r="X142" s="66"/>
      <c r="Y142" s="66"/>
      <c r="Z142" s="657"/>
    </row>
    <row r="143" spans="1:26">
      <c r="A143">
        <f t="shared" si="9"/>
        <v>22</v>
      </c>
      <c r="B143" s="656">
        <v>2</v>
      </c>
      <c r="C143" s="66">
        <v>11</v>
      </c>
      <c r="D143" s="66">
        <v>22</v>
      </c>
      <c r="E143" s="66">
        <v>35</v>
      </c>
      <c r="F143" s="66">
        <v>48</v>
      </c>
      <c r="G143" s="66">
        <v>63</v>
      </c>
      <c r="H143" s="66">
        <v>79</v>
      </c>
      <c r="I143" s="66">
        <v>95</v>
      </c>
      <c r="J143" s="66">
        <v>113</v>
      </c>
      <c r="K143" s="66">
        <v>132</v>
      </c>
      <c r="L143" s="66">
        <v>152</v>
      </c>
      <c r="M143" s="66">
        <v>173</v>
      </c>
      <c r="N143" s="66">
        <v>195</v>
      </c>
      <c r="O143" s="66">
        <v>218</v>
      </c>
      <c r="P143" s="66">
        <v>242</v>
      </c>
      <c r="Q143" s="66">
        <v>267</v>
      </c>
      <c r="R143" s="66">
        <v>294</v>
      </c>
      <c r="S143" s="66">
        <v>321</v>
      </c>
      <c r="T143" s="66">
        <v>349</v>
      </c>
      <c r="U143" s="66">
        <v>378</v>
      </c>
      <c r="V143" s="66">
        <v>408</v>
      </c>
      <c r="W143" s="66">
        <v>439</v>
      </c>
      <c r="X143" s="66"/>
      <c r="Y143" s="66"/>
      <c r="Z143" s="657"/>
    </row>
    <row r="144" spans="1:26">
      <c r="A144">
        <f t="shared" si="9"/>
        <v>23</v>
      </c>
      <c r="B144" s="656">
        <v>2</v>
      </c>
      <c r="C144" s="66">
        <v>12</v>
      </c>
      <c r="D144" s="66">
        <v>23</v>
      </c>
      <c r="E144" s="66">
        <v>36</v>
      </c>
      <c r="F144" s="66">
        <v>50</v>
      </c>
      <c r="G144" s="66">
        <v>65</v>
      </c>
      <c r="H144" s="66">
        <v>81</v>
      </c>
      <c r="I144" s="66">
        <v>98</v>
      </c>
      <c r="J144" s="66">
        <v>117</v>
      </c>
      <c r="K144" s="66">
        <v>136</v>
      </c>
      <c r="L144" s="66">
        <v>156</v>
      </c>
      <c r="M144" s="66">
        <v>178</v>
      </c>
      <c r="N144" s="66">
        <v>200</v>
      </c>
      <c r="O144" s="66">
        <v>224</v>
      </c>
      <c r="P144" s="66">
        <v>248</v>
      </c>
      <c r="Q144" s="66">
        <v>274</v>
      </c>
      <c r="R144" s="66">
        <v>300</v>
      </c>
      <c r="S144" s="66">
        <v>328</v>
      </c>
      <c r="T144" s="66">
        <v>357</v>
      </c>
      <c r="U144" s="66">
        <v>386</v>
      </c>
      <c r="V144" s="66">
        <v>417</v>
      </c>
      <c r="W144" s="66">
        <v>448</v>
      </c>
      <c r="X144" s="66">
        <v>481</v>
      </c>
      <c r="Y144" s="66"/>
      <c r="Z144" s="657"/>
    </row>
    <row r="145" spans="1:26">
      <c r="A145">
        <f t="shared" si="9"/>
        <v>24</v>
      </c>
      <c r="B145" s="656">
        <v>2</v>
      </c>
      <c r="C145" s="66">
        <v>12</v>
      </c>
      <c r="D145" s="66">
        <v>24</v>
      </c>
      <c r="E145" s="66">
        <v>38</v>
      </c>
      <c r="F145" s="66">
        <v>51</v>
      </c>
      <c r="G145" s="66">
        <v>67</v>
      </c>
      <c r="H145" s="66">
        <v>84</v>
      </c>
      <c r="I145" s="66">
        <v>101</v>
      </c>
      <c r="J145" s="66">
        <v>120</v>
      </c>
      <c r="K145" s="66">
        <v>140</v>
      </c>
      <c r="L145" s="66">
        <v>161</v>
      </c>
      <c r="M145" s="66">
        <v>183</v>
      </c>
      <c r="N145" s="66">
        <v>205</v>
      </c>
      <c r="O145" s="66">
        <v>229</v>
      </c>
      <c r="P145" s="66">
        <v>254</v>
      </c>
      <c r="Q145" s="66">
        <v>280</v>
      </c>
      <c r="R145" s="66">
        <v>307</v>
      </c>
      <c r="S145" s="66">
        <v>335</v>
      </c>
      <c r="T145" s="66">
        <v>364</v>
      </c>
      <c r="U145" s="66">
        <v>394</v>
      </c>
      <c r="V145" s="66">
        <v>425</v>
      </c>
      <c r="W145" s="66">
        <v>457</v>
      </c>
      <c r="X145" s="66">
        <v>491</v>
      </c>
      <c r="Y145" s="66">
        <v>525</v>
      </c>
      <c r="Z145" s="657"/>
    </row>
    <row r="146" spans="1:26">
      <c r="A146">
        <f t="shared" si="9"/>
        <v>25</v>
      </c>
      <c r="B146" s="533">
        <v>2</v>
      </c>
      <c r="C146" s="11">
        <v>12</v>
      </c>
      <c r="D146" s="11">
        <v>25</v>
      </c>
      <c r="E146" s="11">
        <v>38</v>
      </c>
      <c r="F146" s="11">
        <v>53</v>
      </c>
      <c r="G146" s="11">
        <v>69</v>
      </c>
      <c r="H146" s="11">
        <v>86</v>
      </c>
      <c r="I146" s="11">
        <v>104</v>
      </c>
      <c r="J146" s="11">
        <v>123</v>
      </c>
      <c r="K146" s="11">
        <v>144</v>
      </c>
      <c r="L146" s="11">
        <v>165</v>
      </c>
      <c r="M146" s="11">
        <v>187</v>
      </c>
      <c r="N146" s="11">
        <v>211</v>
      </c>
      <c r="O146" s="11">
        <v>235</v>
      </c>
      <c r="P146" s="11">
        <v>260</v>
      </c>
      <c r="Q146" s="11">
        <v>287</v>
      </c>
      <c r="R146" s="11">
        <v>314</v>
      </c>
      <c r="S146" s="11">
        <v>343</v>
      </c>
      <c r="T146" s="11">
        <v>372</v>
      </c>
      <c r="U146" s="11">
        <v>403</v>
      </c>
      <c r="V146" s="11">
        <v>434</v>
      </c>
      <c r="W146" s="11">
        <v>467</v>
      </c>
      <c r="X146" s="11">
        <v>500</v>
      </c>
      <c r="Y146" s="11">
        <v>535</v>
      </c>
      <c r="Z146" s="541">
        <v>570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sheetPr codeName="Sheet43"/>
  <dimension ref="A1:U154"/>
  <sheetViews>
    <sheetView workbookViewId="0"/>
  </sheetViews>
  <sheetFormatPr defaultRowHeight="14.4"/>
  <cols>
    <col min="1" max="1" width="6.88671875" customWidth="1"/>
    <col min="2" max="20" width="5.88671875" customWidth="1"/>
  </cols>
  <sheetData>
    <row r="1" spans="1:20">
      <c r="A1" s="1" t="s">
        <v>275</v>
      </c>
    </row>
    <row r="3" spans="1:20" ht="23.4">
      <c r="A3" s="92" t="s">
        <v>276</v>
      </c>
      <c r="B3">
        <v>2</v>
      </c>
      <c r="C3">
        <f>B3+1</f>
        <v>3</v>
      </c>
      <c r="D3">
        <f t="shared" ref="D3:T3" si="0">C3+1</f>
        <v>4</v>
      </c>
      <c r="E3">
        <f t="shared" si="0"/>
        <v>5</v>
      </c>
      <c r="F3">
        <f t="shared" si="0"/>
        <v>6</v>
      </c>
      <c r="G3">
        <f t="shared" si="0"/>
        <v>7</v>
      </c>
      <c r="H3">
        <f t="shared" si="0"/>
        <v>8</v>
      </c>
      <c r="I3">
        <f t="shared" si="0"/>
        <v>9</v>
      </c>
      <c r="J3">
        <f t="shared" si="0"/>
        <v>10</v>
      </c>
      <c r="K3">
        <f t="shared" si="0"/>
        <v>11</v>
      </c>
      <c r="L3">
        <f t="shared" si="0"/>
        <v>12</v>
      </c>
      <c r="M3">
        <f t="shared" si="0"/>
        <v>13</v>
      </c>
      <c r="N3">
        <f t="shared" si="0"/>
        <v>14</v>
      </c>
      <c r="O3">
        <f t="shared" si="0"/>
        <v>15</v>
      </c>
      <c r="P3">
        <f t="shared" si="0"/>
        <v>16</v>
      </c>
      <c r="Q3">
        <f t="shared" si="0"/>
        <v>17</v>
      </c>
      <c r="R3">
        <f t="shared" si="0"/>
        <v>18</v>
      </c>
      <c r="S3">
        <f t="shared" si="0"/>
        <v>19</v>
      </c>
      <c r="T3">
        <f t="shared" si="0"/>
        <v>20</v>
      </c>
    </row>
    <row r="4" spans="1:20">
      <c r="A4">
        <v>2</v>
      </c>
      <c r="B4" s="4"/>
      <c r="C4" s="5"/>
      <c r="D4" s="5"/>
      <c r="E4" s="5"/>
      <c r="F4" s="5"/>
      <c r="G4" s="5"/>
      <c r="H4" s="5">
        <v>0</v>
      </c>
      <c r="I4" s="5">
        <v>0</v>
      </c>
      <c r="J4" s="5">
        <v>0</v>
      </c>
      <c r="K4" s="5">
        <v>0</v>
      </c>
      <c r="L4" s="5">
        <v>1</v>
      </c>
      <c r="M4" s="5">
        <v>1</v>
      </c>
      <c r="N4" s="5">
        <v>1</v>
      </c>
      <c r="O4" s="5">
        <v>1</v>
      </c>
      <c r="P4" s="5">
        <v>1</v>
      </c>
      <c r="Q4" s="5">
        <v>2</v>
      </c>
      <c r="R4" s="5">
        <v>2</v>
      </c>
      <c r="S4" s="5">
        <v>2</v>
      </c>
      <c r="T4" s="6">
        <v>2</v>
      </c>
    </row>
    <row r="5" spans="1:20">
      <c r="A5">
        <f>A4+1</f>
        <v>3</v>
      </c>
      <c r="B5" s="7"/>
      <c r="C5" s="8"/>
      <c r="D5" s="8"/>
      <c r="E5" s="8">
        <v>0</v>
      </c>
      <c r="F5" s="8">
        <v>1</v>
      </c>
      <c r="G5" s="8">
        <v>1</v>
      </c>
      <c r="H5" s="8">
        <v>2</v>
      </c>
      <c r="I5" s="8">
        <v>2</v>
      </c>
      <c r="J5" s="8">
        <v>3</v>
      </c>
      <c r="K5" s="8">
        <v>3</v>
      </c>
      <c r="L5" s="8">
        <v>4</v>
      </c>
      <c r="M5" s="8">
        <v>4</v>
      </c>
      <c r="N5" s="8">
        <v>5</v>
      </c>
      <c r="O5" s="8">
        <v>5</v>
      </c>
      <c r="P5" s="8">
        <v>6</v>
      </c>
      <c r="Q5" s="8">
        <v>6</v>
      </c>
      <c r="R5" s="8">
        <v>7</v>
      </c>
      <c r="S5" s="8">
        <v>7</v>
      </c>
      <c r="T5" s="9">
        <v>8</v>
      </c>
    </row>
    <row r="6" spans="1:20">
      <c r="A6">
        <f t="shared" ref="A6:A22" si="1">A5+1</f>
        <v>4</v>
      </c>
      <c r="B6" s="7"/>
      <c r="C6" s="8"/>
      <c r="D6" s="8">
        <v>0</v>
      </c>
      <c r="E6" s="8">
        <v>1</v>
      </c>
      <c r="F6" s="8">
        <v>2</v>
      </c>
      <c r="G6" s="8">
        <v>3</v>
      </c>
      <c r="H6" s="8">
        <v>4</v>
      </c>
      <c r="I6" s="8">
        <v>4</v>
      </c>
      <c r="J6" s="8">
        <v>5</v>
      </c>
      <c r="K6" s="8">
        <v>6</v>
      </c>
      <c r="L6" s="8">
        <v>7</v>
      </c>
      <c r="M6" s="8">
        <v>8</v>
      </c>
      <c r="N6" s="8">
        <v>9</v>
      </c>
      <c r="O6" s="8">
        <v>10</v>
      </c>
      <c r="P6" s="8">
        <v>11</v>
      </c>
      <c r="Q6" s="8">
        <v>11</v>
      </c>
      <c r="R6" s="8">
        <v>12</v>
      </c>
      <c r="S6" s="8">
        <v>13</v>
      </c>
      <c r="T6" s="9">
        <v>14</v>
      </c>
    </row>
    <row r="7" spans="1:20">
      <c r="A7">
        <f t="shared" si="1"/>
        <v>5</v>
      </c>
      <c r="B7" s="7"/>
      <c r="C7" s="8">
        <v>0</v>
      </c>
      <c r="D7" s="8">
        <v>1</v>
      </c>
      <c r="E7" s="8">
        <v>2</v>
      </c>
      <c r="F7" s="8">
        <v>3</v>
      </c>
      <c r="G7" s="8">
        <v>5</v>
      </c>
      <c r="H7" s="8">
        <v>6</v>
      </c>
      <c r="I7" s="8">
        <v>7</v>
      </c>
      <c r="J7" s="8">
        <v>8</v>
      </c>
      <c r="K7" s="8">
        <v>9</v>
      </c>
      <c r="L7" s="8">
        <v>11</v>
      </c>
      <c r="M7" s="8">
        <v>12</v>
      </c>
      <c r="N7" s="8">
        <v>13</v>
      </c>
      <c r="O7" s="8">
        <v>14</v>
      </c>
      <c r="P7" s="8">
        <v>15</v>
      </c>
      <c r="Q7" s="8">
        <v>17</v>
      </c>
      <c r="R7" s="8">
        <v>18</v>
      </c>
      <c r="S7" s="8">
        <v>19</v>
      </c>
      <c r="T7" s="9">
        <v>20</v>
      </c>
    </row>
    <row r="8" spans="1:20">
      <c r="A8">
        <f t="shared" si="1"/>
        <v>6</v>
      </c>
      <c r="B8" s="7"/>
      <c r="C8" s="8">
        <v>1</v>
      </c>
      <c r="D8" s="8">
        <v>2</v>
      </c>
      <c r="E8" s="8">
        <v>3</v>
      </c>
      <c r="F8" s="8">
        <v>5</v>
      </c>
      <c r="G8" s="8">
        <v>6</v>
      </c>
      <c r="H8" s="8">
        <v>7</v>
      </c>
      <c r="I8" s="8">
        <v>10</v>
      </c>
      <c r="J8" s="8">
        <v>11</v>
      </c>
      <c r="K8" s="8">
        <v>13</v>
      </c>
      <c r="L8" s="8">
        <v>14</v>
      </c>
      <c r="M8" s="8">
        <v>16</v>
      </c>
      <c r="N8" s="8">
        <v>17</v>
      </c>
      <c r="O8" s="8">
        <v>19</v>
      </c>
      <c r="P8" s="8">
        <v>21</v>
      </c>
      <c r="Q8" s="8">
        <v>22</v>
      </c>
      <c r="R8" s="8">
        <v>24</v>
      </c>
      <c r="S8" s="8">
        <v>25</v>
      </c>
      <c r="T8" s="9">
        <v>27</v>
      </c>
    </row>
    <row r="9" spans="1:20">
      <c r="A9">
        <f t="shared" si="1"/>
        <v>7</v>
      </c>
      <c r="B9" s="7"/>
      <c r="C9" s="8">
        <v>1</v>
      </c>
      <c r="D9" s="8">
        <v>3</v>
      </c>
      <c r="E9" s="8">
        <v>5</v>
      </c>
      <c r="F9" s="8">
        <v>6</v>
      </c>
      <c r="G9" s="8">
        <v>8</v>
      </c>
      <c r="H9" s="8">
        <v>10</v>
      </c>
      <c r="I9" s="8">
        <v>12</v>
      </c>
      <c r="J9" s="8">
        <v>14</v>
      </c>
      <c r="K9" s="8">
        <v>16</v>
      </c>
      <c r="L9" s="8">
        <v>18</v>
      </c>
      <c r="M9" s="8">
        <v>20</v>
      </c>
      <c r="N9" s="8">
        <v>22</v>
      </c>
      <c r="O9" s="8">
        <v>24</v>
      </c>
      <c r="P9" s="8">
        <v>26</v>
      </c>
      <c r="Q9" s="8">
        <v>28</v>
      </c>
      <c r="R9" s="8">
        <v>30</v>
      </c>
      <c r="S9" s="8">
        <v>32</v>
      </c>
      <c r="T9" s="9">
        <v>34</v>
      </c>
    </row>
    <row r="10" spans="1:20">
      <c r="A10">
        <f t="shared" si="1"/>
        <v>8</v>
      </c>
      <c r="B10" s="7">
        <v>0</v>
      </c>
      <c r="C10" s="8">
        <v>2</v>
      </c>
      <c r="D10" s="8">
        <v>4</v>
      </c>
      <c r="E10" s="8">
        <v>6</v>
      </c>
      <c r="F10" s="8">
        <v>7</v>
      </c>
      <c r="G10" s="8">
        <v>10</v>
      </c>
      <c r="H10" s="8">
        <v>13</v>
      </c>
      <c r="I10" s="8">
        <v>15</v>
      </c>
      <c r="J10" s="8">
        <v>17</v>
      </c>
      <c r="K10" s="8">
        <v>19</v>
      </c>
      <c r="L10" s="8">
        <v>22</v>
      </c>
      <c r="M10" s="8">
        <v>24</v>
      </c>
      <c r="N10" s="8">
        <v>26</v>
      </c>
      <c r="O10" s="8">
        <v>29</v>
      </c>
      <c r="P10" s="8">
        <v>31</v>
      </c>
      <c r="Q10" s="8">
        <v>34</v>
      </c>
      <c r="R10" s="8">
        <v>36</v>
      </c>
      <c r="S10" s="8">
        <v>38</v>
      </c>
      <c r="T10" s="9">
        <v>41</v>
      </c>
    </row>
    <row r="11" spans="1:20">
      <c r="A11">
        <f t="shared" si="1"/>
        <v>9</v>
      </c>
      <c r="B11" s="7">
        <v>0</v>
      </c>
      <c r="C11" s="8">
        <v>2</v>
      </c>
      <c r="D11" s="8">
        <v>4</v>
      </c>
      <c r="E11" s="8">
        <v>7</v>
      </c>
      <c r="F11" s="8">
        <v>10</v>
      </c>
      <c r="G11" s="8">
        <v>12</v>
      </c>
      <c r="H11" s="8">
        <v>15</v>
      </c>
      <c r="I11" s="8">
        <v>17</v>
      </c>
      <c r="J11" s="8">
        <v>20</v>
      </c>
      <c r="K11" s="8">
        <v>23</v>
      </c>
      <c r="L11" s="8">
        <v>26</v>
      </c>
      <c r="M11" s="8">
        <v>28</v>
      </c>
      <c r="N11" s="8">
        <v>31</v>
      </c>
      <c r="O11" s="8">
        <v>34</v>
      </c>
      <c r="P11" s="8">
        <v>37</v>
      </c>
      <c r="Q11" s="8">
        <v>39</v>
      </c>
      <c r="R11" s="8">
        <v>42</v>
      </c>
      <c r="S11" s="8">
        <v>45</v>
      </c>
      <c r="T11" s="9">
        <v>48</v>
      </c>
    </row>
    <row r="12" spans="1:20">
      <c r="A12">
        <f t="shared" si="1"/>
        <v>10</v>
      </c>
      <c r="B12" s="7">
        <v>0</v>
      </c>
      <c r="C12" s="8">
        <v>3</v>
      </c>
      <c r="D12" s="8">
        <v>5</v>
      </c>
      <c r="E12" s="8">
        <v>8</v>
      </c>
      <c r="F12" s="8">
        <v>11</v>
      </c>
      <c r="G12" s="8">
        <v>14</v>
      </c>
      <c r="H12" s="8">
        <v>17</v>
      </c>
      <c r="I12" s="8">
        <v>20</v>
      </c>
      <c r="J12" s="8">
        <v>23</v>
      </c>
      <c r="K12" s="8">
        <v>26</v>
      </c>
      <c r="L12" s="8">
        <v>29</v>
      </c>
      <c r="M12" s="8">
        <v>33</v>
      </c>
      <c r="N12" s="8">
        <v>36</v>
      </c>
      <c r="O12" s="8">
        <v>39</v>
      </c>
      <c r="P12" s="8">
        <v>42</v>
      </c>
      <c r="Q12" s="8">
        <v>45</v>
      </c>
      <c r="R12" s="8">
        <v>48</v>
      </c>
      <c r="S12" s="8">
        <v>52</v>
      </c>
      <c r="T12" s="9">
        <v>55</v>
      </c>
    </row>
    <row r="13" spans="1:20">
      <c r="A13">
        <f t="shared" si="1"/>
        <v>11</v>
      </c>
      <c r="B13" s="7">
        <v>0</v>
      </c>
      <c r="C13" s="8">
        <v>3</v>
      </c>
      <c r="D13" s="8">
        <v>6</v>
      </c>
      <c r="E13" s="8">
        <v>9</v>
      </c>
      <c r="F13" s="8">
        <v>13</v>
      </c>
      <c r="G13" s="8">
        <v>16</v>
      </c>
      <c r="H13" s="8">
        <v>19</v>
      </c>
      <c r="I13" s="8">
        <v>23</v>
      </c>
      <c r="J13" s="8">
        <v>26</v>
      </c>
      <c r="K13" s="8">
        <v>30</v>
      </c>
      <c r="L13" s="8">
        <v>33</v>
      </c>
      <c r="M13" s="8">
        <v>37</v>
      </c>
      <c r="N13" s="8">
        <v>40</v>
      </c>
      <c r="O13" s="8">
        <v>44</v>
      </c>
      <c r="P13" s="8">
        <v>47</v>
      </c>
      <c r="Q13" s="8">
        <v>51</v>
      </c>
      <c r="R13" s="8">
        <v>55</v>
      </c>
      <c r="S13" s="8">
        <v>58</v>
      </c>
      <c r="T13" s="9">
        <v>62</v>
      </c>
    </row>
    <row r="14" spans="1:20">
      <c r="A14">
        <f t="shared" si="1"/>
        <v>12</v>
      </c>
      <c r="B14" s="7">
        <v>1</v>
      </c>
      <c r="C14" s="8">
        <v>4</v>
      </c>
      <c r="D14" s="8">
        <v>7</v>
      </c>
      <c r="E14" s="8">
        <v>11</v>
      </c>
      <c r="F14" s="8">
        <v>14</v>
      </c>
      <c r="G14" s="8">
        <v>18</v>
      </c>
      <c r="H14" s="8">
        <v>22</v>
      </c>
      <c r="I14" s="8">
        <v>26</v>
      </c>
      <c r="J14" s="8">
        <v>29</v>
      </c>
      <c r="K14" s="8">
        <v>33</v>
      </c>
      <c r="L14" s="66">
        <v>37</v>
      </c>
      <c r="M14" s="66">
        <v>41</v>
      </c>
      <c r="N14" s="66">
        <v>45</v>
      </c>
      <c r="O14" s="66">
        <v>49</v>
      </c>
      <c r="P14" s="66">
        <v>53</v>
      </c>
      <c r="Q14" s="66">
        <v>57</v>
      </c>
      <c r="R14" s="66">
        <v>61</v>
      </c>
      <c r="S14" s="66">
        <v>65</v>
      </c>
      <c r="T14" s="9">
        <v>69</v>
      </c>
    </row>
    <row r="15" spans="1:20">
      <c r="A15">
        <f t="shared" si="1"/>
        <v>13</v>
      </c>
      <c r="B15" s="7">
        <v>1</v>
      </c>
      <c r="C15" s="8">
        <v>4</v>
      </c>
      <c r="D15" s="8">
        <v>8</v>
      </c>
      <c r="E15" s="8">
        <v>12</v>
      </c>
      <c r="F15" s="8">
        <v>16</v>
      </c>
      <c r="G15" s="8">
        <v>20</v>
      </c>
      <c r="H15" s="8">
        <v>24</v>
      </c>
      <c r="I15" s="8">
        <v>28</v>
      </c>
      <c r="J15" s="8">
        <v>33</v>
      </c>
      <c r="K15" s="8">
        <v>37</v>
      </c>
      <c r="L15" s="66">
        <v>41</v>
      </c>
      <c r="M15" s="66">
        <v>45</v>
      </c>
      <c r="N15" s="66">
        <v>50</v>
      </c>
      <c r="O15" s="66">
        <v>54</v>
      </c>
      <c r="P15" s="66">
        <v>59</v>
      </c>
      <c r="Q15" s="66">
        <v>63</v>
      </c>
      <c r="R15" s="66">
        <v>67</v>
      </c>
      <c r="S15" s="66">
        <v>72</v>
      </c>
      <c r="T15" s="9">
        <v>76</v>
      </c>
    </row>
    <row r="16" spans="1:20">
      <c r="A16">
        <f t="shared" si="1"/>
        <v>14</v>
      </c>
      <c r="B16" s="7">
        <v>1</v>
      </c>
      <c r="C16" s="8">
        <v>5</v>
      </c>
      <c r="D16" s="8">
        <v>9</v>
      </c>
      <c r="E16" s="8">
        <v>13</v>
      </c>
      <c r="F16" s="8">
        <v>17</v>
      </c>
      <c r="G16" s="8">
        <v>22</v>
      </c>
      <c r="H16" s="8">
        <v>26</v>
      </c>
      <c r="I16" s="8">
        <v>31</v>
      </c>
      <c r="J16" s="8">
        <v>36</v>
      </c>
      <c r="K16" s="8">
        <v>40</v>
      </c>
      <c r="L16" s="66">
        <v>45</v>
      </c>
      <c r="M16" s="66">
        <v>50</v>
      </c>
      <c r="N16" s="66">
        <v>55</v>
      </c>
      <c r="O16" s="66">
        <v>59</v>
      </c>
      <c r="P16" s="66">
        <v>64</v>
      </c>
      <c r="Q16" s="66">
        <v>67</v>
      </c>
      <c r="R16" s="66">
        <v>74</v>
      </c>
      <c r="S16" s="66">
        <v>78</v>
      </c>
      <c r="T16" s="9">
        <v>83</v>
      </c>
    </row>
    <row r="17" spans="1:20">
      <c r="A17">
        <f t="shared" si="1"/>
        <v>15</v>
      </c>
      <c r="B17" s="7">
        <v>1</v>
      </c>
      <c r="C17" s="8">
        <v>5</v>
      </c>
      <c r="D17" s="8">
        <v>10</v>
      </c>
      <c r="E17" s="8">
        <v>14</v>
      </c>
      <c r="F17" s="8">
        <v>19</v>
      </c>
      <c r="G17" s="8">
        <v>24</v>
      </c>
      <c r="H17" s="8">
        <v>29</v>
      </c>
      <c r="I17" s="8">
        <v>34</v>
      </c>
      <c r="J17" s="8">
        <v>39</v>
      </c>
      <c r="K17" s="8">
        <v>44</v>
      </c>
      <c r="L17" s="66">
        <v>49</v>
      </c>
      <c r="M17" s="66">
        <v>54</v>
      </c>
      <c r="N17" s="66">
        <v>59</v>
      </c>
      <c r="O17" s="66">
        <v>64</v>
      </c>
      <c r="P17" s="66">
        <v>70</v>
      </c>
      <c r="Q17" s="66">
        <v>75</v>
      </c>
      <c r="R17" s="66">
        <v>80</v>
      </c>
      <c r="S17" s="66">
        <v>85</v>
      </c>
      <c r="T17" s="9">
        <v>90</v>
      </c>
    </row>
    <row r="18" spans="1:20">
      <c r="A18">
        <f t="shared" si="1"/>
        <v>16</v>
      </c>
      <c r="B18" s="7">
        <v>1</v>
      </c>
      <c r="C18" s="8">
        <v>6</v>
      </c>
      <c r="D18" s="8">
        <v>11</v>
      </c>
      <c r="E18" s="8">
        <v>15</v>
      </c>
      <c r="F18" s="8">
        <v>21</v>
      </c>
      <c r="G18" s="8">
        <v>26</v>
      </c>
      <c r="H18" s="8">
        <v>31</v>
      </c>
      <c r="I18" s="8">
        <v>37</v>
      </c>
      <c r="J18" s="8">
        <v>42</v>
      </c>
      <c r="K18" s="8">
        <v>47</v>
      </c>
      <c r="L18" s="66">
        <v>53</v>
      </c>
      <c r="M18" s="66">
        <v>59</v>
      </c>
      <c r="N18" s="66">
        <v>64</v>
      </c>
      <c r="O18" s="66">
        <v>70</v>
      </c>
      <c r="P18" s="66">
        <v>75</v>
      </c>
      <c r="Q18" s="66">
        <v>81</v>
      </c>
      <c r="R18" s="66">
        <v>86</v>
      </c>
      <c r="S18" s="66">
        <v>92</v>
      </c>
      <c r="T18" s="9">
        <v>98</v>
      </c>
    </row>
    <row r="19" spans="1:20">
      <c r="A19">
        <f t="shared" si="1"/>
        <v>17</v>
      </c>
      <c r="B19" s="7">
        <v>2</v>
      </c>
      <c r="C19" s="8">
        <v>6</v>
      </c>
      <c r="D19" s="8">
        <v>11</v>
      </c>
      <c r="E19" s="8">
        <v>17</v>
      </c>
      <c r="F19" s="8">
        <v>22</v>
      </c>
      <c r="G19" s="8">
        <v>28</v>
      </c>
      <c r="H19" s="8">
        <v>34</v>
      </c>
      <c r="I19" s="8">
        <v>39</v>
      </c>
      <c r="J19" s="8">
        <v>45</v>
      </c>
      <c r="K19" s="8">
        <v>51</v>
      </c>
      <c r="L19" s="66">
        <v>57</v>
      </c>
      <c r="M19" s="66">
        <v>63</v>
      </c>
      <c r="N19" s="66">
        <v>67</v>
      </c>
      <c r="O19" s="66">
        <v>75</v>
      </c>
      <c r="P19" s="66">
        <v>81</v>
      </c>
      <c r="Q19" s="66">
        <v>87</v>
      </c>
      <c r="R19" s="66">
        <v>93</v>
      </c>
      <c r="S19" s="66">
        <v>99</v>
      </c>
      <c r="T19" s="9">
        <v>105</v>
      </c>
    </row>
    <row r="20" spans="1:20">
      <c r="A20">
        <f t="shared" si="1"/>
        <v>18</v>
      </c>
      <c r="B20" s="7">
        <v>2</v>
      </c>
      <c r="C20" s="8">
        <v>7</v>
      </c>
      <c r="D20" s="8">
        <v>12</v>
      </c>
      <c r="E20" s="8">
        <v>18</v>
      </c>
      <c r="F20" s="8">
        <v>24</v>
      </c>
      <c r="G20" s="8">
        <v>30</v>
      </c>
      <c r="H20" s="8">
        <v>36</v>
      </c>
      <c r="I20" s="8">
        <v>42</v>
      </c>
      <c r="J20" s="8">
        <v>48</v>
      </c>
      <c r="K20" s="8">
        <v>55</v>
      </c>
      <c r="L20" s="66">
        <v>61</v>
      </c>
      <c r="M20" s="66">
        <v>67</v>
      </c>
      <c r="N20" s="66">
        <v>74</v>
      </c>
      <c r="O20" s="66">
        <v>80</v>
      </c>
      <c r="P20" s="66">
        <v>86</v>
      </c>
      <c r="Q20" s="66">
        <v>93</v>
      </c>
      <c r="R20" s="66">
        <v>99</v>
      </c>
      <c r="S20" s="66">
        <v>106</v>
      </c>
      <c r="T20" s="9">
        <v>112</v>
      </c>
    </row>
    <row r="21" spans="1:20">
      <c r="A21">
        <f t="shared" si="1"/>
        <v>19</v>
      </c>
      <c r="B21" s="7">
        <v>2</v>
      </c>
      <c r="C21" s="8">
        <v>7</v>
      </c>
      <c r="D21" s="8">
        <v>13</v>
      </c>
      <c r="E21" s="8">
        <v>19</v>
      </c>
      <c r="F21" s="8">
        <v>25</v>
      </c>
      <c r="G21" s="8">
        <v>32</v>
      </c>
      <c r="H21" s="8">
        <v>38</v>
      </c>
      <c r="I21" s="8">
        <v>45</v>
      </c>
      <c r="J21" s="8">
        <v>52</v>
      </c>
      <c r="K21" s="8">
        <v>58</v>
      </c>
      <c r="L21" s="66">
        <v>65</v>
      </c>
      <c r="M21" s="66">
        <v>72</v>
      </c>
      <c r="N21" s="66">
        <v>78</v>
      </c>
      <c r="O21" s="66">
        <v>85</v>
      </c>
      <c r="P21" s="66">
        <v>92</v>
      </c>
      <c r="Q21" s="66">
        <v>99</v>
      </c>
      <c r="R21" s="66">
        <v>106</v>
      </c>
      <c r="S21" s="66">
        <v>113</v>
      </c>
      <c r="T21" s="9">
        <v>119</v>
      </c>
    </row>
    <row r="22" spans="1:20">
      <c r="A22">
        <f t="shared" si="1"/>
        <v>20</v>
      </c>
      <c r="B22" s="10">
        <v>2</v>
      </c>
      <c r="C22" s="11">
        <v>8</v>
      </c>
      <c r="D22" s="11">
        <v>13</v>
      </c>
      <c r="E22" s="11">
        <v>20</v>
      </c>
      <c r="F22" s="11">
        <v>27</v>
      </c>
      <c r="G22" s="11">
        <v>34</v>
      </c>
      <c r="H22" s="11">
        <v>41</v>
      </c>
      <c r="I22" s="11">
        <v>48</v>
      </c>
      <c r="J22" s="11">
        <v>55</v>
      </c>
      <c r="K22" s="11">
        <v>62</v>
      </c>
      <c r="L22" s="11">
        <v>69</v>
      </c>
      <c r="M22" s="11">
        <v>76</v>
      </c>
      <c r="N22" s="11">
        <v>83</v>
      </c>
      <c r="O22" s="11">
        <v>90</v>
      </c>
      <c r="P22" s="11">
        <v>98</v>
      </c>
      <c r="Q22" s="11">
        <v>105</v>
      </c>
      <c r="R22" s="11">
        <v>112</v>
      </c>
      <c r="S22" s="11">
        <v>119</v>
      </c>
      <c r="T22" s="12">
        <v>127</v>
      </c>
    </row>
    <row r="24" spans="1:20">
      <c r="A24" t="s">
        <v>277</v>
      </c>
    </row>
    <row r="26" spans="1:20">
      <c r="A26" s="1" t="s">
        <v>275</v>
      </c>
    </row>
    <row r="28" spans="1:20" ht="23.4">
      <c r="A28" s="92" t="s">
        <v>276</v>
      </c>
      <c r="B28">
        <v>2</v>
      </c>
      <c r="C28">
        <f>B28+1</f>
        <v>3</v>
      </c>
      <c r="D28">
        <f t="shared" ref="D28:T28" si="2">C28+1</f>
        <v>4</v>
      </c>
      <c r="E28">
        <f t="shared" si="2"/>
        <v>5</v>
      </c>
      <c r="F28">
        <f t="shared" si="2"/>
        <v>6</v>
      </c>
      <c r="G28">
        <f t="shared" si="2"/>
        <v>7</v>
      </c>
      <c r="H28">
        <f t="shared" si="2"/>
        <v>8</v>
      </c>
      <c r="I28">
        <f t="shared" si="2"/>
        <v>9</v>
      </c>
      <c r="J28">
        <f t="shared" si="2"/>
        <v>10</v>
      </c>
      <c r="K28">
        <f t="shared" si="2"/>
        <v>11</v>
      </c>
      <c r="L28">
        <f t="shared" si="2"/>
        <v>12</v>
      </c>
      <c r="M28">
        <f t="shared" si="2"/>
        <v>13</v>
      </c>
      <c r="N28">
        <f t="shared" si="2"/>
        <v>14</v>
      </c>
      <c r="O28">
        <f t="shared" si="2"/>
        <v>15</v>
      </c>
      <c r="P28">
        <f t="shared" si="2"/>
        <v>16</v>
      </c>
      <c r="Q28">
        <f t="shared" si="2"/>
        <v>17</v>
      </c>
      <c r="R28">
        <f t="shared" si="2"/>
        <v>18</v>
      </c>
      <c r="S28">
        <f t="shared" si="2"/>
        <v>19</v>
      </c>
      <c r="T28">
        <f t="shared" si="2"/>
        <v>20</v>
      </c>
    </row>
    <row r="29" spans="1:20">
      <c r="A29">
        <v>2</v>
      </c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>
        <v>0</v>
      </c>
      <c r="T29" s="6">
        <v>0</v>
      </c>
    </row>
    <row r="30" spans="1:20">
      <c r="A30">
        <f>A29+1</f>
        <v>3</v>
      </c>
      <c r="B30" s="7"/>
      <c r="C30" s="8"/>
      <c r="D30" s="8"/>
      <c r="E30" s="8"/>
      <c r="F30" s="8"/>
      <c r="G30" s="8"/>
      <c r="H30" s="8"/>
      <c r="I30" s="8">
        <v>0</v>
      </c>
      <c r="J30" s="8">
        <v>0</v>
      </c>
      <c r="K30" s="8">
        <v>0</v>
      </c>
      <c r="L30" s="8">
        <v>1</v>
      </c>
      <c r="M30" s="8">
        <v>1</v>
      </c>
      <c r="N30" s="8">
        <v>1</v>
      </c>
      <c r="O30" s="8">
        <v>2</v>
      </c>
      <c r="P30" s="8">
        <v>2</v>
      </c>
      <c r="Q30" s="8">
        <v>2</v>
      </c>
      <c r="R30" s="8">
        <v>2</v>
      </c>
      <c r="S30" s="8">
        <v>3</v>
      </c>
      <c r="T30" s="9">
        <v>3</v>
      </c>
    </row>
    <row r="31" spans="1:20">
      <c r="A31">
        <f t="shared" ref="A31:A47" si="3">A30+1</f>
        <v>4</v>
      </c>
      <c r="B31" s="7"/>
      <c r="C31" s="8"/>
      <c r="D31" s="8"/>
      <c r="E31" s="8"/>
      <c r="F31" s="8">
        <v>0</v>
      </c>
      <c r="G31" s="8">
        <v>0</v>
      </c>
      <c r="H31" s="8">
        <v>1</v>
      </c>
      <c r="I31" s="8">
        <v>1</v>
      </c>
      <c r="J31" s="8">
        <v>2</v>
      </c>
      <c r="K31" s="8">
        <v>2</v>
      </c>
      <c r="L31" s="8">
        <v>3</v>
      </c>
      <c r="M31" s="8">
        <v>3</v>
      </c>
      <c r="N31" s="8">
        <v>4</v>
      </c>
      <c r="O31" s="8">
        <v>5</v>
      </c>
      <c r="P31" s="8">
        <v>5</v>
      </c>
      <c r="Q31" s="8">
        <v>6</v>
      </c>
      <c r="R31" s="8">
        <v>6</v>
      </c>
      <c r="S31" s="8">
        <v>7</v>
      </c>
      <c r="T31" s="9">
        <v>8</v>
      </c>
    </row>
    <row r="32" spans="1:20">
      <c r="A32">
        <f t="shared" si="3"/>
        <v>5</v>
      </c>
      <c r="B32" s="7"/>
      <c r="C32" s="8"/>
      <c r="D32" s="8"/>
      <c r="E32" s="8">
        <v>0</v>
      </c>
      <c r="F32" s="8">
        <v>1</v>
      </c>
      <c r="G32" s="8">
        <v>1</v>
      </c>
      <c r="H32" s="8">
        <v>2</v>
      </c>
      <c r="I32" s="8">
        <v>3</v>
      </c>
      <c r="J32" s="8">
        <v>4</v>
      </c>
      <c r="K32" s="8">
        <v>5</v>
      </c>
      <c r="L32" s="8">
        <v>6</v>
      </c>
      <c r="M32" s="8">
        <v>7</v>
      </c>
      <c r="N32" s="8">
        <v>7</v>
      </c>
      <c r="O32" s="8">
        <v>8</v>
      </c>
      <c r="P32" s="8">
        <v>9</v>
      </c>
      <c r="Q32" s="8">
        <v>10</v>
      </c>
      <c r="R32" s="8">
        <v>11</v>
      </c>
      <c r="S32" s="8">
        <v>12</v>
      </c>
      <c r="T32" s="9">
        <v>13</v>
      </c>
    </row>
    <row r="33" spans="1:21">
      <c r="A33">
        <f t="shared" si="3"/>
        <v>6</v>
      </c>
      <c r="B33" s="7"/>
      <c r="C33" s="8"/>
      <c r="D33" s="8">
        <v>0</v>
      </c>
      <c r="E33" s="8">
        <v>1</v>
      </c>
      <c r="F33" s="8">
        <v>2</v>
      </c>
      <c r="G33" s="8">
        <v>3</v>
      </c>
      <c r="H33" s="8">
        <v>4</v>
      </c>
      <c r="I33" s="8">
        <v>5</v>
      </c>
      <c r="J33" s="8">
        <v>6</v>
      </c>
      <c r="K33" s="8">
        <v>7</v>
      </c>
      <c r="L33" s="8">
        <v>9</v>
      </c>
      <c r="M33" s="8">
        <v>10</v>
      </c>
      <c r="N33" s="8">
        <v>11</v>
      </c>
      <c r="O33" s="8">
        <v>12</v>
      </c>
      <c r="P33" s="8">
        <v>13</v>
      </c>
      <c r="Q33" s="8">
        <v>15</v>
      </c>
      <c r="R33" s="8">
        <v>16</v>
      </c>
      <c r="S33" s="8">
        <v>17</v>
      </c>
      <c r="T33" s="9">
        <v>18</v>
      </c>
    </row>
    <row r="34" spans="1:21">
      <c r="A34">
        <f t="shared" si="3"/>
        <v>7</v>
      </c>
      <c r="B34" s="7"/>
      <c r="C34" s="8"/>
      <c r="D34" s="8">
        <v>0</v>
      </c>
      <c r="E34" s="8">
        <v>1</v>
      </c>
      <c r="F34" s="8">
        <v>3</v>
      </c>
      <c r="G34" s="8">
        <v>4</v>
      </c>
      <c r="H34" s="8">
        <v>6</v>
      </c>
      <c r="I34" s="8">
        <v>7</v>
      </c>
      <c r="J34" s="8">
        <v>9</v>
      </c>
      <c r="K34" s="8">
        <v>10</v>
      </c>
      <c r="L34" s="8">
        <v>12</v>
      </c>
      <c r="M34" s="8">
        <v>13</v>
      </c>
      <c r="N34" s="8">
        <v>15</v>
      </c>
      <c r="O34" s="8">
        <v>16</v>
      </c>
      <c r="P34" s="8">
        <v>18</v>
      </c>
      <c r="Q34" s="8">
        <v>19</v>
      </c>
      <c r="R34" s="8">
        <v>21</v>
      </c>
      <c r="S34" s="8">
        <v>22</v>
      </c>
      <c r="T34" s="9">
        <v>24</v>
      </c>
    </row>
    <row r="35" spans="1:21">
      <c r="A35">
        <f t="shared" si="3"/>
        <v>8</v>
      </c>
      <c r="B35" s="7"/>
      <c r="C35" s="8"/>
      <c r="D35" s="8">
        <v>1</v>
      </c>
      <c r="E35" s="8">
        <v>2</v>
      </c>
      <c r="F35" s="8">
        <v>4</v>
      </c>
      <c r="G35" s="8">
        <v>6</v>
      </c>
      <c r="H35" s="8">
        <v>7</v>
      </c>
      <c r="I35" s="8">
        <v>9</v>
      </c>
      <c r="J35" s="8">
        <v>11</v>
      </c>
      <c r="K35" s="8">
        <v>13</v>
      </c>
      <c r="L35" s="8">
        <v>15</v>
      </c>
      <c r="M35" s="8">
        <v>17</v>
      </c>
      <c r="N35" s="8">
        <v>18</v>
      </c>
      <c r="O35" s="8">
        <v>20</v>
      </c>
      <c r="P35" s="8">
        <v>22</v>
      </c>
      <c r="Q35" s="8">
        <v>24</v>
      </c>
      <c r="R35" s="8">
        <v>26</v>
      </c>
      <c r="S35" s="8">
        <v>28</v>
      </c>
      <c r="T35" s="9">
        <v>30</v>
      </c>
    </row>
    <row r="36" spans="1:21">
      <c r="A36">
        <f t="shared" si="3"/>
        <v>9</v>
      </c>
      <c r="B36" s="7"/>
      <c r="C36" s="8">
        <v>0</v>
      </c>
      <c r="D36" s="8">
        <v>1</v>
      </c>
      <c r="E36" s="8">
        <v>3</v>
      </c>
      <c r="F36" s="8">
        <v>5</v>
      </c>
      <c r="G36" s="8">
        <v>7</v>
      </c>
      <c r="H36" s="8">
        <v>9</v>
      </c>
      <c r="I36" s="8">
        <v>11</v>
      </c>
      <c r="J36" s="8">
        <v>13</v>
      </c>
      <c r="K36" s="8">
        <v>16</v>
      </c>
      <c r="L36" s="8">
        <v>18</v>
      </c>
      <c r="M36" s="8">
        <v>20</v>
      </c>
      <c r="N36" s="8">
        <v>22</v>
      </c>
      <c r="O36" s="8">
        <v>24</v>
      </c>
      <c r="P36" s="8">
        <v>27</v>
      </c>
      <c r="Q36" s="8">
        <v>29</v>
      </c>
      <c r="R36" s="8">
        <v>31</v>
      </c>
      <c r="S36" s="8">
        <v>33</v>
      </c>
      <c r="T36" s="9">
        <v>36</v>
      </c>
    </row>
    <row r="37" spans="1:21">
      <c r="A37">
        <f t="shared" si="3"/>
        <v>10</v>
      </c>
      <c r="B37" s="7"/>
      <c r="C37" s="8">
        <v>0</v>
      </c>
      <c r="D37" s="8">
        <v>2</v>
      </c>
      <c r="E37" s="8">
        <v>4</v>
      </c>
      <c r="F37" s="8">
        <v>6</v>
      </c>
      <c r="G37" s="8">
        <v>9</v>
      </c>
      <c r="H37" s="8">
        <v>11</v>
      </c>
      <c r="I37" s="8">
        <v>13</v>
      </c>
      <c r="J37" s="8">
        <v>16</v>
      </c>
      <c r="K37" s="8">
        <v>18</v>
      </c>
      <c r="L37" s="8">
        <v>21</v>
      </c>
      <c r="M37" s="8">
        <v>24</v>
      </c>
      <c r="N37" s="8">
        <v>26</v>
      </c>
      <c r="O37" s="8">
        <v>29</v>
      </c>
      <c r="P37" s="8">
        <v>31</v>
      </c>
      <c r="Q37" s="8">
        <v>34</v>
      </c>
      <c r="R37" s="8">
        <v>37</v>
      </c>
      <c r="S37" s="8">
        <v>39</v>
      </c>
      <c r="T37" s="9">
        <v>42</v>
      </c>
    </row>
    <row r="38" spans="1:21">
      <c r="A38">
        <f t="shared" si="3"/>
        <v>11</v>
      </c>
      <c r="B38" s="7"/>
      <c r="C38" s="8">
        <v>0</v>
      </c>
      <c r="D38" s="8">
        <v>2</v>
      </c>
      <c r="E38" s="8">
        <v>5</v>
      </c>
      <c r="F38" s="8">
        <v>7</v>
      </c>
      <c r="G38" s="8">
        <v>10</v>
      </c>
      <c r="H38" s="8">
        <v>13</v>
      </c>
      <c r="I38" s="8">
        <v>16</v>
      </c>
      <c r="J38" s="8">
        <v>18</v>
      </c>
      <c r="K38" s="8">
        <v>21</v>
      </c>
      <c r="L38" s="8">
        <v>24</v>
      </c>
      <c r="M38" s="8">
        <v>27</v>
      </c>
      <c r="N38" s="8">
        <v>30</v>
      </c>
      <c r="O38" s="8">
        <v>33</v>
      </c>
      <c r="P38" s="8">
        <v>36</v>
      </c>
      <c r="Q38" s="8">
        <v>39</v>
      </c>
      <c r="R38" s="8">
        <v>42</v>
      </c>
      <c r="S38" s="8">
        <v>45</v>
      </c>
      <c r="T38" s="9">
        <v>46</v>
      </c>
    </row>
    <row r="39" spans="1:21">
      <c r="A39">
        <f t="shared" si="3"/>
        <v>12</v>
      </c>
      <c r="B39" s="7"/>
      <c r="C39" s="8">
        <v>1</v>
      </c>
      <c r="D39" s="8">
        <v>3</v>
      </c>
      <c r="E39" s="8">
        <v>6</v>
      </c>
      <c r="F39" s="8">
        <v>9</v>
      </c>
      <c r="G39" s="8">
        <v>12</v>
      </c>
      <c r="H39" s="8">
        <v>15</v>
      </c>
      <c r="I39" s="8">
        <v>18</v>
      </c>
      <c r="J39" s="8">
        <v>21</v>
      </c>
      <c r="K39" s="8">
        <v>24</v>
      </c>
      <c r="L39" s="66">
        <v>27</v>
      </c>
      <c r="M39" s="66">
        <v>31</v>
      </c>
      <c r="N39" s="66">
        <v>34</v>
      </c>
      <c r="O39" s="66">
        <v>37</v>
      </c>
      <c r="P39" s="66">
        <v>41</v>
      </c>
      <c r="Q39" s="66">
        <v>44</v>
      </c>
      <c r="R39" s="66">
        <v>47</v>
      </c>
      <c r="S39" s="66">
        <v>51</v>
      </c>
      <c r="T39" s="9">
        <v>54</v>
      </c>
    </row>
    <row r="40" spans="1:21">
      <c r="A40">
        <f t="shared" si="3"/>
        <v>13</v>
      </c>
      <c r="B40" s="7"/>
      <c r="C40" s="8">
        <v>1</v>
      </c>
      <c r="D40" s="8">
        <v>3</v>
      </c>
      <c r="E40" s="8">
        <v>7</v>
      </c>
      <c r="F40" s="8">
        <v>10</v>
      </c>
      <c r="G40" s="8">
        <v>13</v>
      </c>
      <c r="H40" s="8">
        <v>17</v>
      </c>
      <c r="I40" s="8">
        <v>20</v>
      </c>
      <c r="J40" s="8">
        <v>24</v>
      </c>
      <c r="K40" s="8">
        <v>27</v>
      </c>
      <c r="L40" s="66">
        <v>31</v>
      </c>
      <c r="M40" s="66">
        <v>34</v>
      </c>
      <c r="N40" s="66">
        <v>38</v>
      </c>
      <c r="O40" s="66">
        <v>42</v>
      </c>
      <c r="P40" s="66">
        <v>45</v>
      </c>
      <c r="Q40" s="66">
        <v>49</v>
      </c>
      <c r="R40" s="66">
        <v>53</v>
      </c>
      <c r="S40" s="66">
        <v>56</v>
      </c>
      <c r="T40" s="9">
        <v>60</v>
      </c>
    </row>
    <row r="41" spans="1:21">
      <c r="A41">
        <f t="shared" si="3"/>
        <v>14</v>
      </c>
      <c r="B41" s="7"/>
      <c r="C41" s="8">
        <v>1</v>
      </c>
      <c r="D41" s="8">
        <v>4</v>
      </c>
      <c r="E41" s="8">
        <v>7</v>
      </c>
      <c r="F41" s="8">
        <v>11</v>
      </c>
      <c r="G41" s="8">
        <v>15</v>
      </c>
      <c r="H41" s="8">
        <v>18</v>
      </c>
      <c r="I41" s="8">
        <v>22</v>
      </c>
      <c r="J41" s="8">
        <v>26</v>
      </c>
      <c r="K41" s="8">
        <v>30</v>
      </c>
      <c r="L41" s="66">
        <v>34</v>
      </c>
      <c r="M41" s="66">
        <v>38</v>
      </c>
      <c r="N41" s="66">
        <v>42</v>
      </c>
      <c r="O41" s="66">
        <v>46</v>
      </c>
      <c r="P41" s="66">
        <v>50</v>
      </c>
      <c r="Q41" s="66">
        <v>54</v>
      </c>
      <c r="R41" s="66">
        <v>58</v>
      </c>
      <c r="S41" s="66">
        <v>63</v>
      </c>
      <c r="T41" s="9">
        <v>67</v>
      </c>
    </row>
    <row r="42" spans="1:21">
      <c r="A42">
        <f t="shared" si="3"/>
        <v>15</v>
      </c>
      <c r="B42" s="7"/>
      <c r="C42" s="8">
        <v>2</v>
      </c>
      <c r="D42" s="8">
        <v>5</v>
      </c>
      <c r="E42" s="8">
        <v>8</v>
      </c>
      <c r="F42" s="8">
        <v>12</v>
      </c>
      <c r="G42" s="8">
        <v>16</v>
      </c>
      <c r="H42" s="8">
        <v>20</v>
      </c>
      <c r="I42" s="8">
        <v>24</v>
      </c>
      <c r="J42" s="8">
        <v>29</v>
      </c>
      <c r="K42" s="8">
        <v>33</v>
      </c>
      <c r="L42" s="66">
        <v>37</v>
      </c>
      <c r="M42" s="66">
        <v>42</v>
      </c>
      <c r="N42" s="66">
        <v>46</v>
      </c>
      <c r="O42" s="66">
        <v>51</v>
      </c>
      <c r="P42" s="66">
        <v>55</v>
      </c>
      <c r="Q42" s="66">
        <v>60</v>
      </c>
      <c r="R42" s="66">
        <v>64</v>
      </c>
      <c r="S42" s="66">
        <v>69</v>
      </c>
      <c r="T42" s="9">
        <v>73</v>
      </c>
    </row>
    <row r="43" spans="1:21">
      <c r="A43">
        <f t="shared" si="3"/>
        <v>16</v>
      </c>
      <c r="B43" s="7"/>
      <c r="C43" s="8">
        <v>2</v>
      </c>
      <c r="D43" s="8">
        <v>5</v>
      </c>
      <c r="E43" s="8">
        <v>9</v>
      </c>
      <c r="F43" s="8">
        <v>13</v>
      </c>
      <c r="G43" s="8">
        <v>18</v>
      </c>
      <c r="H43" s="8">
        <v>22</v>
      </c>
      <c r="I43" s="8">
        <v>27</v>
      </c>
      <c r="J43" s="66">
        <v>31</v>
      </c>
      <c r="K43" s="66">
        <v>36</v>
      </c>
      <c r="L43" s="66">
        <v>41</v>
      </c>
      <c r="M43" s="66">
        <v>45</v>
      </c>
      <c r="N43" s="66">
        <v>50</v>
      </c>
      <c r="O43" s="66">
        <v>55</v>
      </c>
      <c r="P43" s="66">
        <v>60</v>
      </c>
      <c r="Q43" s="66">
        <v>65</v>
      </c>
      <c r="R43" s="66">
        <v>70</v>
      </c>
      <c r="S43" s="66">
        <v>74</v>
      </c>
      <c r="T43" s="9">
        <v>79</v>
      </c>
      <c r="U43" s="66"/>
    </row>
    <row r="44" spans="1:21">
      <c r="A44">
        <f t="shared" si="3"/>
        <v>17</v>
      </c>
      <c r="B44" s="7"/>
      <c r="C44" s="8">
        <v>2</v>
      </c>
      <c r="D44" s="8">
        <v>6</v>
      </c>
      <c r="E44" s="8">
        <v>10</v>
      </c>
      <c r="F44" s="8">
        <v>15</v>
      </c>
      <c r="G44" s="8">
        <v>19</v>
      </c>
      <c r="H44" s="8">
        <v>24</v>
      </c>
      <c r="I44" s="8">
        <v>29</v>
      </c>
      <c r="J44" s="8">
        <v>34</v>
      </c>
      <c r="K44" s="8">
        <v>39</v>
      </c>
      <c r="L44" s="66">
        <v>44</v>
      </c>
      <c r="M44" s="66">
        <v>49</v>
      </c>
      <c r="N44" s="66">
        <v>54</v>
      </c>
      <c r="O44" s="66">
        <v>60</v>
      </c>
      <c r="P44" s="66">
        <v>65</v>
      </c>
      <c r="Q44" s="66">
        <v>70</v>
      </c>
      <c r="R44" s="66">
        <v>75</v>
      </c>
      <c r="S44" s="66">
        <v>81</v>
      </c>
      <c r="T44" s="9">
        <v>86</v>
      </c>
    </row>
    <row r="45" spans="1:21">
      <c r="A45">
        <f t="shared" si="3"/>
        <v>18</v>
      </c>
      <c r="B45" s="7"/>
      <c r="C45" s="8">
        <v>2</v>
      </c>
      <c r="D45" s="8">
        <v>6</v>
      </c>
      <c r="E45" s="8">
        <v>11</v>
      </c>
      <c r="F45" s="8">
        <v>16</v>
      </c>
      <c r="G45" s="8">
        <v>21</v>
      </c>
      <c r="H45" s="8">
        <v>26</v>
      </c>
      <c r="I45" s="8">
        <v>31</v>
      </c>
      <c r="J45" s="8">
        <v>37</v>
      </c>
      <c r="K45" s="8">
        <v>42</v>
      </c>
      <c r="L45" s="66">
        <v>47</v>
      </c>
      <c r="M45" s="66">
        <v>53</v>
      </c>
      <c r="N45" s="66">
        <v>58</v>
      </c>
      <c r="O45" s="66">
        <v>64</v>
      </c>
      <c r="P45" s="66">
        <v>70</v>
      </c>
      <c r="Q45" s="66">
        <v>75</v>
      </c>
      <c r="R45" s="66">
        <v>81</v>
      </c>
      <c r="S45" s="66">
        <v>87</v>
      </c>
      <c r="T45" s="9">
        <v>92</v>
      </c>
    </row>
    <row r="46" spans="1:21">
      <c r="A46">
        <f t="shared" si="3"/>
        <v>19</v>
      </c>
      <c r="B46" s="7">
        <v>0</v>
      </c>
      <c r="C46" s="8">
        <v>3</v>
      </c>
      <c r="D46" s="8">
        <v>7</v>
      </c>
      <c r="E46" s="8">
        <v>12</v>
      </c>
      <c r="F46" s="8">
        <v>17</v>
      </c>
      <c r="G46" s="8">
        <v>22</v>
      </c>
      <c r="H46" s="8">
        <v>28</v>
      </c>
      <c r="I46" s="8">
        <v>33</v>
      </c>
      <c r="J46" s="8">
        <v>39</v>
      </c>
      <c r="K46" s="8">
        <v>45</v>
      </c>
      <c r="L46" s="66">
        <v>51</v>
      </c>
      <c r="M46" s="66">
        <v>56</v>
      </c>
      <c r="N46" s="66">
        <v>63</v>
      </c>
      <c r="O46" s="66">
        <v>69</v>
      </c>
      <c r="P46" s="66">
        <v>74</v>
      </c>
      <c r="Q46" s="66">
        <v>81</v>
      </c>
      <c r="R46" s="66">
        <v>87</v>
      </c>
      <c r="S46" s="66">
        <v>93</v>
      </c>
      <c r="T46" s="9">
        <v>99</v>
      </c>
    </row>
    <row r="47" spans="1:21">
      <c r="A47">
        <f t="shared" si="3"/>
        <v>20</v>
      </c>
      <c r="B47" s="10">
        <v>0</v>
      </c>
      <c r="C47" s="11">
        <v>3</v>
      </c>
      <c r="D47" s="11">
        <v>8</v>
      </c>
      <c r="E47" s="11">
        <v>13</v>
      </c>
      <c r="F47" s="11">
        <v>18</v>
      </c>
      <c r="G47" s="11">
        <v>24</v>
      </c>
      <c r="H47" s="11">
        <v>30</v>
      </c>
      <c r="I47" s="11">
        <v>36</v>
      </c>
      <c r="J47" s="11">
        <v>42</v>
      </c>
      <c r="K47" s="11">
        <v>46</v>
      </c>
      <c r="L47" s="11">
        <v>54</v>
      </c>
      <c r="M47" s="11">
        <v>60</v>
      </c>
      <c r="N47" s="11">
        <v>67</v>
      </c>
      <c r="O47" s="11">
        <v>73</v>
      </c>
      <c r="P47" s="11">
        <v>79</v>
      </c>
      <c r="Q47" s="11">
        <v>86</v>
      </c>
      <c r="R47" s="11">
        <v>92</v>
      </c>
      <c r="S47" s="11">
        <v>99</v>
      </c>
      <c r="T47" s="12">
        <v>105</v>
      </c>
    </row>
    <row r="49" spans="1:20">
      <c r="A49" t="s">
        <v>278</v>
      </c>
    </row>
    <row r="51" spans="1:20">
      <c r="A51" s="1" t="s">
        <v>275</v>
      </c>
    </row>
    <row r="53" spans="1:20" ht="23.4">
      <c r="A53" s="92" t="s">
        <v>276</v>
      </c>
      <c r="B53">
        <v>2</v>
      </c>
      <c r="C53">
        <f>B53+1</f>
        <v>3</v>
      </c>
      <c r="D53">
        <f t="shared" ref="D53:T53" si="4">C53+1</f>
        <v>4</v>
      </c>
      <c r="E53">
        <f t="shared" si="4"/>
        <v>5</v>
      </c>
      <c r="F53">
        <f t="shared" si="4"/>
        <v>6</v>
      </c>
      <c r="G53">
        <f t="shared" si="4"/>
        <v>7</v>
      </c>
      <c r="H53">
        <f t="shared" si="4"/>
        <v>8</v>
      </c>
      <c r="I53">
        <f t="shared" si="4"/>
        <v>9</v>
      </c>
      <c r="J53">
        <f t="shared" si="4"/>
        <v>10</v>
      </c>
      <c r="K53">
        <f t="shared" si="4"/>
        <v>11</v>
      </c>
      <c r="L53">
        <f t="shared" si="4"/>
        <v>12</v>
      </c>
      <c r="M53">
        <f t="shared" si="4"/>
        <v>13</v>
      </c>
      <c r="N53">
        <f t="shared" si="4"/>
        <v>14</v>
      </c>
      <c r="O53">
        <f t="shared" si="4"/>
        <v>15</v>
      </c>
      <c r="P53">
        <f t="shared" si="4"/>
        <v>16</v>
      </c>
      <c r="Q53">
        <f t="shared" si="4"/>
        <v>17</v>
      </c>
      <c r="R53">
        <f t="shared" si="4"/>
        <v>18</v>
      </c>
      <c r="S53">
        <f t="shared" si="4"/>
        <v>19</v>
      </c>
      <c r="T53">
        <f t="shared" si="4"/>
        <v>20</v>
      </c>
    </row>
    <row r="54" spans="1:20">
      <c r="A54">
        <v>2</v>
      </c>
      <c r="B54" s="4"/>
      <c r="C54" s="1152"/>
      <c r="D54" s="1152"/>
      <c r="E54" s="1152">
        <v>0</v>
      </c>
      <c r="F54" s="1152">
        <v>0</v>
      </c>
      <c r="G54" s="1152">
        <v>0</v>
      </c>
      <c r="H54" s="1152">
        <v>1</v>
      </c>
      <c r="I54" s="1152">
        <v>1</v>
      </c>
      <c r="J54" s="1152">
        <v>1</v>
      </c>
      <c r="K54" s="1152">
        <v>1</v>
      </c>
      <c r="L54" s="1152">
        <v>2</v>
      </c>
      <c r="M54" s="1152">
        <v>2</v>
      </c>
      <c r="N54" s="1152">
        <v>3</v>
      </c>
      <c r="O54" s="1152">
        <v>3</v>
      </c>
      <c r="P54" s="1152">
        <v>3</v>
      </c>
      <c r="Q54" s="1152">
        <v>3</v>
      </c>
      <c r="R54" s="1152">
        <v>4</v>
      </c>
      <c r="S54" s="1152">
        <v>4</v>
      </c>
      <c r="T54" s="6">
        <v>4</v>
      </c>
    </row>
    <row r="55" spans="1:20">
      <c r="A55">
        <f>A54+1</f>
        <v>3</v>
      </c>
      <c r="B55" s="656"/>
      <c r="C55" s="8">
        <v>0</v>
      </c>
      <c r="D55" s="8">
        <v>0</v>
      </c>
      <c r="E55" s="8">
        <v>1</v>
      </c>
      <c r="F55" s="8">
        <v>2</v>
      </c>
      <c r="G55" s="8">
        <v>2</v>
      </c>
      <c r="H55" s="8">
        <v>3</v>
      </c>
      <c r="I55" s="8">
        <v>4</v>
      </c>
      <c r="J55" s="8">
        <v>4</v>
      </c>
      <c r="K55" s="8">
        <v>5</v>
      </c>
      <c r="L55" s="8">
        <v>5</v>
      </c>
      <c r="M55" s="8">
        <v>6</v>
      </c>
      <c r="N55" s="8">
        <v>7</v>
      </c>
      <c r="O55" s="8">
        <v>7</v>
      </c>
      <c r="P55" s="8">
        <v>8</v>
      </c>
      <c r="Q55" s="8">
        <v>9</v>
      </c>
      <c r="R55" s="8">
        <v>9</v>
      </c>
      <c r="S55" s="8">
        <v>10</v>
      </c>
      <c r="T55" s="657">
        <v>11</v>
      </c>
    </row>
    <row r="56" spans="1:20">
      <c r="A56">
        <f t="shared" ref="A56:A72" si="5">A55+1</f>
        <v>4</v>
      </c>
      <c r="B56" s="656"/>
      <c r="C56" s="8">
        <v>0</v>
      </c>
      <c r="D56" s="8">
        <v>1</v>
      </c>
      <c r="E56" s="8">
        <v>2</v>
      </c>
      <c r="F56" s="8">
        <v>3</v>
      </c>
      <c r="G56" s="8">
        <v>4</v>
      </c>
      <c r="H56" s="8">
        <v>5</v>
      </c>
      <c r="I56" s="8">
        <v>6</v>
      </c>
      <c r="J56" s="8">
        <v>7</v>
      </c>
      <c r="K56" s="8">
        <v>8</v>
      </c>
      <c r="L56" s="8">
        <v>9</v>
      </c>
      <c r="M56" s="8">
        <v>10</v>
      </c>
      <c r="N56" s="8">
        <v>11</v>
      </c>
      <c r="O56" s="8">
        <v>12</v>
      </c>
      <c r="P56" s="8">
        <v>14</v>
      </c>
      <c r="Q56" s="8">
        <v>15</v>
      </c>
      <c r="R56" s="8">
        <v>16</v>
      </c>
      <c r="S56" s="8">
        <v>17</v>
      </c>
      <c r="T56" s="657">
        <v>18</v>
      </c>
    </row>
    <row r="57" spans="1:20">
      <c r="A57">
        <f t="shared" si="5"/>
        <v>5</v>
      </c>
      <c r="B57" s="656">
        <v>0</v>
      </c>
      <c r="C57" s="8">
        <v>1</v>
      </c>
      <c r="D57" s="8">
        <v>2</v>
      </c>
      <c r="E57" s="8">
        <v>4</v>
      </c>
      <c r="F57" s="8">
        <v>5</v>
      </c>
      <c r="G57" s="8">
        <v>6</v>
      </c>
      <c r="H57" s="8">
        <v>8</v>
      </c>
      <c r="I57" s="8">
        <v>9</v>
      </c>
      <c r="J57" s="8">
        <v>11</v>
      </c>
      <c r="K57" s="8">
        <v>12</v>
      </c>
      <c r="L57" s="8">
        <v>13</v>
      </c>
      <c r="M57" s="8">
        <v>15</v>
      </c>
      <c r="N57" s="8">
        <v>16</v>
      </c>
      <c r="O57" s="8">
        <v>18</v>
      </c>
      <c r="P57" s="8">
        <v>19</v>
      </c>
      <c r="Q57" s="8">
        <v>20</v>
      </c>
      <c r="R57" s="8">
        <v>22</v>
      </c>
      <c r="S57" s="8">
        <v>23</v>
      </c>
      <c r="T57" s="657">
        <v>25</v>
      </c>
    </row>
    <row r="58" spans="1:20">
      <c r="A58">
        <f t="shared" si="5"/>
        <v>6</v>
      </c>
      <c r="B58" s="656">
        <v>0</v>
      </c>
      <c r="C58" s="8">
        <v>2</v>
      </c>
      <c r="D58" s="8">
        <v>3</v>
      </c>
      <c r="E58" s="8">
        <v>5</v>
      </c>
      <c r="F58" s="8">
        <v>7</v>
      </c>
      <c r="G58" s="8">
        <v>8</v>
      </c>
      <c r="H58" s="8">
        <v>10</v>
      </c>
      <c r="I58" s="8">
        <v>12</v>
      </c>
      <c r="J58" s="8">
        <v>14</v>
      </c>
      <c r="K58" s="8">
        <v>16</v>
      </c>
      <c r="L58" s="8">
        <v>17</v>
      </c>
      <c r="M58" s="8">
        <v>19</v>
      </c>
      <c r="N58" s="8">
        <v>21</v>
      </c>
      <c r="O58" s="8">
        <v>23</v>
      </c>
      <c r="P58" s="8">
        <v>25</v>
      </c>
      <c r="Q58" s="8">
        <v>26</v>
      </c>
      <c r="R58" s="8">
        <v>28</v>
      </c>
      <c r="S58" s="8">
        <v>30</v>
      </c>
      <c r="T58" s="657">
        <v>32</v>
      </c>
    </row>
    <row r="59" spans="1:20">
      <c r="A59">
        <f t="shared" si="5"/>
        <v>7</v>
      </c>
      <c r="B59" s="656">
        <v>0</v>
      </c>
      <c r="C59" s="8">
        <v>2</v>
      </c>
      <c r="D59" s="8">
        <v>4</v>
      </c>
      <c r="E59" s="8">
        <v>6</v>
      </c>
      <c r="F59" s="8">
        <v>8</v>
      </c>
      <c r="G59" s="8">
        <v>11</v>
      </c>
      <c r="H59" s="8">
        <v>13</v>
      </c>
      <c r="I59" s="8">
        <v>15</v>
      </c>
      <c r="J59" s="8">
        <v>17</v>
      </c>
      <c r="K59" s="8">
        <v>19</v>
      </c>
      <c r="L59" s="8">
        <v>21</v>
      </c>
      <c r="M59" s="8">
        <v>24</v>
      </c>
      <c r="N59" s="8">
        <v>26</v>
      </c>
      <c r="O59" s="8">
        <v>28</v>
      </c>
      <c r="P59" s="8">
        <v>30</v>
      </c>
      <c r="Q59" s="8">
        <v>33</v>
      </c>
      <c r="R59" s="8">
        <v>35</v>
      </c>
      <c r="S59" s="8">
        <v>37</v>
      </c>
      <c r="T59" s="657">
        <v>39</v>
      </c>
    </row>
    <row r="60" spans="1:20">
      <c r="A60">
        <f t="shared" si="5"/>
        <v>8</v>
      </c>
      <c r="B60" s="656">
        <v>1</v>
      </c>
      <c r="C60" s="8">
        <v>3</v>
      </c>
      <c r="D60" s="8">
        <v>5</v>
      </c>
      <c r="E60" s="8">
        <v>8</v>
      </c>
      <c r="F60" s="8">
        <v>10</v>
      </c>
      <c r="G60" s="8">
        <v>13</v>
      </c>
      <c r="H60" s="8">
        <v>15</v>
      </c>
      <c r="I60" s="8">
        <v>18</v>
      </c>
      <c r="J60" s="8">
        <v>20</v>
      </c>
      <c r="K60" s="8">
        <v>23</v>
      </c>
      <c r="L60" s="8">
        <v>26</v>
      </c>
      <c r="M60" s="8">
        <v>28</v>
      </c>
      <c r="N60" s="8">
        <v>31</v>
      </c>
      <c r="O60" s="8">
        <v>33</v>
      </c>
      <c r="P60" s="8">
        <v>36</v>
      </c>
      <c r="Q60" s="8">
        <v>39</v>
      </c>
      <c r="R60" s="8">
        <v>41</v>
      </c>
      <c r="S60" s="8">
        <v>44</v>
      </c>
      <c r="T60" s="657">
        <v>47</v>
      </c>
    </row>
    <row r="61" spans="1:20">
      <c r="A61">
        <f t="shared" si="5"/>
        <v>9</v>
      </c>
      <c r="B61" s="656">
        <v>1</v>
      </c>
      <c r="C61" s="66">
        <v>4</v>
      </c>
      <c r="D61" s="66">
        <v>6</v>
      </c>
      <c r="E61" s="66">
        <v>9</v>
      </c>
      <c r="F61" s="66">
        <v>12</v>
      </c>
      <c r="G61" s="66">
        <v>15</v>
      </c>
      <c r="H61" s="66">
        <v>18</v>
      </c>
      <c r="I61" s="66">
        <v>21</v>
      </c>
      <c r="J61" s="66">
        <v>24</v>
      </c>
      <c r="K61" s="66">
        <v>27</v>
      </c>
      <c r="L61" s="66">
        <v>30</v>
      </c>
      <c r="M61" s="66">
        <v>33</v>
      </c>
      <c r="N61" s="66">
        <v>36</v>
      </c>
      <c r="O61" s="66">
        <v>39</v>
      </c>
      <c r="P61" s="66">
        <v>42</v>
      </c>
      <c r="Q61" s="66">
        <v>45</v>
      </c>
      <c r="R61" s="66">
        <v>48</v>
      </c>
      <c r="S61" s="66">
        <v>51</v>
      </c>
      <c r="T61" s="657">
        <v>54</v>
      </c>
    </row>
    <row r="62" spans="1:20">
      <c r="A62">
        <f t="shared" si="5"/>
        <v>10</v>
      </c>
      <c r="B62" s="656">
        <v>1</v>
      </c>
      <c r="C62" s="66">
        <v>4</v>
      </c>
      <c r="D62" s="66">
        <v>7</v>
      </c>
      <c r="E62" s="66">
        <v>11</v>
      </c>
      <c r="F62" s="66">
        <v>14</v>
      </c>
      <c r="G62" s="66">
        <v>17</v>
      </c>
      <c r="H62" s="66">
        <v>20</v>
      </c>
      <c r="I62" s="66">
        <v>24</v>
      </c>
      <c r="J62" s="66">
        <v>27</v>
      </c>
      <c r="K62" s="66">
        <v>31</v>
      </c>
      <c r="L62" s="66">
        <v>34</v>
      </c>
      <c r="M62" s="66">
        <v>37</v>
      </c>
      <c r="N62" s="66">
        <v>41</v>
      </c>
      <c r="O62" s="66">
        <v>44</v>
      </c>
      <c r="P62" s="66">
        <v>48</v>
      </c>
      <c r="Q62" s="66">
        <v>51</v>
      </c>
      <c r="R62" s="66">
        <v>55</v>
      </c>
      <c r="S62" s="66">
        <v>58</v>
      </c>
      <c r="T62" s="657">
        <v>62</v>
      </c>
    </row>
    <row r="63" spans="1:20">
      <c r="A63">
        <f t="shared" si="5"/>
        <v>11</v>
      </c>
      <c r="B63" s="656">
        <v>1</v>
      </c>
      <c r="C63" s="66">
        <v>5</v>
      </c>
      <c r="D63" s="66">
        <v>8</v>
      </c>
      <c r="E63" s="66">
        <v>12</v>
      </c>
      <c r="F63" s="66">
        <v>16</v>
      </c>
      <c r="G63" s="66">
        <v>19</v>
      </c>
      <c r="H63" s="66">
        <v>23</v>
      </c>
      <c r="I63" s="66">
        <v>27</v>
      </c>
      <c r="J63" s="66">
        <v>31</v>
      </c>
      <c r="K63" s="66">
        <v>34</v>
      </c>
      <c r="L63" s="66">
        <v>38</v>
      </c>
      <c r="M63" s="66">
        <v>42</v>
      </c>
      <c r="N63" s="66">
        <v>46</v>
      </c>
      <c r="O63" s="66">
        <v>50</v>
      </c>
      <c r="P63" s="66">
        <v>54</v>
      </c>
      <c r="Q63" s="66">
        <v>57</v>
      </c>
      <c r="R63" s="66">
        <v>61</v>
      </c>
      <c r="S63" s="66">
        <v>65</v>
      </c>
      <c r="T63" s="657">
        <v>69</v>
      </c>
    </row>
    <row r="64" spans="1:20">
      <c r="A64">
        <f t="shared" si="5"/>
        <v>12</v>
      </c>
      <c r="B64" s="656">
        <v>2</v>
      </c>
      <c r="C64" s="66">
        <v>5</v>
      </c>
      <c r="D64" s="66">
        <v>9</v>
      </c>
      <c r="E64" s="66">
        <v>13</v>
      </c>
      <c r="F64" s="66">
        <v>17</v>
      </c>
      <c r="G64" s="66">
        <v>21</v>
      </c>
      <c r="H64" s="66">
        <v>26</v>
      </c>
      <c r="I64" s="66">
        <v>30</v>
      </c>
      <c r="J64" s="66">
        <v>34</v>
      </c>
      <c r="K64" s="66">
        <v>38</v>
      </c>
      <c r="L64" s="66">
        <v>42</v>
      </c>
      <c r="M64" s="66">
        <v>47</v>
      </c>
      <c r="N64" s="66">
        <v>51</v>
      </c>
      <c r="O64" s="66">
        <v>55</v>
      </c>
      <c r="P64" s="66">
        <v>60</v>
      </c>
      <c r="Q64" s="66">
        <v>64</v>
      </c>
      <c r="R64" s="66">
        <v>68</v>
      </c>
      <c r="S64" s="66">
        <v>72</v>
      </c>
      <c r="T64" s="657">
        <v>77</v>
      </c>
    </row>
    <row r="65" spans="1:20">
      <c r="A65">
        <f t="shared" si="5"/>
        <v>13</v>
      </c>
      <c r="B65" s="656">
        <v>2</v>
      </c>
      <c r="C65" s="66">
        <v>6</v>
      </c>
      <c r="D65" s="66">
        <v>10</v>
      </c>
      <c r="E65" s="66">
        <v>15</v>
      </c>
      <c r="F65" s="66">
        <v>19</v>
      </c>
      <c r="G65" s="66">
        <v>24</v>
      </c>
      <c r="H65" s="66">
        <v>28</v>
      </c>
      <c r="I65" s="66">
        <v>33</v>
      </c>
      <c r="J65" s="66">
        <v>37</v>
      </c>
      <c r="K65" s="66">
        <v>42</v>
      </c>
      <c r="L65" s="66">
        <v>47</v>
      </c>
      <c r="M65" s="66">
        <v>51</v>
      </c>
      <c r="N65" s="66">
        <v>56</v>
      </c>
      <c r="O65" s="66">
        <v>61</v>
      </c>
      <c r="P65" s="66">
        <v>65</v>
      </c>
      <c r="Q65" s="66">
        <v>70</v>
      </c>
      <c r="R65" s="66">
        <v>75</v>
      </c>
      <c r="S65" s="66">
        <v>80</v>
      </c>
      <c r="T65" s="657">
        <v>84</v>
      </c>
    </row>
    <row r="66" spans="1:20">
      <c r="A66">
        <f t="shared" si="5"/>
        <v>14</v>
      </c>
      <c r="B66" s="656">
        <v>3</v>
      </c>
      <c r="C66" s="66">
        <v>7</v>
      </c>
      <c r="D66" s="66">
        <v>11</v>
      </c>
      <c r="E66" s="66">
        <v>16</v>
      </c>
      <c r="F66" s="66">
        <v>21</v>
      </c>
      <c r="G66" s="66">
        <v>26</v>
      </c>
      <c r="H66" s="66">
        <v>31</v>
      </c>
      <c r="I66" s="66">
        <v>36</v>
      </c>
      <c r="J66" s="66">
        <v>41</v>
      </c>
      <c r="K66" s="66">
        <v>46</v>
      </c>
      <c r="L66" s="66">
        <v>51</v>
      </c>
      <c r="M66" s="66">
        <v>56</v>
      </c>
      <c r="N66" s="66">
        <v>61</v>
      </c>
      <c r="O66" s="66">
        <v>66</v>
      </c>
      <c r="P66" s="66">
        <v>71</v>
      </c>
      <c r="Q66" s="66">
        <v>77</v>
      </c>
      <c r="R66" s="66">
        <v>82</v>
      </c>
      <c r="S66" s="66">
        <v>87</v>
      </c>
      <c r="T66" s="657">
        <v>92</v>
      </c>
    </row>
    <row r="67" spans="1:20">
      <c r="A67">
        <f t="shared" si="5"/>
        <v>15</v>
      </c>
      <c r="B67" s="656">
        <v>3</v>
      </c>
      <c r="C67" s="66">
        <v>7</v>
      </c>
      <c r="D67" s="66">
        <v>12</v>
      </c>
      <c r="E67" s="66">
        <v>18</v>
      </c>
      <c r="F67" s="66">
        <v>23</v>
      </c>
      <c r="G67" s="66">
        <v>28</v>
      </c>
      <c r="H67" s="66">
        <v>33</v>
      </c>
      <c r="I67" s="66">
        <v>39</v>
      </c>
      <c r="J67" s="66">
        <v>44</v>
      </c>
      <c r="K67" s="66">
        <v>50</v>
      </c>
      <c r="L67" s="66">
        <v>55</v>
      </c>
      <c r="M67" s="66">
        <v>61</v>
      </c>
      <c r="N67" s="66">
        <v>66</v>
      </c>
      <c r="O67" s="66">
        <v>72</v>
      </c>
      <c r="P67" s="66">
        <v>77</v>
      </c>
      <c r="Q67" s="66">
        <v>83</v>
      </c>
      <c r="R67" s="66">
        <v>88</v>
      </c>
      <c r="S67" s="66">
        <v>94</v>
      </c>
      <c r="T67" s="657">
        <v>100</v>
      </c>
    </row>
    <row r="68" spans="1:20">
      <c r="A68">
        <f t="shared" si="5"/>
        <v>16</v>
      </c>
      <c r="B68" s="656">
        <v>3</v>
      </c>
      <c r="C68" s="66">
        <v>8</v>
      </c>
      <c r="D68" s="66">
        <v>14</v>
      </c>
      <c r="E68" s="66">
        <v>19</v>
      </c>
      <c r="F68" s="66">
        <v>25</v>
      </c>
      <c r="G68" s="66">
        <v>30</v>
      </c>
      <c r="H68" s="66">
        <v>36</v>
      </c>
      <c r="I68" s="66">
        <v>42</v>
      </c>
      <c r="J68" s="66">
        <v>48</v>
      </c>
      <c r="K68" s="66">
        <v>54</v>
      </c>
      <c r="L68" s="66">
        <v>60</v>
      </c>
      <c r="M68" s="66">
        <v>65</v>
      </c>
      <c r="N68" s="66">
        <v>71</v>
      </c>
      <c r="O68" s="66">
        <v>77</v>
      </c>
      <c r="P68" s="66">
        <v>83</v>
      </c>
      <c r="Q68" s="66">
        <v>89</v>
      </c>
      <c r="R68" s="66">
        <v>95</v>
      </c>
      <c r="S68" s="66">
        <v>101</v>
      </c>
      <c r="T68" s="657">
        <v>107</v>
      </c>
    </row>
    <row r="69" spans="1:20">
      <c r="A69">
        <f t="shared" si="5"/>
        <v>17</v>
      </c>
      <c r="B69" s="656">
        <v>3</v>
      </c>
      <c r="C69" s="66">
        <v>9</v>
      </c>
      <c r="D69" s="66">
        <v>15</v>
      </c>
      <c r="E69" s="66">
        <v>20</v>
      </c>
      <c r="F69" s="66">
        <v>26</v>
      </c>
      <c r="G69" s="66">
        <v>33</v>
      </c>
      <c r="H69" s="66">
        <v>39</v>
      </c>
      <c r="I69" s="66">
        <v>45</v>
      </c>
      <c r="J69" s="66">
        <v>51</v>
      </c>
      <c r="K69" s="66">
        <v>57</v>
      </c>
      <c r="L69" s="66">
        <v>64</v>
      </c>
      <c r="M69" s="66">
        <v>70</v>
      </c>
      <c r="N69" s="66">
        <v>77</v>
      </c>
      <c r="O69" s="66">
        <v>83</v>
      </c>
      <c r="P69" s="66">
        <v>89</v>
      </c>
      <c r="Q69" s="66">
        <v>96</v>
      </c>
      <c r="R69" s="66">
        <v>102</v>
      </c>
      <c r="S69" s="66">
        <v>109</v>
      </c>
      <c r="T69" s="657">
        <v>115</v>
      </c>
    </row>
    <row r="70" spans="1:20">
      <c r="A70">
        <f t="shared" si="5"/>
        <v>18</v>
      </c>
      <c r="B70" s="656">
        <v>4</v>
      </c>
      <c r="C70" s="66">
        <v>9</v>
      </c>
      <c r="D70" s="66">
        <v>16</v>
      </c>
      <c r="E70" s="66">
        <v>22</v>
      </c>
      <c r="F70" s="66">
        <v>28</v>
      </c>
      <c r="G70" s="66">
        <v>35</v>
      </c>
      <c r="H70" s="66">
        <v>41</v>
      </c>
      <c r="I70" s="66">
        <v>48</v>
      </c>
      <c r="J70" s="66">
        <v>55</v>
      </c>
      <c r="K70" s="66">
        <v>61</v>
      </c>
      <c r="L70" s="66">
        <v>68</v>
      </c>
      <c r="M70" s="66">
        <v>75</v>
      </c>
      <c r="N70" s="66">
        <v>82</v>
      </c>
      <c r="O70" s="66">
        <v>88</v>
      </c>
      <c r="P70" s="66">
        <v>95</v>
      </c>
      <c r="Q70" s="66">
        <v>102</v>
      </c>
      <c r="R70" s="66">
        <v>109</v>
      </c>
      <c r="S70" s="66">
        <v>116</v>
      </c>
      <c r="T70" s="657">
        <v>123</v>
      </c>
    </row>
    <row r="71" spans="1:20">
      <c r="A71">
        <f t="shared" si="5"/>
        <v>19</v>
      </c>
      <c r="B71" s="656">
        <v>4</v>
      </c>
      <c r="C71" s="66">
        <v>10</v>
      </c>
      <c r="D71" s="66">
        <v>17</v>
      </c>
      <c r="E71" s="66">
        <v>23</v>
      </c>
      <c r="F71" s="66">
        <v>30</v>
      </c>
      <c r="G71" s="66">
        <v>37</v>
      </c>
      <c r="H71" s="66">
        <v>44</v>
      </c>
      <c r="I71" s="66">
        <v>51</v>
      </c>
      <c r="J71" s="66">
        <v>58</v>
      </c>
      <c r="K71" s="66">
        <v>65</v>
      </c>
      <c r="L71" s="66">
        <v>72</v>
      </c>
      <c r="M71" s="66">
        <v>80</v>
      </c>
      <c r="N71" s="66">
        <v>87</v>
      </c>
      <c r="O71" s="66">
        <v>94</v>
      </c>
      <c r="P71" s="66">
        <v>101</v>
      </c>
      <c r="Q71" s="66">
        <v>109</v>
      </c>
      <c r="R71" s="66">
        <v>116</v>
      </c>
      <c r="S71" s="66">
        <v>123</v>
      </c>
      <c r="T71" s="657">
        <v>130</v>
      </c>
    </row>
    <row r="72" spans="1:20">
      <c r="A72">
        <f t="shared" si="5"/>
        <v>20</v>
      </c>
      <c r="B72" s="533">
        <v>4</v>
      </c>
      <c r="C72" s="1062">
        <v>11</v>
      </c>
      <c r="D72" s="1062">
        <v>18</v>
      </c>
      <c r="E72" s="1062">
        <v>25</v>
      </c>
      <c r="F72" s="1062">
        <v>32</v>
      </c>
      <c r="G72" s="1062">
        <v>39</v>
      </c>
      <c r="H72" s="1062">
        <v>47</v>
      </c>
      <c r="I72" s="1062">
        <v>54</v>
      </c>
      <c r="J72" s="1062">
        <v>62</v>
      </c>
      <c r="K72" s="1062">
        <v>69</v>
      </c>
      <c r="L72" s="1062">
        <v>77</v>
      </c>
      <c r="M72" s="1062">
        <v>84</v>
      </c>
      <c r="N72" s="1062">
        <v>92</v>
      </c>
      <c r="O72" s="1062">
        <v>100</v>
      </c>
      <c r="P72" s="1062">
        <v>107</v>
      </c>
      <c r="Q72" s="1062">
        <v>115</v>
      </c>
      <c r="R72" s="1062">
        <v>123</v>
      </c>
      <c r="S72" s="1062">
        <v>130</v>
      </c>
      <c r="T72" s="541">
        <v>138</v>
      </c>
    </row>
    <row r="74" spans="1:20">
      <c r="A74" t="s">
        <v>279</v>
      </c>
    </row>
    <row r="76" spans="1:20">
      <c r="A76" s="1" t="s">
        <v>275</v>
      </c>
    </row>
    <row r="78" spans="1:20" ht="23.4">
      <c r="A78" s="92" t="s">
        <v>276</v>
      </c>
      <c r="B78">
        <v>2</v>
      </c>
      <c r="C78">
        <f>B78+1</f>
        <v>3</v>
      </c>
      <c r="D78">
        <f t="shared" ref="D78:T78" si="6">C78+1</f>
        <v>4</v>
      </c>
      <c r="E78">
        <f t="shared" si="6"/>
        <v>5</v>
      </c>
      <c r="F78">
        <f t="shared" si="6"/>
        <v>6</v>
      </c>
      <c r="G78">
        <f t="shared" si="6"/>
        <v>7</v>
      </c>
      <c r="H78">
        <f t="shared" si="6"/>
        <v>8</v>
      </c>
      <c r="I78">
        <f t="shared" si="6"/>
        <v>9</v>
      </c>
      <c r="J78">
        <f t="shared" si="6"/>
        <v>10</v>
      </c>
      <c r="K78">
        <f t="shared" si="6"/>
        <v>11</v>
      </c>
      <c r="L78">
        <f t="shared" si="6"/>
        <v>12</v>
      </c>
      <c r="M78">
        <f t="shared" si="6"/>
        <v>13</v>
      </c>
      <c r="N78">
        <f t="shared" si="6"/>
        <v>14</v>
      </c>
      <c r="O78">
        <f t="shared" si="6"/>
        <v>15</v>
      </c>
      <c r="P78">
        <f t="shared" si="6"/>
        <v>16</v>
      </c>
      <c r="Q78">
        <f t="shared" si="6"/>
        <v>17</v>
      </c>
      <c r="R78">
        <f t="shared" si="6"/>
        <v>18</v>
      </c>
      <c r="S78">
        <f t="shared" si="6"/>
        <v>19</v>
      </c>
      <c r="T78">
        <f t="shared" si="6"/>
        <v>20</v>
      </c>
    </row>
    <row r="79" spans="1:20">
      <c r="A79">
        <v>2</v>
      </c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1</v>
      </c>
      <c r="T79" s="6">
        <v>1</v>
      </c>
    </row>
    <row r="80" spans="1:20">
      <c r="A80">
        <f>A79+1</f>
        <v>3</v>
      </c>
      <c r="B80" s="7"/>
      <c r="C80" s="94"/>
      <c r="D80" s="8"/>
      <c r="E80" s="8"/>
      <c r="F80" s="8"/>
      <c r="G80" s="8">
        <v>0</v>
      </c>
      <c r="H80" s="8">
        <v>0</v>
      </c>
      <c r="I80" s="8">
        <v>1</v>
      </c>
      <c r="J80" s="8">
        <v>1</v>
      </c>
      <c r="K80" s="8">
        <v>1</v>
      </c>
      <c r="L80" s="8">
        <v>2</v>
      </c>
      <c r="M80" s="8">
        <v>2</v>
      </c>
      <c r="N80" s="8">
        <v>2</v>
      </c>
      <c r="O80" s="8">
        <v>3</v>
      </c>
      <c r="P80" s="8">
        <v>3</v>
      </c>
      <c r="Q80" s="8">
        <v>4</v>
      </c>
      <c r="R80" s="8">
        <v>4</v>
      </c>
      <c r="S80" s="8">
        <v>4</v>
      </c>
      <c r="T80" s="9">
        <v>5</v>
      </c>
    </row>
    <row r="81" spans="1:20">
      <c r="A81">
        <f t="shared" ref="A81:A97" si="7">A80+1</f>
        <v>4</v>
      </c>
      <c r="B81" s="7"/>
      <c r="C81" s="94"/>
      <c r="D81" s="94"/>
      <c r="E81" s="8">
        <v>0</v>
      </c>
      <c r="F81" s="8">
        <v>1</v>
      </c>
      <c r="G81" s="8">
        <v>1</v>
      </c>
      <c r="H81" s="8">
        <v>2</v>
      </c>
      <c r="I81" s="8">
        <v>3</v>
      </c>
      <c r="J81" s="8">
        <v>3</v>
      </c>
      <c r="K81" s="8">
        <v>4</v>
      </c>
      <c r="L81" s="8">
        <v>5</v>
      </c>
      <c r="M81" s="8">
        <v>5</v>
      </c>
      <c r="N81" s="8">
        <v>6</v>
      </c>
      <c r="O81" s="8">
        <v>7</v>
      </c>
      <c r="P81" s="8">
        <v>7</v>
      </c>
      <c r="Q81" s="8">
        <v>8</v>
      </c>
      <c r="R81" s="8">
        <v>9</v>
      </c>
      <c r="S81" s="8">
        <v>9</v>
      </c>
      <c r="T81" s="9">
        <v>10</v>
      </c>
    </row>
    <row r="82" spans="1:20">
      <c r="A82">
        <f t="shared" si="7"/>
        <v>5</v>
      </c>
      <c r="B82" s="7"/>
      <c r="C82" s="94"/>
      <c r="D82" s="8">
        <v>0</v>
      </c>
      <c r="E82" s="8">
        <v>1</v>
      </c>
      <c r="F82" s="8">
        <v>2</v>
      </c>
      <c r="G82" s="8">
        <v>3</v>
      </c>
      <c r="H82" s="8">
        <v>4</v>
      </c>
      <c r="I82" s="8">
        <v>5</v>
      </c>
      <c r="J82" s="8">
        <v>6</v>
      </c>
      <c r="K82" s="8">
        <v>7</v>
      </c>
      <c r="L82" s="8">
        <v>8</v>
      </c>
      <c r="M82" s="8">
        <v>9</v>
      </c>
      <c r="N82" s="8">
        <v>10</v>
      </c>
      <c r="O82" s="8">
        <v>11</v>
      </c>
      <c r="P82" s="8">
        <v>12</v>
      </c>
      <c r="Q82" s="8">
        <v>13</v>
      </c>
      <c r="R82" s="8">
        <v>14</v>
      </c>
      <c r="S82" s="8">
        <v>15</v>
      </c>
      <c r="T82" s="9">
        <v>16</v>
      </c>
    </row>
    <row r="83" spans="1:20">
      <c r="A83">
        <f t="shared" si="7"/>
        <v>6</v>
      </c>
      <c r="B83" s="7"/>
      <c r="C83" s="94"/>
      <c r="D83" s="8">
        <v>1</v>
      </c>
      <c r="E83" s="8">
        <v>2</v>
      </c>
      <c r="F83" s="8">
        <v>3</v>
      </c>
      <c r="G83" s="8">
        <v>4</v>
      </c>
      <c r="H83" s="8">
        <v>6</v>
      </c>
      <c r="I83" s="8">
        <v>7</v>
      </c>
      <c r="J83" s="8">
        <v>8</v>
      </c>
      <c r="K83" s="8">
        <v>9</v>
      </c>
      <c r="L83" s="8">
        <v>11</v>
      </c>
      <c r="M83" s="8">
        <v>12</v>
      </c>
      <c r="N83" s="8">
        <v>13</v>
      </c>
      <c r="O83" s="8">
        <v>15</v>
      </c>
      <c r="P83" s="8">
        <v>16</v>
      </c>
      <c r="Q83" s="8">
        <v>18</v>
      </c>
      <c r="R83" s="8">
        <v>19</v>
      </c>
      <c r="S83" s="8">
        <v>20</v>
      </c>
      <c r="T83" s="9">
        <v>22</v>
      </c>
    </row>
    <row r="84" spans="1:20">
      <c r="A84">
        <f t="shared" si="7"/>
        <v>7</v>
      </c>
      <c r="B84" s="7"/>
      <c r="C84" s="8">
        <v>0</v>
      </c>
      <c r="D84" s="8">
        <v>1</v>
      </c>
      <c r="E84" s="8">
        <v>3</v>
      </c>
      <c r="F84" s="8">
        <v>4</v>
      </c>
      <c r="G84" s="8">
        <v>6</v>
      </c>
      <c r="H84" s="8">
        <v>7</v>
      </c>
      <c r="I84" s="8">
        <v>9</v>
      </c>
      <c r="J84" s="8">
        <v>11</v>
      </c>
      <c r="K84" s="8">
        <v>12</v>
      </c>
      <c r="L84" s="8">
        <v>14</v>
      </c>
      <c r="M84" s="8">
        <v>16</v>
      </c>
      <c r="N84" s="8">
        <v>17</v>
      </c>
      <c r="O84" s="8">
        <v>19</v>
      </c>
      <c r="P84" s="8">
        <v>21</v>
      </c>
      <c r="Q84" s="8">
        <v>23</v>
      </c>
      <c r="R84" s="8">
        <v>24</v>
      </c>
      <c r="S84" s="8">
        <v>26</v>
      </c>
      <c r="T84" s="9">
        <v>28</v>
      </c>
    </row>
    <row r="85" spans="1:20">
      <c r="A85">
        <f t="shared" si="7"/>
        <v>8</v>
      </c>
      <c r="B85" s="7"/>
      <c r="C85" s="8">
        <v>0</v>
      </c>
      <c r="D85" s="8">
        <v>2</v>
      </c>
      <c r="E85" s="8">
        <v>4</v>
      </c>
      <c r="F85" s="8">
        <v>6</v>
      </c>
      <c r="G85" s="8">
        <v>7</v>
      </c>
      <c r="H85" s="8">
        <v>9</v>
      </c>
      <c r="I85" s="8">
        <v>11</v>
      </c>
      <c r="J85" s="8">
        <v>13</v>
      </c>
      <c r="K85" s="8">
        <v>15</v>
      </c>
      <c r="L85" s="8">
        <v>17</v>
      </c>
      <c r="M85" s="8">
        <v>20</v>
      </c>
      <c r="N85" s="8">
        <v>22</v>
      </c>
      <c r="O85" s="8">
        <v>24</v>
      </c>
      <c r="P85" s="8">
        <v>26</v>
      </c>
      <c r="Q85" s="8">
        <v>28</v>
      </c>
      <c r="R85" s="8">
        <v>30</v>
      </c>
      <c r="S85" s="8">
        <v>32</v>
      </c>
      <c r="T85" s="9">
        <v>34</v>
      </c>
    </row>
    <row r="86" spans="1:20">
      <c r="A86">
        <f t="shared" si="7"/>
        <v>9</v>
      </c>
      <c r="B86" s="7"/>
      <c r="C86" s="8">
        <v>1</v>
      </c>
      <c r="D86" s="8">
        <v>3</v>
      </c>
      <c r="E86" s="8">
        <v>5</v>
      </c>
      <c r="F86" s="8">
        <v>7</v>
      </c>
      <c r="G86" s="8">
        <v>9</v>
      </c>
      <c r="H86" s="8">
        <v>11</v>
      </c>
      <c r="I86" s="8">
        <v>14</v>
      </c>
      <c r="J86" s="8">
        <v>16</v>
      </c>
      <c r="K86" s="8">
        <v>18</v>
      </c>
      <c r="L86" s="8">
        <v>21</v>
      </c>
      <c r="M86" s="8">
        <v>23</v>
      </c>
      <c r="N86" s="8">
        <v>26</v>
      </c>
      <c r="O86" s="8">
        <v>28</v>
      </c>
      <c r="P86" s="8">
        <v>31</v>
      </c>
      <c r="Q86" s="8">
        <v>33</v>
      </c>
      <c r="R86" s="8">
        <v>36</v>
      </c>
      <c r="S86" s="8">
        <v>38</v>
      </c>
      <c r="T86" s="9">
        <v>40</v>
      </c>
    </row>
    <row r="87" spans="1:20">
      <c r="A87">
        <f t="shared" si="7"/>
        <v>10</v>
      </c>
      <c r="B87" s="7"/>
      <c r="C87" s="8">
        <v>1</v>
      </c>
      <c r="D87" s="8">
        <v>3</v>
      </c>
      <c r="E87" s="8">
        <v>6</v>
      </c>
      <c r="F87" s="8">
        <v>8</v>
      </c>
      <c r="G87" s="8">
        <v>11</v>
      </c>
      <c r="H87" s="8">
        <v>13</v>
      </c>
      <c r="I87" s="8">
        <v>16</v>
      </c>
      <c r="J87" s="8">
        <v>19</v>
      </c>
      <c r="K87" s="8">
        <v>22</v>
      </c>
      <c r="L87" s="8">
        <v>24</v>
      </c>
      <c r="M87" s="8">
        <v>27</v>
      </c>
      <c r="N87" s="8">
        <v>30</v>
      </c>
      <c r="O87" s="8">
        <v>33</v>
      </c>
      <c r="P87" s="8">
        <v>36</v>
      </c>
      <c r="Q87" s="8">
        <v>38</v>
      </c>
      <c r="R87" s="8">
        <v>41</v>
      </c>
      <c r="S87" s="8">
        <v>44</v>
      </c>
      <c r="T87" s="9">
        <v>47</v>
      </c>
    </row>
    <row r="88" spans="1:20">
      <c r="A88">
        <f t="shared" si="7"/>
        <v>11</v>
      </c>
      <c r="B88" s="7"/>
      <c r="C88" s="8">
        <v>1</v>
      </c>
      <c r="D88" s="8">
        <v>4</v>
      </c>
      <c r="E88" s="8">
        <v>7</v>
      </c>
      <c r="F88" s="8">
        <v>9</v>
      </c>
      <c r="G88" s="8">
        <v>12</v>
      </c>
      <c r="H88" s="8">
        <v>15</v>
      </c>
      <c r="I88" s="8">
        <v>18</v>
      </c>
      <c r="J88" s="8">
        <v>22</v>
      </c>
      <c r="K88" s="8">
        <v>25</v>
      </c>
      <c r="L88" s="8">
        <v>28</v>
      </c>
      <c r="M88" s="8">
        <v>31</v>
      </c>
      <c r="N88" s="8">
        <v>34</v>
      </c>
      <c r="O88" s="8">
        <v>37</v>
      </c>
      <c r="P88" s="8">
        <v>41</v>
      </c>
      <c r="Q88" s="8">
        <v>44</v>
      </c>
      <c r="R88" s="8">
        <v>47</v>
      </c>
      <c r="S88" s="8">
        <v>50</v>
      </c>
      <c r="T88" s="9">
        <v>53</v>
      </c>
    </row>
    <row r="89" spans="1:20">
      <c r="A89">
        <f t="shared" si="7"/>
        <v>12</v>
      </c>
      <c r="B89" s="7"/>
      <c r="C89" s="8">
        <v>2</v>
      </c>
      <c r="D89" s="8">
        <v>5</v>
      </c>
      <c r="E89" s="8">
        <v>8</v>
      </c>
      <c r="F89" s="8">
        <v>11</v>
      </c>
      <c r="G89" s="8">
        <v>14</v>
      </c>
      <c r="H89" s="8">
        <v>17</v>
      </c>
      <c r="I89" s="8">
        <v>21</v>
      </c>
      <c r="J89" s="8">
        <v>24</v>
      </c>
      <c r="K89" s="8">
        <v>28</v>
      </c>
      <c r="L89" s="66">
        <v>31</v>
      </c>
      <c r="M89" s="66">
        <v>35</v>
      </c>
      <c r="N89" s="66">
        <v>38</v>
      </c>
      <c r="O89" s="66">
        <v>42</v>
      </c>
      <c r="P89" s="66">
        <v>46</v>
      </c>
      <c r="Q89" s="66">
        <v>49</v>
      </c>
      <c r="R89" s="66">
        <v>53</v>
      </c>
      <c r="S89" s="66">
        <v>56</v>
      </c>
      <c r="T89" s="9">
        <v>60</v>
      </c>
    </row>
    <row r="90" spans="1:20">
      <c r="A90">
        <f t="shared" si="7"/>
        <v>13</v>
      </c>
      <c r="B90" s="7">
        <v>0</v>
      </c>
      <c r="C90" s="8">
        <v>2</v>
      </c>
      <c r="D90" s="8">
        <v>5</v>
      </c>
      <c r="E90" s="8">
        <v>9</v>
      </c>
      <c r="F90" s="8">
        <v>12</v>
      </c>
      <c r="G90" s="8">
        <v>16</v>
      </c>
      <c r="H90" s="8">
        <v>20</v>
      </c>
      <c r="I90" s="8">
        <v>23</v>
      </c>
      <c r="J90" s="8">
        <v>27</v>
      </c>
      <c r="K90" s="8">
        <v>31</v>
      </c>
      <c r="L90" s="66">
        <v>35</v>
      </c>
      <c r="M90" s="66">
        <v>39</v>
      </c>
      <c r="N90" s="66">
        <v>43</v>
      </c>
      <c r="O90" s="66">
        <v>47</v>
      </c>
      <c r="P90" s="66">
        <v>51</v>
      </c>
      <c r="Q90" s="66">
        <v>55</v>
      </c>
      <c r="R90" s="66">
        <v>59</v>
      </c>
      <c r="S90" s="66">
        <v>63</v>
      </c>
      <c r="T90" s="9">
        <v>67</v>
      </c>
    </row>
    <row r="91" spans="1:20">
      <c r="A91">
        <f t="shared" si="7"/>
        <v>14</v>
      </c>
      <c r="B91" s="7">
        <v>0</v>
      </c>
      <c r="C91" s="8">
        <v>2</v>
      </c>
      <c r="D91" s="8">
        <v>6</v>
      </c>
      <c r="E91" s="8">
        <v>10</v>
      </c>
      <c r="F91" s="8">
        <v>13</v>
      </c>
      <c r="G91" s="8">
        <v>17</v>
      </c>
      <c r="H91" s="8">
        <v>22</v>
      </c>
      <c r="I91" s="8">
        <v>26</v>
      </c>
      <c r="J91" s="8">
        <v>30</v>
      </c>
      <c r="K91" s="8">
        <v>34</v>
      </c>
      <c r="L91" s="66">
        <v>38</v>
      </c>
      <c r="M91" s="66">
        <v>43</v>
      </c>
      <c r="N91" s="66">
        <v>47</v>
      </c>
      <c r="O91" s="66">
        <v>51</v>
      </c>
      <c r="P91" s="66">
        <v>56</v>
      </c>
      <c r="Q91" s="66">
        <v>60</v>
      </c>
      <c r="R91" s="66">
        <v>65</v>
      </c>
      <c r="S91" s="66">
        <v>69</v>
      </c>
      <c r="T91" s="9">
        <v>73</v>
      </c>
    </row>
    <row r="92" spans="1:20">
      <c r="A92">
        <f t="shared" si="7"/>
        <v>15</v>
      </c>
      <c r="B92" s="7">
        <v>0</v>
      </c>
      <c r="C92" s="8">
        <v>3</v>
      </c>
      <c r="D92" s="8">
        <v>7</v>
      </c>
      <c r="E92" s="8">
        <v>11</v>
      </c>
      <c r="F92" s="8">
        <v>15</v>
      </c>
      <c r="G92" s="8">
        <v>19</v>
      </c>
      <c r="H92" s="8">
        <v>24</v>
      </c>
      <c r="I92" s="8">
        <v>28</v>
      </c>
      <c r="J92" s="8">
        <v>33</v>
      </c>
      <c r="K92" s="66">
        <v>37</v>
      </c>
      <c r="L92" s="66">
        <v>42</v>
      </c>
      <c r="M92" s="66">
        <v>47</v>
      </c>
      <c r="N92" s="66">
        <v>51</v>
      </c>
      <c r="O92" s="66">
        <v>56</v>
      </c>
      <c r="P92" s="66">
        <v>61</v>
      </c>
      <c r="Q92" s="66">
        <v>66</v>
      </c>
      <c r="R92" s="66">
        <v>70</v>
      </c>
      <c r="S92" s="66">
        <v>75</v>
      </c>
      <c r="T92" s="9">
        <v>80</v>
      </c>
    </row>
    <row r="93" spans="1:20">
      <c r="A93">
        <f t="shared" si="7"/>
        <v>16</v>
      </c>
      <c r="B93" s="7">
        <v>0</v>
      </c>
      <c r="C93" s="66">
        <v>3</v>
      </c>
      <c r="D93" s="66">
        <v>7</v>
      </c>
      <c r="E93" s="66">
        <v>12</v>
      </c>
      <c r="F93" s="66">
        <v>16</v>
      </c>
      <c r="G93" s="66">
        <v>21</v>
      </c>
      <c r="H93" s="66">
        <v>26</v>
      </c>
      <c r="I93" s="66">
        <v>31</v>
      </c>
      <c r="J93" s="66">
        <v>36</v>
      </c>
      <c r="K93" s="66">
        <v>41</v>
      </c>
      <c r="L93" s="66">
        <v>46</v>
      </c>
      <c r="M93" s="66">
        <v>51</v>
      </c>
      <c r="N93" s="66">
        <v>56</v>
      </c>
      <c r="O93" s="66">
        <v>61</v>
      </c>
      <c r="P93" s="66">
        <v>66</v>
      </c>
      <c r="Q93" s="66">
        <v>71</v>
      </c>
      <c r="R93" s="66">
        <v>76</v>
      </c>
      <c r="S93" s="66">
        <v>82</v>
      </c>
      <c r="T93" s="9">
        <v>87</v>
      </c>
    </row>
    <row r="94" spans="1:20">
      <c r="A94">
        <f t="shared" si="7"/>
        <v>17</v>
      </c>
      <c r="B94" s="7">
        <v>0</v>
      </c>
      <c r="C94" s="66">
        <v>4</v>
      </c>
      <c r="D94" s="66">
        <v>8</v>
      </c>
      <c r="E94" s="66">
        <v>13</v>
      </c>
      <c r="F94" s="66">
        <v>18</v>
      </c>
      <c r="G94" s="66">
        <v>23</v>
      </c>
      <c r="H94" s="66">
        <v>28</v>
      </c>
      <c r="I94" s="66">
        <v>33</v>
      </c>
      <c r="J94" s="66">
        <v>38</v>
      </c>
      <c r="K94" s="66">
        <v>44</v>
      </c>
      <c r="L94" s="66">
        <v>49</v>
      </c>
      <c r="M94" s="66">
        <v>55</v>
      </c>
      <c r="N94" s="66">
        <v>60</v>
      </c>
      <c r="O94" s="66">
        <v>66</v>
      </c>
      <c r="P94" s="66">
        <v>71</v>
      </c>
      <c r="Q94" s="66">
        <v>77</v>
      </c>
      <c r="R94" s="66">
        <v>82</v>
      </c>
      <c r="S94" s="66">
        <v>88</v>
      </c>
      <c r="T94" s="9">
        <v>93</v>
      </c>
    </row>
    <row r="95" spans="1:20">
      <c r="A95">
        <f t="shared" si="7"/>
        <v>18</v>
      </c>
      <c r="B95" s="7">
        <v>0</v>
      </c>
      <c r="C95" s="66">
        <v>4</v>
      </c>
      <c r="D95" s="66">
        <v>9</v>
      </c>
      <c r="E95" s="66">
        <v>14</v>
      </c>
      <c r="F95" s="66">
        <v>19</v>
      </c>
      <c r="G95" s="66">
        <v>24</v>
      </c>
      <c r="H95" s="66">
        <v>30</v>
      </c>
      <c r="I95" s="66">
        <v>36</v>
      </c>
      <c r="J95" s="66">
        <v>41</v>
      </c>
      <c r="K95" s="66">
        <v>47</v>
      </c>
      <c r="L95" s="66">
        <v>53</v>
      </c>
      <c r="M95" s="66">
        <v>59</v>
      </c>
      <c r="N95" s="66">
        <v>65</v>
      </c>
      <c r="O95" s="66">
        <v>70</v>
      </c>
      <c r="P95" s="66">
        <v>76</v>
      </c>
      <c r="Q95" s="66">
        <v>82</v>
      </c>
      <c r="R95" s="66">
        <v>88</v>
      </c>
      <c r="S95" s="66">
        <v>94</v>
      </c>
      <c r="T95" s="9">
        <v>100</v>
      </c>
    </row>
    <row r="96" spans="1:20">
      <c r="A96">
        <f t="shared" si="7"/>
        <v>19</v>
      </c>
      <c r="B96" s="7">
        <v>1</v>
      </c>
      <c r="C96" s="66">
        <v>4</v>
      </c>
      <c r="D96" s="66">
        <v>9</v>
      </c>
      <c r="E96" s="66">
        <v>15</v>
      </c>
      <c r="F96" s="66">
        <v>20</v>
      </c>
      <c r="G96" s="66">
        <v>26</v>
      </c>
      <c r="H96" s="66">
        <v>32</v>
      </c>
      <c r="I96" s="66">
        <v>38</v>
      </c>
      <c r="J96" s="66">
        <v>44</v>
      </c>
      <c r="K96" s="66">
        <v>50</v>
      </c>
      <c r="L96" s="66">
        <v>56</v>
      </c>
      <c r="M96" s="66">
        <v>63</v>
      </c>
      <c r="N96" s="66">
        <v>69</v>
      </c>
      <c r="O96" s="66">
        <v>75</v>
      </c>
      <c r="P96" s="66">
        <v>82</v>
      </c>
      <c r="Q96" s="66">
        <v>88</v>
      </c>
      <c r="R96" s="66">
        <v>94</v>
      </c>
      <c r="S96" s="66">
        <v>101</v>
      </c>
      <c r="T96" s="9">
        <v>107</v>
      </c>
    </row>
    <row r="97" spans="1:20">
      <c r="A97">
        <f t="shared" si="7"/>
        <v>20</v>
      </c>
      <c r="B97" s="10">
        <v>1</v>
      </c>
      <c r="C97" s="11">
        <v>5</v>
      </c>
      <c r="D97" s="11">
        <v>10</v>
      </c>
      <c r="E97" s="11">
        <v>16</v>
      </c>
      <c r="F97" s="11">
        <v>22</v>
      </c>
      <c r="G97" s="11">
        <v>28</v>
      </c>
      <c r="H97" s="11">
        <v>34</v>
      </c>
      <c r="I97" s="11">
        <v>40</v>
      </c>
      <c r="J97" s="11">
        <v>47</v>
      </c>
      <c r="K97" s="11">
        <v>53</v>
      </c>
      <c r="L97" s="11">
        <v>60</v>
      </c>
      <c r="M97" s="11">
        <v>67</v>
      </c>
      <c r="N97" s="11">
        <v>73</v>
      </c>
      <c r="O97" s="11">
        <v>80</v>
      </c>
      <c r="P97" s="11">
        <v>87</v>
      </c>
      <c r="Q97" s="11">
        <v>93</v>
      </c>
      <c r="R97" s="11">
        <v>100</v>
      </c>
      <c r="S97" s="11">
        <v>107</v>
      </c>
      <c r="T97" s="12">
        <v>114</v>
      </c>
    </row>
    <row r="99" spans="1:20">
      <c r="A99" t="s">
        <v>280</v>
      </c>
    </row>
    <row r="101" spans="1:20">
      <c r="A101" t="s">
        <v>281</v>
      </c>
    </row>
    <row r="102" spans="1:20">
      <c r="A102" t="s">
        <v>3703</v>
      </c>
    </row>
    <row r="104" spans="1:20">
      <c r="A104" s="1" t="s">
        <v>275</v>
      </c>
    </row>
    <row r="106" spans="1:20" ht="23.4">
      <c r="A106" s="1360" t="s">
        <v>276</v>
      </c>
      <c r="B106">
        <v>2</v>
      </c>
      <c r="C106">
        <f t="shared" ref="C106:T106" si="8">B106+1</f>
        <v>3</v>
      </c>
      <c r="D106">
        <f t="shared" si="8"/>
        <v>4</v>
      </c>
      <c r="E106">
        <f t="shared" si="8"/>
        <v>5</v>
      </c>
      <c r="F106">
        <f t="shared" si="8"/>
        <v>6</v>
      </c>
      <c r="G106">
        <f t="shared" si="8"/>
        <v>7</v>
      </c>
      <c r="H106">
        <f t="shared" si="8"/>
        <v>8</v>
      </c>
      <c r="I106">
        <f t="shared" si="8"/>
        <v>9</v>
      </c>
      <c r="J106">
        <f t="shared" si="8"/>
        <v>10</v>
      </c>
      <c r="K106">
        <f t="shared" si="8"/>
        <v>11</v>
      </c>
      <c r="L106">
        <f t="shared" si="8"/>
        <v>12</v>
      </c>
      <c r="M106">
        <f t="shared" si="8"/>
        <v>13</v>
      </c>
      <c r="N106">
        <f t="shared" si="8"/>
        <v>14</v>
      </c>
      <c r="O106">
        <f t="shared" si="8"/>
        <v>15</v>
      </c>
      <c r="P106">
        <f t="shared" si="8"/>
        <v>16</v>
      </c>
      <c r="Q106">
        <f t="shared" si="8"/>
        <v>17</v>
      </c>
      <c r="R106">
        <f t="shared" si="8"/>
        <v>18</v>
      </c>
      <c r="S106">
        <f t="shared" si="8"/>
        <v>19</v>
      </c>
      <c r="T106">
        <f t="shared" si="8"/>
        <v>20</v>
      </c>
    </row>
    <row r="107" spans="1:20">
      <c r="A107">
        <v>2</v>
      </c>
      <c r="B107" s="4" t="s">
        <v>2031</v>
      </c>
      <c r="C107" s="1152" t="s">
        <v>2031</v>
      </c>
      <c r="D107" s="1152" t="s">
        <v>2031</v>
      </c>
      <c r="E107" s="1152" t="s">
        <v>2031</v>
      </c>
      <c r="F107" s="1152" t="s">
        <v>2031</v>
      </c>
      <c r="G107" s="1152" t="s">
        <v>2031</v>
      </c>
      <c r="H107" s="1152" t="s">
        <v>2031</v>
      </c>
      <c r="I107" s="1152" t="s">
        <v>2031</v>
      </c>
      <c r="J107" s="1152" t="s">
        <v>2031</v>
      </c>
      <c r="K107" s="1152" t="s">
        <v>2031</v>
      </c>
      <c r="L107" s="1152" t="s">
        <v>2031</v>
      </c>
      <c r="M107" s="1152" t="s">
        <v>2031</v>
      </c>
      <c r="N107" s="1152" t="s">
        <v>2031</v>
      </c>
      <c r="O107" s="1152" t="s">
        <v>2031</v>
      </c>
      <c r="P107" s="1152" t="s">
        <v>2031</v>
      </c>
      <c r="Q107" s="1152" t="s">
        <v>2031</v>
      </c>
      <c r="R107" s="1152" t="s">
        <v>2031</v>
      </c>
      <c r="S107" s="1152" t="s">
        <v>2031</v>
      </c>
      <c r="T107" s="6" t="s">
        <v>2031</v>
      </c>
    </row>
    <row r="108" spans="1:20">
      <c r="A108">
        <f>A107+1</f>
        <v>3</v>
      </c>
      <c r="B108" s="656" t="s">
        <v>2031</v>
      </c>
      <c r="C108" s="8" t="s">
        <v>2031</v>
      </c>
      <c r="D108" s="8" t="s">
        <v>2031</v>
      </c>
      <c r="E108" s="8" t="s">
        <v>2031</v>
      </c>
      <c r="F108" s="8" t="s">
        <v>2031</v>
      </c>
      <c r="G108" s="8" t="s">
        <v>2031</v>
      </c>
      <c r="H108" s="8" t="s">
        <v>2031</v>
      </c>
      <c r="I108" s="8" t="s">
        <v>2031</v>
      </c>
      <c r="J108" s="8" t="s">
        <v>2031</v>
      </c>
      <c r="K108" s="8" t="s">
        <v>2031</v>
      </c>
      <c r="L108" s="8">
        <v>0</v>
      </c>
      <c r="M108" s="8">
        <v>0</v>
      </c>
      <c r="N108" s="8">
        <v>0</v>
      </c>
      <c r="O108" s="8">
        <v>1</v>
      </c>
      <c r="P108" s="8">
        <v>1</v>
      </c>
      <c r="Q108" s="8">
        <v>1</v>
      </c>
      <c r="R108" s="8">
        <v>1</v>
      </c>
      <c r="S108" s="8">
        <v>1</v>
      </c>
      <c r="T108" s="657">
        <v>2</v>
      </c>
    </row>
    <row r="109" spans="1:20">
      <c r="A109">
        <f t="shared" ref="A109:A125" si="9">A108+1</f>
        <v>4</v>
      </c>
      <c r="B109" s="656" t="s">
        <v>2031</v>
      </c>
      <c r="C109" s="8" t="s">
        <v>2031</v>
      </c>
      <c r="D109" s="8" t="s">
        <v>2031</v>
      </c>
      <c r="E109" s="8" t="s">
        <v>2031</v>
      </c>
      <c r="F109" s="8" t="s">
        <v>2031</v>
      </c>
      <c r="G109" s="8" t="s">
        <v>2031</v>
      </c>
      <c r="H109" s="8">
        <v>0</v>
      </c>
      <c r="I109" s="8">
        <v>0</v>
      </c>
      <c r="J109" s="8">
        <v>1</v>
      </c>
      <c r="K109" s="8">
        <v>1</v>
      </c>
      <c r="L109" s="8">
        <v>2</v>
      </c>
      <c r="M109" s="8">
        <v>2</v>
      </c>
      <c r="N109" s="8">
        <v>3</v>
      </c>
      <c r="O109" s="8">
        <v>3</v>
      </c>
      <c r="P109" s="8">
        <v>4</v>
      </c>
      <c r="Q109" s="8">
        <v>4</v>
      </c>
      <c r="R109" s="8">
        <v>5</v>
      </c>
      <c r="S109" s="8">
        <v>5</v>
      </c>
      <c r="T109" s="657">
        <v>5</v>
      </c>
    </row>
    <row r="110" spans="1:20">
      <c r="A110">
        <f t="shared" si="9"/>
        <v>5</v>
      </c>
      <c r="B110" s="656" t="s">
        <v>2031</v>
      </c>
      <c r="C110" s="8" t="s">
        <v>2031</v>
      </c>
      <c r="D110" s="8" t="s">
        <v>2031</v>
      </c>
      <c r="E110" s="8" t="s">
        <v>2031</v>
      </c>
      <c r="F110" s="8">
        <v>0</v>
      </c>
      <c r="G110" s="8">
        <v>0</v>
      </c>
      <c r="H110" s="8">
        <v>1</v>
      </c>
      <c r="I110" s="8">
        <v>2</v>
      </c>
      <c r="J110" s="8">
        <v>3</v>
      </c>
      <c r="K110" s="8">
        <v>3</v>
      </c>
      <c r="L110" s="8">
        <v>4</v>
      </c>
      <c r="M110" s="8">
        <v>5</v>
      </c>
      <c r="N110" s="8">
        <v>6</v>
      </c>
      <c r="O110" s="8">
        <v>6</v>
      </c>
      <c r="P110" s="8">
        <v>7</v>
      </c>
      <c r="Q110" s="8">
        <v>8</v>
      </c>
      <c r="R110" s="8">
        <v>9</v>
      </c>
      <c r="S110" s="8">
        <v>9</v>
      </c>
      <c r="T110" s="657">
        <v>10</v>
      </c>
    </row>
    <row r="111" spans="1:20">
      <c r="A111">
        <f t="shared" si="9"/>
        <v>6</v>
      </c>
      <c r="B111" s="656" t="s">
        <v>2031</v>
      </c>
      <c r="C111" s="8" t="s">
        <v>2031</v>
      </c>
      <c r="D111" s="8" t="s">
        <v>2031</v>
      </c>
      <c r="E111" s="8">
        <v>0</v>
      </c>
      <c r="F111" s="8">
        <v>1</v>
      </c>
      <c r="G111" s="8">
        <v>2</v>
      </c>
      <c r="H111" s="8">
        <v>3</v>
      </c>
      <c r="I111" s="8">
        <v>4</v>
      </c>
      <c r="J111" s="8">
        <v>5</v>
      </c>
      <c r="K111" s="8">
        <v>6</v>
      </c>
      <c r="L111" s="8">
        <v>7</v>
      </c>
      <c r="M111" s="8">
        <v>8</v>
      </c>
      <c r="N111" s="8">
        <v>9</v>
      </c>
      <c r="O111" s="8">
        <v>10</v>
      </c>
      <c r="P111" s="8">
        <v>11</v>
      </c>
      <c r="Q111" s="8">
        <v>12</v>
      </c>
      <c r="R111" s="8">
        <v>13</v>
      </c>
      <c r="S111" s="8">
        <v>14</v>
      </c>
      <c r="T111" s="657">
        <v>15</v>
      </c>
    </row>
    <row r="112" spans="1:20">
      <c r="A112">
        <f t="shared" si="9"/>
        <v>7</v>
      </c>
      <c r="B112" s="656" t="s">
        <v>2031</v>
      </c>
      <c r="C112" s="8" t="s">
        <v>2031</v>
      </c>
      <c r="D112" s="8" t="s">
        <v>2031</v>
      </c>
      <c r="E112" s="8">
        <v>0</v>
      </c>
      <c r="F112" s="8">
        <v>2</v>
      </c>
      <c r="G112" s="8">
        <v>3</v>
      </c>
      <c r="H112" s="8">
        <v>4</v>
      </c>
      <c r="I112" s="8">
        <v>5</v>
      </c>
      <c r="J112" s="8">
        <v>7</v>
      </c>
      <c r="K112" s="8">
        <v>8</v>
      </c>
      <c r="L112" s="8">
        <v>9</v>
      </c>
      <c r="M112" s="8">
        <v>11</v>
      </c>
      <c r="N112" s="8">
        <v>12</v>
      </c>
      <c r="O112" s="8">
        <v>13</v>
      </c>
      <c r="P112" s="8">
        <v>15</v>
      </c>
      <c r="Q112" s="8">
        <v>16</v>
      </c>
      <c r="R112" s="8">
        <v>18</v>
      </c>
      <c r="S112" s="8">
        <v>19</v>
      </c>
      <c r="T112" s="657">
        <v>20</v>
      </c>
    </row>
    <row r="113" spans="1:20">
      <c r="A113">
        <f t="shared" si="9"/>
        <v>8</v>
      </c>
      <c r="B113" s="656" t="s">
        <v>2031</v>
      </c>
      <c r="C113" s="8" t="s">
        <v>2031</v>
      </c>
      <c r="D113" s="8">
        <v>0</v>
      </c>
      <c r="E113" s="8">
        <v>1</v>
      </c>
      <c r="F113" s="8">
        <v>3</v>
      </c>
      <c r="G113" s="8">
        <v>4</v>
      </c>
      <c r="H113" s="66">
        <v>6</v>
      </c>
      <c r="I113" s="8">
        <v>7</v>
      </c>
      <c r="J113" s="8">
        <v>9</v>
      </c>
      <c r="K113" s="8">
        <v>11</v>
      </c>
      <c r="L113" s="8">
        <v>12</v>
      </c>
      <c r="M113" s="8">
        <v>14</v>
      </c>
      <c r="N113" s="8">
        <v>16</v>
      </c>
      <c r="O113" s="8">
        <v>17</v>
      </c>
      <c r="P113" s="8">
        <v>19</v>
      </c>
      <c r="Q113" s="8">
        <v>21</v>
      </c>
      <c r="R113" s="8">
        <v>22</v>
      </c>
      <c r="S113" s="8">
        <v>24</v>
      </c>
      <c r="T113" s="657">
        <v>26</v>
      </c>
    </row>
    <row r="114" spans="1:20">
      <c r="A114">
        <f t="shared" si="9"/>
        <v>9</v>
      </c>
      <c r="B114" s="656" t="s">
        <v>2031</v>
      </c>
      <c r="C114" s="8" t="s">
        <v>2031</v>
      </c>
      <c r="D114" s="8">
        <v>0</v>
      </c>
      <c r="E114" s="8">
        <v>2</v>
      </c>
      <c r="F114" s="8">
        <v>4</v>
      </c>
      <c r="G114" s="8">
        <v>5</v>
      </c>
      <c r="H114" s="8">
        <v>7</v>
      </c>
      <c r="I114" s="66">
        <v>9</v>
      </c>
      <c r="J114" s="8">
        <v>11</v>
      </c>
      <c r="K114" s="8">
        <v>13</v>
      </c>
      <c r="L114" s="8">
        <v>15</v>
      </c>
      <c r="M114" s="8">
        <v>17</v>
      </c>
      <c r="N114" s="8">
        <v>19</v>
      </c>
      <c r="O114" s="8">
        <v>21</v>
      </c>
      <c r="P114" s="8">
        <v>23</v>
      </c>
      <c r="Q114" s="8">
        <v>25</v>
      </c>
      <c r="R114" s="8">
        <v>27</v>
      </c>
      <c r="S114" s="8">
        <v>29</v>
      </c>
      <c r="T114" s="657">
        <v>31</v>
      </c>
    </row>
    <row r="115" spans="1:20">
      <c r="A115">
        <f t="shared" si="9"/>
        <v>10</v>
      </c>
      <c r="B115" s="656" t="s">
        <v>2031</v>
      </c>
      <c r="C115" s="8" t="s">
        <v>2031</v>
      </c>
      <c r="D115" s="8">
        <v>1</v>
      </c>
      <c r="E115" s="8">
        <v>3</v>
      </c>
      <c r="F115" s="8">
        <v>5</v>
      </c>
      <c r="G115" s="8">
        <v>7</v>
      </c>
      <c r="H115" s="8">
        <v>9</v>
      </c>
      <c r="I115" s="8">
        <v>11</v>
      </c>
      <c r="J115" s="8">
        <v>13</v>
      </c>
      <c r="K115" s="8">
        <v>16</v>
      </c>
      <c r="L115" s="8">
        <v>18</v>
      </c>
      <c r="M115" s="8">
        <v>20</v>
      </c>
      <c r="N115" s="8">
        <v>23</v>
      </c>
      <c r="O115" s="8">
        <v>25</v>
      </c>
      <c r="P115" s="8">
        <v>27</v>
      </c>
      <c r="Q115" s="8">
        <v>30</v>
      </c>
      <c r="R115" s="8">
        <v>32</v>
      </c>
      <c r="S115" s="8">
        <v>35</v>
      </c>
      <c r="T115" s="657">
        <v>37</v>
      </c>
    </row>
    <row r="116" spans="1:20">
      <c r="A116">
        <f t="shared" si="9"/>
        <v>11</v>
      </c>
      <c r="B116" s="656" t="s">
        <v>2031</v>
      </c>
      <c r="C116" s="8" t="s">
        <v>2031</v>
      </c>
      <c r="D116" s="8">
        <v>1</v>
      </c>
      <c r="E116" s="8">
        <v>3</v>
      </c>
      <c r="F116" s="8">
        <v>6</v>
      </c>
      <c r="G116" s="8">
        <v>8</v>
      </c>
      <c r="H116" s="8">
        <v>11</v>
      </c>
      <c r="I116" s="8">
        <v>13</v>
      </c>
      <c r="J116" s="8">
        <v>16</v>
      </c>
      <c r="K116" s="8">
        <v>18</v>
      </c>
      <c r="L116" s="8">
        <v>21</v>
      </c>
      <c r="M116" s="8">
        <v>24</v>
      </c>
      <c r="N116" s="8">
        <v>26</v>
      </c>
      <c r="O116" s="8">
        <v>29</v>
      </c>
      <c r="P116" s="8">
        <v>32</v>
      </c>
      <c r="Q116" s="8">
        <v>35</v>
      </c>
      <c r="R116" s="8">
        <v>37</v>
      </c>
      <c r="S116" s="8">
        <v>40</v>
      </c>
      <c r="T116" s="657">
        <v>43</v>
      </c>
    </row>
    <row r="117" spans="1:20">
      <c r="A117">
        <f t="shared" si="9"/>
        <v>12</v>
      </c>
      <c r="B117" s="656" t="s">
        <v>2031</v>
      </c>
      <c r="C117" s="8">
        <v>0</v>
      </c>
      <c r="D117" s="8">
        <v>2</v>
      </c>
      <c r="E117" s="8">
        <v>4</v>
      </c>
      <c r="F117" s="8">
        <v>7</v>
      </c>
      <c r="G117" s="8">
        <v>9</v>
      </c>
      <c r="H117" s="8">
        <v>12</v>
      </c>
      <c r="I117" s="8">
        <v>15</v>
      </c>
      <c r="J117" s="8">
        <v>18</v>
      </c>
      <c r="K117" s="8">
        <v>21</v>
      </c>
      <c r="L117" s="66">
        <v>24</v>
      </c>
      <c r="M117" s="66">
        <v>27</v>
      </c>
      <c r="N117" s="66">
        <v>30</v>
      </c>
      <c r="O117" s="66">
        <v>33</v>
      </c>
      <c r="P117" s="66">
        <v>36</v>
      </c>
      <c r="Q117" s="66">
        <v>39</v>
      </c>
      <c r="R117" s="66">
        <v>43</v>
      </c>
      <c r="S117" s="66">
        <v>46</v>
      </c>
      <c r="T117" s="681">
        <v>49</v>
      </c>
    </row>
    <row r="118" spans="1:20">
      <c r="A118">
        <f t="shared" si="9"/>
        <v>13</v>
      </c>
      <c r="B118" s="656" t="s">
        <v>2031</v>
      </c>
      <c r="C118" s="8">
        <v>0</v>
      </c>
      <c r="D118" s="8">
        <v>2</v>
      </c>
      <c r="E118" s="8">
        <v>5</v>
      </c>
      <c r="F118" s="8">
        <v>8</v>
      </c>
      <c r="G118" s="8">
        <v>11</v>
      </c>
      <c r="H118" s="8">
        <v>14</v>
      </c>
      <c r="I118" s="8">
        <v>17</v>
      </c>
      <c r="J118" s="8">
        <v>20</v>
      </c>
      <c r="K118" s="8">
        <v>24</v>
      </c>
      <c r="L118" s="66">
        <v>27</v>
      </c>
      <c r="M118" s="66">
        <v>30</v>
      </c>
      <c r="N118" s="66">
        <v>34</v>
      </c>
      <c r="O118" s="66">
        <v>37</v>
      </c>
      <c r="P118" s="66">
        <v>41</v>
      </c>
      <c r="Q118" s="66">
        <v>44</v>
      </c>
      <c r="R118" s="66">
        <v>48</v>
      </c>
      <c r="S118" s="66">
        <v>51</v>
      </c>
      <c r="T118" s="681">
        <v>55</v>
      </c>
    </row>
    <row r="119" spans="1:20">
      <c r="A119">
        <f t="shared" si="9"/>
        <v>14</v>
      </c>
      <c r="B119" s="656" t="s">
        <v>2031</v>
      </c>
      <c r="C119" s="8">
        <v>0</v>
      </c>
      <c r="D119" s="8">
        <v>3</v>
      </c>
      <c r="E119" s="8">
        <v>6</v>
      </c>
      <c r="F119" s="8">
        <v>9</v>
      </c>
      <c r="G119" s="8">
        <v>12</v>
      </c>
      <c r="H119" s="8">
        <v>16</v>
      </c>
      <c r="I119" s="8">
        <v>19</v>
      </c>
      <c r="J119" s="8">
        <v>23</v>
      </c>
      <c r="K119" s="8">
        <v>26</v>
      </c>
      <c r="L119" s="66">
        <v>30</v>
      </c>
      <c r="M119" s="66">
        <v>34</v>
      </c>
      <c r="N119" s="66">
        <v>38</v>
      </c>
      <c r="O119" s="66">
        <v>41</v>
      </c>
      <c r="P119" s="66">
        <v>45</v>
      </c>
      <c r="Q119" s="66">
        <v>49</v>
      </c>
      <c r="R119" s="66">
        <v>53</v>
      </c>
      <c r="S119" s="66">
        <v>57</v>
      </c>
      <c r="T119" s="681">
        <v>61</v>
      </c>
    </row>
    <row r="120" spans="1:20">
      <c r="A120">
        <f t="shared" si="9"/>
        <v>15</v>
      </c>
      <c r="B120" s="656" t="s">
        <v>2031</v>
      </c>
      <c r="C120" s="8">
        <v>1</v>
      </c>
      <c r="D120" s="8">
        <v>3</v>
      </c>
      <c r="E120" s="8">
        <v>6</v>
      </c>
      <c r="F120" s="8">
        <v>10</v>
      </c>
      <c r="G120" s="8">
        <v>13</v>
      </c>
      <c r="H120" s="8">
        <v>17</v>
      </c>
      <c r="I120" s="8">
        <v>21</v>
      </c>
      <c r="J120" s="8">
        <v>25</v>
      </c>
      <c r="K120" s="8">
        <v>29</v>
      </c>
      <c r="L120" s="66">
        <v>33</v>
      </c>
      <c r="M120" s="66">
        <v>37</v>
      </c>
      <c r="N120" s="66">
        <v>41</v>
      </c>
      <c r="O120" s="66">
        <v>46</v>
      </c>
      <c r="P120" s="66">
        <v>50</v>
      </c>
      <c r="Q120" s="66">
        <v>54</v>
      </c>
      <c r="R120" s="66">
        <v>58</v>
      </c>
      <c r="S120" s="66">
        <v>62</v>
      </c>
      <c r="T120" s="681">
        <v>67</v>
      </c>
    </row>
    <row r="121" spans="1:20">
      <c r="A121">
        <f t="shared" si="9"/>
        <v>16</v>
      </c>
      <c r="B121" s="656" t="s">
        <v>2031</v>
      </c>
      <c r="C121" s="8">
        <v>1</v>
      </c>
      <c r="D121" s="8">
        <v>4</v>
      </c>
      <c r="E121" s="8">
        <v>7</v>
      </c>
      <c r="F121" s="8">
        <v>11</v>
      </c>
      <c r="G121" s="8">
        <v>15</v>
      </c>
      <c r="H121" s="8">
        <v>19</v>
      </c>
      <c r="I121" s="8">
        <v>23</v>
      </c>
      <c r="J121" s="66">
        <v>27</v>
      </c>
      <c r="K121" s="66">
        <v>32</v>
      </c>
      <c r="L121" s="66">
        <v>36</v>
      </c>
      <c r="M121" s="66">
        <v>41</v>
      </c>
      <c r="N121" s="66">
        <v>45</v>
      </c>
      <c r="O121" s="66">
        <v>50</v>
      </c>
      <c r="P121" s="66">
        <v>54</v>
      </c>
      <c r="Q121" s="66">
        <v>59</v>
      </c>
      <c r="R121" s="66">
        <v>64</v>
      </c>
      <c r="S121" s="66">
        <v>68</v>
      </c>
      <c r="T121" s="681">
        <v>73</v>
      </c>
    </row>
    <row r="122" spans="1:20">
      <c r="A122">
        <f t="shared" si="9"/>
        <v>17</v>
      </c>
      <c r="B122" s="656" t="s">
        <v>2031</v>
      </c>
      <c r="C122" s="8">
        <v>1</v>
      </c>
      <c r="D122" s="8">
        <v>4</v>
      </c>
      <c r="E122" s="8">
        <v>8</v>
      </c>
      <c r="F122" s="8">
        <v>12</v>
      </c>
      <c r="G122" s="8">
        <v>16</v>
      </c>
      <c r="H122" s="8">
        <v>21</v>
      </c>
      <c r="I122" s="8">
        <v>25</v>
      </c>
      <c r="J122" s="8">
        <v>30</v>
      </c>
      <c r="K122" s="8">
        <v>35</v>
      </c>
      <c r="L122" s="66">
        <v>39</v>
      </c>
      <c r="M122" s="66">
        <v>44</v>
      </c>
      <c r="N122" s="66">
        <v>49</v>
      </c>
      <c r="O122" s="66">
        <v>54</v>
      </c>
      <c r="P122" s="66">
        <v>59</v>
      </c>
      <c r="Q122" s="66">
        <v>64</v>
      </c>
      <c r="R122" s="66">
        <v>69</v>
      </c>
      <c r="S122" s="66">
        <v>74</v>
      </c>
      <c r="T122" s="681">
        <v>79</v>
      </c>
    </row>
    <row r="123" spans="1:20">
      <c r="A123">
        <f t="shared" si="9"/>
        <v>18</v>
      </c>
      <c r="B123" s="656" t="s">
        <v>2031</v>
      </c>
      <c r="C123" s="8">
        <v>1</v>
      </c>
      <c r="D123" s="8">
        <v>5</v>
      </c>
      <c r="E123" s="8">
        <v>9</v>
      </c>
      <c r="F123" s="8">
        <v>13</v>
      </c>
      <c r="G123" s="8">
        <v>18</v>
      </c>
      <c r="H123" s="8">
        <v>22</v>
      </c>
      <c r="I123" s="8">
        <v>27</v>
      </c>
      <c r="J123" s="8">
        <v>32</v>
      </c>
      <c r="K123" s="8">
        <v>37</v>
      </c>
      <c r="L123" s="66">
        <v>43</v>
      </c>
      <c r="M123" s="66">
        <v>48</v>
      </c>
      <c r="N123" s="66">
        <v>53</v>
      </c>
      <c r="O123" s="66">
        <v>58</v>
      </c>
      <c r="P123" s="66">
        <v>64</v>
      </c>
      <c r="Q123" s="66">
        <v>69</v>
      </c>
      <c r="R123" s="66">
        <v>74</v>
      </c>
      <c r="S123" s="66">
        <v>80</v>
      </c>
      <c r="T123" s="681">
        <v>85</v>
      </c>
    </row>
    <row r="124" spans="1:20">
      <c r="A124">
        <f t="shared" si="9"/>
        <v>19</v>
      </c>
      <c r="B124" s="656" t="s">
        <v>2031</v>
      </c>
      <c r="C124" s="8">
        <v>1</v>
      </c>
      <c r="D124" s="8">
        <v>5</v>
      </c>
      <c r="E124" s="8">
        <v>9</v>
      </c>
      <c r="F124" s="8">
        <v>14</v>
      </c>
      <c r="G124" s="8">
        <v>19</v>
      </c>
      <c r="H124" s="8">
        <v>24</v>
      </c>
      <c r="I124" s="8">
        <v>29</v>
      </c>
      <c r="J124" s="8">
        <v>35</v>
      </c>
      <c r="K124" s="8">
        <v>40</v>
      </c>
      <c r="L124" s="66">
        <v>46</v>
      </c>
      <c r="M124" s="66">
        <v>51</v>
      </c>
      <c r="N124" s="66">
        <v>57</v>
      </c>
      <c r="O124" s="66">
        <v>62</v>
      </c>
      <c r="P124" s="66">
        <v>68</v>
      </c>
      <c r="Q124" s="66">
        <v>74</v>
      </c>
      <c r="R124" s="66">
        <v>80</v>
      </c>
      <c r="S124" s="66">
        <v>85</v>
      </c>
      <c r="T124" s="657">
        <v>91</v>
      </c>
    </row>
    <row r="125" spans="1:20">
      <c r="A125">
        <f t="shared" si="9"/>
        <v>20</v>
      </c>
      <c r="B125" s="533" t="s">
        <v>2031</v>
      </c>
      <c r="C125" s="1062">
        <v>2</v>
      </c>
      <c r="D125" s="1062">
        <v>5</v>
      </c>
      <c r="E125" s="1062">
        <v>10</v>
      </c>
      <c r="F125" s="1062">
        <v>15</v>
      </c>
      <c r="G125" s="1062">
        <v>20</v>
      </c>
      <c r="H125" s="1062">
        <v>26</v>
      </c>
      <c r="I125" s="1062">
        <v>31</v>
      </c>
      <c r="J125" s="1062">
        <v>37</v>
      </c>
      <c r="K125" s="1062">
        <v>43</v>
      </c>
      <c r="L125" s="1062">
        <v>49</v>
      </c>
      <c r="M125" s="1062">
        <v>55</v>
      </c>
      <c r="N125" s="1062">
        <v>61</v>
      </c>
      <c r="O125" s="1062">
        <v>67</v>
      </c>
      <c r="P125" s="1062">
        <v>73</v>
      </c>
      <c r="Q125" s="1062">
        <v>79</v>
      </c>
      <c r="R125" s="1062">
        <v>85</v>
      </c>
      <c r="S125" s="1062">
        <v>91</v>
      </c>
      <c r="T125" s="541">
        <v>97</v>
      </c>
    </row>
    <row r="127" spans="1:20">
      <c r="A127" t="s">
        <v>3802</v>
      </c>
    </row>
    <row r="129" spans="1:20">
      <c r="A129" s="1" t="s">
        <v>275</v>
      </c>
    </row>
    <row r="131" spans="1:20" ht="23.4">
      <c r="A131" s="1360" t="s">
        <v>276</v>
      </c>
      <c r="B131">
        <v>2</v>
      </c>
      <c r="C131">
        <f t="shared" ref="C131:T131" si="10">B131+1</f>
        <v>3</v>
      </c>
      <c r="D131">
        <f t="shared" si="10"/>
        <v>4</v>
      </c>
      <c r="E131">
        <f t="shared" si="10"/>
        <v>5</v>
      </c>
      <c r="F131">
        <f t="shared" si="10"/>
        <v>6</v>
      </c>
      <c r="G131">
        <f t="shared" si="10"/>
        <v>7</v>
      </c>
      <c r="H131">
        <f t="shared" si="10"/>
        <v>8</v>
      </c>
      <c r="I131">
        <f t="shared" si="10"/>
        <v>9</v>
      </c>
      <c r="J131">
        <f t="shared" si="10"/>
        <v>10</v>
      </c>
      <c r="K131">
        <f t="shared" si="10"/>
        <v>11</v>
      </c>
      <c r="L131">
        <f t="shared" si="10"/>
        <v>12</v>
      </c>
      <c r="M131">
        <f t="shared" si="10"/>
        <v>13</v>
      </c>
      <c r="N131">
        <f t="shared" si="10"/>
        <v>14</v>
      </c>
      <c r="O131">
        <f t="shared" si="10"/>
        <v>15</v>
      </c>
      <c r="P131">
        <f t="shared" si="10"/>
        <v>16</v>
      </c>
      <c r="Q131">
        <f t="shared" si="10"/>
        <v>17</v>
      </c>
      <c r="R131">
        <f t="shared" si="10"/>
        <v>18</v>
      </c>
      <c r="S131">
        <f t="shared" si="10"/>
        <v>19</v>
      </c>
      <c r="T131">
        <f t="shared" si="10"/>
        <v>20</v>
      </c>
    </row>
    <row r="132" spans="1:20">
      <c r="A132">
        <v>2</v>
      </c>
      <c r="B132" s="1397"/>
      <c r="C132" s="1398">
        <v>0</v>
      </c>
      <c r="D132" s="1398">
        <v>0</v>
      </c>
      <c r="E132" s="1398">
        <v>1</v>
      </c>
      <c r="F132" s="1398">
        <v>1</v>
      </c>
      <c r="G132" s="1398">
        <v>1</v>
      </c>
      <c r="H132" s="1398">
        <v>2</v>
      </c>
      <c r="I132" s="1398">
        <v>2</v>
      </c>
      <c r="J132" s="1398">
        <v>3</v>
      </c>
      <c r="K132" s="1398">
        <v>3</v>
      </c>
      <c r="L132" s="1398">
        <v>4</v>
      </c>
      <c r="M132" s="1398">
        <v>4</v>
      </c>
      <c r="N132" s="1398">
        <v>5</v>
      </c>
      <c r="O132" s="1398">
        <v>5</v>
      </c>
      <c r="P132" s="1398">
        <v>5</v>
      </c>
      <c r="Q132" s="1398">
        <v>6</v>
      </c>
      <c r="R132" s="1398">
        <v>6</v>
      </c>
      <c r="S132" s="1398">
        <v>7</v>
      </c>
      <c r="T132" s="1399">
        <v>7</v>
      </c>
    </row>
    <row r="133" spans="1:20">
      <c r="A133">
        <f>A132+1</f>
        <v>3</v>
      </c>
      <c r="B133" s="734">
        <v>0</v>
      </c>
      <c r="C133" s="174">
        <v>1</v>
      </c>
      <c r="D133" s="174">
        <v>1</v>
      </c>
      <c r="E133" s="174">
        <v>2</v>
      </c>
      <c r="F133" s="174">
        <v>3</v>
      </c>
      <c r="G133" s="174">
        <v>4</v>
      </c>
      <c r="H133" s="174">
        <v>5</v>
      </c>
      <c r="I133" s="172">
        <v>5</v>
      </c>
      <c r="J133" s="172">
        <v>6</v>
      </c>
      <c r="K133" s="172">
        <v>7</v>
      </c>
      <c r="L133" s="172">
        <v>8</v>
      </c>
      <c r="M133" s="172">
        <v>9</v>
      </c>
      <c r="N133" s="172">
        <v>10</v>
      </c>
      <c r="O133" s="172">
        <v>10</v>
      </c>
      <c r="P133" s="172">
        <v>11</v>
      </c>
      <c r="Q133" s="172">
        <v>12</v>
      </c>
      <c r="R133" s="172">
        <v>13</v>
      </c>
      <c r="S133" s="172">
        <v>14</v>
      </c>
      <c r="T133" s="619">
        <v>15</v>
      </c>
    </row>
    <row r="134" spans="1:20">
      <c r="A134">
        <f t="shared" ref="A134:A150" si="11">A133+1</f>
        <v>4</v>
      </c>
      <c r="B134" s="734">
        <v>0</v>
      </c>
      <c r="C134" s="174">
        <v>1</v>
      </c>
      <c r="D134" s="174">
        <v>3</v>
      </c>
      <c r="E134" s="174">
        <v>4</v>
      </c>
      <c r="F134" s="174">
        <v>5</v>
      </c>
      <c r="G134" s="174">
        <v>6</v>
      </c>
      <c r="H134" s="174">
        <v>7</v>
      </c>
      <c r="I134" s="172">
        <v>9</v>
      </c>
      <c r="J134" s="172">
        <v>10</v>
      </c>
      <c r="K134" s="172">
        <v>11</v>
      </c>
      <c r="L134" s="172">
        <v>12</v>
      </c>
      <c r="M134" s="172">
        <v>13</v>
      </c>
      <c r="N134" s="172">
        <v>15</v>
      </c>
      <c r="O134" s="172">
        <v>17</v>
      </c>
      <c r="P134" s="172">
        <v>18</v>
      </c>
      <c r="Q134" s="172">
        <v>20</v>
      </c>
      <c r="R134" s="172">
        <v>21</v>
      </c>
      <c r="S134" s="172">
        <v>22</v>
      </c>
      <c r="T134" s="619">
        <v>23</v>
      </c>
    </row>
    <row r="135" spans="1:20">
      <c r="A135">
        <f t="shared" si="11"/>
        <v>5</v>
      </c>
      <c r="B135" s="734">
        <v>1</v>
      </c>
      <c r="C135" s="174">
        <v>2</v>
      </c>
      <c r="D135" s="174">
        <v>4</v>
      </c>
      <c r="E135" s="174">
        <v>5</v>
      </c>
      <c r="F135" s="174">
        <v>7</v>
      </c>
      <c r="G135" s="174">
        <v>8</v>
      </c>
      <c r="H135" s="172">
        <v>10</v>
      </c>
      <c r="I135" s="172">
        <v>12</v>
      </c>
      <c r="J135" s="172">
        <v>13</v>
      </c>
      <c r="K135" s="172">
        <v>15</v>
      </c>
      <c r="L135" s="172">
        <v>17</v>
      </c>
      <c r="M135" s="172">
        <v>18</v>
      </c>
      <c r="N135" s="172">
        <v>20</v>
      </c>
      <c r="O135" s="172">
        <v>22</v>
      </c>
      <c r="P135" s="172">
        <v>23</v>
      </c>
      <c r="Q135" s="172">
        <v>25</v>
      </c>
      <c r="R135" s="172">
        <v>27</v>
      </c>
      <c r="S135" s="174">
        <v>28</v>
      </c>
      <c r="T135" s="619">
        <v>30</v>
      </c>
    </row>
    <row r="136" spans="1:20">
      <c r="A136">
        <f t="shared" si="11"/>
        <v>6</v>
      </c>
      <c r="B136" s="734">
        <v>1</v>
      </c>
      <c r="C136" s="174">
        <v>3</v>
      </c>
      <c r="D136" s="174">
        <v>5</v>
      </c>
      <c r="E136" s="174">
        <v>7</v>
      </c>
      <c r="F136" s="174">
        <v>9</v>
      </c>
      <c r="G136" s="174">
        <v>11</v>
      </c>
      <c r="H136" s="174">
        <v>13</v>
      </c>
      <c r="I136" s="172">
        <v>15</v>
      </c>
      <c r="J136" s="172">
        <v>17</v>
      </c>
      <c r="K136" s="172">
        <v>19</v>
      </c>
      <c r="L136" s="172">
        <v>21</v>
      </c>
      <c r="M136" s="172">
        <v>23</v>
      </c>
      <c r="N136" s="172">
        <v>25</v>
      </c>
      <c r="O136" s="172">
        <v>27</v>
      </c>
      <c r="P136" s="172">
        <v>29</v>
      </c>
      <c r="Q136" s="172">
        <v>31</v>
      </c>
      <c r="R136" s="172">
        <v>34</v>
      </c>
      <c r="S136" s="172">
        <v>36</v>
      </c>
      <c r="T136" s="619">
        <v>38</v>
      </c>
    </row>
    <row r="137" spans="1:20">
      <c r="A137">
        <f t="shared" si="11"/>
        <v>7</v>
      </c>
      <c r="B137" s="734">
        <v>1</v>
      </c>
      <c r="C137" s="174">
        <v>4</v>
      </c>
      <c r="D137" s="174">
        <v>6</v>
      </c>
      <c r="E137" s="174">
        <v>8</v>
      </c>
      <c r="F137" s="174">
        <v>11</v>
      </c>
      <c r="G137" s="174">
        <v>13</v>
      </c>
      <c r="H137" s="174">
        <v>16</v>
      </c>
      <c r="I137" s="172">
        <v>18</v>
      </c>
      <c r="J137" s="172">
        <v>21</v>
      </c>
      <c r="K137" s="172">
        <v>23</v>
      </c>
      <c r="L137" s="172">
        <v>26</v>
      </c>
      <c r="M137" s="172">
        <v>28</v>
      </c>
      <c r="N137" s="172">
        <v>31</v>
      </c>
      <c r="O137" s="172">
        <v>33</v>
      </c>
      <c r="P137" s="172">
        <v>36</v>
      </c>
      <c r="Q137" s="172">
        <v>41</v>
      </c>
      <c r="R137" s="172">
        <v>43</v>
      </c>
      <c r="S137" s="172">
        <v>46</v>
      </c>
      <c r="T137" s="619">
        <v>48</v>
      </c>
    </row>
    <row r="138" spans="1:20">
      <c r="A138">
        <f t="shared" si="11"/>
        <v>8</v>
      </c>
      <c r="B138" s="734">
        <v>2</v>
      </c>
      <c r="C138" s="174">
        <v>5</v>
      </c>
      <c r="D138" s="174">
        <v>7</v>
      </c>
      <c r="E138" s="172">
        <v>10</v>
      </c>
      <c r="F138" s="174">
        <v>13</v>
      </c>
      <c r="G138" s="174">
        <v>16</v>
      </c>
      <c r="H138" s="174">
        <v>19</v>
      </c>
      <c r="I138" s="172">
        <v>22</v>
      </c>
      <c r="J138" s="172">
        <v>24</v>
      </c>
      <c r="K138" s="172">
        <v>27</v>
      </c>
      <c r="L138" s="172">
        <v>30</v>
      </c>
      <c r="M138" s="172">
        <v>33</v>
      </c>
      <c r="N138" s="172">
        <v>36</v>
      </c>
      <c r="O138" s="172">
        <v>39</v>
      </c>
      <c r="P138" s="172">
        <v>42</v>
      </c>
      <c r="Q138" s="172">
        <v>45</v>
      </c>
      <c r="R138" s="172">
        <v>48</v>
      </c>
      <c r="S138" s="172">
        <v>51</v>
      </c>
      <c r="T138" s="619">
        <v>54</v>
      </c>
    </row>
    <row r="139" spans="1:20">
      <c r="A139">
        <f t="shared" si="11"/>
        <v>9</v>
      </c>
      <c r="B139" s="734">
        <v>2</v>
      </c>
      <c r="C139" s="172">
        <v>5</v>
      </c>
      <c r="D139" s="172">
        <v>9</v>
      </c>
      <c r="E139" s="172">
        <v>12</v>
      </c>
      <c r="F139" s="172">
        <v>15</v>
      </c>
      <c r="G139" s="172">
        <v>18</v>
      </c>
      <c r="H139" s="172">
        <v>22</v>
      </c>
      <c r="I139" s="172">
        <v>25</v>
      </c>
      <c r="J139" s="172">
        <v>28</v>
      </c>
      <c r="K139" s="172">
        <v>31</v>
      </c>
      <c r="L139" s="172">
        <v>35</v>
      </c>
      <c r="M139" s="172">
        <v>38</v>
      </c>
      <c r="N139" s="172">
        <v>41</v>
      </c>
      <c r="O139" s="172">
        <v>45</v>
      </c>
      <c r="P139" s="172">
        <v>48</v>
      </c>
      <c r="Q139" s="172">
        <v>52</v>
      </c>
      <c r="R139" s="172">
        <v>55</v>
      </c>
      <c r="S139" s="172">
        <v>58</v>
      </c>
      <c r="T139" s="619">
        <v>62</v>
      </c>
    </row>
    <row r="140" spans="1:20">
      <c r="A140">
        <f t="shared" si="11"/>
        <v>10</v>
      </c>
      <c r="B140" s="734">
        <v>3</v>
      </c>
      <c r="C140" s="172">
        <v>6</v>
      </c>
      <c r="D140" s="172">
        <v>10</v>
      </c>
      <c r="E140" s="172">
        <v>13</v>
      </c>
      <c r="F140" s="172">
        <v>17</v>
      </c>
      <c r="G140" s="172">
        <v>21</v>
      </c>
      <c r="H140" s="172">
        <v>24</v>
      </c>
      <c r="I140" s="172">
        <v>28</v>
      </c>
      <c r="J140" s="172">
        <v>32</v>
      </c>
      <c r="K140" s="172">
        <v>36</v>
      </c>
      <c r="L140" s="172">
        <v>39</v>
      </c>
      <c r="M140" s="172">
        <v>43</v>
      </c>
      <c r="N140" s="172">
        <v>47</v>
      </c>
      <c r="O140" s="172">
        <v>51</v>
      </c>
      <c r="P140" s="172">
        <v>54</v>
      </c>
      <c r="Q140" s="172">
        <v>58</v>
      </c>
      <c r="R140" s="172">
        <v>62</v>
      </c>
      <c r="S140" s="172">
        <v>66</v>
      </c>
      <c r="T140" s="619">
        <v>70</v>
      </c>
    </row>
    <row r="141" spans="1:20">
      <c r="A141">
        <f t="shared" si="11"/>
        <v>11</v>
      </c>
      <c r="B141" s="734">
        <v>3</v>
      </c>
      <c r="C141" s="172">
        <v>7</v>
      </c>
      <c r="D141" s="172">
        <v>11</v>
      </c>
      <c r="E141" s="172">
        <v>15</v>
      </c>
      <c r="F141" s="172">
        <v>19</v>
      </c>
      <c r="G141" s="172">
        <v>23</v>
      </c>
      <c r="H141" s="172">
        <v>27</v>
      </c>
      <c r="I141" s="172">
        <v>31</v>
      </c>
      <c r="J141" s="172">
        <v>36</v>
      </c>
      <c r="K141" s="172">
        <v>40</v>
      </c>
      <c r="L141" s="172">
        <v>44</v>
      </c>
      <c r="M141" s="172">
        <v>48</v>
      </c>
      <c r="N141" s="172">
        <v>52</v>
      </c>
      <c r="O141" s="172">
        <v>57</v>
      </c>
      <c r="P141" s="172">
        <v>61</v>
      </c>
      <c r="Q141" s="172">
        <v>65</v>
      </c>
      <c r="R141" s="172">
        <v>69</v>
      </c>
      <c r="S141" s="174">
        <v>73</v>
      </c>
      <c r="T141" s="619">
        <v>78</v>
      </c>
    </row>
    <row r="142" spans="1:20">
      <c r="A142">
        <f t="shared" si="11"/>
        <v>12</v>
      </c>
      <c r="B142" s="734">
        <v>4</v>
      </c>
      <c r="C142" s="172">
        <v>8</v>
      </c>
      <c r="D142" s="172">
        <v>12</v>
      </c>
      <c r="E142" s="172">
        <v>17</v>
      </c>
      <c r="F142" s="172">
        <v>21</v>
      </c>
      <c r="G142" s="172">
        <v>26</v>
      </c>
      <c r="H142" s="172">
        <v>30</v>
      </c>
      <c r="I142" s="172">
        <v>35</v>
      </c>
      <c r="J142" s="172">
        <v>39</v>
      </c>
      <c r="K142" s="172">
        <v>44</v>
      </c>
      <c r="L142" s="172">
        <v>49</v>
      </c>
      <c r="M142" s="172">
        <v>53</v>
      </c>
      <c r="N142" s="172">
        <v>58</v>
      </c>
      <c r="O142" s="172">
        <v>63</v>
      </c>
      <c r="P142" s="172">
        <v>67</v>
      </c>
      <c r="Q142" s="172">
        <v>72</v>
      </c>
      <c r="R142" s="172">
        <v>77</v>
      </c>
      <c r="S142" s="172">
        <v>81</v>
      </c>
      <c r="T142" s="619">
        <v>86</v>
      </c>
    </row>
    <row r="143" spans="1:20">
      <c r="A143">
        <f t="shared" si="11"/>
        <v>13</v>
      </c>
      <c r="B143" s="734">
        <v>4</v>
      </c>
      <c r="C143" s="172">
        <v>9</v>
      </c>
      <c r="D143" s="172">
        <v>13</v>
      </c>
      <c r="E143" s="172">
        <v>18</v>
      </c>
      <c r="F143" s="172">
        <v>23</v>
      </c>
      <c r="G143" s="172">
        <v>28</v>
      </c>
      <c r="H143" s="172">
        <v>33</v>
      </c>
      <c r="I143" s="172">
        <v>38</v>
      </c>
      <c r="J143" s="172">
        <v>43</v>
      </c>
      <c r="K143" s="172">
        <v>48</v>
      </c>
      <c r="L143" s="172">
        <v>53</v>
      </c>
      <c r="M143" s="172">
        <v>58</v>
      </c>
      <c r="N143" s="172">
        <v>63</v>
      </c>
      <c r="O143" s="172">
        <v>68</v>
      </c>
      <c r="P143" s="172">
        <v>74</v>
      </c>
      <c r="Q143" s="172">
        <v>79</v>
      </c>
      <c r="R143" s="172">
        <v>84</v>
      </c>
      <c r="S143" s="172">
        <v>89</v>
      </c>
      <c r="T143" s="619">
        <v>94</v>
      </c>
    </row>
    <row r="144" spans="1:20">
      <c r="A144">
        <f t="shared" si="11"/>
        <v>14</v>
      </c>
      <c r="B144" s="734">
        <v>5</v>
      </c>
      <c r="C144" s="172">
        <v>10</v>
      </c>
      <c r="D144" s="172">
        <v>15</v>
      </c>
      <c r="E144" s="172">
        <v>20</v>
      </c>
      <c r="F144" s="172">
        <v>25</v>
      </c>
      <c r="G144" s="172">
        <v>31</v>
      </c>
      <c r="H144" s="172">
        <v>36</v>
      </c>
      <c r="I144" s="172">
        <v>41</v>
      </c>
      <c r="J144" s="172">
        <v>47</v>
      </c>
      <c r="K144" s="172">
        <v>52</v>
      </c>
      <c r="L144" s="172">
        <v>58</v>
      </c>
      <c r="M144" s="172">
        <v>63</v>
      </c>
      <c r="N144" s="172">
        <v>69</v>
      </c>
      <c r="O144" s="172">
        <v>74</v>
      </c>
      <c r="P144" s="172">
        <v>80</v>
      </c>
      <c r="Q144" s="172">
        <v>85</v>
      </c>
      <c r="R144" s="172">
        <v>91</v>
      </c>
      <c r="S144" s="172">
        <v>97</v>
      </c>
      <c r="T144" s="619">
        <v>102</v>
      </c>
    </row>
    <row r="145" spans="1:20">
      <c r="A145">
        <f t="shared" si="11"/>
        <v>15</v>
      </c>
      <c r="B145" s="734">
        <v>5</v>
      </c>
      <c r="C145" s="172">
        <v>10</v>
      </c>
      <c r="D145" s="172">
        <v>17</v>
      </c>
      <c r="E145" s="172">
        <v>22</v>
      </c>
      <c r="F145" s="172">
        <v>27</v>
      </c>
      <c r="G145" s="172">
        <v>33</v>
      </c>
      <c r="H145" s="172">
        <v>39</v>
      </c>
      <c r="I145" s="172">
        <v>45</v>
      </c>
      <c r="J145" s="172">
        <v>51</v>
      </c>
      <c r="K145" s="172">
        <v>57</v>
      </c>
      <c r="L145" s="172">
        <v>63</v>
      </c>
      <c r="M145" s="172">
        <v>68</v>
      </c>
      <c r="N145" s="172">
        <v>74</v>
      </c>
      <c r="O145" s="172">
        <v>80</v>
      </c>
      <c r="P145" s="172">
        <v>86</v>
      </c>
      <c r="Q145" s="172">
        <v>92</v>
      </c>
      <c r="R145" s="172">
        <v>98</v>
      </c>
      <c r="S145" s="172">
        <v>104</v>
      </c>
      <c r="T145" s="619">
        <v>110</v>
      </c>
    </row>
    <row r="146" spans="1:20">
      <c r="A146">
        <f t="shared" si="11"/>
        <v>16</v>
      </c>
      <c r="B146" s="734">
        <v>5</v>
      </c>
      <c r="C146" s="172">
        <v>11</v>
      </c>
      <c r="D146" s="172">
        <v>18</v>
      </c>
      <c r="E146" s="172">
        <v>23</v>
      </c>
      <c r="F146" s="172">
        <v>29</v>
      </c>
      <c r="G146" s="172">
        <v>36</v>
      </c>
      <c r="H146" s="172">
        <v>42</v>
      </c>
      <c r="I146" s="172">
        <v>48</v>
      </c>
      <c r="J146" s="172">
        <v>54</v>
      </c>
      <c r="K146" s="172">
        <v>61</v>
      </c>
      <c r="L146" s="172">
        <v>67</v>
      </c>
      <c r="M146" s="172">
        <v>74</v>
      </c>
      <c r="N146" s="172">
        <v>80</v>
      </c>
      <c r="O146" s="172">
        <v>86</v>
      </c>
      <c r="P146" s="172">
        <v>93</v>
      </c>
      <c r="Q146" s="172">
        <v>99</v>
      </c>
      <c r="R146" s="172">
        <v>106</v>
      </c>
      <c r="S146" s="172">
        <v>112</v>
      </c>
      <c r="T146" s="619">
        <v>119</v>
      </c>
    </row>
    <row r="147" spans="1:20">
      <c r="A147">
        <f t="shared" si="11"/>
        <v>17</v>
      </c>
      <c r="B147" s="734">
        <v>6</v>
      </c>
      <c r="C147" s="172">
        <v>12</v>
      </c>
      <c r="D147" s="172">
        <v>20</v>
      </c>
      <c r="E147" s="172">
        <v>25</v>
      </c>
      <c r="F147" s="172">
        <v>31</v>
      </c>
      <c r="G147" s="172">
        <v>41</v>
      </c>
      <c r="H147" s="172">
        <v>45</v>
      </c>
      <c r="I147" s="172">
        <v>52</v>
      </c>
      <c r="J147" s="172">
        <v>58</v>
      </c>
      <c r="K147" s="172">
        <v>65</v>
      </c>
      <c r="L147" s="172">
        <v>72</v>
      </c>
      <c r="M147" s="172">
        <v>79</v>
      </c>
      <c r="N147" s="172">
        <v>85</v>
      </c>
      <c r="O147" s="172">
        <v>92</v>
      </c>
      <c r="P147" s="172">
        <v>99</v>
      </c>
      <c r="Q147" s="172">
        <v>106</v>
      </c>
      <c r="R147" s="172">
        <v>113</v>
      </c>
      <c r="S147" s="172">
        <v>120</v>
      </c>
      <c r="T147" s="619">
        <v>127</v>
      </c>
    </row>
    <row r="148" spans="1:20">
      <c r="A148">
        <f t="shared" si="11"/>
        <v>18</v>
      </c>
      <c r="B148" s="734">
        <v>6</v>
      </c>
      <c r="C148" s="172">
        <v>13</v>
      </c>
      <c r="D148" s="172">
        <v>21</v>
      </c>
      <c r="E148" s="172">
        <v>27</v>
      </c>
      <c r="F148" s="172">
        <v>34</v>
      </c>
      <c r="G148" s="172">
        <v>43</v>
      </c>
      <c r="H148" s="172">
        <v>48</v>
      </c>
      <c r="I148" s="172">
        <v>55</v>
      </c>
      <c r="J148" s="172">
        <v>62</v>
      </c>
      <c r="K148" s="172">
        <v>69</v>
      </c>
      <c r="L148" s="172">
        <v>77</v>
      </c>
      <c r="M148" s="172">
        <v>84</v>
      </c>
      <c r="N148" s="172">
        <v>91</v>
      </c>
      <c r="O148" s="172">
        <v>98</v>
      </c>
      <c r="P148" s="172">
        <v>106</v>
      </c>
      <c r="Q148" s="172">
        <v>113</v>
      </c>
      <c r="R148" s="172">
        <v>120</v>
      </c>
      <c r="S148" s="172">
        <v>128</v>
      </c>
      <c r="T148" s="619">
        <v>135</v>
      </c>
    </row>
    <row r="149" spans="1:20">
      <c r="A149">
        <f t="shared" si="11"/>
        <v>19</v>
      </c>
      <c r="B149" s="734">
        <v>7</v>
      </c>
      <c r="C149" s="172">
        <v>14</v>
      </c>
      <c r="D149" s="172">
        <v>22</v>
      </c>
      <c r="E149" s="174">
        <v>28</v>
      </c>
      <c r="F149" s="172">
        <v>36</v>
      </c>
      <c r="G149" s="172">
        <v>46</v>
      </c>
      <c r="H149" s="172">
        <v>51</v>
      </c>
      <c r="I149" s="172">
        <v>58</v>
      </c>
      <c r="J149" s="172">
        <v>66</v>
      </c>
      <c r="K149" s="174">
        <v>73</v>
      </c>
      <c r="L149" s="172">
        <v>81</v>
      </c>
      <c r="M149" s="172">
        <v>89</v>
      </c>
      <c r="N149" s="172">
        <v>97</v>
      </c>
      <c r="O149" s="172">
        <v>104</v>
      </c>
      <c r="P149" s="172">
        <v>112</v>
      </c>
      <c r="Q149" s="172">
        <v>120</v>
      </c>
      <c r="R149" s="172">
        <v>128</v>
      </c>
      <c r="S149" s="172">
        <v>135</v>
      </c>
      <c r="T149" s="1149">
        <v>143</v>
      </c>
    </row>
    <row r="150" spans="1:20">
      <c r="A150">
        <f t="shared" si="11"/>
        <v>20</v>
      </c>
      <c r="B150" s="620">
        <v>7</v>
      </c>
      <c r="C150" s="1400">
        <v>15</v>
      </c>
      <c r="D150" s="1400">
        <v>23</v>
      </c>
      <c r="E150" s="1400">
        <v>30</v>
      </c>
      <c r="F150" s="1400">
        <v>38</v>
      </c>
      <c r="G150" s="1400">
        <v>48</v>
      </c>
      <c r="H150" s="1400">
        <v>54</v>
      </c>
      <c r="I150" s="1400">
        <v>62</v>
      </c>
      <c r="J150" s="1400">
        <v>70</v>
      </c>
      <c r="K150" s="1400">
        <v>78</v>
      </c>
      <c r="L150" s="1400">
        <v>86</v>
      </c>
      <c r="M150" s="1400">
        <v>94</v>
      </c>
      <c r="N150" s="1400">
        <v>102</v>
      </c>
      <c r="O150" s="1400">
        <v>110</v>
      </c>
      <c r="P150" s="1400">
        <v>119</v>
      </c>
      <c r="Q150" s="1400">
        <v>127</v>
      </c>
      <c r="R150" s="1400">
        <v>135</v>
      </c>
      <c r="S150" s="1400">
        <v>143</v>
      </c>
      <c r="T150" s="621">
        <v>151</v>
      </c>
    </row>
    <row r="152" spans="1:20">
      <c r="A152" t="s">
        <v>3804</v>
      </c>
    </row>
    <row r="154" spans="1:20">
      <c r="A154" t="s">
        <v>3803</v>
      </c>
    </row>
  </sheetData>
  <pageMargins left="0.7" right="0.7" top="0.75" bottom="0.75" header="0.3" footer="0.3"/>
  <pageSetup paperSize="9" orientation="portrait" verticalDpi="0" r:id="rId1"/>
</worksheet>
</file>

<file path=xl/worksheets/sheet337.xml><?xml version="1.0" encoding="utf-8"?>
<worksheet xmlns="http://schemas.openxmlformats.org/spreadsheetml/2006/main" xmlns:r="http://schemas.openxmlformats.org/officeDocument/2006/relationships">
  <sheetPr codeName="Sheet44"/>
  <dimension ref="A1:AA69"/>
  <sheetViews>
    <sheetView topLeftCell="A6" zoomScale="95" zoomScaleNormal="95" workbookViewId="0">
      <selection activeCell="D26" sqref="D26"/>
    </sheetView>
  </sheetViews>
  <sheetFormatPr defaultRowHeight="14.4"/>
  <cols>
    <col min="19" max="19" width="6.5546875" customWidth="1"/>
  </cols>
  <sheetData>
    <row r="1" spans="1:27">
      <c r="A1" s="1" t="s">
        <v>2122</v>
      </c>
    </row>
    <row r="2" spans="1:27">
      <c r="A2" t="s">
        <v>282</v>
      </c>
    </row>
    <row r="4" spans="1:27">
      <c r="B4" s="1552" t="s">
        <v>283</v>
      </c>
      <c r="C4" s="1552"/>
      <c r="D4" s="1552"/>
      <c r="E4" s="1552"/>
      <c r="F4" s="1552"/>
      <c r="G4" s="1552"/>
      <c r="H4" s="1552"/>
      <c r="J4" s="1458"/>
      <c r="L4" s="1552" t="s">
        <v>283</v>
      </c>
      <c r="M4" s="1552"/>
      <c r="N4" s="1552"/>
      <c r="O4" s="1552"/>
      <c r="P4" s="1552"/>
      <c r="Q4" s="1552"/>
      <c r="R4" s="1552"/>
      <c r="U4" s="1552" t="s">
        <v>283</v>
      </c>
      <c r="V4" s="1552"/>
      <c r="W4" s="1552"/>
      <c r="X4" s="1552"/>
      <c r="Y4" s="1552"/>
      <c r="Z4" s="1552"/>
      <c r="AA4" s="1552"/>
    </row>
    <row r="5" spans="1:27">
      <c r="A5" s="19" t="s">
        <v>106</v>
      </c>
      <c r="B5" s="22">
        <v>0.2</v>
      </c>
      <c r="C5" s="22">
        <v>0.1</v>
      </c>
      <c r="D5">
        <v>0.05</v>
      </c>
      <c r="E5">
        <v>0.02</v>
      </c>
      <c r="F5">
        <v>0.01</v>
      </c>
      <c r="G5">
        <v>2E-3</v>
      </c>
      <c r="H5">
        <v>1E-3</v>
      </c>
      <c r="K5" s="19" t="s">
        <v>106</v>
      </c>
      <c r="L5" s="22">
        <v>0.2</v>
      </c>
      <c r="M5" s="22">
        <v>0.1</v>
      </c>
      <c r="N5">
        <v>0.05</v>
      </c>
      <c r="O5">
        <v>0.02</v>
      </c>
      <c r="P5">
        <v>0.01</v>
      </c>
      <c r="Q5">
        <v>2E-3</v>
      </c>
      <c r="R5">
        <v>1E-3</v>
      </c>
      <c r="U5" s="22">
        <v>0.2</v>
      </c>
      <c r="V5" s="22">
        <v>0.1</v>
      </c>
      <c r="W5">
        <v>0.05</v>
      </c>
      <c r="X5">
        <v>0.02</v>
      </c>
      <c r="Y5">
        <v>0.01</v>
      </c>
      <c r="Z5">
        <v>2E-3</v>
      </c>
      <c r="AA5">
        <v>1E-3</v>
      </c>
    </row>
    <row r="6" spans="1:27">
      <c r="A6">
        <v>5</v>
      </c>
      <c r="B6" s="1236">
        <v>2</v>
      </c>
      <c r="C6" s="1479">
        <v>0</v>
      </c>
      <c r="D6" s="1475" t="s">
        <v>271</v>
      </c>
      <c r="E6" s="1475" t="s">
        <v>271</v>
      </c>
      <c r="F6" s="1475" t="s">
        <v>271</v>
      </c>
      <c r="G6" s="1475" t="s">
        <v>271</v>
      </c>
      <c r="H6" s="1477" t="s">
        <v>271</v>
      </c>
      <c r="K6">
        <v>5</v>
      </c>
      <c r="L6" s="1236">
        <v>2</v>
      </c>
      <c r="M6" s="1479">
        <v>0</v>
      </c>
      <c r="N6" s="1475" t="s">
        <v>271</v>
      </c>
      <c r="O6" s="1475" t="s">
        <v>271</v>
      </c>
      <c r="P6" s="1475" t="s">
        <v>271</v>
      </c>
      <c r="Q6" s="1475" t="s">
        <v>271</v>
      </c>
      <c r="R6" s="1477" t="s">
        <v>271</v>
      </c>
      <c r="T6">
        <v>28</v>
      </c>
      <c r="U6" s="1236">
        <v>146</v>
      </c>
      <c r="V6" s="1152">
        <v>130</v>
      </c>
      <c r="W6" s="1152">
        <v>116</v>
      </c>
      <c r="X6" s="1152">
        <v>101</v>
      </c>
      <c r="Y6" s="1152">
        <v>91</v>
      </c>
      <c r="Z6" s="1481">
        <v>71</v>
      </c>
      <c r="AA6" s="1482">
        <v>64</v>
      </c>
    </row>
    <row r="7" spans="1:27">
      <c r="A7">
        <v>6</v>
      </c>
      <c r="B7" s="656">
        <v>4</v>
      </c>
      <c r="C7" s="98">
        <v>2</v>
      </c>
      <c r="D7" s="98">
        <v>0</v>
      </c>
      <c r="E7" s="1476" t="s">
        <v>271</v>
      </c>
      <c r="F7" s="1476" t="s">
        <v>271</v>
      </c>
      <c r="G7" s="1476" t="s">
        <v>271</v>
      </c>
      <c r="H7" s="1478" t="s">
        <v>271</v>
      </c>
      <c r="K7">
        <v>6</v>
      </c>
      <c r="L7" s="656">
        <v>4</v>
      </c>
      <c r="M7" s="98">
        <v>2</v>
      </c>
      <c r="N7" s="98">
        <v>0</v>
      </c>
      <c r="O7" s="1476" t="s">
        <v>271</v>
      </c>
      <c r="P7" s="1476" t="s">
        <v>271</v>
      </c>
      <c r="Q7" s="1476" t="s">
        <v>271</v>
      </c>
      <c r="R7" s="1478" t="s">
        <v>271</v>
      </c>
      <c r="T7" s="66">
        <v>29</v>
      </c>
      <c r="U7" s="680">
        <v>157</v>
      </c>
      <c r="V7" s="8">
        <v>140</v>
      </c>
      <c r="W7" s="66">
        <v>126</v>
      </c>
      <c r="X7" s="66">
        <v>110</v>
      </c>
      <c r="Y7" s="8">
        <v>100</v>
      </c>
      <c r="Z7" s="1474">
        <v>80</v>
      </c>
      <c r="AA7" s="1403">
        <v>71</v>
      </c>
    </row>
    <row r="8" spans="1:27">
      <c r="A8">
        <v>7</v>
      </c>
      <c r="B8" s="656">
        <v>6</v>
      </c>
      <c r="C8" s="98">
        <v>3</v>
      </c>
      <c r="D8" s="98">
        <v>2</v>
      </c>
      <c r="E8" s="98">
        <v>0</v>
      </c>
      <c r="F8" s="1476" t="s">
        <v>271</v>
      </c>
      <c r="G8" s="1476" t="s">
        <v>271</v>
      </c>
      <c r="H8" s="1478" t="s">
        <v>271</v>
      </c>
      <c r="K8">
        <v>7</v>
      </c>
      <c r="L8" s="656">
        <v>6</v>
      </c>
      <c r="M8" s="98">
        <v>3</v>
      </c>
      <c r="N8" s="98">
        <v>2</v>
      </c>
      <c r="O8" s="98">
        <v>0</v>
      </c>
      <c r="P8" s="1476" t="s">
        <v>271</v>
      </c>
      <c r="Q8" s="1476" t="s">
        <v>271</v>
      </c>
      <c r="R8" s="1478" t="s">
        <v>271</v>
      </c>
      <c r="T8">
        <v>30</v>
      </c>
      <c r="U8" s="680">
        <v>169</v>
      </c>
      <c r="V8" s="8">
        <v>151</v>
      </c>
      <c r="W8" s="8">
        <v>137</v>
      </c>
      <c r="X8" s="8">
        <v>120</v>
      </c>
      <c r="Y8" s="8">
        <v>109</v>
      </c>
      <c r="Z8" s="1474">
        <v>85</v>
      </c>
      <c r="AA8" s="1403">
        <v>78</v>
      </c>
    </row>
    <row r="9" spans="1:27">
      <c r="A9">
        <v>8</v>
      </c>
      <c r="B9" s="656">
        <v>8</v>
      </c>
      <c r="C9" s="98">
        <v>5</v>
      </c>
      <c r="D9" s="98">
        <v>3</v>
      </c>
      <c r="E9" s="98">
        <v>1</v>
      </c>
      <c r="F9" s="98">
        <v>0</v>
      </c>
      <c r="G9" s="1476" t="s">
        <v>271</v>
      </c>
      <c r="H9" s="1478" t="s">
        <v>271</v>
      </c>
      <c r="K9">
        <v>8</v>
      </c>
      <c r="L9" s="656">
        <v>8</v>
      </c>
      <c r="M9" s="98">
        <v>5</v>
      </c>
      <c r="N9" s="98">
        <v>3</v>
      </c>
      <c r="O9" s="98">
        <v>1</v>
      </c>
      <c r="P9" s="98">
        <v>0</v>
      </c>
      <c r="Q9" s="1476" t="s">
        <v>271</v>
      </c>
      <c r="R9" s="1478" t="s">
        <v>271</v>
      </c>
      <c r="T9">
        <v>31</v>
      </c>
      <c r="U9" s="680">
        <v>181</v>
      </c>
      <c r="V9" s="8">
        <v>163</v>
      </c>
      <c r="W9" s="66">
        <v>147</v>
      </c>
      <c r="X9" s="66">
        <v>130</v>
      </c>
      <c r="Y9" s="8">
        <v>118</v>
      </c>
      <c r="Z9" s="1474">
        <v>95</v>
      </c>
      <c r="AA9" s="1403">
        <v>86</v>
      </c>
    </row>
    <row r="10" spans="1:27">
      <c r="A10">
        <v>9</v>
      </c>
      <c r="B10" s="656">
        <v>11</v>
      </c>
      <c r="C10" s="98">
        <v>8</v>
      </c>
      <c r="D10" s="98">
        <v>5</v>
      </c>
      <c r="E10" s="98">
        <v>3</v>
      </c>
      <c r="F10" s="98">
        <v>1</v>
      </c>
      <c r="G10" s="1476" t="s">
        <v>271</v>
      </c>
      <c r="H10" s="1478" t="s">
        <v>271</v>
      </c>
      <c r="K10">
        <v>9</v>
      </c>
      <c r="L10" s="656">
        <v>11</v>
      </c>
      <c r="M10" s="98">
        <v>8</v>
      </c>
      <c r="N10" s="98">
        <v>5</v>
      </c>
      <c r="O10" s="98">
        <v>3</v>
      </c>
      <c r="P10" s="98">
        <v>1</v>
      </c>
      <c r="Q10" s="1476" t="s">
        <v>271</v>
      </c>
      <c r="R10" s="1478" t="s">
        <v>271</v>
      </c>
      <c r="T10">
        <v>32</v>
      </c>
      <c r="U10" s="680">
        <v>195</v>
      </c>
      <c r="V10" s="8">
        <v>175</v>
      </c>
      <c r="W10" s="66">
        <v>159</v>
      </c>
      <c r="X10" s="66">
        <v>140</v>
      </c>
      <c r="Y10" s="8">
        <v>128</v>
      </c>
      <c r="Z10" s="1474">
        <v>102</v>
      </c>
      <c r="AA10" s="1403">
        <v>94</v>
      </c>
    </row>
    <row r="11" spans="1:27">
      <c r="A11">
        <v>10</v>
      </c>
      <c r="B11" s="656">
        <v>14</v>
      </c>
      <c r="C11" s="98">
        <v>10</v>
      </c>
      <c r="D11" s="98">
        <v>8</v>
      </c>
      <c r="E11" s="98">
        <v>5</v>
      </c>
      <c r="F11" s="98">
        <v>3</v>
      </c>
      <c r="G11" s="98">
        <v>0</v>
      </c>
      <c r="H11" s="1478" t="s">
        <v>271</v>
      </c>
      <c r="K11">
        <v>10</v>
      </c>
      <c r="L11" s="656">
        <v>14</v>
      </c>
      <c r="M11" s="98">
        <v>10</v>
      </c>
      <c r="N11" s="98">
        <v>8</v>
      </c>
      <c r="O11" s="98">
        <v>5</v>
      </c>
      <c r="P11" s="98">
        <v>3</v>
      </c>
      <c r="Q11" s="98">
        <v>0</v>
      </c>
      <c r="R11" s="1478" t="s">
        <v>271</v>
      </c>
      <c r="T11">
        <v>33</v>
      </c>
      <c r="U11" s="680">
        <v>208</v>
      </c>
      <c r="V11" s="8">
        <v>187</v>
      </c>
      <c r="W11" s="66">
        <v>170</v>
      </c>
      <c r="X11" s="66">
        <v>151</v>
      </c>
      <c r="Y11" s="8">
        <v>138</v>
      </c>
      <c r="Z11" s="1474">
        <v>111</v>
      </c>
      <c r="AA11" s="1403">
        <v>102</v>
      </c>
    </row>
    <row r="12" spans="1:27">
      <c r="A12">
        <v>11</v>
      </c>
      <c r="B12" s="656">
        <v>18</v>
      </c>
      <c r="C12" s="98">
        <v>13</v>
      </c>
      <c r="D12" s="98">
        <v>10</v>
      </c>
      <c r="E12" s="98">
        <v>7</v>
      </c>
      <c r="F12" s="98">
        <v>5</v>
      </c>
      <c r="G12" s="98">
        <v>1</v>
      </c>
      <c r="H12" s="1403">
        <v>0</v>
      </c>
      <c r="K12">
        <v>11</v>
      </c>
      <c r="L12" s="656">
        <v>18</v>
      </c>
      <c r="M12" s="98">
        <v>13</v>
      </c>
      <c r="N12" s="98">
        <v>10</v>
      </c>
      <c r="O12" s="98">
        <v>7</v>
      </c>
      <c r="P12" s="98">
        <v>5</v>
      </c>
      <c r="Q12" s="98">
        <v>1</v>
      </c>
      <c r="R12" s="1403">
        <v>0</v>
      </c>
      <c r="T12">
        <v>34</v>
      </c>
      <c r="U12" s="680">
        <v>221</v>
      </c>
      <c r="V12" s="8">
        <v>200</v>
      </c>
      <c r="W12" s="66">
        <v>182</v>
      </c>
      <c r="X12" s="66">
        <v>162</v>
      </c>
      <c r="Y12" s="8">
        <v>148</v>
      </c>
      <c r="Z12" s="1474">
        <v>123</v>
      </c>
      <c r="AA12" s="1403">
        <v>111</v>
      </c>
    </row>
    <row r="13" spans="1:27">
      <c r="A13">
        <v>12</v>
      </c>
      <c r="B13" s="656">
        <v>22</v>
      </c>
      <c r="C13" s="98">
        <v>17</v>
      </c>
      <c r="D13" s="98">
        <v>13</v>
      </c>
      <c r="E13" s="98">
        <v>9</v>
      </c>
      <c r="F13" s="98">
        <v>7</v>
      </c>
      <c r="G13" s="98">
        <v>2</v>
      </c>
      <c r="H13" s="1403">
        <v>1</v>
      </c>
      <c r="K13">
        <v>12</v>
      </c>
      <c r="L13" s="656">
        <v>22</v>
      </c>
      <c r="M13" s="98">
        <v>17</v>
      </c>
      <c r="N13" s="98">
        <v>13</v>
      </c>
      <c r="O13" s="98">
        <v>9</v>
      </c>
      <c r="P13" s="98">
        <v>7</v>
      </c>
      <c r="Q13" s="98">
        <v>2</v>
      </c>
      <c r="R13" s="1403">
        <v>1</v>
      </c>
      <c r="T13">
        <v>35</v>
      </c>
      <c r="U13" s="680">
        <v>236</v>
      </c>
      <c r="V13" s="8">
        <v>213</v>
      </c>
      <c r="W13" s="8">
        <v>195</v>
      </c>
      <c r="X13" s="8">
        <v>173</v>
      </c>
      <c r="Y13" s="8">
        <v>159</v>
      </c>
      <c r="Z13" s="1474">
        <v>130</v>
      </c>
      <c r="AA13" s="1403">
        <v>120</v>
      </c>
    </row>
    <row r="14" spans="1:27">
      <c r="A14">
        <v>13</v>
      </c>
      <c r="B14" s="656">
        <v>26</v>
      </c>
      <c r="C14" s="98">
        <v>21</v>
      </c>
      <c r="D14" s="98">
        <v>17</v>
      </c>
      <c r="E14" s="98">
        <v>12</v>
      </c>
      <c r="F14" s="98">
        <v>9</v>
      </c>
      <c r="G14" s="98">
        <v>4</v>
      </c>
      <c r="H14" s="1403">
        <v>2</v>
      </c>
      <c r="K14">
        <v>13</v>
      </c>
      <c r="L14" s="656">
        <v>26</v>
      </c>
      <c r="M14" s="98">
        <v>21</v>
      </c>
      <c r="N14" s="98">
        <v>17</v>
      </c>
      <c r="O14" s="98">
        <v>12</v>
      </c>
      <c r="P14" s="98">
        <v>9</v>
      </c>
      <c r="Q14" s="98">
        <v>4</v>
      </c>
      <c r="R14" s="1403">
        <v>2</v>
      </c>
      <c r="T14">
        <v>36</v>
      </c>
      <c r="U14" s="680">
        <v>250</v>
      </c>
      <c r="V14" s="8">
        <v>227</v>
      </c>
      <c r="W14" s="66">
        <v>208</v>
      </c>
      <c r="X14" s="66">
        <v>185</v>
      </c>
      <c r="Y14" s="8">
        <v>171</v>
      </c>
      <c r="Z14" s="1474">
        <v>139</v>
      </c>
      <c r="AA14" s="1403">
        <v>130</v>
      </c>
    </row>
    <row r="15" spans="1:27">
      <c r="A15">
        <v>14</v>
      </c>
      <c r="B15" s="656">
        <v>31</v>
      </c>
      <c r="C15" s="98">
        <v>25</v>
      </c>
      <c r="D15" s="98">
        <v>21</v>
      </c>
      <c r="E15" s="98">
        <v>15</v>
      </c>
      <c r="F15" s="98">
        <v>12</v>
      </c>
      <c r="G15" s="98">
        <v>6</v>
      </c>
      <c r="H15" s="1403">
        <v>4</v>
      </c>
      <c r="K15">
        <v>14</v>
      </c>
      <c r="L15" s="656">
        <v>31</v>
      </c>
      <c r="M15" s="98">
        <v>25</v>
      </c>
      <c r="N15" s="98">
        <v>21</v>
      </c>
      <c r="O15" s="98">
        <v>15</v>
      </c>
      <c r="P15" s="98">
        <v>12</v>
      </c>
      <c r="Q15" s="98">
        <v>6</v>
      </c>
      <c r="R15" s="1403">
        <v>4</v>
      </c>
      <c r="T15">
        <v>37</v>
      </c>
      <c r="U15" s="680">
        <v>266</v>
      </c>
      <c r="V15" s="8">
        <v>241</v>
      </c>
      <c r="W15" s="66">
        <v>221</v>
      </c>
      <c r="X15" s="66">
        <v>198</v>
      </c>
      <c r="Y15" s="8">
        <v>182</v>
      </c>
      <c r="Z15" s="1474">
        <v>153</v>
      </c>
      <c r="AA15" s="1403">
        <v>140</v>
      </c>
    </row>
    <row r="16" spans="1:27">
      <c r="A16">
        <v>15</v>
      </c>
      <c r="B16" s="656">
        <v>37</v>
      </c>
      <c r="C16" s="98">
        <v>30</v>
      </c>
      <c r="D16" s="98">
        <v>25</v>
      </c>
      <c r="E16" s="98">
        <v>19</v>
      </c>
      <c r="F16" s="98">
        <v>15</v>
      </c>
      <c r="G16" s="98">
        <v>8</v>
      </c>
      <c r="H16" s="1403">
        <v>6</v>
      </c>
      <c r="K16">
        <v>15</v>
      </c>
      <c r="L16" s="656">
        <v>37</v>
      </c>
      <c r="M16" s="98">
        <v>30</v>
      </c>
      <c r="N16" s="98">
        <v>25</v>
      </c>
      <c r="O16" s="98">
        <v>19</v>
      </c>
      <c r="P16" s="98">
        <v>15</v>
      </c>
      <c r="Q16" s="98">
        <v>8</v>
      </c>
      <c r="R16" s="1403">
        <v>6</v>
      </c>
      <c r="T16">
        <v>38</v>
      </c>
      <c r="U16" s="680">
        <v>281</v>
      </c>
      <c r="V16" s="8">
        <v>256</v>
      </c>
      <c r="W16" s="66">
        <v>235</v>
      </c>
      <c r="X16" s="66">
        <v>211</v>
      </c>
      <c r="Y16" s="8">
        <v>194</v>
      </c>
      <c r="Z16" s="1474">
        <v>163</v>
      </c>
      <c r="AA16" s="1403">
        <v>150</v>
      </c>
    </row>
    <row r="17" spans="1:27">
      <c r="A17">
        <v>16</v>
      </c>
      <c r="B17" s="656">
        <v>42</v>
      </c>
      <c r="C17" s="98">
        <v>35</v>
      </c>
      <c r="D17" s="98">
        <v>29</v>
      </c>
      <c r="E17" s="98">
        <v>23</v>
      </c>
      <c r="F17" s="98">
        <v>19</v>
      </c>
      <c r="G17" s="98">
        <v>11</v>
      </c>
      <c r="H17" s="1403">
        <v>8</v>
      </c>
      <c r="K17">
        <v>16</v>
      </c>
      <c r="L17" s="656">
        <v>42</v>
      </c>
      <c r="M17" s="98">
        <v>35</v>
      </c>
      <c r="N17" s="98">
        <v>29</v>
      </c>
      <c r="O17" s="98">
        <v>23</v>
      </c>
      <c r="P17" s="98">
        <v>19</v>
      </c>
      <c r="Q17" s="98">
        <v>11</v>
      </c>
      <c r="R17" s="1403">
        <v>8</v>
      </c>
      <c r="T17">
        <v>39</v>
      </c>
      <c r="U17" s="680">
        <v>297</v>
      </c>
      <c r="V17" s="8">
        <v>271</v>
      </c>
      <c r="W17" s="66">
        <v>249</v>
      </c>
      <c r="X17" s="66">
        <v>224</v>
      </c>
      <c r="Y17" s="8">
        <v>207</v>
      </c>
      <c r="Z17" s="1474">
        <v>176</v>
      </c>
      <c r="AA17" s="1403">
        <v>161</v>
      </c>
    </row>
    <row r="18" spans="1:27">
      <c r="A18">
        <v>17</v>
      </c>
      <c r="B18" s="656">
        <v>49</v>
      </c>
      <c r="C18" s="98">
        <v>41</v>
      </c>
      <c r="D18" s="98">
        <v>34</v>
      </c>
      <c r="E18" s="98">
        <v>27</v>
      </c>
      <c r="F18" s="98">
        <v>23</v>
      </c>
      <c r="G18" s="98">
        <v>14</v>
      </c>
      <c r="H18" s="1403">
        <v>11</v>
      </c>
      <c r="K18">
        <v>17</v>
      </c>
      <c r="L18" s="656">
        <v>49</v>
      </c>
      <c r="M18" s="98">
        <v>41</v>
      </c>
      <c r="N18" s="98">
        <v>34</v>
      </c>
      <c r="O18" s="98">
        <v>27</v>
      </c>
      <c r="P18" s="98">
        <v>23</v>
      </c>
      <c r="Q18" s="98">
        <v>14</v>
      </c>
      <c r="R18" s="1403">
        <v>11</v>
      </c>
      <c r="T18">
        <v>40</v>
      </c>
      <c r="U18" s="680">
        <v>314</v>
      </c>
      <c r="V18" s="8">
        <v>286</v>
      </c>
      <c r="W18" s="8">
        <v>264</v>
      </c>
      <c r="X18" s="8">
        <v>238</v>
      </c>
      <c r="Y18" s="8">
        <v>220</v>
      </c>
      <c r="Z18" s="1474">
        <v>186</v>
      </c>
      <c r="AA18" s="1403">
        <v>172</v>
      </c>
    </row>
    <row r="19" spans="1:27">
      <c r="A19">
        <v>18</v>
      </c>
      <c r="B19" s="656">
        <v>55</v>
      </c>
      <c r="C19" s="98">
        <v>47</v>
      </c>
      <c r="D19" s="98">
        <v>40</v>
      </c>
      <c r="E19" s="98">
        <v>32</v>
      </c>
      <c r="F19" s="98">
        <v>27</v>
      </c>
      <c r="G19" s="98">
        <v>18</v>
      </c>
      <c r="H19" s="1403">
        <v>14</v>
      </c>
      <c r="K19">
        <v>18</v>
      </c>
      <c r="L19" s="656">
        <v>55</v>
      </c>
      <c r="M19" s="98">
        <v>47</v>
      </c>
      <c r="N19" s="98">
        <v>40</v>
      </c>
      <c r="O19" s="98">
        <v>32</v>
      </c>
      <c r="P19" s="98">
        <v>27</v>
      </c>
      <c r="Q19" s="98">
        <v>18</v>
      </c>
      <c r="R19" s="1403">
        <v>14</v>
      </c>
      <c r="T19">
        <v>41</v>
      </c>
      <c r="U19" s="656"/>
      <c r="V19" s="8">
        <v>302</v>
      </c>
      <c r="W19" s="66">
        <v>279</v>
      </c>
      <c r="X19" s="66">
        <v>252</v>
      </c>
      <c r="Y19" s="8">
        <v>233</v>
      </c>
      <c r="Z19" s="8"/>
      <c r="AA19" s="1403">
        <v>183</v>
      </c>
    </row>
    <row r="20" spans="1:27">
      <c r="A20">
        <v>19</v>
      </c>
      <c r="B20" s="656">
        <v>62</v>
      </c>
      <c r="C20" s="98">
        <v>53</v>
      </c>
      <c r="D20" s="98">
        <v>46</v>
      </c>
      <c r="E20" s="98">
        <v>37</v>
      </c>
      <c r="F20" s="98">
        <v>32</v>
      </c>
      <c r="G20" s="98">
        <v>21</v>
      </c>
      <c r="H20" s="1403">
        <v>18</v>
      </c>
      <c r="K20">
        <v>19</v>
      </c>
      <c r="L20" s="656">
        <v>62</v>
      </c>
      <c r="M20" s="98">
        <v>53</v>
      </c>
      <c r="N20" s="98">
        <v>46</v>
      </c>
      <c r="O20" s="98">
        <v>37</v>
      </c>
      <c r="P20" s="98">
        <v>32</v>
      </c>
      <c r="Q20" s="98">
        <v>21</v>
      </c>
      <c r="R20" s="1403">
        <v>18</v>
      </c>
      <c r="T20">
        <v>42</v>
      </c>
      <c r="U20" s="656"/>
      <c r="V20" s="8">
        <v>319</v>
      </c>
      <c r="W20" s="66">
        <v>294</v>
      </c>
      <c r="X20" s="66">
        <v>266</v>
      </c>
      <c r="Y20" s="8">
        <v>247</v>
      </c>
      <c r="Z20" s="8"/>
      <c r="AA20" s="1403">
        <v>195</v>
      </c>
    </row>
    <row r="21" spans="1:27">
      <c r="A21">
        <v>20</v>
      </c>
      <c r="B21" s="656">
        <v>70</v>
      </c>
      <c r="C21" s="98">
        <v>60</v>
      </c>
      <c r="D21" s="98">
        <v>52</v>
      </c>
      <c r="E21" s="98">
        <v>43</v>
      </c>
      <c r="F21" s="98">
        <v>37</v>
      </c>
      <c r="G21" s="98">
        <v>23</v>
      </c>
      <c r="H21" s="1403">
        <v>21</v>
      </c>
      <c r="K21">
        <v>20</v>
      </c>
      <c r="L21" s="656">
        <v>70</v>
      </c>
      <c r="M21" s="98">
        <v>60</v>
      </c>
      <c r="N21" s="98">
        <v>52</v>
      </c>
      <c r="O21" s="98">
        <v>43</v>
      </c>
      <c r="P21" s="98">
        <v>37</v>
      </c>
      <c r="Q21" s="98">
        <v>23</v>
      </c>
      <c r="R21" s="1403">
        <v>21</v>
      </c>
      <c r="T21">
        <v>43</v>
      </c>
      <c r="U21" s="656"/>
      <c r="V21" s="8">
        <v>336</v>
      </c>
      <c r="W21" s="66">
        <v>310</v>
      </c>
      <c r="X21" s="66">
        <v>280</v>
      </c>
      <c r="Y21" s="8">
        <v>261</v>
      </c>
      <c r="Z21" s="8"/>
      <c r="AA21" s="1403">
        <v>207</v>
      </c>
    </row>
    <row r="22" spans="1:27">
      <c r="A22">
        <v>21</v>
      </c>
      <c r="B22" s="656">
        <v>78</v>
      </c>
      <c r="C22" s="98">
        <v>67</v>
      </c>
      <c r="D22" s="98">
        <v>58</v>
      </c>
      <c r="E22" s="98">
        <v>49</v>
      </c>
      <c r="F22" s="98">
        <v>42</v>
      </c>
      <c r="G22" s="98">
        <v>32</v>
      </c>
      <c r="H22" s="1403">
        <v>25</v>
      </c>
      <c r="K22">
        <v>21</v>
      </c>
      <c r="L22" s="656">
        <v>78</v>
      </c>
      <c r="M22" s="98">
        <v>67</v>
      </c>
      <c r="N22" s="98">
        <v>58</v>
      </c>
      <c r="O22" s="98">
        <v>49</v>
      </c>
      <c r="P22" s="98">
        <v>42</v>
      </c>
      <c r="Q22" s="98">
        <v>32</v>
      </c>
      <c r="R22" s="1403">
        <v>25</v>
      </c>
      <c r="T22">
        <v>44</v>
      </c>
      <c r="U22" s="656"/>
      <c r="V22" s="8">
        <v>353</v>
      </c>
      <c r="W22" s="66">
        <v>327</v>
      </c>
      <c r="X22" s="66">
        <v>296</v>
      </c>
      <c r="Y22" s="8">
        <v>276</v>
      </c>
      <c r="Z22" s="8"/>
      <c r="AA22" s="1403">
        <v>220</v>
      </c>
    </row>
    <row r="23" spans="1:27">
      <c r="A23">
        <v>22</v>
      </c>
      <c r="B23" s="656">
        <v>86</v>
      </c>
      <c r="C23" s="98">
        <v>75</v>
      </c>
      <c r="D23" s="98">
        <v>65</v>
      </c>
      <c r="E23" s="98">
        <v>56</v>
      </c>
      <c r="F23" s="98">
        <v>48</v>
      </c>
      <c r="G23" s="98">
        <v>34</v>
      </c>
      <c r="H23" s="1403">
        <v>30</v>
      </c>
      <c r="K23">
        <v>22</v>
      </c>
      <c r="L23" s="656">
        <v>86</v>
      </c>
      <c r="M23" s="98">
        <v>75</v>
      </c>
      <c r="N23" s="98">
        <v>65</v>
      </c>
      <c r="O23" s="98">
        <v>56</v>
      </c>
      <c r="P23" s="98">
        <v>48</v>
      </c>
      <c r="Q23" s="98">
        <v>34</v>
      </c>
      <c r="R23" s="1403">
        <v>30</v>
      </c>
      <c r="T23">
        <v>45</v>
      </c>
      <c r="U23" s="656"/>
      <c r="V23" s="8">
        <v>371</v>
      </c>
      <c r="W23" s="66">
        <v>343</v>
      </c>
      <c r="X23" s="66">
        <v>312</v>
      </c>
      <c r="Y23" s="8">
        <v>291</v>
      </c>
      <c r="Z23" s="8"/>
      <c r="AA23" s="1403">
        <v>233</v>
      </c>
    </row>
    <row r="24" spans="1:27">
      <c r="A24">
        <v>23</v>
      </c>
      <c r="B24" s="656">
        <v>95</v>
      </c>
      <c r="C24" s="98">
        <v>83</v>
      </c>
      <c r="D24" s="98">
        <v>73</v>
      </c>
      <c r="E24" s="98">
        <v>62</v>
      </c>
      <c r="F24" s="98">
        <v>54</v>
      </c>
      <c r="G24" s="98">
        <v>40</v>
      </c>
      <c r="H24" s="1403">
        <v>35</v>
      </c>
      <c r="K24">
        <v>23</v>
      </c>
      <c r="L24" s="656">
        <v>95</v>
      </c>
      <c r="M24" s="98">
        <v>83</v>
      </c>
      <c r="N24" s="98">
        <v>73</v>
      </c>
      <c r="O24" s="98">
        <v>62</v>
      </c>
      <c r="P24" s="98">
        <v>54</v>
      </c>
      <c r="Q24" s="98">
        <v>40</v>
      </c>
      <c r="R24" s="1403">
        <v>35</v>
      </c>
      <c r="T24">
        <v>46</v>
      </c>
      <c r="U24" s="656"/>
      <c r="V24" s="8">
        <v>389</v>
      </c>
      <c r="W24" s="66">
        <v>361</v>
      </c>
      <c r="X24" s="66">
        <v>328</v>
      </c>
      <c r="Y24" s="8">
        <v>307</v>
      </c>
      <c r="Z24" s="8"/>
      <c r="AA24" s="1403">
        <v>246</v>
      </c>
    </row>
    <row r="25" spans="1:27">
      <c r="A25">
        <v>24</v>
      </c>
      <c r="B25" s="656">
        <v>104</v>
      </c>
      <c r="C25" s="98">
        <v>91</v>
      </c>
      <c r="D25" s="98">
        <v>81</v>
      </c>
      <c r="E25" s="98">
        <v>69</v>
      </c>
      <c r="F25" s="98">
        <v>61</v>
      </c>
      <c r="G25" s="98">
        <v>46</v>
      </c>
      <c r="H25" s="1403">
        <v>40</v>
      </c>
      <c r="K25">
        <v>24</v>
      </c>
      <c r="L25" s="656">
        <v>104</v>
      </c>
      <c r="M25" s="98">
        <v>91</v>
      </c>
      <c r="N25" s="98">
        <v>81</v>
      </c>
      <c r="O25" s="98">
        <v>69</v>
      </c>
      <c r="P25" s="98">
        <v>61</v>
      </c>
      <c r="Q25" s="98">
        <v>46</v>
      </c>
      <c r="R25" s="1403">
        <v>40</v>
      </c>
      <c r="T25">
        <v>47</v>
      </c>
      <c r="U25" s="656"/>
      <c r="V25" s="8">
        <v>407</v>
      </c>
      <c r="W25" s="66">
        <v>378</v>
      </c>
      <c r="X25" s="66">
        <v>345</v>
      </c>
      <c r="Y25" s="8">
        <v>322</v>
      </c>
      <c r="Z25" s="8"/>
      <c r="AA25" s="1403">
        <v>260</v>
      </c>
    </row>
    <row r="26" spans="1:27">
      <c r="A26">
        <v>25</v>
      </c>
      <c r="B26" s="656">
        <v>115</v>
      </c>
      <c r="C26" s="98">
        <v>100</v>
      </c>
      <c r="D26" s="98">
        <v>89</v>
      </c>
      <c r="E26" s="98">
        <v>77</v>
      </c>
      <c r="F26" s="98">
        <v>68</v>
      </c>
      <c r="G26" s="98">
        <v>51</v>
      </c>
      <c r="H26" s="1403">
        <v>45</v>
      </c>
      <c r="K26">
        <v>25</v>
      </c>
      <c r="L26" s="656">
        <v>115</v>
      </c>
      <c r="M26" s="98">
        <v>100</v>
      </c>
      <c r="N26" s="98">
        <v>89</v>
      </c>
      <c r="O26" s="98">
        <v>77</v>
      </c>
      <c r="P26" s="98">
        <v>68</v>
      </c>
      <c r="Q26" s="98">
        <v>51</v>
      </c>
      <c r="R26" s="1403">
        <v>45</v>
      </c>
      <c r="T26">
        <v>48</v>
      </c>
      <c r="U26" s="656"/>
      <c r="V26" s="8">
        <v>426</v>
      </c>
      <c r="W26" s="66">
        <v>396</v>
      </c>
      <c r="X26" s="66">
        <v>362</v>
      </c>
      <c r="Y26" s="8">
        <v>339</v>
      </c>
      <c r="Z26" s="8"/>
      <c r="AA26" s="1403">
        <v>274</v>
      </c>
    </row>
    <row r="27" spans="1:27">
      <c r="A27">
        <v>26</v>
      </c>
      <c r="B27" s="656">
        <v>124</v>
      </c>
      <c r="C27" s="98">
        <v>110</v>
      </c>
      <c r="D27" s="98">
        <v>98</v>
      </c>
      <c r="E27" s="98">
        <v>84</v>
      </c>
      <c r="F27" s="98">
        <v>75</v>
      </c>
      <c r="G27" s="98">
        <v>58</v>
      </c>
      <c r="H27" s="1403">
        <v>51</v>
      </c>
      <c r="K27">
        <v>26</v>
      </c>
      <c r="L27" s="656">
        <v>124</v>
      </c>
      <c r="M27" s="98">
        <v>110</v>
      </c>
      <c r="N27" s="98">
        <v>98</v>
      </c>
      <c r="O27" s="98">
        <v>84</v>
      </c>
      <c r="P27" s="98">
        <v>75</v>
      </c>
      <c r="Q27" s="98">
        <v>58</v>
      </c>
      <c r="R27" s="1403">
        <v>51</v>
      </c>
      <c r="T27">
        <v>49</v>
      </c>
      <c r="U27" s="656"/>
      <c r="V27" s="8">
        <v>446</v>
      </c>
      <c r="W27" s="66">
        <v>415</v>
      </c>
      <c r="X27" s="66">
        <v>379</v>
      </c>
      <c r="Y27" s="8">
        <v>355</v>
      </c>
      <c r="Z27" s="8"/>
      <c r="AA27" s="1403">
        <v>289</v>
      </c>
    </row>
    <row r="28" spans="1:27">
      <c r="A28">
        <v>27</v>
      </c>
      <c r="B28" s="656">
        <v>135</v>
      </c>
      <c r="C28" s="8">
        <v>119</v>
      </c>
      <c r="D28" s="66">
        <v>107</v>
      </c>
      <c r="E28" s="66">
        <v>92</v>
      </c>
      <c r="F28" s="8">
        <v>83</v>
      </c>
      <c r="G28" s="1474">
        <v>63</v>
      </c>
      <c r="H28" s="1403">
        <v>57</v>
      </c>
      <c r="K28">
        <v>27</v>
      </c>
      <c r="L28" s="533">
        <v>135</v>
      </c>
      <c r="M28" s="1078">
        <v>119</v>
      </c>
      <c r="N28" s="1171">
        <v>107</v>
      </c>
      <c r="O28" s="1171">
        <v>92</v>
      </c>
      <c r="P28" s="1078">
        <v>83</v>
      </c>
      <c r="Q28" s="1480">
        <v>63</v>
      </c>
      <c r="R28" s="1404">
        <v>57</v>
      </c>
      <c r="T28">
        <v>50</v>
      </c>
      <c r="U28" s="533"/>
      <c r="V28" s="1078">
        <v>466</v>
      </c>
      <c r="W28" s="1078">
        <v>434</v>
      </c>
      <c r="X28" s="1078">
        <v>397</v>
      </c>
      <c r="Y28" s="1078">
        <v>373</v>
      </c>
      <c r="Z28" s="1078"/>
      <c r="AA28" s="1404">
        <v>304</v>
      </c>
    </row>
    <row r="29" spans="1:27">
      <c r="A29">
        <v>28</v>
      </c>
      <c r="B29" s="656">
        <v>146</v>
      </c>
      <c r="C29" s="8">
        <v>130</v>
      </c>
      <c r="D29" s="8">
        <v>116</v>
      </c>
      <c r="E29" s="8">
        <v>101</v>
      </c>
      <c r="F29" s="8">
        <v>91</v>
      </c>
      <c r="G29" s="1474">
        <v>71</v>
      </c>
      <c r="H29" s="1403">
        <v>64</v>
      </c>
    </row>
    <row r="30" spans="1:27">
      <c r="A30" s="66">
        <v>29</v>
      </c>
      <c r="B30" s="680">
        <v>157</v>
      </c>
      <c r="C30" s="8">
        <v>140</v>
      </c>
      <c r="D30" s="66">
        <v>126</v>
      </c>
      <c r="E30" s="66">
        <v>110</v>
      </c>
      <c r="F30" s="8">
        <v>100</v>
      </c>
      <c r="G30" s="1474">
        <v>80</v>
      </c>
      <c r="H30" s="1403">
        <v>71</v>
      </c>
    </row>
    <row r="31" spans="1:27">
      <c r="A31">
        <v>30</v>
      </c>
      <c r="B31" s="680">
        <v>169</v>
      </c>
      <c r="C31" s="8">
        <v>151</v>
      </c>
      <c r="D31" s="8">
        <v>137</v>
      </c>
      <c r="E31" s="8">
        <v>120</v>
      </c>
      <c r="F31" s="8">
        <v>109</v>
      </c>
      <c r="G31" s="1474">
        <v>85</v>
      </c>
      <c r="H31" s="1403">
        <v>78</v>
      </c>
    </row>
    <row r="32" spans="1:27">
      <c r="A32">
        <v>31</v>
      </c>
      <c r="B32" s="680">
        <v>181</v>
      </c>
      <c r="C32" s="8">
        <v>163</v>
      </c>
      <c r="D32" s="66">
        <v>147</v>
      </c>
      <c r="E32" s="66">
        <v>130</v>
      </c>
      <c r="F32" s="8">
        <v>118</v>
      </c>
      <c r="G32" s="1474">
        <v>95</v>
      </c>
      <c r="H32" s="1403">
        <v>86</v>
      </c>
    </row>
    <row r="33" spans="1:8">
      <c r="A33">
        <v>32</v>
      </c>
      <c r="B33" s="680">
        <v>195</v>
      </c>
      <c r="C33" s="8">
        <v>175</v>
      </c>
      <c r="D33" s="66">
        <v>159</v>
      </c>
      <c r="E33" s="66">
        <v>140</v>
      </c>
      <c r="F33" s="8">
        <v>128</v>
      </c>
      <c r="G33" s="1474">
        <v>102</v>
      </c>
      <c r="H33" s="1403">
        <v>94</v>
      </c>
    </row>
    <row r="34" spans="1:8">
      <c r="A34">
        <v>33</v>
      </c>
      <c r="B34" s="680">
        <v>208</v>
      </c>
      <c r="C34" s="8">
        <v>187</v>
      </c>
      <c r="D34" s="66">
        <v>170</v>
      </c>
      <c r="E34" s="66">
        <v>151</v>
      </c>
      <c r="F34" s="8">
        <v>138</v>
      </c>
      <c r="G34" s="1474">
        <v>111</v>
      </c>
      <c r="H34" s="1403">
        <v>102</v>
      </c>
    </row>
    <row r="35" spans="1:8">
      <c r="A35">
        <v>34</v>
      </c>
      <c r="B35" s="680">
        <v>221</v>
      </c>
      <c r="C35" s="8">
        <v>200</v>
      </c>
      <c r="D35" s="66">
        <v>182</v>
      </c>
      <c r="E35" s="66">
        <v>162</v>
      </c>
      <c r="F35" s="8">
        <v>148</v>
      </c>
      <c r="G35" s="1474">
        <v>123</v>
      </c>
      <c r="H35" s="1403">
        <v>111</v>
      </c>
    </row>
    <row r="36" spans="1:8">
      <c r="A36">
        <v>35</v>
      </c>
      <c r="B36" s="680">
        <v>236</v>
      </c>
      <c r="C36" s="8">
        <v>213</v>
      </c>
      <c r="D36" s="8">
        <v>195</v>
      </c>
      <c r="E36" s="8">
        <v>173</v>
      </c>
      <c r="F36" s="8">
        <v>159</v>
      </c>
      <c r="G36" s="1474">
        <v>130</v>
      </c>
      <c r="H36" s="1403">
        <v>120</v>
      </c>
    </row>
    <row r="37" spans="1:8">
      <c r="A37">
        <v>36</v>
      </c>
      <c r="B37" s="680">
        <v>250</v>
      </c>
      <c r="C37" s="8">
        <v>227</v>
      </c>
      <c r="D37" s="66">
        <v>208</v>
      </c>
      <c r="E37" s="66">
        <v>185</v>
      </c>
      <c r="F37" s="8">
        <v>171</v>
      </c>
      <c r="G37" s="1474">
        <v>139</v>
      </c>
      <c r="H37" s="1403">
        <v>130</v>
      </c>
    </row>
    <row r="38" spans="1:8">
      <c r="A38">
        <v>37</v>
      </c>
      <c r="B38" s="680">
        <v>266</v>
      </c>
      <c r="C38" s="8">
        <v>241</v>
      </c>
      <c r="D38" s="66">
        <v>221</v>
      </c>
      <c r="E38" s="66">
        <v>198</v>
      </c>
      <c r="F38" s="8">
        <v>182</v>
      </c>
      <c r="G38" s="1474">
        <v>153</v>
      </c>
      <c r="H38" s="1403">
        <v>140</v>
      </c>
    </row>
    <row r="39" spans="1:8">
      <c r="A39">
        <v>38</v>
      </c>
      <c r="B39" s="680">
        <v>281</v>
      </c>
      <c r="C39" s="8">
        <v>256</v>
      </c>
      <c r="D39" s="66">
        <v>235</v>
      </c>
      <c r="E39" s="66">
        <v>211</v>
      </c>
      <c r="F39" s="8">
        <v>194</v>
      </c>
      <c r="G39" s="1474">
        <v>163</v>
      </c>
      <c r="H39" s="1403">
        <v>150</v>
      </c>
    </row>
    <row r="40" spans="1:8">
      <c r="A40">
        <v>39</v>
      </c>
      <c r="B40" s="680">
        <v>297</v>
      </c>
      <c r="C40" s="8">
        <v>271</v>
      </c>
      <c r="D40" s="66">
        <v>249</v>
      </c>
      <c r="E40" s="66">
        <v>224</v>
      </c>
      <c r="F40" s="8">
        <v>207</v>
      </c>
      <c r="G40" s="1474">
        <v>176</v>
      </c>
      <c r="H40" s="1403">
        <v>161</v>
      </c>
    </row>
    <row r="41" spans="1:8">
      <c r="A41">
        <v>40</v>
      </c>
      <c r="B41" s="680">
        <v>314</v>
      </c>
      <c r="C41" s="8">
        <v>286</v>
      </c>
      <c r="D41" s="8">
        <v>264</v>
      </c>
      <c r="E41" s="8">
        <v>238</v>
      </c>
      <c r="F41" s="8">
        <v>220</v>
      </c>
      <c r="G41" s="1474">
        <v>186</v>
      </c>
      <c r="H41" s="1403">
        <v>172</v>
      </c>
    </row>
    <row r="42" spans="1:8">
      <c r="A42">
        <v>41</v>
      </c>
      <c r="B42" s="656"/>
      <c r="C42" s="8">
        <v>302</v>
      </c>
      <c r="D42" s="66">
        <v>279</v>
      </c>
      <c r="E42" s="66">
        <v>252</v>
      </c>
      <c r="F42" s="8">
        <v>233</v>
      </c>
      <c r="G42" s="8"/>
      <c r="H42" s="1403">
        <v>183</v>
      </c>
    </row>
    <row r="43" spans="1:8">
      <c r="A43">
        <v>42</v>
      </c>
      <c r="B43" s="656"/>
      <c r="C43" s="8">
        <v>319</v>
      </c>
      <c r="D43" s="66">
        <v>294</v>
      </c>
      <c r="E43" s="66">
        <v>266</v>
      </c>
      <c r="F43" s="8">
        <v>247</v>
      </c>
      <c r="G43" s="8"/>
      <c r="H43" s="1403">
        <v>195</v>
      </c>
    </row>
    <row r="44" spans="1:8">
      <c r="A44">
        <v>43</v>
      </c>
      <c r="B44" s="656"/>
      <c r="C44" s="8">
        <v>336</v>
      </c>
      <c r="D44" s="66">
        <v>310</v>
      </c>
      <c r="E44" s="66">
        <v>280</v>
      </c>
      <c r="F44" s="8">
        <v>261</v>
      </c>
      <c r="G44" s="8"/>
      <c r="H44" s="1403">
        <v>207</v>
      </c>
    </row>
    <row r="45" spans="1:8">
      <c r="A45">
        <v>44</v>
      </c>
      <c r="B45" s="656"/>
      <c r="C45" s="8">
        <v>353</v>
      </c>
      <c r="D45" s="66">
        <v>327</v>
      </c>
      <c r="E45" s="66">
        <v>296</v>
      </c>
      <c r="F45" s="8">
        <v>276</v>
      </c>
      <c r="G45" s="8"/>
      <c r="H45" s="1403">
        <v>220</v>
      </c>
    </row>
    <row r="46" spans="1:8">
      <c r="A46">
        <v>45</v>
      </c>
      <c r="B46" s="656"/>
      <c r="C46" s="8">
        <v>371</v>
      </c>
      <c r="D46" s="66">
        <v>343</v>
      </c>
      <c r="E46" s="66">
        <v>312</v>
      </c>
      <c r="F46" s="8">
        <v>291</v>
      </c>
      <c r="G46" s="8"/>
      <c r="H46" s="1403">
        <v>233</v>
      </c>
    </row>
    <row r="47" spans="1:8">
      <c r="A47">
        <v>46</v>
      </c>
      <c r="B47" s="656"/>
      <c r="C47" s="8">
        <v>389</v>
      </c>
      <c r="D47" s="66">
        <v>361</v>
      </c>
      <c r="E47" s="66">
        <v>328</v>
      </c>
      <c r="F47" s="8">
        <v>307</v>
      </c>
      <c r="G47" s="8"/>
      <c r="H47" s="1403">
        <v>246</v>
      </c>
    </row>
    <row r="48" spans="1:8">
      <c r="A48">
        <v>47</v>
      </c>
      <c r="B48" s="656"/>
      <c r="C48" s="8">
        <v>407</v>
      </c>
      <c r="D48" s="66">
        <v>378</v>
      </c>
      <c r="E48" s="66">
        <v>345</v>
      </c>
      <c r="F48" s="8">
        <v>322</v>
      </c>
      <c r="G48" s="8"/>
      <c r="H48" s="1403">
        <v>260</v>
      </c>
    </row>
    <row r="49" spans="1:8">
      <c r="A49">
        <v>48</v>
      </c>
      <c r="B49" s="656"/>
      <c r="C49" s="8">
        <v>426</v>
      </c>
      <c r="D49" s="66">
        <v>396</v>
      </c>
      <c r="E49" s="66">
        <v>362</v>
      </c>
      <c r="F49" s="8">
        <v>339</v>
      </c>
      <c r="G49" s="8"/>
      <c r="H49" s="1403">
        <v>274</v>
      </c>
    </row>
    <row r="50" spans="1:8">
      <c r="A50">
        <v>49</v>
      </c>
      <c r="B50" s="656"/>
      <c r="C50" s="8">
        <v>446</v>
      </c>
      <c r="D50" s="66">
        <v>415</v>
      </c>
      <c r="E50" s="66">
        <v>379</v>
      </c>
      <c r="F50" s="8">
        <v>355</v>
      </c>
      <c r="G50" s="8"/>
      <c r="H50" s="1403">
        <v>289</v>
      </c>
    </row>
    <row r="51" spans="1:8">
      <c r="A51">
        <v>50</v>
      </c>
      <c r="B51" s="533"/>
      <c r="C51" s="1078">
        <v>466</v>
      </c>
      <c r="D51" s="1078">
        <v>434</v>
      </c>
      <c r="E51" s="1078">
        <v>397</v>
      </c>
      <c r="F51" s="1078">
        <v>373</v>
      </c>
      <c r="G51" s="1078"/>
      <c r="H51" s="1404">
        <v>304</v>
      </c>
    </row>
    <row r="54" spans="1:8">
      <c r="A54" t="s">
        <v>284</v>
      </c>
    </row>
    <row r="55" spans="1:8">
      <c r="A55" t="s">
        <v>285</v>
      </c>
    </row>
    <row r="57" spans="1:8">
      <c r="A57" t="s">
        <v>286</v>
      </c>
    </row>
    <row r="59" spans="1:8">
      <c r="A59" t="s">
        <v>287</v>
      </c>
    </row>
    <row r="61" spans="1:8">
      <c r="A61" t="s">
        <v>288</v>
      </c>
    </row>
    <row r="62" spans="1:8">
      <c r="A62" t="s">
        <v>289</v>
      </c>
    </row>
    <row r="64" spans="1:8">
      <c r="A64" t="s">
        <v>4099</v>
      </c>
    </row>
    <row r="65" spans="1:1">
      <c r="A65" t="s">
        <v>4101</v>
      </c>
    </row>
    <row r="67" spans="1:1">
      <c r="A67" t="s">
        <v>4100</v>
      </c>
    </row>
    <row r="68" spans="1:1">
      <c r="A68" t="s">
        <v>3805</v>
      </c>
    </row>
    <row r="69" spans="1:1">
      <c r="A69" t="s">
        <v>3806</v>
      </c>
    </row>
  </sheetData>
  <mergeCells count="3">
    <mergeCell ref="B4:H4"/>
    <mergeCell ref="L4:R4"/>
    <mergeCell ref="U4:AA4"/>
  </mergeCell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sheetPr codeName="Sheet341"/>
  <dimension ref="A1:M31"/>
  <sheetViews>
    <sheetView topLeftCell="A9" workbookViewId="0">
      <selection activeCell="Q19" sqref="Q19"/>
    </sheetView>
  </sheetViews>
  <sheetFormatPr defaultRowHeight="14.4"/>
  <sheetData>
    <row r="1" spans="1:13">
      <c r="A1" s="1" t="s">
        <v>2122</v>
      </c>
    </row>
    <row r="2" spans="1:13">
      <c r="A2" t="s">
        <v>282</v>
      </c>
    </row>
    <row r="4" spans="1:13">
      <c r="B4" s="1552" t="s">
        <v>283</v>
      </c>
      <c r="C4" s="1552"/>
      <c r="D4" s="1552"/>
      <c r="E4" s="1552"/>
      <c r="F4" s="1552"/>
      <c r="I4" s="1552" t="s">
        <v>283</v>
      </c>
      <c r="J4" s="1552"/>
      <c r="K4" s="1552"/>
      <c r="L4" s="1552"/>
      <c r="M4" s="1552"/>
    </row>
    <row r="5" spans="1:13">
      <c r="A5" s="19" t="s">
        <v>106</v>
      </c>
      <c r="B5" s="22">
        <v>0.1</v>
      </c>
      <c r="C5">
        <v>0.05</v>
      </c>
      <c r="D5">
        <v>0.02</v>
      </c>
      <c r="E5">
        <v>0.01</v>
      </c>
      <c r="F5">
        <v>1E-3</v>
      </c>
      <c r="H5" s="19" t="s">
        <v>106</v>
      </c>
      <c r="I5" s="22">
        <v>0.1</v>
      </c>
      <c r="J5">
        <v>0.05</v>
      </c>
      <c r="K5">
        <v>0.02</v>
      </c>
      <c r="L5">
        <v>0.01</v>
      </c>
      <c r="M5">
        <v>1E-3</v>
      </c>
    </row>
    <row r="6" spans="1:13">
      <c r="A6">
        <v>5</v>
      </c>
      <c r="B6" s="97">
        <v>0</v>
      </c>
      <c r="C6" s="1401"/>
      <c r="D6" s="1401"/>
      <c r="E6" s="1401"/>
      <c r="F6" s="6"/>
      <c r="H6">
        <v>31</v>
      </c>
      <c r="I6" s="4">
        <v>163</v>
      </c>
      <c r="J6" s="1405">
        <v>147</v>
      </c>
      <c r="K6" s="1405">
        <v>130</v>
      </c>
      <c r="L6" s="1152">
        <v>118</v>
      </c>
      <c r="M6" s="1406">
        <v>86</v>
      </c>
    </row>
    <row r="7" spans="1:13">
      <c r="A7">
        <v>6</v>
      </c>
      <c r="B7" s="1402">
        <v>2</v>
      </c>
      <c r="C7" s="98">
        <v>0</v>
      </c>
      <c r="D7" s="99"/>
      <c r="E7" s="99"/>
      <c r="F7" s="657"/>
      <c r="H7">
        <v>32</v>
      </c>
      <c r="I7" s="656">
        <v>175</v>
      </c>
      <c r="J7" s="66">
        <v>159</v>
      </c>
      <c r="K7" s="66">
        <v>140</v>
      </c>
      <c r="L7" s="8">
        <v>128</v>
      </c>
      <c r="M7" s="1403">
        <v>94</v>
      </c>
    </row>
    <row r="8" spans="1:13">
      <c r="A8">
        <v>7</v>
      </c>
      <c r="B8" s="1402">
        <v>3</v>
      </c>
      <c r="C8" s="98">
        <v>2</v>
      </c>
      <c r="D8" s="98">
        <v>0</v>
      </c>
      <c r="E8" s="99"/>
      <c r="F8" s="657"/>
      <c r="H8">
        <v>33</v>
      </c>
      <c r="I8" s="656">
        <v>187</v>
      </c>
      <c r="J8" s="66">
        <v>170</v>
      </c>
      <c r="K8" s="66">
        <v>151</v>
      </c>
      <c r="L8" s="8">
        <v>138</v>
      </c>
      <c r="M8" s="1403">
        <v>102</v>
      </c>
    </row>
    <row r="9" spans="1:13">
      <c r="A9">
        <v>8</v>
      </c>
      <c r="B9" s="1402">
        <v>5</v>
      </c>
      <c r="C9" s="98">
        <v>3</v>
      </c>
      <c r="D9" s="98">
        <v>1</v>
      </c>
      <c r="E9" s="98">
        <v>0</v>
      </c>
      <c r="F9" s="657"/>
      <c r="H9">
        <v>34</v>
      </c>
      <c r="I9" s="656">
        <v>200</v>
      </c>
      <c r="J9" s="66">
        <v>182</v>
      </c>
      <c r="K9" s="66">
        <v>162</v>
      </c>
      <c r="L9" s="8">
        <v>148</v>
      </c>
      <c r="M9" s="1403">
        <v>111</v>
      </c>
    </row>
    <row r="10" spans="1:13">
      <c r="A10">
        <v>9</v>
      </c>
      <c r="B10" s="1402">
        <v>8</v>
      </c>
      <c r="C10" s="98">
        <v>5</v>
      </c>
      <c r="D10" s="98">
        <v>3</v>
      </c>
      <c r="E10" s="98">
        <v>1</v>
      </c>
      <c r="F10" s="657"/>
      <c r="H10">
        <v>35</v>
      </c>
      <c r="I10" s="656">
        <v>213</v>
      </c>
      <c r="J10" s="8">
        <v>195</v>
      </c>
      <c r="K10" s="8">
        <v>173</v>
      </c>
      <c r="L10" s="8">
        <v>159</v>
      </c>
      <c r="M10" s="1403">
        <v>120</v>
      </c>
    </row>
    <row r="11" spans="1:13">
      <c r="A11">
        <v>10</v>
      </c>
      <c r="B11" s="1402">
        <v>10</v>
      </c>
      <c r="C11" s="98">
        <v>8</v>
      </c>
      <c r="D11" s="98">
        <v>5</v>
      </c>
      <c r="E11" s="98">
        <v>3</v>
      </c>
      <c r="F11" s="657"/>
      <c r="H11">
        <v>36</v>
      </c>
      <c r="I11" s="656">
        <v>227</v>
      </c>
      <c r="J11" s="66">
        <v>208</v>
      </c>
      <c r="K11" s="66">
        <v>185</v>
      </c>
      <c r="L11" s="8">
        <v>171</v>
      </c>
      <c r="M11" s="1403">
        <v>130</v>
      </c>
    </row>
    <row r="12" spans="1:13">
      <c r="A12">
        <v>11</v>
      </c>
      <c r="B12" s="1402">
        <v>13</v>
      </c>
      <c r="C12" s="98">
        <v>10</v>
      </c>
      <c r="D12" s="98">
        <v>7</v>
      </c>
      <c r="E12" s="98">
        <v>5</v>
      </c>
      <c r="F12" s="1403">
        <v>0</v>
      </c>
      <c r="H12">
        <v>37</v>
      </c>
      <c r="I12" s="656">
        <v>241</v>
      </c>
      <c r="J12" s="66">
        <v>221</v>
      </c>
      <c r="K12" s="66">
        <v>198</v>
      </c>
      <c r="L12" s="8">
        <v>182</v>
      </c>
      <c r="M12" s="1403">
        <v>140</v>
      </c>
    </row>
    <row r="13" spans="1:13">
      <c r="A13">
        <v>12</v>
      </c>
      <c r="B13" s="1402">
        <v>17</v>
      </c>
      <c r="C13" s="98">
        <v>13</v>
      </c>
      <c r="D13" s="98">
        <v>9</v>
      </c>
      <c r="E13" s="98">
        <v>7</v>
      </c>
      <c r="F13" s="1403">
        <v>1</v>
      </c>
      <c r="H13">
        <v>38</v>
      </c>
      <c r="I13" s="656">
        <v>256</v>
      </c>
      <c r="J13" s="66">
        <v>235</v>
      </c>
      <c r="K13" s="66">
        <v>211</v>
      </c>
      <c r="L13" s="8">
        <v>194</v>
      </c>
      <c r="M13" s="1403">
        <v>150</v>
      </c>
    </row>
    <row r="14" spans="1:13">
      <c r="A14">
        <v>13</v>
      </c>
      <c r="B14" s="1402">
        <v>21</v>
      </c>
      <c r="C14" s="98">
        <v>17</v>
      </c>
      <c r="D14" s="98">
        <v>12</v>
      </c>
      <c r="E14" s="98">
        <v>9</v>
      </c>
      <c r="F14" s="1403">
        <v>2</v>
      </c>
      <c r="H14">
        <v>39</v>
      </c>
      <c r="I14" s="656">
        <v>271</v>
      </c>
      <c r="J14" s="66">
        <v>249</v>
      </c>
      <c r="K14" s="66">
        <v>224</v>
      </c>
      <c r="L14" s="8">
        <v>207</v>
      </c>
      <c r="M14" s="1403">
        <v>161</v>
      </c>
    </row>
    <row r="15" spans="1:13">
      <c r="A15">
        <v>14</v>
      </c>
      <c r="B15" s="1402">
        <v>25</v>
      </c>
      <c r="C15" s="98">
        <v>21</v>
      </c>
      <c r="D15" s="98">
        <v>15</v>
      </c>
      <c r="E15" s="98">
        <v>12</v>
      </c>
      <c r="F15" s="1403">
        <v>4</v>
      </c>
      <c r="H15">
        <v>40</v>
      </c>
      <c r="I15" s="656">
        <v>286</v>
      </c>
      <c r="J15" s="8">
        <v>264</v>
      </c>
      <c r="K15" s="8">
        <v>238</v>
      </c>
      <c r="L15" s="8">
        <v>220</v>
      </c>
      <c r="M15" s="1403">
        <v>172</v>
      </c>
    </row>
    <row r="16" spans="1:13">
      <c r="A16">
        <v>15</v>
      </c>
      <c r="B16" s="1402">
        <v>30</v>
      </c>
      <c r="C16" s="98">
        <v>25</v>
      </c>
      <c r="D16" s="98">
        <v>19</v>
      </c>
      <c r="E16" s="98">
        <v>15</v>
      </c>
      <c r="F16" s="1403">
        <v>6</v>
      </c>
      <c r="H16">
        <v>41</v>
      </c>
      <c r="I16" s="656">
        <v>302</v>
      </c>
      <c r="J16" s="66">
        <v>279</v>
      </c>
      <c r="K16" s="66">
        <v>252</v>
      </c>
      <c r="L16" s="8">
        <v>233</v>
      </c>
      <c r="M16" s="1403">
        <v>183</v>
      </c>
    </row>
    <row r="17" spans="1:13">
      <c r="A17">
        <v>16</v>
      </c>
      <c r="B17" s="1402">
        <v>35</v>
      </c>
      <c r="C17" s="98">
        <v>29</v>
      </c>
      <c r="D17" s="98">
        <v>23</v>
      </c>
      <c r="E17" s="98">
        <v>19</v>
      </c>
      <c r="F17" s="1403">
        <v>8</v>
      </c>
      <c r="H17">
        <v>42</v>
      </c>
      <c r="I17" s="656">
        <v>319</v>
      </c>
      <c r="J17" s="66">
        <v>294</v>
      </c>
      <c r="K17" s="66">
        <v>266</v>
      </c>
      <c r="L17" s="8">
        <v>247</v>
      </c>
      <c r="M17" s="1403">
        <v>195</v>
      </c>
    </row>
    <row r="18" spans="1:13">
      <c r="A18">
        <v>17</v>
      </c>
      <c r="B18" s="1402">
        <v>41</v>
      </c>
      <c r="C18" s="98">
        <v>34</v>
      </c>
      <c r="D18" s="98">
        <v>27</v>
      </c>
      <c r="E18" s="98">
        <v>23</v>
      </c>
      <c r="F18" s="1403">
        <v>11</v>
      </c>
      <c r="H18">
        <v>43</v>
      </c>
      <c r="I18" s="656">
        <v>336</v>
      </c>
      <c r="J18" s="66">
        <v>310</v>
      </c>
      <c r="K18" s="66">
        <v>280</v>
      </c>
      <c r="L18" s="8">
        <v>261</v>
      </c>
      <c r="M18" s="1403">
        <v>207</v>
      </c>
    </row>
    <row r="19" spans="1:13">
      <c r="A19">
        <v>18</v>
      </c>
      <c r="B19" s="1402">
        <v>47</v>
      </c>
      <c r="C19" s="98">
        <v>40</v>
      </c>
      <c r="D19" s="98">
        <v>32</v>
      </c>
      <c r="E19" s="98">
        <v>27</v>
      </c>
      <c r="F19" s="1403">
        <v>14</v>
      </c>
      <c r="H19">
        <v>44</v>
      </c>
      <c r="I19" s="656">
        <v>353</v>
      </c>
      <c r="J19" s="66">
        <v>327</v>
      </c>
      <c r="K19" s="66">
        <v>296</v>
      </c>
      <c r="L19" s="8">
        <v>276</v>
      </c>
      <c r="M19" s="1403">
        <v>220</v>
      </c>
    </row>
    <row r="20" spans="1:13">
      <c r="A20">
        <v>19</v>
      </c>
      <c r="B20" s="1402">
        <v>53</v>
      </c>
      <c r="C20" s="98">
        <v>46</v>
      </c>
      <c r="D20" s="98">
        <v>37</v>
      </c>
      <c r="E20" s="98">
        <v>32</v>
      </c>
      <c r="F20" s="1403">
        <v>18</v>
      </c>
      <c r="H20">
        <v>45</v>
      </c>
      <c r="I20" s="656">
        <v>371</v>
      </c>
      <c r="J20" s="66">
        <v>343</v>
      </c>
      <c r="K20" s="66">
        <v>312</v>
      </c>
      <c r="L20" s="8">
        <v>291</v>
      </c>
      <c r="M20" s="1403">
        <v>233</v>
      </c>
    </row>
    <row r="21" spans="1:13">
      <c r="A21">
        <v>20</v>
      </c>
      <c r="B21" s="1402">
        <v>60</v>
      </c>
      <c r="C21" s="98">
        <v>52</v>
      </c>
      <c r="D21" s="98">
        <v>43</v>
      </c>
      <c r="E21" s="98">
        <v>37</v>
      </c>
      <c r="F21" s="1403">
        <v>21</v>
      </c>
      <c r="H21">
        <v>46</v>
      </c>
      <c r="I21" s="656">
        <v>389</v>
      </c>
      <c r="J21" s="66">
        <v>361</v>
      </c>
      <c r="K21" s="66">
        <v>328</v>
      </c>
      <c r="L21" s="8">
        <v>307</v>
      </c>
      <c r="M21" s="1403">
        <v>246</v>
      </c>
    </row>
    <row r="22" spans="1:13">
      <c r="A22">
        <v>21</v>
      </c>
      <c r="B22" s="1402">
        <v>67</v>
      </c>
      <c r="C22" s="98">
        <v>58</v>
      </c>
      <c r="D22" s="98">
        <v>49</v>
      </c>
      <c r="E22" s="98">
        <v>42</v>
      </c>
      <c r="F22" s="1403">
        <v>25</v>
      </c>
      <c r="H22">
        <v>47</v>
      </c>
      <c r="I22" s="656">
        <v>407</v>
      </c>
      <c r="J22" s="66">
        <v>378</v>
      </c>
      <c r="K22" s="66">
        <v>345</v>
      </c>
      <c r="L22" s="8">
        <v>322</v>
      </c>
      <c r="M22" s="1403">
        <v>260</v>
      </c>
    </row>
    <row r="23" spans="1:13">
      <c r="A23">
        <v>22</v>
      </c>
      <c r="B23" s="1402">
        <v>75</v>
      </c>
      <c r="C23" s="98">
        <v>65</v>
      </c>
      <c r="D23" s="98">
        <v>56</v>
      </c>
      <c r="E23" s="98">
        <v>48</v>
      </c>
      <c r="F23" s="1403">
        <v>30</v>
      </c>
      <c r="H23">
        <v>48</v>
      </c>
      <c r="I23" s="656">
        <v>426</v>
      </c>
      <c r="J23" s="66">
        <v>396</v>
      </c>
      <c r="K23" s="66">
        <v>362</v>
      </c>
      <c r="L23" s="8">
        <v>339</v>
      </c>
      <c r="M23" s="1403">
        <v>274</v>
      </c>
    </row>
    <row r="24" spans="1:13">
      <c r="A24">
        <v>23</v>
      </c>
      <c r="B24" s="1402">
        <v>83</v>
      </c>
      <c r="C24" s="98">
        <v>73</v>
      </c>
      <c r="D24" s="98">
        <v>62</v>
      </c>
      <c r="E24" s="98">
        <v>54</v>
      </c>
      <c r="F24" s="1403">
        <v>35</v>
      </c>
      <c r="H24">
        <v>49</v>
      </c>
      <c r="I24" s="656">
        <v>446</v>
      </c>
      <c r="J24" s="66">
        <v>415</v>
      </c>
      <c r="K24" s="66">
        <v>379</v>
      </c>
      <c r="L24" s="8">
        <v>355</v>
      </c>
      <c r="M24" s="1403">
        <v>289</v>
      </c>
    </row>
    <row r="25" spans="1:13">
      <c r="A25">
        <v>24</v>
      </c>
      <c r="B25" s="1402">
        <v>91</v>
      </c>
      <c r="C25" s="98">
        <v>81</v>
      </c>
      <c r="D25" s="98">
        <v>69</v>
      </c>
      <c r="E25" s="98">
        <v>61</v>
      </c>
      <c r="F25" s="1403">
        <v>40</v>
      </c>
      <c r="H25">
        <v>50</v>
      </c>
      <c r="I25" s="533">
        <v>466</v>
      </c>
      <c r="J25" s="1062">
        <v>434</v>
      </c>
      <c r="K25" s="1062">
        <v>397</v>
      </c>
      <c r="L25" s="1062">
        <v>373</v>
      </c>
      <c r="M25" s="1404">
        <v>304</v>
      </c>
    </row>
    <row r="26" spans="1:13">
      <c r="A26">
        <v>25</v>
      </c>
      <c r="B26" s="1402">
        <v>100</v>
      </c>
      <c r="C26" s="98">
        <v>89</v>
      </c>
      <c r="D26" s="98">
        <v>77</v>
      </c>
      <c r="E26" s="98">
        <v>68</v>
      </c>
      <c r="F26" s="1403">
        <v>45</v>
      </c>
    </row>
    <row r="27" spans="1:13">
      <c r="A27">
        <v>26</v>
      </c>
      <c r="B27" s="1402">
        <v>110</v>
      </c>
      <c r="C27" s="98">
        <v>98</v>
      </c>
      <c r="D27" s="98">
        <v>84</v>
      </c>
      <c r="E27" s="98">
        <v>75</v>
      </c>
      <c r="F27" s="1403">
        <v>51</v>
      </c>
    </row>
    <row r="28" spans="1:13">
      <c r="A28">
        <v>27</v>
      </c>
      <c r="B28" s="656">
        <v>119</v>
      </c>
      <c r="C28" s="66">
        <v>107</v>
      </c>
      <c r="D28" s="66">
        <v>92</v>
      </c>
      <c r="E28" s="8">
        <v>83</v>
      </c>
      <c r="F28" s="1403">
        <v>57</v>
      </c>
    </row>
    <row r="29" spans="1:13">
      <c r="A29">
        <v>28</v>
      </c>
      <c r="B29" s="656">
        <v>130</v>
      </c>
      <c r="C29" s="8">
        <v>116</v>
      </c>
      <c r="D29" s="8">
        <v>101</v>
      </c>
      <c r="E29" s="8">
        <v>91</v>
      </c>
      <c r="F29" s="1403">
        <v>64</v>
      </c>
    </row>
    <row r="30" spans="1:13">
      <c r="A30" s="66">
        <v>29</v>
      </c>
      <c r="B30" s="656">
        <v>140</v>
      </c>
      <c r="C30" s="66">
        <v>126</v>
      </c>
      <c r="D30" s="66">
        <v>110</v>
      </c>
      <c r="E30" s="8">
        <v>100</v>
      </c>
      <c r="F30" s="1403">
        <v>71</v>
      </c>
    </row>
    <row r="31" spans="1:13">
      <c r="A31">
        <v>30</v>
      </c>
      <c r="B31" s="533">
        <v>151</v>
      </c>
      <c r="C31" s="1062">
        <v>137</v>
      </c>
      <c r="D31" s="1062">
        <v>120</v>
      </c>
      <c r="E31" s="1062">
        <v>109</v>
      </c>
      <c r="F31" s="1404">
        <v>78</v>
      </c>
    </row>
  </sheetData>
  <mergeCells count="2">
    <mergeCell ref="B4:F4"/>
    <mergeCell ref="I4:M4"/>
  </mergeCell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sheetPr codeName="Sheet45"/>
  <dimension ref="A1:AW29"/>
  <sheetViews>
    <sheetView workbookViewId="0">
      <selection activeCell="AR4" sqref="AR4"/>
    </sheetView>
  </sheetViews>
  <sheetFormatPr defaultRowHeight="14.4"/>
  <cols>
    <col min="1" max="1" width="5.6640625" customWidth="1"/>
    <col min="2" max="2" width="5.88671875" customWidth="1"/>
    <col min="3" max="3" width="8.6640625" customWidth="1"/>
    <col min="5" max="5" width="2.6640625" customWidth="1"/>
    <col min="6" max="7" width="5.6640625" customWidth="1"/>
    <col min="8" max="9" width="8.6640625" customWidth="1"/>
    <col min="10" max="10" width="2.6640625" customWidth="1"/>
    <col min="11" max="12" width="5.6640625" customWidth="1"/>
    <col min="13" max="14" width="8.6640625" customWidth="1"/>
    <col min="15" max="15" width="2.6640625" customWidth="1"/>
    <col min="16" max="17" width="5.6640625" customWidth="1"/>
    <col min="18" max="19" width="8.6640625" customWidth="1"/>
    <col min="20" max="20" width="2.6640625" customWidth="1"/>
    <col min="21" max="22" width="5.6640625" customWidth="1"/>
    <col min="23" max="24" width="8.6640625" customWidth="1"/>
    <col min="25" max="25" width="2.6640625" customWidth="1"/>
    <col min="26" max="27" width="5.6640625" customWidth="1"/>
    <col min="28" max="29" width="8.6640625" customWidth="1"/>
    <col min="30" max="30" width="2.6640625" customWidth="1"/>
    <col min="31" max="32" width="5.6640625" customWidth="1"/>
    <col min="33" max="34" width="8.6640625" customWidth="1"/>
    <col min="35" max="35" width="2.6640625" customWidth="1"/>
    <col min="36" max="37" width="5.6640625" customWidth="1"/>
    <col min="38" max="39" width="8.6640625" customWidth="1"/>
    <col min="40" max="40" width="2.6640625" customWidth="1"/>
    <col min="41" max="42" width="5.6640625" customWidth="1"/>
    <col min="43" max="44" width="8.6640625" customWidth="1"/>
    <col min="45" max="45" width="2.6640625" customWidth="1"/>
    <col min="46" max="47" width="5.6640625" customWidth="1"/>
    <col min="48" max="49" width="8.6640625" customWidth="1"/>
  </cols>
  <sheetData>
    <row r="1" spans="1:49">
      <c r="A1" s="1" t="s">
        <v>290</v>
      </c>
    </row>
    <row r="3" spans="1:49">
      <c r="A3" s="19" t="s">
        <v>291</v>
      </c>
      <c r="B3" s="19" t="s">
        <v>292</v>
      </c>
      <c r="C3" s="19" t="s">
        <v>293</v>
      </c>
      <c r="D3" s="19" t="s">
        <v>294</v>
      </c>
      <c r="F3" s="19" t="s">
        <v>291</v>
      </c>
      <c r="G3" s="19" t="s">
        <v>292</v>
      </c>
      <c r="H3" s="19" t="s">
        <v>293</v>
      </c>
      <c r="I3" s="19" t="s">
        <v>294</v>
      </c>
      <c r="K3" s="19" t="s">
        <v>291</v>
      </c>
      <c r="L3" s="19" t="s">
        <v>292</v>
      </c>
      <c r="M3" s="19" t="s">
        <v>293</v>
      </c>
      <c r="N3" s="19" t="s">
        <v>294</v>
      </c>
      <c r="P3" s="19" t="s">
        <v>291</v>
      </c>
      <c r="Q3" s="19" t="s">
        <v>292</v>
      </c>
      <c r="R3" s="19" t="s">
        <v>293</v>
      </c>
      <c r="S3" s="19" t="s">
        <v>294</v>
      </c>
      <c r="U3" s="19" t="s">
        <v>291</v>
      </c>
      <c r="V3" s="19" t="s">
        <v>292</v>
      </c>
      <c r="W3" s="19" t="s">
        <v>293</v>
      </c>
      <c r="X3" s="19" t="s">
        <v>294</v>
      </c>
      <c r="Z3" s="19" t="s">
        <v>291</v>
      </c>
      <c r="AA3" s="19" t="s">
        <v>292</v>
      </c>
      <c r="AB3" s="19" t="s">
        <v>293</v>
      </c>
      <c r="AC3" s="19" t="s">
        <v>294</v>
      </c>
      <c r="AE3" s="19" t="s">
        <v>291</v>
      </c>
      <c r="AF3" s="19" t="s">
        <v>292</v>
      </c>
      <c r="AG3" s="19" t="s">
        <v>293</v>
      </c>
      <c r="AH3" s="19" t="s">
        <v>294</v>
      </c>
      <c r="AJ3" s="19" t="s">
        <v>291</v>
      </c>
      <c r="AK3" s="19" t="s">
        <v>292</v>
      </c>
      <c r="AL3" s="19" t="s">
        <v>293</v>
      </c>
      <c r="AM3" s="19" t="s">
        <v>294</v>
      </c>
      <c r="AO3" s="19" t="s">
        <v>291</v>
      </c>
      <c r="AP3" s="19" t="s">
        <v>292</v>
      </c>
      <c r="AQ3" s="19" t="s">
        <v>293</v>
      </c>
      <c r="AR3" s="19" t="s">
        <v>294</v>
      </c>
      <c r="AT3" s="19" t="s">
        <v>291</v>
      </c>
      <c r="AU3" s="19" t="s">
        <v>292</v>
      </c>
      <c r="AV3" s="19" t="s">
        <v>293</v>
      </c>
      <c r="AW3" s="19" t="s">
        <v>294</v>
      </c>
    </row>
    <row r="4" spans="1:49">
      <c r="A4">
        <v>20</v>
      </c>
      <c r="B4">
        <v>20</v>
      </c>
      <c r="C4">
        <v>15</v>
      </c>
      <c r="D4">
        <v>27</v>
      </c>
      <c r="F4">
        <v>19</v>
      </c>
      <c r="G4">
        <f>F4</f>
        <v>19</v>
      </c>
      <c r="H4">
        <v>14</v>
      </c>
      <c r="I4">
        <v>26</v>
      </c>
      <c r="K4">
        <v>18</v>
      </c>
      <c r="L4">
        <f>K4</f>
        <v>18</v>
      </c>
      <c r="M4">
        <v>13</v>
      </c>
      <c r="N4">
        <v>25</v>
      </c>
      <c r="P4">
        <v>17</v>
      </c>
      <c r="Q4">
        <f>P4</f>
        <v>17</v>
      </c>
      <c r="R4">
        <v>12</v>
      </c>
      <c r="S4">
        <v>24</v>
      </c>
      <c r="U4">
        <v>16</v>
      </c>
      <c r="V4">
        <f>U4</f>
        <v>16</v>
      </c>
      <c r="W4">
        <v>12</v>
      </c>
      <c r="X4">
        <v>22</v>
      </c>
      <c r="Z4">
        <v>15</v>
      </c>
      <c r="AA4">
        <f>Z4</f>
        <v>15</v>
      </c>
      <c r="AB4">
        <v>11</v>
      </c>
      <c r="AC4">
        <v>21</v>
      </c>
      <c r="AE4">
        <v>14</v>
      </c>
      <c r="AF4">
        <f>AE4</f>
        <v>14</v>
      </c>
      <c r="AG4">
        <v>10</v>
      </c>
      <c r="AH4">
        <v>20</v>
      </c>
      <c r="AJ4">
        <v>12</v>
      </c>
      <c r="AK4">
        <f>AJ4</f>
        <v>12</v>
      </c>
      <c r="AL4">
        <v>8</v>
      </c>
      <c r="AM4">
        <v>18</v>
      </c>
      <c r="AO4">
        <v>10</v>
      </c>
      <c r="AP4">
        <f>AO4</f>
        <v>10</v>
      </c>
      <c r="AQ4">
        <v>7</v>
      </c>
      <c r="AR4">
        <v>15</v>
      </c>
      <c r="AT4">
        <v>8</v>
      </c>
      <c r="AU4">
        <f>AT4</f>
        <v>8</v>
      </c>
      <c r="AV4">
        <v>5</v>
      </c>
      <c r="AW4">
        <v>13</v>
      </c>
    </row>
    <row r="5" spans="1:49">
      <c r="A5">
        <v>20</v>
      </c>
      <c r="B5">
        <f>B4-1</f>
        <v>19</v>
      </c>
      <c r="C5">
        <v>14</v>
      </c>
      <c r="D5">
        <v>26</v>
      </c>
      <c r="F5">
        <v>19</v>
      </c>
      <c r="G5">
        <f>G4-1</f>
        <v>18</v>
      </c>
      <c r="H5">
        <v>14</v>
      </c>
      <c r="I5">
        <v>25</v>
      </c>
      <c r="K5">
        <v>18</v>
      </c>
      <c r="L5">
        <f t="shared" ref="L5:L20" si="0">L4-1</f>
        <v>17</v>
      </c>
      <c r="M5">
        <v>13</v>
      </c>
      <c r="N5">
        <v>24</v>
      </c>
      <c r="P5">
        <v>17</v>
      </c>
      <c r="Q5">
        <f t="shared" ref="Q5:Q19" si="1">Q4-1</f>
        <v>16</v>
      </c>
      <c r="R5">
        <v>12</v>
      </c>
      <c r="S5">
        <v>23</v>
      </c>
      <c r="U5">
        <v>16</v>
      </c>
      <c r="V5">
        <f t="shared" ref="V5:V18" si="2">V4-1</f>
        <v>15</v>
      </c>
      <c r="W5">
        <v>11</v>
      </c>
      <c r="X5">
        <v>22</v>
      </c>
      <c r="Z5">
        <v>15</v>
      </c>
      <c r="AA5">
        <f t="shared" ref="AA5:AA17" si="3">AA4-1</f>
        <v>14</v>
      </c>
      <c r="AB5">
        <v>10</v>
      </c>
      <c r="AC5">
        <v>21</v>
      </c>
      <c r="AE5">
        <v>14</v>
      </c>
      <c r="AF5">
        <f t="shared" ref="AF5:AF16" si="4">AF4-1</f>
        <v>13</v>
      </c>
      <c r="AG5">
        <v>10</v>
      </c>
      <c r="AH5">
        <v>19</v>
      </c>
      <c r="AJ5">
        <v>12</v>
      </c>
      <c r="AK5">
        <f t="shared" ref="AK5:AK14" si="5">AK4-1</f>
        <v>11</v>
      </c>
      <c r="AL5">
        <v>8</v>
      </c>
      <c r="AM5">
        <v>17</v>
      </c>
      <c r="AO5">
        <v>10</v>
      </c>
      <c r="AP5">
        <f t="shared" ref="AP5:AP12" si="6">AP4-1</f>
        <v>9</v>
      </c>
      <c r="AQ5">
        <v>6</v>
      </c>
      <c r="AR5">
        <v>15</v>
      </c>
      <c r="AT5">
        <v>8</v>
      </c>
      <c r="AU5">
        <f t="shared" ref="AU5:AU10" si="7">AU4-1</f>
        <v>7</v>
      </c>
      <c r="AV5">
        <v>5</v>
      </c>
      <c r="AW5">
        <v>12</v>
      </c>
    </row>
    <row r="6" spans="1:49">
      <c r="A6">
        <v>20</v>
      </c>
      <c r="B6">
        <f t="shared" ref="B6:B22" si="8">B5-1</f>
        <v>18</v>
      </c>
      <c r="C6">
        <v>14</v>
      </c>
      <c r="D6">
        <v>26</v>
      </c>
      <c r="F6">
        <v>19</v>
      </c>
      <c r="G6">
        <f t="shared" ref="G6:G21" si="9">G5-1</f>
        <v>17</v>
      </c>
      <c r="H6">
        <v>13</v>
      </c>
      <c r="I6">
        <v>25</v>
      </c>
      <c r="K6">
        <v>18</v>
      </c>
      <c r="L6">
        <f t="shared" si="0"/>
        <v>16</v>
      </c>
      <c r="M6">
        <v>12</v>
      </c>
      <c r="N6">
        <v>24</v>
      </c>
      <c r="P6">
        <v>17</v>
      </c>
      <c r="Q6">
        <f t="shared" si="1"/>
        <v>15</v>
      </c>
      <c r="R6">
        <v>12</v>
      </c>
      <c r="S6">
        <v>22</v>
      </c>
      <c r="U6">
        <v>16</v>
      </c>
      <c r="V6">
        <f t="shared" si="2"/>
        <v>14</v>
      </c>
      <c r="W6">
        <v>11</v>
      </c>
      <c r="X6">
        <v>21</v>
      </c>
      <c r="Z6">
        <v>15</v>
      </c>
      <c r="AA6">
        <f t="shared" si="3"/>
        <v>13</v>
      </c>
      <c r="AB6">
        <v>10</v>
      </c>
      <c r="AC6">
        <v>20</v>
      </c>
      <c r="AE6">
        <v>14</v>
      </c>
      <c r="AF6">
        <f t="shared" si="4"/>
        <v>12</v>
      </c>
      <c r="AG6">
        <v>9</v>
      </c>
      <c r="AH6">
        <v>19</v>
      </c>
      <c r="AJ6">
        <v>12</v>
      </c>
      <c r="AK6">
        <f t="shared" si="5"/>
        <v>10</v>
      </c>
      <c r="AL6">
        <v>8</v>
      </c>
      <c r="AM6">
        <v>16</v>
      </c>
      <c r="AO6">
        <v>10</v>
      </c>
      <c r="AP6">
        <f t="shared" si="6"/>
        <v>8</v>
      </c>
      <c r="AQ6">
        <v>6</v>
      </c>
      <c r="AR6">
        <v>14</v>
      </c>
      <c r="AT6">
        <v>8</v>
      </c>
      <c r="AU6">
        <f t="shared" si="7"/>
        <v>6</v>
      </c>
      <c r="AV6">
        <v>4</v>
      </c>
      <c r="AW6">
        <v>11</v>
      </c>
    </row>
    <row r="7" spans="1:49">
      <c r="A7">
        <v>20</v>
      </c>
      <c r="B7">
        <f t="shared" si="8"/>
        <v>17</v>
      </c>
      <c r="C7">
        <v>14</v>
      </c>
      <c r="D7">
        <v>25</v>
      </c>
      <c r="F7">
        <v>19</v>
      </c>
      <c r="G7">
        <f t="shared" si="9"/>
        <v>16</v>
      </c>
      <c r="H7">
        <v>13</v>
      </c>
      <c r="I7">
        <v>24</v>
      </c>
      <c r="K7">
        <v>18</v>
      </c>
      <c r="L7">
        <f t="shared" si="0"/>
        <v>15</v>
      </c>
      <c r="M7">
        <v>12</v>
      </c>
      <c r="N7">
        <v>23</v>
      </c>
      <c r="P7">
        <v>17</v>
      </c>
      <c r="Q7">
        <f t="shared" si="1"/>
        <v>14</v>
      </c>
      <c r="R7">
        <v>11</v>
      </c>
      <c r="S7">
        <v>22</v>
      </c>
      <c r="U7">
        <v>16</v>
      </c>
      <c r="V7">
        <f t="shared" si="2"/>
        <v>13</v>
      </c>
      <c r="W7">
        <v>10</v>
      </c>
      <c r="X7">
        <v>21</v>
      </c>
      <c r="Z7">
        <v>15</v>
      </c>
      <c r="AA7">
        <f t="shared" si="3"/>
        <v>12</v>
      </c>
      <c r="AB7">
        <v>9</v>
      </c>
      <c r="AC7">
        <v>19</v>
      </c>
      <c r="AE7">
        <v>14</v>
      </c>
      <c r="AF7">
        <f t="shared" si="4"/>
        <v>11</v>
      </c>
      <c r="AG7">
        <v>9</v>
      </c>
      <c r="AH7">
        <v>18</v>
      </c>
      <c r="AJ7">
        <v>12</v>
      </c>
      <c r="AK7">
        <f t="shared" si="5"/>
        <v>9</v>
      </c>
      <c r="AL7">
        <v>7</v>
      </c>
      <c r="AM7">
        <v>15</v>
      </c>
      <c r="AO7">
        <v>10</v>
      </c>
      <c r="AP7">
        <f t="shared" si="6"/>
        <v>7</v>
      </c>
      <c r="AQ7">
        <v>6</v>
      </c>
      <c r="AR7">
        <v>13</v>
      </c>
      <c r="AT7">
        <v>8</v>
      </c>
      <c r="AU7">
        <f t="shared" si="7"/>
        <v>5</v>
      </c>
      <c r="AV7">
        <v>4</v>
      </c>
      <c r="AW7">
        <v>10</v>
      </c>
    </row>
    <row r="8" spans="1:49">
      <c r="A8">
        <v>20</v>
      </c>
      <c r="B8">
        <f t="shared" si="8"/>
        <v>16</v>
      </c>
      <c r="C8">
        <v>13</v>
      </c>
      <c r="D8">
        <v>24</v>
      </c>
      <c r="F8">
        <v>19</v>
      </c>
      <c r="G8">
        <f t="shared" si="9"/>
        <v>15</v>
      </c>
      <c r="H8">
        <v>12</v>
      </c>
      <c r="I8">
        <v>23</v>
      </c>
      <c r="K8">
        <v>18</v>
      </c>
      <c r="L8">
        <f t="shared" si="0"/>
        <v>14</v>
      </c>
      <c r="M8">
        <v>11</v>
      </c>
      <c r="N8">
        <v>22</v>
      </c>
      <c r="P8">
        <v>17</v>
      </c>
      <c r="Q8">
        <f t="shared" si="1"/>
        <v>13</v>
      </c>
      <c r="R8">
        <v>11</v>
      </c>
      <c r="S8">
        <v>21</v>
      </c>
      <c r="U8">
        <v>16</v>
      </c>
      <c r="V8">
        <f t="shared" si="2"/>
        <v>12</v>
      </c>
      <c r="W8">
        <v>10</v>
      </c>
      <c r="X8">
        <v>21</v>
      </c>
      <c r="Z8">
        <v>15</v>
      </c>
      <c r="AA8">
        <f t="shared" si="3"/>
        <v>11</v>
      </c>
      <c r="AB8">
        <v>9</v>
      </c>
      <c r="AC8">
        <v>18</v>
      </c>
      <c r="AE8">
        <v>14</v>
      </c>
      <c r="AF8">
        <f t="shared" si="4"/>
        <v>10</v>
      </c>
      <c r="AG8">
        <v>8</v>
      </c>
      <c r="AH8">
        <v>17</v>
      </c>
      <c r="AJ8">
        <v>12</v>
      </c>
      <c r="AK8">
        <f t="shared" si="5"/>
        <v>8</v>
      </c>
      <c r="AL8">
        <v>7</v>
      </c>
      <c r="AM8">
        <v>15</v>
      </c>
      <c r="AO8">
        <v>10</v>
      </c>
      <c r="AP8">
        <f t="shared" si="6"/>
        <v>6</v>
      </c>
      <c r="AQ8">
        <v>5</v>
      </c>
      <c r="AR8">
        <v>12</v>
      </c>
      <c r="AT8">
        <v>8</v>
      </c>
      <c r="AU8">
        <f t="shared" si="7"/>
        <v>4</v>
      </c>
      <c r="AV8">
        <v>4</v>
      </c>
    </row>
    <row r="9" spans="1:49">
      <c r="A9">
        <v>20</v>
      </c>
      <c r="B9">
        <f t="shared" si="8"/>
        <v>15</v>
      </c>
      <c r="C9">
        <v>13</v>
      </c>
      <c r="D9">
        <v>24</v>
      </c>
      <c r="F9">
        <v>19</v>
      </c>
      <c r="G9">
        <f t="shared" si="9"/>
        <v>14</v>
      </c>
      <c r="H9">
        <v>12</v>
      </c>
      <c r="I9">
        <v>22</v>
      </c>
      <c r="K9">
        <v>18</v>
      </c>
      <c r="L9">
        <f t="shared" si="0"/>
        <v>13</v>
      </c>
      <c r="M9">
        <v>11</v>
      </c>
      <c r="N9">
        <v>21</v>
      </c>
      <c r="P9">
        <v>17</v>
      </c>
      <c r="Q9">
        <f t="shared" si="1"/>
        <v>12</v>
      </c>
      <c r="R9">
        <v>10</v>
      </c>
      <c r="S9">
        <v>20</v>
      </c>
      <c r="U9">
        <v>16</v>
      </c>
      <c r="V9">
        <f t="shared" si="2"/>
        <v>11</v>
      </c>
      <c r="W9">
        <v>9</v>
      </c>
      <c r="X9">
        <v>19</v>
      </c>
      <c r="Z9">
        <v>15</v>
      </c>
      <c r="AA9">
        <f t="shared" si="3"/>
        <v>10</v>
      </c>
      <c r="AB9">
        <v>8</v>
      </c>
      <c r="AC9">
        <v>17</v>
      </c>
      <c r="AE9">
        <v>14</v>
      </c>
      <c r="AF9">
        <f t="shared" si="4"/>
        <v>9</v>
      </c>
      <c r="AG9">
        <v>8</v>
      </c>
      <c r="AH9">
        <v>16</v>
      </c>
      <c r="AJ9">
        <v>12</v>
      </c>
      <c r="AK9">
        <f t="shared" si="5"/>
        <v>7</v>
      </c>
      <c r="AL9">
        <v>6</v>
      </c>
      <c r="AM9">
        <v>13</v>
      </c>
      <c r="AO9">
        <v>10</v>
      </c>
      <c r="AP9">
        <f t="shared" si="6"/>
        <v>5</v>
      </c>
      <c r="AQ9">
        <v>4</v>
      </c>
      <c r="AT9">
        <v>8</v>
      </c>
      <c r="AU9">
        <f t="shared" si="7"/>
        <v>3</v>
      </c>
      <c r="AV9">
        <v>3</v>
      </c>
    </row>
    <row r="10" spans="1:49">
      <c r="A10">
        <v>20</v>
      </c>
      <c r="B10">
        <f t="shared" si="8"/>
        <v>14</v>
      </c>
      <c r="C10">
        <v>12</v>
      </c>
      <c r="D10">
        <v>23</v>
      </c>
      <c r="F10">
        <v>19</v>
      </c>
      <c r="G10">
        <f t="shared" si="9"/>
        <v>13</v>
      </c>
      <c r="H10">
        <v>11</v>
      </c>
      <c r="I10">
        <v>21</v>
      </c>
      <c r="K10">
        <v>18</v>
      </c>
      <c r="L10">
        <f t="shared" si="0"/>
        <v>12</v>
      </c>
      <c r="M10">
        <v>10</v>
      </c>
      <c r="N10">
        <v>21</v>
      </c>
      <c r="P10">
        <v>17</v>
      </c>
      <c r="Q10">
        <f t="shared" si="1"/>
        <v>11</v>
      </c>
      <c r="R10">
        <v>10</v>
      </c>
      <c r="S10">
        <v>19</v>
      </c>
      <c r="U10">
        <v>16</v>
      </c>
      <c r="V10">
        <f t="shared" si="2"/>
        <v>10</v>
      </c>
      <c r="W10">
        <v>9</v>
      </c>
      <c r="X10">
        <v>18</v>
      </c>
      <c r="Z10">
        <v>15</v>
      </c>
      <c r="AA10">
        <f t="shared" si="3"/>
        <v>9</v>
      </c>
      <c r="AB10">
        <v>8</v>
      </c>
      <c r="AC10">
        <v>19</v>
      </c>
      <c r="AE10">
        <v>14</v>
      </c>
      <c r="AF10">
        <f t="shared" si="4"/>
        <v>8</v>
      </c>
      <c r="AG10">
        <v>7</v>
      </c>
      <c r="AH10">
        <v>15</v>
      </c>
      <c r="AJ10">
        <v>12</v>
      </c>
      <c r="AK10">
        <f t="shared" si="5"/>
        <v>6</v>
      </c>
      <c r="AL10">
        <v>5</v>
      </c>
      <c r="AM10">
        <v>12</v>
      </c>
      <c r="AO10">
        <v>10</v>
      </c>
      <c r="AP10">
        <f t="shared" si="6"/>
        <v>4</v>
      </c>
      <c r="AQ10">
        <v>4</v>
      </c>
      <c r="AT10">
        <v>8</v>
      </c>
      <c r="AU10">
        <f t="shared" si="7"/>
        <v>2</v>
      </c>
    </row>
    <row r="11" spans="1:49">
      <c r="A11">
        <v>20</v>
      </c>
      <c r="B11">
        <f t="shared" si="8"/>
        <v>13</v>
      </c>
      <c r="C11">
        <v>11</v>
      </c>
      <c r="D11">
        <v>22</v>
      </c>
      <c r="F11">
        <v>19</v>
      </c>
      <c r="G11">
        <f t="shared" si="9"/>
        <v>12</v>
      </c>
      <c r="H11">
        <v>11</v>
      </c>
      <c r="I11">
        <v>21</v>
      </c>
      <c r="K11">
        <v>18</v>
      </c>
      <c r="L11">
        <f t="shared" si="0"/>
        <v>11</v>
      </c>
      <c r="M11">
        <v>10</v>
      </c>
      <c r="N11">
        <v>19</v>
      </c>
      <c r="P11">
        <v>17</v>
      </c>
      <c r="Q11">
        <f t="shared" si="1"/>
        <v>10</v>
      </c>
      <c r="R11">
        <v>9</v>
      </c>
      <c r="S11">
        <v>18</v>
      </c>
      <c r="U11">
        <v>16</v>
      </c>
      <c r="V11">
        <f t="shared" si="2"/>
        <v>9</v>
      </c>
      <c r="W11">
        <v>8</v>
      </c>
      <c r="X11">
        <v>19</v>
      </c>
      <c r="Z11">
        <v>15</v>
      </c>
      <c r="AA11">
        <f t="shared" si="3"/>
        <v>8</v>
      </c>
      <c r="AB11">
        <v>7</v>
      </c>
      <c r="AC11">
        <v>15</v>
      </c>
      <c r="AE11">
        <v>14</v>
      </c>
      <c r="AF11">
        <f t="shared" si="4"/>
        <v>7</v>
      </c>
      <c r="AG11">
        <v>6</v>
      </c>
      <c r="AH11">
        <v>14</v>
      </c>
      <c r="AJ11">
        <v>12</v>
      </c>
      <c r="AK11">
        <f t="shared" si="5"/>
        <v>5</v>
      </c>
      <c r="AL11">
        <v>5</v>
      </c>
      <c r="AO11">
        <v>10</v>
      </c>
      <c r="AP11">
        <f t="shared" si="6"/>
        <v>3</v>
      </c>
      <c r="AQ11">
        <v>3</v>
      </c>
    </row>
    <row r="12" spans="1:49">
      <c r="A12">
        <v>20</v>
      </c>
      <c r="B12">
        <f t="shared" si="8"/>
        <v>12</v>
      </c>
      <c r="C12">
        <v>11</v>
      </c>
      <c r="D12">
        <v>21</v>
      </c>
      <c r="F12">
        <v>19</v>
      </c>
      <c r="G12">
        <f t="shared" si="9"/>
        <v>11</v>
      </c>
      <c r="H12">
        <v>10</v>
      </c>
      <c r="I12">
        <v>20</v>
      </c>
      <c r="K12">
        <v>18</v>
      </c>
      <c r="L12">
        <f t="shared" si="0"/>
        <v>10</v>
      </c>
      <c r="M12">
        <v>9</v>
      </c>
      <c r="N12">
        <v>18</v>
      </c>
      <c r="P12">
        <v>17</v>
      </c>
      <c r="Q12">
        <f t="shared" si="1"/>
        <v>9</v>
      </c>
      <c r="R12">
        <v>8</v>
      </c>
      <c r="S12">
        <v>19</v>
      </c>
      <c r="U12">
        <v>16</v>
      </c>
      <c r="V12">
        <f t="shared" si="2"/>
        <v>8</v>
      </c>
      <c r="W12">
        <v>7</v>
      </c>
      <c r="X12">
        <v>16</v>
      </c>
      <c r="Z12">
        <v>15</v>
      </c>
      <c r="AA12">
        <f t="shared" si="3"/>
        <v>7</v>
      </c>
      <c r="AB12">
        <v>7</v>
      </c>
      <c r="AC12">
        <v>14</v>
      </c>
      <c r="AE12">
        <v>14</v>
      </c>
      <c r="AF12">
        <f t="shared" si="4"/>
        <v>6</v>
      </c>
      <c r="AG12">
        <v>6</v>
      </c>
      <c r="AJ12">
        <v>12</v>
      </c>
      <c r="AK12">
        <f t="shared" si="5"/>
        <v>4</v>
      </c>
      <c r="AL12">
        <v>4</v>
      </c>
      <c r="AO12">
        <v>10</v>
      </c>
      <c r="AP12">
        <f t="shared" si="6"/>
        <v>2</v>
      </c>
      <c r="AT12">
        <v>7</v>
      </c>
      <c r="AU12">
        <f>AT12</f>
        <v>7</v>
      </c>
      <c r="AV12">
        <v>4</v>
      </c>
      <c r="AW12">
        <v>12</v>
      </c>
    </row>
    <row r="13" spans="1:49">
      <c r="A13">
        <v>20</v>
      </c>
      <c r="B13">
        <f t="shared" si="8"/>
        <v>11</v>
      </c>
      <c r="C13">
        <v>10</v>
      </c>
      <c r="D13">
        <v>20</v>
      </c>
      <c r="F13">
        <v>19</v>
      </c>
      <c r="G13">
        <f t="shared" si="9"/>
        <v>10</v>
      </c>
      <c r="H13">
        <v>9</v>
      </c>
      <c r="I13">
        <v>19</v>
      </c>
      <c r="K13">
        <v>18</v>
      </c>
      <c r="L13">
        <f t="shared" si="0"/>
        <v>9</v>
      </c>
      <c r="M13">
        <v>9</v>
      </c>
      <c r="N13">
        <v>19</v>
      </c>
      <c r="P13">
        <v>17</v>
      </c>
      <c r="Q13">
        <f t="shared" si="1"/>
        <v>8</v>
      </c>
      <c r="R13">
        <v>8</v>
      </c>
      <c r="S13">
        <v>16</v>
      </c>
      <c r="U13">
        <v>16</v>
      </c>
      <c r="V13">
        <f t="shared" si="2"/>
        <v>7</v>
      </c>
      <c r="W13">
        <v>7</v>
      </c>
      <c r="Z13">
        <v>15</v>
      </c>
      <c r="AA13">
        <f t="shared" si="3"/>
        <v>6</v>
      </c>
      <c r="AB13">
        <v>6</v>
      </c>
      <c r="AE13">
        <v>14</v>
      </c>
      <c r="AF13">
        <f t="shared" si="4"/>
        <v>5</v>
      </c>
      <c r="AG13">
        <v>5</v>
      </c>
      <c r="AJ13">
        <v>12</v>
      </c>
      <c r="AK13">
        <f t="shared" si="5"/>
        <v>3</v>
      </c>
      <c r="AL13">
        <v>3</v>
      </c>
      <c r="AT13">
        <v>7</v>
      </c>
      <c r="AU13">
        <f>AU12-1</f>
        <v>6</v>
      </c>
      <c r="AV13">
        <v>4</v>
      </c>
      <c r="AW13">
        <v>11</v>
      </c>
    </row>
    <row r="14" spans="1:49">
      <c r="A14">
        <v>20</v>
      </c>
      <c r="B14">
        <f t="shared" si="8"/>
        <v>10</v>
      </c>
      <c r="C14">
        <v>10</v>
      </c>
      <c r="D14">
        <v>19</v>
      </c>
      <c r="F14">
        <v>19</v>
      </c>
      <c r="G14">
        <f t="shared" si="9"/>
        <v>9</v>
      </c>
      <c r="H14">
        <v>9</v>
      </c>
      <c r="I14">
        <v>19</v>
      </c>
      <c r="K14">
        <v>18</v>
      </c>
      <c r="L14">
        <f t="shared" si="0"/>
        <v>8</v>
      </c>
      <c r="M14">
        <v>8</v>
      </c>
      <c r="N14">
        <v>16</v>
      </c>
      <c r="P14">
        <v>17</v>
      </c>
      <c r="Q14">
        <f t="shared" si="1"/>
        <v>7</v>
      </c>
      <c r="R14">
        <v>7</v>
      </c>
      <c r="U14">
        <v>16</v>
      </c>
      <c r="V14">
        <f t="shared" si="2"/>
        <v>6</v>
      </c>
      <c r="W14">
        <v>6</v>
      </c>
      <c r="Z14">
        <v>15</v>
      </c>
      <c r="AA14">
        <f t="shared" si="3"/>
        <v>5</v>
      </c>
      <c r="AB14">
        <v>5</v>
      </c>
      <c r="AE14">
        <v>14</v>
      </c>
      <c r="AF14">
        <f t="shared" si="4"/>
        <v>4</v>
      </c>
      <c r="AG14">
        <v>4</v>
      </c>
      <c r="AJ14">
        <v>12</v>
      </c>
      <c r="AK14">
        <f t="shared" si="5"/>
        <v>2</v>
      </c>
      <c r="AL14">
        <v>3</v>
      </c>
      <c r="AT14">
        <v>7</v>
      </c>
      <c r="AU14">
        <f>AU13-1</f>
        <v>5</v>
      </c>
      <c r="AV14">
        <v>4</v>
      </c>
      <c r="AW14">
        <v>10</v>
      </c>
    </row>
    <row r="15" spans="1:49">
      <c r="A15">
        <v>20</v>
      </c>
      <c r="B15">
        <f t="shared" si="8"/>
        <v>9</v>
      </c>
      <c r="C15">
        <v>9</v>
      </c>
      <c r="D15">
        <v>19</v>
      </c>
      <c r="F15">
        <v>19</v>
      </c>
      <c r="G15">
        <f t="shared" si="9"/>
        <v>8</v>
      </c>
      <c r="H15">
        <v>8</v>
      </c>
      <c r="I15">
        <v>16</v>
      </c>
      <c r="K15">
        <v>18</v>
      </c>
      <c r="L15">
        <f t="shared" si="0"/>
        <v>7</v>
      </c>
      <c r="M15">
        <v>7</v>
      </c>
      <c r="P15">
        <v>17</v>
      </c>
      <c r="Q15">
        <f t="shared" si="1"/>
        <v>6</v>
      </c>
      <c r="R15">
        <v>6</v>
      </c>
      <c r="U15">
        <v>16</v>
      </c>
      <c r="V15">
        <f t="shared" si="2"/>
        <v>5</v>
      </c>
      <c r="W15">
        <v>5</v>
      </c>
      <c r="Z15">
        <v>15</v>
      </c>
      <c r="AA15">
        <f t="shared" si="3"/>
        <v>4</v>
      </c>
      <c r="AB15">
        <v>4</v>
      </c>
      <c r="AE15">
        <v>14</v>
      </c>
      <c r="AF15">
        <f t="shared" si="4"/>
        <v>3</v>
      </c>
      <c r="AG15">
        <v>3</v>
      </c>
      <c r="AT15">
        <v>7</v>
      </c>
      <c r="AU15">
        <f>AU14-1</f>
        <v>4</v>
      </c>
      <c r="AV15">
        <v>3</v>
      </c>
    </row>
    <row r="16" spans="1:49">
      <c r="A16">
        <v>20</v>
      </c>
      <c r="B16">
        <f t="shared" si="8"/>
        <v>8</v>
      </c>
      <c r="C16">
        <v>8</v>
      </c>
      <c r="D16">
        <v>16</v>
      </c>
      <c r="F16">
        <v>19</v>
      </c>
      <c r="G16">
        <f t="shared" si="9"/>
        <v>7</v>
      </c>
      <c r="H16">
        <v>7</v>
      </c>
      <c r="K16">
        <v>18</v>
      </c>
      <c r="L16">
        <f t="shared" si="0"/>
        <v>6</v>
      </c>
      <c r="M16">
        <v>6</v>
      </c>
      <c r="P16">
        <v>17</v>
      </c>
      <c r="Q16">
        <f t="shared" si="1"/>
        <v>5</v>
      </c>
      <c r="R16">
        <v>5</v>
      </c>
      <c r="U16">
        <v>16</v>
      </c>
      <c r="V16">
        <f t="shared" si="2"/>
        <v>4</v>
      </c>
      <c r="W16">
        <v>5</v>
      </c>
      <c r="Z16">
        <v>15</v>
      </c>
      <c r="AA16">
        <f t="shared" si="3"/>
        <v>3</v>
      </c>
      <c r="AB16">
        <v>4</v>
      </c>
      <c r="AE16">
        <v>14</v>
      </c>
      <c r="AF16">
        <f t="shared" si="4"/>
        <v>2</v>
      </c>
      <c r="AG16">
        <v>3</v>
      </c>
      <c r="AT16">
        <v>7</v>
      </c>
      <c r="AU16">
        <f>AU15-1</f>
        <v>3</v>
      </c>
      <c r="AV16">
        <v>3</v>
      </c>
    </row>
    <row r="17" spans="1:49">
      <c r="A17">
        <v>20</v>
      </c>
      <c r="B17">
        <f t="shared" si="8"/>
        <v>7</v>
      </c>
      <c r="C17">
        <v>7</v>
      </c>
      <c r="F17">
        <v>19</v>
      </c>
      <c r="G17">
        <f t="shared" si="9"/>
        <v>6</v>
      </c>
      <c r="H17">
        <v>7</v>
      </c>
      <c r="K17">
        <v>18</v>
      </c>
      <c r="L17">
        <f t="shared" si="0"/>
        <v>5</v>
      </c>
      <c r="M17">
        <v>6</v>
      </c>
      <c r="P17">
        <v>17</v>
      </c>
      <c r="Q17">
        <f t="shared" si="1"/>
        <v>4</v>
      </c>
      <c r="R17">
        <v>5</v>
      </c>
      <c r="U17">
        <v>16</v>
      </c>
      <c r="V17">
        <f t="shared" si="2"/>
        <v>3</v>
      </c>
      <c r="W17">
        <v>4</v>
      </c>
      <c r="Z17">
        <v>15</v>
      </c>
      <c r="AA17">
        <f t="shared" si="3"/>
        <v>2</v>
      </c>
      <c r="AB17">
        <v>3</v>
      </c>
      <c r="AT17">
        <v>7</v>
      </c>
      <c r="AU17">
        <f>AU16-1</f>
        <v>2</v>
      </c>
    </row>
    <row r="18" spans="1:49">
      <c r="A18">
        <v>20</v>
      </c>
      <c r="B18">
        <f t="shared" si="8"/>
        <v>6</v>
      </c>
      <c r="C18">
        <v>7</v>
      </c>
      <c r="F18">
        <v>19</v>
      </c>
      <c r="G18">
        <f t="shared" si="9"/>
        <v>5</v>
      </c>
      <c r="H18">
        <v>6</v>
      </c>
      <c r="K18">
        <v>18</v>
      </c>
      <c r="L18">
        <f t="shared" si="0"/>
        <v>4</v>
      </c>
      <c r="M18">
        <v>5</v>
      </c>
      <c r="P18">
        <v>17</v>
      </c>
      <c r="Q18">
        <f t="shared" si="1"/>
        <v>3</v>
      </c>
      <c r="R18">
        <v>4</v>
      </c>
      <c r="U18">
        <v>16</v>
      </c>
      <c r="V18">
        <f t="shared" si="2"/>
        <v>2</v>
      </c>
      <c r="W18">
        <v>3</v>
      </c>
      <c r="AE18">
        <v>13</v>
      </c>
      <c r="AF18">
        <f>AE18</f>
        <v>13</v>
      </c>
      <c r="AG18">
        <v>9</v>
      </c>
      <c r="AH18">
        <v>19</v>
      </c>
      <c r="AJ18">
        <v>11</v>
      </c>
      <c r="AK18">
        <f>AJ18</f>
        <v>11</v>
      </c>
      <c r="AL18">
        <v>8</v>
      </c>
      <c r="AM18">
        <v>16</v>
      </c>
      <c r="AO18">
        <v>9</v>
      </c>
      <c r="AP18">
        <f>AO18</f>
        <v>9</v>
      </c>
      <c r="AQ18">
        <v>6</v>
      </c>
      <c r="AR18">
        <v>14</v>
      </c>
    </row>
    <row r="19" spans="1:49">
      <c r="A19">
        <v>20</v>
      </c>
      <c r="B19">
        <f t="shared" si="8"/>
        <v>5</v>
      </c>
      <c r="C19">
        <v>6</v>
      </c>
      <c r="F19">
        <v>19</v>
      </c>
      <c r="G19">
        <f t="shared" si="9"/>
        <v>4</v>
      </c>
      <c r="H19">
        <v>5</v>
      </c>
      <c r="K19">
        <v>18</v>
      </c>
      <c r="L19">
        <f t="shared" si="0"/>
        <v>3</v>
      </c>
      <c r="M19">
        <v>4</v>
      </c>
      <c r="P19">
        <v>17</v>
      </c>
      <c r="Q19">
        <f t="shared" si="1"/>
        <v>2</v>
      </c>
      <c r="R19">
        <v>3</v>
      </c>
      <c r="AE19">
        <v>13</v>
      </c>
      <c r="AF19">
        <f t="shared" ref="AF19:AF29" si="10">AF18-1</f>
        <v>12</v>
      </c>
      <c r="AG19">
        <v>8</v>
      </c>
      <c r="AH19">
        <v>19</v>
      </c>
      <c r="AJ19">
        <v>11</v>
      </c>
      <c r="AK19">
        <f t="shared" ref="AK19:AK27" si="11">AK18-1</f>
        <v>10</v>
      </c>
      <c r="AL19">
        <v>7</v>
      </c>
      <c r="AM19">
        <v>16</v>
      </c>
      <c r="AO19">
        <v>9</v>
      </c>
      <c r="AP19">
        <f t="shared" ref="AP19:AP25" si="12">AP18-1</f>
        <v>8</v>
      </c>
      <c r="AQ19">
        <v>6</v>
      </c>
      <c r="AR19">
        <v>13</v>
      </c>
      <c r="AT19">
        <v>6</v>
      </c>
      <c r="AU19">
        <f>AT19</f>
        <v>6</v>
      </c>
      <c r="AV19">
        <v>4</v>
      </c>
      <c r="AW19">
        <v>10</v>
      </c>
    </row>
    <row r="20" spans="1:49">
      <c r="A20">
        <v>20</v>
      </c>
      <c r="B20">
        <f t="shared" si="8"/>
        <v>4</v>
      </c>
      <c r="C20">
        <v>5</v>
      </c>
      <c r="F20">
        <v>19</v>
      </c>
      <c r="G20">
        <f t="shared" si="9"/>
        <v>3</v>
      </c>
      <c r="H20">
        <v>4</v>
      </c>
      <c r="K20">
        <v>18</v>
      </c>
      <c r="L20">
        <f t="shared" si="0"/>
        <v>2</v>
      </c>
      <c r="M20">
        <v>3</v>
      </c>
      <c r="AE20">
        <v>13</v>
      </c>
      <c r="AF20">
        <f t="shared" si="10"/>
        <v>11</v>
      </c>
      <c r="AG20">
        <v>8</v>
      </c>
      <c r="AH20">
        <v>18</v>
      </c>
      <c r="AJ20">
        <v>11</v>
      </c>
      <c r="AK20">
        <f t="shared" si="11"/>
        <v>9</v>
      </c>
      <c r="AL20">
        <v>7</v>
      </c>
      <c r="AM20">
        <v>15</v>
      </c>
      <c r="AO20">
        <v>9</v>
      </c>
      <c r="AP20">
        <f t="shared" si="12"/>
        <v>7</v>
      </c>
      <c r="AQ20">
        <v>5</v>
      </c>
      <c r="AR20">
        <v>13</v>
      </c>
      <c r="AT20">
        <v>6</v>
      </c>
      <c r="AU20">
        <f>AU19-1</f>
        <v>5</v>
      </c>
      <c r="AV20">
        <v>4</v>
      </c>
      <c r="AW20">
        <v>9</v>
      </c>
    </row>
    <row r="21" spans="1:49">
      <c r="A21">
        <v>20</v>
      </c>
      <c r="B21">
        <f t="shared" si="8"/>
        <v>3</v>
      </c>
      <c r="C21">
        <v>4</v>
      </c>
      <c r="F21">
        <v>19</v>
      </c>
      <c r="G21">
        <f t="shared" si="9"/>
        <v>2</v>
      </c>
      <c r="H21">
        <v>3</v>
      </c>
      <c r="AE21">
        <v>13</v>
      </c>
      <c r="AF21">
        <f t="shared" si="10"/>
        <v>10</v>
      </c>
      <c r="AG21">
        <v>8</v>
      </c>
      <c r="AH21">
        <v>17</v>
      </c>
      <c r="AJ21">
        <v>11</v>
      </c>
      <c r="AK21">
        <f t="shared" si="11"/>
        <v>8</v>
      </c>
      <c r="AL21">
        <v>6</v>
      </c>
      <c r="AM21">
        <v>14</v>
      </c>
      <c r="AO21">
        <v>9</v>
      </c>
      <c r="AP21">
        <f t="shared" si="12"/>
        <v>6</v>
      </c>
      <c r="AQ21">
        <v>5</v>
      </c>
      <c r="AR21">
        <v>12</v>
      </c>
      <c r="AT21">
        <v>6</v>
      </c>
      <c r="AU21">
        <f>AU20-1</f>
        <v>4</v>
      </c>
      <c r="AV21">
        <v>3</v>
      </c>
      <c r="AW21">
        <v>8</v>
      </c>
    </row>
    <row r="22" spans="1:49">
      <c r="A22">
        <v>20</v>
      </c>
      <c r="B22">
        <f t="shared" si="8"/>
        <v>2</v>
      </c>
      <c r="C22">
        <v>3</v>
      </c>
      <c r="AE22">
        <v>13</v>
      </c>
      <c r="AF22">
        <f t="shared" si="10"/>
        <v>9</v>
      </c>
      <c r="AG22">
        <v>7</v>
      </c>
      <c r="AH22">
        <v>16</v>
      </c>
      <c r="AJ22">
        <v>11</v>
      </c>
      <c r="AK22">
        <f t="shared" si="11"/>
        <v>7</v>
      </c>
      <c r="AL22">
        <v>6</v>
      </c>
      <c r="AM22">
        <v>13</v>
      </c>
      <c r="AO22">
        <v>9</v>
      </c>
      <c r="AP22">
        <f t="shared" si="12"/>
        <v>5</v>
      </c>
      <c r="AQ22">
        <v>4</v>
      </c>
      <c r="AT22">
        <v>6</v>
      </c>
      <c r="AU22">
        <f>AU21-1</f>
        <v>3</v>
      </c>
      <c r="AV22">
        <v>3</v>
      </c>
    </row>
    <row r="23" spans="1:49">
      <c r="AE23">
        <v>13</v>
      </c>
      <c r="AF23">
        <f t="shared" si="10"/>
        <v>8</v>
      </c>
      <c r="AG23">
        <v>7</v>
      </c>
      <c r="AH23">
        <v>15</v>
      </c>
      <c r="AJ23">
        <v>11</v>
      </c>
      <c r="AK23">
        <f t="shared" si="11"/>
        <v>6</v>
      </c>
      <c r="AL23">
        <v>5</v>
      </c>
      <c r="AM23">
        <v>12</v>
      </c>
      <c r="AO23">
        <v>9</v>
      </c>
      <c r="AP23">
        <f t="shared" si="12"/>
        <v>4</v>
      </c>
      <c r="AQ23">
        <v>4</v>
      </c>
      <c r="AT23">
        <v>6</v>
      </c>
      <c r="AU23">
        <f>AU22-1</f>
        <v>2</v>
      </c>
    </row>
    <row r="24" spans="1:49">
      <c r="A24" t="s">
        <v>295</v>
      </c>
      <c r="AE24">
        <v>13</v>
      </c>
      <c r="AF24">
        <f t="shared" si="10"/>
        <v>7</v>
      </c>
      <c r="AG24">
        <v>6</v>
      </c>
      <c r="AH24">
        <v>14</v>
      </c>
      <c r="AJ24">
        <v>11</v>
      </c>
      <c r="AK24">
        <f t="shared" si="11"/>
        <v>5</v>
      </c>
      <c r="AL24">
        <v>5</v>
      </c>
      <c r="AO24">
        <v>9</v>
      </c>
      <c r="AP24">
        <f t="shared" si="12"/>
        <v>3</v>
      </c>
      <c r="AQ24">
        <v>3</v>
      </c>
    </row>
    <row r="25" spans="1:49">
      <c r="AE25">
        <v>13</v>
      </c>
      <c r="AF25">
        <f t="shared" si="10"/>
        <v>6</v>
      </c>
      <c r="AG25">
        <v>6</v>
      </c>
      <c r="AJ25">
        <v>11</v>
      </c>
      <c r="AK25">
        <f t="shared" si="11"/>
        <v>4</v>
      </c>
      <c r="AL25">
        <v>4</v>
      </c>
      <c r="AO25">
        <v>9</v>
      </c>
      <c r="AP25">
        <f t="shared" si="12"/>
        <v>2</v>
      </c>
      <c r="AT25">
        <v>5</v>
      </c>
      <c r="AU25">
        <f>AT25</f>
        <v>5</v>
      </c>
      <c r="AV25">
        <v>3</v>
      </c>
      <c r="AW25">
        <v>9</v>
      </c>
    </row>
    <row r="26" spans="1:49">
      <c r="AE26">
        <v>13</v>
      </c>
      <c r="AF26">
        <f t="shared" si="10"/>
        <v>5</v>
      </c>
      <c r="AG26">
        <v>5</v>
      </c>
      <c r="AJ26">
        <v>11</v>
      </c>
      <c r="AK26">
        <f t="shared" si="11"/>
        <v>3</v>
      </c>
      <c r="AL26">
        <v>3</v>
      </c>
      <c r="AT26">
        <v>5</v>
      </c>
      <c r="AU26">
        <f>AU25-1</f>
        <v>4</v>
      </c>
      <c r="AV26">
        <v>3</v>
      </c>
      <c r="AW26">
        <v>8</v>
      </c>
    </row>
    <row r="27" spans="1:49">
      <c r="AE27">
        <v>13</v>
      </c>
      <c r="AF27">
        <f t="shared" si="10"/>
        <v>4</v>
      </c>
      <c r="AG27">
        <v>4</v>
      </c>
      <c r="AJ27">
        <v>11</v>
      </c>
      <c r="AK27">
        <f t="shared" si="11"/>
        <v>2</v>
      </c>
      <c r="AT27">
        <v>5</v>
      </c>
      <c r="AU27">
        <f>AU26-1</f>
        <v>3</v>
      </c>
    </row>
    <row r="28" spans="1:49">
      <c r="AE28">
        <v>13</v>
      </c>
      <c r="AF28">
        <f t="shared" si="10"/>
        <v>3</v>
      </c>
      <c r="AG28">
        <v>3</v>
      </c>
      <c r="AT28">
        <v>5</v>
      </c>
      <c r="AU28">
        <f>AU27-1</f>
        <v>2</v>
      </c>
    </row>
    <row r="29" spans="1:49">
      <c r="AE29">
        <v>13</v>
      </c>
      <c r="AF29">
        <f t="shared" si="10"/>
        <v>2</v>
      </c>
      <c r="AG29">
        <v>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sheetPr codeName="Sheet46"/>
  <dimension ref="A1:F49"/>
  <sheetViews>
    <sheetView workbookViewId="0">
      <selection activeCell="K19" sqref="K19"/>
    </sheetView>
  </sheetViews>
  <sheetFormatPr defaultRowHeight="14.4"/>
  <sheetData>
    <row r="1" spans="1:6">
      <c r="A1" s="1" t="s">
        <v>3584</v>
      </c>
    </row>
    <row r="3" spans="1:6" ht="26.4">
      <c r="A3" s="812" t="s">
        <v>296</v>
      </c>
      <c r="B3" s="813">
        <v>0.01</v>
      </c>
      <c r="C3" s="813">
        <v>0.05</v>
      </c>
      <c r="D3" s="813">
        <v>0.1</v>
      </c>
      <c r="E3" s="813">
        <v>0.15</v>
      </c>
      <c r="F3" s="813">
        <v>0.2</v>
      </c>
    </row>
    <row r="4" spans="1:6">
      <c r="A4" s="813">
        <v>1</v>
      </c>
      <c r="B4" s="814">
        <v>0.995</v>
      </c>
      <c r="C4" s="814">
        <v>0.97499999999999998</v>
      </c>
      <c r="D4" s="814">
        <v>0.95</v>
      </c>
      <c r="E4" s="814">
        <v>0.92500000000000004</v>
      </c>
      <c r="F4" s="814">
        <v>0.9</v>
      </c>
    </row>
    <row r="5" spans="1:6">
      <c r="A5" s="813">
        <v>2</v>
      </c>
      <c r="B5" s="814">
        <v>0.92900000000000005</v>
      </c>
      <c r="C5" s="814">
        <v>0.84199999999999997</v>
      </c>
      <c r="D5" s="814">
        <v>0.77600000000000002</v>
      </c>
      <c r="E5" s="814">
        <v>0.72599999999999998</v>
      </c>
      <c r="F5" s="814">
        <v>0.68400000000000005</v>
      </c>
    </row>
    <row r="6" spans="1:6">
      <c r="A6" s="813">
        <v>3</v>
      </c>
      <c r="B6" s="814">
        <v>0.82799999999999996</v>
      </c>
      <c r="C6" s="814">
        <v>0.70799999999999996</v>
      </c>
      <c r="D6" s="814">
        <v>0.64200000000000002</v>
      </c>
      <c r="E6" s="814">
        <v>0.59699999999999998</v>
      </c>
      <c r="F6" s="814">
        <v>0.56499999999999995</v>
      </c>
    </row>
    <row r="7" spans="1:6">
      <c r="A7" s="813">
        <v>4</v>
      </c>
      <c r="B7" s="814">
        <v>0.73299999999999998</v>
      </c>
      <c r="C7" s="814">
        <v>0.624</v>
      </c>
      <c r="D7" s="814">
        <v>0.56399999999999995</v>
      </c>
      <c r="E7" s="814">
        <v>0.52500000000000002</v>
      </c>
      <c r="F7" s="814">
        <v>0.49399999999999999</v>
      </c>
    </row>
    <row r="8" spans="1:6">
      <c r="A8" s="813">
        <v>5</v>
      </c>
      <c r="B8" s="814">
        <v>0.66900000000000004</v>
      </c>
      <c r="C8" s="814">
        <v>0.56499999999999995</v>
      </c>
      <c r="D8" s="814">
        <v>0.51</v>
      </c>
      <c r="E8" s="814">
        <v>0.47399999999999998</v>
      </c>
      <c r="F8" s="814">
        <v>0.44600000000000001</v>
      </c>
    </row>
    <row r="9" spans="1:6">
      <c r="A9" s="813">
        <v>6</v>
      </c>
      <c r="B9" s="814">
        <v>0.61799999999999999</v>
      </c>
      <c r="C9" s="814">
        <v>0.52100000000000002</v>
      </c>
      <c r="D9" s="814">
        <v>0.47</v>
      </c>
      <c r="E9" s="814">
        <v>0.436</v>
      </c>
      <c r="F9" s="814">
        <v>0.41</v>
      </c>
    </row>
    <row r="10" spans="1:6">
      <c r="A10" s="813">
        <v>7</v>
      </c>
      <c r="B10" s="814">
        <v>0.57699999999999996</v>
      </c>
      <c r="C10" s="814">
        <v>0.48599999999999999</v>
      </c>
      <c r="D10" s="814">
        <v>0.438</v>
      </c>
      <c r="E10" s="814">
        <v>0.40500000000000003</v>
      </c>
      <c r="F10" s="814">
        <v>0.38100000000000001</v>
      </c>
    </row>
    <row r="11" spans="1:6">
      <c r="A11" s="813">
        <v>8</v>
      </c>
      <c r="B11" s="814">
        <v>0.54300000000000004</v>
      </c>
      <c r="C11" s="814">
        <v>0.45700000000000002</v>
      </c>
      <c r="D11" s="814">
        <v>0.41099999999999998</v>
      </c>
      <c r="E11" s="814">
        <v>0.38100000000000001</v>
      </c>
      <c r="F11" s="814">
        <v>0.35799999999999998</v>
      </c>
    </row>
    <row r="12" spans="1:6">
      <c r="A12" s="813">
        <v>9</v>
      </c>
      <c r="B12" s="814">
        <v>0.51400000000000001</v>
      </c>
      <c r="C12" s="814">
        <v>0.432</v>
      </c>
      <c r="D12" s="814">
        <v>0.38800000000000001</v>
      </c>
      <c r="E12" s="814">
        <v>0.36</v>
      </c>
      <c r="F12" s="814">
        <v>0.33900000000000002</v>
      </c>
    </row>
    <row r="13" spans="1:6">
      <c r="A13" s="813">
        <v>10</v>
      </c>
      <c r="B13" s="814">
        <v>0.49</v>
      </c>
      <c r="C13" s="814">
        <v>0.41</v>
      </c>
      <c r="D13" s="814">
        <v>0.36799999999999999</v>
      </c>
      <c r="E13" s="814">
        <v>0.34200000000000003</v>
      </c>
      <c r="F13" s="814">
        <v>0.32200000000000001</v>
      </c>
    </row>
    <row r="14" spans="1:6">
      <c r="A14" s="813">
        <v>11</v>
      </c>
      <c r="B14" s="814">
        <v>0.46800000000000003</v>
      </c>
      <c r="C14" s="814">
        <v>0.39100000000000001</v>
      </c>
      <c r="D14" s="814">
        <v>0.35199999999999998</v>
      </c>
      <c r="E14" s="814">
        <v>0.32600000000000001</v>
      </c>
      <c r="F14" s="814">
        <v>0.307</v>
      </c>
    </row>
    <row r="15" spans="1:6">
      <c r="A15" s="813">
        <v>12</v>
      </c>
      <c r="B15" s="814">
        <v>0.45</v>
      </c>
      <c r="C15" s="814">
        <v>0.375</v>
      </c>
      <c r="D15" s="814">
        <v>0.33800000000000002</v>
      </c>
      <c r="E15" s="814">
        <v>0.313</v>
      </c>
      <c r="F15" s="814">
        <v>0.29499999999999998</v>
      </c>
    </row>
    <row r="16" spans="1:6">
      <c r="A16" s="813">
        <v>13</v>
      </c>
      <c r="B16" s="814">
        <v>0.433</v>
      </c>
      <c r="C16" s="814">
        <v>0.36099999999999999</v>
      </c>
      <c r="D16" s="814">
        <v>0.32500000000000001</v>
      </c>
      <c r="E16" s="814">
        <v>0.30199999999999999</v>
      </c>
      <c r="F16" s="814">
        <v>0.28399999999999997</v>
      </c>
    </row>
    <row r="17" spans="1:6">
      <c r="A17" s="813">
        <v>14</v>
      </c>
      <c r="B17" s="814">
        <v>0.41799999999999998</v>
      </c>
      <c r="C17" s="814">
        <v>0.34899999999999998</v>
      </c>
      <c r="D17" s="814">
        <v>0.314</v>
      </c>
      <c r="E17" s="814">
        <v>0.29199999999999998</v>
      </c>
      <c r="F17" s="814">
        <v>0.27400000000000002</v>
      </c>
    </row>
    <row r="18" spans="1:6">
      <c r="A18" s="813">
        <v>15</v>
      </c>
      <c r="B18" s="814">
        <v>0.40400000000000003</v>
      </c>
      <c r="C18" s="814">
        <v>0.33800000000000002</v>
      </c>
      <c r="D18" s="814">
        <v>0.30399999999999999</v>
      </c>
      <c r="E18" s="814">
        <v>0.28299999999999997</v>
      </c>
      <c r="F18" s="814">
        <v>0.26600000000000001</v>
      </c>
    </row>
    <row r="19" spans="1:6">
      <c r="A19" s="813">
        <v>16</v>
      </c>
      <c r="B19" s="814">
        <v>0.39200000000000002</v>
      </c>
      <c r="C19" s="814">
        <v>0.32800000000000001</v>
      </c>
      <c r="D19" s="814">
        <v>0.29499999999999998</v>
      </c>
      <c r="E19" s="814">
        <v>0.27400000000000002</v>
      </c>
      <c r="F19" s="814">
        <v>0.25800000000000001</v>
      </c>
    </row>
    <row r="20" spans="1:6" ht="15" customHeight="1">
      <c r="A20" s="813">
        <v>17</v>
      </c>
      <c r="B20" s="814">
        <v>0.38100000000000001</v>
      </c>
      <c r="C20" s="814">
        <v>0.318</v>
      </c>
      <c r="D20" s="814">
        <v>0.28599999999999998</v>
      </c>
      <c r="E20" s="814">
        <v>0.26600000000000001</v>
      </c>
      <c r="F20" s="814">
        <v>0.25</v>
      </c>
    </row>
    <row r="21" spans="1:6" ht="15" customHeight="1">
      <c r="A21" s="813">
        <v>18</v>
      </c>
      <c r="B21" s="814">
        <v>0.371</v>
      </c>
      <c r="C21" s="814">
        <v>0.309</v>
      </c>
      <c r="D21" s="814">
        <v>0.27800000000000002</v>
      </c>
      <c r="E21" s="814">
        <v>0.25900000000000001</v>
      </c>
      <c r="F21" s="814">
        <v>0.24399999999999999</v>
      </c>
    </row>
    <row r="22" spans="1:6" ht="15" customHeight="1">
      <c r="A22" s="813">
        <v>19</v>
      </c>
      <c r="B22" s="814">
        <v>0.36299999999999999</v>
      </c>
      <c r="C22" s="814">
        <v>0.30099999999999999</v>
      </c>
      <c r="D22" s="814">
        <v>0.27200000000000002</v>
      </c>
      <c r="E22" s="814">
        <v>0.252</v>
      </c>
      <c r="F22" s="814">
        <v>0.23699999999999999</v>
      </c>
    </row>
    <row r="23" spans="1:6" ht="15" customHeight="1">
      <c r="A23" s="813">
        <v>20</v>
      </c>
      <c r="B23" s="814">
        <v>0.35599999999999998</v>
      </c>
      <c r="C23" s="814">
        <v>0.29399999999999998</v>
      </c>
      <c r="D23" s="814">
        <v>0.26400000000000001</v>
      </c>
      <c r="E23" s="814">
        <v>0.246</v>
      </c>
      <c r="F23" s="814">
        <v>0.23100000000000001</v>
      </c>
    </row>
    <row r="24" spans="1:6">
      <c r="A24" s="813">
        <v>25</v>
      </c>
      <c r="B24" s="814">
        <v>0.32</v>
      </c>
      <c r="C24" s="814">
        <v>0.27</v>
      </c>
      <c r="D24" s="814">
        <v>0.24</v>
      </c>
      <c r="E24" s="814">
        <v>0.22</v>
      </c>
      <c r="F24" s="814">
        <v>0.21</v>
      </c>
    </row>
    <row r="25" spans="1:6">
      <c r="A25" s="813">
        <v>30</v>
      </c>
      <c r="B25" s="814">
        <v>0.28999999999999998</v>
      </c>
      <c r="C25" s="814">
        <v>0.24</v>
      </c>
      <c r="D25" s="814">
        <v>0.22</v>
      </c>
      <c r="E25" s="814">
        <v>0.2</v>
      </c>
      <c r="F25" s="814">
        <v>0.19</v>
      </c>
    </row>
    <row r="26" spans="1:6">
      <c r="A26" s="813">
        <v>35</v>
      </c>
      <c r="B26" s="814">
        <v>0.27</v>
      </c>
      <c r="C26" s="814">
        <v>0.23</v>
      </c>
      <c r="D26" s="814">
        <v>0.21</v>
      </c>
      <c r="E26" s="814">
        <v>0.19</v>
      </c>
      <c r="F26" s="814">
        <v>0.18</v>
      </c>
    </row>
    <row r="27" spans="1:6">
      <c r="A27" s="813">
        <v>40</v>
      </c>
      <c r="B27" s="814">
        <v>0.25</v>
      </c>
      <c r="C27" s="814">
        <v>0.21</v>
      </c>
      <c r="D27" s="814">
        <v>0.19</v>
      </c>
      <c r="E27" s="814">
        <v>0.18</v>
      </c>
      <c r="F27" s="814">
        <v>0.17</v>
      </c>
    </row>
    <row r="28" spans="1:6">
      <c r="A28" s="813">
        <v>45</v>
      </c>
      <c r="B28" s="814">
        <v>0.24</v>
      </c>
      <c r="C28" s="814">
        <v>0.2</v>
      </c>
      <c r="D28" s="814">
        <v>0.18</v>
      </c>
      <c r="E28" s="814">
        <v>0.17</v>
      </c>
      <c r="F28" s="814">
        <v>0.16</v>
      </c>
    </row>
    <row r="29" spans="1:6">
      <c r="A29" s="813">
        <v>50</v>
      </c>
      <c r="B29" s="814">
        <v>0.23</v>
      </c>
      <c r="C29" s="814">
        <v>0.19</v>
      </c>
      <c r="D29" s="814">
        <v>0.17</v>
      </c>
      <c r="E29" s="814">
        <v>0.16</v>
      </c>
      <c r="F29" s="814">
        <v>0.15</v>
      </c>
    </row>
    <row r="30" spans="1:6">
      <c r="A30" s="1601" t="s">
        <v>1927</v>
      </c>
      <c r="B30" s="817">
        <v>1.63</v>
      </c>
      <c r="C30" s="818">
        <v>1.36</v>
      </c>
      <c r="D30" s="818">
        <v>1.22</v>
      </c>
      <c r="E30" s="818">
        <v>1.1399999999999999</v>
      </c>
      <c r="F30" s="818">
        <v>1.07</v>
      </c>
    </row>
    <row r="31" spans="1:6" ht="6" customHeight="1">
      <c r="A31" s="1602"/>
      <c r="B31" s="815" t="s">
        <v>297</v>
      </c>
      <c r="C31" s="815" t="s">
        <v>297</v>
      </c>
      <c r="D31" s="815" t="s">
        <v>297</v>
      </c>
      <c r="E31" s="815" t="s">
        <v>298</v>
      </c>
      <c r="F31" s="815" t="s">
        <v>299</v>
      </c>
    </row>
    <row r="32" spans="1:6">
      <c r="A32" s="1603"/>
      <c r="B32" s="816" t="s">
        <v>1924</v>
      </c>
      <c r="C32" s="816" t="s">
        <v>1924</v>
      </c>
      <c r="D32" s="816" t="s">
        <v>1924</v>
      </c>
      <c r="E32" s="816" t="s">
        <v>1924</v>
      </c>
      <c r="F32" s="816" t="s">
        <v>1924</v>
      </c>
    </row>
    <row r="34" spans="1:6">
      <c r="A34" s="1604" t="s">
        <v>1925</v>
      </c>
      <c r="B34" s="1604"/>
      <c r="C34" s="1604"/>
      <c r="D34" s="1604"/>
      <c r="E34" s="1604"/>
      <c r="F34" s="1604"/>
    </row>
    <row r="35" spans="1:6">
      <c r="A35" t="s">
        <v>1926</v>
      </c>
    </row>
    <row r="49" ht="6.75" customHeight="1"/>
  </sheetData>
  <mergeCells count="2">
    <mergeCell ref="A30:A32"/>
    <mergeCell ref="A34:F34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sheetPr codeName="Sheet138"/>
  <dimension ref="A1:G35"/>
  <sheetViews>
    <sheetView workbookViewId="0"/>
  </sheetViews>
  <sheetFormatPr defaultRowHeight="14.4"/>
  <cols>
    <col min="5" max="5" width="10.6640625" bestFit="1" customWidth="1"/>
  </cols>
  <sheetData>
    <row r="1" spans="1:7">
      <c r="A1" s="1" t="s">
        <v>3584</v>
      </c>
    </row>
    <row r="3" spans="1:7" ht="26.4">
      <c r="A3" s="812" t="s">
        <v>296</v>
      </c>
      <c r="B3" s="813">
        <v>0.01</v>
      </c>
      <c r="C3" s="813">
        <v>0.02</v>
      </c>
      <c r="D3" s="813">
        <v>0.05</v>
      </c>
      <c r="E3" s="813">
        <v>0.1</v>
      </c>
      <c r="F3" s="813">
        <v>0.15</v>
      </c>
      <c r="G3" s="813">
        <v>0.2</v>
      </c>
    </row>
    <row r="4" spans="1:7">
      <c r="A4" s="813">
        <v>1</v>
      </c>
      <c r="B4" s="1348">
        <v>0.995</v>
      </c>
      <c r="C4" s="1348">
        <v>0.99</v>
      </c>
      <c r="D4" s="1348">
        <v>0.97499999999999998</v>
      </c>
      <c r="E4" s="1348">
        <v>0.95</v>
      </c>
      <c r="F4" s="1348">
        <v>0.92500000000000004</v>
      </c>
      <c r="G4" s="1348">
        <v>0.9</v>
      </c>
    </row>
    <row r="5" spans="1:7">
      <c r="A5" s="813">
        <v>2</v>
      </c>
      <c r="B5" s="1348">
        <v>0.92928999999999995</v>
      </c>
      <c r="C5" s="1348">
        <v>0.9</v>
      </c>
      <c r="D5" s="1348">
        <v>0.84189000000000003</v>
      </c>
      <c r="E5" s="1348">
        <v>0.77639000000000002</v>
      </c>
      <c r="F5" s="1348">
        <v>0.72599999999999998</v>
      </c>
      <c r="G5" s="1348">
        <v>0.68376999999999999</v>
      </c>
    </row>
    <row r="6" spans="1:7">
      <c r="A6" s="813">
        <v>3</v>
      </c>
      <c r="B6" s="1348">
        <v>0.82899999999999996</v>
      </c>
      <c r="C6" s="1348">
        <v>0.78456000000000004</v>
      </c>
      <c r="D6" s="1348">
        <v>0.70760000000000001</v>
      </c>
      <c r="E6" s="1348">
        <v>0.63604000000000005</v>
      </c>
      <c r="F6" s="1348">
        <v>0.59699999999999998</v>
      </c>
      <c r="G6" s="1348">
        <v>0.56481000000000003</v>
      </c>
    </row>
    <row r="7" spans="1:7">
      <c r="A7" s="813">
        <v>4</v>
      </c>
      <c r="B7" s="1348">
        <v>0.73424</v>
      </c>
      <c r="C7" s="1348">
        <v>0.68886999999999998</v>
      </c>
      <c r="D7" s="1348">
        <v>0.62394000000000005</v>
      </c>
      <c r="E7" s="1348">
        <v>0.56521999999999994</v>
      </c>
      <c r="F7" s="1348">
        <v>0.52500000000000002</v>
      </c>
      <c r="G7" s="1348">
        <v>0.49264999999999998</v>
      </c>
    </row>
    <row r="8" spans="1:7">
      <c r="A8" s="813">
        <v>5</v>
      </c>
      <c r="B8" s="1348">
        <v>0.66852999999999996</v>
      </c>
      <c r="C8" s="1348">
        <v>0.62717999999999996</v>
      </c>
      <c r="D8" s="1348">
        <v>0.56328</v>
      </c>
      <c r="E8" s="1348">
        <v>0.50944999999999996</v>
      </c>
      <c r="F8" s="1348">
        <v>0.47399999999999998</v>
      </c>
      <c r="G8" s="1348">
        <v>0.44697999999999999</v>
      </c>
    </row>
    <row r="9" spans="1:7">
      <c r="A9" s="813">
        <v>6</v>
      </c>
      <c r="B9" s="1348">
        <v>0.61660999999999999</v>
      </c>
      <c r="C9" s="1348">
        <v>0.57740999999999998</v>
      </c>
      <c r="D9" s="1348">
        <v>0.51926000000000005</v>
      </c>
      <c r="E9" s="1348">
        <v>0.46799000000000002</v>
      </c>
      <c r="F9" s="1348">
        <v>0.436</v>
      </c>
      <c r="G9" s="1348">
        <v>0.41037000000000001</v>
      </c>
    </row>
    <row r="10" spans="1:7">
      <c r="A10" s="813">
        <v>7</v>
      </c>
      <c r="B10" s="1348">
        <v>0.57581000000000004</v>
      </c>
      <c r="C10" s="1348">
        <v>0.53844000000000003</v>
      </c>
      <c r="D10" s="1348">
        <v>0.48342000000000002</v>
      </c>
      <c r="E10" s="1348">
        <v>0.43607000000000001</v>
      </c>
      <c r="F10" s="1348">
        <v>0.40500000000000003</v>
      </c>
      <c r="G10" s="1348">
        <v>0.38147999999999999</v>
      </c>
    </row>
    <row r="11" spans="1:7">
      <c r="A11" s="813">
        <v>8</v>
      </c>
      <c r="B11" s="1348">
        <v>0.54178999999999999</v>
      </c>
      <c r="C11" s="1348">
        <v>0.50653999999999999</v>
      </c>
      <c r="D11" s="1348">
        <v>0.45427000000000001</v>
      </c>
      <c r="E11" s="1348">
        <v>0.40961999999999998</v>
      </c>
      <c r="F11" s="1348">
        <v>0.38100000000000001</v>
      </c>
      <c r="G11" s="1348">
        <v>0.35831000000000002</v>
      </c>
    </row>
    <row r="12" spans="1:7">
      <c r="A12" s="813">
        <v>9</v>
      </c>
      <c r="B12" s="1348">
        <v>0.51332</v>
      </c>
      <c r="C12" s="1348">
        <v>0.47960000000000003</v>
      </c>
      <c r="D12" s="1348">
        <v>0.43001</v>
      </c>
      <c r="E12" s="1348">
        <v>0.38746000000000003</v>
      </c>
      <c r="F12" s="1348">
        <v>0.36</v>
      </c>
      <c r="G12" s="1348">
        <v>0.33910000000000001</v>
      </c>
    </row>
    <row r="13" spans="1:7">
      <c r="A13" s="813">
        <v>10</v>
      </c>
      <c r="B13" s="1348">
        <v>0.48892999999999998</v>
      </c>
      <c r="C13" s="1348">
        <v>0.45662000000000003</v>
      </c>
      <c r="D13" s="1348">
        <v>0.40925</v>
      </c>
      <c r="E13" s="1348">
        <v>0.36865999999999999</v>
      </c>
      <c r="F13" s="1348">
        <v>0.34200000000000003</v>
      </c>
      <c r="G13" s="1348">
        <v>0.3226</v>
      </c>
    </row>
    <row r="14" spans="1:7">
      <c r="A14" s="813">
        <v>11</v>
      </c>
      <c r="B14" s="1348">
        <v>0.4677</v>
      </c>
      <c r="C14" s="1348">
        <v>0.43669999999999998</v>
      </c>
      <c r="D14" s="1348">
        <v>0.39122000000000001</v>
      </c>
      <c r="E14" s="1348">
        <v>0.35242000000000001</v>
      </c>
      <c r="F14" s="1348">
        <v>0.32600000000000001</v>
      </c>
      <c r="G14" s="1348">
        <v>0.30829000000000001</v>
      </c>
    </row>
    <row r="15" spans="1:7">
      <c r="A15" s="813">
        <v>12</v>
      </c>
      <c r="B15" s="1348">
        <v>0.44905</v>
      </c>
      <c r="C15" s="1348">
        <v>0.41918</v>
      </c>
      <c r="D15" s="1348">
        <v>0.37542999999999999</v>
      </c>
      <c r="E15" s="1348">
        <v>0.33815000000000001</v>
      </c>
      <c r="F15" s="1348">
        <v>0.313</v>
      </c>
      <c r="G15" s="1348">
        <v>0.29576999999999998</v>
      </c>
    </row>
    <row r="16" spans="1:7">
      <c r="A16" s="813">
        <v>13</v>
      </c>
      <c r="B16" s="1348">
        <v>0.43247000000000002</v>
      </c>
      <c r="C16" s="1348">
        <v>0.40361999999999998</v>
      </c>
      <c r="D16" s="1348">
        <v>0.36142999999999997</v>
      </c>
      <c r="E16" s="1348">
        <v>0.32549</v>
      </c>
      <c r="F16" s="1348">
        <v>0.30199999999999999</v>
      </c>
      <c r="G16" s="1348">
        <v>0.28470000000000001</v>
      </c>
    </row>
    <row r="17" spans="1:7">
      <c r="A17" s="813">
        <v>14</v>
      </c>
      <c r="B17" s="1348">
        <v>0.41761999999999999</v>
      </c>
      <c r="C17" s="1348">
        <v>0.38969999999999999</v>
      </c>
      <c r="D17" s="1348">
        <v>0.34889999999999999</v>
      </c>
      <c r="E17" s="1348">
        <v>0.31417</v>
      </c>
      <c r="F17" s="1348">
        <v>0.29199999999999998</v>
      </c>
      <c r="G17" s="1348">
        <v>0.27481</v>
      </c>
    </row>
    <row r="18" spans="1:7">
      <c r="A18" s="813">
        <v>15</v>
      </c>
      <c r="B18" s="1348">
        <v>0.4042</v>
      </c>
      <c r="C18" s="1348">
        <v>0.37713000000000002</v>
      </c>
      <c r="D18" s="1348">
        <v>0.33760000000000001</v>
      </c>
      <c r="E18" s="1348">
        <v>0.30397000000000002</v>
      </c>
      <c r="F18" s="1348">
        <v>0.28299999999999997</v>
      </c>
      <c r="G18" s="1348">
        <v>0.26588000000000001</v>
      </c>
    </row>
    <row r="19" spans="1:7">
      <c r="A19" s="813">
        <v>16</v>
      </c>
      <c r="B19" s="1348">
        <v>0.39201000000000003</v>
      </c>
      <c r="C19" s="1348">
        <v>0.36570999999999998</v>
      </c>
      <c r="D19" s="1348">
        <v>0.32733000000000001</v>
      </c>
      <c r="E19" s="1348">
        <v>0.29471999999999998</v>
      </c>
      <c r="F19" s="1348">
        <v>0.27400000000000002</v>
      </c>
      <c r="G19" s="1348">
        <v>0.25778000000000001</v>
      </c>
    </row>
    <row r="20" spans="1:7" ht="15" customHeight="1">
      <c r="A20" s="813">
        <v>17</v>
      </c>
      <c r="B20" s="1348">
        <v>0.38085999999999998</v>
      </c>
      <c r="C20" s="1348">
        <v>0.35527999999999998</v>
      </c>
      <c r="D20" s="1348">
        <v>0.31796000000000002</v>
      </c>
      <c r="E20" s="1348">
        <v>0.28627000000000002</v>
      </c>
      <c r="F20" s="1348">
        <v>0.26600000000000001</v>
      </c>
      <c r="G20" s="1348">
        <v>0.25039</v>
      </c>
    </row>
    <row r="21" spans="1:7" ht="15" customHeight="1">
      <c r="A21" s="813">
        <v>18</v>
      </c>
      <c r="B21" s="1348">
        <v>0.37062</v>
      </c>
      <c r="C21" s="1348">
        <v>0.34569</v>
      </c>
      <c r="D21" s="1348">
        <v>0.30936000000000002</v>
      </c>
      <c r="E21" s="1348">
        <v>0.27850999999999998</v>
      </c>
      <c r="F21" s="1348">
        <v>0.25900000000000001</v>
      </c>
      <c r="G21" s="1348">
        <v>0.24360000000000001</v>
      </c>
    </row>
    <row r="22" spans="1:7" ht="15" customHeight="1">
      <c r="A22" s="813">
        <v>19</v>
      </c>
      <c r="B22" s="1348">
        <v>0.36116999999999999</v>
      </c>
      <c r="C22" s="1348">
        <v>0.33684999999999998</v>
      </c>
      <c r="D22" s="1348">
        <v>0.30142999999999998</v>
      </c>
      <c r="E22" s="1348">
        <v>0.27135999999999999</v>
      </c>
      <c r="F22" s="1348">
        <v>0.252</v>
      </c>
      <c r="G22" s="1348">
        <v>0.23735000000000001</v>
      </c>
    </row>
    <row r="23" spans="1:7" ht="15" customHeight="1">
      <c r="A23" s="813">
        <v>20</v>
      </c>
      <c r="B23" s="1348">
        <v>0.35241</v>
      </c>
      <c r="C23" s="1348">
        <v>0.32866000000000001</v>
      </c>
      <c r="D23" s="1348">
        <v>0.29408000000000001</v>
      </c>
      <c r="E23" s="1348">
        <v>0.26473000000000002</v>
      </c>
      <c r="F23" s="1348">
        <v>0.246</v>
      </c>
      <c r="G23" s="1348">
        <v>0.23155999999999999</v>
      </c>
    </row>
    <row r="24" spans="1:7">
      <c r="A24" s="813">
        <v>25</v>
      </c>
      <c r="B24" s="1348">
        <v>0.32</v>
      </c>
      <c r="C24" s="1348">
        <f t="shared" ref="C24:C29" si="0">C$30/SQRT(A24)</f>
        <v>0.30348600000000003</v>
      </c>
      <c r="D24" s="1348">
        <v>0.27</v>
      </c>
      <c r="E24" s="1348">
        <v>0.24</v>
      </c>
      <c r="F24" s="1348">
        <v>0.22</v>
      </c>
      <c r="G24" s="1348">
        <v>0.21</v>
      </c>
    </row>
    <row r="25" spans="1:7">
      <c r="A25" s="813">
        <v>30</v>
      </c>
      <c r="B25" s="1348">
        <v>0.28999999999999998</v>
      </c>
      <c r="C25" s="1348">
        <f t="shared" si="0"/>
        <v>0.27704354681168808</v>
      </c>
      <c r="D25" s="1348">
        <v>0.24</v>
      </c>
      <c r="E25" s="1348">
        <v>0.22</v>
      </c>
      <c r="F25" s="1348">
        <v>0.2</v>
      </c>
      <c r="G25" s="1348">
        <v>0.19</v>
      </c>
    </row>
    <row r="26" spans="1:7">
      <c r="A26" s="813">
        <v>35</v>
      </c>
      <c r="B26" s="1348">
        <v>0.27</v>
      </c>
      <c r="C26" s="1348">
        <f t="shared" si="0"/>
        <v>0.2564924841505386</v>
      </c>
      <c r="D26" s="1348">
        <v>0.23</v>
      </c>
      <c r="E26" s="1348">
        <v>0.21</v>
      </c>
      <c r="F26" s="1348">
        <v>0.19</v>
      </c>
      <c r="G26" s="1348">
        <v>0.18</v>
      </c>
    </row>
    <row r="27" spans="1:7">
      <c r="A27" s="813">
        <v>40</v>
      </c>
      <c r="B27" s="1348">
        <v>0.25</v>
      </c>
      <c r="C27" s="1348">
        <f t="shared" si="0"/>
        <v>0.23992674949346518</v>
      </c>
      <c r="D27" s="1348">
        <v>0.21</v>
      </c>
      <c r="E27" s="1348">
        <v>0.19</v>
      </c>
      <c r="F27" s="1348">
        <v>0.18</v>
      </c>
      <c r="G27" s="1348">
        <v>0.17</v>
      </c>
    </row>
    <row r="28" spans="1:7">
      <c r="A28" s="813">
        <v>45</v>
      </c>
      <c r="B28" s="1348">
        <v>0.24</v>
      </c>
      <c r="C28" s="1348">
        <f t="shared" si="0"/>
        <v>0.22620510873983371</v>
      </c>
      <c r="D28" s="1348">
        <v>0.2</v>
      </c>
      <c r="E28" s="1348">
        <v>0.18</v>
      </c>
      <c r="F28" s="1348">
        <v>0.17</v>
      </c>
      <c r="G28" s="1348">
        <v>0.16</v>
      </c>
    </row>
    <row r="29" spans="1:7">
      <c r="A29" s="813">
        <v>50</v>
      </c>
      <c r="B29" s="1348">
        <v>0.23</v>
      </c>
      <c r="C29" s="1348">
        <f t="shared" si="0"/>
        <v>0.21459700859518055</v>
      </c>
      <c r="D29" s="1348">
        <v>0.19</v>
      </c>
      <c r="E29" s="1348">
        <v>0.17</v>
      </c>
      <c r="F29" s="1348">
        <v>0.16</v>
      </c>
      <c r="G29" s="1348">
        <v>0.15</v>
      </c>
    </row>
    <row r="30" spans="1:7">
      <c r="A30" s="1601" t="s">
        <v>1927</v>
      </c>
      <c r="B30" s="1348">
        <v>1.6276200000000001</v>
      </c>
      <c r="C30" s="1348">
        <v>1.5174300000000001</v>
      </c>
      <c r="D30" s="1348">
        <v>1.3581000000000001</v>
      </c>
      <c r="E30" s="1348">
        <v>1.2238500000000001</v>
      </c>
      <c r="F30" s="1348">
        <v>1.13795</v>
      </c>
      <c r="G30" s="1348">
        <v>1.0727500000000001</v>
      </c>
    </row>
    <row r="31" spans="1:7" ht="6" customHeight="1">
      <c r="A31" s="1602"/>
      <c r="B31" s="815" t="s">
        <v>297</v>
      </c>
      <c r="C31" s="815" t="s">
        <v>297</v>
      </c>
      <c r="D31" s="815" t="s">
        <v>297</v>
      </c>
      <c r="E31" s="815" t="s">
        <v>297</v>
      </c>
      <c r="F31" s="815" t="s">
        <v>298</v>
      </c>
      <c r="G31" s="815" t="s">
        <v>299</v>
      </c>
    </row>
    <row r="32" spans="1:7">
      <c r="A32" s="1603"/>
      <c r="B32" s="816" t="s">
        <v>1924</v>
      </c>
      <c r="C32" s="816" t="s">
        <v>1924</v>
      </c>
      <c r="D32" s="816" t="s">
        <v>1924</v>
      </c>
      <c r="E32" s="816" t="s">
        <v>1924</v>
      </c>
      <c r="F32" s="816" t="s">
        <v>1924</v>
      </c>
      <c r="G32" s="816" t="s">
        <v>1924</v>
      </c>
    </row>
    <row r="34" spans="1:7">
      <c r="A34" s="1604" t="s">
        <v>1925</v>
      </c>
      <c r="B34" s="1604"/>
      <c r="C34" s="1604"/>
      <c r="D34" s="1604"/>
      <c r="E34" s="1604"/>
      <c r="F34" s="1604"/>
      <c r="G34" s="1604"/>
    </row>
    <row r="35" spans="1:7">
      <c r="A35" t="s">
        <v>1926</v>
      </c>
    </row>
  </sheetData>
  <mergeCells count="2">
    <mergeCell ref="A30:A32"/>
    <mergeCell ref="A34:G34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sheetPr codeName="Sheet47"/>
  <dimension ref="A1:AX82"/>
  <sheetViews>
    <sheetView topLeftCell="A26" workbookViewId="0">
      <selection activeCell="B47" sqref="B47"/>
    </sheetView>
  </sheetViews>
  <sheetFormatPr defaultRowHeight="14.4"/>
  <cols>
    <col min="21" max="26" width="9.5546875" bestFit="1" customWidth="1"/>
    <col min="27" max="29" width="9.109375" style="77"/>
  </cols>
  <sheetData>
    <row r="1" spans="1:50">
      <c r="A1" s="1" t="s">
        <v>300</v>
      </c>
    </row>
    <row r="2" spans="1:50">
      <c r="A2" s="1"/>
    </row>
    <row r="3" spans="1:50">
      <c r="A3" s="1" t="s">
        <v>2992</v>
      </c>
    </row>
    <row r="5" spans="1:50">
      <c r="A5" s="19" t="s">
        <v>301</v>
      </c>
      <c r="B5">
        <v>2</v>
      </c>
      <c r="C5">
        <f>B5+1</f>
        <v>3</v>
      </c>
      <c r="D5">
        <f t="shared" ref="D5:X5" si="0">C5+1</f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f>L5+1</f>
        <v>13</v>
      </c>
      <c r="N5">
        <f>M5+1</f>
        <v>14</v>
      </c>
      <c r="O5">
        <f t="shared" si="0"/>
        <v>15</v>
      </c>
      <c r="P5">
        <f t="shared" si="0"/>
        <v>16</v>
      </c>
      <c r="Q5">
        <f t="shared" si="0"/>
        <v>17</v>
      </c>
      <c r="R5">
        <f t="shared" si="0"/>
        <v>18</v>
      </c>
      <c r="S5">
        <f t="shared" si="0"/>
        <v>19</v>
      </c>
      <c r="T5">
        <f t="shared" si="0"/>
        <v>20</v>
      </c>
      <c r="U5">
        <f t="shared" si="0"/>
        <v>21</v>
      </c>
      <c r="V5">
        <f t="shared" si="0"/>
        <v>22</v>
      </c>
      <c r="W5">
        <f t="shared" si="0"/>
        <v>23</v>
      </c>
      <c r="X5">
        <f t="shared" si="0"/>
        <v>24</v>
      </c>
      <c r="Y5">
        <f>X5+1</f>
        <v>25</v>
      </c>
      <c r="Z5">
        <f>Y5+1</f>
        <v>26</v>
      </c>
      <c r="AA5">
        <f t="shared" ref="AA5:AX5" si="1">Z5+1</f>
        <v>27</v>
      </c>
      <c r="AB5">
        <f t="shared" si="1"/>
        <v>28</v>
      </c>
      <c r="AC5">
        <f t="shared" si="1"/>
        <v>29</v>
      </c>
      <c r="AD5">
        <f t="shared" si="1"/>
        <v>30</v>
      </c>
      <c r="AE5">
        <f t="shared" si="1"/>
        <v>31</v>
      </c>
      <c r="AF5">
        <f t="shared" si="1"/>
        <v>32</v>
      </c>
      <c r="AG5">
        <f t="shared" si="1"/>
        <v>33</v>
      </c>
      <c r="AH5">
        <f t="shared" si="1"/>
        <v>34</v>
      </c>
      <c r="AI5">
        <f t="shared" si="1"/>
        <v>35</v>
      </c>
      <c r="AJ5">
        <f t="shared" si="1"/>
        <v>36</v>
      </c>
      <c r="AK5">
        <f t="shared" si="1"/>
        <v>37</v>
      </c>
      <c r="AL5">
        <f t="shared" si="1"/>
        <v>38</v>
      </c>
      <c r="AM5">
        <f t="shared" si="1"/>
        <v>39</v>
      </c>
      <c r="AN5">
        <f t="shared" si="1"/>
        <v>40</v>
      </c>
      <c r="AO5">
        <f t="shared" si="1"/>
        <v>41</v>
      </c>
      <c r="AP5">
        <f t="shared" si="1"/>
        <v>42</v>
      </c>
      <c r="AQ5">
        <f t="shared" si="1"/>
        <v>43</v>
      </c>
      <c r="AR5">
        <f t="shared" si="1"/>
        <v>44</v>
      </c>
      <c r="AS5">
        <f t="shared" si="1"/>
        <v>45</v>
      </c>
      <c r="AT5">
        <f t="shared" si="1"/>
        <v>46</v>
      </c>
      <c r="AU5">
        <f t="shared" si="1"/>
        <v>47</v>
      </c>
      <c r="AV5">
        <f t="shared" si="1"/>
        <v>48</v>
      </c>
      <c r="AW5">
        <f t="shared" si="1"/>
        <v>49</v>
      </c>
      <c r="AX5">
        <f t="shared" si="1"/>
        <v>50</v>
      </c>
    </row>
    <row r="6" spans="1:50">
      <c r="A6" t="s">
        <v>302</v>
      </c>
      <c r="B6">
        <v>0.70709999999999995</v>
      </c>
      <c r="C6" s="24">
        <v>0.70709999999999995</v>
      </c>
      <c r="D6" s="24">
        <v>0.68720000000000003</v>
      </c>
      <c r="E6" s="24">
        <v>0.66459999999999997</v>
      </c>
      <c r="F6" s="24">
        <v>0.6431</v>
      </c>
      <c r="G6" s="24">
        <v>0.62329999999999997</v>
      </c>
      <c r="H6" s="24">
        <v>0.60519999999999996</v>
      </c>
      <c r="I6" s="24">
        <v>0.58879999999999999</v>
      </c>
      <c r="J6" s="24">
        <v>0.57389999999999997</v>
      </c>
      <c r="K6" s="24">
        <v>0.56010000000000004</v>
      </c>
      <c r="L6" s="24">
        <v>0.54749999999999999</v>
      </c>
      <c r="M6" s="24">
        <v>0.53590000000000004</v>
      </c>
      <c r="N6" s="24">
        <v>0.52510000000000001</v>
      </c>
      <c r="O6" s="24">
        <v>0.51500000000000001</v>
      </c>
      <c r="P6" s="24">
        <v>0.50560000000000005</v>
      </c>
      <c r="Q6" s="24">
        <v>0.49680000000000002</v>
      </c>
      <c r="R6" s="24">
        <v>0.48859999999999998</v>
      </c>
      <c r="S6" s="24">
        <v>0.48080000000000001</v>
      </c>
      <c r="T6" s="24">
        <v>0.47339999999999999</v>
      </c>
      <c r="U6" s="24">
        <v>0.46429999999999999</v>
      </c>
      <c r="V6" s="24">
        <v>0.45900000000000002</v>
      </c>
      <c r="W6" s="24">
        <v>0.45419999999999999</v>
      </c>
      <c r="X6" s="24">
        <v>0.44929999999999998</v>
      </c>
      <c r="Y6" s="24">
        <v>0.44500000000000001</v>
      </c>
      <c r="Z6" s="24">
        <v>0.44069999999999998</v>
      </c>
      <c r="AA6" s="24">
        <v>0.43659999999999999</v>
      </c>
      <c r="AB6" s="24">
        <v>0.43280000000000002</v>
      </c>
      <c r="AC6" s="24">
        <v>0.42909999999999998</v>
      </c>
      <c r="AD6" s="24">
        <v>0.4254</v>
      </c>
      <c r="AE6" s="24">
        <v>0.42199999999999999</v>
      </c>
      <c r="AF6" s="24">
        <v>0.41880000000000001</v>
      </c>
      <c r="AG6" s="24">
        <v>0.41560000000000002</v>
      </c>
      <c r="AH6" s="24">
        <v>0.41270000000000001</v>
      </c>
      <c r="AI6" s="24">
        <v>0.40960000000000002</v>
      </c>
      <c r="AJ6" s="24">
        <v>0.40679999999999999</v>
      </c>
      <c r="AK6" s="24">
        <v>0.40400000000000003</v>
      </c>
      <c r="AL6" s="24">
        <v>0.40150000000000002</v>
      </c>
      <c r="AM6" s="24">
        <v>0.39889999999999998</v>
      </c>
      <c r="AN6" s="24">
        <v>0.39639999999999997</v>
      </c>
      <c r="AO6" s="24">
        <v>0.39400000000000002</v>
      </c>
      <c r="AP6" s="24">
        <v>0.39169999999999999</v>
      </c>
      <c r="AQ6" s="24">
        <v>0.38940000000000002</v>
      </c>
      <c r="AR6" s="24">
        <v>0.38719999999999999</v>
      </c>
      <c r="AS6" s="24">
        <v>0.38500000000000001</v>
      </c>
      <c r="AT6" s="24">
        <v>0.38300000000000001</v>
      </c>
      <c r="AU6" s="24">
        <v>0.38080000000000003</v>
      </c>
      <c r="AV6" s="24">
        <v>0.37890000000000001</v>
      </c>
      <c r="AW6" s="24">
        <v>0.377</v>
      </c>
      <c r="AX6" s="24">
        <v>0.37509999999999999</v>
      </c>
    </row>
    <row r="7" spans="1:50">
      <c r="A7" t="s">
        <v>303</v>
      </c>
      <c r="D7" s="24">
        <v>0.16769999999999999</v>
      </c>
      <c r="E7" s="24">
        <v>0.24129999999999999</v>
      </c>
      <c r="F7" s="24">
        <v>0.28060000000000002</v>
      </c>
      <c r="G7" s="24">
        <v>0.30309999999999998</v>
      </c>
      <c r="H7" s="24">
        <v>0.31640000000000001</v>
      </c>
      <c r="I7" s="24">
        <v>0.32440000000000002</v>
      </c>
      <c r="J7" s="24">
        <v>0.3291</v>
      </c>
      <c r="K7" s="24">
        <v>0.33150000000000002</v>
      </c>
      <c r="L7" s="24">
        <v>0.33250000000000002</v>
      </c>
      <c r="M7" s="24">
        <v>0.33250000000000002</v>
      </c>
      <c r="N7" s="24">
        <v>0.33179999999999998</v>
      </c>
      <c r="O7" s="24">
        <v>0.3306</v>
      </c>
      <c r="P7" s="24">
        <v>0.32900000000000001</v>
      </c>
      <c r="Q7" s="24">
        <v>0.32729999999999998</v>
      </c>
      <c r="R7" s="24">
        <v>0.32529999999999998</v>
      </c>
      <c r="S7" s="24">
        <v>0.32319999999999999</v>
      </c>
      <c r="T7" s="24">
        <v>0.3211</v>
      </c>
      <c r="U7" s="24">
        <v>0.31850000000000001</v>
      </c>
      <c r="V7" s="24">
        <v>0.31559999999999999</v>
      </c>
      <c r="W7" s="24">
        <v>0.31259999999999999</v>
      </c>
      <c r="X7" s="24">
        <v>0.30980000000000002</v>
      </c>
      <c r="Y7" s="24">
        <v>0.30690000000000001</v>
      </c>
      <c r="Z7" s="24">
        <v>0.30430000000000001</v>
      </c>
      <c r="AA7" s="24">
        <v>0.30180000000000001</v>
      </c>
      <c r="AB7" s="24">
        <v>0.29920000000000002</v>
      </c>
      <c r="AC7" s="24">
        <v>0.29680000000000001</v>
      </c>
      <c r="AD7" s="24">
        <v>0.2944</v>
      </c>
      <c r="AE7" s="24">
        <v>0.29210000000000003</v>
      </c>
      <c r="AF7" s="24">
        <v>0.2898</v>
      </c>
      <c r="AG7" s="24">
        <v>0.28760000000000002</v>
      </c>
      <c r="AH7" s="24">
        <v>0.28539999999999999</v>
      </c>
      <c r="AI7" s="24">
        <v>0.28339999999999999</v>
      </c>
      <c r="AJ7" s="24">
        <v>0.28129999999999999</v>
      </c>
      <c r="AK7" s="24">
        <v>0.27939999999999998</v>
      </c>
      <c r="AL7" s="24">
        <v>0.27739999999999998</v>
      </c>
      <c r="AM7" s="24">
        <v>0.27550000000000002</v>
      </c>
      <c r="AN7" s="24">
        <v>0.2737</v>
      </c>
      <c r="AO7" s="24">
        <v>0.27189999999999998</v>
      </c>
      <c r="AP7" s="24">
        <v>0.27010000000000001</v>
      </c>
      <c r="AQ7" s="24">
        <v>0.26840000000000003</v>
      </c>
      <c r="AR7" s="24">
        <v>0.26669999999999999</v>
      </c>
      <c r="AS7" s="24">
        <v>0.2651</v>
      </c>
      <c r="AT7" s="24">
        <v>0.26350000000000001</v>
      </c>
      <c r="AU7" s="24">
        <v>0.26200000000000001</v>
      </c>
      <c r="AV7" s="24">
        <v>0.26040000000000002</v>
      </c>
      <c r="AW7" s="24">
        <v>0.25890000000000002</v>
      </c>
      <c r="AX7" s="24">
        <v>0.25740000000000002</v>
      </c>
    </row>
    <row r="8" spans="1:50">
      <c r="A8" t="s">
        <v>304</v>
      </c>
      <c r="D8" s="24"/>
      <c r="E8" s="24"/>
      <c r="F8" s="24">
        <v>8.7499999999999994E-2</v>
      </c>
      <c r="G8" s="24">
        <v>0.1401</v>
      </c>
      <c r="H8" s="24">
        <v>0.17430000000000001</v>
      </c>
      <c r="I8" s="24">
        <v>0.1976</v>
      </c>
      <c r="J8" s="24">
        <v>0.21410000000000001</v>
      </c>
      <c r="K8" s="24">
        <v>0.22600000000000001</v>
      </c>
      <c r="L8" s="24">
        <v>0.23469999999999999</v>
      </c>
      <c r="M8" s="24">
        <v>0.2412</v>
      </c>
      <c r="N8" s="24">
        <v>0.246</v>
      </c>
      <c r="O8" s="24">
        <v>0.2495</v>
      </c>
      <c r="P8" s="24">
        <v>0.25209999999999999</v>
      </c>
      <c r="Q8" s="24">
        <v>0.254</v>
      </c>
      <c r="R8" s="24">
        <v>0.25530000000000003</v>
      </c>
      <c r="S8" s="24">
        <v>0.25609999999999999</v>
      </c>
      <c r="T8" s="24">
        <v>0.25650000000000001</v>
      </c>
      <c r="U8" s="24">
        <v>0.25779999999999997</v>
      </c>
      <c r="V8" s="24">
        <v>0.2571</v>
      </c>
      <c r="W8" s="24">
        <v>0.25629999999999997</v>
      </c>
      <c r="X8" s="24">
        <v>0.25540000000000002</v>
      </c>
      <c r="Y8" s="24">
        <v>0.25430000000000003</v>
      </c>
      <c r="Z8" s="24">
        <v>0.25330000000000003</v>
      </c>
      <c r="AA8" s="24">
        <v>0.25219999999999998</v>
      </c>
      <c r="AB8" s="24">
        <v>0.251</v>
      </c>
      <c r="AC8" s="24">
        <v>0.24990000000000001</v>
      </c>
      <c r="AD8" s="24">
        <v>0.2487</v>
      </c>
      <c r="AE8" s="24">
        <v>0.2475</v>
      </c>
      <c r="AF8" s="24">
        <v>0.24629999999999999</v>
      </c>
      <c r="AG8" s="24">
        <v>0.24510000000000001</v>
      </c>
      <c r="AH8" s="24">
        <v>0.24390000000000001</v>
      </c>
      <c r="AI8" s="24">
        <v>0.2427</v>
      </c>
      <c r="AJ8" s="24">
        <v>0.24149999999999999</v>
      </c>
      <c r="AK8" s="24">
        <v>0.24030000000000001</v>
      </c>
      <c r="AL8" s="24">
        <v>0.23910000000000001</v>
      </c>
      <c r="AM8" s="24">
        <v>0.23799999999999999</v>
      </c>
      <c r="AN8" s="24">
        <v>0.23680000000000001</v>
      </c>
      <c r="AO8" s="24">
        <v>0.23569999999999999</v>
      </c>
      <c r="AP8" s="24">
        <v>0.23449999999999999</v>
      </c>
      <c r="AQ8" s="24">
        <v>0.2334</v>
      </c>
      <c r="AR8" s="24">
        <v>0.23230000000000001</v>
      </c>
      <c r="AS8" s="24">
        <v>0.23130000000000001</v>
      </c>
      <c r="AT8" s="24">
        <v>0.23019999999999999</v>
      </c>
      <c r="AU8" s="24">
        <v>0.2291</v>
      </c>
      <c r="AV8" s="24">
        <v>0.2281</v>
      </c>
      <c r="AW8" s="24">
        <v>0.2271</v>
      </c>
      <c r="AX8" s="24">
        <v>0.22600000000000001</v>
      </c>
    </row>
    <row r="9" spans="1:50">
      <c r="A9" t="s">
        <v>305</v>
      </c>
      <c r="D9" s="24"/>
      <c r="E9" s="24"/>
      <c r="F9" s="24"/>
      <c r="G9" s="24"/>
      <c r="H9" s="24">
        <v>5.6099999999999997E-2</v>
      </c>
      <c r="I9" s="24">
        <v>9.4700000000000006E-2</v>
      </c>
      <c r="J9" s="24">
        <v>0.12239999999999999</v>
      </c>
      <c r="K9" s="24">
        <v>0.1429</v>
      </c>
      <c r="L9" s="24">
        <v>0.15859999999999999</v>
      </c>
      <c r="M9" s="24">
        <v>0.17069999999999999</v>
      </c>
      <c r="N9" s="24">
        <v>0.1802</v>
      </c>
      <c r="O9" s="24">
        <v>0.18779999999999999</v>
      </c>
      <c r="P9" s="24">
        <v>0.19389999999999999</v>
      </c>
      <c r="Q9" s="24">
        <v>0.1988</v>
      </c>
      <c r="R9" s="24">
        <v>0.20269999999999999</v>
      </c>
      <c r="S9" s="24">
        <v>0.2059</v>
      </c>
      <c r="T9" s="24">
        <v>0.20849999999999999</v>
      </c>
      <c r="U9" s="24">
        <v>0.21190000000000001</v>
      </c>
      <c r="V9" s="24">
        <v>0.21310000000000001</v>
      </c>
      <c r="W9" s="24">
        <v>0.21390000000000001</v>
      </c>
      <c r="X9" s="24">
        <v>0.2145</v>
      </c>
      <c r="Y9" s="24">
        <v>0.21479999999999999</v>
      </c>
      <c r="Z9" s="24">
        <v>0.21510000000000001</v>
      </c>
      <c r="AA9" s="24">
        <v>0.2152</v>
      </c>
      <c r="AB9" s="24">
        <v>0.21510000000000001</v>
      </c>
      <c r="AC9" s="24">
        <v>0.215</v>
      </c>
      <c r="AD9" s="24">
        <v>0.21479999999999999</v>
      </c>
      <c r="AE9" s="24">
        <v>0.2145</v>
      </c>
      <c r="AF9" s="24">
        <v>0.21410000000000001</v>
      </c>
      <c r="AG9" s="24">
        <v>0.2137</v>
      </c>
      <c r="AH9" s="24">
        <v>0.2132</v>
      </c>
      <c r="AI9" s="24">
        <v>0.2127</v>
      </c>
      <c r="AJ9" s="24">
        <v>0.21210000000000001</v>
      </c>
      <c r="AK9" s="24">
        <v>0.21160000000000001</v>
      </c>
      <c r="AL9" s="24">
        <v>0.21099999999999999</v>
      </c>
      <c r="AM9" s="24">
        <v>0.2104</v>
      </c>
      <c r="AN9" s="24">
        <v>0.20979999999999999</v>
      </c>
      <c r="AO9" s="24">
        <v>0.20910000000000001</v>
      </c>
      <c r="AP9" s="24">
        <v>0.20849999999999999</v>
      </c>
      <c r="AQ9" s="24">
        <v>0.20780000000000001</v>
      </c>
      <c r="AR9" s="24">
        <v>0.2072</v>
      </c>
      <c r="AS9" s="24">
        <v>0.20649999999999999</v>
      </c>
      <c r="AT9" s="24">
        <v>0.20580000000000001</v>
      </c>
      <c r="AU9" s="24">
        <v>0.20519999999999999</v>
      </c>
      <c r="AV9" s="24">
        <v>0.20449999999999999</v>
      </c>
      <c r="AW9" s="24">
        <v>0.20380000000000001</v>
      </c>
      <c r="AX9" s="24">
        <v>0.20319999999999999</v>
      </c>
    </row>
    <row r="10" spans="1:50">
      <c r="A10" t="s">
        <v>306</v>
      </c>
      <c r="D10" s="24"/>
      <c r="E10" s="24"/>
      <c r="F10" s="24"/>
      <c r="G10" s="24"/>
      <c r="H10" s="24"/>
      <c r="I10" s="24"/>
      <c r="J10" s="24">
        <v>3.9899999999999998E-2</v>
      </c>
      <c r="K10" s="24">
        <v>6.9500000000000006E-2</v>
      </c>
      <c r="L10" s="24">
        <v>9.2200000000000004E-2</v>
      </c>
      <c r="M10" s="24">
        <v>0.1099</v>
      </c>
      <c r="N10" s="24">
        <v>0.124</v>
      </c>
      <c r="O10" s="24">
        <v>0.1353</v>
      </c>
      <c r="P10" s="24">
        <v>0.1447</v>
      </c>
      <c r="Q10" s="24">
        <v>0.15240000000000001</v>
      </c>
      <c r="R10" s="24">
        <v>0.15870000000000001</v>
      </c>
      <c r="S10" s="24">
        <v>0.1641</v>
      </c>
      <c r="T10" s="24">
        <v>0.1686</v>
      </c>
      <c r="U10" s="24">
        <v>0.1736</v>
      </c>
      <c r="V10" s="24">
        <v>0.1764</v>
      </c>
      <c r="W10" s="24">
        <v>0.1787</v>
      </c>
      <c r="X10" s="24">
        <v>0.1807</v>
      </c>
      <c r="Y10" s="24">
        <v>0.1822</v>
      </c>
      <c r="Z10" s="24">
        <v>0.18360000000000001</v>
      </c>
      <c r="AA10" s="24">
        <v>0.18479999999999999</v>
      </c>
      <c r="AB10" s="24">
        <v>0.1857</v>
      </c>
      <c r="AC10" s="24">
        <v>0.18640000000000001</v>
      </c>
      <c r="AD10" s="24">
        <v>0.187</v>
      </c>
      <c r="AE10" s="24">
        <v>0.18740000000000001</v>
      </c>
      <c r="AF10" s="24">
        <v>0.18779999999999999</v>
      </c>
      <c r="AG10" s="24">
        <v>0.188</v>
      </c>
      <c r="AH10" s="24">
        <v>0.18820000000000001</v>
      </c>
      <c r="AI10" s="24">
        <v>0.1883</v>
      </c>
      <c r="AJ10" s="24">
        <v>0.1883</v>
      </c>
      <c r="AK10" s="24">
        <v>0.1883</v>
      </c>
      <c r="AL10" s="24">
        <v>0.18809999999999999</v>
      </c>
      <c r="AM10" s="24">
        <v>0.188</v>
      </c>
      <c r="AN10" s="24">
        <v>0.18779999999999999</v>
      </c>
      <c r="AO10" s="24">
        <v>0.18759999999999999</v>
      </c>
      <c r="AP10" s="24">
        <v>0.18740000000000001</v>
      </c>
      <c r="AQ10" s="24">
        <v>0.18709999999999999</v>
      </c>
      <c r="AR10" s="24">
        <v>0.18679999999999999</v>
      </c>
      <c r="AS10" s="24">
        <v>0.1865</v>
      </c>
      <c r="AT10" s="24">
        <v>0.1862</v>
      </c>
      <c r="AU10" s="24">
        <v>0.18590000000000001</v>
      </c>
      <c r="AV10" s="24">
        <v>0.1855</v>
      </c>
      <c r="AW10" s="24">
        <v>0.18509999999999999</v>
      </c>
      <c r="AX10" s="24">
        <v>0.1847</v>
      </c>
    </row>
    <row r="11" spans="1:50">
      <c r="A11" t="s">
        <v>307</v>
      </c>
      <c r="D11" s="24"/>
      <c r="E11" s="24"/>
      <c r="F11" s="24"/>
      <c r="G11" s="24"/>
      <c r="H11" s="24"/>
      <c r="I11" s="24"/>
      <c r="J11" s="24"/>
      <c r="K11" s="24"/>
      <c r="L11" s="24">
        <v>3.0300000000000001E-2</v>
      </c>
      <c r="M11" s="24">
        <v>5.3900000000000003E-2</v>
      </c>
      <c r="N11" s="24">
        <v>7.2700000000000001E-2</v>
      </c>
      <c r="O11" s="24">
        <v>8.7999999999999995E-2</v>
      </c>
      <c r="P11" s="24">
        <v>0.10050000000000001</v>
      </c>
      <c r="Q11" s="24">
        <v>0.1109</v>
      </c>
      <c r="R11" s="24">
        <v>0.1197</v>
      </c>
      <c r="S11" s="24">
        <v>0.12709999999999999</v>
      </c>
      <c r="T11" s="24">
        <v>0.13339999999999999</v>
      </c>
      <c r="U11" s="24">
        <v>0.1399</v>
      </c>
      <c r="V11" s="24">
        <v>0.14430000000000001</v>
      </c>
      <c r="W11" s="24">
        <v>0.14799999999999999</v>
      </c>
      <c r="X11" s="24">
        <v>0.1512</v>
      </c>
      <c r="Y11" s="24">
        <v>0.15390000000000001</v>
      </c>
      <c r="Z11" s="24">
        <v>0.15629999999999999</v>
      </c>
      <c r="AA11" s="24">
        <v>0.15840000000000001</v>
      </c>
      <c r="AB11" s="24">
        <v>0.16009999999999999</v>
      </c>
      <c r="AC11" s="24">
        <v>0.16159999999999999</v>
      </c>
      <c r="AD11" s="24">
        <v>0.16300000000000001</v>
      </c>
      <c r="AE11" s="24">
        <v>0.1641</v>
      </c>
      <c r="AF11" s="24">
        <v>0.1651</v>
      </c>
      <c r="AG11" s="24">
        <v>0.16600000000000001</v>
      </c>
      <c r="AH11" s="24">
        <v>0.16669999999999999</v>
      </c>
      <c r="AI11" s="24">
        <v>0.1673</v>
      </c>
      <c r="AJ11" s="24">
        <v>0.1678</v>
      </c>
      <c r="AK11" s="24">
        <v>0.16830000000000001</v>
      </c>
      <c r="AL11" s="24">
        <v>0.1686</v>
      </c>
      <c r="AM11" s="24">
        <v>0.16889999999999999</v>
      </c>
      <c r="AN11" s="24">
        <v>0.1691</v>
      </c>
      <c r="AO11" s="24">
        <v>0.16930000000000001</v>
      </c>
      <c r="AP11" s="24">
        <v>0.1694</v>
      </c>
      <c r="AQ11" s="24">
        <v>0.16950000000000001</v>
      </c>
      <c r="AR11" s="24">
        <v>0.16950000000000001</v>
      </c>
      <c r="AS11" s="24">
        <v>0.16950000000000001</v>
      </c>
      <c r="AT11" s="24">
        <v>0.16950000000000001</v>
      </c>
      <c r="AU11" s="24">
        <v>0.16950000000000001</v>
      </c>
      <c r="AV11" s="24">
        <v>0.16930000000000001</v>
      </c>
      <c r="AW11" s="24">
        <v>0.16919999999999999</v>
      </c>
      <c r="AX11" s="24">
        <v>0.1691</v>
      </c>
    </row>
    <row r="12" spans="1:50">
      <c r="A12" t="s">
        <v>308</v>
      </c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>
        <v>2.4E-2</v>
      </c>
      <c r="O12" s="24">
        <v>4.3299999999999998E-2</v>
      </c>
      <c r="P12" s="24">
        <v>5.9299999999999999E-2</v>
      </c>
      <c r="Q12" s="24">
        <v>7.2499999999999995E-2</v>
      </c>
      <c r="R12" s="24">
        <v>8.3699999999999997E-2</v>
      </c>
      <c r="S12" s="24">
        <v>9.3200000000000005E-2</v>
      </c>
      <c r="T12" s="24">
        <v>0.1013</v>
      </c>
      <c r="U12" s="24">
        <v>0.10920000000000001</v>
      </c>
      <c r="V12" s="24">
        <v>0.115</v>
      </c>
      <c r="W12" s="24">
        <v>0.1201</v>
      </c>
      <c r="X12" s="24">
        <v>0.1245</v>
      </c>
      <c r="Y12" s="24">
        <v>0.1283</v>
      </c>
      <c r="Z12" s="24">
        <v>0.13159999999999999</v>
      </c>
      <c r="AA12" s="24">
        <v>0.1346</v>
      </c>
      <c r="AB12" s="24">
        <v>0.13719999999999999</v>
      </c>
      <c r="AC12" s="24">
        <v>0.13950000000000001</v>
      </c>
      <c r="AD12" s="24">
        <v>0.14149999999999999</v>
      </c>
      <c r="AE12" s="24">
        <v>0.14330000000000001</v>
      </c>
      <c r="AF12" s="24">
        <v>0.1449</v>
      </c>
      <c r="AG12" s="24">
        <v>0.14630000000000001</v>
      </c>
      <c r="AH12" s="24">
        <v>0.14749999999999999</v>
      </c>
      <c r="AI12" s="24">
        <v>0.1487</v>
      </c>
      <c r="AJ12" s="24">
        <v>0.14960000000000001</v>
      </c>
      <c r="AK12" s="24">
        <v>0.15049999999999999</v>
      </c>
      <c r="AL12" s="24">
        <v>0.15129999999999999</v>
      </c>
      <c r="AM12" s="24">
        <v>0.152</v>
      </c>
      <c r="AN12" s="24">
        <v>0.15260000000000001</v>
      </c>
      <c r="AO12" s="24">
        <v>0.15310000000000001</v>
      </c>
      <c r="AP12" s="24">
        <v>0.1535</v>
      </c>
      <c r="AQ12" s="24">
        <v>0.15390000000000001</v>
      </c>
      <c r="AR12" s="24">
        <v>0.1542</v>
      </c>
      <c r="AS12" s="24">
        <v>0.1545</v>
      </c>
      <c r="AT12" s="24">
        <v>0.15479999999999999</v>
      </c>
      <c r="AU12" s="24">
        <v>0.155</v>
      </c>
      <c r="AV12" s="24">
        <v>0.15509999999999999</v>
      </c>
      <c r="AW12" s="24">
        <v>0.15529999999999999</v>
      </c>
      <c r="AX12" s="24">
        <v>0.15540000000000001</v>
      </c>
    </row>
    <row r="13" spans="1:50">
      <c r="A13" t="s">
        <v>309</v>
      </c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>
        <v>1.9599999999999999E-2</v>
      </c>
      <c r="Q13" s="24">
        <v>3.5900000000000001E-2</v>
      </c>
      <c r="R13" s="24">
        <v>4.9599999999999998E-2</v>
      </c>
      <c r="S13" s="24">
        <v>6.1199999999999997E-2</v>
      </c>
      <c r="T13" s="24">
        <v>7.1099999999999997E-2</v>
      </c>
      <c r="U13" s="24">
        <v>8.0399999999999999E-2</v>
      </c>
      <c r="V13" s="24">
        <v>8.7800000000000003E-2</v>
      </c>
      <c r="W13" s="24">
        <v>9.4100000000000003E-2</v>
      </c>
      <c r="X13" s="24">
        <v>9.9699999999999997E-2</v>
      </c>
      <c r="Y13" s="24">
        <v>0.1046</v>
      </c>
      <c r="Z13" s="24">
        <v>0.1089</v>
      </c>
      <c r="AA13" s="24">
        <v>0.1128</v>
      </c>
      <c r="AB13" s="24">
        <v>0.1162</v>
      </c>
      <c r="AC13" s="24">
        <v>0.1192</v>
      </c>
      <c r="AD13" s="24">
        <v>0.12189999999999999</v>
      </c>
      <c r="AE13" s="24">
        <v>0.12429999999999999</v>
      </c>
      <c r="AF13" s="24">
        <v>0.1265</v>
      </c>
      <c r="AG13" s="24">
        <v>0.12839999999999999</v>
      </c>
      <c r="AH13" s="24">
        <v>0.13009999999999999</v>
      </c>
      <c r="AI13" s="24">
        <v>0.13170000000000001</v>
      </c>
      <c r="AJ13" s="24">
        <v>0.1331</v>
      </c>
      <c r="AK13" s="24">
        <v>0.13439999999999999</v>
      </c>
      <c r="AL13" s="24">
        <v>0.1356</v>
      </c>
      <c r="AM13" s="24">
        <v>0.1366</v>
      </c>
      <c r="AN13" s="24">
        <v>0.1376</v>
      </c>
      <c r="AO13" s="24">
        <v>0.1384</v>
      </c>
      <c r="AP13" s="24">
        <v>0.13919999999999999</v>
      </c>
      <c r="AQ13" s="24">
        <v>0.13980000000000001</v>
      </c>
      <c r="AR13" s="24">
        <v>0.14050000000000001</v>
      </c>
      <c r="AS13" s="24">
        <v>0.14099999999999999</v>
      </c>
      <c r="AT13" s="24">
        <v>0.14149999999999999</v>
      </c>
      <c r="AU13" s="24">
        <v>0.14199999999999999</v>
      </c>
      <c r="AV13" s="24">
        <v>0.14230000000000001</v>
      </c>
      <c r="AW13" s="24">
        <v>0.14269999999999999</v>
      </c>
      <c r="AX13" s="24">
        <v>0.14299999999999999</v>
      </c>
    </row>
    <row r="14" spans="1:50">
      <c r="A14" t="s">
        <v>310</v>
      </c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>
        <v>1.6299999999999999E-2</v>
      </c>
      <c r="S14" s="24">
        <v>3.0300000000000001E-2</v>
      </c>
      <c r="T14" s="24">
        <v>4.2200000000000001E-2</v>
      </c>
      <c r="U14" s="24">
        <v>5.2999999999999999E-2</v>
      </c>
      <c r="V14" s="24">
        <v>6.1800000000000001E-2</v>
      </c>
      <c r="W14" s="24">
        <v>6.9599999999999995E-2</v>
      </c>
      <c r="X14" s="24">
        <v>7.6399999999999996E-2</v>
      </c>
      <c r="Y14" s="24">
        <v>8.2299999999999998E-2</v>
      </c>
      <c r="Z14" s="24">
        <v>8.7599999999999997E-2</v>
      </c>
      <c r="AA14" s="24">
        <v>9.2299999999999993E-2</v>
      </c>
      <c r="AB14" s="24">
        <v>9.6500000000000002E-2</v>
      </c>
      <c r="AC14" s="24">
        <v>0.1002</v>
      </c>
      <c r="AD14" s="24">
        <v>0.1036</v>
      </c>
      <c r="AE14" s="24">
        <v>0.1066</v>
      </c>
      <c r="AF14" s="24">
        <v>0.10929999999999999</v>
      </c>
      <c r="AG14" s="24">
        <v>0.1118</v>
      </c>
      <c r="AH14" s="24">
        <v>0.114</v>
      </c>
      <c r="AI14" s="24">
        <v>0.11600000000000001</v>
      </c>
      <c r="AJ14" s="24">
        <v>0.1179</v>
      </c>
      <c r="AK14" s="24">
        <v>0.1196</v>
      </c>
      <c r="AL14" s="24">
        <v>0.1211</v>
      </c>
      <c r="AM14" s="24">
        <v>0.1225</v>
      </c>
      <c r="AN14" s="24">
        <v>0.1237</v>
      </c>
      <c r="AO14" s="24">
        <v>0.1249</v>
      </c>
      <c r="AP14" s="24">
        <v>0.12590000000000001</v>
      </c>
      <c r="AQ14" s="24">
        <v>0.12690000000000001</v>
      </c>
      <c r="AR14" s="24">
        <v>0.1278</v>
      </c>
      <c r="AS14" s="24">
        <v>0.12859999999999999</v>
      </c>
      <c r="AT14" s="24">
        <v>0.1293</v>
      </c>
      <c r="AU14" s="24">
        <v>0.13</v>
      </c>
      <c r="AV14" s="24">
        <v>0.13059999999999999</v>
      </c>
      <c r="AW14" s="24">
        <v>0.13120000000000001</v>
      </c>
      <c r="AX14" s="24">
        <v>0.13170000000000001</v>
      </c>
    </row>
    <row r="15" spans="1:50">
      <c r="A15" t="s">
        <v>311</v>
      </c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>
        <v>1.4E-2</v>
      </c>
      <c r="U15" s="24">
        <v>2.63E-2</v>
      </c>
      <c r="V15" s="24">
        <v>3.6799999999999999E-2</v>
      </c>
      <c r="W15" s="24">
        <v>4.5900000000000003E-2</v>
      </c>
      <c r="X15" s="24">
        <v>5.3900000000000003E-2</v>
      </c>
      <c r="Y15" s="24">
        <v>6.0999999999999999E-2</v>
      </c>
      <c r="Z15" s="24">
        <v>6.7199999999999996E-2</v>
      </c>
      <c r="AA15" s="24">
        <v>7.2800000000000004E-2</v>
      </c>
      <c r="AB15" s="24">
        <v>7.7799999999999994E-2</v>
      </c>
      <c r="AC15" s="24">
        <v>8.2199999999999995E-2</v>
      </c>
      <c r="AD15" s="24">
        <v>8.6199999999999999E-2</v>
      </c>
      <c r="AE15" s="24">
        <v>8.9899999999999994E-2</v>
      </c>
      <c r="AF15" s="24">
        <v>9.3100000000000002E-2</v>
      </c>
      <c r="AG15" s="24">
        <v>9.6100000000000005E-2</v>
      </c>
      <c r="AH15" s="24">
        <v>9.8799999999999999E-2</v>
      </c>
      <c r="AI15" s="24">
        <v>0.1013</v>
      </c>
      <c r="AJ15" s="24">
        <v>0.1036</v>
      </c>
      <c r="AK15" s="24">
        <v>0.1056</v>
      </c>
      <c r="AL15" s="24">
        <v>0.1075</v>
      </c>
      <c r="AM15" s="24">
        <v>0.10920000000000001</v>
      </c>
      <c r="AN15" s="24">
        <v>0.1108</v>
      </c>
      <c r="AO15" s="24">
        <v>0.1123</v>
      </c>
      <c r="AP15" s="24">
        <v>0.11360000000000001</v>
      </c>
      <c r="AQ15" s="24">
        <v>0.1149</v>
      </c>
      <c r="AR15" s="24">
        <v>0.11600000000000001</v>
      </c>
      <c r="AS15" s="24">
        <v>0.11700000000000001</v>
      </c>
      <c r="AT15" s="24">
        <v>0.11799999999999999</v>
      </c>
      <c r="AU15" s="24">
        <v>0.11890000000000001</v>
      </c>
      <c r="AV15" s="24">
        <v>0.1197</v>
      </c>
      <c r="AW15" s="24">
        <v>0.1205</v>
      </c>
      <c r="AX15" s="24">
        <v>0.1212</v>
      </c>
    </row>
    <row r="16" spans="1:50">
      <c r="A16" t="s">
        <v>312</v>
      </c>
      <c r="V16" s="24">
        <v>1.2200000000000001E-2</v>
      </c>
      <c r="W16" s="24">
        <v>2.2800000000000001E-2</v>
      </c>
      <c r="X16" s="24">
        <v>3.2099999999999997E-2</v>
      </c>
      <c r="Y16" s="24">
        <v>4.0300000000000002E-2</v>
      </c>
      <c r="Z16" s="24">
        <v>4.7600000000000003E-2</v>
      </c>
      <c r="AA16" s="24">
        <v>5.3999999999999999E-2</v>
      </c>
      <c r="AB16" s="24">
        <v>5.9799999999999999E-2</v>
      </c>
      <c r="AC16" s="24">
        <v>6.5000000000000002E-2</v>
      </c>
      <c r="AD16" s="24">
        <v>6.9699999999999998E-2</v>
      </c>
      <c r="AE16" s="24">
        <v>7.3899999999999993E-2</v>
      </c>
      <c r="AF16" s="24">
        <v>7.7700000000000005E-2</v>
      </c>
      <c r="AG16" s="24">
        <v>8.1199999999999994E-2</v>
      </c>
      <c r="AH16" s="24">
        <v>8.4400000000000003E-2</v>
      </c>
      <c r="AI16" s="24">
        <v>8.7300000000000003E-2</v>
      </c>
      <c r="AJ16" s="24">
        <v>0.09</v>
      </c>
      <c r="AK16" s="24">
        <v>9.2399999999999996E-2</v>
      </c>
      <c r="AL16" s="24">
        <v>9.4700000000000006E-2</v>
      </c>
      <c r="AM16" s="24">
        <v>9.6699999999999994E-2</v>
      </c>
      <c r="AN16" s="24">
        <v>9.8599999999999993E-2</v>
      </c>
      <c r="AO16" s="24">
        <v>0.1004</v>
      </c>
      <c r="AP16" s="24">
        <v>0.10199999999999999</v>
      </c>
      <c r="AQ16" s="24">
        <v>0.10349999999999999</v>
      </c>
      <c r="AR16" s="24">
        <v>0.10489999999999999</v>
      </c>
      <c r="AS16" s="24">
        <v>0.1062</v>
      </c>
      <c r="AT16" s="24">
        <v>0.10730000000000001</v>
      </c>
      <c r="AU16" s="24">
        <v>0.1085</v>
      </c>
      <c r="AV16" s="24">
        <v>0.1095</v>
      </c>
      <c r="AW16" s="24">
        <v>0.1105</v>
      </c>
      <c r="AX16" s="24">
        <v>0.1113</v>
      </c>
    </row>
    <row r="17" spans="1:50">
      <c r="A17" t="s">
        <v>313</v>
      </c>
      <c r="W17" s="24">
        <v>0</v>
      </c>
      <c r="X17" s="24">
        <v>1.0699999999999999E-2</v>
      </c>
      <c r="Y17" s="24">
        <v>0.02</v>
      </c>
      <c r="Z17" s="24">
        <v>2.8400000000000002E-2</v>
      </c>
      <c r="AA17" s="24">
        <v>3.5799999999999998E-2</v>
      </c>
      <c r="AB17" s="24">
        <v>4.24E-2</v>
      </c>
      <c r="AC17" s="24">
        <v>4.8300000000000003E-2</v>
      </c>
      <c r="AD17" s="24">
        <v>5.3699999999999998E-2</v>
      </c>
      <c r="AE17" s="24">
        <v>5.8500000000000003E-2</v>
      </c>
      <c r="AF17" s="24">
        <v>6.2899999999999998E-2</v>
      </c>
      <c r="AG17" s="24">
        <v>6.6900000000000001E-2</v>
      </c>
      <c r="AH17" s="24">
        <v>7.0599999999999996E-2</v>
      </c>
      <c r="AI17" s="24">
        <v>7.3899999999999993E-2</v>
      </c>
      <c r="AJ17" s="24">
        <v>7.6999999999999999E-2</v>
      </c>
      <c r="AK17" s="24">
        <v>7.9799999999999996E-2</v>
      </c>
      <c r="AL17" s="24">
        <v>8.2400000000000001E-2</v>
      </c>
      <c r="AM17" s="24">
        <v>8.48E-2</v>
      </c>
      <c r="AN17" s="24">
        <v>8.6999999999999994E-2</v>
      </c>
      <c r="AO17" s="24">
        <v>8.9099999999999999E-2</v>
      </c>
      <c r="AP17" s="24">
        <v>9.0899999999999995E-2</v>
      </c>
      <c r="AQ17" s="24">
        <v>9.2700000000000005E-2</v>
      </c>
      <c r="AR17" s="24">
        <v>9.4299999999999995E-2</v>
      </c>
      <c r="AS17" s="24">
        <v>9.5899999999999999E-2</v>
      </c>
      <c r="AT17" s="24">
        <v>9.7199999999999995E-2</v>
      </c>
      <c r="AU17" s="24">
        <v>9.8599999999999993E-2</v>
      </c>
      <c r="AV17" s="24">
        <v>9.98E-2</v>
      </c>
      <c r="AW17" s="24">
        <v>0.10100000000000001</v>
      </c>
      <c r="AX17" s="24">
        <v>0.10199999999999999</v>
      </c>
    </row>
    <row r="18" spans="1:50">
      <c r="A18" t="s">
        <v>314</v>
      </c>
      <c r="Y18" s="24">
        <v>0</v>
      </c>
      <c r="Z18" s="24">
        <v>9.4000000000000004E-3</v>
      </c>
      <c r="AA18" s="24">
        <v>1.78E-2</v>
      </c>
      <c r="AB18" s="24">
        <v>2.53E-2</v>
      </c>
      <c r="AC18" s="24">
        <v>3.2000000000000001E-2</v>
      </c>
      <c r="AD18" s="24">
        <v>3.8100000000000002E-2</v>
      </c>
      <c r="AE18" s="24">
        <v>4.3499999999999997E-2</v>
      </c>
      <c r="AF18" s="24">
        <v>4.8500000000000001E-2</v>
      </c>
      <c r="AG18" s="24">
        <v>5.2999999999999999E-2</v>
      </c>
      <c r="AH18" s="24">
        <v>5.7200000000000001E-2</v>
      </c>
      <c r="AI18" s="24">
        <v>6.0999999999999999E-2</v>
      </c>
      <c r="AJ18" s="24">
        <v>6.4500000000000002E-2</v>
      </c>
      <c r="AK18" s="24">
        <v>6.7699999999999996E-2</v>
      </c>
      <c r="AL18" s="24">
        <v>7.0599999999999996E-2</v>
      </c>
      <c r="AM18" s="24">
        <v>7.3300000000000004E-2</v>
      </c>
      <c r="AN18" s="24">
        <v>7.5899999999999995E-2</v>
      </c>
      <c r="AO18" s="24">
        <v>7.8200000000000006E-2</v>
      </c>
      <c r="AP18" s="24">
        <v>8.0399999999999999E-2</v>
      </c>
      <c r="AQ18" s="24">
        <v>8.2400000000000001E-2</v>
      </c>
      <c r="AR18" s="24">
        <v>8.4199999999999997E-2</v>
      </c>
      <c r="AS18" s="24">
        <v>8.5999999999999993E-2</v>
      </c>
      <c r="AT18" s="24">
        <v>8.7599999999999997E-2</v>
      </c>
      <c r="AU18" s="24">
        <v>8.9200000000000002E-2</v>
      </c>
      <c r="AV18" s="24">
        <v>9.06E-2</v>
      </c>
      <c r="AW18" s="24">
        <v>0.91900000000000004</v>
      </c>
      <c r="AX18" s="24">
        <v>9.3200000000000005E-2</v>
      </c>
    </row>
    <row r="19" spans="1:50">
      <c r="A19" t="s">
        <v>2029</v>
      </c>
      <c r="AA19" s="24">
        <v>0</v>
      </c>
      <c r="AB19" s="24">
        <v>8.3999999999999995E-3</v>
      </c>
      <c r="AC19" s="24">
        <v>1.5900000000000001E-2</v>
      </c>
      <c r="AD19" s="24">
        <v>2.2700000000000001E-2</v>
      </c>
      <c r="AE19" s="24">
        <v>2.8899999999999999E-2</v>
      </c>
      <c r="AF19" s="24">
        <v>3.44E-2</v>
      </c>
      <c r="AG19" s="24">
        <v>3.95E-2</v>
      </c>
      <c r="AH19" s="24">
        <v>4.41E-2</v>
      </c>
      <c r="AI19" s="24">
        <v>4.8399999999999999E-2</v>
      </c>
      <c r="AJ19" s="24">
        <v>5.2299999999999999E-2</v>
      </c>
      <c r="AK19" s="24">
        <v>5.5899999999999998E-2</v>
      </c>
      <c r="AL19" s="24">
        <v>5.9200000000000003E-2</v>
      </c>
      <c r="AM19" s="24">
        <v>6.2199999999999998E-2</v>
      </c>
      <c r="AN19" s="24">
        <v>6.5100000000000005E-2</v>
      </c>
      <c r="AO19" s="24">
        <v>6.7699999999999996E-2</v>
      </c>
      <c r="AP19" s="24">
        <v>7.0099999999999996E-2</v>
      </c>
      <c r="AQ19" s="24">
        <v>7.2400000000000006E-2</v>
      </c>
      <c r="AR19" s="24">
        <v>7.4499999999999997E-2</v>
      </c>
      <c r="AS19" s="24">
        <v>7.6499999999999999E-2</v>
      </c>
      <c r="AT19" s="24">
        <v>7.8299999999999995E-2</v>
      </c>
      <c r="AU19" s="24">
        <v>8.0100000000000005E-2</v>
      </c>
      <c r="AV19" s="24">
        <v>8.1699999999999995E-2</v>
      </c>
      <c r="AW19" s="24">
        <v>8.3199999999999996E-2</v>
      </c>
      <c r="AX19" s="24">
        <v>8.4599999999999995E-2</v>
      </c>
    </row>
    <row r="20" spans="1:50">
      <c r="A20" t="s">
        <v>2030</v>
      </c>
      <c r="AA20" s="24" t="s">
        <v>2031</v>
      </c>
      <c r="AB20" s="24" t="s">
        <v>2031</v>
      </c>
      <c r="AC20" s="24">
        <v>0</v>
      </c>
      <c r="AD20" s="24">
        <v>7.6E-3</v>
      </c>
      <c r="AE20" s="24">
        <v>1.44E-2</v>
      </c>
      <c r="AF20" s="24">
        <v>2.06E-2</v>
      </c>
      <c r="AG20" s="24">
        <v>2.6200000000000001E-2</v>
      </c>
      <c r="AH20" s="24">
        <v>3.1399999999999997E-2</v>
      </c>
      <c r="AI20" s="24">
        <v>3.61E-2</v>
      </c>
      <c r="AJ20" s="24">
        <v>4.0399999999999998E-2</v>
      </c>
      <c r="AK20" s="24">
        <v>4.4400000000000002E-2</v>
      </c>
      <c r="AL20" s="24">
        <v>4.8099999999999997E-2</v>
      </c>
      <c r="AM20" s="24">
        <v>5.1499999999999997E-2</v>
      </c>
      <c r="AN20" s="24">
        <v>5.4600000000000003E-2</v>
      </c>
      <c r="AO20" s="24">
        <v>5.7500000000000002E-2</v>
      </c>
      <c r="AP20" s="24">
        <v>6.0199999999999997E-2</v>
      </c>
      <c r="AQ20" s="24">
        <v>6.2799999999999995E-2</v>
      </c>
      <c r="AR20" s="24">
        <v>6.5100000000000005E-2</v>
      </c>
      <c r="AS20" s="24">
        <v>6.7299999999999999E-2</v>
      </c>
      <c r="AT20" s="24">
        <v>6.9400000000000003E-2</v>
      </c>
      <c r="AU20" s="24">
        <v>7.1300000000000002E-2</v>
      </c>
      <c r="AV20" s="24">
        <v>7.3099999999999998E-2</v>
      </c>
      <c r="AW20" s="24">
        <v>7.4800000000000005E-2</v>
      </c>
      <c r="AX20" s="24">
        <v>7.6399999999999996E-2</v>
      </c>
    </row>
    <row r="21" spans="1:50">
      <c r="A21" t="s">
        <v>2032</v>
      </c>
      <c r="AA21" s="24"/>
      <c r="AB21" s="24"/>
      <c r="AC21" s="24" t="s">
        <v>2031</v>
      </c>
      <c r="AD21" s="24" t="s">
        <v>2031</v>
      </c>
      <c r="AE21" s="24">
        <v>0</v>
      </c>
      <c r="AF21" s="24">
        <v>6.7999999999999996E-3</v>
      </c>
      <c r="AG21" s="24">
        <v>1.3100000000000001E-2</v>
      </c>
      <c r="AH21" s="24">
        <v>1.8700000000000001E-2</v>
      </c>
      <c r="AI21" s="24">
        <v>2.3900000000000001E-2</v>
      </c>
      <c r="AJ21" s="24">
        <v>2.87E-2</v>
      </c>
      <c r="AK21" s="24">
        <v>3.3099999999999997E-2</v>
      </c>
      <c r="AL21" s="24">
        <v>3.7199999999999997E-2</v>
      </c>
      <c r="AM21" s="24">
        <v>4.0899999999999999E-2</v>
      </c>
      <c r="AN21" s="24">
        <v>4.4400000000000002E-2</v>
      </c>
      <c r="AO21" s="24">
        <v>4.7600000000000003E-2</v>
      </c>
      <c r="AP21" s="24">
        <v>5.0599999999999999E-2</v>
      </c>
      <c r="AQ21" s="24">
        <v>5.3400000000000003E-2</v>
      </c>
      <c r="AR21" s="24">
        <v>5.6000000000000001E-2</v>
      </c>
      <c r="AS21" s="24">
        <v>5.8400000000000001E-2</v>
      </c>
      <c r="AT21" s="24">
        <v>6.0699999999999997E-2</v>
      </c>
      <c r="AU21" s="24">
        <v>6.2799999999999995E-2</v>
      </c>
      <c r="AV21" s="24">
        <v>6.4799999999999996E-2</v>
      </c>
      <c r="AW21" s="24">
        <v>6.6699999999999995E-2</v>
      </c>
      <c r="AX21" s="24">
        <v>6.8500000000000005E-2</v>
      </c>
    </row>
    <row r="22" spans="1:50">
      <c r="A22" t="s">
        <v>2033</v>
      </c>
      <c r="AA22" s="24"/>
      <c r="AB22" s="24"/>
      <c r="AC22" s="24" t="s">
        <v>2031</v>
      </c>
      <c r="AD22" s="24" t="s">
        <v>2031</v>
      </c>
      <c r="AE22" s="24" t="s">
        <v>2031</v>
      </c>
      <c r="AF22" s="24" t="s">
        <v>2031</v>
      </c>
      <c r="AG22" s="24">
        <v>0</v>
      </c>
      <c r="AH22" s="24">
        <v>6.1999999999999998E-3</v>
      </c>
      <c r="AI22" s="24">
        <v>1.1900000000000001E-2</v>
      </c>
      <c r="AJ22" s="24">
        <v>1.72E-2</v>
      </c>
      <c r="AK22" s="24">
        <v>2.1999999999999999E-2</v>
      </c>
      <c r="AL22" s="24">
        <v>2.64E-2</v>
      </c>
      <c r="AM22" s="24">
        <v>3.0499999999999999E-2</v>
      </c>
      <c r="AN22" s="24">
        <v>3.4299999999999997E-2</v>
      </c>
      <c r="AO22" s="24">
        <v>3.7900000000000003E-2</v>
      </c>
      <c r="AP22" s="24">
        <v>4.1099999999999998E-2</v>
      </c>
      <c r="AQ22" s="24">
        <v>4.4200000000000003E-2</v>
      </c>
      <c r="AR22" s="24">
        <v>4.7100000000000003E-2</v>
      </c>
      <c r="AS22" s="24">
        <v>4.9700000000000001E-2</v>
      </c>
      <c r="AT22" s="24">
        <v>5.2200000000000003E-2</v>
      </c>
      <c r="AU22" s="24">
        <v>5.4600000000000003E-2</v>
      </c>
      <c r="AV22" s="24">
        <v>5.6800000000000003E-2</v>
      </c>
      <c r="AW22" s="24">
        <v>5.8799999999999998E-2</v>
      </c>
      <c r="AX22" s="24">
        <v>6.08E-2</v>
      </c>
    </row>
    <row r="23" spans="1:50">
      <c r="A23" t="s">
        <v>2034</v>
      </c>
      <c r="AA23" s="24"/>
      <c r="AB23" s="24"/>
      <c r="AC23" s="24" t="s">
        <v>2031</v>
      </c>
      <c r="AD23" s="24" t="s">
        <v>2031</v>
      </c>
      <c r="AE23" s="24" t="s">
        <v>2031</v>
      </c>
      <c r="AF23" s="24" t="s">
        <v>2031</v>
      </c>
      <c r="AG23" s="24" t="s">
        <v>2031</v>
      </c>
      <c r="AH23" s="24" t="s">
        <v>2031</v>
      </c>
      <c r="AI23" s="24">
        <v>0</v>
      </c>
      <c r="AJ23" s="24">
        <v>5.7000000000000002E-3</v>
      </c>
      <c r="AK23" s="24">
        <v>1.0999999999999999E-2</v>
      </c>
      <c r="AL23" s="24">
        <v>1.5800000000000002E-2</v>
      </c>
      <c r="AM23" s="24">
        <v>2.0299999999999999E-2</v>
      </c>
      <c r="AN23" s="24">
        <v>2.4400000000000002E-2</v>
      </c>
      <c r="AO23" s="24">
        <v>2.8299999999999999E-2</v>
      </c>
      <c r="AP23" s="24">
        <v>3.1800000000000002E-2</v>
      </c>
      <c r="AQ23" s="24">
        <v>3.5200000000000002E-2</v>
      </c>
      <c r="AR23" s="24">
        <v>3.8300000000000001E-2</v>
      </c>
      <c r="AS23" s="24">
        <v>4.1200000000000001E-2</v>
      </c>
      <c r="AT23" s="24">
        <v>4.3900000000000002E-2</v>
      </c>
      <c r="AU23" s="24">
        <v>4.65E-2</v>
      </c>
      <c r="AV23" s="24">
        <v>4.8899999999999999E-2</v>
      </c>
      <c r="AW23" s="24">
        <v>5.11E-2</v>
      </c>
      <c r="AX23" s="24">
        <v>5.3199999999999997E-2</v>
      </c>
    </row>
    <row r="24" spans="1:50">
      <c r="A24" t="s">
        <v>2035</v>
      </c>
      <c r="AK24" s="24">
        <v>0</v>
      </c>
      <c r="AL24" s="24">
        <v>5.3E-3</v>
      </c>
      <c r="AM24" s="24">
        <v>1.01E-2</v>
      </c>
      <c r="AN24" s="24">
        <v>1.46E-2</v>
      </c>
      <c r="AO24" s="24">
        <v>1.8800000000000001E-2</v>
      </c>
      <c r="AP24" s="24">
        <v>2.2700000000000001E-2</v>
      </c>
      <c r="AQ24" s="24">
        <v>2.63E-2</v>
      </c>
      <c r="AR24" s="24">
        <v>2.9600000000000001E-2</v>
      </c>
      <c r="AS24" s="24">
        <v>3.2800000000000003E-2</v>
      </c>
      <c r="AT24" s="24">
        <v>3.5700000000000003E-2</v>
      </c>
      <c r="AU24" s="24">
        <v>3.85E-2</v>
      </c>
      <c r="AV24" s="24">
        <v>4.1099999999999998E-2</v>
      </c>
      <c r="AW24" s="24">
        <v>4.36E-2</v>
      </c>
      <c r="AX24" s="24">
        <v>4.5900000000000003E-2</v>
      </c>
    </row>
    <row r="25" spans="1:50">
      <c r="A25" t="s">
        <v>2036</v>
      </c>
      <c r="AM25" s="24">
        <v>0</v>
      </c>
      <c r="AN25" s="24">
        <v>4.8999999999999998E-3</v>
      </c>
      <c r="AO25" s="24">
        <v>9.4000000000000004E-3</v>
      </c>
      <c r="AP25" s="24">
        <v>1.3599999999999999E-2</v>
      </c>
      <c r="AQ25" s="24">
        <v>1.7500000000000002E-2</v>
      </c>
      <c r="AR25" s="24">
        <v>2.1100000000000001E-2</v>
      </c>
      <c r="AS25" s="24">
        <v>2.4500000000000001E-2</v>
      </c>
      <c r="AT25" s="24">
        <v>2.7699999999999999E-2</v>
      </c>
      <c r="AU25" s="24">
        <v>3.0700000000000002E-2</v>
      </c>
      <c r="AV25" s="24">
        <v>3.3500000000000002E-2</v>
      </c>
      <c r="AW25" s="24">
        <v>3.61E-2</v>
      </c>
      <c r="AX25" s="24">
        <v>3.8600000000000002E-2</v>
      </c>
    </row>
    <row r="26" spans="1:50">
      <c r="A26" t="s">
        <v>2037</v>
      </c>
      <c r="AO26" s="24">
        <v>0</v>
      </c>
      <c r="AP26" s="24">
        <v>4.4999999999999997E-3</v>
      </c>
      <c r="AQ26" s="24">
        <v>8.6999999999999994E-3</v>
      </c>
      <c r="AR26" s="24">
        <v>1.26E-2</v>
      </c>
      <c r="AS26" s="24">
        <v>1.6299999999999999E-2</v>
      </c>
      <c r="AT26" s="24">
        <v>1.9699999999999999E-2</v>
      </c>
      <c r="AU26" s="24">
        <v>2.29E-2</v>
      </c>
      <c r="AV26" s="24">
        <v>2.5899999999999999E-2</v>
      </c>
      <c r="AW26" s="24">
        <v>2.8799999999999999E-2</v>
      </c>
      <c r="AX26" s="24">
        <v>3.1399999999999997E-2</v>
      </c>
    </row>
    <row r="27" spans="1:50">
      <c r="A27" t="s">
        <v>2038</v>
      </c>
      <c r="AQ27" s="24">
        <v>0</v>
      </c>
      <c r="AR27" s="24">
        <v>4.1999999999999997E-3</v>
      </c>
      <c r="AS27" s="24">
        <v>8.0999999999999996E-3</v>
      </c>
      <c r="AT27" s="24">
        <v>1.18E-2</v>
      </c>
      <c r="AU27" s="24">
        <v>1.5299999999999999E-2</v>
      </c>
      <c r="AV27" s="24">
        <v>1.8499999999999999E-2</v>
      </c>
      <c r="AW27" s="24">
        <v>2.1499999999999998E-2</v>
      </c>
      <c r="AX27" s="24">
        <v>2.4400000000000002E-2</v>
      </c>
    </row>
    <row r="28" spans="1:50">
      <c r="A28" t="s">
        <v>2039</v>
      </c>
      <c r="AS28" s="24">
        <v>0</v>
      </c>
      <c r="AT28" s="24">
        <v>3.8999999999999998E-3</v>
      </c>
      <c r="AU28" s="24">
        <v>7.6E-3</v>
      </c>
      <c r="AV28" s="24">
        <v>1.11E-2</v>
      </c>
      <c r="AW28" s="24">
        <v>1.43E-2</v>
      </c>
      <c r="AX28" s="24">
        <v>1.7399999999999999E-2</v>
      </c>
    </row>
    <row r="29" spans="1:50">
      <c r="A29" t="s">
        <v>2040</v>
      </c>
      <c r="AT29" s="24"/>
      <c r="AU29" s="24">
        <v>0</v>
      </c>
      <c r="AV29" s="24">
        <v>3.7000000000000002E-3</v>
      </c>
      <c r="AW29" s="24">
        <v>7.1000000000000004E-3</v>
      </c>
      <c r="AX29" s="24">
        <v>1.04E-2</v>
      </c>
    </row>
    <row r="30" spans="1:50">
      <c r="A30" t="s">
        <v>2041</v>
      </c>
      <c r="AT30" s="24"/>
      <c r="AU30" s="24"/>
      <c r="AV30" s="24"/>
      <c r="AW30" s="24">
        <v>0</v>
      </c>
      <c r="AX30" s="24">
        <v>3.5000000000000001E-3</v>
      </c>
    </row>
    <row r="31" spans="1:50">
      <c r="AT31" s="24"/>
      <c r="AU31" s="24"/>
      <c r="AV31" s="24"/>
      <c r="AW31" s="24"/>
    </row>
    <row r="32" spans="1:50">
      <c r="A32" s="1" t="s">
        <v>2991</v>
      </c>
    </row>
    <row r="33" spans="1:10" customFormat="1">
      <c r="A33" s="1"/>
    </row>
    <row r="34" spans="1:10" customFormat="1" ht="23.4">
      <c r="A34" t="s">
        <v>315</v>
      </c>
      <c r="B34">
        <v>0.01</v>
      </c>
      <c r="C34">
        <v>0.02</v>
      </c>
      <c r="D34">
        <v>0.05</v>
      </c>
      <c r="E34">
        <v>0.1</v>
      </c>
      <c r="F34">
        <v>0.5</v>
      </c>
      <c r="G34">
        <v>0.9</v>
      </c>
      <c r="H34">
        <v>0.95</v>
      </c>
      <c r="I34">
        <v>0.98</v>
      </c>
      <c r="J34">
        <v>0.99</v>
      </c>
    </row>
    <row r="35" spans="1:10" customFormat="1">
      <c r="A35">
        <v>3</v>
      </c>
      <c r="B35" s="873">
        <v>0.753</v>
      </c>
      <c r="C35" s="103">
        <v>0.75600000000000001</v>
      </c>
      <c r="D35" s="103">
        <v>0.76700000000000002</v>
      </c>
      <c r="E35" s="103">
        <v>0.78900000000000003</v>
      </c>
      <c r="F35" s="103">
        <v>0.95899999999999996</v>
      </c>
      <c r="G35" s="103">
        <v>0.998</v>
      </c>
      <c r="H35" s="103">
        <v>0.999</v>
      </c>
      <c r="I35" s="103">
        <v>1</v>
      </c>
      <c r="J35" s="874">
        <v>1</v>
      </c>
    </row>
    <row r="36" spans="1:10" customFormat="1">
      <c r="A36">
        <f>A35+1</f>
        <v>4</v>
      </c>
      <c r="B36" s="875">
        <v>0.68700000000000006</v>
      </c>
      <c r="C36" s="104">
        <v>0.70699999999999996</v>
      </c>
      <c r="D36" s="104">
        <v>0.748</v>
      </c>
      <c r="E36" s="104">
        <v>0.79200000000000004</v>
      </c>
      <c r="F36" s="104">
        <v>0.93500000000000005</v>
      </c>
      <c r="G36" s="104">
        <v>0.98699999999999999</v>
      </c>
      <c r="H36" s="104">
        <v>0.99199999999999999</v>
      </c>
      <c r="I36" s="104">
        <v>0.996</v>
      </c>
      <c r="J36" s="876">
        <v>0.997</v>
      </c>
    </row>
    <row r="37" spans="1:10" customFormat="1">
      <c r="A37">
        <f t="shared" ref="A37:A82" si="2">A36+1</f>
        <v>5</v>
      </c>
      <c r="B37" s="875">
        <v>0.68600000000000005</v>
      </c>
      <c r="C37" s="104">
        <v>0.71499999999999997</v>
      </c>
      <c r="D37" s="104">
        <v>0.76200000000000001</v>
      </c>
      <c r="E37" s="104">
        <v>0.80600000000000005</v>
      </c>
      <c r="F37" s="104">
        <v>0.92700000000000005</v>
      </c>
      <c r="G37" s="104">
        <v>0.97899999999999998</v>
      </c>
      <c r="H37" s="104">
        <v>0.98599999999999999</v>
      </c>
      <c r="I37" s="104">
        <v>0.99099999999999999</v>
      </c>
      <c r="J37" s="876">
        <v>0.99299999999999999</v>
      </c>
    </row>
    <row r="38" spans="1:10" customFormat="1">
      <c r="A38">
        <f t="shared" si="2"/>
        <v>6</v>
      </c>
      <c r="B38" s="875">
        <v>0.71299999999999997</v>
      </c>
      <c r="C38" s="104">
        <v>0.74299999999999999</v>
      </c>
      <c r="D38" s="104">
        <v>0.78800000000000003</v>
      </c>
      <c r="E38" s="104">
        <v>0.82599999999999996</v>
      </c>
      <c r="F38" s="104">
        <v>0.92700000000000005</v>
      </c>
      <c r="G38" s="104">
        <v>0.97399999999999998</v>
      </c>
      <c r="H38" s="104">
        <v>0.98099999999999998</v>
      </c>
      <c r="I38" s="104">
        <v>0.98599999999999999</v>
      </c>
      <c r="J38" s="876">
        <v>0.98899999999999999</v>
      </c>
    </row>
    <row r="39" spans="1:10" customFormat="1">
      <c r="A39">
        <f t="shared" si="2"/>
        <v>7</v>
      </c>
      <c r="B39" s="875">
        <v>0.73</v>
      </c>
      <c r="C39" s="104">
        <v>0.76</v>
      </c>
      <c r="D39" s="104">
        <v>0.80300000000000005</v>
      </c>
      <c r="E39" s="104">
        <v>0.83799999999999997</v>
      </c>
      <c r="F39" s="104">
        <v>0.92800000000000005</v>
      </c>
      <c r="G39" s="104">
        <v>0.97199999999999998</v>
      </c>
      <c r="H39" s="104">
        <v>0.97899999999999998</v>
      </c>
      <c r="I39" s="104">
        <v>0.98499999999999999</v>
      </c>
      <c r="J39" s="876">
        <v>0.98799999999999999</v>
      </c>
    </row>
    <row r="40" spans="1:10" customFormat="1">
      <c r="A40">
        <f t="shared" si="2"/>
        <v>8</v>
      </c>
      <c r="B40" s="875">
        <v>0.749</v>
      </c>
      <c r="C40" s="104">
        <v>0.77800000000000002</v>
      </c>
      <c r="D40" s="104">
        <v>0.81799999999999995</v>
      </c>
      <c r="E40" s="104">
        <v>0.85099999999999998</v>
      </c>
      <c r="F40" s="104">
        <v>0.93200000000000005</v>
      </c>
      <c r="G40" s="104">
        <v>0.97199999999999998</v>
      </c>
      <c r="H40" s="104">
        <v>0.97799999999999998</v>
      </c>
      <c r="I40" s="104">
        <v>0.98399999999999999</v>
      </c>
      <c r="J40" s="876">
        <v>0.98699999999999999</v>
      </c>
    </row>
    <row r="41" spans="1:10" customFormat="1">
      <c r="A41">
        <f t="shared" si="2"/>
        <v>9</v>
      </c>
      <c r="B41" s="875">
        <v>0.76400000000000001</v>
      </c>
      <c r="C41" s="104">
        <v>0.79100000000000004</v>
      </c>
      <c r="D41" s="104">
        <v>0.82899999999999996</v>
      </c>
      <c r="E41" s="104">
        <v>0.85899999999999999</v>
      </c>
      <c r="F41" s="104">
        <v>0.93500000000000005</v>
      </c>
      <c r="G41" s="104">
        <v>0.97199999999999998</v>
      </c>
      <c r="H41" s="104">
        <v>0.97799999999999998</v>
      </c>
      <c r="I41" s="104">
        <v>0.98399999999999999</v>
      </c>
      <c r="J41" s="876">
        <v>0.98599999999999999</v>
      </c>
    </row>
    <row r="42" spans="1:10" customFormat="1">
      <c r="A42">
        <f t="shared" si="2"/>
        <v>10</v>
      </c>
      <c r="B42" s="875">
        <v>0.78100000000000003</v>
      </c>
      <c r="C42" s="104">
        <v>0.80600000000000005</v>
      </c>
      <c r="D42" s="104">
        <v>0.84199999999999997</v>
      </c>
      <c r="E42" s="104">
        <v>0.86899999999999999</v>
      </c>
      <c r="F42" s="104">
        <v>0.93799999999999994</v>
      </c>
      <c r="G42" s="104">
        <v>0.97199999999999998</v>
      </c>
      <c r="H42" s="104">
        <v>0.97799999999999998</v>
      </c>
      <c r="I42" s="104">
        <v>0.98299999999999998</v>
      </c>
      <c r="J42" s="876">
        <v>0.98599999999999999</v>
      </c>
    </row>
    <row r="43" spans="1:10" customFormat="1">
      <c r="A43">
        <f t="shared" si="2"/>
        <v>11</v>
      </c>
      <c r="B43" s="875">
        <v>0.79200000000000004</v>
      </c>
      <c r="C43" s="104">
        <v>0.81699999999999995</v>
      </c>
      <c r="D43" s="104">
        <v>0.85</v>
      </c>
      <c r="E43" s="104">
        <v>0.876</v>
      </c>
      <c r="F43" s="104">
        <v>0.94</v>
      </c>
      <c r="G43" s="104">
        <v>0.97299999999999998</v>
      </c>
      <c r="H43" s="104">
        <v>0.97899999999999998</v>
      </c>
      <c r="I43" s="104">
        <v>0.98399999999999999</v>
      </c>
      <c r="J43" s="876">
        <v>0.98599999999999999</v>
      </c>
    </row>
    <row r="44" spans="1:10" customFormat="1">
      <c r="A44">
        <f t="shared" si="2"/>
        <v>12</v>
      </c>
      <c r="B44" s="875">
        <v>0.80500000000000005</v>
      </c>
      <c r="C44" s="104">
        <v>0.82799999999999996</v>
      </c>
      <c r="D44" s="104">
        <v>0.85899999999999999</v>
      </c>
      <c r="E44" s="104">
        <v>0.88300000000000001</v>
      </c>
      <c r="F44" s="104">
        <v>0.94299999999999995</v>
      </c>
      <c r="G44" s="104">
        <v>0.97299999999999998</v>
      </c>
      <c r="H44" s="104">
        <v>0.97899999999999998</v>
      </c>
      <c r="I44" s="104">
        <v>0.98399999999999999</v>
      </c>
      <c r="J44" s="876">
        <v>0.98599999999999999</v>
      </c>
    </row>
    <row r="45" spans="1:10" customFormat="1">
      <c r="A45">
        <f t="shared" si="2"/>
        <v>13</v>
      </c>
      <c r="B45" s="875">
        <v>0.81399999999999995</v>
      </c>
      <c r="C45" s="104">
        <v>0.83699999999999997</v>
      </c>
      <c r="D45" s="104">
        <v>0.86599999999999999</v>
      </c>
      <c r="E45" s="104">
        <v>0.88900000000000001</v>
      </c>
      <c r="F45" s="104">
        <v>0.94499999999999995</v>
      </c>
      <c r="G45" s="104">
        <v>0.97399999999999998</v>
      </c>
      <c r="H45" s="104">
        <v>0.97899999999999998</v>
      </c>
      <c r="I45" s="104">
        <v>0.98399999999999999</v>
      </c>
      <c r="J45" s="876">
        <v>0.98599999999999999</v>
      </c>
    </row>
    <row r="46" spans="1:10" customFormat="1">
      <c r="A46">
        <f t="shared" si="2"/>
        <v>14</v>
      </c>
      <c r="B46" s="875">
        <v>0.82499999999999996</v>
      </c>
      <c r="C46" s="104">
        <v>0.84599999999999997</v>
      </c>
      <c r="D46" s="104">
        <v>0.874</v>
      </c>
      <c r="E46" s="104">
        <v>0.89500000000000002</v>
      </c>
      <c r="F46" s="104">
        <v>0.94699999999999995</v>
      </c>
      <c r="G46" s="104">
        <v>0.97499999999999998</v>
      </c>
      <c r="H46" s="104">
        <v>0.98</v>
      </c>
      <c r="I46" s="104">
        <v>0.98399999999999999</v>
      </c>
      <c r="J46" s="876">
        <v>0.98599999999999999</v>
      </c>
    </row>
    <row r="47" spans="1:10" customFormat="1">
      <c r="A47">
        <f t="shared" si="2"/>
        <v>15</v>
      </c>
      <c r="B47" s="875">
        <v>0.83499999999999996</v>
      </c>
      <c r="C47" s="104">
        <v>0.85499999999999998</v>
      </c>
      <c r="D47" s="104">
        <v>0.88100000000000001</v>
      </c>
      <c r="E47" s="104">
        <v>0.90100000000000002</v>
      </c>
      <c r="F47" s="104">
        <v>0.95</v>
      </c>
      <c r="G47" s="104">
        <v>0.97499999999999998</v>
      </c>
      <c r="H47" s="104">
        <v>0.98</v>
      </c>
      <c r="I47" s="104">
        <v>0.98399999999999999</v>
      </c>
      <c r="J47" s="876">
        <v>0.98699999999999999</v>
      </c>
    </row>
    <row r="48" spans="1:10" customFormat="1">
      <c r="A48">
        <f t="shared" si="2"/>
        <v>16</v>
      </c>
      <c r="B48" s="875">
        <v>0.84399999999999997</v>
      </c>
      <c r="C48" s="104">
        <v>0.86299999999999999</v>
      </c>
      <c r="D48" s="104">
        <v>0.88700000000000001</v>
      </c>
      <c r="E48" s="104">
        <v>0.90600000000000003</v>
      </c>
      <c r="F48" s="104">
        <v>0.95199999999999996</v>
      </c>
      <c r="G48" s="104">
        <v>0.97599999999999998</v>
      </c>
      <c r="H48" s="104">
        <v>0.98099999999999998</v>
      </c>
      <c r="I48" s="104">
        <v>0.98499999999999999</v>
      </c>
      <c r="J48" s="876">
        <v>0.98699999999999999</v>
      </c>
    </row>
    <row r="49" spans="1:10" customFormat="1">
      <c r="A49">
        <f t="shared" si="2"/>
        <v>17</v>
      </c>
      <c r="B49" s="875">
        <v>0.85099999999999998</v>
      </c>
      <c r="C49" s="104">
        <v>0.86899999999999999</v>
      </c>
      <c r="D49" s="104">
        <v>0.89200000000000002</v>
      </c>
      <c r="E49" s="104">
        <v>0.91</v>
      </c>
      <c r="F49" s="104">
        <v>0.95399999999999996</v>
      </c>
      <c r="G49" s="104">
        <v>0.97699999999999998</v>
      </c>
      <c r="H49" s="104">
        <v>0.98099999999999998</v>
      </c>
      <c r="I49" s="104">
        <v>0.98499999999999999</v>
      </c>
      <c r="J49" s="876">
        <v>0.98699999999999999</v>
      </c>
    </row>
    <row r="50" spans="1:10" customFormat="1">
      <c r="A50">
        <f t="shared" si="2"/>
        <v>18</v>
      </c>
      <c r="B50" s="875">
        <v>0.85799999999999998</v>
      </c>
      <c r="C50" s="104">
        <v>0.874</v>
      </c>
      <c r="D50" s="104">
        <v>0.89700000000000002</v>
      </c>
      <c r="E50" s="104">
        <v>0.91400000000000003</v>
      </c>
      <c r="F50" s="104">
        <v>0.95599999999999996</v>
      </c>
      <c r="G50" s="104">
        <v>0.97799999999999998</v>
      </c>
      <c r="H50" s="104">
        <v>0.98199999999999998</v>
      </c>
      <c r="I50" s="104">
        <v>0.98599999999999999</v>
      </c>
      <c r="J50" s="876">
        <v>0.98799999999999999</v>
      </c>
    </row>
    <row r="51" spans="1:10" customFormat="1">
      <c r="A51">
        <f t="shared" si="2"/>
        <v>19</v>
      </c>
      <c r="B51" s="875">
        <v>0.86299999999999999</v>
      </c>
      <c r="C51" s="104">
        <v>0.879</v>
      </c>
      <c r="D51" s="104">
        <v>0.90100000000000002</v>
      </c>
      <c r="E51" s="104">
        <v>0.91700000000000004</v>
      </c>
      <c r="F51" s="104">
        <v>0.95699999999999996</v>
      </c>
      <c r="G51" s="104">
        <v>0.97799999999999998</v>
      </c>
      <c r="H51" s="104">
        <v>0.98199999999999998</v>
      </c>
      <c r="I51" s="104">
        <v>0.98599999999999999</v>
      </c>
      <c r="J51" s="876">
        <v>0.98799999999999999</v>
      </c>
    </row>
    <row r="52" spans="1:10" customFormat="1">
      <c r="A52">
        <f t="shared" si="2"/>
        <v>20</v>
      </c>
      <c r="B52" s="875">
        <v>0.86799999999999999</v>
      </c>
      <c r="C52" s="104">
        <v>0.88400000000000001</v>
      </c>
      <c r="D52" s="104">
        <v>0.90500000000000003</v>
      </c>
      <c r="E52" s="104">
        <v>0.92</v>
      </c>
      <c r="F52" s="104">
        <v>0.95899999999999996</v>
      </c>
      <c r="G52" s="104">
        <v>0.97899999999999998</v>
      </c>
      <c r="H52" s="104">
        <v>0.98299999999999998</v>
      </c>
      <c r="I52" s="104">
        <v>0.98599999999999999</v>
      </c>
      <c r="J52" s="876">
        <v>0.98799999999999999</v>
      </c>
    </row>
    <row r="53" spans="1:10" customFormat="1">
      <c r="A53">
        <f t="shared" si="2"/>
        <v>21</v>
      </c>
      <c r="B53" s="875">
        <v>0.873</v>
      </c>
      <c r="C53" s="104">
        <v>0.88800000000000001</v>
      </c>
      <c r="D53" s="104">
        <v>0.90800000000000003</v>
      </c>
      <c r="E53" s="104">
        <v>0.92300000000000004</v>
      </c>
      <c r="F53" s="104">
        <v>0.96</v>
      </c>
      <c r="G53" s="104">
        <v>0.98</v>
      </c>
      <c r="H53" s="104">
        <v>0.98299999999999998</v>
      </c>
      <c r="I53" s="104">
        <v>0.98699999999999999</v>
      </c>
      <c r="J53" s="876">
        <v>0.98899999999999999</v>
      </c>
    </row>
    <row r="54" spans="1:10" customFormat="1">
      <c r="A54">
        <f t="shared" si="2"/>
        <v>22</v>
      </c>
      <c r="B54" s="875">
        <v>0.878</v>
      </c>
      <c r="C54" s="104">
        <v>0.89200000000000002</v>
      </c>
      <c r="D54" s="104">
        <v>0.91100000000000003</v>
      </c>
      <c r="E54" s="104">
        <v>0.92600000000000005</v>
      </c>
      <c r="F54" s="104">
        <v>0.96099999999999997</v>
      </c>
      <c r="G54" s="104">
        <v>0.98</v>
      </c>
      <c r="H54" s="104">
        <v>0.98399999999999999</v>
      </c>
      <c r="I54" s="104">
        <v>0.98699999999999999</v>
      </c>
      <c r="J54" s="876">
        <v>0.98899999999999999</v>
      </c>
    </row>
    <row r="55" spans="1:10" customFormat="1">
      <c r="A55">
        <f t="shared" si="2"/>
        <v>23</v>
      </c>
      <c r="B55" s="875">
        <v>0.88100000000000001</v>
      </c>
      <c r="C55" s="104">
        <v>0.89500000000000002</v>
      </c>
      <c r="D55" s="104">
        <v>0.91400000000000003</v>
      </c>
      <c r="E55" s="104">
        <v>0.92800000000000005</v>
      </c>
      <c r="F55" s="104">
        <v>0.96199999999999997</v>
      </c>
      <c r="G55" s="104">
        <v>0.98099999999999998</v>
      </c>
      <c r="H55" s="104">
        <v>0.98399999999999999</v>
      </c>
      <c r="I55" s="104">
        <v>0.98699999999999999</v>
      </c>
      <c r="J55" s="876">
        <v>0.98899999999999999</v>
      </c>
    </row>
    <row r="56" spans="1:10" customFormat="1">
      <c r="A56">
        <f t="shared" si="2"/>
        <v>24</v>
      </c>
      <c r="B56" s="875">
        <v>0.88400000000000001</v>
      </c>
      <c r="C56" s="104">
        <v>0.89800000000000002</v>
      </c>
      <c r="D56" s="104">
        <v>0.91600000000000004</v>
      </c>
      <c r="E56" s="104">
        <v>0.93</v>
      </c>
      <c r="F56" s="104">
        <v>0.96299999999999997</v>
      </c>
      <c r="G56" s="104">
        <v>0.98099999999999998</v>
      </c>
      <c r="H56" s="104">
        <v>0.98399999999999999</v>
      </c>
      <c r="I56" s="104">
        <v>0.98699999999999999</v>
      </c>
      <c r="J56" s="876">
        <v>0.98899999999999999</v>
      </c>
    </row>
    <row r="57" spans="1:10" customFormat="1">
      <c r="A57">
        <f t="shared" si="2"/>
        <v>25</v>
      </c>
      <c r="B57" s="875">
        <v>0.88800000000000001</v>
      </c>
      <c r="C57" s="104">
        <v>0.90100000000000002</v>
      </c>
      <c r="D57" s="104">
        <v>0.91800000000000004</v>
      </c>
      <c r="E57" s="104">
        <v>0.93100000000000005</v>
      </c>
      <c r="F57" s="104">
        <v>0.96399999999999997</v>
      </c>
      <c r="G57" s="104">
        <v>0.98099999999999998</v>
      </c>
      <c r="H57" s="104">
        <v>0.98499999999999999</v>
      </c>
      <c r="I57" s="104">
        <v>0.98799999999999999</v>
      </c>
      <c r="J57" s="876">
        <v>0.98899999999999999</v>
      </c>
    </row>
    <row r="58" spans="1:10" customFormat="1">
      <c r="A58">
        <f t="shared" si="2"/>
        <v>26</v>
      </c>
      <c r="B58" s="875">
        <v>0.89100000000000001</v>
      </c>
      <c r="C58" s="104">
        <v>0.90400000000000003</v>
      </c>
      <c r="D58" s="104">
        <v>0.92</v>
      </c>
      <c r="E58" s="104">
        <v>0.93300000000000005</v>
      </c>
      <c r="F58" s="104">
        <v>0.96499999999999997</v>
      </c>
      <c r="G58" s="104">
        <v>0.98199999999999998</v>
      </c>
      <c r="H58" s="104">
        <v>0.98499999999999999</v>
      </c>
      <c r="I58" s="104">
        <v>0.98799999999999999</v>
      </c>
      <c r="J58" s="876">
        <v>0.98899999999999999</v>
      </c>
    </row>
    <row r="59" spans="1:10" customFormat="1">
      <c r="A59">
        <f t="shared" si="2"/>
        <v>27</v>
      </c>
      <c r="B59" s="875">
        <v>0.89400000000000002</v>
      </c>
      <c r="C59" s="104">
        <v>0.90600000000000003</v>
      </c>
      <c r="D59" s="104">
        <v>0.92300000000000004</v>
      </c>
      <c r="E59" s="104">
        <v>0.93500000000000005</v>
      </c>
      <c r="F59" s="104">
        <v>0.96499999999999997</v>
      </c>
      <c r="G59" s="104">
        <v>0.98199999999999998</v>
      </c>
      <c r="H59" s="104">
        <v>0.98499999999999999</v>
      </c>
      <c r="I59" s="104">
        <v>0.98799999999999999</v>
      </c>
      <c r="J59" s="876">
        <v>0.99</v>
      </c>
    </row>
    <row r="60" spans="1:10" customFormat="1">
      <c r="A60">
        <f t="shared" si="2"/>
        <v>28</v>
      </c>
      <c r="B60" s="875">
        <v>0.89600000000000002</v>
      </c>
      <c r="C60" s="104">
        <v>0.90800000000000003</v>
      </c>
      <c r="D60" s="104">
        <v>0.92400000000000004</v>
      </c>
      <c r="E60" s="104">
        <v>0.93600000000000005</v>
      </c>
      <c r="F60" s="104">
        <v>0.96599999999999997</v>
      </c>
      <c r="G60" s="104">
        <v>0.98199999999999998</v>
      </c>
      <c r="H60" s="104">
        <v>0.98499999999999999</v>
      </c>
      <c r="I60" s="104">
        <v>0.98799999999999999</v>
      </c>
      <c r="J60" s="876">
        <v>0.99</v>
      </c>
    </row>
    <row r="61" spans="1:10" customFormat="1">
      <c r="A61">
        <f t="shared" si="2"/>
        <v>29</v>
      </c>
      <c r="B61" s="875">
        <v>0.89800000000000002</v>
      </c>
      <c r="C61" s="104">
        <v>0.91</v>
      </c>
      <c r="D61" s="104">
        <v>0.92600000000000005</v>
      </c>
      <c r="E61" s="104">
        <v>0.93700000000000006</v>
      </c>
      <c r="F61" s="104">
        <v>0.96599999999999997</v>
      </c>
      <c r="G61" s="104">
        <v>0.98199999999999998</v>
      </c>
      <c r="H61" s="104">
        <v>0.98499999999999999</v>
      </c>
      <c r="I61" s="104">
        <v>0.98799999999999999</v>
      </c>
      <c r="J61" s="876">
        <v>0.99</v>
      </c>
    </row>
    <row r="62" spans="1:10" customFormat="1">
      <c r="A62">
        <f t="shared" si="2"/>
        <v>30</v>
      </c>
      <c r="B62" s="875">
        <v>0.9</v>
      </c>
      <c r="C62" s="104">
        <v>0.91200000000000003</v>
      </c>
      <c r="D62" s="104">
        <v>0.92700000000000005</v>
      </c>
      <c r="E62" s="104">
        <v>0.93899999999999995</v>
      </c>
      <c r="F62" s="104">
        <v>0.96699999999999997</v>
      </c>
      <c r="G62" s="104">
        <v>0.98299999999999998</v>
      </c>
      <c r="H62" s="104">
        <v>0.98499999999999999</v>
      </c>
      <c r="I62" s="104">
        <v>0.98799999999999999</v>
      </c>
      <c r="J62" s="876">
        <v>0.99</v>
      </c>
    </row>
    <row r="63" spans="1:10" customFormat="1">
      <c r="A63">
        <f t="shared" si="2"/>
        <v>31</v>
      </c>
      <c r="B63" s="875">
        <v>0.90200000000000002</v>
      </c>
      <c r="C63" s="104">
        <v>0.91400000000000003</v>
      </c>
      <c r="D63" s="104">
        <v>0.92900000000000005</v>
      </c>
      <c r="E63" s="104">
        <v>0.94</v>
      </c>
      <c r="F63" s="104">
        <v>0.96699999999999997</v>
      </c>
      <c r="G63" s="104">
        <v>0.98299999999999998</v>
      </c>
      <c r="H63" s="104">
        <v>0.98599999999999999</v>
      </c>
      <c r="I63" s="104">
        <v>0.98799999999999999</v>
      </c>
      <c r="J63" s="876">
        <v>0.99</v>
      </c>
    </row>
    <row r="64" spans="1:10" customFormat="1">
      <c r="A64">
        <f t="shared" si="2"/>
        <v>32</v>
      </c>
      <c r="B64" s="875">
        <v>0.90400000000000003</v>
      </c>
      <c r="C64" s="104">
        <v>0.91500000000000004</v>
      </c>
      <c r="D64" s="104">
        <v>0.93</v>
      </c>
      <c r="E64" s="104">
        <v>0.94099999999999995</v>
      </c>
      <c r="F64" s="104">
        <v>0.96799999999999997</v>
      </c>
      <c r="G64" s="104">
        <v>0.98299999999999998</v>
      </c>
      <c r="H64" s="104">
        <v>0.98599999999999999</v>
      </c>
      <c r="I64" s="104">
        <v>0.98799999999999999</v>
      </c>
      <c r="J64" s="876">
        <v>0.99</v>
      </c>
    </row>
    <row r="65" spans="1:10" customFormat="1">
      <c r="A65">
        <f t="shared" si="2"/>
        <v>33</v>
      </c>
      <c r="B65" s="875">
        <v>0.90600000000000003</v>
      </c>
      <c r="C65" s="104">
        <v>0.91700000000000004</v>
      </c>
      <c r="D65" s="104">
        <v>0.93100000000000005</v>
      </c>
      <c r="E65" s="104">
        <v>0.94199999999999995</v>
      </c>
      <c r="F65" s="104">
        <v>0.96799999999999997</v>
      </c>
      <c r="G65" s="104">
        <v>0.98299999999999998</v>
      </c>
      <c r="H65" s="104">
        <v>0.98599999999999999</v>
      </c>
      <c r="I65" s="104">
        <v>0.98899999999999999</v>
      </c>
      <c r="J65" s="876">
        <v>0.99</v>
      </c>
    </row>
    <row r="66" spans="1:10" customFormat="1">
      <c r="A66">
        <f t="shared" si="2"/>
        <v>34</v>
      </c>
      <c r="B66" s="875">
        <v>0.90800000000000003</v>
      </c>
      <c r="C66" s="104">
        <v>0.91900000000000004</v>
      </c>
      <c r="D66" s="104">
        <v>0.93300000000000005</v>
      </c>
      <c r="E66" s="104">
        <v>0.94299999999999995</v>
      </c>
      <c r="F66" s="104">
        <v>0.96899999999999997</v>
      </c>
      <c r="G66" s="104">
        <v>0.98299999999999998</v>
      </c>
      <c r="H66" s="104">
        <v>0.98599999999999999</v>
      </c>
      <c r="I66" s="104">
        <v>0.98899999999999999</v>
      </c>
      <c r="J66" s="876">
        <v>0.99</v>
      </c>
    </row>
    <row r="67" spans="1:10" customFormat="1">
      <c r="A67">
        <f t="shared" si="2"/>
        <v>35</v>
      </c>
      <c r="B67" s="875">
        <v>0.91</v>
      </c>
      <c r="C67" s="104">
        <v>0.92</v>
      </c>
      <c r="D67" s="104">
        <v>0.93400000000000005</v>
      </c>
      <c r="E67" s="104">
        <v>0.94399999999999995</v>
      </c>
      <c r="F67" s="104">
        <v>0.96899999999999997</v>
      </c>
      <c r="G67" s="104">
        <v>0.98399999999999999</v>
      </c>
      <c r="H67" s="104">
        <v>0.98599999999999999</v>
      </c>
      <c r="I67" s="104">
        <v>0.98899999999999999</v>
      </c>
      <c r="J67" s="876">
        <v>0.99</v>
      </c>
    </row>
    <row r="68" spans="1:10" customFormat="1">
      <c r="A68">
        <f t="shared" si="2"/>
        <v>36</v>
      </c>
      <c r="B68" s="875">
        <v>0.91200000000000003</v>
      </c>
      <c r="C68" s="104">
        <v>0.92200000000000004</v>
      </c>
      <c r="D68" s="104">
        <v>0.93500000000000005</v>
      </c>
      <c r="E68" s="104">
        <v>0.94499999999999995</v>
      </c>
      <c r="F68" s="104">
        <v>0.97</v>
      </c>
      <c r="G68" s="104">
        <v>0.98399999999999999</v>
      </c>
      <c r="H68" s="104">
        <v>0.98599999999999999</v>
      </c>
      <c r="I68" s="104">
        <v>0.98899999999999999</v>
      </c>
      <c r="J68" s="876">
        <v>0.99</v>
      </c>
    </row>
    <row r="69" spans="1:10" customFormat="1">
      <c r="A69">
        <f t="shared" si="2"/>
        <v>37</v>
      </c>
      <c r="B69" s="875">
        <v>0.91400000000000003</v>
      </c>
      <c r="C69" s="104">
        <v>0.92400000000000004</v>
      </c>
      <c r="D69" s="104">
        <v>0.93600000000000005</v>
      </c>
      <c r="E69" s="104">
        <v>0.94599999999999995</v>
      </c>
      <c r="F69" s="104">
        <v>0.97</v>
      </c>
      <c r="G69" s="104">
        <v>0.98399999999999999</v>
      </c>
      <c r="H69" s="104">
        <v>0.98699999999999999</v>
      </c>
      <c r="I69" s="104">
        <v>0.98899999999999999</v>
      </c>
      <c r="J69" s="876">
        <v>0.99</v>
      </c>
    </row>
    <row r="70" spans="1:10" customFormat="1">
      <c r="A70">
        <f t="shared" si="2"/>
        <v>38</v>
      </c>
      <c r="B70" s="875">
        <v>0.91600000000000004</v>
      </c>
      <c r="C70" s="104">
        <v>0.92500000000000004</v>
      </c>
      <c r="D70" s="104">
        <v>0.93799999999999994</v>
      </c>
      <c r="E70" s="104">
        <v>0.94699999999999995</v>
      </c>
      <c r="F70" s="104">
        <v>0.97099999999999997</v>
      </c>
      <c r="G70" s="104">
        <v>0.98399999999999999</v>
      </c>
      <c r="H70" s="104">
        <v>0.98699999999999999</v>
      </c>
      <c r="I70" s="104">
        <v>0.98899999999999999</v>
      </c>
      <c r="J70" s="876">
        <v>0.99</v>
      </c>
    </row>
    <row r="71" spans="1:10" customFormat="1">
      <c r="A71">
        <f t="shared" si="2"/>
        <v>39</v>
      </c>
      <c r="B71" s="875">
        <v>0.91700000000000004</v>
      </c>
      <c r="C71" s="104">
        <v>0.92700000000000005</v>
      </c>
      <c r="D71" s="104">
        <v>0.93899999999999995</v>
      </c>
      <c r="E71" s="104">
        <v>0.94799999999999995</v>
      </c>
      <c r="F71" s="104">
        <v>0.97099999999999997</v>
      </c>
      <c r="G71" s="104">
        <v>0.98399999999999999</v>
      </c>
      <c r="H71" s="104">
        <v>0.98699999999999999</v>
      </c>
      <c r="I71" s="104">
        <v>0.98899999999999999</v>
      </c>
      <c r="J71" s="876">
        <v>0.99099999999999999</v>
      </c>
    </row>
    <row r="72" spans="1:10" customFormat="1">
      <c r="A72">
        <f t="shared" si="2"/>
        <v>40</v>
      </c>
      <c r="B72" s="875">
        <v>0.91900000000000004</v>
      </c>
      <c r="C72" s="104">
        <v>0.92800000000000005</v>
      </c>
      <c r="D72" s="104">
        <v>0.94</v>
      </c>
      <c r="E72" s="104">
        <v>0.94899999999999995</v>
      </c>
      <c r="F72" s="104">
        <v>0.97199999999999998</v>
      </c>
      <c r="G72" s="104">
        <v>0.98499999999999999</v>
      </c>
      <c r="H72" s="104">
        <v>0.98699999999999999</v>
      </c>
      <c r="I72" s="104">
        <v>0.98899999999999999</v>
      </c>
      <c r="J72" s="876">
        <v>0.99099999999999999</v>
      </c>
    </row>
    <row r="73" spans="1:10" customFormat="1">
      <c r="A73">
        <f t="shared" si="2"/>
        <v>41</v>
      </c>
      <c r="B73" s="875">
        <v>0.92</v>
      </c>
      <c r="C73" s="104">
        <v>0.92900000000000005</v>
      </c>
      <c r="D73" s="104">
        <v>0.94099999999999995</v>
      </c>
      <c r="E73" s="104">
        <v>0.95</v>
      </c>
      <c r="F73" s="104">
        <v>0.97199999999999998</v>
      </c>
      <c r="G73" s="104">
        <v>0.98499999999999999</v>
      </c>
      <c r="H73" s="104">
        <v>0.98699999999999999</v>
      </c>
      <c r="I73" s="104">
        <v>0.98899999999999999</v>
      </c>
      <c r="J73" s="876">
        <v>0.99099999999999999</v>
      </c>
    </row>
    <row r="74" spans="1:10" customFormat="1">
      <c r="A74">
        <f t="shared" si="2"/>
        <v>42</v>
      </c>
      <c r="B74" s="875">
        <v>0.92200000000000004</v>
      </c>
      <c r="C74" s="104">
        <v>0.93</v>
      </c>
      <c r="D74" s="104">
        <v>0.94199999999999995</v>
      </c>
      <c r="E74" s="104">
        <v>0.95099999999999996</v>
      </c>
      <c r="F74" s="104">
        <v>0.97199999999999998</v>
      </c>
      <c r="G74" s="104">
        <v>0.98499999999999999</v>
      </c>
      <c r="H74" s="104">
        <v>0.98699999999999999</v>
      </c>
      <c r="I74" s="104">
        <v>0.98899999999999999</v>
      </c>
      <c r="J74" s="876">
        <v>0.99099999999999999</v>
      </c>
    </row>
    <row r="75" spans="1:10" customFormat="1">
      <c r="A75">
        <f t="shared" si="2"/>
        <v>43</v>
      </c>
      <c r="B75" s="875">
        <v>0.92300000000000004</v>
      </c>
      <c r="C75" s="104">
        <v>0.93200000000000005</v>
      </c>
      <c r="D75" s="104">
        <v>0.94299999999999995</v>
      </c>
      <c r="E75" s="104">
        <v>0.95099999999999996</v>
      </c>
      <c r="F75" s="104">
        <v>0.97299999999999998</v>
      </c>
      <c r="G75" s="104">
        <v>0.98499999999999999</v>
      </c>
      <c r="H75" s="104">
        <v>0.98699999999999999</v>
      </c>
      <c r="I75" s="104">
        <v>0.99</v>
      </c>
      <c r="J75" s="876">
        <v>0.99099999999999999</v>
      </c>
    </row>
    <row r="76" spans="1:10" customFormat="1">
      <c r="A76">
        <f t="shared" si="2"/>
        <v>44</v>
      </c>
      <c r="B76" s="875">
        <v>0.92400000000000004</v>
      </c>
      <c r="C76" s="104">
        <v>0.93300000000000005</v>
      </c>
      <c r="D76" s="104">
        <v>0.94399999999999995</v>
      </c>
      <c r="E76" s="104">
        <v>0.95199999999999996</v>
      </c>
      <c r="F76" s="104">
        <v>0.97299999999999998</v>
      </c>
      <c r="G76" s="104">
        <v>0.98499999999999999</v>
      </c>
      <c r="H76" s="104">
        <v>0.98699999999999999</v>
      </c>
      <c r="I76" s="104">
        <v>0.99</v>
      </c>
      <c r="J76" s="876">
        <v>0.99099999999999999</v>
      </c>
    </row>
    <row r="77" spans="1:10" customFormat="1">
      <c r="A77">
        <f t="shared" si="2"/>
        <v>45</v>
      </c>
      <c r="B77" s="875">
        <v>0.92600000000000005</v>
      </c>
      <c r="C77" s="104">
        <v>0.93400000000000005</v>
      </c>
      <c r="D77" s="104">
        <v>0.94499999999999995</v>
      </c>
      <c r="E77" s="8">
        <v>0.95299999999999996</v>
      </c>
      <c r="F77" s="104">
        <v>0.97299999999999998</v>
      </c>
      <c r="G77" s="104">
        <v>0.98499999999999999</v>
      </c>
      <c r="H77" s="8">
        <v>0.98799999999999999</v>
      </c>
      <c r="I77" s="104">
        <v>0.99</v>
      </c>
      <c r="J77" s="876">
        <v>0.99099999999999999</v>
      </c>
    </row>
    <row r="78" spans="1:10" customFormat="1">
      <c r="A78">
        <f t="shared" si="2"/>
        <v>46</v>
      </c>
      <c r="B78" s="875">
        <v>0.92700000000000005</v>
      </c>
      <c r="C78" s="104">
        <v>0.93500000000000005</v>
      </c>
      <c r="D78" s="104">
        <v>0.94499999999999995</v>
      </c>
      <c r="E78" s="8">
        <v>0.95299999999999996</v>
      </c>
      <c r="F78" s="8">
        <v>0.97399999999999998</v>
      </c>
      <c r="G78" s="104">
        <v>0.98499999999999999</v>
      </c>
      <c r="H78" s="8">
        <v>0.98799999999999999</v>
      </c>
      <c r="I78" s="104">
        <v>0.99</v>
      </c>
      <c r="J78" s="876">
        <v>0.99099999999999999</v>
      </c>
    </row>
    <row r="79" spans="1:10" customFormat="1">
      <c r="A79">
        <f t="shared" si="2"/>
        <v>47</v>
      </c>
      <c r="B79" s="875">
        <v>0.92800000000000005</v>
      </c>
      <c r="C79" s="104">
        <v>0.93600000000000005</v>
      </c>
      <c r="D79" s="104">
        <v>0.94599999999999995</v>
      </c>
      <c r="E79" s="8">
        <v>0.95399999999999996</v>
      </c>
      <c r="F79" s="8">
        <v>0.97399999999999998</v>
      </c>
      <c r="G79" s="104">
        <v>0.98499999999999999</v>
      </c>
      <c r="H79" s="8">
        <v>0.98799999999999999</v>
      </c>
      <c r="I79" s="104">
        <v>0.99</v>
      </c>
      <c r="J79" s="876">
        <v>0.99099999999999999</v>
      </c>
    </row>
    <row r="80" spans="1:10" customFormat="1">
      <c r="A80">
        <f t="shared" si="2"/>
        <v>48</v>
      </c>
      <c r="B80" s="875">
        <v>0.92900000000000005</v>
      </c>
      <c r="C80" s="104">
        <v>0.93700000000000006</v>
      </c>
      <c r="D80" s="104">
        <v>0.94699999999999995</v>
      </c>
      <c r="E80" s="8">
        <v>0.95399999999999996</v>
      </c>
      <c r="F80" s="8">
        <v>0.97399999999999998</v>
      </c>
      <c r="G80" s="104">
        <v>0.98499999999999999</v>
      </c>
      <c r="H80" s="8">
        <v>0.98799999999999999</v>
      </c>
      <c r="I80" s="104">
        <v>0.99</v>
      </c>
      <c r="J80" s="876">
        <v>0.99099999999999999</v>
      </c>
    </row>
    <row r="81" spans="1:10" customFormat="1">
      <c r="A81">
        <f t="shared" si="2"/>
        <v>49</v>
      </c>
      <c r="B81" s="875">
        <v>0.92900000000000005</v>
      </c>
      <c r="C81" s="104">
        <v>0.93899999999999995</v>
      </c>
      <c r="D81" s="104">
        <v>0.94699999999999995</v>
      </c>
      <c r="E81" s="8">
        <v>0.95499999999999996</v>
      </c>
      <c r="F81" s="8">
        <v>0.97399999999999998</v>
      </c>
      <c r="G81" s="104">
        <v>0.98499999999999999</v>
      </c>
      <c r="H81" s="8">
        <v>0.98799999999999999</v>
      </c>
      <c r="I81" s="104">
        <v>0.99</v>
      </c>
      <c r="J81" s="876">
        <v>0.99099999999999999</v>
      </c>
    </row>
    <row r="82" spans="1:10" customFormat="1">
      <c r="A82">
        <f t="shared" si="2"/>
        <v>50</v>
      </c>
      <c r="B82" s="877">
        <v>0.93</v>
      </c>
      <c r="C82" s="878">
        <v>0.93799999999999994</v>
      </c>
      <c r="D82" s="878">
        <v>0.94699999999999995</v>
      </c>
      <c r="E82" s="534">
        <v>0.95499999999999996</v>
      </c>
      <c r="F82" s="534">
        <v>0.97399999999999998</v>
      </c>
      <c r="G82" s="878">
        <v>0.98499999999999999</v>
      </c>
      <c r="H82" s="534">
        <v>0.98799999999999999</v>
      </c>
      <c r="I82" s="878">
        <v>0.99</v>
      </c>
      <c r="J82" s="879">
        <v>0.99099999999999999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sheetPr codeName="Sheet237"/>
  <dimension ref="A1:AX128"/>
  <sheetViews>
    <sheetView zoomScale="95" zoomScaleNormal="95" workbookViewId="0"/>
  </sheetViews>
  <sheetFormatPr defaultRowHeight="14.4"/>
  <cols>
    <col min="21" max="26" width="9.5546875" bestFit="1" customWidth="1"/>
    <col min="27" max="29" width="9.109375" style="77"/>
  </cols>
  <sheetData>
    <row r="1" spans="1:50">
      <c r="A1" s="1" t="s">
        <v>300</v>
      </c>
    </row>
    <row r="2" spans="1:50">
      <c r="A2" s="1"/>
    </row>
    <row r="3" spans="1:50">
      <c r="A3" s="1" t="s">
        <v>2992</v>
      </c>
    </row>
    <row r="4" spans="1:50">
      <c r="AT4" s="24"/>
      <c r="AU4" s="24"/>
      <c r="AV4" s="24"/>
      <c r="AW4" s="24"/>
      <c r="AX4" s="24"/>
    </row>
    <row r="5" spans="1:50">
      <c r="A5" s="19" t="s">
        <v>301</v>
      </c>
      <c r="B5">
        <v>2</v>
      </c>
      <c r="C5">
        <f t="shared" ref="C5:N5" si="0">B5+1</f>
        <v>3</v>
      </c>
      <c r="D5">
        <f t="shared" si="0"/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f t="shared" si="0"/>
        <v>13</v>
      </c>
      <c r="N5">
        <f t="shared" si="0"/>
        <v>14</v>
      </c>
      <c r="AT5" s="24"/>
      <c r="AU5" s="24"/>
      <c r="AV5" s="24"/>
      <c r="AW5" s="24"/>
      <c r="AX5" s="24"/>
    </row>
    <row r="6" spans="1:50">
      <c r="A6" t="s">
        <v>302</v>
      </c>
      <c r="B6" s="864">
        <v>0.70709999999999995</v>
      </c>
      <c r="C6" s="56">
        <v>0.70709999999999995</v>
      </c>
      <c r="D6" s="56">
        <v>0.68720000000000003</v>
      </c>
      <c r="E6" s="56">
        <v>0.66459999999999997</v>
      </c>
      <c r="F6" s="56">
        <v>0.6431</v>
      </c>
      <c r="G6" s="56">
        <v>0.62329999999999997</v>
      </c>
      <c r="H6" s="56">
        <v>0.60519999999999996</v>
      </c>
      <c r="I6" s="56">
        <v>0.58879999999999999</v>
      </c>
      <c r="J6" s="56">
        <v>0.57389999999999997</v>
      </c>
      <c r="K6" s="56">
        <v>0.56010000000000004</v>
      </c>
      <c r="L6" s="56">
        <v>0.54749999999999999</v>
      </c>
      <c r="M6" s="56">
        <v>0.53590000000000004</v>
      </c>
      <c r="N6" s="880">
        <v>0.52510000000000001</v>
      </c>
      <c r="AT6" s="24"/>
      <c r="AU6" s="24"/>
      <c r="AV6" s="24"/>
      <c r="AW6" s="24"/>
      <c r="AX6" s="24"/>
    </row>
    <row r="7" spans="1:50">
      <c r="A7" t="s">
        <v>303</v>
      </c>
      <c r="B7" s="656"/>
      <c r="C7" s="8"/>
      <c r="D7" s="59">
        <v>0.16769999999999999</v>
      </c>
      <c r="E7" s="59">
        <v>0.24129999999999999</v>
      </c>
      <c r="F7" s="59">
        <v>0.28060000000000002</v>
      </c>
      <c r="G7" s="59">
        <v>0.30309999999999998</v>
      </c>
      <c r="H7" s="59">
        <v>0.31640000000000001</v>
      </c>
      <c r="I7" s="59">
        <v>0.32440000000000002</v>
      </c>
      <c r="J7" s="59">
        <v>0.3291</v>
      </c>
      <c r="K7" s="59">
        <v>0.33150000000000002</v>
      </c>
      <c r="L7" s="59">
        <v>0.33250000000000002</v>
      </c>
      <c r="M7" s="59">
        <v>0.33250000000000002</v>
      </c>
      <c r="N7" s="768">
        <v>0.33179999999999998</v>
      </c>
      <c r="AT7" s="24"/>
      <c r="AU7" s="24"/>
      <c r="AV7" s="24"/>
      <c r="AW7" s="24"/>
      <c r="AX7" s="24"/>
    </row>
    <row r="8" spans="1:50">
      <c r="A8" t="s">
        <v>304</v>
      </c>
      <c r="B8" s="656"/>
      <c r="C8" s="8"/>
      <c r="D8" s="59"/>
      <c r="E8" s="59"/>
      <c r="F8" s="59">
        <v>8.7499999999999994E-2</v>
      </c>
      <c r="G8" s="59">
        <v>0.1401</v>
      </c>
      <c r="H8" s="59">
        <v>0.17430000000000001</v>
      </c>
      <c r="I8" s="59">
        <v>0.1976</v>
      </c>
      <c r="J8" s="59">
        <v>0.21410000000000001</v>
      </c>
      <c r="K8" s="59">
        <v>0.22600000000000001</v>
      </c>
      <c r="L8" s="59">
        <v>0.23469999999999999</v>
      </c>
      <c r="M8" s="59">
        <v>0.2412</v>
      </c>
      <c r="N8" s="768">
        <v>0.246</v>
      </c>
      <c r="AT8" s="24"/>
      <c r="AU8" s="24"/>
      <c r="AV8" s="24"/>
      <c r="AW8" s="24"/>
      <c r="AX8" s="24"/>
    </row>
    <row r="9" spans="1:50">
      <c r="A9" t="s">
        <v>305</v>
      </c>
      <c r="B9" s="656"/>
      <c r="C9" s="8"/>
      <c r="D9" s="59"/>
      <c r="E9" s="59"/>
      <c r="F9" s="59"/>
      <c r="G9" s="59"/>
      <c r="H9" s="59">
        <v>5.6099999999999997E-2</v>
      </c>
      <c r="I9" s="59">
        <v>9.4700000000000006E-2</v>
      </c>
      <c r="J9" s="59">
        <v>0.12239999999999999</v>
      </c>
      <c r="K9" s="59">
        <v>0.1429</v>
      </c>
      <c r="L9" s="59">
        <v>0.15859999999999999</v>
      </c>
      <c r="M9" s="59">
        <v>0.17069999999999999</v>
      </c>
      <c r="N9" s="768">
        <v>0.1802</v>
      </c>
      <c r="AT9" s="24"/>
      <c r="AU9" s="24"/>
      <c r="AV9" s="24"/>
      <c r="AW9" s="24"/>
      <c r="AX9" s="24"/>
    </row>
    <row r="10" spans="1:50">
      <c r="A10" t="s">
        <v>306</v>
      </c>
      <c r="B10" s="656"/>
      <c r="C10" s="8"/>
      <c r="D10" s="59"/>
      <c r="E10" s="59"/>
      <c r="F10" s="59"/>
      <c r="G10" s="59"/>
      <c r="H10" s="59"/>
      <c r="I10" s="59"/>
      <c r="J10" s="59">
        <v>3.9899999999999998E-2</v>
      </c>
      <c r="K10" s="59">
        <v>6.9500000000000006E-2</v>
      </c>
      <c r="L10" s="59">
        <v>9.2200000000000004E-2</v>
      </c>
      <c r="M10" s="59">
        <v>0.1099</v>
      </c>
      <c r="N10" s="768">
        <v>0.124</v>
      </c>
      <c r="AT10" s="24"/>
      <c r="AU10" s="24"/>
      <c r="AV10" s="24"/>
      <c r="AW10" s="24"/>
      <c r="AX10" s="24"/>
    </row>
    <row r="11" spans="1:50">
      <c r="A11" t="s">
        <v>307</v>
      </c>
      <c r="B11" s="656"/>
      <c r="C11" s="8"/>
      <c r="D11" s="59"/>
      <c r="E11" s="59"/>
      <c r="F11" s="59"/>
      <c r="G11" s="59"/>
      <c r="H11" s="59"/>
      <c r="I11" s="59"/>
      <c r="J11" s="59"/>
      <c r="K11" s="59"/>
      <c r="L11" s="59">
        <v>3.0300000000000001E-2</v>
      </c>
      <c r="M11" s="59">
        <v>5.3900000000000003E-2</v>
      </c>
      <c r="N11" s="768">
        <v>7.2700000000000001E-2</v>
      </c>
      <c r="AT11" s="24"/>
      <c r="AU11" s="24"/>
      <c r="AV11" s="24"/>
      <c r="AW11" s="24"/>
      <c r="AX11" s="24"/>
    </row>
    <row r="12" spans="1:50">
      <c r="A12" t="s">
        <v>308</v>
      </c>
      <c r="B12" s="533"/>
      <c r="C12" s="534"/>
      <c r="D12" s="534"/>
      <c r="E12" s="534"/>
      <c r="F12" s="534"/>
      <c r="G12" s="534"/>
      <c r="H12" s="534"/>
      <c r="I12" s="534"/>
      <c r="J12" s="534"/>
      <c r="K12" s="534"/>
      <c r="L12" s="534"/>
      <c r="M12" s="534"/>
      <c r="N12" s="771">
        <v>2.4E-2</v>
      </c>
      <c r="AT12" s="24"/>
      <c r="AU12" s="24"/>
      <c r="AV12" s="24"/>
      <c r="AW12" s="24"/>
      <c r="AX12" s="24"/>
    </row>
    <row r="13" spans="1:50">
      <c r="AT13" s="24"/>
      <c r="AU13" s="24"/>
      <c r="AV13" s="24"/>
      <c r="AW13" s="24"/>
      <c r="AX13" s="24"/>
    </row>
    <row r="14" spans="1:50">
      <c r="A14" s="19" t="s">
        <v>301</v>
      </c>
      <c r="B14">
        <v>15</v>
      </c>
      <c r="C14">
        <f t="shared" ref="C14:M14" si="1">B14+1</f>
        <v>16</v>
      </c>
      <c r="D14">
        <f t="shared" si="1"/>
        <v>17</v>
      </c>
      <c r="E14">
        <f t="shared" si="1"/>
        <v>18</v>
      </c>
      <c r="F14">
        <f t="shared" si="1"/>
        <v>19</v>
      </c>
      <c r="G14">
        <f t="shared" si="1"/>
        <v>20</v>
      </c>
      <c r="H14">
        <f t="shared" si="1"/>
        <v>21</v>
      </c>
      <c r="I14">
        <f t="shared" si="1"/>
        <v>22</v>
      </c>
      <c r="J14">
        <f t="shared" si="1"/>
        <v>23</v>
      </c>
      <c r="K14">
        <f t="shared" si="1"/>
        <v>24</v>
      </c>
      <c r="L14">
        <f t="shared" si="1"/>
        <v>25</v>
      </c>
      <c r="M14">
        <f t="shared" si="1"/>
        <v>26</v>
      </c>
      <c r="AT14" s="24"/>
      <c r="AU14" s="24"/>
      <c r="AV14" s="24"/>
      <c r="AW14" s="24"/>
      <c r="AX14" s="24"/>
    </row>
    <row r="15" spans="1:50">
      <c r="A15" t="s">
        <v>302</v>
      </c>
      <c r="B15" s="881">
        <v>0.51500000000000001</v>
      </c>
      <c r="C15" s="56">
        <v>0.50560000000000005</v>
      </c>
      <c r="D15" s="56">
        <v>0.49680000000000002</v>
      </c>
      <c r="E15" s="56">
        <v>0.48859999999999998</v>
      </c>
      <c r="F15" s="56">
        <v>0.48080000000000001</v>
      </c>
      <c r="G15" s="56">
        <v>0.47339999999999999</v>
      </c>
      <c r="H15" s="56">
        <v>0.46429999999999999</v>
      </c>
      <c r="I15" s="56">
        <v>0.45900000000000002</v>
      </c>
      <c r="J15" s="56">
        <v>0.45419999999999999</v>
      </c>
      <c r="K15" s="56">
        <v>0.44929999999999998</v>
      </c>
      <c r="L15" s="56">
        <v>0.44500000000000001</v>
      </c>
      <c r="M15" s="880">
        <v>0.44069999999999998</v>
      </c>
      <c r="AT15" s="24"/>
      <c r="AU15" s="24"/>
      <c r="AV15" s="24"/>
      <c r="AW15" s="24"/>
      <c r="AX15" s="24"/>
    </row>
    <row r="16" spans="1:50">
      <c r="A16" t="s">
        <v>303</v>
      </c>
      <c r="B16" s="767">
        <v>0.3306</v>
      </c>
      <c r="C16" s="59">
        <v>0.32900000000000001</v>
      </c>
      <c r="D16" s="59">
        <v>0.32729999999999998</v>
      </c>
      <c r="E16" s="59">
        <v>0.32529999999999998</v>
      </c>
      <c r="F16" s="59">
        <v>0.32319999999999999</v>
      </c>
      <c r="G16" s="59">
        <v>0.3211</v>
      </c>
      <c r="H16" s="59">
        <v>0.31850000000000001</v>
      </c>
      <c r="I16" s="59">
        <v>0.31559999999999999</v>
      </c>
      <c r="J16" s="59">
        <v>0.31259999999999999</v>
      </c>
      <c r="K16" s="59">
        <v>0.30980000000000002</v>
      </c>
      <c r="L16" s="59">
        <v>0.30690000000000001</v>
      </c>
      <c r="M16" s="768">
        <v>0.30430000000000001</v>
      </c>
      <c r="AT16" s="24"/>
      <c r="AU16" s="24"/>
      <c r="AV16" s="24"/>
      <c r="AW16" s="24"/>
      <c r="AX16" s="24"/>
    </row>
    <row r="17" spans="1:50">
      <c r="A17" t="s">
        <v>304</v>
      </c>
      <c r="B17" s="767">
        <v>0.2495</v>
      </c>
      <c r="C17" s="59">
        <v>0.25209999999999999</v>
      </c>
      <c r="D17" s="59">
        <v>0.254</v>
      </c>
      <c r="E17" s="59">
        <v>0.25530000000000003</v>
      </c>
      <c r="F17" s="59">
        <v>0.25609999999999999</v>
      </c>
      <c r="G17" s="59">
        <v>0.25650000000000001</v>
      </c>
      <c r="H17" s="59">
        <v>0.25779999999999997</v>
      </c>
      <c r="I17" s="59">
        <v>0.2571</v>
      </c>
      <c r="J17" s="59">
        <v>0.25629999999999997</v>
      </c>
      <c r="K17" s="59">
        <v>0.25540000000000002</v>
      </c>
      <c r="L17" s="59">
        <v>0.25430000000000003</v>
      </c>
      <c r="M17" s="768">
        <v>0.25330000000000003</v>
      </c>
      <c r="AT17" s="24"/>
      <c r="AU17" s="24"/>
      <c r="AV17" s="24"/>
      <c r="AW17" s="24"/>
      <c r="AX17" s="24"/>
    </row>
    <row r="18" spans="1:50">
      <c r="A18" t="s">
        <v>305</v>
      </c>
      <c r="B18" s="767">
        <v>0.18779999999999999</v>
      </c>
      <c r="C18" s="59">
        <v>0.19389999999999999</v>
      </c>
      <c r="D18" s="59">
        <v>0.1988</v>
      </c>
      <c r="E18" s="59">
        <v>0.20269999999999999</v>
      </c>
      <c r="F18" s="59">
        <v>0.2059</v>
      </c>
      <c r="G18" s="59">
        <v>0.20849999999999999</v>
      </c>
      <c r="H18" s="59">
        <v>0.21190000000000001</v>
      </c>
      <c r="I18" s="59">
        <v>0.21310000000000001</v>
      </c>
      <c r="J18" s="59">
        <v>0.21390000000000001</v>
      </c>
      <c r="K18" s="59">
        <v>0.2145</v>
      </c>
      <c r="L18" s="59">
        <v>0.21479999999999999</v>
      </c>
      <c r="M18" s="768">
        <v>0.21510000000000001</v>
      </c>
      <c r="AT18" s="24"/>
      <c r="AU18" s="24"/>
      <c r="AV18" s="24"/>
      <c r="AW18" s="24"/>
      <c r="AX18" s="24"/>
    </row>
    <row r="19" spans="1:50">
      <c r="A19" t="s">
        <v>306</v>
      </c>
      <c r="B19" s="767">
        <v>0.1353</v>
      </c>
      <c r="C19" s="59">
        <v>0.1447</v>
      </c>
      <c r="D19" s="59">
        <v>0.15240000000000001</v>
      </c>
      <c r="E19" s="59">
        <v>0.15870000000000001</v>
      </c>
      <c r="F19" s="59">
        <v>0.1641</v>
      </c>
      <c r="G19" s="59">
        <v>0.1686</v>
      </c>
      <c r="H19" s="59">
        <v>0.1736</v>
      </c>
      <c r="I19" s="59">
        <v>0.1764</v>
      </c>
      <c r="J19" s="59">
        <v>0.1787</v>
      </c>
      <c r="K19" s="59">
        <v>0.1807</v>
      </c>
      <c r="L19" s="59">
        <v>0.1822</v>
      </c>
      <c r="M19" s="768">
        <v>0.18360000000000001</v>
      </c>
      <c r="AT19" s="24"/>
      <c r="AU19" s="24"/>
      <c r="AV19" s="24"/>
      <c r="AW19" s="24"/>
      <c r="AX19" s="24"/>
    </row>
    <row r="20" spans="1:50">
      <c r="A20" t="s">
        <v>307</v>
      </c>
      <c r="B20" s="767">
        <v>8.7999999999999995E-2</v>
      </c>
      <c r="C20" s="59">
        <v>0.10050000000000001</v>
      </c>
      <c r="D20" s="59">
        <v>0.1109</v>
      </c>
      <c r="E20" s="59">
        <v>0.1197</v>
      </c>
      <c r="F20" s="59">
        <v>0.12709999999999999</v>
      </c>
      <c r="G20" s="59">
        <v>0.13339999999999999</v>
      </c>
      <c r="H20" s="59">
        <v>0.1399</v>
      </c>
      <c r="I20" s="59">
        <v>0.14430000000000001</v>
      </c>
      <c r="J20" s="59">
        <v>0.14799999999999999</v>
      </c>
      <c r="K20" s="59">
        <v>0.1512</v>
      </c>
      <c r="L20" s="59">
        <v>0.15390000000000001</v>
      </c>
      <c r="M20" s="768">
        <v>0.15629999999999999</v>
      </c>
      <c r="AT20" s="24"/>
      <c r="AU20" s="24"/>
      <c r="AV20" s="24"/>
      <c r="AW20" s="24"/>
      <c r="AX20" s="24"/>
    </row>
    <row r="21" spans="1:50">
      <c r="A21" t="s">
        <v>308</v>
      </c>
      <c r="B21" s="767">
        <v>4.3299999999999998E-2</v>
      </c>
      <c r="C21" s="59">
        <v>5.9299999999999999E-2</v>
      </c>
      <c r="D21" s="59">
        <v>7.2499999999999995E-2</v>
      </c>
      <c r="E21" s="59">
        <v>8.3699999999999997E-2</v>
      </c>
      <c r="F21" s="59">
        <v>9.3200000000000005E-2</v>
      </c>
      <c r="G21" s="59">
        <v>0.1013</v>
      </c>
      <c r="H21" s="59">
        <v>0.10920000000000001</v>
      </c>
      <c r="I21" s="59">
        <v>0.115</v>
      </c>
      <c r="J21" s="59">
        <v>0.1201</v>
      </c>
      <c r="K21" s="59">
        <v>0.1245</v>
      </c>
      <c r="L21" s="59">
        <v>0.1283</v>
      </c>
      <c r="M21" s="768">
        <v>0.13159999999999999</v>
      </c>
      <c r="AT21" s="24"/>
      <c r="AU21" s="24"/>
      <c r="AV21" s="24"/>
      <c r="AW21" s="24"/>
      <c r="AX21" s="24"/>
    </row>
    <row r="22" spans="1:50">
      <c r="A22" t="s">
        <v>309</v>
      </c>
      <c r="B22" s="767"/>
      <c r="C22" s="59">
        <v>1.9599999999999999E-2</v>
      </c>
      <c r="D22" s="59">
        <v>3.5900000000000001E-2</v>
      </c>
      <c r="E22" s="59">
        <v>4.9599999999999998E-2</v>
      </c>
      <c r="F22" s="59">
        <v>6.1199999999999997E-2</v>
      </c>
      <c r="G22" s="59">
        <v>7.1099999999999997E-2</v>
      </c>
      <c r="H22" s="59">
        <v>8.0399999999999999E-2</v>
      </c>
      <c r="I22" s="59">
        <v>8.7800000000000003E-2</v>
      </c>
      <c r="J22" s="59">
        <v>9.4100000000000003E-2</v>
      </c>
      <c r="K22" s="59">
        <v>9.9699999999999997E-2</v>
      </c>
      <c r="L22" s="59">
        <v>0.1046</v>
      </c>
      <c r="M22" s="768">
        <v>0.1089</v>
      </c>
      <c r="AT22" s="24"/>
      <c r="AU22" s="24"/>
      <c r="AV22" s="24"/>
      <c r="AW22" s="24"/>
      <c r="AX22" s="24"/>
    </row>
    <row r="23" spans="1:50">
      <c r="A23" t="s">
        <v>310</v>
      </c>
      <c r="B23" s="767"/>
      <c r="C23" s="59"/>
      <c r="D23" s="59"/>
      <c r="E23" s="59">
        <v>1.6299999999999999E-2</v>
      </c>
      <c r="F23" s="59">
        <v>3.0300000000000001E-2</v>
      </c>
      <c r="G23" s="59">
        <v>4.2200000000000001E-2</v>
      </c>
      <c r="H23" s="59">
        <v>5.2999999999999999E-2</v>
      </c>
      <c r="I23" s="59">
        <v>6.1800000000000001E-2</v>
      </c>
      <c r="J23" s="59">
        <v>6.9599999999999995E-2</v>
      </c>
      <c r="K23" s="59">
        <v>7.6399999999999996E-2</v>
      </c>
      <c r="L23" s="59">
        <v>8.2299999999999998E-2</v>
      </c>
      <c r="M23" s="768">
        <v>8.7599999999999997E-2</v>
      </c>
      <c r="AT23" s="24"/>
      <c r="AU23" s="24"/>
      <c r="AV23" s="24"/>
      <c r="AW23" s="24"/>
      <c r="AX23" s="24"/>
    </row>
    <row r="24" spans="1:50">
      <c r="A24" t="s">
        <v>311</v>
      </c>
      <c r="B24" s="767"/>
      <c r="C24" s="59"/>
      <c r="D24" s="59"/>
      <c r="E24" s="59"/>
      <c r="F24" s="59"/>
      <c r="G24" s="59">
        <v>1.4E-2</v>
      </c>
      <c r="H24" s="59">
        <v>2.63E-2</v>
      </c>
      <c r="I24" s="59">
        <v>3.6799999999999999E-2</v>
      </c>
      <c r="J24" s="59">
        <v>4.5900000000000003E-2</v>
      </c>
      <c r="K24" s="59">
        <v>5.3900000000000003E-2</v>
      </c>
      <c r="L24" s="59">
        <v>6.0999999999999999E-2</v>
      </c>
      <c r="M24" s="768">
        <v>6.7199999999999996E-2</v>
      </c>
      <c r="AT24" s="24"/>
      <c r="AU24" s="24"/>
      <c r="AV24" s="24"/>
      <c r="AW24" s="24"/>
      <c r="AX24" s="24"/>
    </row>
    <row r="25" spans="1:50">
      <c r="A25" t="s">
        <v>312</v>
      </c>
      <c r="B25" s="656"/>
      <c r="C25" s="8"/>
      <c r="D25" s="8"/>
      <c r="E25" s="8"/>
      <c r="F25" s="8"/>
      <c r="G25" s="8"/>
      <c r="H25" s="8"/>
      <c r="I25" s="59">
        <v>1.2200000000000001E-2</v>
      </c>
      <c r="J25" s="59">
        <v>2.2800000000000001E-2</v>
      </c>
      <c r="K25" s="59">
        <v>3.2099999999999997E-2</v>
      </c>
      <c r="L25" s="59">
        <v>4.0300000000000002E-2</v>
      </c>
      <c r="M25" s="768">
        <v>4.7600000000000003E-2</v>
      </c>
      <c r="AT25" s="24"/>
      <c r="AU25" s="24"/>
      <c r="AV25" s="24"/>
      <c r="AW25" s="24"/>
      <c r="AX25" s="24"/>
    </row>
    <row r="26" spans="1:50">
      <c r="A26" t="s">
        <v>313</v>
      </c>
      <c r="B26" s="656"/>
      <c r="C26" s="8"/>
      <c r="D26" s="8"/>
      <c r="E26" s="8"/>
      <c r="F26" s="8"/>
      <c r="G26" s="8"/>
      <c r="H26" s="8"/>
      <c r="I26" s="8"/>
      <c r="J26" s="59">
        <v>0</v>
      </c>
      <c r="K26" s="59">
        <v>1.0699999999999999E-2</v>
      </c>
      <c r="L26" s="59">
        <v>0.02</v>
      </c>
      <c r="M26" s="768">
        <v>2.8400000000000002E-2</v>
      </c>
      <c r="AT26" s="24"/>
      <c r="AU26" s="24"/>
      <c r="AV26" s="24"/>
      <c r="AW26" s="24"/>
      <c r="AX26" s="24"/>
    </row>
    <row r="27" spans="1:50">
      <c r="A27" t="s">
        <v>314</v>
      </c>
      <c r="B27" s="533"/>
      <c r="C27" s="534"/>
      <c r="D27" s="534"/>
      <c r="E27" s="534"/>
      <c r="F27" s="534"/>
      <c r="G27" s="534"/>
      <c r="H27" s="534"/>
      <c r="I27" s="534"/>
      <c r="J27" s="534"/>
      <c r="K27" s="534"/>
      <c r="L27" s="770">
        <v>0</v>
      </c>
      <c r="M27" s="771">
        <v>9.4000000000000004E-3</v>
      </c>
      <c r="AT27" s="24"/>
      <c r="AU27" s="24"/>
      <c r="AV27" s="24"/>
      <c r="AW27" s="24"/>
      <c r="AX27" s="24"/>
    </row>
    <row r="28" spans="1:50">
      <c r="AT28" s="24"/>
      <c r="AU28" s="24"/>
      <c r="AV28" s="24"/>
      <c r="AW28" s="24"/>
      <c r="AX28" s="24"/>
    </row>
    <row r="29" spans="1:50">
      <c r="A29" s="19" t="s">
        <v>301</v>
      </c>
      <c r="B29">
        <v>27</v>
      </c>
      <c r="C29">
        <f t="shared" ref="C29:M29" si="2">B29+1</f>
        <v>28</v>
      </c>
      <c r="D29">
        <f t="shared" si="2"/>
        <v>29</v>
      </c>
      <c r="E29">
        <f t="shared" si="2"/>
        <v>30</v>
      </c>
      <c r="F29">
        <f t="shared" si="2"/>
        <v>31</v>
      </c>
      <c r="G29">
        <f t="shared" si="2"/>
        <v>32</v>
      </c>
      <c r="H29">
        <f t="shared" si="2"/>
        <v>33</v>
      </c>
      <c r="I29">
        <f t="shared" si="2"/>
        <v>34</v>
      </c>
      <c r="J29">
        <f t="shared" si="2"/>
        <v>35</v>
      </c>
      <c r="K29">
        <f t="shared" si="2"/>
        <v>36</v>
      </c>
      <c r="L29">
        <f t="shared" si="2"/>
        <v>37</v>
      </c>
      <c r="M29">
        <f t="shared" si="2"/>
        <v>38</v>
      </c>
      <c r="AT29" s="24"/>
      <c r="AU29" s="24"/>
      <c r="AV29" s="24"/>
      <c r="AW29" s="24"/>
      <c r="AX29" s="24"/>
    </row>
    <row r="30" spans="1:50">
      <c r="A30" t="s">
        <v>302</v>
      </c>
      <c r="B30" s="881">
        <v>0.43659999999999999</v>
      </c>
      <c r="C30" s="56">
        <v>0.43280000000000002</v>
      </c>
      <c r="D30" s="56">
        <v>0.42909999999999998</v>
      </c>
      <c r="E30" s="56">
        <v>0.4254</v>
      </c>
      <c r="F30" s="56">
        <v>0.42199999999999999</v>
      </c>
      <c r="G30" s="56">
        <v>0.41880000000000001</v>
      </c>
      <c r="H30" s="56">
        <v>0.41560000000000002</v>
      </c>
      <c r="I30" s="56">
        <v>0.41270000000000001</v>
      </c>
      <c r="J30" s="56">
        <v>0.40960000000000002</v>
      </c>
      <c r="K30" s="56">
        <v>0.40679999999999999</v>
      </c>
      <c r="L30" s="56">
        <v>0.40400000000000003</v>
      </c>
      <c r="M30" s="880">
        <v>0.40150000000000002</v>
      </c>
      <c r="AT30" s="24"/>
      <c r="AU30" s="24"/>
      <c r="AV30" s="24"/>
      <c r="AW30" s="24"/>
      <c r="AX30" s="24"/>
    </row>
    <row r="31" spans="1:50">
      <c r="A31" t="s">
        <v>303</v>
      </c>
      <c r="B31" s="767">
        <v>0.30180000000000001</v>
      </c>
      <c r="C31" s="59">
        <v>0.29920000000000002</v>
      </c>
      <c r="D31" s="59">
        <v>0.29680000000000001</v>
      </c>
      <c r="E31" s="59">
        <v>0.2944</v>
      </c>
      <c r="F31" s="59">
        <v>0.29210000000000003</v>
      </c>
      <c r="G31" s="59">
        <v>0.2898</v>
      </c>
      <c r="H31" s="59">
        <v>0.28760000000000002</v>
      </c>
      <c r="I31" s="59">
        <v>0.28539999999999999</v>
      </c>
      <c r="J31" s="59">
        <v>0.28339999999999999</v>
      </c>
      <c r="K31" s="59">
        <v>0.28129999999999999</v>
      </c>
      <c r="L31" s="59">
        <v>0.27939999999999998</v>
      </c>
      <c r="M31" s="768">
        <v>0.27739999999999998</v>
      </c>
      <c r="AT31" s="24"/>
      <c r="AU31" s="24"/>
      <c r="AV31" s="24"/>
      <c r="AW31" s="24"/>
      <c r="AX31" s="24"/>
    </row>
    <row r="32" spans="1:50">
      <c r="A32" t="s">
        <v>304</v>
      </c>
      <c r="B32" s="767">
        <v>0.25219999999999998</v>
      </c>
      <c r="C32" s="59">
        <v>0.251</v>
      </c>
      <c r="D32" s="59">
        <v>0.24990000000000001</v>
      </c>
      <c r="E32" s="59">
        <v>0.2487</v>
      </c>
      <c r="F32" s="59">
        <v>0.2475</v>
      </c>
      <c r="G32" s="59">
        <v>0.24629999999999999</v>
      </c>
      <c r="H32" s="59">
        <v>0.24510000000000001</v>
      </c>
      <c r="I32" s="59">
        <v>0.24390000000000001</v>
      </c>
      <c r="J32" s="59">
        <v>0.2427</v>
      </c>
      <c r="K32" s="59">
        <v>0.24149999999999999</v>
      </c>
      <c r="L32" s="59">
        <v>0.24030000000000001</v>
      </c>
      <c r="M32" s="768">
        <v>0.23910000000000001</v>
      </c>
      <c r="AT32" s="24"/>
      <c r="AU32" s="24"/>
      <c r="AV32" s="24"/>
      <c r="AW32" s="24"/>
      <c r="AX32" s="24"/>
    </row>
    <row r="33" spans="1:50">
      <c r="A33" t="s">
        <v>305</v>
      </c>
      <c r="B33" s="767">
        <v>0.2152</v>
      </c>
      <c r="C33" s="59">
        <v>0.21510000000000001</v>
      </c>
      <c r="D33" s="59">
        <v>0.215</v>
      </c>
      <c r="E33" s="59">
        <v>0.21479999999999999</v>
      </c>
      <c r="F33" s="59">
        <v>0.2145</v>
      </c>
      <c r="G33" s="59">
        <v>0.21410000000000001</v>
      </c>
      <c r="H33" s="59">
        <v>0.2137</v>
      </c>
      <c r="I33" s="59">
        <v>0.2132</v>
      </c>
      <c r="J33" s="59">
        <v>0.2127</v>
      </c>
      <c r="K33" s="59">
        <v>0.21210000000000001</v>
      </c>
      <c r="L33" s="59">
        <v>0.21160000000000001</v>
      </c>
      <c r="M33" s="768">
        <v>0.21099999999999999</v>
      </c>
      <c r="AT33" s="24"/>
      <c r="AU33" s="24"/>
      <c r="AV33" s="24"/>
      <c r="AW33" s="24"/>
      <c r="AX33" s="24"/>
    </row>
    <row r="34" spans="1:50">
      <c r="A34" t="s">
        <v>306</v>
      </c>
      <c r="B34" s="767">
        <v>0.18479999999999999</v>
      </c>
      <c r="C34" s="59">
        <v>0.1857</v>
      </c>
      <c r="D34" s="59">
        <v>0.18640000000000001</v>
      </c>
      <c r="E34" s="59">
        <v>0.187</v>
      </c>
      <c r="F34" s="59">
        <v>0.18740000000000001</v>
      </c>
      <c r="G34" s="59">
        <v>0.18779999999999999</v>
      </c>
      <c r="H34" s="59">
        <v>0.188</v>
      </c>
      <c r="I34" s="59">
        <v>0.18820000000000001</v>
      </c>
      <c r="J34" s="59">
        <v>0.1883</v>
      </c>
      <c r="K34" s="59">
        <v>0.1883</v>
      </c>
      <c r="L34" s="59">
        <v>0.1883</v>
      </c>
      <c r="M34" s="768">
        <v>0.18809999999999999</v>
      </c>
      <c r="AT34" s="24"/>
      <c r="AU34" s="24"/>
      <c r="AV34" s="24"/>
      <c r="AW34" s="24"/>
      <c r="AX34" s="24"/>
    </row>
    <row r="35" spans="1:50">
      <c r="A35" t="s">
        <v>307</v>
      </c>
      <c r="B35" s="767">
        <v>0.15840000000000001</v>
      </c>
      <c r="C35" s="59">
        <v>0.16009999999999999</v>
      </c>
      <c r="D35" s="59">
        <v>0.16159999999999999</v>
      </c>
      <c r="E35" s="59">
        <v>0.16300000000000001</v>
      </c>
      <c r="F35" s="59">
        <v>0.1641</v>
      </c>
      <c r="G35" s="59">
        <v>0.1651</v>
      </c>
      <c r="H35" s="59">
        <v>0.16600000000000001</v>
      </c>
      <c r="I35" s="59">
        <v>0.16669999999999999</v>
      </c>
      <c r="J35" s="59">
        <v>0.1673</v>
      </c>
      <c r="K35" s="59">
        <v>0.1678</v>
      </c>
      <c r="L35" s="59">
        <v>0.16830000000000001</v>
      </c>
      <c r="M35" s="768">
        <v>0.1686</v>
      </c>
      <c r="AT35" s="24"/>
      <c r="AU35" s="24"/>
      <c r="AV35" s="24"/>
      <c r="AW35" s="24"/>
      <c r="AX35" s="24"/>
    </row>
    <row r="36" spans="1:50">
      <c r="A36" t="s">
        <v>308</v>
      </c>
      <c r="B36" s="767">
        <v>0.1346</v>
      </c>
      <c r="C36" s="59">
        <v>0.13719999999999999</v>
      </c>
      <c r="D36" s="59">
        <v>0.13950000000000001</v>
      </c>
      <c r="E36" s="59">
        <v>0.14149999999999999</v>
      </c>
      <c r="F36" s="59">
        <v>0.14330000000000001</v>
      </c>
      <c r="G36" s="59">
        <v>0.1449</v>
      </c>
      <c r="H36" s="59">
        <v>0.14630000000000001</v>
      </c>
      <c r="I36" s="59">
        <v>0.14749999999999999</v>
      </c>
      <c r="J36" s="59">
        <v>0.1487</v>
      </c>
      <c r="K36" s="59">
        <v>0.14960000000000001</v>
      </c>
      <c r="L36" s="59">
        <v>0.15049999999999999</v>
      </c>
      <c r="M36" s="768">
        <v>0.15129999999999999</v>
      </c>
      <c r="AT36" s="24"/>
      <c r="AU36" s="24"/>
      <c r="AV36" s="24"/>
      <c r="AW36" s="24"/>
      <c r="AX36" s="24"/>
    </row>
    <row r="37" spans="1:50">
      <c r="A37" t="s">
        <v>309</v>
      </c>
      <c r="B37" s="767">
        <v>0.1128</v>
      </c>
      <c r="C37" s="59">
        <v>0.1162</v>
      </c>
      <c r="D37" s="59">
        <v>0.1192</v>
      </c>
      <c r="E37" s="59">
        <v>0.12189999999999999</v>
      </c>
      <c r="F37" s="59">
        <v>0.12429999999999999</v>
      </c>
      <c r="G37" s="59">
        <v>0.1265</v>
      </c>
      <c r="H37" s="59">
        <v>0.12839999999999999</v>
      </c>
      <c r="I37" s="59">
        <v>0.13009999999999999</v>
      </c>
      <c r="J37" s="59">
        <v>0.13170000000000001</v>
      </c>
      <c r="K37" s="59">
        <v>0.1331</v>
      </c>
      <c r="L37" s="59">
        <v>0.13439999999999999</v>
      </c>
      <c r="M37" s="768">
        <v>0.1356</v>
      </c>
      <c r="AT37" s="24"/>
      <c r="AU37" s="24"/>
      <c r="AV37" s="24"/>
      <c r="AW37" s="24"/>
      <c r="AX37" s="24"/>
    </row>
    <row r="38" spans="1:50">
      <c r="A38" t="s">
        <v>310</v>
      </c>
      <c r="B38" s="767">
        <v>9.2299999999999993E-2</v>
      </c>
      <c r="C38" s="59">
        <v>9.6500000000000002E-2</v>
      </c>
      <c r="D38" s="59">
        <v>0.1002</v>
      </c>
      <c r="E38" s="59">
        <v>0.1036</v>
      </c>
      <c r="F38" s="59">
        <v>0.1066</v>
      </c>
      <c r="G38" s="59">
        <v>0.10929999999999999</v>
      </c>
      <c r="H38" s="59">
        <v>0.1118</v>
      </c>
      <c r="I38" s="59">
        <v>0.114</v>
      </c>
      <c r="J38" s="59">
        <v>0.11600000000000001</v>
      </c>
      <c r="K38" s="59">
        <v>0.1179</v>
      </c>
      <c r="L38" s="59">
        <v>0.1196</v>
      </c>
      <c r="M38" s="768">
        <v>0.1211</v>
      </c>
      <c r="AT38" s="24"/>
      <c r="AU38" s="24"/>
      <c r="AV38" s="24"/>
      <c r="AW38" s="24"/>
      <c r="AX38" s="24"/>
    </row>
    <row r="39" spans="1:50">
      <c r="A39" t="s">
        <v>311</v>
      </c>
      <c r="B39" s="767">
        <v>7.2800000000000004E-2</v>
      </c>
      <c r="C39" s="59">
        <v>7.7799999999999994E-2</v>
      </c>
      <c r="D39" s="59">
        <v>8.2199999999999995E-2</v>
      </c>
      <c r="E39" s="59">
        <v>8.6199999999999999E-2</v>
      </c>
      <c r="F39" s="59">
        <v>8.9899999999999994E-2</v>
      </c>
      <c r="G39" s="59">
        <v>9.3100000000000002E-2</v>
      </c>
      <c r="H39" s="59">
        <v>9.6100000000000005E-2</v>
      </c>
      <c r="I39" s="59">
        <v>9.8799999999999999E-2</v>
      </c>
      <c r="J39" s="59">
        <v>0.1013</v>
      </c>
      <c r="K39" s="59">
        <v>0.1036</v>
      </c>
      <c r="L39" s="59">
        <v>0.1056</v>
      </c>
      <c r="M39" s="768">
        <v>0.1075</v>
      </c>
      <c r="AT39" s="24"/>
      <c r="AU39" s="24"/>
      <c r="AV39" s="24"/>
      <c r="AW39" s="24"/>
      <c r="AX39" s="24"/>
    </row>
    <row r="40" spans="1:50">
      <c r="A40" t="s">
        <v>312</v>
      </c>
      <c r="B40" s="767">
        <v>5.3999999999999999E-2</v>
      </c>
      <c r="C40" s="59">
        <v>5.9799999999999999E-2</v>
      </c>
      <c r="D40" s="59">
        <v>6.5000000000000002E-2</v>
      </c>
      <c r="E40" s="59">
        <v>6.9699999999999998E-2</v>
      </c>
      <c r="F40" s="59">
        <v>7.3899999999999993E-2</v>
      </c>
      <c r="G40" s="59">
        <v>7.7700000000000005E-2</v>
      </c>
      <c r="H40" s="59">
        <v>8.1199999999999994E-2</v>
      </c>
      <c r="I40" s="59">
        <v>8.4400000000000003E-2</v>
      </c>
      <c r="J40" s="59">
        <v>8.7300000000000003E-2</v>
      </c>
      <c r="K40" s="59">
        <v>0.09</v>
      </c>
      <c r="L40" s="59">
        <v>9.2399999999999996E-2</v>
      </c>
      <c r="M40" s="768">
        <v>9.4700000000000006E-2</v>
      </c>
      <c r="AT40" s="24"/>
      <c r="AU40" s="24"/>
      <c r="AV40" s="24"/>
      <c r="AW40" s="24"/>
      <c r="AX40" s="24"/>
    </row>
    <row r="41" spans="1:50">
      <c r="A41" t="s">
        <v>313</v>
      </c>
      <c r="B41" s="767">
        <v>3.5799999999999998E-2</v>
      </c>
      <c r="C41" s="59">
        <v>4.24E-2</v>
      </c>
      <c r="D41" s="59">
        <v>4.8300000000000003E-2</v>
      </c>
      <c r="E41" s="59">
        <v>5.3699999999999998E-2</v>
      </c>
      <c r="F41" s="59">
        <v>5.8500000000000003E-2</v>
      </c>
      <c r="G41" s="59">
        <v>6.2899999999999998E-2</v>
      </c>
      <c r="H41" s="59">
        <v>6.6900000000000001E-2</v>
      </c>
      <c r="I41" s="59">
        <v>7.0599999999999996E-2</v>
      </c>
      <c r="J41" s="59">
        <v>7.3899999999999993E-2</v>
      </c>
      <c r="K41" s="59">
        <v>7.6999999999999999E-2</v>
      </c>
      <c r="L41" s="59">
        <v>7.9799999999999996E-2</v>
      </c>
      <c r="M41" s="768">
        <v>8.2400000000000001E-2</v>
      </c>
      <c r="AT41" s="24"/>
      <c r="AU41" s="24"/>
      <c r="AV41" s="24"/>
      <c r="AW41" s="24"/>
      <c r="AX41" s="24"/>
    </row>
    <row r="42" spans="1:50">
      <c r="A42" t="s">
        <v>314</v>
      </c>
      <c r="B42" s="767">
        <v>1.78E-2</v>
      </c>
      <c r="C42" s="59">
        <v>2.53E-2</v>
      </c>
      <c r="D42" s="59">
        <v>3.2000000000000001E-2</v>
      </c>
      <c r="E42" s="59">
        <v>3.8100000000000002E-2</v>
      </c>
      <c r="F42" s="59">
        <v>4.3499999999999997E-2</v>
      </c>
      <c r="G42" s="59">
        <v>4.8500000000000001E-2</v>
      </c>
      <c r="H42" s="59">
        <v>5.2999999999999999E-2</v>
      </c>
      <c r="I42" s="59">
        <v>5.7200000000000001E-2</v>
      </c>
      <c r="J42" s="59">
        <v>6.0999999999999999E-2</v>
      </c>
      <c r="K42" s="59">
        <v>6.4500000000000002E-2</v>
      </c>
      <c r="L42" s="59">
        <v>6.7699999999999996E-2</v>
      </c>
      <c r="M42" s="768">
        <v>7.0599999999999996E-2</v>
      </c>
      <c r="AT42" s="24"/>
      <c r="AU42" s="24"/>
      <c r="AV42" s="24"/>
      <c r="AW42" s="24"/>
      <c r="AX42" s="24"/>
    </row>
    <row r="43" spans="1:50">
      <c r="A43" t="s">
        <v>2029</v>
      </c>
      <c r="B43" s="767">
        <v>0</v>
      </c>
      <c r="C43" s="59">
        <v>8.3999999999999995E-3</v>
      </c>
      <c r="D43" s="59">
        <v>1.5900000000000001E-2</v>
      </c>
      <c r="E43" s="59">
        <v>2.2700000000000001E-2</v>
      </c>
      <c r="F43" s="59">
        <v>2.8899999999999999E-2</v>
      </c>
      <c r="G43" s="59">
        <v>3.44E-2</v>
      </c>
      <c r="H43" s="59">
        <v>3.95E-2</v>
      </c>
      <c r="I43" s="59">
        <v>4.41E-2</v>
      </c>
      <c r="J43" s="59">
        <v>4.8399999999999999E-2</v>
      </c>
      <c r="K43" s="59">
        <v>5.2299999999999999E-2</v>
      </c>
      <c r="L43" s="59">
        <v>5.5899999999999998E-2</v>
      </c>
      <c r="M43" s="768">
        <v>5.9200000000000003E-2</v>
      </c>
      <c r="AT43" s="24"/>
      <c r="AU43" s="24"/>
      <c r="AV43" s="24"/>
      <c r="AW43" s="24"/>
      <c r="AX43" s="24"/>
    </row>
    <row r="44" spans="1:50">
      <c r="A44" t="s">
        <v>2030</v>
      </c>
      <c r="B44" s="767" t="s">
        <v>2031</v>
      </c>
      <c r="C44" s="59" t="s">
        <v>2031</v>
      </c>
      <c r="D44" s="59">
        <v>0</v>
      </c>
      <c r="E44" s="59">
        <v>7.6E-3</v>
      </c>
      <c r="F44" s="59">
        <v>1.44E-2</v>
      </c>
      <c r="G44" s="59">
        <v>2.06E-2</v>
      </c>
      <c r="H44" s="59">
        <v>2.6200000000000001E-2</v>
      </c>
      <c r="I44" s="59">
        <v>3.1399999999999997E-2</v>
      </c>
      <c r="J44" s="59">
        <v>3.61E-2</v>
      </c>
      <c r="K44" s="59">
        <v>4.0399999999999998E-2</v>
      </c>
      <c r="L44" s="59">
        <v>4.4400000000000002E-2</v>
      </c>
      <c r="M44" s="768">
        <v>4.8099999999999997E-2</v>
      </c>
      <c r="AT44" s="24"/>
      <c r="AU44" s="24"/>
      <c r="AV44" s="24"/>
      <c r="AW44" s="24"/>
      <c r="AX44" s="24"/>
    </row>
    <row r="45" spans="1:50">
      <c r="A45" t="s">
        <v>2032</v>
      </c>
      <c r="B45" s="767"/>
      <c r="C45" s="59"/>
      <c r="D45" s="59" t="s">
        <v>2031</v>
      </c>
      <c r="E45" s="59" t="s">
        <v>2031</v>
      </c>
      <c r="F45" s="59">
        <v>0</v>
      </c>
      <c r="G45" s="59">
        <v>6.7999999999999996E-3</v>
      </c>
      <c r="H45" s="59">
        <v>1.3100000000000001E-2</v>
      </c>
      <c r="I45" s="59">
        <v>1.8700000000000001E-2</v>
      </c>
      <c r="J45" s="59">
        <v>2.3900000000000001E-2</v>
      </c>
      <c r="K45" s="59">
        <v>2.87E-2</v>
      </c>
      <c r="L45" s="59">
        <v>3.3099999999999997E-2</v>
      </c>
      <c r="M45" s="768">
        <v>3.7199999999999997E-2</v>
      </c>
      <c r="AT45" s="24"/>
      <c r="AU45" s="24"/>
      <c r="AV45" s="24"/>
      <c r="AW45" s="24"/>
      <c r="AX45" s="24"/>
    </row>
    <row r="46" spans="1:50">
      <c r="A46" t="s">
        <v>2033</v>
      </c>
      <c r="B46" s="767"/>
      <c r="C46" s="59"/>
      <c r="D46" s="59" t="s">
        <v>2031</v>
      </c>
      <c r="E46" s="59" t="s">
        <v>2031</v>
      </c>
      <c r="F46" s="59" t="s">
        <v>2031</v>
      </c>
      <c r="G46" s="59" t="s">
        <v>2031</v>
      </c>
      <c r="H46" s="59">
        <v>0</v>
      </c>
      <c r="I46" s="59">
        <v>6.1999999999999998E-3</v>
      </c>
      <c r="J46" s="59">
        <v>1.1900000000000001E-2</v>
      </c>
      <c r="K46" s="59">
        <v>1.72E-2</v>
      </c>
      <c r="L46" s="59">
        <v>2.1999999999999999E-2</v>
      </c>
      <c r="M46" s="768">
        <v>2.64E-2</v>
      </c>
      <c r="AT46" s="24"/>
      <c r="AU46" s="24"/>
      <c r="AV46" s="24"/>
      <c r="AW46" s="24"/>
      <c r="AX46" s="24"/>
    </row>
    <row r="47" spans="1:50">
      <c r="A47" t="s">
        <v>2034</v>
      </c>
      <c r="B47" s="767"/>
      <c r="C47" s="59"/>
      <c r="D47" s="59" t="s">
        <v>2031</v>
      </c>
      <c r="E47" s="59" t="s">
        <v>2031</v>
      </c>
      <c r="F47" s="59" t="s">
        <v>2031</v>
      </c>
      <c r="G47" s="59" t="s">
        <v>2031</v>
      </c>
      <c r="H47" s="59" t="s">
        <v>2031</v>
      </c>
      <c r="I47" s="59" t="s">
        <v>2031</v>
      </c>
      <c r="J47" s="59">
        <v>0</v>
      </c>
      <c r="K47" s="59">
        <v>5.7000000000000002E-3</v>
      </c>
      <c r="L47" s="59">
        <v>1.0999999999999999E-2</v>
      </c>
      <c r="M47" s="768">
        <v>1.5800000000000002E-2</v>
      </c>
      <c r="AT47" s="24"/>
      <c r="AU47" s="24"/>
      <c r="AV47" s="24"/>
      <c r="AW47" s="24"/>
      <c r="AX47" s="24"/>
    </row>
    <row r="48" spans="1:50">
      <c r="A48" t="s">
        <v>2035</v>
      </c>
      <c r="B48" s="882"/>
      <c r="C48" s="883"/>
      <c r="D48" s="883"/>
      <c r="E48" s="534"/>
      <c r="F48" s="534"/>
      <c r="G48" s="534"/>
      <c r="H48" s="534"/>
      <c r="I48" s="534"/>
      <c r="J48" s="534"/>
      <c r="K48" s="534"/>
      <c r="L48" s="770">
        <v>0</v>
      </c>
      <c r="M48" s="771">
        <v>5.3E-3</v>
      </c>
      <c r="AT48" s="24"/>
      <c r="AU48" s="24"/>
      <c r="AV48" s="24"/>
      <c r="AW48" s="24"/>
      <c r="AX48" s="24"/>
    </row>
    <row r="49" spans="1:50">
      <c r="B49" s="77"/>
      <c r="C49" s="77"/>
      <c r="D49" s="77"/>
      <c r="AT49" s="24"/>
      <c r="AU49" s="24"/>
      <c r="AV49" s="24"/>
      <c r="AW49" s="24"/>
      <c r="AX49" s="24"/>
    </row>
    <row r="50" spans="1:50">
      <c r="A50" s="19" t="s">
        <v>301</v>
      </c>
      <c r="B50">
        <v>39</v>
      </c>
      <c r="C50">
        <f t="shared" ref="C50:M50" si="3">B50+1</f>
        <v>40</v>
      </c>
      <c r="D50">
        <f t="shared" si="3"/>
        <v>41</v>
      </c>
      <c r="E50">
        <f t="shared" si="3"/>
        <v>42</v>
      </c>
      <c r="F50">
        <f t="shared" si="3"/>
        <v>43</v>
      </c>
      <c r="G50">
        <f t="shared" si="3"/>
        <v>44</v>
      </c>
      <c r="H50">
        <f t="shared" si="3"/>
        <v>45</v>
      </c>
      <c r="I50">
        <f t="shared" si="3"/>
        <v>46</v>
      </c>
      <c r="J50">
        <f t="shared" si="3"/>
        <v>47</v>
      </c>
      <c r="K50">
        <f t="shared" si="3"/>
        <v>48</v>
      </c>
      <c r="L50">
        <f t="shared" si="3"/>
        <v>49</v>
      </c>
      <c r="M50">
        <f t="shared" si="3"/>
        <v>50</v>
      </c>
      <c r="AT50" s="24"/>
      <c r="AU50" s="24"/>
      <c r="AV50" s="24"/>
      <c r="AW50" s="24"/>
      <c r="AX50" s="24"/>
    </row>
    <row r="51" spans="1:50">
      <c r="A51" t="s">
        <v>302</v>
      </c>
      <c r="B51" s="881">
        <v>0.39889999999999998</v>
      </c>
      <c r="C51" s="56">
        <v>0.39639999999999997</v>
      </c>
      <c r="D51" s="56">
        <v>0.39400000000000002</v>
      </c>
      <c r="E51" s="56">
        <v>0.39169999999999999</v>
      </c>
      <c r="F51" s="56">
        <v>0.38940000000000002</v>
      </c>
      <c r="G51" s="56">
        <v>0.38719999999999999</v>
      </c>
      <c r="H51" s="56">
        <v>0.38500000000000001</v>
      </c>
      <c r="I51" s="56">
        <v>0.38300000000000001</v>
      </c>
      <c r="J51" s="56">
        <v>0.38080000000000003</v>
      </c>
      <c r="K51" s="56">
        <v>0.37890000000000001</v>
      </c>
      <c r="L51" s="56">
        <v>0.377</v>
      </c>
      <c r="M51" s="880">
        <v>0.37509999999999999</v>
      </c>
      <c r="AT51" s="24"/>
      <c r="AU51" s="24"/>
      <c r="AV51" s="24"/>
      <c r="AW51" s="24"/>
      <c r="AX51" s="24"/>
    </row>
    <row r="52" spans="1:50">
      <c r="A52" t="s">
        <v>303</v>
      </c>
      <c r="B52" s="767">
        <v>0.27550000000000002</v>
      </c>
      <c r="C52" s="59">
        <v>0.2737</v>
      </c>
      <c r="D52" s="59">
        <v>0.27189999999999998</v>
      </c>
      <c r="E52" s="59">
        <v>0.27010000000000001</v>
      </c>
      <c r="F52" s="59">
        <v>0.26840000000000003</v>
      </c>
      <c r="G52" s="59">
        <v>0.26669999999999999</v>
      </c>
      <c r="H52" s="59">
        <v>0.2651</v>
      </c>
      <c r="I52" s="59">
        <v>0.26350000000000001</v>
      </c>
      <c r="J52" s="59">
        <v>0.26200000000000001</v>
      </c>
      <c r="K52" s="59">
        <v>0.26040000000000002</v>
      </c>
      <c r="L52" s="59">
        <v>0.25890000000000002</v>
      </c>
      <c r="M52" s="768">
        <v>0.25740000000000002</v>
      </c>
      <c r="AT52" s="24"/>
      <c r="AU52" s="24"/>
      <c r="AV52" s="24"/>
      <c r="AW52" s="24"/>
      <c r="AX52" s="24"/>
    </row>
    <row r="53" spans="1:50">
      <c r="A53" t="s">
        <v>304</v>
      </c>
      <c r="B53" s="767">
        <v>0.23799999999999999</v>
      </c>
      <c r="C53" s="59">
        <v>0.23680000000000001</v>
      </c>
      <c r="D53" s="59">
        <v>0.23569999999999999</v>
      </c>
      <c r="E53" s="59">
        <v>0.23449999999999999</v>
      </c>
      <c r="F53" s="59">
        <v>0.2334</v>
      </c>
      <c r="G53" s="59">
        <v>0.23230000000000001</v>
      </c>
      <c r="H53" s="59">
        <v>0.23130000000000001</v>
      </c>
      <c r="I53" s="59">
        <v>0.23019999999999999</v>
      </c>
      <c r="J53" s="59">
        <v>0.2291</v>
      </c>
      <c r="K53" s="59">
        <v>0.2281</v>
      </c>
      <c r="L53" s="59">
        <v>0.2271</v>
      </c>
      <c r="M53" s="768">
        <v>0.22600000000000001</v>
      </c>
      <c r="AT53" s="24"/>
      <c r="AU53" s="24"/>
      <c r="AV53" s="24"/>
      <c r="AW53" s="24"/>
      <c r="AX53" s="24"/>
    </row>
    <row r="54" spans="1:50">
      <c r="A54" t="s">
        <v>305</v>
      </c>
      <c r="B54" s="767">
        <v>0.2104</v>
      </c>
      <c r="C54" s="59">
        <v>0.20979999999999999</v>
      </c>
      <c r="D54" s="59">
        <v>0.20910000000000001</v>
      </c>
      <c r="E54" s="59">
        <v>0.20849999999999999</v>
      </c>
      <c r="F54" s="59">
        <v>0.20780000000000001</v>
      </c>
      <c r="G54" s="59">
        <v>0.2072</v>
      </c>
      <c r="H54" s="59">
        <v>0.20649999999999999</v>
      </c>
      <c r="I54" s="59">
        <v>0.20580000000000001</v>
      </c>
      <c r="J54" s="59">
        <v>0.20519999999999999</v>
      </c>
      <c r="K54" s="59">
        <v>0.20449999999999999</v>
      </c>
      <c r="L54" s="59">
        <v>0.20380000000000001</v>
      </c>
      <c r="M54" s="768">
        <v>0.20319999999999999</v>
      </c>
      <c r="AT54" s="24"/>
      <c r="AU54" s="24"/>
      <c r="AV54" s="24"/>
      <c r="AW54" s="24"/>
      <c r="AX54" s="24"/>
    </row>
    <row r="55" spans="1:50">
      <c r="A55" t="s">
        <v>306</v>
      </c>
      <c r="B55" s="767">
        <v>0.188</v>
      </c>
      <c r="C55" s="59">
        <v>0.18779999999999999</v>
      </c>
      <c r="D55" s="59">
        <v>0.18759999999999999</v>
      </c>
      <c r="E55" s="59">
        <v>0.18740000000000001</v>
      </c>
      <c r="F55" s="59">
        <v>0.18709999999999999</v>
      </c>
      <c r="G55" s="59">
        <v>0.18679999999999999</v>
      </c>
      <c r="H55" s="59">
        <v>0.1865</v>
      </c>
      <c r="I55" s="59">
        <v>0.1862</v>
      </c>
      <c r="J55" s="59">
        <v>0.18590000000000001</v>
      </c>
      <c r="K55" s="59">
        <v>0.1855</v>
      </c>
      <c r="L55" s="59">
        <v>0.18509999999999999</v>
      </c>
      <c r="M55" s="768">
        <v>0.1847</v>
      </c>
      <c r="AT55" s="24"/>
      <c r="AU55" s="24"/>
      <c r="AV55" s="24"/>
      <c r="AW55" s="24"/>
      <c r="AX55" s="24"/>
    </row>
    <row r="56" spans="1:50">
      <c r="A56" t="s">
        <v>307</v>
      </c>
      <c r="B56" s="767">
        <v>0.16889999999999999</v>
      </c>
      <c r="C56" s="59">
        <v>0.1691</v>
      </c>
      <c r="D56" s="59">
        <v>0.16930000000000001</v>
      </c>
      <c r="E56" s="59">
        <v>0.1694</v>
      </c>
      <c r="F56" s="59">
        <v>0.16950000000000001</v>
      </c>
      <c r="G56" s="59">
        <v>0.16950000000000001</v>
      </c>
      <c r="H56" s="59">
        <v>0.16950000000000001</v>
      </c>
      <c r="I56" s="59">
        <v>0.16950000000000001</v>
      </c>
      <c r="J56" s="59">
        <v>0.16950000000000001</v>
      </c>
      <c r="K56" s="59">
        <v>0.16930000000000001</v>
      </c>
      <c r="L56" s="59">
        <v>0.16919999999999999</v>
      </c>
      <c r="M56" s="768">
        <v>0.1691</v>
      </c>
      <c r="AT56" s="24"/>
      <c r="AU56" s="24"/>
      <c r="AV56" s="24"/>
      <c r="AW56" s="24"/>
      <c r="AX56" s="24"/>
    </row>
    <row r="57" spans="1:50">
      <c r="A57" t="s">
        <v>308</v>
      </c>
      <c r="B57" s="767">
        <v>0.152</v>
      </c>
      <c r="C57" s="59">
        <v>0.15260000000000001</v>
      </c>
      <c r="D57" s="59">
        <v>0.15310000000000001</v>
      </c>
      <c r="E57" s="59">
        <v>0.1535</v>
      </c>
      <c r="F57" s="59">
        <v>0.15390000000000001</v>
      </c>
      <c r="G57" s="59">
        <v>0.1542</v>
      </c>
      <c r="H57" s="59">
        <v>0.1545</v>
      </c>
      <c r="I57" s="59">
        <v>0.15479999999999999</v>
      </c>
      <c r="J57" s="59">
        <v>0.155</v>
      </c>
      <c r="K57" s="59">
        <v>0.15509999999999999</v>
      </c>
      <c r="L57" s="59">
        <v>0.15529999999999999</v>
      </c>
      <c r="M57" s="768">
        <v>0.15540000000000001</v>
      </c>
      <c r="AT57" s="24"/>
      <c r="AU57" s="24"/>
      <c r="AV57" s="24"/>
      <c r="AW57" s="24"/>
      <c r="AX57" s="24"/>
    </row>
    <row r="58" spans="1:50">
      <c r="A58" t="s">
        <v>309</v>
      </c>
      <c r="B58" s="767">
        <v>0.1366</v>
      </c>
      <c r="C58" s="59">
        <v>0.1376</v>
      </c>
      <c r="D58" s="59">
        <v>0.1384</v>
      </c>
      <c r="E58" s="59">
        <v>0.13919999999999999</v>
      </c>
      <c r="F58" s="59">
        <v>0.13980000000000001</v>
      </c>
      <c r="G58" s="59">
        <v>0.14050000000000001</v>
      </c>
      <c r="H58" s="59">
        <v>0.14099999999999999</v>
      </c>
      <c r="I58" s="59">
        <v>0.14149999999999999</v>
      </c>
      <c r="J58" s="59">
        <v>0.14199999999999999</v>
      </c>
      <c r="K58" s="59">
        <v>0.14230000000000001</v>
      </c>
      <c r="L58" s="59">
        <v>0.14269999999999999</v>
      </c>
      <c r="M58" s="768">
        <v>0.14299999999999999</v>
      </c>
      <c r="AT58" s="24"/>
      <c r="AU58" s="24"/>
      <c r="AV58" s="24"/>
      <c r="AW58" s="24"/>
      <c r="AX58" s="24"/>
    </row>
    <row r="59" spans="1:50">
      <c r="A59" t="s">
        <v>310</v>
      </c>
      <c r="B59" s="767">
        <v>0.1225</v>
      </c>
      <c r="C59" s="59">
        <v>0.1237</v>
      </c>
      <c r="D59" s="59">
        <v>0.1249</v>
      </c>
      <c r="E59" s="59">
        <v>0.12590000000000001</v>
      </c>
      <c r="F59" s="59">
        <v>0.12690000000000001</v>
      </c>
      <c r="G59" s="59">
        <v>0.1278</v>
      </c>
      <c r="H59" s="59">
        <v>0.12859999999999999</v>
      </c>
      <c r="I59" s="59">
        <v>0.1293</v>
      </c>
      <c r="J59" s="59">
        <v>0.13</v>
      </c>
      <c r="K59" s="59">
        <v>0.13059999999999999</v>
      </c>
      <c r="L59" s="59">
        <v>0.13120000000000001</v>
      </c>
      <c r="M59" s="768">
        <v>0.13170000000000001</v>
      </c>
      <c r="AT59" s="24"/>
      <c r="AU59" s="24"/>
      <c r="AV59" s="24"/>
      <c r="AW59" s="24"/>
      <c r="AX59" s="24"/>
    </row>
    <row r="60" spans="1:50">
      <c r="A60" t="s">
        <v>311</v>
      </c>
      <c r="B60" s="767">
        <v>0.10920000000000001</v>
      </c>
      <c r="C60" s="59">
        <v>0.1108</v>
      </c>
      <c r="D60" s="59">
        <v>0.1123</v>
      </c>
      <c r="E60" s="59">
        <v>0.11360000000000001</v>
      </c>
      <c r="F60" s="59">
        <v>0.1149</v>
      </c>
      <c r="G60" s="59">
        <v>0.11600000000000001</v>
      </c>
      <c r="H60" s="59">
        <v>0.11700000000000001</v>
      </c>
      <c r="I60" s="59">
        <v>0.11799999999999999</v>
      </c>
      <c r="J60" s="59">
        <v>0.11890000000000001</v>
      </c>
      <c r="K60" s="59">
        <v>0.1197</v>
      </c>
      <c r="L60" s="59">
        <v>0.1205</v>
      </c>
      <c r="M60" s="768">
        <v>0.1212</v>
      </c>
      <c r="AT60" s="24"/>
      <c r="AU60" s="24"/>
      <c r="AV60" s="24"/>
      <c r="AW60" s="24"/>
      <c r="AX60" s="24"/>
    </row>
    <row r="61" spans="1:50">
      <c r="A61" t="s">
        <v>312</v>
      </c>
      <c r="B61" s="767">
        <v>9.6699999999999994E-2</v>
      </c>
      <c r="C61" s="59">
        <v>9.8599999999999993E-2</v>
      </c>
      <c r="D61" s="59">
        <v>0.1004</v>
      </c>
      <c r="E61" s="59">
        <v>0.10199999999999999</v>
      </c>
      <c r="F61" s="59">
        <v>0.10349999999999999</v>
      </c>
      <c r="G61" s="59">
        <v>0.10489999999999999</v>
      </c>
      <c r="H61" s="59">
        <v>0.1062</v>
      </c>
      <c r="I61" s="59">
        <v>0.10730000000000001</v>
      </c>
      <c r="J61" s="59">
        <v>0.1085</v>
      </c>
      <c r="K61" s="59">
        <v>0.1095</v>
      </c>
      <c r="L61" s="59">
        <v>0.1105</v>
      </c>
      <c r="M61" s="768">
        <v>0.1113</v>
      </c>
      <c r="AT61" s="24"/>
      <c r="AU61" s="24"/>
      <c r="AV61" s="24"/>
      <c r="AW61" s="24"/>
      <c r="AX61" s="24"/>
    </row>
    <row r="62" spans="1:50">
      <c r="A62" t="s">
        <v>313</v>
      </c>
      <c r="B62" s="767">
        <v>8.48E-2</v>
      </c>
      <c r="C62" s="59">
        <v>8.6999999999999994E-2</v>
      </c>
      <c r="D62" s="59">
        <v>8.9099999999999999E-2</v>
      </c>
      <c r="E62" s="59">
        <v>9.0899999999999995E-2</v>
      </c>
      <c r="F62" s="59">
        <v>9.2700000000000005E-2</v>
      </c>
      <c r="G62" s="59">
        <v>9.4299999999999995E-2</v>
      </c>
      <c r="H62" s="59">
        <v>9.5899999999999999E-2</v>
      </c>
      <c r="I62" s="59">
        <v>9.7199999999999995E-2</v>
      </c>
      <c r="J62" s="59">
        <v>9.8599999999999993E-2</v>
      </c>
      <c r="K62" s="59">
        <v>9.98E-2</v>
      </c>
      <c r="L62" s="59">
        <v>0.10100000000000001</v>
      </c>
      <c r="M62" s="768">
        <v>0.10199999999999999</v>
      </c>
      <c r="AT62" s="24"/>
      <c r="AU62" s="24"/>
      <c r="AV62" s="24"/>
      <c r="AW62" s="24"/>
      <c r="AX62" s="24"/>
    </row>
    <row r="63" spans="1:50">
      <c r="A63" t="s">
        <v>314</v>
      </c>
      <c r="B63" s="767">
        <v>7.3300000000000004E-2</v>
      </c>
      <c r="C63" s="59">
        <v>7.5899999999999995E-2</v>
      </c>
      <c r="D63" s="59">
        <v>7.8200000000000006E-2</v>
      </c>
      <c r="E63" s="59">
        <v>8.0399999999999999E-2</v>
      </c>
      <c r="F63" s="59">
        <v>8.2400000000000001E-2</v>
      </c>
      <c r="G63" s="59">
        <v>8.4199999999999997E-2</v>
      </c>
      <c r="H63" s="59">
        <v>8.5999999999999993E-2</v>
      </c>
      <c r="I63" s="59">
        <v>8.7599999999999997E-2</v>
      </c>
      <c r="J63" s="59">
        <v>8.9200000000000002E-2</v>
      </c>
      <c r="K63" s="59">
        <v>9.06E-2</v>
      </c>
      <c r="L63" s="59">
        <v>0.91900000000000004</v>
      </c>
      <c r="M63" s="768">
        <v>9.3200000000000005E-2</v>
      </c>
      <c r="AT63" s="24"/>
      <c r="AU63" s="24"/>
      <c r="AV63" s="24"/>
      <c r="AW63" s="24"/>
      <c r="AX63" s="24"/>
    </row>
    <row r="64" spans="1:50">
      <c r="A64" t="s">
        <v>2029</v>
      </c>
      <c r="B64" s="767">
        <v>6.2199999999999998E-2</v>
      </c>
      <c r="C64" s="59">
        <v>6.5100000000000005E-2</v>
      </c>
      <c r="D64" s="59">
        <v>6.7699999999999996E-2</v>
      </c>
      <c r="E64" s="59">
        <v>7.0099999999999996E-2</v>
      </c>
      <c r="F64" s="59">
        <v>7.2400000000000006E-2</v>
      </c>
      <c r="G64" s="59">
        <v>7.4499999999999997E-2</v>
      </c>
      <c r="H64" s="59">
        <v>7.6499999999999999E-2</v>
      </c>
      <c r="I64" s="59">
        <v>7.8299999999999995E-2</v>
      </c>
      <c r="J64" s="59">
        <v>8.0100000000000005E-2</v>
      </c>
      <c r="K64" s="59">
        <v>8.1699999999999995E-2</v>
      </c>
      <c r="L64" s="59">
        <v>8.3199999999999996E-2</v>
      </c>
      <c r="M64" s="768">
        <v>8.4599999999999995E-2</v>
      </c>
      <c r="AT64" s="24"/>
      <c r="AU64" s="24"/>
      <c r="AV64" s="24"/>
      <c r="AW64" s="24"/>
      <c r="AX64" s="24"/>
    </row>
    <row r="65" spans="1:50">
      <c r="A65" t="s">
        <v>2030</v>
      </c>
      <c r="B65" s="767">
        <v>5.1499999999999997E-2</v>
      </c>
      <c r="C65" s="59">
        <v>5.4600000000000003E-2</v>
      </c>
      <c r="D65" s="59">
        <v>5.7500000000000002E-2</v>
      </c>
      <c r="E65" s="59">
        <v>6.0199999999999997E-2</v>
      </c>
      <c r="F65" s="59">
        <v>6.2799999999999995E-2</v>
      </c>
      <c r="G65" s="59">
        <v>6.5100000000000005E-2</v>
      </c>
      <c r="H65" s="59">
        <v>6.7299999999999999E-2</v>
      </c>
      <c r="I65" s="59">
        <v>6.9400000000000003E-2</v>
      </c>
      <c r="J65" s="59">
        <v>7.1300000000000002E-2</v>
      </c>
      <c r="K65" s="59">
        <v>7.3099999999999998E-2</v>
      </c>
      <c r="L65" s="59">
        <v>7.4800000000000005E-2</v>
      </c>
      <c r="M65" s="768">
        <v>7.6399999999999996E-2</v>
      </c>
      <c r="AT65" s="24"/>
      <c r="AU65" s="24"/>
      <c r="AV65" s="24"/>
      <c r="AW65" s="24"/>
      <c r="AX65" s="24"/>
    </row>
    <row r="66" spans="1:50">
      <c r="A66" t="s">
        <v>2032</v>
      </c>
      <c r="B66" s="767">
        <v>4.0899999999999999E-2</v>
      </c>
      <c r="C66" s="59">
        <v>4.4400000000000002E-2</v>
      </c>
      <c r="D66" s="59">
        <v>4.7600000000000003E-2</v>
      </c>
      <c r="E66" s="59">
        <v>5.0599999999999999E-2</v>
      </c>
      <c r="F66" s="59">
        <v>5.3400000000000003E-2</v>
      </c>
      <c r="G66" s="59">
        <v>5.6000000000000001E-2</v>
      </c>
      <c r="H66" s="59">
        <v>5.8400000000000001E-2</v>
      </c>
      <c r="I66" s="59">
        <v>6.0699999999999997E-2</v>
      </c>
      <c r="J66" s="59">
        <v>6.2799999999999995E-2</v>
      </c>
      <c r="K66" s="59">
        <v>6.4799999999999996E-2</v>
      </c>
      <c r="L66" s="59">
        <v>6.6699999999999995E-2</v>
      </c>
      <c r="M66" s="768">
        <v>6.8500000000000005E-2</v>
      </c>
      <c r="AT66" s="24"/>
      <c r="AU66" s="24"/>
      <c r="AV66" s="24"/>
      <c r="AW66" s="24"/>
      <c r="AX66" s="24"/>
    </row>
    <row r="67" spans="1:50">
      <c r="A67" t="s">
        <v>2033</v>
      </c>
      <c r="B67" s="767">
        <v>3.0499999999999999E-2</v>
      </c>
      <c r="C67" s="59">
        <v>3.4299999999999997E-2</v>
      </c>
      <c r="D67" s="59">
        <v>3.7900000000000003E-2</v>
      </c>
      <c r="E67" s="59">
        <v>4.1099999999999998E-2</v>
      </c>
      <c r="F67" s="59">
        <v>4.4200000000000003E-2</v>
      </c>
      <c r="G67" s="59">
        <v>4.7100000000000003E-2</v>
      </c>
      <c r="H67" s="59">
        <v>4.9700000000000001E-2</v>
      </c>
      <c r="I67" s="59">
        <v>5.2200000000000003E-2</v>
      </c>
      <c r="J67" s="59">
        <v>5.4600000000000003E-2</v>
      </c>
      <c r="K67" s="59">
        <v>5.6800000000000003E-2</v>
      </c>
      <c r="L67" s="59">
        <v>5.8799999999999998E-2</v>
      </c>
      <c r="M67" s="768">
        <v>6.08E-2</v>
      </c>
      <c r="AT67" s="24"/>
      <c r="AU67" s="24"/>
      <c r="AV67" s="24"/>
      <c r="AW67" s="24"/>
      <c r="AX67" s="24"/>
    </row>
    <row r="68" spans="1:50">
      <c r="A68" t="s">
        <v>2034</v>
      </c>
      <c r="B68" s="767">
        <v>2.0299999999999999E-2</v>
      </c>
      <c r="C68" s="59">
        <v>2.4400000000000002E-2</v>
      </c>
      <c r="D68" s="59">
        <v>2.8299999999999999E-2</v>
      </c>
      <c r="E68" s="59">
        <v>3.1800000000000002E-2</v>
      </c>
      <c r="F68" s="59">
        <v>3.5200000000000002E-2</v>
      </c>
      <c r="G68" s="59">
        <v>3.8300000000000001E-2</v>
      </c>
      <c r="H68" s="59">
        <v>4.1200000000000001E-2</v>
      </c>
      <c r="I68" s="59">
        <v>4.3900000000000002E-2</v>
      </c>
      <c r="J68" s="59">
        <v>4.65E-2</v>
      </c>
      <c r="K68" s="59">
        <v>4.8899999999999999E-2</v>
      </c>
      <c r="L68" s="59">
        <v>5.11E-2</v>
      </c>
      <c r="M68" s="768">
        <v>5.3199999999999997E-2</v>
      </c>
      <c r="AT68" s="24"/>
      <c r="AU68" s="24"/>
      <c r="AV68" s="24"/>
      <c r="AW68" s="24"/>
      <c r="AX68" s="24"/>
    </row>
    <row r="69" spans="1:50">
      <c r="A69" t="s">
        <v>2035</v>
      </c>
      <c r="B69" s="767">
        <v>1.01E-2</v>
      </c>
      <c r="C69" s="59">
        <v>1.46E-2</v>
      </c>
      <c r="D69" s="59">
        <v>1.8800000000000001E-2</v>
      </c>
      <c r="E69" s="59">
        <v>2.2700000000000001E-2</v>
      </c>
      <c r="F69" s="59">
        <v>2.63E-2</v>
      </c>
      <c r="G69" s="59">
        <v>2.9600000000000001E-2</v>
      </c>
      <c r="H69" s="59">
        <v>3.2800000000000003E-2</v>
      </c>
      <c r="I69" s="59">
        <v>3.5700000000000003E-2</v>
      </c>
      <c r="J69" s="59">
        <v>3.85E-2</v>
      </c>
      <c r="K69" s="59">
        <v>4.1099999999999998E-2</v>
      </c>
      <c r="L69" s="59">
        <v>4.36E-2</v>
      </c>
      <c r="M69" s="768">
        <v>4.5900000000000003E-2</v>
      </c>
      <c r="AT69" s="24"/>
      <c r="AU69" s="24"/>
      <c r="AV69" s="24"/>
      <c r="AW69" s="24"/>
      <c r="AX69" s="24"/>
    </row>
    <row r="70" spans="1:50">
      <c r="A70" t="s">
        <v>2036</v>
      </c>
      <c r="B70" s="767">
        <v>0</v>
      </c>
      <c r="C70" s="59">
        <v>4.8999999999999998E-3</v>
      </c>
      <c r="D70" s="59">
        <v>9.4000000000000004E-3</v>
      </c>
      <c r="E70" s="59">
        <v>1.3599999999999999E-2</v>
      </c>
      <c r="F70" s="59">
        <v>1.7500000000000002E-2</v>
      </c>
      <c r="G70" s="59">
        <v>2.1100000000000001E-2</v>
      </c>
      <c r="H70" s="59">
        <v>2.4500000000000001E-2</v>
      </c>
      <c r="I70" s="59">
        <v>2.7699999999999999E-2</v>
      </c>
      <c r="J70" s="59">
        <v>3.0700000000000002E-2</v>
      </c>
      <c r="K70" s="59">
        <v>3.3500000000000002E-2</v>
      </c>
      <c r="L70" s="59">
        <v>3.61E-2</v>
      </c>
      <c r="M70" s="768">
        <v>3.8600000000000002E-2</v>
      </c>
      <c r="AT70" s="24"/>
      <c r="AU70" s="24"/>
      <c r="AV70" s="24"/>
      <c r="AW70" s="24"/>
      <c r="AX70" s="24"/>
    </row>
    <row r="71" spans="1:50">
      <c r="A71" t="s">
        <v>2037</v>
      </c>
      <c r="B71" s="656"/>
      <c r="C71" s="8"/>
      <c r="D71" s="59">
        <v>0</v>
      </c>
      <c r="E71" s="59">
        <v>4.4999999999999997E-3</v>
      </c>
      <c r="F71" s="59">
        <v>8.6999999999999994E-3</v>
      </c>
      <c r="G71" s="59">
        <v>1.26E-2</v>
      </c>
      <c r="H71" s="59">
        <v>1.6299999999999999E-2</v>
      </c>
      <c r="I71" s="59">
        <v>1.9699999999999999E-2</v>
      </c>
      <c r="J71" s="59">
        <v>2.29E-2</v>
      </c>
      <c r="K71" s="59">
        <v>2.5899999999999999E-2</v>
      </c>
      <c r="L71" s="59">
        <v>2.8799999999999999E-2</v>
      </c>
      <c r="M71" s="768">
        <v>3.1399999999999997E-2</v>
      </c>
      <c r="AT71" s="24"/>
      <c r="AU71" s="24"/>
      <c r="AV71" s="24"/>
      <c r="AW71" s="24"/>
      <c r="AX71" s="24"/>
    </row>
    <row r="72" spans="1:50">
      <c r="A72" t="s">
        <v>2038</v>
      </c>
      <c r="B72" s="656"/>
      <c r="C72" s="8"/>
      <c r="D72" s="8"/>
      <c r="E72" s="8"/>
      <c r="F72" s="59">
        <v>0</v>
      </c>
      <c r="G72" s="59">
        <v>4.1999999999999997E-3</v>
      </c>
      <c r="H72" s="59">
        <v>8.0999999999999996E-3</v>
      </c>
      <c r="I72" s="59">
        <v>1.18E-2</v>
      </c>
      <c r="J72" s="59">
        <v>1.5299999999999999E-2</v>
      </c>
      <c r="K72" s="59">
        <v>1.8499999999999999E-2</v>
      </c>
      <c r="L72" s="59">
        <v>2.1499999999999998E-2</v>
      </c>
      <c r="M72" s="768">
        <v>2.4400000000000002E-2</v>
      </c>
      <c r="AT72" s="24"/>
      <c r="AU72" s="24"/>
      <c r="AV72" s="24"/>
      <c r="AW72" s="24"/>
      <c r="AX72" s="24"/>
    </row>
    <row r="73" spans="1:50">
      <c r="A73" t="s">
        <v>2039</v>
      </c>
      <c r="B73" s="656"/>
      <c r="C73" s="8"/>
      <c r="D73" s="8"/>
      <c r="E73" s="8"/>
      <c r="F73" s="8"/>
      <c r="G73" s="8"/>
      <c r="H73" s="59">
        <v>0</v>
      </c>
      <c r="I73" s="59">
        <v>3.8999999999999998E-3</v>
      </c>
      <c r="J73" s="59">
        <v>7.6E-3</v>
      </c>
      <c r="K73" s="59">
        <v>1.11E-2</v>
      </c>
      <c r="L73" s="59">
        <v>1.43E-2</v>
      </c>
      <c r="M73" s="768">
        <v>1.7399999999999999E-2</v>
      </c>
      <c r="AT73" s="24"/>
      <c r="AU73" s="24"/>
      <c r="AV73" s="24"/>
      <c r="AW73" s="24"/>
      <c r="AX73" s="24"/>
    </row>
    <row r="74" spans="1:50">
      <c r="A74" t="s">
        <v>2040</v>
      </c>
      <c r="B74" s="656"/>
      <c r="C74" s="8"/>
      <c r="D74" s="8"/>
      <c r="E74" s="8"/>
      <c r="F74" s="8"/>
      <c r="G74" s="8"/>
      <c r="H74" s="8"/>
      <c r="I74" s="59"/>
      <c r="J74" s="59">
        <v>0</v>
      </c>
      <c r="K74" s="59">
        <v>3.7000000000000002E-3</v>
      </c>
      <c r="L74" s="59">
        <v>7.1000000000000004E-3</v>
      </c>
      <c r="M74" s="768">
        <v>1.04E-2</v>
      </c>
      <c r="AT74" s="24"/>
      <c r="AU74" s="24"/>
      <c r="AV74" s="24"/>
      <c r="AW74" s="24"/>
      <c r="AX74" s="24"/>
    </row>
    <row r="75" spans="1:50">
      <c r="A75" t="s">
        <v>2041</v>
      </c>
      <c r="B75" s="533"/>
      <c r="C75" s="534"/>
      <c r="D75" s="534"/>
      <c r="E75" s="534"/>
      <c r="F75" s="534"/>
      <c r="G75" s="534"/>
      <c r="H75" s="534"/>
      <c r="I75" s="770"/>
      <c r="J75" s="770"/>
      <c r="K75" s="770"/>
      <c r="L75" s="770">
        <v>0</v>
      </c>
      <c r="M75" s="771">
        <v>3.5000000000000001E-3</v>
      </c>
      <c r="AT75" s="24"/>
      <c r="AU75" s="24"/>
      <c r="AV75" s="24"/>
      <c r="AW75" s="24"/>
      <c r="AX75" s="24"/>
    </row>
    <row r="76" spans="1:50">
      <c r="AT76" s="24"/>
      <c r="AU76" s="24"/>
      <c r="AV76" s="24"/>
      <c r="AW76" s="24"/>
      <c r="AX76" s="24"/>
    </row>
    <row r="77" spans="1:50">
      <c r="AT77" s="24"/>
      <c r="AU77" s="24"/>
      <c r="AV77" s="24"/>
      <c r="AW77" s="24"/>
      <c r="AX77" s="24"/>
    </row>
    <row r="78" spans="1:50">
      <c r="A78" s="1" t="s">
        <v>2991</v>
      </c>
    </row>
    <row r="79" spans="1:50">
      <c r="A79" s="1"/>
      <c r="AA79"/>
      <c r="AB79"/>
      <c r="AC79"/>
    </row>
    <row r="80" spans="1:50" ht="23.4">
      <c r="A80" t="s">
        <v>315</v>
      </c>
      <c r="B80">
        <v>0.01</v>
      </c>
      <c r="C80">
        <v>0.02</v>
      </c>
      <c r="D80">
        <v>0.05</v>
      </c>
      <c r="E80">
        <v>0.1</v>
      </c>
      <c r="F80">
        <v>0.5</v>
      </c>
      <c r="G80">
        <v>0.9</v>
      </c>
      <c r="H80">
        <v>0.95</v>
      </c>
      <c r="I80">
        <v>0.98</v>
      </c>
      <c r="J80">
        <v>0.99</v>
      </c>
      <c r="AA80"/>
      <c r="AB80"/>
      <c r="AC80"/>
    </row>
    <row r="81" spans="1:29">
      <c r="A81">
        <v>3</v>
      </c>
      <c r="B81" s="873">
        <v>0.753</v>
      </c>
      <c r="C81" s="103">
        <v>0.75600000000000001</v>
      </c>
      <c r="D81" s="103">
        <v>0.76700000000000002</v>
      </c>
      <c r="E81" s="103">
        <v>0.78900000000000003</v>
      </c>
      <c r="F81" s="103">
        <v>0.95899999999999996</v>
      </c>
      <c r="G81" s="103">
        <v>0.998</v>
      </c>
      <c r="H81" s="103">
        <v>0.999</v>
      </c>
      <c r="I81" s="103">
        <v>1</v>
      </c>
      <c r="J81" s="874">
        <v>1</v>
      </c>
      <c r="AA81"/>
      <c r="AB81"/>
      <c r="AC81"/>
    </row>
    <row r="82" spans="1:29">
      <c r="A82">
        <f>A81+1</f>
        <v>4</v>
      </c>
      <c r="B82" s="875">
        <v>0.68700000000000006</v>
      </c>
      <c r="C82" s="104">
        <v>0.70699999999999996</v>
      </c>
      <c r="D82" s="104">
        <v>0.748</v>
      </c>
      <c r="E82" s="104">
        <v>0.79200000000000004</v>
      </c>
      <c r="F82" s="104">
        <v>0.93500000000000005</v>
      </c>
      <c r="G82" s="104">
        <v>0.98699999999999999</v>
      </c>
      <c r="H82" s="104">
        <v>0.99199999999999999</v>
      </c>
      <c r="I82" s="104">
        <v>0.996</v>
      </c>
      <c r="J82" s="876">
        <v>0.997</v>
      </c>
      <c r="AA82"/>
      <c r="AB82"/>
      <c r="AC82"/>
    </row>
    <row r="83" spans="1:29">
      <c r="A83">
        <f t="shared" ref="A83:A128" si="4">A82+1</f>
        <v>5</v>
      </c>
      <c r="B83" s="875">
        <v>0.68600000000000005</v>
      </c>
      <c r="C83" s="104">
        <v>0.71499999999999997</v>
      </c>
      <c r="D83" s="104">
        <v>0.76200000000000001</v>
      </c>
      <c r="E83" s="104">
        <v>0.80600000000000005</v>
      </c>
      <c r="F83" s="104">
        <v>0.92700000000000005</v>
      </c>
      <c r="G83" s="104">
        <v>0.97899999999999998</v>
      </c>
      <c r="H83" s="104">
        <v>0.98599999999999999</v>
      </c>
      <c r="I83" s="104">
        <v>0.99099999999999999</v>
      </c>
      <c r="J83" s="876">
        <v>0.99299999999999999</v>
      </c>
      <c r="AA83"/>
      <c r="AB83"/>
      <c r="AC83"/>
    </row>
    <row r="84" spans="1:29">
      <c r="A84">
        <f t="shared" si="4"/>
        <v>6</v>
      </c>
      <c r="B84" s="875">
        <v>0.71299999999999997</v>
      </c>
      <c r="C84" s="104">
        <v>0.74299999999999999</v>
      </c>
      <c r="D84" s="104">
        <v>0.78800000000000003</v>
      </c>
      <c r="E84" s="104">
        <v>0.82599999999999996</v>
      </c>
      <c r="F84" s="104">
        <v>0.92700000000000005</v>
      </c>
      <c r="G84" s="104">
        <v>0.97399999999999998</v>
      </c>
      <c r="H84" s="104">
        <v>0.98099999999999998</v>
      </c>
      <c r="I84" s="104">
        <v>0.98599999999999999</v>
      </c>
      <c r="J84" s="876">
        <v>0.98899999999999999</v>
      </c>
      <c r="AA84"/>
      <c r="AB84"/>
      <c r="AC84"/>
    </row>
    <row r="85" spans="1:29">
      <c r="A85">
        <f t="shared" si="4"/>
        <v>7</v>
      </c>
      <c r="B85" s="875">
        <v>0.73</v>
      </c>
      <c r="C85" s="104">
        <v>0.76</v>
      </c>
      <c r="D85" s="104">
        <v>0.80300000000000005</v>
      </c>
      <c r="E85" s="104">
        <v>0.83799999999999997</v>
      </c>
      <c r="F85" s="104">
        <v>0.92800000000000005</v>
      </c>
      <c r="G85" s="104">
        <v>0.97199999999999998</v>
      </c>
      <c r="H85" s="104">
        <v>0.97899999999999998</v>
      </c>
      <c r="I85" s="104">
        <v>0.98499999999999999</v>
      </c>
      <c r="J85" s="876">
        <v>0.98799999999999999</v>
      </c>
      <c r="AA85"/>
      <c r="AB85"/>
      <c r="AC85"/>
    </row>
    <row r="86" spans="1:29">
      <c r="A86">
        <f t="shared" si="4"/>
        <v>8</v>
      </c>
      <c r="B86" s="875">
        <v>0.749</v>
      </c>
      <c r="C86" s="104">
        <v>0.77800000000000002</v>
      </c>
      <c r="D86" s="104">
        <v>0.81799999999999995</v>
      </c>
      <c r="E86" s="104">
        <v>0.85099999999999998</v>
      </c>
      <c r="F86" s="104">
        <v>0.93200000000000005</v>
      </c>
      <c r="G86" s="104">
        <v>0.97199999999999998</v>
      </c>
      <c r="H86" s="104">
        <v>0.97799999999999998</v>
      </c>
      <c r="I86" s="104">
        <v>0.98399999999999999</v>
      </c>
      <c r="J86" s="876">
        <v>0.98699999999999999</v>
      </c>
      <c r="AA86"/>
      <c r="AB86"/>
      <c r="AC86"/>
    </row>
    <row r="87" spans="1:29">
      <c r="A87">
        <f t="shared" si="4"/>
        <v>9</v>
      </c>
      <c r="B87" s="875">
        <v>0.76400000000000001</v>
      </c>
      <c r="C87" s="104">
        <v>0.79100000000000004</v>
      </c>
      <c r="D87" s="104">
        <v>0.82899999999999996</v>
      </c>
      <c r="E87" s="104">
        <v>0.85899999999999999</v>
      </c>
      <c r="F87" s="104">
        <v>0.93500000000000005</v>
      </c>
      <c r="G87" s="104">
        <v>0.97199999999999998</v>
      </c>
      <c r="H87" s="104">
        <v>0.97799999999999998</v>
      </c>
      <c r="I87" s="104">
        <v>0.98399999999999999</v>
      </c>
      <c r="J87" s="876">
        <v>0.98599999999999999</v>
      </c>
      <c r="AA87"/>
      <c r="AB87"/>
      <c r="AC87"/>
    </row>
    <row r="88" spans="1:29">
      <c r="A88">
        <f t="shared" si="4"/>
        <v>10</v>
      </c>
      <c r="B88" s="875">
        <v>0.78100000000000003</v>
      </c>
      <c r="C88" s="104">
        <v>0.80600000000000005</v>
      </c>
      <c r="D88" s="104">
        <v>0.84199999999999997</v>
      </c>
      <c r="E88" s="104">
        <v>0.86899999999999999</v>
      </c>
      <c r="F88" s="104">
        <v>0.93799999999999994</v>
      </c>
      <c r="G88" s="104">
        <v>0.97199999999999998</v>
      </c>
      <c r="H88" s="104">
        <v>0.97799999999999998</v>
      </c>
      <c r="I88" s="104">
        <v>0.98299999999999998</v>
      </c>
      <c r="J88" s="876">
        <v>0.98599999999999999</v>
      </c>
      <c r="AA88"/>
      <c r="AB88"/>
      <c r="AC88"/>
    </row>
    <row r="89" spans="1:29">
      <c r="A89">
        <f t="shared" si="4"/>
        <v>11</v>
      </c>
      <c r="B89" s="875">
        <v>0.79200000000000004</v>
      </c>
      <c r="C89" s="104">
        <v>0.81699999999999995</v>
      </c>
      <c r="D89" s="104">
        <v>0.85</v>
      </c>
      <c r="E89" s="104">
        <v>0.876</v>
      </c>
      <c r="F89" s="104">
        <v>0.94</v>
      </c>
      <c r="G89" s="104">
        <v>0.97299999999999998</v>
      </c>
      <c r="H89" s="104">
        <v>0.97899999999999998</v>
      </c>
      <c r="I89" s="104">
        <v>0.98399999999999999</v>
      </c>
      <c r="J89" s="876">
        <v>0.98599999999999999</v>
      </c>
      <c r="AA89"/>
      <c r="AB89"/>
      <c r="AC89"/>
    </row>
    <row r="90" spans="1:29">
      <c r="A90">
        <f t="shared" si="4"/>
        <v>12</v>
      </c>
      <c r="B90" s="875">
        <v>0.80500000000000005</v>
      </c>
      <c r="C90" s="104">
        <v>0.82799999999999996</v>
      </c>
      <c r="D90" s="104">
        <v>0.85899999999999999</v>
      </c>
      <c r="E90" s="104">
        <v>0.88300000000000001</v>
      </c>
      <c r="F90" s="104">
        <v>0.94299999999999995</v>
      </c>
      <c r="G90" s="104">
        <v>0.97299999999999998</v>
      </c>
      <c r="H90" s="104">
        <v>0.97899999999999998</v>
      </c>
      <c r="I90" s="104">
        <v>0.98399999999999999</v>
      </c>
      <c r="J90" s="876">
        <v>0.98599999999999999</v>
      </c>
      <c r="AA90"/>
      <c r="AB90"/>
      <c r="AC90"/>
    </row>
    <row r="91" spans="1:29">
      <c r="A91">
        <f t="shared" si="4"/>
        <v>13</v>
      </c>
      <c r="B91" s="875">
        <v>0.81399999999999995</v>
      </c>
      <c r="C91" s="104">
        <v>0.83699999999999997</v>
      </c>
      <c r="D91" s="104">
        <v>0.86599999999999999</v>
      </c>
      <c r="E91" s="104">
        <v>0.88900000000000001</v>
      </c>
      <c r="F91" s="104">
        <v>0.94499999999999995</v>
      </c>
      <c r="G91" s="104">
        <v>0.97399999999999998</v>
      </c>
      <c r="H91" s="104">
        <v>0.97899999999999998</v>
      </c>
      <c r="I91" s="104">
        <v>0.98399999999999999</v>
      </c>
      <c r="J91" s="876">
        <v>0.98599999999999999</v>
      </c>
      <c r="AA91"/>
      <c r="AB91"/>
      <c r="AC91"/>
    </row>
    <row r="92" spans="1:29">
      <c r="A92">
        <f t="shared" si="4"/>
        <v>14</v>
      </c>
      <c r="B92" s="875">
        <v>0.82499999999999996</v>
      </c>
      <c r="C92" s="104">
        <v>0.84599999999999997</v>
      </c>
      <c r="D92" s="104">
        <v>0.874</v>
      </c>
      <c r="E92" s="104">
        <v>0.89500000000000002</v>
      </c>
      <c r="F92" s="104">
        <v>0.94699999999999995</v>
      </c>
      <c r="G92" s="104">
        <v>0.97499999999999998</v>
      </c>
      <c r="H92" s="104">
        <v>0.98</v>
      </c>
      <c r="I92" s="104">
        <v>0.98399999999999999</v>
      </c>
      <c r="J92" s="876">
        <v>0.98599999999999999</v>
      </c>
      <c r="AA92"/>
      <c r="AB92"/>
      <c r="AC92"/>
    </row>
    <row r="93" spans="1:29">
      <c r="A93">
        <f t="shared" si="4"/>
        <v>15</v>
      </c>
      <c r="B93" s="875">
        <v>0.83499999999999996</v>
      </c>
      <c r="C93" s="104">
        <v>0.85499999999999998</v>
      </c>
      <c r="D93" s="104">
        <v>0.88100000000000001</v>
      </c>
      <c r="E93" s="104">
        <v>0.90100000000000002</v>
      </c>
      <c r="F93" s="104">
        <v>0.95</v>
      </c>
      <c r="G93" s="104">
        <v>0.97499999999999998</v>
      </c>
      <c r="H93" s="104">
        <v>0.98</v>
      </c>
      <c r="I93" s="104">
        <v>0.98399999999999999</v>
      </c>
      <c r="J93" s="876">
        <v>0.98699999999999999</v>
      </c>
      <c r="AA93"/>
      <c r="AB93"/>
      <c r="AC93"/>
    </row>
    <row r="94" spans="1:29">
      <c r="A94">
        <f t="shared" si="4"/>
        <v>16</v>
      </c>
      <c r="B94" s="875">
        <v>0.84399999999999997</v>
      </c>
      <c r="C94" s="104">
        <v>0.86299999999999999</v>
      </c>
      <c r="D94" s="104">
        <v>0.88700000000000001</v>
      </c>
      <c r="E94" s="104">
        <v>0.90600000000000003</v>
      </c>
      <c r="F94" s="104">
        <v>0.95199999999999996</v>
      </c>
      <c r="G94" s="104">
        <v>0.97599999999999998</v>
      </c>
      <c r="H94" s="104">
        <v>0.98099999999999998</v>
      </c>
      <c r="I94" s="104">
        <v>0.98499999999999999</v>
      </c>
      <c r="J94" s="876">
        <v>0.98699999999999999</v>
      </c>
      <c r="AA94"/>
      <c r="AB94"/>
      <c r="AC94"/>
    </row>
    <row r="95" spans="1:29">
      <c r="A95">
        <f t="shared" si="4"/>
        <v>17</v>
      </c>
      <c r="B95" s="875">
        <v>0.85099999999999998</v>
      </c>
      <c r="C95" s="104">
        <v>0.86899999999999999</v>
      </c>
      <c r="D95" s="104">
        <v>0.89200000000000002</v>
      </c>
      <c r="E95" s="104">
        <v>0.91</v>
      </c>
      <c r="F95" s="104">
        <v>0.95399999999999996</v>
      </c>
      <c r="G95" s="104">
        <v>0.97699999999999998</v>
      </c>
      <c r="H95" s="104">
        <v>0.98099999999999998</v>
      </c>
      <c r="I95" s="104">
        <v>0.98499999999999999</v>
      </c>
      <c r="J95" s="876">
        <v>0.98699999999999999</v>
      </c>
      <c r="AA95"/>
      <c r="AB95"/>
      <c r="AC95"/>
    </row>
    <row r="96" spans="1:29">
      <c r="A96">
        <f t="shared" si="4"/>
        <v>18</v>
      </c>
      <c r="B96" s="875">
        <v>0.85799999999999998</v>
      </c>
      <c r="C96" s="104">
        <v>0.874</v>
      </c>
      <c r="D96" s="104">
        <v>0.89700000000000002</v>
      </c>
      <c r="E96" s="104">
        <v>0.91400000000000003</v>
      </c>
      <c r="F96" s="104">
        <v>0.95599999999999996</v>
      </c>
      <c r="G96" s="104">
        <v>0.97799999999999998</v>
      </c>
      <c r="H96" s="104">
        <v>0.98199999999999998</v>
      </c>
      <c r="I96" s="104">
        <v>0.98599999999999999</v>
      </c>
      <c r="J96" s="876">
        <v>0.98799999999999999</v>
      </c>
      <c r="AA96"/>
      <c r="AB96"/>
      <c r="AC96"/>
    </row>
    <row r="97" spans="1:29">
      <c r="A97">
        <f t="shared" si="4"/>
        <v>19</v>
      </c>
      <c r="B97" s="875">
        <v>0.86299999999999999</v>
      </c>
      <c r="C97" s="104">
        <v>0.879</v>
      </c>
      <c r="D97" s="104">
        <v>0.90100000000000002</v>
      </c>
      <c r="E97" s="104">
        <v>0.91700000000000004</v>
      </c>
      <c r="F97" s="104">
        <v>0.95699999999999996</v>
      </c>
      <c r="G97" s="104">
        <v>0.97799999999999998</v>
      </c>
      <c r="H97" s="104">
        <v>0.98199999999999998</v>
      </c>
      <c r="I97" s="104">
        <v>0.98599999999999999</v>
      </c>
      <c r="J97" s="876">
        <v>0.98799999999999999</v>
      </c>
      <c r="AA97"/>
      <c r="AB97"/>
      <c r="AC97"/>
    </row>
    <row r="98" spans="1:29">
      <c r="A98">
        <f t="shared" si="4"/>
        <v>20</v>
      </c>
      <c r="B98" s="875">
        <v>0.86799999999999999</v>
      </c>
      <c r="C98" s="104">
        <v>0.88400000000000001</v>
      </c>
      <c r="D98" s="104">
        <v>0.90500000000000003</v>
      </c>
      <c r="E98" s="104">
        <v>0.92</v>
      </c>
      <c r="F98" s="104">
        <v>0.95899999999999996</v>
      </c>
      <c r="G98" s="104">
        <v>0.97899999999999998</v>
      </c>
      <c r="H98" s="104">
        <v>0.98299999999999998</v>
      </c>
      <c r="I98" s="104">
        <v>0.98599999999999999</v>
      </c>
      <c r="J98" s="876">
        <v>0.98799999999999999</v>
      </c>
      <c r="AA98"/>
      <c r="AB98"/>
      <c r="AC98"/>
    </row>
    <row r="99" spans="1:29">
      <c r="A99">
        <f t="shared" si="4"/>
        <v>21</v>
      </c>
      <c r="B99" s="875">
        <v>0.873</v>
      </c>
      <c r="C99" s="104">
        <v>0.88800000000000001</v>
      </c>
      <c r="D99" s="104">
        <v>0.90800000000000003</v>
      </c>
      <c r="E99" s="104">
        <v>0.92300000000000004</v>
      </c>
      <c r="F99" s="104">
        <v>0.96</v>
      </c>
      <c r="G99" s="104">
        <v>0.98</v>
      </c>
      <c r="H99" s="104">
        <v>0.98299999999999998</v>
      </c>
      <c r="I99" s="104">
        <v>0.98699999999999999</v>
      </c>
      <c r="J99" s="876">
        <v>0.98899999999999999</v>
      </c>
      <c r="AA99"/>
      <c r="AB99"/>
      <c r="AC99"/>
    </row>
    <row r="100" spans="1:29">
      <c r="A100">
        <f t="shared" si="4"/>
        <v>22</v>
      </c>
      <c r="B100" s="875">
        <v>0.878</v>
      </c>
      <c r="C100" s="104">
        <v>0.89200000000000002</v>
      </c>
      <c r="D100" s="104">
        <v>0.91100000000000003</v>
      </c>
      <c r="E100" s="104">
        <v>0.92600000000000005</v>
      </c>
      <c r="F100" s="104">
        <v>0.96099999999999997</v>
      </c>
      <c r="G100" s="104">
        <v>0.98</v>
      </c>
      <c r="H100" s="104">
        <v>0.98399999999999999</v>
      </c>
      <c r="I100" s="104">
        <v>0.98699999999999999</v>
      </c>
      <c r="J100" s="876">
        <v>0.98899999999999999</v>
      </c>
      <c r="AA100"/>
      <c r="AB100"/>
      <c r="AC100"/>
    </row>
    <row r="101" spans="1:29">
      <c r="A101">
        <f t="shared" si="4"/>
        <v>23</v>
      </c>
      <c r="B101" s="875">
        <v>0.88100000000000001</v>
      </c>
      <c r="C101" s="104">
        <v>0.89500000000000002</v>
      </c>
      <c r="D101" s="104">
        <v>0.91400000000000003</v>
      </c>
      <c r="E101" s="104">
        <v>0.92800000000000005</v>
      </c>
      <c r="F101" s="104">
        <v>0.96199999999999997</v>
      </c>
      <c r="G101" s="104">
        <v>0.98099999999999998</v>
      </c>
      <c r="H101" s="104">
        <v>0.98399999999999999</v>
      </c>
      <c r="I101" s="104">
        <v>0.98699999999999999</v>
      </c>
      <c r="J101" s="876">
        <v>0.98899999999999999</v>
      </c>
      <c r="AA101"/>
      <c r="AB101"/>
      <c r="AC101"/>
    </row>
    <row r="102" spans="1:29">
      <c r="A102">
        <f t="shared" si="4"/>
        <v>24</v>
      </c>
      <c r="B102" s="875">
        <v>0.88400000000000001</v>
      </c>
      <c r="C102" s="104">
        <v>0.89800000000000002</v>
      </c>
      <c r="D102" s="104">
        <v>0.91600000000000004</v>
      </c>
      <c r="E102" s="104">
        <v>0.93</v>
      </c>
      <c r="F102" s="104">
        <v>0.96299999999999997</v>
      </c>
      <c r="G102" s="104">
        <v>0.98099999999999998</v>
      </c>
      <c r="H102" s="104">
        <v>0.98399999999999999</v>
      </c>
      <c r="I102" s="104">
        <v>0.98699999999999999</v>
      </c>
      <c r="J102" s="876">
        <v>0.98899999999999999</v>
      </c>
      <c r="AA102"/>
      <c r="AB102"/>
      <c r="AC102"/>
    </row>
    <row r="103" spans="1:29">
      <c r="A103">
        <f t="shared" si="4"/>
        <v>25</v>
      </c>
      <c r="B103" s="875">
        <v>0.88800000000000001</v>
      </c>
      <c r="C103" s="104">
        <v>0.90100000000000002</v>
      </c>
      <c r="D103" s="104">
        <v>0.91800000000000004</v>
      </c>
      <c r="E103" s="104">
        <v>0.93100000000000005</v>
      </c>
      <c r="F103" s="104">
        <v>0.96399999999999997</v>
      </c>
      <c r="G103" s="104">
        <v>0.98099999999999998</v>
      </c>
      <c r="H103" s="104">
        <v>0.98499999999999999</v>
      </c>
      <c r="I103" s="104">
        <v>0.98799999999999999</v>
      </c>
      <c r="J103" s="876">
        <v>0.98899999999999999</v>
      </c>
      <c r="AA103"/>
      <c r="AB103"/>
      <c r="AC103"/>
    </row>
    <row r="104" spans="1:29">
      <c r="A104">
        <f t="shared" si="4"/>
        <v>26</v>
      </c>
      <c r="B104" s="875">
        <v>0.89100000000000001</v>
      </c>
      <c r="C104" s="104">
        <v>0.90400000000000003</v>
      </c>
      <c r="D104" s="104">
        <v>0.92</v>
      </c>
      <c r="E104" s="104">
        <v>0.93300000000000005</v>
      </c>
      <c r="F104" s="104">
        <v>0.96499999999999997</v>
      </c>
      <c r="G104" s="104">
        <v>0.98199999999999998</v>
      </c>
      <c r="H104" s="104">
        <v>0.98499999999999999</v>
      </c>
      <c r="I104" s="104">
        <v>0.98799999999999999</v>
      </c>
      <c r="J104" s="876">
        <v>0.98899999999999999</v>
      </c>
      <c r="AA104"/>
      <c r="AB104"/>
      <c r="AC104"/>
    </row>
    <row r="105" spans="1:29">
      <c r="A105">
        <f t="shared" si="4"/>
        <v>27</v>
      </c>
      <c r="B105" s="875">
        <v>0.89400000000000002</v>
      </c>
      <c r="C105" s="104">
        <v>0.90600000000000003</v>
      </c>
      <c r="D105" s="104">
        <v>0.92300000000000004</v>
      </c>
      <c r="E105" s="104">
        <v>0.93500000000000005</v>
      </c>
      <c r="F105" s="104">
        <v>0.96499999999999997</v>
      </c>
      <c r="G105" s="104">
        <v>0.98199999999999998</v>
      </c>
      <c r="H105" s="104">
        <v>0.98499999999999999</v>
      </c>
      <c r="I105" s="104">
        <v>0.98799999999999999</v>
      </c>
      <c r="J105" s="876">
        <v>0.99</v>
      </c>
      <c r="AA105"/>
      <c r="AB105"/>
      <c r="AC105"/>
    </row>
    <row r="106" spans="1:29">
      <c r="A106">
        <f t="shared" si="4"/>
        <v>28</v>
      </c>
      <c r="B106" s="875">
        <v>0.89600000000000002</v>
      </c>
      <c r="C106" s="104">
        <v>0.90800000000000003</v>
      </c>
      <c r="D106" s="104">
        <v>0.92400000000000004</v>
      </c>
      <c r="E106" s="104">
        <v>0.93600000000000005</v>
      </c>
      <c r="F106" s="104">
        <v>0.96599999999999997</v>
      </c>
      <c r="G106" s="104">
        <v>0.98199999999999998</v>
      </c>
      <c r="H106" s="104">
        <v>0.98499999999999999</v>
      </c>
      <c r="I106" s="104">
        <v>0.98799999999999999</v>
      </c>
      <c r="J106" s="876">
        <v>0.99</v>
      </c>
      <c r="AA106"/>
      <c r="AB106"/>
      <c r="AC106"/>
    </row>
    <row r="107" spans="1:29">
      <c r="A107">
        <f t="shared" si="4"/>
        <v>29</v>
      </c>
      <c r="B107" s="875">
        <v>0.89800000000000002</v>
      </c>
      <c r="C107" s="104">
        <v>0.91</v>
      </c>
      <c r="D107" s="104">
        <v>0.92600000000000005</v>
      </c>
      <c r="E107" s="104">
        <v>0.93700000000000006</v>
      </c>
      <c r="F107" s="104">
        <v>0.96599999999999997</v>
      </c>
      <c r="G107" s="104">
        <v>0.98199999999999998</v>
      </c>
      <c r="H107" s="104">
        <v>0.98499999999999999</v>
      </c>
      <c r="I107" s="104">
        <v>0.98799999999999999</v>
      </c>
      <c r="J107" s="876">
        <v>0.99</v>
      </c>
      <c r="AA107"/>
      <c r="AB107"/>
      <c r="AC107"/>
    </row>
    <row r="108" spans="1:29">
      <c r="A108">
        <f t="shared" si="4"/>
        <v>30</v>
      </c>
      <c r="B108" s="875">
        <v>0.9</v>
      </c>
      <c r="C108" s="104">
        <v>0.91200000000000003</v>
      </c>
      <c r="D108" s="104">
        <v>0.92700000000000005</v>
      </c>
      <c r="E108" s="104">
        <v>0.93899999999999995</v>
      </c>
      <c r="F108" s="104">
        <v>0.96699999999999997</v>
      </c>
      <c r="G108" s="104">
        <v>0.98299999999999998</v>
      </c>
      <c r="H108" s="104">
        <v>0.98499999999999999</v>
      </c>
      <c r="I108" s="104">
        <v>0.98799999999999999</v>
      </c>
      <c r="J108" s="876">
        <v>0.99</v>
      </c>
      <c r="AA108"/>
      <c r="AB108"/>
      <c r="AC108"/>
    </row>
    <row r="109" spans="1:29">
      <c r="A109">
        <f t="shared" si="4"/>
        <v>31</v>
      </c>
      <c r="B109" s="875">
        <v>0.90200000000000002</v>
      </c>
      <c r="C109" s="104">
        <v>0.91400000000000003</v>
      </c>
      <c r="D109" s="104">
        <v>0.92900000000000005</v>
      </c>
      <c r="E109" s="104">
        <v>0.94</v>
      </c>
      <c r="F109" s="104">
        <v>0.96699999999999997</v>
      </c>
      <c r="G109" s="104">
        <v>0.98299999999999998</v>
      </c>
      <c r="H109" s="104">
        <v>0.98599999999999999</v>
      </c>
      <c r="I109" s="104">
        <v>0.98799999999999999</v>
      </c>
      <c r="J109" s="876">
        <v>0.99</v>
      </c>
      <c r="AA109"/>
      <c r="AB109"/>
      <c r="AC109"/>
    </row>
    <row r="110" spans="1:29">
      <c r="A110">
        <f t="shared" si="4"/>
        <v>32</v>
      </c>
      <c r="B110" s="875">
        <v>0.90400000000000003</v>
      </c>
      <c r="C110" s="104">
        <v>0.91500000000000004</v>
      </c>
      <c r="D110" s="104">
        <v>0.93</v>
      </c>
      <c r="E110" s="104">
        <v>0.94099999999999995</v>
      </c>
      <c r="F110" s="104">
        <v>0.96799999999999997</v>
      </c>
      <c r="G110" s="104">
        <v>0.98299999999999998</v>
      </c>
      <c r="H110" s="104">
        <v>0.98599999999999999</v>
      </c>
      <c r="I110" s="104">
        <v>0.98799999999999999</v>
      </c>
      <c r="J110" s="876">
        <v>0.99</v>
      </c>
      <c r="AA110"/>
      <c r="AB110"/>
      <c r="AC110"/>
    </row>
    <row r="111" spans="1:29">
      <c r="A111">
        <f t="shared" si="4"/>
        <v>33</v>
      </c>
      <c r="B111" s="875">
        <v>0.90600000000000003</v>
      </c>
      <c r="C111" s="104">
        <v>0.91700000000000004</v>
      </c>
      <c r="D111" s="104">
        <v>0.93100000000000005</v>
      </c>
      <c r="E111" s="104">
        <v>0.94199999999999995</v>
      </c>
      <c r="F111" s="104">
        <v>0.96799999999999997</v>
      </c>
      <c r="G111" s="104">
        <v>0.98299999999999998</v>
      </c>
      <c r="H111" s="104">
        <v>0.98599999999999999</v>
      </c>
      <c r="I111" s="104">
        <v>0.98899999999999999</v>
      </c>
      <c r="J111" s="876">
        <v>0.99</v>
      </c>
      <c r="AA111"/>
      <c r="AB111"/>
      <c r="AC111"/>
    </row>
    <row r="112" spans="1:29">
      <c r="A112">
        <f t="shared" si="4"/>
        <v>34</v>
      </c>
      <c r="B112" s="875">
        <v>0.90800000000000003</v>
      </c>
      <c r="C112" s="104">
        <v>0.91900000000000004</v>
      </c>
      <c r="D112" s="104">
        <v>0.93300000000000005</v>
      </c>
      <c r="E112" s="104">
        <v>0.94299999999999995</v>
      </c>
      <c r="F112" s="104">
        <v>0.96899999999999997</v>
      </c>
      <c r="G112" s="104">
        <v>0.98299999999999998</v>
      </c>
      <c r="H112" s="104">
        <v>0.98599999999999999</v>
      </c>
      <c r="I112" s="104">
        <v>0.98899999999999999</v>
      </c>
      <c r="J112" s="876">
        <v>0.99</v>
      </c>
      <c r="AA112"/>
      <c r="AB112"/>
      <c r="AC112"/>
    </row>
    <row r="113" spans="1:29">
      <c r="A113">
        <f t="shared" si="4"/>
        <v>35</v>
      </c>
      <c r="B113" s="875">
        <v>0.91</v>
      </c>
      <c r="C113" s="104">
        <v>0.92</v>
      </c>
      <c r="D113" s="104">
        <v>0.93400000000000005</v>
      </c>
      <c r="E113" s="104">
        <v>0.94399999999999995</v>
      </c>
      <c r="F113" s="104">
        <v>0.96899999999999997</v>
      </c>
      <c r="G113" s="104">
        <v>0.98399999999999999</v>
      </c>
      <c r="H113" s="104">
        <v>0.98599999999999999</v>
      </c>
      <c r="I113" s="104">
        <v>0.98899999999999999</v>
      </c>
      <c r="J113" s="876">
        <v>0.99</v>
      </c>
      <c r="AA113"/>
      <c r="AB113"/>
      <c r="AC113"/>
    </row>
    <row r="114" spans="1:29">
      <c r="A114">
        <f t="shared" si="4"/>
        <v>36</v>
      </c>
      <c r="B114" s="875">
        <v>0.91200000000000003</v>
      </c>
      <c r="C114" s="104">
        <v>0.92200000000000004</v>
      </c>
      <c r="D114" s="104">
        <v>0.93500000000000005</v>
      </c>
      <c r="E114" s="104">
        <v>0.94499999999999995</v>
      </c>
      <c r="F114" s="104">
        <v>0.97</v>
      </c>
      <c r="G114" s="104">
        <v>0.98399999999999999</v>
      </c>
      <c r="H114" s="104">
        <v>0.98599999999999999</v>
      </c>
      <c r="I114" s="104">
        <v>0.98899999999999999</v>
      </c>
      <c r="J114" s="876">
        <v>0.99</v>
      </c>
      <c r="AA114"/>
      <c r="AB114"/>
      <c r="AC114"/>
    </row>
    <row r="115" spans="1:29">
      <c r="A115">
        <f t="shared" si="4"/>
        <v>37</v>
      </c>
      <c r="B115" s="875">
        <v>0.91400000000000003</v>
      </c>
      <c r="C115" s="104">
        <v>0.92400000000000004</v>
      </c>
      <c r="D115" s="104">
        <v>0.93600000000000005</v>
      </c>
      <c r="E115" s="104">
        <v>0.94599999999999995</v>
      </c>
      <c r="F115" s="104">
        <v>0.97</v>
      </c>
      <c r="G115" s="104">
        <v>0.98399999999999999</v>
      </c>
      <c r="H115" s="104">
        <v>0.98699999999999999</v>
      </c>
      <c r="I115" s="104">
        <v>0.98899999999999999</v>
      </c>
      <c r="J115" s="876">
        <v>0.99</v>
      </c>
      <c r="AA115"/>
      <c r="AB115"/>
      <c r="AC115"/>
    </row>
    <row r="116" spans="1:29">
      <c r="A116">
        <f t="shared" si="4"/>
        <v>38</v>
      </c>
      <c r="B116" s="875">
        <v>0.91600000000000004</v>
      </c>
      <c r="C116" s="104">
        <v>0.92500000000000004</v>
      </c>
      <c r="D116" s="104">
        <v>0.93799999999999994</v>
      </c>
      <c r="E116" s="104">
        <v>0.94699999999999995</v>
      </c>
      <c r="F116" s="104">
        <v>0.97099999999999997</v>
      </c>
      <c r="G116" s="104">
        <v>0.98399999999999999</v>
      </c>
      <c r="H116" s="104">
        <v>0.98699999999999999</v>
      </c>
      <c r="I116" s="104">
        <v>0.98899999999999999</v>
      </c>
      <c r="J116" s="876">
        <v>0.99</v>
      </c>
      <c r="AA116"/>
      <c r="AB116"/>
      <c r="AC116"/>
    </row>
    <row r="117" spans="1:29">
      <c r="A117">
        <f t="shared" si="4"/>
        <v>39</v>
      </c>
      <c r="B117" s="875">
        <v>0.91700000000000004</v>
      </c>
      <c r="C117" s="104">
        <v>0.92700000000000005</v>
      </c>
      <c r="D117" s="104">
        <v>0.93899999999999995</v>
      </c>
      <c r="E117" s="104">
        <v>0.94799999999999995</v>
      </c>
      <c r="F117" s="104">
        <v>0.97099999999999997</v>
      </c>
      <c r="G117" s="104">
        <v>0.98399999999999999</v>
      </c>
      <c r="H117" s="104">
        <v>0.98699999999999999</v>
      </c>
      <c r="I117" s="104">
        <v>0.98899999999999999</v>
      </c>
      <c r="J117" s="876">
        <v>0.99099999999999999</v>
      </c>
      <c r="AA117"/>
      <c r="AB117"/>
      <c r="AC117"/>
    </row>
    <row r="118" spans="1:29">
      <c r="A118">
        <f t="shared" si="4"/>
        <v>40</v>
      </c>
      <c r="B118" s="875">
        <v>0.91900000000000004</v>
      </c>
      <c r="C118" s="104">
        <v>0.92800000000000005</v>
      </c>
      <c r="D118" s="104">
        <v>0.94</v>
      </c>
      <c r="E118" s="104">
        <v>0.94899999999999995</v>
      </c>
      <c r="F118" s="104">
        <v>0.97199999999999998</v>
      </c>
      <c r="G118" s="104">
        <v>0.98499999999999999</v>
      </c>
      <c r="H118" s="104">
        <v>0.98699999999999999</v>
      </c>
      <c r="I118" s="104">
        <v>0.98899999999999999</v>
      </c>
      <c r="J118" s="876">
        <v>0.99099999999999999</v>
      </c>
      <c r="AA118"/>
      <c r="AB118"/>
      <c r="AC118"/>
    </row>
    <row r="119" spans="1:29">
      <c r="A119">
        <f t="shared" si="4"/>
        <v>41</v>
      </c>
      <c r="B119" s="875">
        <v>0.92</v>
      </c>
      <c r="C119" s="104">
        <v>0.92900000000000005</v>
      </c>
      <c r="D119" s="104">
        <v>0.94099999999999995</v>
      </c>
      <c r="E119" s="104">
        <v>0.95</v>
      </c>
      <c r="F119" s="104">
        <v>0.97199999999999998</v>
      </c>
      <c r="G119" s="104">
        <v>0.98499999999999999</v>
      </c>
      <c r="H119" s="104">
        <v>0.98699999999999999</v>
      </c>
      <c r="I119" s="104">
        <v>0.98899999999999999</v>
      </c>
      <c r="J119" s="876">
        <v>0.99099999999999999</v>
      </c>
      <c r="AA119"/>
      <c r="AB119"/>
      <c r="AC119"/>
    </row>
    <row r="120" spans="1:29">
      <c r="A120">
        <f t="shared" si="4"/>
        <v>42</v>
      </c>
      <c r="B120" s="875">
        <v>0.92200000000000004</v>
      </c>
      <c r="C120" s="104">
        <v>0.93</v>
      </c>
      <c r="D120" s="104">
        <v>0.94199999999999995</v>
      </c>
      <c r="E120" s="104">
        <v>0.95099999999999996</v>
      </c>
      <c r="F120" s="104">
        <v>0.97199999999999998</v>
      </c>
      <c r="G120" s="104">
        <v>0.98499999999999999</v>
      </c>
      <c r="H120" s="104">
        <v>0.98699999999999999</v>
      </c>
      <c r="I120" s="104">
        <v>0.98899999999999999</v>
      </c>
      <c r="J120" s="876">
        <v>0.99099999999999999</v>
      </c>
      <c r="AA120"/>
      <c r="AB120"/>
      <c r="AC120"/>
    </row>
    <row r="121" spans="1:29">
      <c r="A121">
        <f t="shared" si="4"/>
        <v>43</v>
      </c>
      <c r="B121" s="875">
        <v>0.92300000000000004</v>
      </c>
      <c r="C121" s="104">
        <v>0.93200000000000005</v>
      </c>
      <c r="D121" s="104">
        <v>0.94299999999999995</v>
      </c>
      <c r="E121" s="104">
        <v>0.95099999999999996</v>
      </c>
      <c r="F121" s="104">
        <v>0.97299999999999998</v>
      </c>
      <c r="G121" s="104">
        <v>0.98499999999999999</v>
      </c>
      <c r="H121" s="104">
        <v>0.98699999999999999</v>
      </c>
      <c r="I121" s="104">
        <v>0.99</v>
      </c>
      <c r="J121" s="876">
        <v>0.99099999999999999</v>
      </c>
      <c r="AA121"/>
      <c r="AB121"/>
      <c r="AC121"/>
    </row>
    <row r="122" spans="1:29">
      <c r="A122">
        <f t="shared" si="4"/>
        <v>44</v>
      </c>
      <c r="B122" s="875">
        <v>0.92400000000000004</v>
      </c>
      <c r="C122" s="104">
        <v>0.93300000000000005</v>
      </c>
      <c r="D122" s="104">
        <v>0.94399999999999995</v>
      </c>
      <c r="E122" s="104">
        <v>0.95199999999999996</v>
      </c>
      <c r="F122" s="104">
        <v>0.97299999999999998</v>
      </c>
      <c r="G122" s="104">
        <v>0.98499999999999999</v>
      </c>
      <c r="H122" s="104">
        <v>0.98699999999999999</v>
      </c>
      <c r="I122" s="104">
        <v>0.99</v>
      </c>
      <c r="J122" s="876">
        <v>0.99099999999999999</v>
      </c>
      <c r="AA122"/>
      <c r="AB122"/>
      <c r="AC122"/>
    </row>
    <row r="123" spans="1:29">
      <c r="A123">
        <f t="shared" si="4"/>
        <v>45</v>
      </c>
      <c r="B123" s="875">
        <v>0.92600000000000005</v>
      </c>
      <c r="C123" s="104">
        <v>0.93400000000000005</v>
      </c>
      <c r="D123" s="104">
        <v>0.94499999999999995</v>
      </c>
      <c r="E123" s="8">
        <v>0.95299999999999996</v>
      </c>
      <c r="F123" s="104">
        <v>0.97299999999999998</v>
      </c>
      <c r="G123" s="104">
        <v>0.98499999999999999</v>
      </c>
      <c r="H123" s="8">
        <v>0.98799999999999999</v>
      </c>
      <c r="I123" s="104">
        <v>0.99</v>
      </c>
      <c r="J123" s="876">
        <v>0.99099999999999999</v>
      </c>
      <c r="AA123"/>
      <c r="AB123"/>
      <c r="AC123"/>
    </row>
    <row r="124" spans="1:29">
      <c r="A124">
        <f t="shared" si="4"/>
        <v>46</v>
      </c>
      <c r="B124" s="875">
        <v>0.92700000000000005</v>
      </c>
      <c r="C124" s="104">
        <v>0.93500000000000005</v>
      </c>
      <c r="D124" s="104">
        <v>0.94499999999999995</v>
      </c>
      <c r="E124" s="8">
        <v>0.95299999999999996</v>
      </c>
      <c r="F124" s="8">
        <v>0.97399999999999998</v>
      </c>
      <c r="G124" s="104">
        <v>0.98499999999999999</v>
      </c>
      <c r="H124" s="8">
        <v>0.98799999999999999</v>
      </c>
      <c r="I124" s="104">
        <v>0.99</v>
      </c>
      <c r="J124" s="876">
        <v>0.99099999999999999</v>
      </c>
      <c r="AA124"/>
      <c r="AB124"/>
      <c r="AC124"/>
    </row>
    <row r="125" spans="1:29">
      <c r="A125">
        <f t="shared" si="4"/>
        <v>47</v>
      </c>
      <c r="B125" s="875">
        <v>0.92800000000000005</v>
      </c>
      <c r="C125" s="104">
        <v>0.93600000000000005</v>
      </c>
      <c r="D125" s="104">
        <v>0.94599999999999995</v>
      </c>
      <c r="E125" s="8">
        <v>0.95399999999999996</v>
      </c>
      <c r="F125" s="8">
        <v>0.97399999999999998</v>
      </c>
      <c r="G125" s="104">
        <v>0.98499999999999999</v>
      </c>
      <c r="H125" s="8">
        <v>0.98799999999999999</v>
      </c>
      <c r="I125" s="104">
        <v>0.99</v>
      </c>
      <c r="J125" s="876">
        <v>0.99099999999999999</v>
      </c>
      <c r="AA125"/>
      <c r="AB125"/>
      <c r="AC125"/>
    </row>
    <row r="126" spans="1:29">
      <c r="A126">
        <f t="shared" si="4"/>
        <v>48</v>
      </c>
      <c r="B126" s="875">
        <v>0.92900000000000005</v>
      </c>
      <c r="C126" s="104">
        <v>0.93700000000000006</v>
      </c>
      <c r="D126" s="104">
        <v>0.94699999999999995</v>
      </c>
      <c r="E126" s="8">
        <v>0.95399999999999996</v>
      </c>
      <c r="F126" s="8">
        <v>0.97399999999999998</v>
      </c>
      <c r="G126" s="104">
        <v>0.98499999999999999</v>
      </c>
      <c r="H126" s="8">
        <v>0.98799999999999999</v>
      </c>
      <c r="I126" s="104">
        <v>0.99</v>
      </c>
      <c r="J126" s="876">
        <v>0.99099999999999999</v>
      </c>
      <c r="AA126"/>
      <c r="AB126"/>
      <c r="AC126"/>
    </row>
    <row r="127" spans="1:29">
      <c r="A127">
        <f t="shared" si="4"/>
        <v>49</v>
      </c>
      <c r="B127" s="875">
        <v>0.92900000000000005</v>
      </c>
      <c r="C127" s="104">
        <v>0.93899999999999995</v>
      </c>
      <c r="D127" s="104">
        <v>0.94699999999999995</v>
      </c>
      <c r="E127" s="8">
        <v>0.95499999999999996</v>
      </c>
      <c r="F127" s="8">
        <v>0.97399999999999998</v>
      </c>
      <c r="G127" s="104">
        <v>0.98499999999999999</v>
      </c>
      <c r="H127" s="8">
        <v>0.98799999999999999</v>
      </c>
      <c r="I127" s="104">
        <v>0.99</v>
      </c>
      <c r="J127" s="876">
        <v>0.99099999999999999</v>
      </c>
      <c r="AA127"/>
      <c r="AB127"/>
      <c r="AC127"/>
    </row>
    <row r="128" spans="1:29">
      <c r="A128">
        <f t="shared" si="4"/>
        <v>50</v>
      </c>
      <c r="B128" s="877">
        <v>0.93</v>
      </c>
      <c r="C128" s="878">
        <v>0.93799999999999994</v>
      </c>
      <c r="D128" s="878">
        <v>0.94699999999999995</v>
      </c>
      <c r="E128" s="534">
        <v>0.95499999999999996</v>
      </c>
      <c r="F128" s="534">
        <v>0.97399999999999998</v>
      </c>
      <c r="G128" s="878">
        <v>0.98499999999999999</v>
      </c>
      <c r="H128" s="534">
        <v>0.98799999999999999</v>
      </c>
      <c r="I128" s="878">
        <v>0.99</v>
      </c>
      <c r="J128" s="879">
        <v>0.99099999999999999</v>
      </c>
      <c r="AA128"/>
      <c r="AB128"/>
      <c r="AC128"/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sheetPr codeName="Sheet48"/>
  <dimension ref="A1:T151"/>
  <sheetViews>
    <sheetView workbookViewId="0"/>
  </sheetViews>
  <sheetFormatPr defaultRowHeight="14.4"/>
  <cols>
    <col min="1" max="1" width="4.33203125" customWidth="1"/>
    <col min="2" max="8" width="9.33203125" customWidth="1"/>
    <col min="9" max="20" width="8" bestFit="1" customWidth="1"/>
  </cols>
  <sheetData>
    <row r="1" spans="1:20">
      <c r="A1" s="1" t="s">
        <v>316</v>
      </c>
    </row>
    <row r="3" spans="1:20">
      <c r="B3" t="s">
        <v>116</v>
      </c>
      <c r="C3">
        <v>0.1</v>
      </c>
    </row>
    <row r="4" spans="1:20">
      <c r="B4" t="s">
        <v>317</v>
      </c>
    </row>
    <row r="5" spans="1:20">
      <c r="A5" s="19" t="s">
        <v>186</v>
      </c>
      <c r="B5">
        <v>2</v>
      </c>
      <c r="C5">
        <v>3</v>
      </c>
      <c r="D5">
        <v>4</v>
      </c>
      <c r="E5">
        <v>5</v>
      </c>
      <c r="F5">
        <v>6</v>
      </c>
      <c r="G5">
        <v>7</v>
      </c>
      <c r="H5">
        <v>8</v>
      </c>
      <c r="I5">
        <v>9</v>
      </c>
      <c r="J5">
        <v>10</v>
      </c>
      <c r="K5">
        <v>11</v>
      </c>
      <c r="L5">
        <v>12</v>
      </c>
      <c r="M5">
        <v>13</v>
      </c>
      <c r="N5">
        <v>14</v>
      </c>
      <c r="O5">
        <v>15</v>
      </c>
      <c r="P5">
        <v>16</v>
      </c>
      <c r="Q5">
        <v>17</v>
      </c>
      <c r="R5">
        <v>18</v>
      </c>
      <c r="S5">
        <v>19</v>
      </c>
      <c r="T5">
        <v>20</v>
      </c>
    </row>
    <row r="6" spans="1:20">
      <c r="A6">
        <v>1</v>
      </c>
      <c r="B6" s="102">
        <v>8.9290000000000003</v>
      </c>
      <c r="C6" s="102">
        <v>13.436999999999999</v>
      </c>
      <c r="D6" s="102">
        <v>16.358000000000001</v>
      </c>
      <c r="E6" s="102">
        <v>18.488</v>
      </c>
      <c r="F6" s="102">
        <v>20.149999999999999</v>
      </c>
      <c r="G6" s="102">
        <v>21.504000000000001</v>
      </c>
      <c r="H6" s="102">
        <v>22.641999999999999</v>
      </c>
      <c r="I6" s="102">
        <v>23.620999999999999</v>
      </c>
      <c r="J6" s="102">
        <v>24.477</v>
      </c>
      <c r="K6" s="102">
        <v>25.236999999999998</v>
      </c>
      <c r="L6" s="102">
        <v>25.917999999999999</v>
      </c>
      <c r="M6" s="102">
        <v>26.536000000000001</v>
      </c>
      <c r="N6" s="102">
        <v>27.1</v>
      </c>
      <c r="O6" s="102">
        <v>27.617999999999999</v>
      </c>
      <c r="P6" s="102">
        <v>28.097000000000001</v>
      </c>
      <c r="Q6" s="102">
        <v>28.542000000000002</v>
      </c>
      <c r="R6" s="102">
        <v>28.957999999999998</v>
      </c>
      <c r="S6" s="102">
        <v>29.347000000000001</v>
      </c>
      <c r="T6" s="102">
        <v>29.713000000000001</v>
      </c>
    </row>
    <row r="7" spans="1:20">
      <c r="A7">
        <v>2</v>
      </c>
      <c r="B7" s="102">
        <v>4.1289999999999996</v>
      </c>
      <c r="C7" s="102">
        <v>5.7329999999999997</v>
      </c>
      <c r="D7" s="102">
        <v>6.7720000000000002</v>
      </c>
      <c r="E7" s="102">
        <v>7.5380000000000003</v>
      </c>
      <c r="F7" s="102">
        <v>8.1389999999999993</v>
      </c>
      <c r="G7" s="102">
        <v>8.6329999999999991</v>
      </c>
      <c r="H7" s="102">
        <v>9.0489999999999995</v>
      </c>
      <c r="I7" s="102">
        <v>9.4090000000000007</v>
      </c>
      <c r="J7" s="102">
        <v>9.7249999999999996</v>
      </c>
      <c r="K7" s="102">
        <v>10.006</v>
      </c>
      <c r="L7" s="102">
        <v>10.259</v>
      </c>
      <c r="M7" s="102">
        <v>10.488</v>
      </c>
      <c r="N7" s="102">
        <v>10.698</v>
      </c>
      <c r="O7" s="102">
        <v>10.891</v>
      </c>
      <c r="P7" s="102">
        <v>11.07</v>
      </c>
      <c r="Q7" s="102">
        <v>11.237</v>
      </c>
      <c r="R7" s="102">
        <v>11.391999999999999</v>
      </c>
      <c r="S7" s="102">
        <v>11.538</v>
      </c>
      <c r="T7" s="102">
        <v>11.676</v>
      </c>
    </row>
    <row r="8" spans="1:20">
      <c r="A8">
        <v>3</v>
      </c>
      <c r="B8" s="102">
        <v>3.3279999999999998</v>
      </c>
      <c r="C8" s="102">
        <v>4.4669999999999996</v>
      </c>
      <c r="D8" s="102">
        <v>5.1989999999999998</v>
      </c>
      <c r="E8" s="102">
        <v>5.7380000000000004</v>
      </c>
      <c r="F8" s="102">
        <v>6.1619999999999999</v>
      </c>
      <c r="G8" s="102">
        <v>6.5110000000000001</v>
      </c>
      <c r="H8" s="102">
        <v>6.806</v>
      </c>
      <c r="I8" s="102">
        <v>7.0620000000000003</v>
      </c>
      <c r="J8" s="102">
        <v>7.2869999999999999</v>
      </c>
      <c r="K8" s="102">
        <v>7.4870000000000001</v>
      </c>
      <c r="L8" s="102">
        <v>7.6669999999999998</v>
      </c>
      <c r="M8" s="102">
        <v>7.8310000000000004</v>
      </c>
      <c r="N8" s="102">
        <v>7.9820000000000002</v>
      </c>
      <c r="O8" s="102">
        <v>8.1199999999999992</v>
      </c>
      <c r="P8" s="102">
        <v>8.2479999999999993</v>
      </c>
      <c r="Q8" s="102">
        <v>8.3680000000000003</v>
      </c>
      <c r="R8" s="102">
        <v>8.4789999999999992</v>
      </c>
      <c r="S8" s="102">
        <v>8.5839999999999996</v>
      </c>
      <c r="T8" s="102">
        <v>8.6829999999999998</v>
      </c>
    </row>
    <row r="9" spans="1:20">
      <c r="A9">
        <v>4</v>
      </c>
      <c r="B9" s="102">
        <v>3.0150000000000001</v>
      </c>
      <c r="C9" s="102">
        <v>3.976</v>
      </c>
      <c r="D9" s="102">
        <v>4.5860000000000003</v>
      </c>
      <c r="E9" s="102">
        <v>5.0350000000000001</v>
      </c>
      <c r="F9" s="102">
        <v>5.3879999999999999</v>
      </c>
      <c r="G9" s="102">
        <v>5.6790000000000003</v>
      </c>
      <c r="H9" s="102">
        <v>5.9260000000000002</v>
      </c>
      <c r="I9" s="102">
        <v>6.1390000000000002</v>
      </c>
      <c r="J9" s="102">
        <v>6.327</v>
      </c>
      <c r="K9" s="102">
        <v>6.4939999999999998</v>
      </c>
      <c r="L9" s="102">
        <v>6.6449999999999996</v>
      </c>
      <c r="M9" s="102">
        <v>6.7830000000000004</v>
      </c>
      <c r="N9" s="102">
        <v>6.9089999999999998</v>
      </c>
      <c r="O9" s="102">
        <v>7.0250000000000004</v>
      </c>
      <c r="P9" s="102">
        <v>7.1319999999999997</v>
      </c>
      <c r="Q9" s="102">
        <v>7.2329999999999997</v>
      </c>
      <c r="R9" s="102">
        <v>7.3259999999999996</v>
      </c>
      <c r="S9" s="102">
        <v>7.4139999999999997</v>
      </c>
      <c r="T9" s="102">
        <v>7.4969999999999999</v>
      </c>
    </row>
    <row r="10" spans="1:20">
      <c r="A10">
        <v>5</v>
      </c>
      <c r="B10" s="102">
        <v>2.85</v>
      </c>
      <c r="C10" s="102">
        <v>3.7170000000000001</v>
      </c>
      <c r="D10" s="102">
        <v>4.2640000000000002</v>
      </c>
      <c r="E10" s="102">
        <v>4.6639999999999997</v>
      </c>
      <c r="F10" s="102">
        <v>4.9790000000000001</v>
      </c>
      <c r="G10" s="102">
        <v>5.2380000000000004</v>
      </c>
      <c r="H10" s="102">
        <v>5.4580000000000002</v>
      </c>
      <c r="I10" s="102">
        <v>5.6479999999999997</v>
      </c>
      <c r="J10" s="102">
        <v>5.8159999999999998</v>
      </c>
      <c r="K10" s="102">
        <v>5.9649999999999999</v>
      </c>
      <c r="L10" s="102">
        <v>6.1</v>
      </c>
      <c r="M10" s="102">
        <v>6.2229999999999999</v>
      </c>
      <c r="N10" s="102">
        <v>6.3360000000000003</v>
      </c>
      <c r="O10" s="102">
        <v>6.4390000000000001</v>
      </c>
      <c r="P10" s="102">
        <v>6.5359999999999996</v>
      </c>
      <c r="Q10" s="102">
        <v>6.6260000000000003</v>
      </c>
      <c r="R10" s="102">
        <v>6.71</v>
      </c>
      <c r="S10" s="102">
        <v>6.7880000000000003</v>
      </c>
      <c r="T10" s="102">
        <v>6.8630000000000004</v>
      </c>
    </row>
    <row r="11" spans="1:20">
      <c r="A11">
        <v>6</v>
      </c>
      <c r="B11" s="102">
        <v>2.7480000000000002</v>
      </c>
      <c r="C11" s="102">
        <v>3.5579999999999998</v>
      </c>
      <c r="D11" s="102">
        <v>4.0650000000000004</v>
      </c>
      <c r="E11" s="102">
        <v>4.4349999999999996</v>
      </c>
      <c r="F11" s="102">
        <v>4.726</v>
      </c>
      <c r="G11" s="102">
        <v>4.9660000000000002</v>
      </c>
      <c r="H11" s="102">
        <v>5.1680000000000001</v>
      </c>
      <c r="I11" s="102">
        <v>5.3440000000000003</v>
      </c>
      <c r="J11" s="102">
        <v>5.4989999999999997</v>
      </c>
      <c r="K11" s="102">
        <v>5.6369999999999996</v>
      </c>
      <c r="L11" s="102">
        <v>5.7619999999999996</v>
      </c>
      <c r="M11" s="102">
        <v>5.875</v>
      </c>
      <c r="N11" s="102">
        <v>5.9790000000000001</v>
      </c>
      <c r="O11" s="102">
        <v>6.0750000000000002</v>
      </c>
      <c r="P11" s="102">
        <v>6.1639999999999997</v>
      </c>
      <c r="Q11" s="102">
        <v>6.2469999999999999</v>
      </c>
      <c r="R11" s="102">
        <v>6.3250000000000002</v>
      </c>
      <c r="S11" s="102">
        <v>6.3979999999999997</v>
      </c>
      <c r="T11" s="102">
        <v>6.4660000000000002</v>
      </c>
    </row>
    <row r="12" spans="1:20">
      <c r="A12">
        <v>7</v>
      </c>
      <c r="B12" s="102">
        <v>2.6789999999999998</v>
      </c>
      <c r="C12" s="102">
        <v>3.4510000000000001</v>
      </c>
      <c r="D12" s="102">
        <v>3.931</v>
      </c>
      <c r="E12" s="102">
        <v>4.28</v>
      </c>
      <c r="F12" s="102">
        <v>4.5549999999999997</v>
      </c>
      <c r="G12" s="102">
        <v>4.78</v>
      </c>
      <c r="H12" s="102">
        <v>4.9710000000000001</v>
      </c>
      <c r="I12" s="102">
        <v>5.1369999999999996</v>
      </c>
      <c r="J12" s="102">
        <v>5.2830000000000004</v>
      </c>
      <c r="K12" s="102">
        <v>5.4130000000000003</v>
      </c>
      <c r="L12" s="102">
        <v>5.53</v>
      </c>
      <c r="M12" s="102">
        <v>5.6369999999999996</v>
      </c>
      <c r="N12" s="102">
        <v>5.7350000000000003</v>
      </c>
      <c r="O12" s="102">
        <v>5.8259999999999996</v>
      </c>
      <c r="P12" s="102">
        <v>5.91</v>
      </c>
      <c r="Q12" s="102">
        <v>5.9880000000000004</v>
      </c>
      <c r="R12" s="102">
        <v>6.0609999999999999</v>
      </c>
      <c r="S12" s="102">
        <v>6.13</v>
      </c>
      <c r="T12" s="102">
        <v>6.1950000000000003</v>
      </c>
    </row>
    <row r="13" spans="1:20">
      <c r="A13">
        <v>8</v>
      </c>
      <c r="B13" s="102">
        <v>2.63</v>
      </c>
      <c r="C13" s="102">
        <v>3.3740000000000001</v>
      </c>
      <c r="D13" s="102">
        <v>3.8340000000000001</v>
      </c>
      <c r="E13" s="102">
        <v>4.1689999999999996</v>
      </c>
      <c r="F13" s="102">
        <v>4.431</v>
      </c>
      <c r="G13" s="102">
        <v>4.6459999999999999</v>
      </c>
      <c r="H13" s="102">
        <v>4.8289999999999997</v>
      </c>
      <c r="I13" s="102">
        <v>4.9870000000000001</v>
      </c>
      <c r="J13" s="102">
        <v>5.1260000000000003</v>
      </c>
      <c r="K13" s="102">
        <v>5.25</v>
      </c>
      <c r="L13" s="102">
        <v>5.3620000000000001</v>
      </c>
      <c r="M13" s="102">
        <v>5.4640000000000004</v>
      </c>
      <c r="N13" s="102">
        <v>5.5579999999999998</v>
      </c>
      <c r="O13" s="102">
        <v>5.6440000000000001</v>
      </c>
      <c r="P13" s="102">
        <v>5.7240000000000002</v>
      </c>
      <c r="Q13" s="102">
        <v>5.7990000000000004</v>
      </c>
      <c r="R13" s="102">
        <v>5.8689999999999998</v>
      </c>
      <c r="S13" s="102">
        <v>5.9349999999999996</v>
      </c>
      <c r="T13" s="102">
        <v>5.9969999999999999</v>
      </c>
    </row>
    <row r="14" spans="1:20">
      <c r="A14">
        <v>9</v>
      </c>
      <c r="B14" s="102">
        <v>2.5920000000000001</v>
      </c>
      <c r="C14" s="102">
        <v>3.3159999999999998</v>
      </c>
      <c r="D14" s="102">
        <v>3.7610000000000001</v>
      </c>
      <c r="E14" s="102">
        <v>4.0839999999999996</v>
      </c>
      <c r="F14" s="102">
        <v>4.3369999999999997</v>
      </c>
      <c r="G14" s="102">
        <v>4.5449999999999999</v>
      </c>
      <c r="H14" s="102">
        <v>4.7210000000000001</v>
      </c>
      <c r="I14" s="102">
        <v>4.8730000000000002</v>
      </c>
      <c r="J14" s="102">
        <v>5.0069999999999997</v>
      </c>
      <c r="K14" s="102">
        <v>5.1260000000000003</v>
      </c>
      <c r="L14" s="102">
        <v>5.234</v>
      </c>
      <c r="M14" s="102">
        <v>5.3330000000000002</v>
      </c>
      <c r="N14" s="102">
        <v>5.423</v>
      </c>
      <c r="O14" s="102">
        <v>5.5060000000000002</v>
      </c>
      <c r="P14" s="102">
        <v>5.5830000000000002</v>
      </c>
      <c r="Q14" s="102">
        <v>5.6550000000000002</v>
      </c>
      <c r="R14" s="102">
        <v>5.7220000000000004</v>
      </c>
      <c r="S14" s="102">
        <v>5.7859999999999996</v>
      </c>
      <c r="T14" s="102">
        <v>5.8449999999999998</v>
      </c>
    </row>
    <row r="15" spans="1:20">
      <c r="A15">
        <v>10</v>
      </c>
      <c r="B15" s="102">
        <v>2.5630000000000002</v>
      </c>
      <c r="C15" s="102">
        <v>3.27</v>
      </c>
      <c r="D15" s="102">
        <v>3.7040000000000002</v>
      </c>
      <c r="E15" s="102">
        <v>4.0179999999999998</v>
      </c>
      <c r="F15" s="102">
        <v>4.2640000000000002</v>
      </c>
      <c r="G15" s="102">
        <v>4.4649999999999999</v>
      </c>
      <c r="H15" s="102">
        <v>4.6360000000000001</v>
      </c>
      <c r="I15" s="102">
        <v>4.7830000000000004</v>
      </c>
      <c r="J15" s="102">
        <v>4.9130000000000003</v>
      </c>
      <c r="K15" s="102">
        <v>5.0289999999999999</v>
      </c>
      <c r="L15" s="102">
        <v>5.1340000000000003</v>
      </c>
      <c r="M15" s="102">
        <v>5.2290000000000001</v>
      </c>
      <c r="N15" s="102">
        <v>5.3159999999999998</v>
      </c>
      <c r="O15" s="102">
        <v>5.3970000000000002</v>
      </c>
      <c r="P15" s="102">
        <v>5.4720000000000004</v>
      </c>
      <c r="Q15" s="102">
        <v>5.5419999999999998</v>
      </c>
      <c r="R15" s="102">
        <v>5.6070000000000002</v>
      </c>
      <c r="S15" s="102">
        <v>5.6680000000000001</v>
      </c>
      <c r="T15" s="102">
        <v>5.726</v>
      </c>
    </row>
    <row r="16" spans="1:20">
      <c r="A16">
        <v>11</v>
      </c>
      <c r="B16" s="102">
        <v>2.54</v>
      </c>
      <c r="C16" s="102">
        <v>3.234</v>
      </c>
      <c r="D16" s="102">
        <v>3.6579999999999999</v>
      </c>
      <c r="E16" s="102">
        <v>3.9649999999999999</v>
      </c>
      <c r="F16" s="102">
        <v>4.2050000000000001</v>
      </c>
      <c r="G16" s="102">
        <v>4.4009999999999998</v>
      </c>
      <c r="H16" s="102">
        <v>4.5670000000000002</v>
      </c>
      <c r="I16" s="102">
        <v>4.7110000000000003</v>
      </c>
      <c r="J16" s="102">
        <v>4.8380000000000001</v>
      </c>
      <c r="K16" s="102">
        <v>4.9509999999999996</v>
      </c>
      <c r="L16" s="102">
        <v>5.0529999999999999</v>
      </c>
      <c r="M16" s="102">
        <v>5.1449999999999996</v>
      </c>
      <c r="N16" s="102">
        <v>5.2309999999999999</v>
      </c>
      <c r="O16" s="102">
        <v>5.3090000000000002</v>
      </c>
      <c r="P16" s="102">
        <v>5.3819999999999997</v>
      </c>
      <c r="Q16" s="102">
        <v>5.45</v>
      </c>
      <c r="R16" s="102">
        <v>5.5140000000000002</v>
      </c>
      <c r="S16" s="102">
        <v>5.5730000000000004</v>
      </c>
      <c r="T16" s="102">
        <v>5.63</v>
      </c>
    </row>
    <row r="17" spans="1:20">
      <c r="A17">
        <v>12</v>
      </c>
      <c r="B17" s="102">
        <v>2.5209999999999999</v>
      </c>
      <c r="C17" s="102">
        <v>3.2040000000000002</v>
      </c>
      <c r="D17" s="102">
        <v>3.621</v>
      </c>
      <c r="E17" s="102">
        <v>3.9209999999999998</v>
      </c>
      <c r="F17" s="102">
        <v>4.1559999999999997</v>
      </c>
      <c r="G17" s="102">
        <v>4.3490000000000002</v>
      </c>
      <c r="H17" s="102">
        <v>4.5110000000000001</v>
      </c>
      <c r="I17" s="102">
        <v>4.6520000000000001</v>
      </c>
      <c r="J17" s="102">
        <v>4.7759999999999998</v>
      </c>
      <c r="K17" s="102">
        <v>4.8860000000000001</v>
      </c>
      <c r="L17" s="102">
        <v>4.9859999999999998</v>
      </c>
      <c r="M17" s="102">
        <v>5.0759999999999996</v>
      </c>
      <c r="N17" s="102">
        <v>5.16</v>
      </c>
      <c r="O17" s="102">
        <v>5.2359999999999998</v>
      </c>
      <c r="P17" s="102">
        <v>5.3079999999999998</v>
      </c>
      <c r="Q17" s="102">
        <v>5.3739999999999997</v>
      </c>
      <c r="R17" s="102">
        <v>5.4359999999999999</v>
      </c>
      <c r="S17" s="102">
        <v>5.4950000000000001</v>
      </c>
      <c r="T17" s="102">
        <v>5.55</v>
      </c>
    </row>
    <row r="18" spans="1:20">
      <c r="A18">
        <v>13</v>
      </c>
      <c r="B18" s="102">
        <v>2.504</v>
      </c>
      <c r="C18" s="102">
        <v>3.1789999999999998</v>
      </c>
      <c r="D18" s="102">
        <v>3.589</v>
      </c>
      <c r="E18" s="102">
        <v>3.8849999999999998</v>
      </c>
      <c r="F18" s="102">
        <v>4.1159999999999997</v>
      </c>
      <c r="G18" s="102">
        <v>4.3040000000000003</v>
      </c>
      <c r="H18" s="102">
        <v>4.4640000000000004</v>
      </c>
      <c r="I18" s="102">
        <v>4.6020000000000003</v>
      </c>
      <c r="J18" s="102">
        <v>4.7240000000000002</v>
      </c>
      <c r="K18" s="102">
        <v>4.8319999999999999</v>
      </c>
      <c r="L18" s="102">
        <v>4.93</v>
      </c>
      <c r="M18" s="102">
        <v>5.0190000000000001</v>
      </c>
      <c r="N18" s="102">
        <v>5.0999999999999996</v>
      </c>
      <c r="O18" s="102">
        <v>5.1749999999999998</v>
      </c>
      <c r="P18" s="102">
        <v>5.2450000000000001</v>
      </c>
      <c r="Q18" s="102">
        <v>5.31</v>
      </c>
      <c r="R18" s="102">
        <v>5.3710000000000004</v>
      </c>
      <c r="S18" s="102">
        <v>5.4290000000000003</v>
      </c>
      <c r="T18" s="102">
        <v>5.4829999999999997</v>
      </c>
    </row>
    <row r="19" spans="1:20">
      <c r="A19">
        <v>14</v>
      </c>
      <c r="B19" s="102">
        <v>2.4910000000000001</v>
      </c>
      <c r="C19" s="102">
        <v>3.1579999999999999</v>
      </c>
      <c r="D19" s="102">
        <v>3.5630000000000002</v>
      </c>
      <c r="E19" s="102">
        <v>3.8540000000000001</v>
      </c>
      <c r="F19" s="102">
        <v>4.0810000000000004</v>
      </c>
      <c r="G19" s="102">
        <v>4.2670000000000003</v>
      </c>
      <c r="H19" s="102">
        <v>4.4240000000000004</v>
      </c>
      <c r="I19" s="102">
        <v>4.5599999999999996</v>
      </c>
      <c r="J19" s="102">
        <v>4.6790000000000003</v>
      </c>
      <c r="K19" s="102">
        <v>4.7859999999999996</v>
      </c>
      <c r="L19" s="102">
        <v>4.8819999999999997</v>
      </c>
      <c r="M19" s="102">
        <v>4.9690000000000003</v>
      </c>
      <c r="N19" s="102">
        <v>5.05</v>
      </c>
      <c r="O19" s="102">
        <v>5.1239999999999997</v>
      </c>
      <c r="P19" s="102">
        <v>5.1920000000000002</v>
      </c>
      <c r="Q19" s="102">
        <v>5.2560000000000002</v>
      </c>
      <c r="R19" s="102">
        <v>5.3159999999999998</v>
      </c>
      <c r="S19" s="102">
        <v>5.3719999999999999</v>
      </c>
      <c r="T19" s="102">
        <v>5.4260000000000002</v>
      </c>
    </row>
    <row r="20" spans="1:20">
      <c r="A20">
        <v>15</v>
      </c>
      <c r="B20" s="102">
        <v>2.4790000000000001</v>
      </c>
      <c r="C20" s="102">
        <v>3.14</v>
      </c>
      <c r="D20" s="102">
        <v>3.54</v>
      </c>
      <c r="E20" s="102">
        <v>3.8279999999999998</v>
      </c>
      <c r="F20" s="102">
        <v>4.0519999999999996</v>
      </c>
      <c r="G20" s="102">
        <v>4.2350000000000003</v>
      </c>
      <c r="H20" s="102">
        <v>4.3899999999999997</v>
      </c>
      <c r="I20" s="102">
        <v>4.524</v>
      </c>
      <c r="J20" s="102">
        <v>4.641</v>
      </c>
      <c r="K20" s="102">
        <v>4.7460000000000004</v>
      </c>
      <c r="L20" s="102">
        <v>4.8410000000000002</v>
      </c>
      <c r="M20" s="102">
        <v>4.9269999999999996</v>
      </c>
      <c r="N20" s="102">
        <v>5.0060000000000002</v>
      </c>
      <c r="O20" s="102">
        <v>5.0789999999999997</v>
      </c>
      <c r="P20" s="102">
        <v>5.1459999999999999</v>
      </c>
      <c r="Q20" s="102">
        <v>5.2089999999999996</v>
      </c>
      <c r="R20" s="102">
        <v>5.2679999999999998</v>
      </c>
      <c r="S20" s="102">
        <v>5.3239999999999998</v>
      </c>
      <c r="T20" s="102">
        <v>5.3760000000000003</v>
      </c>
    </row>
    <row r="21" spans="1:20">
      <c r="A21">
        <v>16</v>
      </c>
      <c r="B21" s="102">
        <v>2.4689999999999999</v>
      </c>
      <c r="C21" s="102">
        <v>3.1240000000000001</v>
      </c>
      <c r="D21" s="102">
        <v>3.52</v>
      </c>
      <c r="E21" s="102">
        <v>3.8039999999999998</v>
      </c>
      <c r="F21" s="102">
        <v>4.0259999999999998</v>
      </c>
      <c r="G21" s="102">
        <v>4.2069999999999999</v>
      </c>
      <c r="H21" s="102">
        <v>4.3600000000000003</v>
      </c>
      <c r="I21" s="102">
        <v>4.492</v>
      </c>
      <c r="J21" s="102">
        <v>4.6079999999999997</v>
      </c>
      <c r="K21" s="102">
        <v>4.7119999999999997</v>
      </c>
      <c r="L21" s="102">
        <v>4.8049999999999997</v>
      </c>
      <c r="M21" s="102">
        <v>4.8899999999999997</v>
      </c>
      <c r="N21" s="102">
        <v>4.968</v>
      </c>
      <c r="O21" s="102">
        <v>5.04</v>
      </c>
      <c r="P21" s="102">
        <v>5.1059999999999999</v>
      </c>
      <c r="Q21" s="102">
        <v>5.1689999999999996</v>
      </c>
      <c r="R21" s="102">
        <v>5.2270000000000003</v>
      </c>
      <c r="S21" s="102">
        <v>5.282</v>
      </c>
      <c r="T21" s="102">
        <v>5.3330000000000002</v>
      </c>
    </row>
    <row r="22" spans="1:20">
      <c r="A22">
        <v>17</v>
      </c>
      <c r="B22" s="102">
        <v>2.46</v>
      </c>
      <c r="C22" s="102">
        <v>3.11</v>
      </c>
      <c r="D22" s="102">
        <v>3.5030000000000001</v>
      </c>
      <c r="E22" s="102">
        <v>3.7839999999999998</v>
      </c>
      <c r="F22" s="102">
        <v>4.0030000000000001</v>
      </c>
      <c r="G22" s="102">
        <v>4.1820000000000004</v>
      </c>
      <c r="H22" s="102">
        <v>4.3339999999999996</v>
      </c>
      <c r="I22" s="102">
        <v>4.4640000000000004</v>
      </c>
      <c r="J22" s="102">
        <v>4.5789999999999997</v>
      </c>
      <c r="K22" s="102">
        <v>4.681</v>
      </c>
      <c r="L22" s="102">
        <v>4.774</v>
      </c>
      <c r="M22" s="102">
        <v>4.8570000000000002</v>
      </c>
      <c r="N22" s="102">
        <v>4.9340000000000002</v>
      </c>
      <c r="O22" s="102">
        <v>5.0049999999999999</v>
      </c>
      <c r="P22" s="102">
        <v>5.0709999999999997</v>
      </c>
      <c r="Q22" s="102">
        <v>5.133</v>
      </c>
      <c r="R22" s="102">
        <v>5.19</v>
      </c>
      <c r="S22" s="102">
        <v>5.2439999999999998</v>
      </c>
      <c r="T22" s="102">
        <v>5.2949999999999999</v>
      </c>
    </row>
    <row r="23" spans="1:20">
      <c r="A23">
        <v>18</v>
      </c>
      <c r="B23" s="102">
        <v>2.452</v>
      </c>
      <c r="C23" s="102">
        <v>3.0979999999999999</v>
      </c>
      <c r="D23" s="102">
        <v>3.4870000000000001</v>
      </c>
      <c r="E23" s="102">
        <v>3.766</v>
      </c>
      <c r="F23" s="102">
        <v>3.984</v>
      </c>
      <c r="G23" s="102">
        <v>4.1609999999999996</v>
      </c>
      <c r="H23" s="102">
        <v>4.3099999999999996</v>
      </c>
      <c r="I23" s="102">
        <v>4.4400000000000004</v>
      </c>
      <c r="J23" s="102">
        <v>4.5529999999999999</v>
      </c>
      <c r="K23" s="102">
        <v>4.6539999999999999</v>
      </c>
      <c r="L23" s="102">
        <v>4.7460000000000004</v>
      </c>
      <c r="M23" s="102">
        <v>4.8289999999999997</v>
      </c>
      <c r="N23" s="102">
        <v>4.9050000000000002</v>
      </c>
      <c r="O23" s="102">
        <v>4.9749999999999996</v>
      </c>
      <c r="P23" s="102">
        <v>5.04</v>
      </c>
      <c r="Q23" s="102">
        <v>5.101</v>
      </c>
      <c r="R23" s="102">
        <v>5.1580000000000004</v>
      </c>
      <c r="S23" s="102">
        <v>5.2110000000000003</v>
      </c>
      <c r="T23" s="102">
        <v>5.2619999999999996</v>
      </c>
    </row>
    <row r="24" spans="1:20">
      <c r="A24">
        <v>19</v>
      </c>
      <c r="B24" s="102">
        <v>2.4449999999999998</v>
      </c>
      <c r="C24" s="102">
        <v>3.0870000000000002</v>
      </c>
      <c r="D24" s="102">
        <v>3.4740000000000002</v>
      </c>
      <c r="E24" s="102">
        <v>3.7509999999999999</v>
      </c>
      <c r="F24" s="102">
        <v>3.9660000000000002</v>
      </c>
      <c r="G24" s="102">
        <v>4.1420000000000003</v>
      </c>
      <c r="H24" s="102">
        <v>4.29</v>
      </c>
      <c r="I24" s="102">
        <v>4.4180000000000001</v>
      </c>
      <c r="J24" s="102">
        <v>4.53</v>
      </c>
      <c r="K24" s="102">
        <v>4.63</v>
      </c>
      <c r="L24" s="102">
        <v>4.7210000000000001</v>
      </c>
      <c r="M24" s="102">
        <v>4.8029999999999999</v>
      </c>
      <c r="N24" s="102">
        <v>4.8780000000000001</v>
      </c>
      <c r="O24" s="102">
        <v>4.9480000000000004</v>
      </c>
      <c r="P24" s="102">
        <v>5.0119999999999996</v>
      </c>
      <c r="Q24" s="102">
        <v>5.0720000000000001</v>
      </c>
      <c r="R24" s="102">
        <v>5.1289999999999996</v>
      </c>
      <c r="S24" s="102">
        <v>5.1820000000000004</v>
      </c>
      <c r="T24" s="102">
        <v>5.2320000000000002</v>
      </c>
    </row>
    <row r="25" spans="1:20">
      <c r="A25">
        <v>20</v>
      </c>
      <c r="B25" s="102">
        <v>2.4390000000000001</v>
      </c>
      <c r="C25" s="102">
        <v>3.077</v>
      </c>
      <c r="D25" s="102">
        <v>3.4620000000000002</v>
      </c>
      <c r="E25" s="102">
        <v>3.7360000000000002</v>
      </c>
      <c r="F25" s="102">
        <v>3.95</v>
      </c>
      <c r="G25" s="102">
        <v>4.1239999999999997</v>
      </c>
      <c r="H25" s="102">
        <v>4.2709999999999999</v>
      </c>
      <c r="I25" s="102">
        <v>4.3979999999999997</v>
      </c>
      <c r="J25" s="102">
        <v>4.51</v>
      </c>
      <c r="K25" s="102">
        <v>4.609</v>
      </c>
      <c r="L25" s="102">
        <v>4.6989999999999998</v>
      </c>
      <c r="M25" s="102">
        <v>4.78</v>
      </c>
      <c r="N25" s="102">
        <v>4.8550000000000004</v>
      </c>
      <c r="O25" s="102">
        <v>4.923</v>
      </c>
      <c r="P25" s="102">
        <v>4.9870000000000001</v>
      </c>
      <c r="Q25" s="102">
        <v>5.0469999999999997</v>
      </c>
      <c r="R25" s="102">
        <v>5.1029999999999998</v>
      </c>
      <c r="S25" s="102">
        <v>5.1550000000000002</v>
      </c>
      <c r="T25" s="102">
        <v>5.2050000000000001</v>
      </c>
    </row>
    <row r="26" spans="1:20">
      <c r="A26">
        <v>21</v>
      </c>
      <c r="B26" s="102">
        <v>2.4329999999999998</v>
      </c>
      <c r="C26" s="102">
        <v>3.069</v>
      </c>
      <c r="D26" s="102">
        <v>3.4510000000000001</v>
      </c>
      <c r="E26" s="102">
        <v>3.7240000000000002</v>
      </c>
      <c r="F26" s="102">
        <v>3.9359999999999999</v>
      </c>
      <c r="G26" s="102">
        <v>4.109</v>
      </c>
      <c r="H26" s="102">
        <v>4.2549999999999999</v>
      </c>
      <c r="I26" s="102">
        <v>4.38</v>
      </c>
      <c r="J26" s="102">
        <v>4.4909999999999997</v>
      </c>
      <c r="K26" s="102">
        <v>4.59</v>
      </c>
      <c r="L26" s="102">
        <v>4.6779999999999999</v>
      </c>
      <c r="M26" s="102">
        <v>4.7590000000000003</v>
      </c>
      <c r="N26" s="102">
        <v>4.8330000000000002</v>
      </c>
      <c r="O26" s="102">
        <v>4.9009999999999998</v>
      </c>
      <c r="P26" s="102">
        <v>4.9649999999999999</v>
      </c>
      <c r="Q26" s="102">
        <v>5.024</v>
      </c>
      <c r="R26" s="102">
        <v>5.0789999999999997</v>
      </c>
      <c r="S26" s="102">
        <v>5.1310000000000002</v>
      </c>
      <c r="T26" s="102">
        <v>5.18</v>
      </c>
    </row>
    <row r="27" spans="1:20">
      <c r="A27">
        <v>22</v>
      </c>
      <c r="B27" s="102">
        <v>2.4279999999999999</v>
      </c>
      <c r="C27" s="102">
        <v>3.0609999999999999</v>
      </c>
      <c r="D27" s="102">
        <v>3.4409999999999998</v>
      </c>
      <c r="E27" s="102">
        <v>3.7120000000000002</v>
      </c>
      <c r="F27" s="102">
        <v>3.923</v>
      </c>
      <c r="G27" s="102">
        <v>4.0949999999999998</v>
      </c>
      <c r="H27" s="102">
        <v>4.2389999999999999</v>
      </c>
      <c r="I27" s="102">
        <v>4.3639999999999999</v>
      </c>
      <c r="J27" s="102">
        <v>4.4740000000000002</v>
      </c>
      <c r="K27" s="102">
        <v>4.5720000000000001</v>
      </c>
      <c r="L27" s="102">
        <v>4.66</v>
      </c>
      <c r="M27" s="102">
        <v>4.74</v>
      </c>
      <c r="N27" s="102">
        <v>4.8140000000000001</v>
      </c>
      <c r="O27" s="102">
        <v>4.8819999999999997</v>
      </c>
      <c r="P27" s="102">
        <v>4.944</v>
      </c>
      <c r="Q27" s="102">
        <v>5.0030000000000001</v>
      </c>
      <c r="R27" s="102">
        <v>5.0579999999999998</v>
      </c>
      <c r="S27" s="102">
        <v>5.109</v>
      </c>
      <c r="T27" s="102">
        <v>5.1580000000000004</v>
      </c>
    </row>
    <row r="28" spans="1:20">
      <c r="A28">
        <v>23</v>
      </c>
      <c r="B28" s="102">
        <v>2.4239999999999999</v>
      </c>
      <c r="C28" s="102">
        <v>3.0539999999999998</v>
      </c>
      <c r="D28" s="102">
        <v>3.4319999999999999</v>
      </c>
      <c r="E28" s="102">
        <v>3.7010000000000001</v>
      </c>
      <c r="F28" s="102">
        <v>3.911</v>
      </c>
      <c r="G28" s="102">
        <v>4.0819999999999999</v>
      </c>
      <c r="H28" s="102">
        <v>4.226</v>
      </c>
      <c r="I28" s="102">
        <v>4.3499999999999996</v>
      </c>
      <c r="J28" s="102">
        <v>4.4589999999999996</v>
      </c>
      <c r="K28" s="102">
        <v>4.556</v>
      </c>
      <c r="L28" s="102">
        <v>4.6440000000000001</v>
      </c>
      <c r="M28" s="102">
        <v>4.7229999999999999</v>
      </c>
      <c r="N28" s="102">
        <v>4.7960000000000003</v>
      </c>
      <c r="O28" s="102">
        <v>4.8630000000000004</v>
      </c>
      <c r="P28" s="102">
        <v>4.9260000000000002</v>
      </c>
      <c r="Q28" s="102">
        <v>4.984</v>
      </c>
      <c r="R28" s="102">
        <v>5.0380000000000003</v>
      </c>
      <c r="S28" s="102">
        <v>5.0890000000000004</v>
      </c>
      <c r="T28" s="102">
        <v>5.1379999999999999</v>
      </c>
    </row>
    <row r="29" spans="1:20">
      <c r="A29">
        <v>24</v>
      </c>
      <c r="B29" s="102">
        <v>2.42</v>
      </c>
      <c r="C29" s="102">
        <v>3.0470000000000002</v>
      </c>
      <c r="D29" s="102">
        <v>3.423</v>
      </c>
      <c r="E29" s="102">
        <v>3.6920000000000002</v>
      </c>
      <c r="F29" s="102">
        <v>3.9</v>
      </c>
      <c r="G29" s="102">
        <v>4.07</v>
      </c>
      <c r="H29" s="102">
        <v>4.2130000000000001</v>
      </c>
      <c r="I29" s="102">
        <v>4.3360000000000003</v>
      </c>
      <c r="J29" s="102">
        <v>4.4450000000000003</v>
      </c>
      <c r="K29" s="102">
        <v>4.5410000000000004</v>
      </c>
      <c r="L29" s="102">
        <v>4.6280000000000001</v>
      </c>
      <c r="M29" s="102">
        <v>4.7069999999999999</v>
      </c>
      <c r="N29" s="102">
        <v>4.78</v>
      </c>
      <c r="O29" s="102">
        <v>4.8470000000000004</v>
      </c>
      <c r="P29" s="102">
        <v>4.9089999999999998</v>
      </c>
      <c r="Q29" s="102">
        <v>4.9660000000000002</v>
      </c>
      <c r="R29" s="102">
        <v>5.0199999999999996</v>
      </c>
      <c r="S29" s="102">
        <v>5.0709999999999997</v>
      </c>
      <c r="T29" s="102">
        <v>5.1189999999999998</v>
      </c>
    </row>
    <row r="30" spans="1:20">
      <c r="A30">
        <v>25</v>
      </c>
      <c r="B30" s="102">
        <v>2.4159999999999999</v>
      </c>
      <c r="C30" s="102">
        <v>3.0409999999999999</v>
      </c>
      <c r="D30" s="102">
        <v>3.4159999999999999</v>
      </c>
      <c r="E30" s="102">
        <v>3.6829999999999998</v>
      </c>
      <c r="F30" s="102">
        <v>3.89</v>
      </c>
      <c r="G30" s="102">
        <v>4.0590000000000002</v>
      </c>
      <c r="H30" s="102">
        <v>4.2009999999999996</v>
      </c>
      <c r="I30" s="102">
        <v>4.3239999999999998</v>
      </c>
      <c r="J30" s="102">
        <v>4.4320000000000004</v>
      </c>
      <c r="K30" s="102">
        <v>4.5279999999999996</v>
      </c>
      <c r="L30" s="102">
        <v>4.6139999999999999</v>
      </c>
      <c r="M30" s="102">
        <v>4.6929999999999996</v>
      </c>
      <c r="N30" s="102">
        <v>4.7649999999999997</v>
      </c>
      <c r="O30" s="102">
        <v>4.8310000000000004</v>
      </c>
      <c r="P30" s="102">
        <v>4.8929999999999998</v>
      </c>
      <c r="Q30" s="102">
        <v>4.95</v>
      </c>
      <c r="R30" s="102">
        <v>5.0039999999999996</v>
      </c>
      <c r="S30" s="102">
        <v>5.0549999999999997</v>
      </c>
      <c r="T30" s="102">
        <v>5.1020000000000003</v>
      </c>
    </row>
    <row r="31" spans="1:20">
      <c r="A31">
        <v>26</v>
      </c>
      <c r="B31" s="102">
        <v>2.4119999999999999</v>
      </c>
      <c r="C31" s="102">
        <v>3.036</v>
      </c>
      <c r="D31" s="102">
        <v>3.4089999999999998</v>
      </c>
      <c r="E31" s="102">
        <v>3.6749999999999998</v>
      </c>
      <c r="F31" s="102">
        <v>3.8809999999999998</v>
      </c>
      <c r="G31" s="102">
        <v>4.0490000000000004</v>
      </c>
      <c r="H31" s="102">
        <v>4.1909999999999998</v>
      </c>
      <c r="I31" s="102">
        <v>4.3129999999999997</v>
      </c>
      <c r="J31" s="102">
        <v>4.42</v>
      </c>
      <c r="K31" s="102">
        <v>4.5149999999999997</v>
      </c>
      <c r="L31" s="102">
        <v>4.601</v>
      </c>
      <c r="M31" s="102">
        <v>4.68</v>
      </c>
      <c r="N31" s="102">
        <v>4.7510000000000003</v>
      </c>
      <c r="O31" s="102">
        <v>4.8170000000000002</v>
      </c>
      <c r="P31" s="102">
        <v>4.8780000000000001</v>
      </c>
      <c r="Q31" s="102">
        <v>4.9359999999999999</v>
      </c>
      <c r="R31" s="102">
        <v>4.9889999999999999</v>
      </c>
      <c r="S31" s="102">
        <v>5.0389999999999997</v>
      </c>
      <c r="T31" s="102">
        <v>5.0860000000000003</v>
      </c>
    </row>
    <row r="32" spans="1:20">
      <c r="A32">
        <v>27</v>
      </c>
      <c r="B32" s="102">
        <v>2.4089999999999998</v>
      </c>
      <c r="C32" s="102">
        <v>3.03</v>
      </c>
      <c r="D32" s="102">
        <v>3.4020000000000001</v>
      </c>
      <c r="E32" s="102">
        <v>3.6669999999999998</v>
      </c>
      <c r="F32" s="102">
        <v>3.8730000000000002</v>
      </c>
      <c r="G32" s="102">
        <v>4.04</v>
      </c>
      <c r="H32" s="102">
        <v>4.181</v>
      </c>
      <c r="I32" s="102">
        <v>4.3019999999999996</v>
      </c>
      <c r="J32" s="102">
        <v>4.4089999999999998</v>
      </c>
      <c r="K32" s="102">
        <v>4.5039999999999996</v>
      </c>
      <c r="L32" s="102">
        <v>4.59</v>
      </c>
      <c r="M32" s="102">
        <v>4.6669999999999998</v>
      </c>
      <c r="N32" s="102">
        <v>4.7389999999999999</v>
      </c>
      <c r="O32" s="102">
        <v>4.8040000000000003</v>
      </c>
      <c r="P32" s="102">
        <v>4.8650000000000002</v>
      </c>
      <c r="Q32" s="102">
        <v>4.9219999999999997</v>
      </c>
      <c r="R32" s="102">
        <v>4.9749999999999996</v>
      </c>
      <c r="S32" s="102">
        <v>5.0250000000000004</v>
      </c>
      <c r="T32" s="102">
        <v>5.0720000000000001</v>
      </c>
    </row>
    <row r="33" spans="1:20">
      <c r="A33">
        <v>28</v>
      </c>
      <c r="B33" s="102">
        <v>2.4060000000000001</v>
      </c>
      <c r="C33" s="102">
        <v>3.0259999999999998</v>
      </c>
      <c r="D33" s="102">
        <v>3.3959999999999999</v>
      </c>
      <c r="E33" s="102">
        <v>3.66</v>
      </c>
      <c r="F33" s="102">
        <v>3.8650000000000002</v>
      </c>
      <c r="G33" s="102">
        <v>4.032</v>
      </c>
      <c r="H33" s="102">
        <v>4.1719999999999997</v>
      </c>
      <c r="I33" s="102">
        <v>4.2930000000000001</v>
      </c>
      <c r="J33" s="102">
        <v>4.399</v>
      </c>
      <c r="K33" s="102">
        <v>4.4930000000000003</v>
      </c>
      <c r="L33" s="102">
        <v>4.5789999999999997</v>
      </c>
      <c r="M33" s="102">
        <v>4.6559999999999997</v>
      </c>
      <c r="N33" s="102">
        <v>4.7270000000000003</v>
      </c>
      <c r="O33" s="102">
        <v>4.7919999999999998</v>
      </c>
      <c r="P33" s="102">
        <v>4.8529999999999998</v>
      </c>
      <c r="Q33" s="102">
        <v>4.9089999999999998</v>
      </c>
      <c r="R33" s="102">
        <v>4.9619999999999997</v>
      </c>
      <c r="S33" s="102">
        <v>5.0119999999999996</v>
      </c>
      <c r="T33" s="102">
        <v>5.0579999999999998</v>
      </c>
    </row>
    <row r="34" spans="1:20">
      <c r="A34">
        <v>29</v>
      </c>
      <c r="B34" s="102">
        <v>2.403</v>
      </c>
      <c r="C34" s="102">
        <v>3.0209999999999999</v>
      </c>
      <c r="D34" s="102">
        <v>3.391</v>
      </c>
      <c r="E34" s="102">
        <v>3.6539999999999999</v>
      </c>
      <c r="F34" s="102">
        <v>3.8580000000000001</v>
      </c>
      <c r="G34" s="102">
        <v>4.024</v>
      </c>
      <c r="H34" s="102">
        <v>4.1630000000000003</v>
      </c>
      <c r="I34" s="102">
        <v>4.2839999999999998</v>
      </c>
      <c r="J34" s="102">
        <v>4.3890000000000002</v>
      </c>
      <c r="K34" s="102">
        <v>4.484</v>
      </c>
      <c r="L34" s="102">
        <v>4.5679999999999996</v>
      </c>
      <c r="M34" s="102">
        <v>4.6449999999999996</v>
      </c>
      <c r="N34" s="102">
        <v>4.7160000000000002</v>
      </c>
      <c r="O34" s="102">
        <v>4.7809999999999997</v>
      </c>
      <c r="P34" s="102">
        <v>4.8410000000000002</v>
      </c>
      <c r="Q34" s="102">
        <v>4.8970000000000002</v>
      </c>
      <c r="R34" s="102">
        <v>4.95</v>
      </c>
      <c r="S34" s="102">
        <v>4.9989999999999997</v>
      </c>
      <c r="T34" s="102">
        <v>5.0460000000000003</v>
      </c>
    </row>
    <row r="35" spans="1:20">
      <c r="A35">
        <v>30</v>
      </c>
      <c r="B35" s="102">
        <v>2.4</v>
      </c>
      <c r="C35" s="102">
        <v>3.0169999999999999</v>
      </c>
      <c r="D35" s="102">
        <v>3.3860000000000001</v>
      </c>
      <c r="E35" s="102">
        <v>3.6480000000000001</v>
      </c>
      <c r="F35" s="102">
        <v>3.851</v>
      </c>
      <c r="G35" s="102">
        <v>4.016</v>
      </c>
      <c r="H35" s="102">
        <v>4.1550000000000002</v>
      </c>
      <c r="I35" s="102">
        <v>4.2750000000000004</v>
      </c>
      <c r="J35" s="102">
        <v>4.3810000000000002</v>
      </c>
      <c r="K35" s="102">
        <v>4.4740000000000002</v>
      </c>
      <c r="L35" s="102">
        <v>4.5590000000000002</v>
      </c>
      <c r="M35" s="102">
        <v>4.6349999999999998</v>
      </c>
      <c r="N35" s="102">
        <v>4.7060000000000004</v>
      </c>
      <c r="O35" s="102">
        <v>4.7699999999999996</v>
      </c>
      <c r="P35" s="102">
        <v>4.83</v>
      </c>
      <c r="Q35" s="102">
        <v>4.8860000000000001</v>
      </c>
      <c r="R35" s="102">
        <v>4.9390000000000001</v>
      </c>
      <c r="S35" s="102">
        <v>4.9880000000000004</v>
      </c>
      <c r="T35" s="102">
        <v>5.0339999999999998</v>
      </c>
    </row>
    <row r="36" spans="1:20">
      <c r="A36">
        <v>31</v>
      </c>
      <c r="B36" s="102">
        <v>2.3980000000000001</v>
      </c>
      <c r="C36" s="102">
        <v>3.0129999999999999</v>
      </c>
      <c r="D36" s="102">
        <v>3.3809999999999998</v>
      </c>
      <c r="E36" s="102">
        <v>3.6419999999999999</v>
      </c>
      <c r="F36" s="102">
        <v>3.8450000000000002</v>
      </c>
      <c r="G36" s="102">
        <v>4.0090000000000003</v>
      </c>
      <c r="H36" s="102">
        <v>4.1479999999999997</v>
      </c>
      <c r="I36" s="102">
        <v>4.2679999999999998</v>
      </c>
      <c r="J36" s="102">
        <v>4.3719999999999999</v>
      </c>
      <c r="K36" s="102">
        <v>4.4660000000000002</v>
      </c>
      <c r="L36" s="102">
        <v>4.55</v>
      </c>
      <c r="M36" s="102">
        <v>4.6260000000000003</v>
      </c>
      <c r="N36" s="102">
        <v>4.6959999999999997</v>
      </c>
      <c r="O36" s="102">
        <v>4.76</v>
      </c>
      <c r="P36" s="102">
        <v>4.82</v>
      </c>
      <c r="Q36" s="102">
        <v>4.8760000000000003</v>
      </c>
      <c r="R36" s="102">
        <v>4.9279999999999999</v>
      </c>
      <c r="S36" s="102">
        <v>4.9770000000000003</v>
      </c>
      <c r="T36" s="102">
        <v>5.0229999999999997</v>
      </c>
    </row>
    <row r="37" spans="1:20">
      <c r="A37">
        <v>32</v>
      </c>
      <c r="B37" s="102">
        <v>2.3959999999999999</v>
      </c>
      <c r="C37" s="102">
        <v>3.01</v>
      </c>
      <c r="D37" s="102">
        <v>3.3759999999999999</v>
      </c>
      <c r="E37" s="102">
        <v>3.637</v>
      </c>
      <c r="F37" s="102">
        <v>3.839</v>
      </c>
      <c r="G37" s="102">
        <v>4.0030000000000001</v>
      </c>
      <c r="H37" s="102">
        <v>4.141</v>
      </c>
      <c r="I37" s="102">
        <v>4.26</v>
      </c>
      <c r="J37" s="102">
        <v>4.3650000000000002</v>
      </c>
      <c r="K37" s="102">
        <v>4.4580000000000002</v>
      </c>
      <c r="L37" s="102">
        <v>4.5410000000000004</v>
      </c>
      <c r="M37" s="102">
        <v>4.617</v>
      </c>
      <c r="N37" s="102">
        <v>4.6870000000000003</v>
      </c>
      <c r="O37" s="102">
        <v>4.7510000000000003</v>
      </c>
      <c r="P37" s="102">
        <v>4.8109999999999999</v>
      </c>
      <c r="Q37" s="102">
        <v>4.8659999999999997</v>
      </c>
      <c r="R37" s="102">
        <v>4.9180000000000001</v>
      </c>
      <c r="S37" s="102">
        <v>4.9669999999999996</v>
      </c>
      <c r="T37" s="102">
        <v>5.0129999999999999</v>
      </c>
    </row>
    <row r="38" spans="1:20">
      <c r="A38">
        <v>33</v>
      </c>
      <c r="B38" s="102">
        <v>2.3929999999999998</v>
      </c>
      <c r="C38" s="102">
        <v>3.0059999999999998</v>
      </c>
      <c r="D38" s="102">
        <v>3.3719999999999999</v>
      </c>
      <c r="E38" s="102">
        <v>3.6320000000000001</v>
      </c>
      <c r="F38" s="102">
        <v>3.8330000000000002</v>
      </c>
      <c r="G38" s="102">
        <v>3.9969999999999999</v>
      </c>
      <c r="H38" s="102">
        <v>4.1349999999999998</v>
      </c>
      <c r="I38" s="102">
        <v>4.2530000000000001</v>
      </c>
      <c r="J38" s="102">
        <v>4.3570000000000002</v>
      </c>
      <c r="K38" s="102">
        <v>4.45</v>
      </c>
      <c r="L38" s="102">
        <v>4.5330000000000004</v>
      </c>
      <c r="M38" s="102">
        <v>4.609</v>
      </c>
      <c r="N38" s="102">
        <v>4.6790000000000003</v>
      </c>
      <c r="O38" s="102">
        <v>4.7430000000000003</v>
      </c>
      <c r="P38" s="102">
        <v>4.8019999999999996</v>
      </c>
      <c r="Q38" s="102">
        <v>4.8570000000000002</v>
      </c>
      <c r="R38" s="102">
        <v>4.9089999999999998</v>
      </c>
      <c r="S38" s="102">
        <v>4.9569999999999999</v>
      </c>
      <c r="T38" s="102">
        <v>5.0030000000000001</v>
      </c>
    </row>
    <row r="39" spans="1:20">
      <c r="A39">
        <v>34</v>
      </c>
      <c r="B39" s="102">
        <v>2.391</v>
      </c>
      <c r="C39" s="102">
        <v>3.0030000000000001</v>
      </c>
      <c r="D39" s="102">
        <v>3.3679999999999999</v>
      </c>
      <c r="E39" s="102">
        <v>3.6269999999999998</v>
      </c>
      <c r="F39" s="102">
        <v>3.8279999999999998</v>
      </c>
      <c r="G39" s="102">
        <v>3.9910000000000001</v>
      </c>
      <c r="H39" s="102">
        <v>4.1289999999999996</v>
      </c>
      <c r="I39" s="102">
        <v>4.2469999999999999</v>
      </c>
      <c r="J39" s="102">
        <v>4.351</v>
      </c>
      <c r="K39" s="102">
        <v>4.4429999999999996</v>
      </c>
      <c r="L39" s="102">
        <v>4.5259999999999998</v>
      </c>
      <c r="M39" s="102">
        <v>4.6020000000000003</v>
      </c>
      <c r="N39" s="102">
        <v>4.6710000000000003</v>
      </c>
      <c r="O39" s="102">
        <v>4.734</v>
      </c>
      <c r="P39" s="102">
        <v>4.7939999999999996</v>
      </c>
      <c r="Q39" s="102">
        <v>4.8490000000000002</v>
      </c>
      <c r="R39" s="102">
        <v>4.9000000000000004</v>
      </c>
      <c r="S39" s="102">
        <v>4.9489999999999998</v>
      </c>
      <c r="T39" s="102">
        <v>4.9939999999999998</v>
      </c>
    </row>
    <row r="40" spans="1:20">
      <c r="A40">
        <v>35</v>
      </c>
      <c r="B40" s="102">
        <v>2.3889999999999998</v>
      </c>
      <c r="C40" s="102">
        <v>3</v>
      </c>
      <c r="D40" s="102">
        <v>3.3639999999999999</v>
      </c>
      <c r="E40" s="102">
        <v>3.6230000000000002</v>
      </c>
      <c r="F40" s="102">
        <v>3.823</v>
      </c>
      <c r="G40" s="102">
        <v>3.9860000000000002</v>
      </c>
      <c r="H40" s="102">
        <v>4.1230000000000002</v>
      </c>
      <c r="I40" s="102">
        <v>4.2409999999999997</v>
      </c>
      <c r="J40" s="102">
        <v>4.3440000000000003</v>
      </c>
      <c r="K40" s="102">
        <v>4.4359999999999999</v>
      </c>
      <c r="L40" s="102">
        <v>4.5190000000000001</v>
      </c>
      <c r="M40" s="102">
        <v>4.5940000000000003</v>
      </c>
      <c r="N40" s="102">
        <v>4.6630000000000003</v>
      </c>
      <c r="O40" s="102">
        <v>4.7270000000000003</v>
      </c>
      <c r="P40" s="102">
        <v>4.7859999999999996</v>
      </c>
      <c r="Q40" s="102">
        <v>4.8410000000000002</v>
      </c>
      <c r="R40" s="102">
        <v>4.8920000000000003</v>
      </c>
      <c r="S40" s="102">
        <v>4.9400000000000004</v>
      </c>
      <c r="T40" s="102">
        <v>4.9859999999999998</v>
      </c>
    </row>
    <row r="41" spans="1:20">
      <c r="A41">
        <v>36</v>
      </c>
      <c r="B41" s="102">
        <v>2.3879999999999999</v>
      </c>
      <c r="C41" s="102">
        <v>2.9980000000000002</v>
      </c>
      <c r="D41" s="102">
        <v>3.3610000000000002</v>
      </c>
      <c r="E41" s="102">
        <v>3.6190000000000002</v>
      </c>
      <c r="F41" s="102">
        <v>3.819</v>
      </c>
      <c r="G41" s="102">
        <v>3.9809999999999999</v>
      </c>
      <c r="H41" s="102">
        <v>4.117</v>
      </c>
      <c r="I41" s="102">
        <v>4.2350000000000003</v>
      </c>
      <c r="J41" s="102">
        <v>4.3380000000000001</v>
      </c>
      <c r="K41" s="102">
        <v>4.43</v>
      </c>
      <c r="L41" s="102">
        <v>4.5119999999999996</v>
      </c>
      <c r="M41" s="102">
        <v>4.5880000000000001</v>
      </c>
      <c r="N41" s="102">
        <v>4.6559999999999997</v>
      </c>
      <c r="O41" s="102">
        <v>4.72</v>
      </c>
      <c r="P41" s="102">
        <v>4.7779999999999996</v>
      </c>
      <c r="Q41" s="102">
        <v>4.8330000000000002</v>
      </c>
      <c r="R41" s="102">
        <v>4.8840000000000003</v>
      </c>
      <c r="S41" s="102">
        <v>4.9320000000000004</v>
      </c>
      <c r="T41" s="102">
        <v>4.9779999999999998</v>
      </c>
    </row>
    <row r="42" spans="1:20">
      <c r="A42">
        <v>37</v>
      </c>
      <c r="B42" s="102">
        <v>2.3860000000000001</v>
      </c>
      <c r="C42" s="102">
        <v>2.9950000000000001</v>
      </c>
      <c r="D42" s="102">
        <v>3.3570000000000002</v>
      </c>
      <c r="E42" s="102">
        <v>3.6150000000000002</v>
      </c>
      <c r="F42" s="102">
        <v>3.8140000000000001</v>
      </c>
      <c r="G42" s="102">
        <v>3.976</v>
      </c>
      <c r="H42" s="102">
        <v>4.1120000000000001</v>
      </c>
      <c r="I42" s="102">
        <v>4.2300000000000004</v>
      </c>
      <c r="J42" s="102">
        <v>4.3319999999999999</v>
      </c>
      <c r="K42" s="102">
        <v>4.4240000000000004</v>
      </c>
      <c r="L42" s="102">
        <v>4.5060000000000002</v>
      </c>
      <c r="M42" s="102">
        <v>4.5810000000000004</v>
      </c>
      <c r="N42" s="102">
        <v>4.6500000000000004</v>
      </c>
      <c r="O42" s="102">
        <v>4.7130000000000001</v>
      </c>
      <c r="P42" s="102">
        <v>4.7709999999999999</v>
      </c>
      <c r="Q42" s="102">
        <v>4.8259999999999996</v>
      </c>
      <c r="R42" s="102">
        <v>4.8769999999999998</v>
      </c>
      <c r="S42" s="102">
        <v>4.9249999999999998</v>
      </c>
      <c r="T42" s="102">
        <v>4.97</v>
      </c>
    </row>
    <row r="43" spans="1:20">
      <c r="A43">
        <v>38</v>
      </c>
      <c r="B43" s="102">
        <v>2.3839999999999999</v>
      </c>
      <c r="C43" s="102">
        <v>2.992</v>
      </c>
      <c r="D43" s="102">
        <v>3.3540000000000001</v>
      </c>
      <c r="E43" s="102">
        <v>3.6110000000000002</v>
      </c>
      <c r="F43" s="102">
        <v>3.81</v>
      </c>
      <c r="G43" s="102">
        <v>3.972</v>
      </c>
      <c r="H43" s="102">
        <v>4.1070000000000002</v>
      </c>
      <c r="I43" s="102">
        <v>4.2240000000000002</v>
      </c>
      <c r="J43" s="102">
        <v>4.327</v>
      </c>
      <c r="K43" s="102">
        <v>4.4180000000000001</v>
      </c>
      <c r="L43" s="102">
        <v>4.5</v>
      </c>
      <c r="M43" s="102">
        <v>4.5750000000000002</v>
      </c>
      <c r="N43" s="102">
        <v>4.6429999999999998</v>
      </c>
      <c r="O43" s="102">
        <v>4.7060000000000004</v>
      </c>
      <c r="P43" s="102">
        <v>4.7649999999999997</v>
      </c>
      <c r="Q43" s="102">
        <v>4.819</v>
      </c>
      <c r="R43" s="102">
        <v>4.87</v>
      </c>
      <c r="S43" s="102">
        <v>4.9180000000000001</v>
      </c>
      <c r="T43" s="102">
        <v>4.9630000000000001</v>
      </c>
    </row>
    <row r="44" spans="1:20">
      <c r="A44">
        <v>39</v>
      </c>
      <c r="B44" s="102">
        <v>2.383</v>
      </c>
      <c r="C44" s="102">
        <v>2.99</v>
      </c>
      <c r="D44" s="102">
        <v>3.351</v>
      </c>
      <c r="E44" s="102">
        <v>3.6080000000000001</v>
      </c>
      <c r="F44" s="102">
        <v>3.806</v>
      </c>
      <c r="G44" s="102">
        <v>3.9670000000000001</v>
      </c>
      <c r="H44" s="102">
        <v>4.1029999999999998</v>
      </c>
      <c r="I44" s="102">
        <v>4.22</v>
      </c>
      <c r="J44" s="102">
        <v>4.3220000000000001</v>
      </c>
      <c r="K44" s="102">
        <v>4.4130000000000003</v>
      </c>
      <c r="L44" s="102">
        <v>4.4950000000000001</v>
      </c>
      <c r="M44" s="102">
        <v>4.569</v>
      </c>
      <c r="N44" s="102">
        <v>4.6369999999999996</v>
      </c>
      <c r="O44" s="102">
        <v>4.7</v>
      </c>
      <c r="P44" s="102">
        <v>4.758</v>
      </c>
      <c r="Q44" s="102">
        <v>4.8120000000000003</v>
      </c>
      <c r="R44" s="102">
        <v>4.8630000000000004</v>
      </c>
      <c r="S44" s="102">
        <v>4.9109999999999996</v>
      </c>
      <c r="T44" s="102">
        <v>4.9560000000000004</v>
      </c>
    </row>
    <row r="45" spans="1:20">
      <c r="A45">
        <v>40</v>
      </c>
      <c r="B45" s="102">
        <v>2.3809999999999998</v>
      </c>
      <c r="C45" s="102">
        <v>2.988</v>
      </c>
      <c r="D45" s="102">
        <v>3.3479999999999999</v>
      </c>
      <c r="E45" s="102">
        <v>3.605</v>
      </c>
      <c r="F45" s="102">
        <v>3.802</v>
      </c>
      <c r="G45" s="102">
        <v>3.9630000000000001</v>
      </c>
      <c r="H45" s="102">
        <v>4.0990000000000002</v>
      </c>
      <c r="I45" s="102">
        <v>4.2149999999999999</v>
      </c>
      <c r="J45" s="102">
        <v>4.3170000000000002</v>
      </c>
      <c r="K45" s="102">
        <v>4.4080000000000004</v>
      </c>
      <c r="L45" s="102">
        <v>4.49</v>
      </c>
      <c r="M45" s="102">
        <v>4.5640000000000001</v>
      </c>
      <c r="N45" s="102">
        <v>4.6319999999999997</v>
      </c>
      <c r="O45" s="102">
        <v>4.694</v>
      </c>
      <c r="P45" s="102">
        <v>4.7519999999999998</v>
      </c>
      <c r="Q45" s="102">
        <v>4.806</v>
      </c>
      <c r="R45" s="102">
        <v>4.8570000000000002</v>
      </c>
      <c r="S45" s="102">
        <v>4.9039999999999999</v>
      </c>
      <c r="T45" s="102">
        <v>4.9489999999999998</v>
      </c>
    </row>
    <row r="46" spans="1:20">
      <c r="A46">
        <v>48</v>
      </c>
      <c r="B46" s="102">
        <v>2.3719999999999999</v>
      </c>
      <c r="C46" s="102">
        <v>2.9729999999999999</v>
      </c>
      <c r="D46" s="102">
        <v>3.33</v>
      </c>
      <c r="E46" s="102">
        <v>3.5830000000000002</v>
      </c>
      <c r="F46" s="102">
        <v>3.778</v>
      </c>
      <c r="G46" s="102">
        <v>3.9369999999999998</v>
      </c>
      <c r="H46" s="102">
        <v>4.07</v>
      </c>
      <c r="I46" s="102">
        <v>4.1849999999999996</v>
      </c>
      <c r="J46" s="102">
        <v>4.2850000000000001</v>
      </c>
      <c r="K46" s="102">
        <v>4.375</v>
      </c>
      <c r="L46" s="102">
        <v>4.4550000000000001</v>
      </c>
      <c r="M46" s="102">
        <v>4.5279999999999996</v>
      </c>
      <c r="N46" s="102">
        <v>4.5949999999999998</v>
      </c>
      <c r="O46" s="102">
        <v>4.6559999999999997</v>
      </c>
      <c r="P46" s="102">
        <v>4.7130000000000001</v>
      </c>
      <c r="Q46" s="102">
        <v>4.766</v>
      </c>
      <c r="R46" s="102">
        <v>4.8159999999999998</v>
      </c>
      <c r="S46" s="102">
        <v>4.8630000000000004</v>
      </c>
      <c r="T46" s="102">
        <v>4.907</v>
      </c>
    </row>
    <row r="47" spans="1:20">
      <c r="A47">
        <v>60</v>
      </c>
      <c r="B47" s="102">
        <v>2.363</v>
      </c>
      <c r="C47" s="102">
        <v>2.9590000000000001</v>
      </c>
      <c r="D47" s="102">
        <v>3.3119999999999998</v>
      </c>
      <c r="E47" s="102">
        <v>3.5619999999999998</v>
      </c>
      <c r="F47" s="102">
        <v>3.7549999999999999</v>
      </c>
      <c r="G47" s="102">
        <v>3.911</v>
      </c>
      <c r="H47" s="102">
        <v>4.0419999999999998</v>
      </c>
      <c r="I47" s="102">
        <v>4.1550000000000002</v>
      </c>
      <c r="J47" s="102">
        <v>4.2539999999999996</v>
      </c>
      <c r="K47" s="102">
        <v>4.3419999999999996</v>
      </c>
      <c r="L47" s="102">
        <v>4.4210000000000003</v>
      </c>
      <c r="M47" s="102">
        <v>4.4930000000000003</v>
      </c>
      <c r="N47" s="102">
        <v>4.5579999999999998</v>
      </c>
      <c r="O47" s="102">
        <v>4.6189999999999998</v>
      </c>
      <c r="P47" s="102">
        <v>4.6749999999999998</v>
      </c>
      <c r="Q47" s="102">
        <v>4.7270000000000003</v>
      </c>
      <c r="R47" s="102">
        <v>4.7750000000000004</v>
      </c>
      <c r="S47" s="102">
        <v>4.8209999999999997</v>
      </c>
      <c r="T47" s="102">
        <v>4.8639999999999999</v>
      </c>
    </row>
    <row r="48" spans="1:20">
      <c r="A48">
        <v>80</v>
      </c>
      <c r="B48" s="102">
        <v>2.3530000000000002</v>
      </c>
      <c r="C48" s="102">
        <v>2.9449999999999998</v>
      </c>
      <c r="D48" s="102">
        <v>3.294</v>
      </c>
      <c r="E48" s="102">
        <v>3.5409999999999999</v>
      </c>
      <c r="F48" s="102">
        <v>3.7309999999999999</v>
      </c>
      <c r="G48" s="102">
        <v>3.8849999999999998</v>
      </c>
      <c r="H48" s="102">
        <v>4.0140000000000002</v>
      </c>
      <c r="I48" s="102">
        <v>4.125</v>
      </c>
      <c r="J48" s="102">
        <v>4.2229999999999999</v>
      </c>
      <c r="K48" s="102">
        <v>4.3090000000000002</v>
      </c>
      <c r="L48" s="102">
        <v>4.3869999999999996</v>
      </c>
      <c r="M48" s="102">
        <v>4.4569999999999999</v>
      </c>
      <c r="N48" s="102">
        <v>4.5209999999999999</v>
      </c>
      <c r="O48" s="102">
        <v>4.5810000000000004</v>
      </c>
      <c r="P48" s="102">
        <v>4.6360000000000001</v>
      </c>
      <c r="Q48" s="102">
        <v>4.6870000000000003</v>
      </c>
      <c r="R48" s="102">
        <v>4.7350000000000003</v>
      </c>
      <c r="S48" s="102">
        <v>4.78</v>
      </c>
      <c r="T48" s="102">
        <v>4.8220000000000001</v>
      </c>
    </row>
    <row r="49" spans="1:20">
      <c r="A49">
        <v>120</v>
      </c>
      <c r="B49" s="102">
        <v>2.3439999999999999</v>
      </c>
      <c r="C49" s="102">
        <v>2.93</v>
      </c>
      <c r="D49" s="102">
        <v>3.2759999999999998</v>
      </c>
      <c r="E49" s="102">
        <v>3.52</v>
      </c>
      <c r="F49" s="102">
        <v>3.7069999999999999</v>
      </c>
      <c r="G49" s="102">
        <v>3.859</v>
      </c>
      <c r="H49" s="102">
        <v>3.9860000000000002</v>
      </c>
      <c r="I49" s="102">
        <v>4.0960000000000001</v>
      </c>
      <c r="J49" s="102">
        <v>4.1909999999999998</v>
      </c>
      <c r="K49" s="102">
        <v>4.2759999999999998</v>
      </c>
      <c r="L49" s="102">
        <v>4.3529999999999998</v>
      </c>
      <c r="M49" s="102">
        <v>4.4219999999999997</v>
      </c>
      <c r="N49" s="102">
        <v>4.4850000000000003</v>
      </c>
      <c r="O49" s="102">
        <v>4.5430000000000001</v>
      </c>
      <c r="P49" s="102">
        <v>4.5970000000000004</v>
      </c>
      <c r="Q49" s="102">
        <v>4.6470000000000002</v>
      </c>
      <c r="R49" s="102">
        <v>4.694</v>
      </c>
      <c r="S49" s="102">
        <v>4.7380000000000004</v>
      </c>
      <c r="T49" s="102">
        <v>4.7789999999999999</v>
      </c>
    </row>
    <row r="50" spans="1:20">
      <c r="A50">
        <v>240</v>
      </c>
      <c r="B50" s="102">
        <v>2.335</v>
      </c>
      <c r="C50" s="102">
        <v>2.9159999999999999</v>
      </c>
      <c r="D50" s="102">
        <v>3.258</v>
      </c>
      <c r="E50" s="102">
        <v>3.4990000000000001</v>
      </c>
      <c r="F50" s="102">
        <v>3.6840000000000002</v>
      </c>
      <c r="G50" s="102">
        <v>3.8340000000000001</v>
      </c>
      <c r="H50" s="102">
        <v>3.9590000000000001</v>
      </c>
      <c r="I50" s="102">
        <v>4.0659999999999998</v>
      </c>
      <c r="J50" s="102">
        <v>4.16</v>
      </c>
      <c r="K50" s="102">
        <v>4.2439999999999998</v>
      </c>
      <c r="L50" s="102">
        <v>4.319</v>
      </c>
      <c r="M50" s="102">
        <v>4.3860000000000001</v>
      </c>
      <c r="N50" s="102">
        <v>4.4480000000000004</v>
      </c>
      <c r="O50" s="102">
        <v>4.5049999999999999</v>
      </c>
      <c r="P50" s="102">
        <v>4.5579999999999998</v>
      </c>
      <c r="Q50" s="102">
        <v>4.6070000000000002</v>
      </c>
      <c r="R50" s="102">
        <v>4.6529999999999996</v>
      </c>
      <c r="S50" s="102">
        <v>4.6959999999999997</v>
      </c>
      <c r="T50" s="102">
        <v>4.7370000000000001</v>
      </c>
    </row>
    <row r="51" spans="1:20">
      <c r="A51" s="19" t="s">
        <v>318</v>
      </c>
      <c r="B51" s="102">
        <v>2.3260000000000001</v>
      </c>
      <c r="C51" s="102">
        <v>2.9020000000000001</v>
      </c>
      <c r="D51" s="102">
        <v>3.24</v>
      </c>
      <c r="E51" s="102">
        <v>3.4780000000000002</v>
      </c>
      <c r="F51" s="102">
        <v>3.661</v>
      </c>
      <c r="G51" s="102">
        <v>3.8079999999999998</v>
      </c>
      <c r="H51" s="102">
        <v>3.931</v>
      </c>
      <c r="I51" s="102">
        <v>4.0369999999999999</v>
      </c>
      <c r="J51" s="102">
        <v>4.1289999999999996</v>
      </c>
      <c r="K51" s="102">
        <v>4.2110000000000003</v>
      </c>
      <c r="L51" s="102">
        <v>4.2850000000000001</v>
      </c>
      <c r="M51" s="102">
        <v>4.351</v>
      </c>
      <c r="N51" s="102">
        <v>4.4119999999999999</v>
      </c>
      <c r="O51" s="102">
        <v>4.468</v>
      </c>
      <c r="P51" s="102">
        <v>4.5190000000000001</v>
      </c>
      <c r="Q51" s="102">
        <v>4.5679999999999996</v>
      </c>
      <c r="R51" s="102">
        <v>4.6120000000000001</v>
      </c>
      <c r="S51" s="102">
        <v>4.6539999999999999</v>
      </c>
      <c r="T51" s="102">
        <v>4.694</v>
      </c>
    </row>
    <row r="53" spans="1:20">
      <c r="B53" t="s">
        <v>116</v>
      </c>
      <c r="C53">
        <v>0.05</v>
      </c>
    </row>
    <row r="54" spans="1:20">
      <c r="B54" t="s">
        <v>317</v>
      </c>
    </row>
    <row r="55" spans="1:20">
      <c r="A55" s="19" t="s">
        <v>186</v>
      </c>
      <c r="B55">
        <v>2</v>
      </c>
      <c r="C55">
        <v>3</v>
      </c>
      <c r="D55">
        <v>4</v>
      </c>
      <c r="E55">
        <v>5</v>
      </c>
      <c r="F55">
        <v>6</v>
      </c>
      <c r="G55">
        <v>7</v>
      </c>
      <c r="H55">
        <v>8</v>
      </c>
      <c r="I55">
        <v>9</v>
      </c>
      <c r="J55">
        <v>10</v>
      </c>
      <c r="K55">
        <v>11</v>
      </c>
      <c r="L55">
        <v>12</v>
      </c>
      <c r="M55">
        <v>13</v>
      </c>
      <c r="N55">
        <v>14</v>
      </c>
      <c r="O55">
        <v>15</v>
      </c>
      <c r="P55">
        <v>16</v>
      </c>
      <c r="Q55">
        <v>17</v>
      </c>
      <c r="R55">
        <v>18</v>
      </c>
      <c r="S55">
        <v>19</v>
      </c>
      <c r="T55">
        <v>20</v>
      </c>
    </row>
    <row r="56" spans="1:20">
      <c r="A56">
        <v>1</v>
      </c>
      <c r="B56" s="102">
        <v>17.969000000000001</v>
      </c>
      <c r="C56" s="102">
        <v>26.975999999999999</v>
      </c>
      <c r="D56" s="102">
        <v>32.819000000000003</v>
      </c>
      <c r="E56" s="102">
        <v>37.082000000000001</v>
      </c>
      <c r="F56" s="102">
        <v>40.408000000000001</v>
      </c>
      <c r="G56" s="102">
        <v>43.119</v>
      </c>
      <c r="H56" s="102">
        <v>45.396999999999998</v>
      </c>
      <c r="I56" s="102">
        <v>47.356999999999999</v>
      </c>
      <c r="J56" s="102">
        <v>49.070999999999998</v>
      </c>
      <c r="K56" s="102">
        <v>50.591999999999999</v>
      </c>
      <c r="L56" s="102">
        <v>51.957000000000001</v>
      </c>
      <c r="M56" s="102">
        <v>53.194000000000003</v>
      </c>
      <c r="N56" s="102">
        <v>54.323</v>
      </c>
      <c r="O56" s="102">
        <v>55.360999999999997</v>
      </c>
      <c r="P56" s="102">
        <v>56.32</v>
      </c>
      <c r="Q56" s="102">
        <v>57.212000000000003</v>
      </c>
      <c r="R56" s="102">
        <v>58.043999999999997</v>
      </c>
      <c r="S56" s="102">
        <v>58.823999999999998</v>
      </c>
      <c r="T56" s="102">
        <v>59.558</v>
      </c>
    </row>
    <row r="57" spans="1:20">
      <c r="A57">
        <v>2</v>
      </c>
      <c r="B57" s="102">
        <v>6.085</v>
      </c>
      <c r="C57" s="102">
        <v>8.3309999999999995</v>
      </c>
      <c r="D57" s="102">
        <v>9.798</v>
      </c>
      <c r="E57" s="102">
        <v>10.881</v>
      </c>
      <c r="F57" s="102">
        <v>11.734</v>
      </c>
      <c r="G57" s="102">
        <v>12.435</v>
      </c>
      <c r="H57" s="102">
        <v>13.026999999999999</v>
      </c>
      <c r="I57" s="102">
        <v>13.539</v>
      </c>
      <c r="J57" s="102">
        <v>13.988</v>
      </c>
      <c r="K57" s="102">
        <v>14.388999999999999</v>
      </c>
      <c r="L57" s="102">
        <v>14.749000000000001</v>
      </c>
      <c r="M57" s="102">
        <v>15.076000000000001</v>
      </c>
      <c r="N57" s="102">
        <v>15.375</v>
      </c>
      <c r="O57" s="102">
        <v>15.65</v>
      </c>
      <c r="P57" s="102">
        <v>15.904999999999999</v>
      </c>
      <c r="Q57" s="102">
        <v>16.143000000000001</v>
      </c>
      <c r="R57" s="102">
        <v>16.364999999999998</v>
      </c>
      <c r="S57" s="102">
        <v>16.573</v>
      </c>
      <c r="T57" s="102">
        <v>16.768999999999998</v>
      </c>
    </row>
    <row r="58" spans="1:20">
      <c r="A58">
        <v>3</v>
      </c>
      <c r="B58" s="102">
        <v>4.5010000000000003</v>
      </c>
      <c r="C58" s="102">
        <v>5.91</v>
      </c>
      <c r="D58" s="102">
        <v>6.8250000000000002</v>
      </c>
      <c r="E58" s="102">
        <v>7.5019999999999998</v>
      </c>
      <c r="F58" s="102">
        <v>8.0370000000000008</v>
      </c>
      <c r="G58" s="102">
        <v>8.4779999999999998</v>
      </c>
      <c r="H58" s="102">
        <v>8.8520000000000003</v>
      </c>
      <c r="I58" s="102">
        <v>9.1769999999999996</v>
      </c>
      <c r="J58" s="102">
        <v>9.4619999999999997</v>
      </c>
      <c r="K58" s="102">
        <v>9.7170000000000005</v>
      </c>
      <c r="L58" s="102">
        <v>9.9459999999999997</v>
      </c>
      <c r="M58" s="102">
        <v>10.154999999999999</v>
      </c>
      <c r="N58" s="102">
        <v>10.346</v>
      </c>
      <c r="O58" s="102">
        <v>10.522</v>
      </c>
      <c r="P58" s="102">
        <v>10.686</v>
      </c>
      <c r="Q58" s="102">
        <v>10.837999999999999</v>
      </c>
      <c r="R58" s="102">
        <v>10.98</v>
      </c>
      <c r="S58" s="102">
        <v>11.114000000000001</v>
      </c>
      <c r="T58" s="102">
        <v>11.24</v>
      </c>
    </row>
    <row r="59" spans="1:20">
      <c r="A59">
        <v>4</v>
      </c>
      <c r="B59" s="102">
        <v>3.9260000000000002</v>
      </c>
      <c r="C59" s="102">
        <v>5.04</v>
      </c>
      <c r="D59" s="102">
        <v>5.7569999999999997</v>
      </c>
      <c r="E59" s="102">
        <v>6.2869999999999999</v>
      </c>
      <c r="F59" s="102">
        <v>6.7060000000000004</v>
      </c>
      <c r="G59" s="102">
        <v>7.0529999999999999</v>
      </c>
      <c r="H59" s="102">
        <v>7.3470000000000004</v>
      </c>
      <c r="I59" s="102">
        <v>7.6020000000000003</v>
      </c>
      <c r="J59" s="102">
        <v>7.8259999999999996</v>
      </c>
      <c r="K59" s="102">
        <v>8.0269999999999992</v>
      </c>
      <c r="L59" s="102">
        <v>8.2080000000000002</v>
      </c>
      <c r="M59" s="102">
        <v>8.3729999999999993</v>
      </c>
      <c r="N59" s="102">
        <v>8.5239999999999991</v>
      </c>
      <c r="O59" s="102">
        <v>8.6639999999999997</v>
      </c>
      <c r="P59" s="102">
        <v>8.7929999999999993</v>
      </c>
      <c r="Q59" s="102">
        <v>8.9139999999999997</v>
      </c>
      <c r="R59" s="102">
        <v>9.0269999999999992</v>
      </c>
      <c r="S59" s="102">
        <v>9.1329999999999991</v>
      </c>
      <c r="T59" s="102">
        <v>9.2330000000000005</v>
      </c>
    </row>
    <row r="60" spans="1:20">
      <c r="A60">
        <v>5</v>
      </c>
      <c r="B60" s="102">
        <v>3.6349999999999998</v>
      </c>
      <c r="C60" s="102">
        <v>4.6020000000000003</v>
      </c>
      <c r="D60" s="102">
        <v>5.218</v>
      </c>
      <c r="E60" s="102">
        <v>5.673</v>
      </c>
      <c r="F60" s="102">
        <v>6.0330000000000004</v>
      </c>
      <c r="G60" s="102">
        <v>6.33</v>
      </c>
      <c r="H60" s="102">
        <v>6.5819999999999999</v>
      </c>
      <c r="I60" s="102">
        <v>6.8010000000000002</v>
      </c>
      <c r="J60" s="102">
        <v>6.9950000000000001</v>
      </c>
      <c r="K60" s="102">
        <v>7.1669999999999998</v>
      </c>
      <c r="L60" s="102">
        <v>7.3230000000000004</v>
      </c>
      <c r="M60" s="102">
        <v>7.4660000000000002</v>
      </c>
      <c r="N60" s="102">
        <v>7.5960000000000001</v>
      </c>
      <c r="O60" s="102">
        <v>7.7160000000000002</v>
      </c>
      <c r="P60" s="102">
        <v>7.8280000000000003</v>
      </c>
      <c r="Q60" s="102">
        <v>7.9320000000000004</v>
      </c>
      <c r="R60" s="102">
        <v>8.0299999999999994</v>
      </c>
      <c r="S60" s="102">
        <v>8.1219999999999999</v>
      </c>
      <c r="T60" s="102">
        <v>8.2080000000000002</v>
      </c>
    </row>
    <row r="61" spans="1:20">
      <c r="A61">
        <v>6</v>
      </c>
      <c r="B61" s="102">
        <v>3.46</v>
      </c>
      <c r="C61" s="102">
        <v>4.3390000000000004</v>
      </c>
      <c r="D61" s="102">
        <v>4.8959999999999999</v>
      </c>
      <c r="E61" s="102">
        <v>5.3049999999999997</v>
      </c>
      <c r="F61" s="102">
        <v>5.6280000000000001</v>
      </c>
      <c r="G61" s="102">
        <v>5.8949999999999996</v>
      </c>
      <c r="H61" s="102">
        <v>6.1219999999999999</v>
      </c>
      <c r="I61" s="102">
        <v>6.319</v>
      </c>
      <c r="J61" s="102">
        <v>6.4930000000000003</v>
      </c>
      <c r="K61" s="102">
        <v>6.649</v>
      </c>
      <c r="L61" s="102">
        <v>6.7889999999999997</v>
      </c>
      <c r="M61" s="102">
        <v>6.9169999999999998</v>
      </c>
      <c r="N61" s="102">
        <v>7.0339999999999998</v>
      </c>
      <c r="O61" s="102">
        <v>7.1429999999999998</v>
      </c>
      <c r="P61" s="102">
        <v>7.2439999999999998</v>
      </c>
      <c r="Q61" s="102">
        <v>7.3380000000000001</v>
      </c>
      <c r="R61" s="102">
        <v>7.4260000000000002</v>
      </c>
      <c r="S61" s="102">
        <v>7.508</v>
      </c>
      <c r="T61" s="102">
        <v>7.5860000000000003</v>
      </c>
    </row>
    <row r="62" spans="1:20">
      <c r="A62">
        <v>7</v>
      </c>
      <c r="B62" s="102">
        <v>3.3439999999999999</v>
      </c>
      <c r="C62" s="102">
        <v>4.165</v>
      </c>
      <c r="D62" s="102">
        <v>4.681</v>
      </c>
      <c r="E62" s="102">
        <v>5.0599999999999996</v>
      </c>
      <c r="F62" s="102">
        <v>5.359</v>
      </c>
      <c r="G62" s="102">
        <v>5.6059999999999999</v>
      </c>
      <c r="H62" s="102">
        <v>5.8150000000000004</v>
      </c>
      <c r="I62" s="102">
        <v>5.9969999999999999</v>
      </c>
      <c r="J62" s="102">
        <v>6.1580000000000004</v>
      </c>
      <c r="K62" s="102">
        <v>6.3019999999999996</v>
      </c>
      <c r="L62" s="102">
        <v>6.431</v>
      </c>
      <c r="M62" s="102">
        <v>6.55</v>
      </c>
      <c r="N62" s="102">
        <v>6.6580000000000004</v>
      </c>
      <c r="O62" s="102">
        <v>6.7590000000000003</v>
      </c>
      <c r="P62" s="102">
        <v>6.8520000000000003</v>
      </c>
      <c r="Q62" s="102">
        <v>6.9390000000000001</v>
      </c>
      <c r="R62" s="102">
        <v>7.02</v>
      </c>
      <c r="S62" s="102">
        <v>7.0970000000000004</v>
      </c>
      <c r="T62" s="102">
        <v>7.1689999999999996</v>
      </c>
    </row>
    <row r="63" spans="1:20">
      <c r="A63">
        <v>8</v>
      </c>
      <c r="B63" s="102">
        <v>3.2610000000000001</v>
      </c>
      <c r="C63" s="102">
        <v>4.0410000000000004</v>
      </c>
      <c r="D63" s="102">
        <v>4.5289999999999999</v>
      </c>
      <c r="E63" s="102">
        <v>4.8860000000000001</v>
      </c>
      <c r="F63" s="102">
        <v>5.1669999999999998</v>
      </c>
      <c r="G63" s="102">
        <v>5.399</v>
      </c>
      <c r="H63" s="102">
        <v>5.5960000000000001</v>
      </c>
      <c r="I63" s="102">
        <v>5.7670000000000003</v>
      </c>
      <c r="J63" s="102">
        <v>5.9180000000000001</v>
      </c>
      <c r="K63" s="102">
        <v>6.0529999999999999</v>
      </c>
      <c r="L63" s="102">
        <v>6.1749999999999998</v>
      </c>
      <c r="M63" s="102">
        <v>6.2869999999999999</v>
      </c>
      <c r="N63" s="102">
        <v>6.3890000000000002</v>
      </c>
      <c r="O63" s="102">
        <v>6.4829999999999997</v>
      </c>
      <c r="P63" s="102">
        <v>6.5709999999999997</v>
      </c>
      <c r="Q63" s="102">
        <v>6.6529999999999996</v>
      </c>
      <c r="R63" s="102">
        <v>6.7290000000000001</v>
      </c>
      <c r="S63" s="102">
        <v>6.8010000000000002</v>
      </c>
      <c r="T63" s="102">
        <v>6.8689999999999998</v>
      </c>
    </row>
    <row r="64" spans="1:20">
      <c r="A64">
        <v>9</v>
      </c>
      <c r="B64" s="102">
        <v>3.1989999999999998</v>
      </c>
      <c r="C64" s="102">
        <v>3.948</v>
      </c>
      <c r="D64" s="102">
        <v>4.415</v>
      </c>
      <c r="E64" s="102">
        <v>4.7549999999999999</v>
      </c>
      <c r="F64" s="102">
        <v>5.024</v>
      </c>
      <c r="G64" s="102">
        <v>5.2439999999999998</v>
      </c>
      <c r="H64" s="102">
        <v>5.4320000000000004</v>
      </c>
      <c r="I64" s="102">
        <v>5.5949999999999998</v>
      </c>
      <c r="J64" s="102">
        <v>5.7380000000000004</v>
      </c>
      <c r="K64" s="102">
        <v>5.867</v>
      </c>
      <c r="L64" s="102">
        <v>5.9829999999999997</v>
      </c>
      <c r="M64" s="102">
        <v>6.0890000000000004</v>
      </c>
      <c r="N64" s="102">
        <v>6.1859999999999999</v>
      </c>
      <c r="O64" s="102">
        <v>6.2759999999999998</v>
      </c>
      <c r="P64" s="102">
        <v>6.359</v>
      </c>
      <c r="Q64" s="102">
        <v>6.4370000000000003</v>
      </c>
      <c r="R64" s="102">
        <v>6.51</v>
      </c>
      <c r="S64" s="102">
        <v>6.5789999999999997</v>
      </c>
      <c r="T64" s="102">
        <v>6.6429999999999998</v>
      </c>
    </row>
    <row r="65" spans="1:20">
      <c r="A65">
        <v>10</v>
      </c>
      <c r="B65" s="102">
        <v>3.1509999999999998</v>
      </c>
      <c r="C65" s="102">
        <v>3.8769999999999998</v>
      </c>
      <c r="D65" s="102">
        <v>4.327</v>
      </c>
      <c r="E65" s="102">
        <v>4.6539999999999999</v>
      </c>
      <c r="F65" s="102">
        <v>4.9119999999999999</v>
      </c>
      <c r="G65" s="102">
        <v>5.1239999999999997</v>
      </c>
      <c r="H65" s="102">
        <v>5.3040000000000003</v>
      </c>
      <c r="I65" s="102">
        <v>5.46</v>
      </c>
      <c r="J65" s="102">
        <v>5.5979999999999999</v>
      </c>
      <c r="K65" s="102">
        <v>5.7220000000000004</v>
      </c>
      <c r="L65" s="102">
        <v>5.8330000000000002</v>
      </c>
      <c r="M65" s="102">
        <v>5.9349999999999996</v>
      </c>
      <c r="N65" s="102">
        <v>6.0279999999999996</v>
      </c>
      <c r="O65" s="102">
        <v>6.1139999999999999</v>
      </c>
      <c r="P65" s="102">
        <v>6.194</v>
      </c>
      <c r="Q65" s="102">
        <v>6.2690000000000001</v>
      </c>
      <c r="R65" s="102">
        <v>6.3390000000000004</v>
      </c>
      <c r="S65" s="102">
        <v>6.4050000000000002</v>
      </c>
      <c r="T65" s="102">
        <v>6.4669999999999996</v>
      </c>
    </row>
    <row r="66" spans="1:20">
      <c r="A66">
        <v>11</v>
      </c>
      <c r="B66" s="102">
        <v>3.113</v>
      </c>
      <c r="C66" s="102">
        <v>3.82</v>
      </c>
      <c r="D66" s="102">
        <v>4.2560000000000002</v>
      </c>
      <c r="E66" s="102">
        <v>4.5739999999999998</v>
      </c>
      <c r="F66" s="102">
        <v>4.8230000000000004</v>
      </c>
      <c r="G66" s="102">
        <v>5.0279999999999996</v>
      </c>
      <c r="H66" s="102">
        <v>5.202</v>
      </c>
      <c r="I66" s="102">
        <v>5.3529999999999998</v>
      </c>
      <c r="J66" s="102">
        <v>5.4859999999999998</v>
      </c>
      <c r="K66" s="102">
        <v>5.6050000000000004</v>
      </c>
      <c r="L66" s="102">
        <v>5.7130000000000001</v>
      </c>
      <c r="M66" s="102">
        <v>5.8109999999999999</v>
      </c>
      <c r="N66" s="102">
        <v>5.9009999999999998</v>
      </c>
      <c r="O66" s="102">
        <v>5.984</v>
      </c>
      <c r="P66" s="102">
        <v>6.0620000000000003</v>
      </c>
      <c r="Q66" s="102">
        <v>6.1340000000000003</v>
      </c>
      <c r="R66" s="102">
        <v>6.202</v>
      </c>
      <c r="S66" s="102">
        <v>6.2649999999999997</v>
      </c>
      <c r="T66" s="102">
        <v>6.3250000000000002</v>
      </c>
    </row>
    <row r="67" spans="1:20">
      <c r="A67">
        <v>12</v>
      </c>
      <c r="B67" s="102">
        <v>3.081</v>
      </c>
      <c r="C67" s="102">
        <v>3.7730000000000001</v>
      </c>
      <c r="D67" s="102">
        <v>4.1989999999999998</v>
      </c>
      <c r="E67" s="102">
        <v>4.508</v>
      </c>
      <c r="F67" s="102">
        <v>4.75</v>
      </c>
      <c r="G67" s="102">
        <v>4.95</v>
      </c>
      <c r="H67" s="102">
        <v>5.1189999999999998</v>
      </c>
      <c r="I67" s="102">
        <v>5.2649999999999997</v>
      </c>
      <c r="J67" s="102">
        <v>5.3949999999999996</v>
      </c>
      <c r="K67" s="102">
        <v>5.51</v>
      </c>
      <c r="L67" s="102">
        <v>5.6150000000000002</v>
      </c>
      <c r="M67" s="102">
        <v>5.71</v>
      </c>
      <c r="N67" s="102">
        <v>5.7969999999999997</v>
      </c>
      <c r="O67" s="102">
        <v>5.8780000000000001</v>
      </c>
      <c r="P67" s="102">
        <v>5.9530000000000003</v>
      </c>
      <c r="Q67" s="102">
        <v>6.0229999999999997</v>
      </c>
      <c r="R67" s="102">
        <v>6.0890000000000004</v>
      </c>
      <c r="S67" s="102">
        <v>6.1509999999999998</v>
      </c>
      <c r="T67" s="102">
        <v>6.2089999999999996</v>
      </c>
    </row>
    <row r="68" spans="1:20">
      <c r="A68">
        <v>13</v>
      </c>
      <c r="B68" s="102">
        <v>3.0550000000000002</v>
      </c>
      <c r="C68" s="102">
        <v>3.734</v>
      </c>
      <c r="D68" s="102">
        <v>4.1509999999999998</v>
      </c>
      <c r="E68" s="102">
        <v>4.4530000000000003</v>
      </c>
      <c r="F68" s="102">
        <v>4.6900000000000004</v>
      </c>
      <c r="G68" s="102">
        <v>4.8840000000000003</v>
      </c>
      <c r="H68" s="102">
        <v>5.0490000000000004</v>
      </c>
      <c r="I68" s="102">
        <v>5.1920000000000002</v>
      </c>
      <c r="J68" s="102">
        <v>5.3179999999999996</v>
      </c>
      <c r="K68" s="102">
        <v>5.431</v>
      </c>
      <c r="L68" s="102">
        <v>5.5330000000000004</v>
      </c>
      <c r="M68" s="102">
        <v>5.625</v>
      </c>
      <c r="N68" s="102">
        <v>5.7110000000000003</v>
      </c>
      <c r="O68" s="102">
        <v>5.7889999999999997</v>
      </c>
      <c r="P68" s="102">
        <v>5.8620000000000001</v>
      </c>
      <c r="Q68" s="102">
        <v>5.931</v>
      </c>
      <c r="R68" s="102">
        <v>5.9950000000000001</v>
      </c>
      <c r="S68" s="102">
        <v>6.0549999999999997</v>
      </c>
      <c r="T68" s="102">
        <v>6.1120000000000001</v>
      </c>
    </row>
    <row r="69" spans="1:20">
      <c r="A69">
        <v>14</v>
      </c>
      <c r="B69" s="102">
        <v>3.0329999999999999</v>
      </c>
      <c r="C69" s="102">
        <v>3.7010000000000001</v>
      </c>
      <c r="D69" s="102">
        <v>4.1109999999999998</v>
      </c>
      <c r="E69" s="102">
        <v>4.407</v>
      </c>
      <c r="F69" s="102">
        <v>4.6390000000000002</v>
      </c>
      <c r="G69" s="102">
        <v>4.8289999999999997</v>
      </c>
      <c r="H69" s="102">
        <v>4.99</v>
      </c>
      <c r="I69" s="102">
        <v>5.13</v>
      </c>
      <c r="J69" s="102">
        <v>5.2530000000000001</v>
      </c>
      <c r="K69" s="102">
        <v>5.3639999999999999</v>
      </c>
      <c r="L69" s="102">
        <v>5.4630000000000001</v>
      </c>
      <c r="M69" s="102">
        <v>5.5540000000000003</v>
      </c>
      <c r="N69" s="102">
        <v>5.6369999999999996</v>
      </c>
      <c r="O69" s="102">
        <v>5.7140000000000004</v>
      </c>
      <c r="P69" s="102">
        <v>5.7850000000000001</v>
      </c>
      <c r="Q69" s="102">
        <v>5.8520000000000003</v>
      </c>
      <c r="R69" s="102">
        <v>5.915</v>
      </c>
      <c r="S69" s="102">
        <v>5.9729999999999999</v>
      </c>
      <c r="T69" s="102">
        <v>6.0289999999999999</v>
      </c>
    </row>
    <row r="70" spans="1:20">
      <c r="A70">
        <v>15</v>
      </c>
      <c r="B70" s="102">
        <v>3.0139999999999998</v>
      </c>
      <c r="C70" s="102">
        <v>3.673</v>
      </c>
      <c r="D70" s="102">
        <v>4.0759999999999996</v>
      </c>
      <c r="E70" s="102">
        <v>4.367</v>
      </c>
      <c r="F70" s="102">
        <v>4.5949999999999998</v>
      </c>
      <c r="G70" s="102">
        <v>4.782</v>
      </c>
      <c r="H70" s="102">
        <v>4.9400000000000004</v>
      </c>
      <c r="I70" s="102">
        <v>5.077</v>
      </c>
      <c r="J70" s="102">
        <v>5.1980000000000004</v>
      </c>
      <c r="K70" s="102">
        <v>5.306</v>
      </c>
      <c r="L70" s="102">
        <v>5.4029999999999996</v>
      </c>
      <c r="M70" s="102">
        <v>5.492</v>
      </c>
      <c r="N70" s="102">
        <v>5.5739999999999998</v>
      </c>
      <c r="O70" s="102">
        <v>5.649</v>
      </c>
      <c r="P70" s="102">
        <v>5.7190000000000003</v>
      </c>
      <c r="Q70" s="102">
        <v>5.7850000000000001</v>
      </c>
      <c r="R70" s="102">
        <v>5.8460000000000001</v>
      </c>
      <c r="S70" s="102">
        <v>5.9039999999999999</v>
      </c>
      <c r="T70" s="102">
        <v>5.9580000000000002</v>
      </c>
    </row>
    <row r="71" spans="1:20">
      <c r="A71">
        <v>16</v>
      </c>
      <c r="B71" s="102">
        <v>2.9980000000000002</v>
      </c>
      <c r="C71" s="102">
        <v>3.649</v>
      </c>
      <c r="D71" s="102">
        <v>4.0460000000000003</v>
      </c>
      <c r="E71" s="102">
        <v>4.3330000000000002</v>
      </c>
      <c r="F71" s="102">
        <v>4.5570000000000004</v>
      </c>
      <c r="G71" s="102">
        <v>4.7409999999999997</v>
      </c>
      <c r="H71" s="102">
        <v>4.8959999999999999</v>
      </c>
      <c r="I71" s="102">
        <v>5.0309999999999997</v>
      </c>
      <c r="J71" s="102">
        <v>5.15</v>
      </c>
      <c r="K71" s="102">
        <v>5.2560000000000002</v>
      </c>
      <c r="L71" s="102">
        <v>5.3520000000000003</v>
      </c>
      <c r="M71" s="102">
        <v>5.4390000000000001</v>
      </c>
      <c r="N71" s="102">
        <v>5.5190000000000001</v>
      </c>
      <c r="O71" s="102">
        <v>5.593</v>
      </c>
      <c r="P71" s="102">
        <v>5.6619999999999999</v>
      </c>
      <c r="Q71" s="102">
        <v>5.726</v>
      </c>
      <c r="R71" s="102">
        <v>5.7859999999999996</v>
      </c>
      <c r="S71" s="102">
        <v>5.843</v>
      </c>
      <c r="T71" s="102">
        <v>5.8959999999999999</v>
      </c>
    </row>
    <row r="72" spans="1:20">
      <c r="A72">
        <v>17</v>
      </c>
      <c r="B72" s="102">
        <v>2.984</v>
      </c>
      <c r="C72" s="102">
        <v>3.6280000000000001</v>
      </c>
      <c r="D72" s="102">
        <v>4.0199999999999996</v>
      </c>
      <c r="E72" s="102">
        <v>4.3029999999999999</v>
      </c>
      <c r="F72" s="102">
        <v>4.524</v>
      </c>
      <c r="G72" s="102">
        <v>4.7050000000000001</v>
      </c>
      <c r="H72" s="102">
        <v>4.8579999999999997</v>
      </c>
      <c r="I72" s="102">
        <v>4.9909999999999997</v>
      </c>
      <c r="J72" s="102">
        <v>5.1079999999999997</v>
      </c>
      <c r="K72" s="102">
        <v>5.2119999999999997</v>
      </c>
      <c r="L72" s="102">
        <v>5.306</v>
      </c>
      <c r="M72" s="102">
        <v>5.3920000000000003</v>
      </c>
      <c r="N72" s="102">
        <v>5.4710000000000001</v>
      </c>
      <c r="O72" s="102">
        <v>5.5439999999999996</v>
      </c>
      <c r="P72" s="102">
        <v>5.6120000000000001</v>
      </c>
      <c r="Q72" s="102">
        <v>5.6749999999999998</v>
      </c>
      <c r="R72" s="102">
        <v>5.734</v>
      </c>
      <c r="S72" s="102">
        <v>5.79</v>
      </c>
      <c r="T72" s="102">
        <v>5.8419999999999996</v>
      </c>
    </row>
    <row r="73" spans="1:20">
      <c r="A73">
        <v>18</v>
      </c>
      <c r="B73" s="102">
        <v>2.9710000000000001</v>
      </c>
      <c r="C73" s="102">
        <v>3.609</v>
      </c>
      <c r="D73" s="102">
        <v>3.9969999999999999</v>
      </c>
      <c r="E73" s="102">
        <v>4.2759999999999998</v>
      </c>
      <c r="F73" s="102">
        <v>4.4939999999999998</v>
      </c>
      <c r="G73" s="102">
        <v>4.673</v>
      </c>
      <c r="H73" s="102">
        <v>4.8239999999999998</v>
      </c>
      <c r="I73" s="102">
        <v>4.9550000000000001</v>
      </c>
      <c r="J73" s="102">
        <v>5.0709999999999997</v>
      </c>
      <c r="K73" s="102">
        <v>5.173</v>
      </c>
      <c r="L73" s="102">
        <v>5.266</v>
      </c>
      <c r="M73" s="102">
        <v>5.351</v>
      </c>
      <c r="N73" s="102">
        <v>5.4290000000000003</v>
      </c>
      <c r="O73" s="102">
        <v>5.5010000000000003</v>
      </c>
      <c r="P73" s="102">
        <v>5.5670000000000002</v>
      </c>
      <c r="Q73" s="102">
        <v>5.6289999999999996</v>
      </c>
      <c r="R73" s="102">
        <v>5.6879999999999997</v>
      </c>
      <c r="S73" s="102">
        <v>5.7430000000000003</v>
      </c>
      <c r="T73" s="102">
        <v>5.7939999999999996</v>
      </c>
    </row>
    <row r="74" spans="1:20">
      <c r="A74">
        <v>19</v>
      </c>
      <c r="B74" s="102">
        <v>2.96</v>
      </c>
      <c r="C74" s="102">
        <v>3.593</v>
      </c>
      <c r="D74" s="102">
        <v>3.9769999999999999</v>
      </c>
      <c r="E74" s="102">
        <v>4.2530000000000001</v>
      </c>
      <c r="F74" s="102">
        <v>4.468</v>
      </c>
      <c r="G74" s="102">
        <v>4.6449999999999996</v>
      </c>
      <c r="H74" s="102">
        <v>4.7939999999999996</v>
      </c>
      <c r="I74" s="102">
        <v>4.9240000000000004</v>
      </c>
      <c r="J74" s="102">
        <v>5.0369999999999999</v>
      </c>
      <c r="K74" s="102">
        <v>5.1390000000000002</v>
      </c>
      <c r="L74" s="102">
        <v>5.2309999999999999</v>
      </c>
      <c r="M74" s="102">
        <v>5.3140000000000001</v>
      </c>
      <c r="N74" s="102">
        <v>5.391</v>
      </c>
      <c r="O74" s="102">
        <v>5.4619999999999997</v>
      </c>
      <c r="P74" s="102">
        <v>5.5279999999999996</v>
      </c>
      <c r="Q74" s="102">
        <v>5.5890000000000004</v>
      </c>
      <c r="R74" s="102">
        <v>5.6470000000000002</v>
      </c>
      <c r="S74" s="102">
        <v>5.7009999999999996</v>
      </c>
      <c r="T74" s="102">
        <v>5.7519999999999998</v>
      </c>
    </row>
    <row r="75" spans="1:20">
      <c r="A75">
        <v>20</v>
      </c>
      <c r="B75" s="102">
        <v>2.95</v>
      </c>
      <c r="C75" s="102">
        <v>3.5779999999999998</v>
      </c>
      <c r="D75" s="102">
        <v>3.9580000000000002</v>
      </c>
      <c r="E75" s="102">
        <v>4.2320000000000002</v>
      </c>
      <c r="F75" s="102">
        <v>4.4450000000000003</v>
      </c>
      <c r="G75" s="102">
        <v>4.62</v>
      </c>
      <c r="H75" s="102">
        <v>4.7679999999999998</v>
      </c>
      <c r="I75" s="102">
        <v>4.8949999999999996</v>
      </c>
      <c r="J75" s="102">
        <v>5.008</v>
      </c>
      <c r="K75" s="102">
        <v>5.1079999999999997</v>
      </c>
      <c r="L75" s="102">
        <v>5.1989999999999998</v>
      </c>
      <c r="M75" s="102">
        <v>5.282</v>
      </c>
      <c r="N75" s="102">
        <v>5.3570000000000002</v>
      </c>
      <c r="O75" s="102">
        <v>5.4269999999999996</v>
      </c>
      <c r="P75" s="102">
        <v>5.492</v>
      </c>
      <c r="Q75" s="102">
        <v>5.5529999999999999</v>
      </c>
      <c r="R75" s="102">
        <v>5.61</v>
      </c>
      <c r="S75" s="102">
        <v>5.6630000000000003</v>
      </c>
      <c r="T75" s="102">
        <v>5.7140000000000004</v>
      </c>
    </row>
    <row r="76" spans="1:20">
      <c r="A76">
        <v>21</v>
      </c>
      <c r="B76" s="102">
        <v>2.9409999999999998</v>
      </c>
      <c r="C76" s="102">
        <v>3.5649999999999999</v>
      </c>
      <c r="D76" s="102">
        <v>3.9420000000000002</v>
      </c>
      <c r="E76" s="102">
        <v>4.2130000000000001</v>
      </c>
      <c r="F76" s="102">
        <v>4.4240000000000004</v>
      </c>
      <c r="G76" s="102">
        <v>4.5970000000000004</v>
      </c>
      <c r="H76" s="102">
        <v>4.7430000000000003</v>
      </c>
      <c r="I76" s="102">
        <v>4.87</v>
      </c>
      <c r="J76" s="102">
        <v>4.9809999999999999</v>
      </c>
      <c r="K76" s="102">
        <v>5.0810000000000004</v>
      </c>
      <c r="L76" s="102">
        <v>5.17</v>
      </c>
      <c r="M76" s="102">
        <v>5.2519999999999998</v>
      </c>
      <c r="N76" s="102">
        <v>5.327</v>
      </c>
      <c r="O76" s="102">
        <v>5.3959999999999999</v>
      </c>
      <c r="P76" s="102">
        <v>5.46</v>
      </c>
      <c r="Q76" s="102">
        <v>5.52</v>
      </c>
      <c r="R76" s="102">
        <v>5.5759999999999996</v>
      </c>
      <c r="S76" s="102">
        <v>5.6289999999999996</v>
      </c>
      <c r="T76" s="102">
        <v>5.6790000000000003</v>
      </c>
    </row>
    <row r="77" spans="1:20">
      <c r="A77">
        <v>22</v>
      </c>
      <c r="B77" s="102">
        <v>2.9329999999999998</v>
      </c>
      <c r="C77" s="102">
        <v>3.5529999999999999</v>
      </c>
      <c r="D77" s="102">
        <v>3.927</v>
      </c>
      <c r="E77" s="102">
        <v>4.1959999999999997</v>
      </c>
      <c r="F77" s="102">
        <v>4.4050000000000002</v>
      </c>
      <c r="G77" s="102">
        <v>4.577</v>
      </c>
      <c r="H77" s="102">
        <v>4.7220000000000004</v>
      </c>
      <c r="I77" s="102">
        <v>4.8470000000000004</v>
      </c>
      <c r="J77" s="102">
        <v>4.9569999999999999</v>
      </c>
      <c r="K77" s="102">
        <v>5.056</v>
      </c>
      <c r="L77" s="102">
        <v>5.1440000000000001</v>
      </c>
      <c r="M77" s="102">
        <v>5.2249999999999996</v>
      </c>
      <c r="N77" s="102">
        <v>5.2990000000000004</v>
      </c>
      <c r="O77" s="102">
        <v>5.3680000000000003</v>
      </c>
      <c r="P77" s="102">
        <v>5.431</v>
      </c>
      <c r="Q77" s="102">
        <v>5.4909999999999997</v>
      </c>
      <c r="R77" s="102">
        <v>5.5460000000000003</v>
      </c>
      <c r="S77" s="102">
        <v>5.5990000000000002</v>
      </c>
      <c r="T77" s="102">
        <v>5.6479999999999997</v>
      </c>
    </row>
    <row r="78" spans="1:20">
      <c r="A78">
        <v>23</v>
      </c>
      <c r="B78" s="102">
        <v>2.9260000000000002</v>
      </c>
      <c r="C78" s="102">
        <v>3.5419999999999998</v>
      </c>
      <c r="D78" s="102">
        <v>3.9140000000000001</v>
      </c>
      <c r="E78" s="102">
        <v>4.18</v>
      </c>
      <c r="F78" s="102">
        <v>4.3879999999999999</v>
      </c>
      <c r="G78" s="102">
        <v>4.5579999999999998</v>
      </c>
      <c r="H78" s="102">
        <v>4.702</v>
      </c>
      <c r="I78" s="102">
        <v>4.8259999999999996</v>
      </c>
      <c r="J78" s="102">
        <v>4.9349999999999996</v>
      </c>
      <c r="K78" s="102">
        <v>5.0330000000000004</v>
      </c>
      <c r="L78" s="102">
        <v>5.1210000000000004</v>
      </c>
      <c r="M78" s="102">
        <v>5.2009999999999996</v>
      </c>
      <c r="N78" s="102">
        <v>5.274</v>
      </c>
      <c r="O78" s="102">
        <v>5.3419999999999996</v>
      </c>
      <c r="P78" s="102">
        <v>5.4050000000000002</v>
      </c>
      <c r="Q78" s="102">
        <v>5.4640000000000004</v>
      </c>
      <c r="R78" s="102">
        <v>5.5190000000000001</v>
      </c>
      <c r="S78" s="102">
        <v>5.5709999999999997</v>
      </c>
      <c r="T78" s="102">
        <v>5.62</v>
      </c>
    </row>
    <row r="79" spans="1:20">
      <c r="A79">
        <v>24</v>
      </c>
      <c r="B79" s="102">
        <v>2.919</v>
      </c>
      <c r="C79" s="102">
        <v>3.532</v>
      </c>
      <c r="D79" s="102">
        <v>3.9009999999999998</v>
      </c>
      <c r="E79" s="102">
        <v>4.1660000000000004</v>
      </c>
      <c r="F79" s="102">
        <v>4.3730000000000002</v>
      </c>
      <c r="G79" s="102">
        <v>4.5410000000000004</v>
      </c>
      <c r="H79" s="102">
        <v>4.6840000000000002</v>
      </c>
      <c r="I79" s="102">
        <v>4.8070000000000004</v>
      </c>
      <c r="J79" s="102">
        <v>4.915</v>
      </c>
      <c r="K79" s="102">
        <v>5.0119999999999996</v>
      </c>
      <c r="L79" s="102">
        <v>5.0990000000000002</v>
      </c>
      <c r="M79" s="102">
        <v>5.1790000000000003</v>
      </c>
      <c r="N79" s="102">
        <v>5.2510000000000003</v>
      </c>
      <c r="O79" s="102">
        <v>5.319</v>
      </c>
      <c r="P79" s="102">
        <v>5.3810000000000002</v>
      </c>
      <c r="Q79" s="102">
        <v>5.4390000000000001</v>
      </c>
      <c r="R79" s="102">
        <v>5.4939999999999998</v>
      </c>
      <c r="S79" s="102">
        <v>5.5449999999999999</v>
      </c>
      <c r="T79" s="102">
        <v>5.5940000000000003</v>
      </c>
    </row>
    <row r="80" spans="1:20">
      <c r="A80">
        <v>25</v>
      </c>
      <c r="B80" s="102">
        <v>2.9129999999999998</v>
      </c>
      <c r="C80" s="102">
        <v>3.5230000000000001</v>
      </c>
      <c r="D80" s="102">
        <v>3.89</v>
      </c>
      <c r="E80" s="102">
        <v>4.1529999999999996</v>
      </c>
      <c r="F80" s="102">
        <v>4.3579999999999997</v>
      </c>
      <c r="G80" s="102">
        <v>4.5259999999999998</v>
      </c>
      <c r="H80" s="102">
        <v>4.6669999999999998</v>
      </c>
      <c r="I80" s="102">
        <v>4.7889999999999997</v>
      </c>
      <c r="J80" s="102">
        <v>4.8970000000000002</v>
      </c>
      <c r="K80" s="102">
        <v>4.9930000000000003</v>
      </c>
      <c r="L80" s="102">
        <v>5.0789999999999997</v>
      </c>
      <c r="M80" s="102">
        <v>5.1580000000000004</v>
      </c>
      <c r="N80" s="102">
        <v>5.23</v>
      </c>
      <c r="O80" s="102">
        <v>5.2969999999999997</v>
      </c>
      <c r="P80" s="102">
        <v>5.359</v>
      </c>
      <c r="Q80" s="102">
        <v>5.4169999999999998</v>
      </c>
      <c r="R80" s="102">
        <v>5.4710000000000001</v>
      </c>
      <c r="S80" s="102">
        <v>5.5220000000000002</v>
      </c>
      <c r="T80" s="102">
        <v>5.57</v>
      </c>
    </row>
    <row r="81" spans="1:20">
      <c r="A81">
        <v>26</v>
      </c>
      <c r="B81" s="102">
        <v>2.907</v>
      </c>
      <c r="C81" s="102">
        <v>3.5139999999999998</v>
      </c>
      <c r="D81" s="102">
        <v>3.88</v>
      </c>
      <c r="E81" s="102">
        <v>4.141</v>
      </c>
      <c r="F81" s="102">
        <v>4.3449999999999998</v>
      </c>
      <c r="G81" s="102">
        <v>4.5110000000000001</v>
      </c>
      <c r="H81" s="102">
        <v>4.6520000000000001</v>
      </c>
      <c r="I81" s="102">
        <v>4.7729999999999997</v>
      </c>
      <c r="J81" s="102">
        <v>4.88</v>
      </c>
      <c r="K81" s="102">
        <v>4.9749999999999996</v>
      </c>
      <c r="L81" s="102">
        <v>5.0609999999999999</v>
      </c>
      <c r="M81" s="102">
        <v>5.1390000000000002</v>
      </c>
      <c r="N81" s="102">
        <v>5.2110000000000003</v>
      </c>
      <c r="O81" s="102">
        <v>5.2770000000000001</v>
      </c>
      <c r="P81" s="102">
        <v>5.3390000000000004</v>
      </c>
      <c r="Q81" s="102">
        <v>5.3959999999999999</v>
      </c>
      <c r="R81" s="102">
        <v>5.45</v>
      </c>
      <c r="S81" s="102">
        <v>5.5</v>
      </c>
      <c r="T81" s="102">
        <v>5.548</v>
      </c>
    </row>
    <row r="82" spans="1:20">
      <c r="A82">
        <v>27</v>
      </c>
      <c r="B82" s="102">
        <v>2.9020000000000001</v>
      </c>
      <c r="C82" s="102">
        <v>3.5059999999999998</v>
      </c>
      <c r="D82" s="102">
        <v>3.87</v>
      </c>
      <c r="E82" s="102">
        <v>4.13</v>
      </c>
      <c r="F82" s="102">
        <v>4.3330000000000002</v>
      </c>
      <c r="G82" s="102">
        <v>4.4980000000000002</v>
      </c>
      <c r="H82" s="102">
        <v>4.6379999999999999</v>
      </c>
      <c r="I82" s="102">
        <v>4.758</v>
      </c>
      <c r="J82" s="102">
        <v>4.8639999999999999</v>
      </c>
      <c r="K82" s="102">
        <v>4.9589999999999996</v>
      </c>
      <c r="L82" s="102">
        <v>5.0439999999999996</v>
      </c>
      <c r="M82" s="102">
        <v>5.1219999999999999</v>
      </c>
      <c r="N82" s="102">
        <v>5.1929999999999996</v>
      </c>
      <c r="O82" s="102">
        <v>5.2590000000000003</v>
      </c>
      <c r="P82" s="102">
        <v>5.32</v>
      </c>
      <c r="Q82" s="102">
        <v>5.3769999999999998</v>
      </c>
      <c r="R82" s="102">
        <v>5.43</v>
      </c>
      <c r="S82" s="102">
        <v>5.48</v>
      </c>
      <c r="T82" s="102">
        <v>5.5279999999999996</v>
      </c>
    </row>
    <row r="83" spans="1:20">
      <c r="A83">
        <v>28</v>
      </c>
      <c r="B83" s="102">
        <v>2.8969999999999998</v>
      </c>
      <c r="C83" s="102">
        <v>3.4990000000000001</v>
      </c>
      <c r="D83" s="102">
        <v>3.8610000000000002</v>
      </c>
      <c r="E83" s="102">
        <v>4.12</v>
      </c>
      <c r="F83" s="102">
        <v>4.3220000000000001</v>
      </c>
      <c r="G83" s="102">
        <v>4.4859999999999998</v>
      </c>
      <c r="H83" s="102">
        <v>4.625</v>
      </c>
      <c r="I83" s="102">
        <v>4.7450000000000001</v>
      </c>
      <c r="J83" s="102">
        <v>4.8499999999999996</v>
      </c>
      <c r="K83" s="102">
        <v>4.944</v>
      </c>
      <c r="L83" s="102">
        <v>5.0289999999999999</v>
      </c>
      <c r="M83" s="102">
        <v>5.1059999999999999</v>
      </c>
      <c r="N83" s="102">
        <v>5.1769999999999996</v>
      </c>
      <c r="O83" s="102">
        <v>5.242</v>
      </c>
      <c r="P83" s="102">
        <v>5.3019999999999996</v>
      </c>
      <c r="Q83" s="102">
        <v>5.359</v>
      </c>
      <c r="R83" s="102">
        <v>5.4119999999999999</v>
      </c>
      <c r="S83" s="102">
        <v>5.4619999999999997</v>
      </c>
      <c r="T83" s="102">
        <v>5.5090000000000003</v>
      </c>
    </row>
    <row r="84" spans="1:20">
      <c r="A84">
        <v>29</v>
      </c>
      <c r="B84" s="102">
        <v>2.8919999999999999</v>
      </c>
      <c r="C84" s="102">
        <v>3.4929999999999999</v>
      </c>
      <c r="D84" s="102">
        <v>3.8530000000000002</v>
      </c>
      <c r="E84" s="102">
        <v>4.1109999999999998</v>
      </c>
      <c r="F84" s="102">
        <v>4.3109999999999999</v>
      </c>
      <c r="G84" s="102">
        <v>4.4749999999999996</v>
      </c>
      <c r="H84" s="102">
        <v>4.6130000000000004</v>
      </c>
      <c r="I84" s="102">
        <v>4.7320000000000002</v>
      </c>
      <c r="J84" s="102">
        <v>4.8369999999999997</v>
      </c>
      <c r="K84" s="102">
        <v>4.93</v>
      </c>
      <c r="L84" s="102">
        <v>5.0140000000000002</v>
      </c>
      <c r="M84" s="102">
        <v>5.0910000000000002</v>
      </c>
      <c r="N84" s="102">
        <v>5.1609999999999996</v>
      </c>
      <c r="O84" s="102">
        <v>5.226</v>
      </c>
      <c r="P84" s="102">
        <v>5.2859999999999996</v>
      </c>
      <c r="Q84" s="102">
        <v>5.3419999999999996</v>
      </c>
      <c r="R84" s="102">
        <v>5.3949999999999996</v>
      </c>
      <c r="S84" s="102">
        <v>5.4450000000000003</v>
      </c>
      <c r="T84" s="102">
        <v>5.4909999999999997</v>
      </c>
    </row>
    <row r="85" spans="1:20">
      <c r="A85">
        <v>30</v>
      </c>
      <c r="B85" s="102">
        <v>2.8879999999999999</v>
      </c>
      <c r="C85" s="102">
        <v>3.4860000000000002</v>
      </c>
      <c r="D85" s="102">
        <v>3.8450000000000002</v>
      </c>
      <c r="E85" s="102">
        <v>4.1020000000000003</v>
      </c>
      <c r="F85" s="102">
        <v>4.3010000000000002</v>
      </c>
      <c r="G85" s="102">
        <v>4.4640000000000004</v>
      </c>
      <c r="H85" s="102">
        <v>4.601</v>
      </c>
      <c r="I85" s="102">
        <v>4.72</v>
      </c>
      <c r="J85" s="102">
        <v>4.8239999999999998</v>
      </c>
      <c r="K85" s="102">
        <v>4.9169999999999998</v>
      </c>
      <c r="L85" s="102">
        <v>5.0010000000000003</v>
      </c>
      <c r="M85" s="102">
        <v>5.077</v>
      </c>
      <c r="N85" s="102">
        <v>5.1470000000000002</v>
      </c>
      <c r="O85" s="102">
        <v>5.2110000000000003</v>
      </c>
      <c r="P85" s="102">
        <v>5.2709999999999999</v>
      </c>
      <c r="Q85" s="102">
        <v>5.327</v>
      </c>
      <c r="R85" s="102">
        <v>5.3789999999999996</v>
      </c>
      <c r="S85" s="102">
        <v>5.4290000000000003</v>
      </c>
      <c r="T85" s="102">
        <v>5.4749999999999996</v>
      </c>
    </row>
    <row r="86" spans="1:20">
      <c r="A86">
        <v>31</v>
      </c>
      <c r="B86" s="102">
        <v>2.8839999999999999</v>
      </c>
      <c r="C86" s="102">
        <v>3.4809999999999999</v>
      </c>
      <c r="D86" s="102">
        <v>3.8380000000000001</v>
      </c>
      <c r="E86" s="102">
        <v>4.0940000000000003</v>
      </c>
      <c r="F86" s="102">
        <v>4.2919999999999998</v>
      </c>
      <c r="G86" s="102">
        <v>4.4539999999999997</v>
      </c>
      <c r="H86" s="102">
        <v>4.5910000000000002</v>
      </c>
      <c r="I86" s="102">
        <v>4.7089999999999996</v>
      </c>
      <c r="J86" s="102">
        <v>4.8120000000000003</v>
      </c>
      <c r="K86" s="102">
        <v>4.9050000000000002</v>
      </c>
      <c r="L86" s="102">
        <v>4.9880000000000004</v>
      </c>
      <c r="M86" s="102">
        <v>5.0640000000000001</v>
      </c>
      <c r="N86" s="102">
        <v>5.1340000000000003</v>
      </c>
      <c r="O86" s="102">
        <v>5.1980000000000004</v>
      </c>
      <c r="P86" s="102">
        <v>5.2569999999999997</v>
      </c>
      <c r="Q86" s="102">
        <v>5.3129999999999997</v>
      </c>
      <c r="R86" s="102">
        <v>5.3650000000000002</v>
      </c>
      <c r="S86" s="102">
        <v>5.4139999999999997</v>
      </c>
      <c r="T86" s="102">
        <v>5.46</v>
      </c>
    </row>
    <row r="87" spans="1:20">
      <c r="A87">
        <v>32</v>
      </c>
      <c r="B87" s="102">
        <v>2.8809999999999998</v>
      </c>
      <c r="C87" s="102">
        <v>3.4750000000000001</v>
      </c>
      <c r="D87" s="102">
        <v>3.8319999999999999</v>
      </c>
      <c r="E87" s="102">
        <v>4.0860000000000003</v>
      </c>
      <c r="F87" s="102">
        <v>4.2839999999999998</v>
      </c>
      <c r="G87" s="102">
        <v>4.4450000000000003</v>
      </c>
      <c r="H87" s="102">
        <v>4.5810000000000004</v>
      </c>
      <c r="I87" s="102">
        <v>4.6980000000000004</v>
      </c>
      <c r="J87" s="102">
        <v>4.8019999999999996</v>
      </c>
      <c r="K87" s="102">
        <v>4.8940000000000001</v>
      </c>
      <c r="L87" s="102">
        <v>4.976</v>
      </c>
      <c r="M87" s="102">
        <v>5.0519999999999996</v>
      </c>
      <c r="N87" s="102">
        <v>5.1210000000000004</v>
      </c>
      <c r="O87" s="102">
        <v>5.1849999999999996</v>
      </c>
      <c r="P87" s="102">
        <v>5.2439999999999998</v>
      </c>
      <c r="Q87" s="102">
        <v>5.2990000000000004</v>
      </c>
      <c r="R87" s="102">
        <v>5.351</v>
      </c>
      <c r="S87" s="102">
        <v>5.4</v>
      </c>
      <c r="T87" s="102">
        <v>5.4450000000000003</v>
      </c>
    </row>
    <row r="88" spans="1:20">
      <c r="A88">
        <v>33</v>
      </c>
      <c r="B88" s="102">
        <v>2.8769999999999998</v>
      </c>
      <c r="C88" s="102">
        <v>3.47</v>
      </c>
      <c r="D88" s="102">
        <v>3.8250000000000002</v>
      </c>
      <c r="E88" s="102">
        <v>4.0789999999999997</v>
      </c>
      <c r="F88" s="102">
        <v>4.2759999999999998</v>
      </c>
      <c r="G88" s="102">
        <v>4.4359999999999999</v>
      </c>
      <c r="H88" s="102">
        <v>4.5720000000000001</v>
      </c>
      <c r="I88" s="102">
        <v>4.6890000000000001</v>
      </c>
      <c r="J88" s="102">
        <v>4.7910000000000004</v>
      </c>
      <c r="K88" s="102">
        <v>4.883</v>
      </c>
      <c r="L88" s="102">
        <v>4.9649999999999999</v>
      </c>
      <c r="M88" s="102">
        <v>5.04</v>
      </c>
      <c r="N88" s="102">
        <v>5.109</v>
      </c>
      <c r="O88" s="102">
        <v>5.173</v>
      </c>
      <c r="P88" s="102">
        <v>5.2320000000000002</v>
      </c>
      <c r="Q88" s="102">
        <v>5.2869999999999999</v>
      </c>
      <c r="R88" s="102">
        <v>5.3380000000000001</v>
      </c>
      <c r="S88" s="102">
        <v>5.3860000000000001</v>
      </c>
      <c r="T88" s="102">
        <v>5.4320000000000004</v>
      </c>
    </row>
    <row r="89" spans="1:20">
      <c r="A89">
        <v>34</v>
      </c>
      <c r="B89" s="102">
        <v>2.8740000000000001</v>
      </c>
      <c r="C89" s="102">
        <v>3.4649999999999999</v>
      </c>
      <c r="D89" s="102">
        <v>3.82</v>
      </c>
      <c r="E89" s="102">
        <v>4.0720000000000001</v>
      </c>
      <c r="F89" s="102">
        <v>4.2679999999999998</v>
      </c>
      <c r="G89" s="102">
        <v>4.4279999999999999</v>
      </c>
      <c r="H89" s="102">
        <v>4.5629999999999997</v>
      </c>
      <c r="I89" s="102">
        <v>4.68</v>
      </c>
      <c r="J89" s="102">
        <v>4.782</v>
      </c>
      <c r="K89" s="102">
        <v>4.8730000000000002</v>
      </c>
      <c r="L89" s="102">
        <v>4.9550000000000001</v>
      </c>
      <c r="M89" s="102">
        <v>5.03</v>
      </c>
      <c r="N89" s="102">
        <v>5.0979999999999999</v>
      </c>
      <c r="O89" s="102">
        <v>5.1609999999999996</v>
      </c>
      <c r="P89" s="102">
        <v>5.22</v>
      </c>
      <c r="Q89" s="102">
        <v>5.2750000000000004</v>
      </c>
      <c r="R89" s="102">
        <v>5.3259999999999996</v>
      </c>
      <c r="S89" s="102">
        <v>5.3739999999999997</v>
      </c>
      <c r="T89" s="102">
        <v>5.42</v>
      </c>
    </row>
    <row r="90" spans="1:20">
      <c r="A90">
        <v>35</v>
      </c>
      <c r="B90" s="102">
        <v>2.871</v>
      </c>
      <c r="C90" s="102">
        <v>3.4609999999999999</v>
      </c>
      <c r="D90" s="102">
        <v>3.8140000000000001</v>
      </c>
      <c r="E90" s="102">
        <v>4.0659999999999998</v>
      </c>
      <c r="F90" s="102">
        <v>4.2610000000000001</v>
      </c>
      <c r="G90" s="102">
        <v>4.4210000000000003</v>
      </c>
      <c r="H90" s="102">
        <v>4.5549999999999997</v>
      </c>
      <c r="I90" s="102">
        <v>4.6710000000000003</v>
      </c>
      <c r="J90" s="102">
        <v>4.7729999999999997</v>
      </c>
      <c r="K90" s="102">
        <v>4.8630000000000004</v>
      </c>
      <c r="L90" s="102">
        <v>4.9450000000000003</v>
      </c>
      <c r="M90" s="102">
        <v>5.0199999999999996</v>
      </c>
      <c r="N90" s="102">
        <v>5.0880000000000001</v>
      </c>
      <c r="O90" s="102">
        <v>5.1509999999999998</v>
      </c>
      <c r="P90" s="102">
        <v>5.2089999999999996</v>
      </c>
      <c r="Q90" s="102">
        <v>5.2640000000000002</v>
      </c>
      <c r="R90" s="102">
        <v>5.3150000000000004</v>
      </c>
      <c r="S90" s="102">
        <v>5.3620000000000001</v>
      </c>
      <c r="T90" s="102">
        <v>5.4080000000000004</v>
      </c>
    </row>
    <row r="91" spans="1:20">
      <c r="A91">
        <v>36</v>
      </c>
      <c r="B91" s="102">
        <v>2.8679999999999999</v>
      </c>
      <c r="C91" s="102">
        <v>3.4569999999999999</v>
      </c>
      <c r="D91" s="102">
        <v>3.8090000000000002</v>
      </c>
      <c r="E91" s="102">
        <v>4.0599999999999996</v>
      </c>
      <c r="F91" s="102">
        <v>4.2549999999999999</v>
      </c>
      <c r="G91" s="102">
        <v>4.4139999999999997</v>
      </c>
      <c r="H91" s="102">
        <v>4.5469999999999997</v>
      </c>
      <c r="I91" s="102">
        <v>4.6630000000000003</v>
      </c>
      <c r="J91" s="102">
        <v>4.7640000000000002</v>
      </c>
      <c r="K91" s="102">
        <v>4.8550000000000004</v>
      </c>
      <c r="L91" s="102">
        <v>4.9359999999999999</v>
      </c>
      <c r="M91" s="102">
        <v>5.01</v>
      </c>
      <c r="N91" s="102">
        <v>5.0780000000000003</v>
      </c>
      <c r="O91" s="102">
        <v>5.141</v>
      </c>
      <c r="P91" s="102">
        <v>5.1989999999999998</v>
      </c>
      <c r="Q91" s="102">
        <v>5.2530000000000001</v>
      </c>
      <c r="R91" s="102">
        <v>5.3040000000000003</v>
      </c>
      <c r="S91" s="102">
        <v>5.3520000000000003</v>
      </c>
      <c r="T91" s="102">
        <v>5.3970000000000002</v>
      </c>
    </row>
    <row r="92" spans="1:20">
      <c r="A92">
        <v>37</v>
      </c>
      <c r="B92" s="102">
        <v>2.8650000000000002</v>
      </c>
      <c r="C92" s="102">
        <v>3.4529999999999998</v>
      </c>
      <c r="D92" s="102">
        <v>3.8039999999999998</v>
      </c>
      <c r="E92" s="102">
        <v>4.0540000000000003</v>
      </c>
      <c r="F92" s="102">
        <v>4.2489999999999997</v>
      </c>
      <c r="G92" s="102">
        <v>4.407</v>
      </c>
      <c r="H92" s="102">
        <v>4.54</v>
      </c>
      <c r="I92" s="102">
        <v>4.6550000000000002</v>
      </c>
      <c r="J92" s="102">
        <v>4.7560000000000002</v>
      </c>
      <c r="K92" s="102">
        <v>4.8460000000000001</v>
      </c>
      <c r="L92" s="102">
        <v>4.9269999999999996</v>
      </c>
      <c r="M92" s="102">
        <v>5.0010000000000003</v>
      </c>
      <c r="N92" s="102">
        <v>5.069</v>
      </c>
      <c r="O92" s="102">
        <v>5.1310000000000002</v>
      </c>
      <c r="P92" s="102">
        <v>5.1890000000000001</v>
      </c>
      <c r="Q92" s="102">
        <v>5.2430000000000003</v>
      </c>
      <c r="R92" s="102">
        <v>5.2939999999999996</v>
      </c>
      <c r="S92" s="102">
        <v>5.3410000000000002</v>
      </c>
      <c r="T92" s="102">
        <v>5.3860000000000001</v>
      </c>
    </row>
    <row r="93" spans="1:20">
      <c r="A93">
        <v>38</v>
      </c>
      <c r="B93" s="102">
        <v>2.863</v>
      </c>
      <c r="C93" s="102">
        <v>3.4489999999999998</v>
      </c>
      <c r="D93" s="102">
        <v>3.7989999999999999</v>
      </c>
      <c r="E93" s="102">
        <v>4.0490000000000004</v>
      </c>
      <c r="F93" s="102">
        <v>4.2430000000000003</v>
      </c>
      <c r="G93" s="102">
        <v>4.4000000000000004</v>
      </c>
      <c r="H93" s="102">
        <v>4.5330000000000004</v>
      </c>
      <c r="I93" s="102">
        <v>4.6479999999999997</v>
      </c>
      <c r="J93" s="102">
        <v>4.7489999999999997</v>
      </c>
      <c r="K93" s="102">
        <v>4.8380000000000001</v>
      </c>
      <c r="L93" s="102">
        <v>4.9189999999999996</v>
      </c>
      <c r="M93" s="102">
        <v>4.9930000000000003</v>
      </c>
      <c r="N93" s="102">
        <v>5.0599999999999996</v>
      </c>
      <c r="O93" s="102">
        <v>5.1219999999999999</v>
      </c>
      <c r="P93" s="102">
        <v>5.18</v>
      </c>
      <c r="Q93" s="102">
        <v>5.234</v>
      </c>
      <c r="R93" s="102">
        <v>5.2839999999999998</v>
      </c>
      <c r="S93" s="102">
        <v>5.3310000000000004</v>
      </c>
      <c r="T93" s="102">
        <v>5.3760000000000003</v>
      </c>
    </row>
    <row r="94" spans="1:20">
      <c r="A94">
        <v>39</v>
      </c>
      <c r="B94" s="102">
        <v>2.8610000000000002</v>
      </c>
      <c r="C94" s="102">
        <v>3.4449999999999998</v>
      </c>
      <c r="D94" s="102">
        <v>3.7949999999999999</v>
      </c>
      <c r="E94" s="102">
        <v>4.0439999999999996</v>
      </c>
      <c r="F94" s="102">
        <v>4.2370000000000001</v>
      </c>
      <c r="G94" s="102">
        <v>4.3940000000000001</v>
      </c>
      <c r="H94" s="102">
        <v>4.5270000000000001</v>
      </c>
      <c r="I94" s="102">
        <v>4.641</v>
      </c>
      <c r="J94" s="102">
        <v>4.7409999999999997</v>
      </c>
      <c r="K94" s="102">
        <v>4.8310000000000004</v>
      </c>
      <c r="L94" s="102">
        <v>4.9109999999999996</v>
      </c>
      <c r="M94" s="102">
        <v>4.9850000000000003</v>
      </c>
      <c r="N94" s="102">
        <v>5.0519999999999996</v>
      </c>
      <c r="O94" s="102">
        <v>5.1139999999999999</v>
      </c>
      <c r="P94" s="102">
        <v>5.1710000000000003</v>
      </c>
      <c r="Q94" s="102">
        <v>5.2249999999999996</v>
      </c>
      <c r="R94" s="102">
        <v>5.2750000000000004</v>
      </c>
      <c r="S94" s="102">
        <v>5.3220000000000001</v>
      </c>
      <c r="T94" s="102">
        <v>5.367</v>
      </c>
    </row>
    <row r="95" spans="1:20">
      <c r="A95">
        <v>40</v>
      </c>
      <c r="B95" s="102">
        <v>2.8580000000000001</v>
      </c>
      <c r="C95" s="102">
        <v>3.4420000000000002</v>
      </c>
      <c r="D95" s="102">
        <v>3.7909999999999999</v>
      </c>
      <c r="E95" s="102">
        <v>4.0389999999999997</v>
      </c>
      <c r="F95" s="102">
        <v>4.2320000000000002</v>
      </c>
      <c r="G95" s="102">
        <v>4.3879999999999999</v>
      </c>
      <c r="H95" s="102">
        <v>4.5209999999999999</v>
      </c>
      <c r="I95" s="102">
        <v>4.6340000000000003</v>
      </c>
      <c r="J95" s="102">
        <v>4.7350000000000003</v>
      </c>
      <c r="K95" s="102">
        <v>4.8239999999999998</v>
      </c>
      <c r="L95" s="102">
        <v>4.9039999999999999</v>
      </c>
      <c r="M95" s="102">
        <v>4.9770000000000003</v>
      </c>
      <c r="N95" s="102">
        <v>5.0439999999999996</v>
      </c>
      <c r="O95" s="102">
        <v>5.1059999999999999</v>
      </c>
      <c r="P95" s="102">
        <v>5.1630000000000003</v>
      </c>
      <c r="Q95" s="102">
        <v>5.2160000000000002</v>
      </c>
      <c r="R95" s="102">
        <v>5.266</v>
      </c>
      <c r="S95" s="102">
        <v>5.3129999999999997</v>
      </c>
      <c r="T95" s="102">
        <v>5.3579999999999997</v>
      </c>
    </row>
    <row r="96" spans="1:20">
      <c r="A96">
        <v>48</v>
      </c>
      <c r="B96" s="102">
        <v>2.843</v>
      </c>
      <c r="C96" s="102">
        <v>3.42</v>
      </c>
      <c r="D96" s="102">
        <v>3.7639999999999998</v>
      </c>
      <c r="E96" s="102">
        <v>4.008</v>
      </c>
      <c r="F96" s="102">
        <v>4.1970000000000001</v>
      </c>
      <c r="G96" s="102">
        <v>4.351</v>
      </c>
      <c r="H96" s="102">
        <v>4.4809999999999999</v>
      </c>
      <c r="I96" s="102">
        <v>4.5919999999999996</v>
      </c>
      <c r="J96" s="102">
        <v>4.6900000000000004</v>
      </c>
      <c r="K96" s="102">
        <v>4.7770000000000001</v>
      </c>
      <c r="L96" s="102">
        <v>4.8559999999999999</v>
      </c>
      <c r="M96" s="102">
        <v>4.9269999999999996</v>
      </c>
      <c r="N96" s="102">
        <v>4.9930000000000003</v>
      </c>
      <c r="O96" s="102">
        <v>5.0529999999999999</v>
      </c>
      <c r="P96" s="102">
        <v>5.109</v>
      </c>
      <c r="Q96" s="102">
        <v>5.1609999999999996</v>
      </c>
      <c r="R96" s="102">
        <v>5.21</v>
      </c>
      <c r="S96" s="102">
        <v>5.2560000000000002</v>
      </c>
      <c r="T96" s="102">
        <v>5.2990000000000004</v>
      </c>
    </row>
    <row r="97" spans="1:20">
      <c r="A97">
        <v>60</v>
      </c>
      <c r="B97" s="102">
        <v>2.8290000000000002</v>
      </c>
      <c r="C97" s="102">
        <v>3.399</v>
      </c>
      <c r="D97" s="102">
        <v>3.7370000000000001</v>
      </c>
      <c r="E97" s="102">
        <v>3.9769999999999999</v>
      </c>
      <c r="F97" s="102">
        <v>4.1630000000000003</v>
      </c>
      <c r="G97" s="102">
        <v>4.3140000000000001</v>
      </c>
      <c r="H97" s="102">
        <v>4.4409999999999998</v>
      </c>
      <c r="I97" s="102">
        <v>4.55</v>
      </c>
      <c r="J97" s="102">
        <v>4.6459999999999999</v>
      </c>
      <c r="K97" s="102">
        <v>4.7320000000000002</v>
      </c>
      <c r="L97" s="102">
        <v>4.8079999999999998</v>
      </c>
      <c r="M97" s="102">
        <v>4.8780000000000001</v>
      </c>
      <c r="N97" s="102">
        <v>4.9420000000000002</v>
      </c>
      <c r="O97" s="102">
        <v>5.0010000000000003</v>
      </c>
      <c r="P97" s="102">
        <v>5.056</v>
      </c>
      <c r="Q97" s="102">
        <v>5.1070000000000002</v>
      </c>
      <c r="R97" s="102">
        <v>5.1539999999999999</v>
      </c>
      <c r="S97" s="102">
        <v>5.1989999999999998</v>
      </c>
      <c r="T97" s="102">
        <v>5.2409999999999997</v>
      </c>
    </row>
    <row r="98" spans="1:20">
      <c r="A98">
        <v>80</v>
      </c>
      <c r="B98" s="102">
        <v>2.8140000000000001</v>
      </c>
      <c r="C98" s="102">
        <v>3.3769999999999998</v>
      </c>
      <c r="D98" s="102">
        <v>3.7109999999999999</v>
      </c>
      <c r="E98" s="102">
        <v>3.9470000000000001</v>
      </c>
      <c r="F98" s="102">
        <v>4.1289999999999996</v>
      </c>
      <c r="G98" s="102">
        <v>4.2770000000000001</v>
      </c>
      <c r="H98" s="102">
        <v>4.4020000000000001</v>
      </c>
      <c r="I98" s="102">
        <v>4.5090000000000003</v>
      </c>
      <c r="J98" s="102">
        <v>4.6029999999999998</v>
      </c>
      <c r="K98" s="102">
        <v>4.6859999999999999</v>
      </c>
      <c r="L98" s="102">
        <v>4.7610000000000001</v>
      </c>
      <c r="M98" s="102">
        <v>4.8289999999999997</v>
      </c>
      <c r="N98" s="102">
        <v>4.8920000000000003</v>
      </c>
      <c r="O98" s="102">
        <v>4.9489999999999998</v>
      </c>
      <c r="P98" s="102">
        <v>5.0030000000000001</v>
      </c>
      <c r="Q98" s="102">
        <v>5.0519999999999996</v>
      </c>
      <c r="R98" s="102">
        <v>5.0990000000000002</v>
      </c>
      <c r="S98" s="102">
        <v>5.1420000000000003</v>
      </c>
      <c r="T98" s="102">
        <v>5.1829999999999998</v>
      </c>
    </row>
    <row r="99" spans="1:20">
      <c r="A99">
        <v>120</v>
      </c>
      <c r="B99" s="102">
        <v>2.8</v>
      </c>
      <c r="C99" s="102">
        <v>3.3559999999999999</v>
      </c>
      <c r="D99" s="102">
        <v>3.6850000000000001</v>
      </c>
      <c r="E99" s="102">
        <v>3.9169999999999998</v>
      </c>
      <c r="F99" s="102">
        <v>4.0960000000000001</v>
      </c>
      <c r="G99" s="102">
        <v>4.2409999999999997</v>
      </c>
      <c r="H99" s="102">
        <v>4.3630000000000004</v>
      </c>
      <c r="I99" s="102">
        <v>4.468</v>
      </c>
      <c r="J99" s="102">
        <v>4.5599999999999996</v>
      </c>
      <c r="K99" s="102">
        <v>4.641</v>
      </c>
      <c r="L99" s="102">
        <v>4.7140000000000004</v>
      </c>
      <c r="M99" s="102">
        <v>4.7809999999999997</v>
      </c>
      <c r="N99" s="102">
        <v>4.8419999999999996</v>
      </c>
      <c r="O99" s="102">
        <v>4.8979999999999997</v>
      </c>
      <c r="P99" s="102">
        <v>4.95</v>
      </c>
      <c r="Q99" s="102">
        <v>4.9980000000000002</v>
      </c>
      <c r="R99" s="102">
        <v>5.0430000000000001</v>
      </c>
      <c r="S99" s="102">
        <v>5.0860000000000003</v>
      </c>
      <c r="T99" s="102">
        <v>5.1260000000000003</v>
      </c>
    </row>
    <row r="100" spans="1:20">
      <c r="A100">
        <v>240</v>
      </c>
      <c r="B100" s="102">
        <v>2.786</v>
      </c>
      <c r="C100" s="102">
        <v>3.335</v>
      </c>
      <c r="D100" s="102">
        <v>3.6589999999999998</v>
      </c>
      <c r="E100" s="102">
        <v>3.887</v>
      </c>
      <c r="F100" s="102">
        <v>4.0629999999999997</v>
      </c>
      <c r="G100" s="102">
        <v>4.2050000000000001</v>
      </c>
      <c r="H100" s="102">
        <v>4.3239999999999998</v>
      </c>
      <c r="I100" s="102">
        <v>4.4269999999999996</v>
      </c>
      <c r="J100" s="102">
        <v>4.5170000000000003</v>
      </c>
      <c r="K100" s="102">
        <v>4.5960000000000001</v>
      </c>
      <c r="L100" s="102">
        <v>4.6680000000000001</v>
      </c>
      <c r="M100" s="102">
        <v>4.7329999999999997</v>
      </c>
      <c r="N100" s="102">
        <v>4.7919999999999998</v>
      </c>
      <c r="O100" s="102">
        <v>4.8470000000000004</v>
      </c>
      <c r="P100" s="102">
        <v>4.8970000000000002</v>
      </c>
      <c r="Q100" s="102">
        <v>4.944</v>
      </c>
      <c r="R100" s="102">
        <v>4.9880000000000004</v>
      </c>
      <c r="S100" s="102">
        <v>5.03</v>
      </c>
      <c r="T100" s="102">
        <v>5.069</v>
      </c>
    </row>
    <row r="101" spans="1:20">
      <c r="A101" s="19" t="s">
        <v>318</v>
      </c>
      <c r="B101" s="102">
        <v>2.7719999999999998</v>
      </c>
      <c r="C101" s="102">
        <v>3.3140000000000001</v>
      </c>
      <c r="D101" s="102">
        <v>3.633</v>
      </c>
      <c r="E101" s="102">
        <v>3.8580000000000001</v>
      </c>
      <c r="F101" s="102">
        <v>4.03</v>
      </c>
      <c r="G101" s="102">
        <v>4.17</v>
      </c>
      <c r="H101" s="102">
        <v>4.2859999999999996</v>
      </c>
      <c r="I101" s="102">
        <v>4.3869999999999996</v>
      </c>
      <c r="J101" s="102">
        <v>4.4740000000000002</v>
      </c>
      <c r="K101" s="102">
        <v>4.5519999999999996</v>
      </c>
      <c r="L101" s="102">
        <v>4.6219999999999999</v>
      </c>
      <c r="M101" s="102">
        <v>4.6849999999999996</v>
      </c>
      <c r="N101" s="102">
        <v>4.7430000000000003</v>
      </c>
      <c r="O101" s="102">
        <v>4.7960000000000003</v>
      </c>
      <c r="P101" s="102">
        <v>4.8449999999999998</v>
      </c>
      <c r="Q101" s="102">
        <v>4.891</v>
      </c>
      <c r="R101" s="102">
        <v>4.9340000000000002</v>
      </c>
      <c r="S101" s="102">
        <v>4.9740000000000002</v>
      </c>
      <c r="T101" s="102">
        <v>5.0119999999999996</v>
      </c>
    </row>
    <row r="103" spans="1:20">
      <c r="B103" t="s">
        <v>116</v>
      </c>
      <c r="C103">
        <v>0.01</v>
      </c>
    </row>
    <row r="104" spans="1:20">
      <c r="B104" t="s">
        <v>317</v>
      </c>
    </row>
    <row r="105" spans="1:20">
      <c r="A105" s="19" t="s">
        <v>186</v>
      </c>
      <c r="B105">
        <v>2</v>
      </c>
      <c r="C105">
        <v>3</v>
      </c>
      <c r="D105">
        <v>4</v>
      </c>
      <c r="E105">
        <v>5</v>
      </c>
      <c r="F105">
        <v>6</v>
      </c>
      <c r="G105">
        <v>7</v>
      </c>
      <c r="H105">
        <v>8</v>
      </c>
      <c r="I105">
        <v>9</v>
      </c>
      <c r="J105">
        <v>10</v>
      </c>
      <c r="K105">
        <v>11</v>
      </c>
      <c r="L105">
        <v>12</v>
      </c>
      <c r="M105">
        <v>13</v>
      </c>
      <c r="N105">
        <v>14</v>
      </c>
      <c r="O105">
        <v>15</v>
      </c>
      <c r="P105">
        <v>16</v>
      </c>
      <c r="Q105">
        <v>17</v>
      </c>
      <c r="R105">
        <v>18</v>
      </c>
      <c r="S105">
        <v>19</v>
      </c>
      <c r="T105">
        <v>20</v>
      </c>
    </row>
    <row r="106" spans="1:20">
      <c r="A106">
        <v>1</v>
      </c>
      <c r="B106" s="102">
        <v>90.024000000000001</v>
      </c>
      <c r="C106" s="102">
        <v>135.041</v>
      </c>
      <c r="D106" s="102">
        <v>164.25800000000001</v>
      </c>
      <c r="E106" s="102">
        <v>185.57499999999999</v>
      </c>
      <c r="F106" s="102">
        <v>202.21</v>
      </c>
      <c r="G106" s="102">
        <v>215.76900000000001</v>
      </c>
      <c r="H106" s="102">
        <v>227.166</v>
      </c>
      <c r="I106" s="102">
        <v>236.96600000000001</v>
      </c>
      <c r="J106" s="102">
        <v>245.542</v>
      </c>
      <c r="K106" s="102">
        <v>253.15100000000001</v>
      </c>
      <c r="L106" s="102">
        <v>259.97899999999998</v>
      </c>
      <c r="M106" s="102">
        <v>266.16500000000002</v>
      </c>
      <c r="N106" s="102">
        <v>271.81200000000001</v>
      </c>
      <c r="O106" s="102">
        <v>277.00299999999999</v>
      </c>
      <c r="P106" s="102">
        <v>281.803</v>
      </c>
      <c r="Q106" s="102">
        <v>286.26299999999998</v>
      </c>
      <c r="R106" s="102">
        <v>290.42599999999999</v>
      </c>
      <c r="S106" s="102">
        <v>294.32799999999997</v>
      </c>
      <c r="T106" s="102">
        <v>297.99700000000001</v>
      </c>
    </row>
    <row r="107" spans="1:20">
      <c r="A107">
        <v>2</v>
      </c>
      <c r="B107" s="102">
        <v>14.036</v>
      </c>
      <c r="C107" s="102">
        <v>19.018999999999998</v>
      </c>
      <c r="D107" s="102">
        <v>22.294</v>
      </c>
      <c r="E107" s="102">
        <v>24.716999999999999</v>
      </c>
      <c r="F107" s="102">
        <v>26.629000000000001</v>
      </c>
      <c r="G107" s="102">
        <v>28.201000000000001</v>
      </c>
      <c r="H107" s="102">
        <v>29.53</v>
      </c>
      <c r="I107" s="102">
        <v>30.678999999999998</v>
      </c>
      <c r="J107" s="102">
        <v>31.689</v>
      </c>
      <c r="K107" s="102">
        <v>32.588999999999999</v>
      </c>
      <c r="L107" s="102">
        <v>33.398000000000003</v>
      </c>
      <c r="M107" s="102">
        <v>34.134</v>
      </c>
      <c r="N107" s="102">
        <v>34.805999999999997</v>
      </c>
      <c r="O107" s="102">
        <v>35.426000000000002</v>
      </c>
      <c r="P107" s="102">
        <v>36</v>
      </c>
      <c r="Q107" s="102">
        <v>36.533999999999999</v>
      </c>
      <c r="R107" s="102">
        <v>37.033999999999999</v>
      </c>
      <c r="S107" s="102">
        <v>37.502000000000002</v>
      </c>
      <c r="T107" s="102">
        <v>37.942999999999998</v>
      </c>
    </row>
    <row r="108" spans="1:20">
      <c r="A108">
        <v>3</v>
      </c>
      <c r="B108" s="102">
        <v>8.26</v>
      </c>
      <c r="C108" s="102">
        <v>10.619</v>
      </c>
      <c r="D108" s="102">
        <v>12.17</v>
      </c>
      <c r="E108" s="102">
        <v>13.324</v>
      </c>
      <c r="F108" s="102">
        <v>14.241</v>
      </c>
      <c r="G108" s="102">
        <v>14.997999999999999</v>
      </c>
      <c r="H108" s="102">
        <v>15.641</v>
      </c>
      <c r="I108" s="102">
        <v>16.199000000000002</v>
      </c>
      <c r="J108" s="102">
        <v>16.690999999999999</v>
      </c>
      <c r="K108" s="102">
        <v>17.13</v>
      </c>
      <c r="L108" s="102">
        <v>17.526</v>
      </c>
      <c r="M108" s="102">
        <v>17.887</v>
      </c>
      <c r="N108" s="102">
        <v>18.216999999999999</v>
      </c>
      <c r="O108" s="102">
        <v>18.521999999999998</v>
      </c>
      <c r="P108" s="102">
        <v>18.805</v>
      </c>
      <c r="Q108" s="102">
        <v>19.068000000000001</v>
      </c>
      <c r="R108" s="102">
        <v>19.315000000000001</v>
      </c>
      <c r="S108" s="102">
        <v>19.545999999999999</v>
      </c>
      <c r="T108" s="102">
        <v>19.765000000000001</v>
      </c>
    </row>
    <row r="109" spans="1:20">
      <c r="A109">
        <v>4</v>
      </c>
      <c r="B109" s="102">
        <v>6.5110000000000001</v>
      </c>
      <c r="C109" s="102">
        <v>8.1199999999999992</v>
      </c>
      <c r="D109" s="102">
        <v>9.173</v>
      </c>
      <c r="E109" s="102">
        <v>9.9580000000000002</v>
      </c>
      <c r="F109" s="102">
        <v>10.583</v>
      </c>
      <c r="G109" s="102">
        <v>11.101000000000001</v>
      </c>
      <c r="H109" s="102">
        <v>11.542</v>
      </c>
      <c r="I109" s="102">
        <v>11.925000000000001</v>
      </c>
      <c r="J109" s="102">
        <v>12.263999999999999</v>
      </c>
      <c r="K109" s="102">
        <v>12.567</v>
      </c>
      <c r="L109" s="102">
        <v>12.84</v>
      </c>
      <c r="M109" s="102">
        <v>13.09</v>
      </c>
      <c r="N109" s="102">
        <v>13.318</v>
      </c>
      <c r="O109" s="102">
        <v>13.53</v>
      </c>
      <c r="P109" s="102">
        <v>13.726000000000001</v>
      </c>
      <c r="Q109" s="102">
        <v>13.909000000000001</v>
      </c>
      <c r="R109" s="102">
        <v>14.081</v>
      </c>
      <c r="S109" s="102">
        <v>14.242000000000001</v>
      </c>
      <c r="T109" s="102">
        <v>14.394</v>
      </c>
    </row>
    <row r="110" spans="1:20">
      <c r="A110">
        <v>5</v>
      </c>
      <c r="B110" s="102">
        <v>5.702</v>
      </c>
      <c r="C110" s="102">
        <v>6.976</v>
      </c>
      <c r="D110" s="102">
        <v>7.8040000000000003</v>
      </c>
      <c r="E110" s="102">
        <v>8.4209999999999994</v>
      </c>
      <c r="F110" s="102">
        <v>8.9130000000000003</v>
      </c>
      <c r="G110" s="102">
        <v>9.3209999999999997</v>
      </c>
      <c r="H110" s="102">
        <v>9.6690000000000005</v>
      </c>
      <c r="I110" s="102">
        <v>9.9710000000000001</v>
      </c>
      <c r="J110" s="102">
        <v>10.239000000000001</v>
      </c>
      <c r="K110" s="102">
        <v>10.478999999999999</v>
      </c>
      <c r="L110" s="102">
        <v>10.696</v>
      </c>
      <c r="M110" s="102">
        <v>10.894</v>
      </c>
      <c r="N110" s="102">
        <v>11.076000000000001</v>
      </c>
      <c r="O110" s="102">
        <v>11.244</v>
      </c>
      <c r="P110" s="102">
        <v>11.4</v>
      </c>
      <c r="Q110" s="102">
        <v>11.545</v>
      </c>
      <c r="R110" s="102">
        <v>11.682</v>
      </c>
      <c r="S110" s="102">
        <v>11.811</v>
      </c>
      <c r="T110" s="102">
        <v>11.932</v>
      </c>
    </row>
    <row r="111" spans="1:20">
      <c r="A111">
        <v>6</v>
      </c>
      <c r="B111" s="102">
        <v>5.2430000000000003</v>
      </c>
      <c r="C111" s="102">
        <v>6.3310000000000004</v>
      </c>
      <c r="D111" s="102">
        <v>7.0330000000000004</v>
      </c>
      <c r="E111" s="102">
        <v>7.556</v>
      </c>
      <c r="F111" s="102">
        <v>7.9720000000000004</v>
      </c>
      <c r="G111" s="102">
        <v>8.3179999999999996</v>
      </c>
      <c r="H111" s="102">
        <v>8.6120000000000001</v>
      </c>
      <c r="I111" s="102">
        <v>8.8689999999999998</v>
      </c>
      <c r="J111" s="102">
        <v>9.0969999999999995</v>
      </c>
      <c r="K111" s="102">
        <v>9.3000000000000007</v>
      </c>
      <c r="L111" s="102">
        <v>9.4849999999999994</v>
      </c>
      <c r="M111" s="102">
        <v>9.6530000000000005</v>
      </c>
      <c r="N111" s="102">
        <v>9.8079999999999998</v>
      </c>
      <c r="O111" s="102">
        <v>9.9510000000000005</v>
      </c>
      <c r="P111" s="102">
        <v>10.084</v>
      </c>
      <c r="Q111" s="102">
        <v>10.208</v>
      </c>
      <c r="R111" s="102">
        <v>10.324999999999999</v>
      </c>
      <c r="S111" s="102">
        <v>10.433999999999999</v>
      </c>
      <c r="T111" s="102">
        <v>10.538</v>
      </c>
    </row>
    <row r="112" spans="1:20">
      <c r="A112">
        <v>7</v>
      </c>
      <c r="B112" s="102">
        <v>4.9489999999999998</v>
      </c>
      <c r="C112" s="102">
        <v>5.9189999999999996</v>
      </c>
      <c r="D112" s="102">
        <v>6.5419999999999998</v>
      </c>
      <c r="E112" s="102">
        <v>7.0049999999999999</v>
      </c>
      <c r="F112" s="102">
        <v>7.3730000000000002</v>
      </c>
      <c r="G112" s="102">
        <v>7.6779999999999999</v>
      </c>
      <c r="H112" s="102">
        <v>7.9390000000000001</v>
      </c>
      <c r="I112" s="102">
        <v>8.1660000000000004</v>
      </c>
      <c r="J112" s="102">
        <v>8.3670000000000009</v>
      </c>
      <c r="K112" s="102">
        <v>8.548</v>
      </c>
      <c r="L112" s="102">
        <v>8.7110000000000003</v>
      </c>
      <c r="M112" s="102">
        <v>8.86</v>
      </c>
      <c r="N112" s="102">
        <v>8.9969999999999999</v>
      </c>
      <c r="O112" s="102">
        <v>9.1240000000000006</v>
      </c>
      <c r="P112" s="102">
        <v>9.2420000000000009</v>
      </c>
      <c r="Q112" s="102">
        <v>9.3529999999999998</v>
      </c>
      <c r="R112" s="102">
        <v>9.4559999999999995</v>
      </c>
      <c r="S112" s="102">
        <v>9.5530000000000008</v>
      </c>
      <c r="T112" s="102">
        <v>9.6449999999999996</v>
      </c>
    </row>
    <row r="113" spans="1:20">
      <c r="A113">
        <v>8</v>
      </c>
      <c r="B113" s="102">
        <v>4.7450000000000001</v>
      </c>
      <c r="C113" s="102">
        <v>5.6349999999999998</v>
      </c>
      <c r="D113" s="102">
        <v>6.2039999999999997</v>
      </c>
      <c r="E113" s="102">
        <v>6.625</v>
      </c>
      <c r="F113" s="102">
        <v>6.9589999999999996</v>
      </c>
      <c r="G113" s="102">
        <v>7.2370000000000001</v>
      </c>
      <c r="H113" s="102">
        <v>7.4740000000000002</v>
      </c>
      <c r="I113" s="102">
        <v>7.68</v>
      </c>
      <c r="J113" s="102">
        <v>7.8630000000000004</v>
      </c>
      <c r="K113" s="102">
        <v>8.0269999999999992</v>
      </c>
      <c r="L113" s="102">
        <v>8.1760000000000002</v>
      </c>
      <c r="M113" s="102">
        <v>8.3109999999999999</v>
      </c>
      <c r="N113" s="102">
        <v>8.4359999999999999</v>
      </c>
      <c r="O113" s="102">
        <v>8.5519999999999996</v>
      </c>
      <c r="P113" s="102">
        <v>8.6590000000000007</v>
      </c>
      <c r="Q113" s="102">
        <v>8.76</v>
      </c>
      <c r="R113" s="102">
        <v>8.8539999999999992</v>
      </c>
      <c r="S113" s="102">
        <v>8.9429999999999996</v>
      </c>
      <c r="T113" s="102">
        <v>9.0269999999999992</v>
      </c>
    </row>
    <row r="114" spans="1:20">
      <c r="A114">
        <v>9</v>
      </c>
      <c r="B114" s="102">
        <v>4.5960000000000001</v>
      </c>
      <c r="C114" s="102">
        <v>5.4279999999999999</v>
      </c>
      <c r="D114" s="102">
        <v>5.9569999999999999</v>
      </c>
      <c r="E114" s="102">
        <v>6.3470000000000004</v>
      </c>
      <c r="F114" s="102">
        <v>6.657</v>
      </c>
      <c r="G114" s="102">
        <v>6.915</v>
      </c>
      <c r="H114" s="102">
        <v>7.1340000000000003</v>
      </c>
      <c r="I114" s="102">
        <v>7.3250000000000002</v>
      </c>
      <c r="J114" s="102">
        <v>7.4939999999999998</v>
      </c>
      <c r="K114" s="102">
        <v>7.6459999999999999</v>
      </c>
      <c r="L114" s="102">
        <v>7.7839999999999998</v>
      </c>
      <c r="M114" s="102">
        <v>7.91</v>
      </c>
      <c r="N114" s="102">
        <v>8.0250000000000004</v>
      </c>
      <c r="O114" s="102">
        <v>8.1319999999999997</v>
      </c>
      <c r="P114" s="102">
        <v>8.2319999999999993</v>
      </c>
      <c r="Q114" s="102">
        <v>8.3249999999999993</v>
      </c>
      <c r="R114" s="102">
        <v>8.4120000000000008</v>
      </c>
      <c r="S114" s="102">
        <v>8.4949999999999992</v>
      </c>
      <c r="T114" s="102">
        <v>8.5730000000000004</v>
      </c>
    </row>
    <row r="115" spans="1:20">
      <c r="A115">
        <v>10</v>
      </c>
      <c r="B115" s="102">
        <v>4.4820000000000002</v>
      </c>
      <c r="C115" s="102">
        <v>5.27</v>
      </c>
      <c r="D115" s="102">
        <v>5.7690000000000001</v>
      </c>
      <c r="E115" s="102">
        <v>6.1360000000000001</v>
      </c>
      <c r="F115" s="102">
        <v>6.4279999999999999</v>
      </c>
      <c r="G115" s="102">
        <v>6.6689999999999996</v>
      </c>
      <c r="H115" s="102">
        <v>6.875</v>
      </c>
      <c r="I115" s="102">
        <v>7.0540000000000003</v>
      </c>
      <c r="J115" s="102">
        <v>7.2130000000000001</v>
      </c>
      <c r="K115" s="102">
        <v>7.3559999999999999</v>
      </c>
      <c r="L115" s="102">
        <v>7.4850000000000003</v>
      </c>
      <c r="M115" s="102">
        <v>7.6029999999999998</v>
      </c>
      <c r="N115" s="102">
        <v>7.7119999999999997</v>
      </c>
      <c r="O115" s="102">
        <v>7.8120000000000003</v>
      </c>
      <c r="P115" s="102">
        <v>7.9059999999999997</v>
      </c>
      <c r="Q115" s="102">
        <v>7.9930000000000003</v>
      </c>
      <c r="R115" s="102">
        <v>8.0749999999999993</v>
      </c>
      <c r="S115" s="102">
        <v>8.1530000000000005</v>
      </c>
      <c r="T115" s="102">
        <v>8.2260000000000009</v>
      </c>
    </row>
    <row r="116" spans="1:20">
      <c r="A116">
        <v>11</v>
      </c>
      <c r="B116" s="102">
        <v>4.3920000000000003</v>
      </c>
      <c r="C116" s="102">
        <v>5.1459999999999999</v>
      </c>
      <c r="D116" s="102">
        <v>5.6210000000000004</v>
      </c>
      <c r="E116" s="102">
        <v>5.97</v>
      </c>
      <c r="F116" s="102">
        <v>6.2469999999999999</v>
      </c>
      <c r="G116" s="102">
        <v>6.476</v>
      </c>
      <c r="H116" s="102">
        <v>6.6710000000000003</v>
      </c>
      <c r="I116" s="102">
        <v>6.8410000000000002</v>
      </c>
      <c r="J116" s="102">
        <v>6.992</v>
      </c>
      <c r="K116" s="102">
        <v>7.1269999999999998</v>
      </c>
      <c r="L116" s="102">
        <v>7.25</v>
      </c>
      <c r="M116" s="102">
        <v>7.3620000000000001</v>
      </c>
      <c r="N116" s="102">
        <v>7.4640000000000004</v>
      </c>
      <c r="O116" s="102">
        <v>7.56</v>
      </c>
      <c r="P116" s="102">
        <v>7.6479999999999997</v>
      </c>
      <c r="Q116" s="102">
        <v>7.7309999999999999</v>
      </c>
      <c r="R116" s="102">
        <v>7.8090000000000002</v>
      </c>
      <c r="S116" s="102">
        <v>7.883</v>
      </c>
      <c r="T116" s="102">
        <v>7.952</v>
      </c>
    </row>
    <row r="117" spans="1:20">
      <c r="A117">
        <v>12</v>
      </c>
      <c r="B117" s="102">
        <v>4.32</v>
      </c>
      <c r="C117" s="102">
        <v>5.0460000000000003</v>
      </c>
      <c r="D117" s="102">
        <v>5.5019999999999998</v>
      </c>
      <c r="E117" s="102">
        <v>5.8360000000000003</v>
      </c>
      <c r="F117" s="102">
        <v>6.101</v>
      </c>
      <c r="G117" s="102">
        <v>6.32</v>
      </c>
      <c r="H117" s="102">
        <v>6.5069999999999997</v>
      </c>
      <c r="I117" s="102">
        <v>6.67</v>
      </c>
      <c r="J117" s="102">
        <v>6.8140000000000001</v>
      </c>
      <c r="K117" s="102">
        <v>6.9429999999999996</v>
      </c>
      <c r="L117" s="102">
        <v>7.06</v>
      </c>
      <c r="M117" s="102">
        <v>7.1660000000000004</v>
      </c>
      <c r="N117" s="102">
        <v>7.2649999999999997</v>
      </c>
      <c r="O117" s="102">
        <v>7.3559999999999999</v>
      </c>
      <c r="P117" s="102">
        <v>7.4409999999999998</v>
      </c>
      <c r="Q117" s="102">
        <v>7.52</v>
      </c>
      <c r="R117" s="102">
        <v>7.5940000000000003</v>
      </c>
      <c r="S117" s="102">
        <v>7.6639999999999997</v>
      </c>
      <c r="T117" s="102">
        <v>7.73</v>
      </c>
    </row>
    <row r="118" spans="1:20">
      <c r="A118">
        <v>13</v>
      </c>
      <c r="B118" s="102">
        <v>4.26</v>
      </c>
      <c r="C118" s="102">
        <v>4.9640000000000004</v>
      </c>
      <c r="D118" s="102">
        <v>5.4039999999999999</v>
      </c>
      <c r="E118" s="102">
        <v>5.726</v>
      </c>
      <c r="F118" s="102">
        <v>5.9809999999999999</v>
      </c>
      <c r="G118" s="102">
        <v>6.1920000000000002</v>
      </c>
      <c r="H118" s="102">
        <v>6.3719999999999999</v>
      </c>
      <c r="I118" s="102">
        <v>6.5279999999999996</v>
      </c>
      <c r="J118" s="102">
        <v>6.6660000000000004</v>
      </c>
      <c r="K118" s="102">
        <v>6.7910000000000004</v>
      </c>
      <c r="L118" s="102">
        <v>6.9029999999999996</v>
      </c>
      <c r="M118" s="102">
        <v>7.0060000000000002</v>
      </c>
      <c r="N118" s="102">
        <v>7.1</v>
      </c>
      <c r="O118" s="102">
        <v>7.1879999999999997</v>
      </c>
      <c r="P118" s="102">
        <v>7.2690000000000001</v>
      </c>
      <c r="Q118" s="102">
        <v>7.3449999999999998</v>
      </c>
      <c r="R118" s="102">
        <v>7.4169999999999998</v>
      </c>
      <c r="S118" s="102">
        <v>7.484</v>
      </c>
      <c r="T118" s="102">
        <v>7.548</v>
      </c>
    </row>
    <row r="119" spans="1:20">
      <c r="A119">
        <v>14</v>
      </c>
      <c r="B119" s="102">
        <v>4.21</v>
      </c>
      <c r="C119" s="102">
        <v>4.8949999999999996</v>
      </c>
      <c r="D119" s="102">
        <v>5.3220000000000001</v>
      </c>
      <c r="E119" s="102">
        <v>5.6340000000000003</v>
      </c>
      <c r="F119" s="102">
        <v>5.8810000000000002</v>
      </c>
      <c r="G119" s="102">
        <v>6.085</v>
      </c>
      <c r="H119" s="102">
        <v>6.258</v>
      </c>
      <c r="I119" s="102">
        <v>6.4089999999999998</v>
      </c>
      <c r="J119" s="102">
        <v>6.5430000000000001</v>
      </c>
      <c r="K119" s="102">
        <v>6.6630000000000003</v>
      </c>
      <c r="L119" s="102">
        <v>6.7720000000000002</v>
      </c>
      <c r="M119" s="102">
        <v>6.8710000000000004</v>
      </c>
      <c r="N119" s="102">
        <v>6.9619999999999997</v>
      </c>
      <c r="O119" s="102">
        <v>7.0469999999999997</v>
      </c>
      <c r="P119" s="102">
        <v>7.125</v>
      </c>
      <c r="Q119" s="102">
        <v>7.1989999999999998</v>
      </c>
      <c r="R119" s="102">
        <v>7.2679999999999998</v>
      </c>
      <c r="S119" s="102">
        <v>7.3330000000000002</v>
      </c>
      <c r="T119" s="102">
        <v>7.3940000000000001</v>
      </c>
    </row>
    <row r="120" spans="1:20">
      <c r="A120">
        <v>15</v>
      </c>
      <c r="B120" s="102">
        <v>4.1669999999999998</v>
      </c>
      <c r="C120" s="102">
        <v>4.8360000000000003</v>
      </c>
      <c r="D120" s="102">
        <v>5.2519999999999998</v>
      </c>
      <c r="E120" s="102">
        <v>5.556</v>
      </c>
      <c r="F120" s="102">
        <v>5.7960000000000003</v>
      </c>
      <c r="G120" s="102">
        <v>5.9939999999999998</v>
      </c>
      <c r="H120" s="102">
        <v>6.1619999999999999</v>
      </c>
      <c r="I120" s="102">
        <v>6.3090000000000002</v>
      </c>
      <c r="J120" s="102">
        <v>6.4379999999999997</v>
      </c>
      <c r="K120" s="102">
        <v>6.5549999999999997</v>
      </c>
      <c r="L120" s="102">
        <v>6.66</v>
      </c>
      <c r="M120" s="102">
        <v>6.7560000000000002</v>
      </c>
      <c r="N120" s="102">
        <v>6.8449999999999998</v>
      </c>
      <c r="O120" s="102">
        <v>6.9269999999999996</v>
      </c>
      <c r="P120" s="102">
        <v>7.0030000000000001</v>
      </c>
      <c r="Q120" s="102">
        <v>7.0739999999999998</v>
      </c>
      <c r="R120" s="102">
        <v>7.141</v>
      </c>
      <c r="S120" s="102">
        <v>7.2039999999999997</v>
      </c>
      <c r="T120" s="102">
        <v>7.2640000000000002</v>
      </c>
    </row>
    <row r="121" spans="1:20">
      <c r="A121">
        <v>16</v>
      </c>
      <c r="B121" s="102">
        <v>4.1310000000000002</v>
      </c>
      <c r="C121" s="102">
        <v>4.7859999999999996</v>
      </c>
      <c r="D121" s="102">
        <v>5.1920000000000002</v>
      </c>
      <c r="E121" s="102">
        <v>5.4889999999999999</v>
      </c>
      <c r="F121" s="102">
        <v>5.7220000000000004</v>
      </c>
      <c r="G121" s="102">
        <v>5.915</v>
      </c>
      <c r="H121" s="102">
        <v>6.0789999999999997</v>
      </c>
      <c r="I121" s="102">
        <v>6.2220000000000004</v>
      </c>
      <c r="J121" s="102">
        <v>6.3479999999999999</v>
      </c>
      <c r="K121" s="102">
        <v>6.4610000000000003</v>
      </c>
      <c r="L121" s="102">
        <v>6.5640000000000001</v>
      </c>
      <c r="M121" s="102">
        <v>6.6580000000000004</v>
      </c>
      <c r="N121" s="102">
        <v>6.7439999999999998</v>
      </c>
      <c r="O121" s="102">
        <v>6.8230000000000004</v>
      </c>
      <c r="P121" s="102">
        <v>6.8970000000000002</v>
      </c>
      <c r="Q121" s="102">
        <v>6.9669999999999996</v>
      </c>
      <c r="R121" s="102">
        <v>7.032</v>
      </c>
      <c r="S121" s="102">
        <v>7.093</v>
      </c>
      <c r="T121" s="102">
        <v>7.1509999999999998</v>
      </c>
    </row>
    <row r="122" spans="1:20">
      <c r="A122">
        <v>17</v>
      </c>
      <c r="B122" s="102">
        <v>4.0990000000000002</v>
      </c>
      <c r="C122" s="102">
        <v>4.742</v>
      </c>
      <c r="D122" s="102">
        <v>5.14</v>
      </c>
      <c r="E122" s="102">
        <v>5.43</v>
      </c>
      <c r="F122" s="102">
        <v>5.6589999999999998</v>
      </c>
      <c r="G122" s="102">
        <v>5.8470000000000004</v>
      </c>
      <c r="H122" s="102">
        <v>6.0069999999999997</v>
      </c>
      <c r="I122" s="102">
        <v>6.1470000000000002</v>
      </c>
      <c r="J122" s="102">
        <v>6.27</v>
      </c>
      <c r="K122" s="102">
        <v>6.38</v>
      </c>
      <c r="L122" s="102">
        <v>6.48</v>
      </c>
      <c r="M122" s="102">
        <v>6.5720000000000001</v>
      </c>
      <c r="N122" s="102">
        <v>6.6559999999999997</v>
      </c>
      <c r="O122" s="102">
        <v>6.7329999999999997</v>
      </c>
      <c r="P122" s="102">
        <v>6.806</v>
      </c>
      <c r="Q122" s="102">
        <v>6.8730000000000002</v>
      </c>
      <c r="R122" s="102">
        <v>6.9370000000000003</v>
      </c>
      <c r="S122" s="102">
        <v>6.9969999999999999</v>
      </c>
      <c r="T122" s="102">
        <v>7.0529999999999999</v>
      </c>
    </row>
    <row r="123" spans="1:20">
      <c r="A123">
        <v>18</v>
      </c>
      <c r="B123" s="102">
        <v>4.0709999999999997</v>
      </c>
      <c r="C123" s="102">
        <v>4.7030000000000003</v>
      </c>
      <c r="D123" s="102">
        <v>5.0940000000000003</v>
      </c>
      <c r="E123" s="102">
        <v>5.3789999999999996</v>
      </c>
      <c r="F123" s="102">
        <v>5.6029999999999998</v>
      </c>
      <c r="G123" s="102">
        <v>5.7869999999999999</v>
      </c>
      <c r="H123" s="102">
        <v>5.944</v>
      </c>
      <c r="I123" s="102">
        <v>6.0810000000000004</v>
      </c>
      <c r="J123" s="102">
        <v>6.2009999999999996</v>
      </c>
      <c r="K123" s="102">
        <v>6.3090000000000002</v>
      </c>
      <c r="L123" s="102">
        <v>6.407</v>
      </c>
      <c r="M123" s="102">
        <v>6.4960000000000004</v>
      </c>
      <c r="N123" s="102">
        <v>6.5789999999999997</v>
      </c>
      <c r="O123" s="102">
        <v>6.6550000000000002</v>
      </c>
      <c r="P123" s="102">
        <v>6.7249999999999996</v>
      </c>
      <c r="Q123" s="102">
        <v>6.7910000000000004</v>
      </c>
      <c r="R123" s="102">
        <v>6.8540000000000001</v>
      </c>
      <c r="S123" s="102">
        <v>6.9119999999999999</v>
      </c>
      <c r="T123" s="102">
        <v>6.9669999999999996</v>
      </c>
    </row>
    <row r="124" spans="1:20">
      <c r="A124">
        <v>19</v>
      </c>
      <c r="B124" s="102">
        <v>4.0460000000000003</v>
      </c>
      <c r="C124" s="102">
        <v>4.6689999999999996</v>
      </c>
      <c r="D124" s="102">
        <v>5.0540000000000003</v>
      </c>
      <c r="E124" s="102">
        <v>5.3339999999999996</v>
      </c>
      <c r="F124" s="102">
        <v>5.5529999999999999</v>
      </c>
      <c r="G124" s="102">
        <v>5.7350000000000003</v>
      </c>
      <c r="H124" s="102">
        <v>5.8890000000000002</v>
      </c>
      <c r="I124" s="102">
        <v>6.0220000000000002</v>
      </c>
      <c r="J124" s="102">
        <v>6.141</v>
      </c>
      <c r="K124" s="102">
        <v>6.2460000000000004</v>
      </c>
      <c r="L124" s="102">
        <v>6.3419999999999996</v>
      </c>
      <c r="M124" s="102">
        <v>6.43</v>
      </c>
      <c r="N124" s="102">
        <v>6.51</v>
      </c>
      <c r="O124" s="102">
        <v>6.585</v>
      </c>
      <c r="P124" s="102">
        <v>6.6539999999999999</v>
      </c>
      <c r="Q124" s="102">
        <v>6.7190000000000003</v>
      </c>
      <c r="R124" s="102">
        <v>6.78</v>
      </c>
      <c r="S124" s="102">
        <v>6.8369999999999997</v>
      </c>
      <c r="T124" s="102">
        <v>6.891</v>
      </c>
    </row>
    <row r="125" spans="1:20">
      <c r="A125">
        <v>20</v>
      </c>
      <c r="B125" s="102">
        <v>4.024</v>
      </c>
      <c r="C125" s="102">
        <v>4.6390000000000002</v>
      </c>
      <c r="D125" s="102">
        <v>5.0179999999999998</v>
      </c>
      <c r="E125" s="102">
        <v>5.2930000000000001</v>
      </c>
      <c r="F125" s="102">
        <v>5.51</v>
      </c>
      <c r="G125" s="102">
        <v>5.6879999999999997</v>
      </c>
      <c r="H125" s="102">
        <v>5.8390000000000004</v>
      </c>
      <c r="I125" s="102">
        <v>5.97</v>
      </c>
      <c r="J125" s="102">
        <v>6.0860000000000003</v>
      </c>
      <c r="K125" s="102">
        <v>6.19</v>
      </c>
      <c r="L125" s="102">
        <v>6.2850000000000001</v>
      </c>
      <c r="M125" s="102">
        <v>6.37</v>
      </c>
      <c r="N125" s="102">
        <v>6.4489999999999998</v>
      </c>
      <c r="O125" s="102">
        <v>6.5229999999999997</v>
      </c>
      <c r="P125" s="102">
        <v>6.5910000000000002</v>
      </c>
      <c r="Q125" s="102">
        <v>6.6539999999999999</v>
      </c>
      <c r="R125" s="102">
        <v>6.7140000000000004</v>
      </c>
      <c r="S125" s="102">
        <v>6.77</v>
      </c>
      <c r="T125" s="102">
        <v>6.8230000000000004</v>
      </c>
    </row>
    <row r="126" spans="1:20">
      <c r="A126">
        <v>21</v>
      </c>
      <c r="B126" s="102">
        <v>4.0039999999999996</v>
      </c>
      <c r="C126" s="102">
        <v>4.6120000000000001</v>
      </c>
      <c r="D126" s="102">
        <v>4.9859999999999998</v>
      </c>
      <c r="E126" s="102">
        <v>5.2569999999999997</v>
      </c>
      <c r="F126" s="102">
        <v>5.47</v>
      </c>
      <c r="G126" s="102">
        <v>5.6459999999999999</v>
      </c>
      <c r="H126" s="102">
        <v>5.7939999999999996</v>
      </c>
      <c r="I126" s="102">
        <v>5.9240000000000004</v>
      </c>
      <c r="J126" s="102">
        <v>6.0380000000000003</v>
      </c>
      <c r="K126" s="102">
        <v>6.14</v>
      </c>
      <c r="L126" s="102">
        <v>6.2329999999999997</v>
      </c>
      <c r="M126" s="102">
        <v>6.3170000000000002</v>
      </c>
      <c r="N126" s="102">
        <v>6.3949999999999996</v>
      </c>
      <c r="O126" s="102">
        <v>6.4669999999999996</v>
      </c>
      <c r="P126" s="102">
        <v>6.5339999999999998</v>
      </c>
      <c r="Q126" s="102">
        <v>6.5960000000000001</v>
      </c>
      <c r="R126" s="102">
        <v>6.6550000000000002</v>
      </c>
      <c r="S126" s="102">
        <v>6.71</v>
      </c>
      <c r="T126" s="102">
        <v>6.7619999999999996</v>
      </c>
    </row>
    <row r="127" spans="1:20">
      <c r="A127">
        <v>22</v>
      </c>
      <c r="B127" s="102">
        <v>3.9860000000000002</v>
      </c>
      <c r="C127" s="102">
        <v>4.5880000000000001</v>
      </c>
      <c r="D127" s="102">
        <v>4.9569999999999999</v>
      </c>
      <c r="E127" s="102">
        <v>5.2249999999999996</v>
      </c>
      <c r="F127" s="102">
        <v>5.4349999999999996</v>
      </c>
      <c r="G127" s="102">
        <v>5.6079999999999997</v>
      </c>
      <c r="H127" s="102">
        <v>5.7539999999999996</v>
      </c>
      <c r="I127" s="102">
        <v>5.8819999999999997</v>
      </c>
      <c r="J127" s="102">
        <v>5.9939999999999998</v>
      </c>
      <c r="K127" s="102">
        <v>6.0949999999999998</v>
      </c>
      <c r="L127" s="102">
        <v>6.1859999999999999</v>
      </c>
      <c r="M127" s="102">
        <v>6.2690000000000001</v>
      </c>
      <c r="N127" s="102">
        <v>6.3460000000000001</v>
      </c>
      <c r="O127" s="102">
        <v>6.4169999999999998</v>
      </c>
      <c r="P127" s="102">
        <v>6.4820000000000002</v>
      </c>
      <c r="Q127" s="102">
        <v>6.5439999999999996</v>
      </c>
      <c r="R127" s="102">
        <v>6.6020000000000003</v>
      </c>
      <c r="S127" s="102">
        <v>6.6559999999999997</v>
      </c>
      <c r="T127" s="102">
        <v>6.7069999999999999</v>
      </c>
    </row>
    <row r="128" spans="1:20">
      <c r="A128">
        <v>23</v>
      </c>
      <c r="B128" s="102">
        <v>3.97</v>
      </c>
      <c r="C128" s="102">
        <v>4.5659999999999998</v>
      </c>
      <c r="D128" s="102">
        <v>4.931</v>
      </c>
      <c r="E128" s="102">
        <v>5.1950000000000003</v>
      </c>
      <c r="F128" s="102">
        <v>5.4029999999999996</v>
      </c>
      <c r="G128" s="102">
        <v>5.5730000000000004</v>
      </c>
      <c r="H128" s="102">
        <v>5.718</v>
      </c>
      <c r="I128" s="102">
        <v>5.8440000000000003</v>
      </c>
      <c r="J128" s="102">
        <v>5.9550000000000001</v>
      </c>
      <c r="K128" s="102">
        <v>6.0540000000000003</v>
      </c>
      <c r="L128" s="102">
        <v>6.1440000000000001</v>
      </c>
      <c r="M128" s="102">
        <v>6.226</v>
      </c>
      <c r="N128" s="102">
        <v>6.3010000000000002</v>
      </c>
      <c r="O128" s="102">
        <v>6.3710000000000004</v>
      </c>
      <c r="P128" s="102">
        <v>6.4359999999999999</v>
      </c>
      <c r="Q128" s="102">
        <v>6.4969999999999999</v>
      </c>
      <c r="R128" s="102">
        <v>6.5529999999999999</v>
      </c>
      <c r="S128" s="102">
        <v>6.6070000000000002</v>
      </c>
      <c r="T128" s="102">
        <v>6.6580000000000004</v>
      </c>
    </row>
    <row r="129" spans="1:20">
      <c r="A129">
        <v>24</v>
      </c>
      <c r="B129" s="102">
        <v>3.9550000000000001</v>
      </c>
      <c r="C129" s="102">
        <v>4.5460000000000003</v>
      </c>
      <c r="D129" s="102">
        <v>4.907</v>
      </c>
      <c r="E129" s="102">
        <v>5.1680000000000001</v>
      </c>
      <c r="F129" s="102">
        <v>5.3730000000000002</v>
      </c>
      <c r="G129" s="102">
        <v>5.5419999999999998</v>
      </c>
      <c r="H129" s="102">
        <v>5.6849999999999996</v>
      </c>
      <c r="I129" s="102">
        <v>5.8090000000000002</v>
      </c>
      <c r="J129" s="102">
        <v>5.9189999999999996</v>
      </c>
      <c r="K129" s="102">
        <v>6.0170000000000003</v>
      </c>
      <c r="L129" s="102">
        <v>6.1050000000000004</v>
      </c>
      <c r="M129" s="102">
        <v>6.1859999999999999</v>
      </c>
      <c r="N129" s="102">
        <v>6.2610000000000001</v>
      </c>
      <c r="O129" s="102">
        <v>6.33</v>
      </c>
      <c r="P129" s="102">
        <v>6.3940000000000001</v>
      </c>
      <c r="Q129" s="102">
        <v>6.4530000000000003</v>
      </c>
      <c r="R129" s="102">
        <v>6.51</v>
      </c>
      <c r="S129" s="102">
        <v>6.5620000000000003</v>
      </c>
      <c r="T129" s="102">
        <v>6.6120000000000001</v>
      </c>
    </row>
    <row r="130" spans="1:20">
      <c r="A130">
        <v>25</v>
      </c>
      <c r="B130" s="102">
        <v>3.9420000000000002</v>
      </c>
      <c r="C130" s="102">
        <v>4.5270000000000001</v>
      </c>
      <c r="D130" s="102">
        <v>4.8849999999999998</v>
      </c>
      <c r="E130" s="102">
        <v>5.1440000000000001</v>
      </c>
      <c r="F130" s="102">
        <v>5.3470000000000004</v>
      </c>
      <c r="G130" s="102">
        <v>5.5129999999999999</v>
      </c>
      <c r="H130" s="102">
        <v>5.6550000000000002</v>
      </c>
      <c r="I130" s="102">
        <v>5.7779999999999996</v>
      </c>
      <c r="J130" s="102">
        <v>5.8860000000000001</v>
      </c>
      <c r="K130" s="102">
        <v>5.9829999999999997</v>
      </c>
      <c r="L130" s="102">
        <v>6.07</v>
      </c>
      <c r="M130" s="102">
        <v>6.15</v>
      </c>
      <c r="N130" s="102">
        <v>6.2240000000000002</v>
      </c>
      <c r="O130" s="102">
        <v>6.2919999999999998</v>
      </c>
      <c r="P130" s="102">
        <v>6.3550000000000004</v>
      </c>
      <c r="Q130" s="102">
        <v>6.4139999999999997</v>
      </c>
      <c r="R130" s="102">
        <v>6.4690000000000003</v>
      </c>
      <c r="S130" s="102">
        <v>6.5220000000000002</v>
      </c>
      <c r="T130" s="102">
        <v>6.5709999999999997</v>
      </c>
    </row>
    <row r="131" spans="1:20">
      <c r="A131">
        <v>26</v>
      </c>
      <c r="B131" s="102">
        <v>3.93</v>
      </c>
      <c r="C131" s="102">
        <v>4.51</v>
      </c>
      <c r="D131" s="102">
        <v>4.8650000000000002</v>
      </c>
      <c r="E131" s="102">
        <v>5.1210000000000004</v>
      </c>
      <c r="F131" s="102">
        <v>5.3220000000000001</v>
      </c>
      <c r="G131" s="102">
        <v>5.4870000000000001</v>
      </c>
      <c r="H131" s="102">
        <v>5.6269999999999998</v>
      </c>
      <c r="I131" s="102">
        <v>5.7489999999999997</v>
      </c>
      <c r="J131" s="102">
        <v>5.8559999999999999</v>
      </c>
      <c r="K131" s="102">
        <v>5.9509999999999996</v>
      </c>
      <c r="L131" s="102">
        <v>6.0380000000000003</v>
      </c>
      <c r="M131" s="102">
        <v>6.117</v>
      </c>
      <c r="N131" s="102">
        <v>6.19</v>
      </c>
      <c r="O131" s="102">
        <v>6.2569999999999997</v>
      </c>
      <c r="P131" s="102">
        <v>6.319</v>
      </c>
      <c r="Q131" s="102">
        <v>6.3780000000000001</v>
      </c>
      <c r="R131" s="102">
        <v>6.4320000000000004</v>
      </c>
      <c r="S131" s="102">
        <v>6.484</v>
      </c>
      <c r="T131" s="102">
        <v>6.5330000000000004</v>
      </c>
    </row>
    <row r="132" spans="1:20">
      <c r="A132">
        <v>27</v>
      </c>
      <c r="B132" s="102">
        <v>3.9180000000000001</v>
      </c>
      <c r="C132" s="102">
        <v>4.4950000000000001</v>
      </c>
      <c r="D132" s="102">
        <v>4.8470000000000004</v>
      </c>
      <c r="E132" s="102">
        <v>5.101</v>
      </c>
      <c r="F132" s="102">
        <v>5.3</v>
      </c>
      <c r="G132" s="102">
        <v>5.4630000000000001</v>
      </c>
      <c r="H132" s="102">
        <v>5.6020000000000003</v>
      </c>
      <c r="I132" s="102">
        <v>5.7220000000000004</v>
      </c>
      <c r="J132" s="102">
        <v>5.8280000000000003</v>
      </c>
      <c r="K132" s="102">
        <v>5.923</v>
      </c>
      <c r="L132" s="102">
        <v>6.008</v>
      </c>
      <c r="M132" s="102">
        <v>6.0869999999999997</v>
      </c>
      <c r="N132" s="102">
        <v>6.1580000000000004</v>
      </c>
      <c r="O132" s="102">
        <v>6.2249999999999996</v>
      </c>
      <c r="P132" s="102">
        <v>6.2869999999999999</v>
      </c>
      <c r="Q132" s="102">
        <v>6.3440000000000003</v>
      </c>
      <c r="R132" s="102">
        <v>6.399</v>
      </c>
      <c r="S132" s="102">
        <v>6.45</v>
      </c>
      <c r="T132" s="102">
        <v>6.4980000000000002</v>
      </c>
    </row>
    <row r="133" spans="1:20">
      <c r="A133">
        <v>28</v>
      </c>
      <c r="B133" s="102">
        <v>3.9079999999999999</v>
      </c>
      <c r="C133" s="102">
        <v>4.4809999999999999</v>
      </c>
      <c r="D133" s="102">
        <v>4.83</v>
      </c>
      <c r="E133" s="102">
        <v>5.0819999999999999</v>
      </c>
      <c r="F133" s="102">
        <v>5.2789999999999999</v>
      </c>
      <c r="G133" s="102">
        <v>5.4409999999999998</v>
      </c>
      <c r="H133" s="102">
        <v>5.5780000000000003</v>
      </c>
      <c r="I133" s="102">
        <v>5.6970000000000001</v>
      </c>
      <c r="J133" s="102">
        <v>5.8019999999999996</v>
      </c>
      <c r="K133" s="102">
        <v>5.8959999999999999</v>
      </c>
      <c r="L133" s="102">
        <v>5.9809999999999999</v>
      </c>
      <c r="M133" s="102">
        <v>6.0579999999999998</v>
      </c>
      <c r="N133" s="102">
        <v>6.1289999999999996</v>
      </c>
      <c r="O133" s="102">
        <v>6.1950000000000003</v>
      </c>
      <c r="P133" s="102">
        <v>6.2560000000000002</v>
      </c>
      <c r="Q133" s="102">
        <v>6.3140000000000001</v>
      </c>
      <c r="R133" s="102">
        <v>6.367</v>
      </c>
      <c r="S133" s="102">
        <v>6.4180000000000001</v>
      </c>
      <c r="T133" s="102">
        <v>6.4649999999999999</v>
      </c>
    </row>
    <row r="134" spans="1:20">
      <c r="A134">
        <v>29</v>
      </c>
      <c r="B134" s="102">
        <v>3.8980000000000001</v>
      </c>
      <c r="C134" s="102">
        <v>4.4669999999999996</v>
      </c>
      <c r="D134" s="102">
        <v>4.8140000000000001</v>
      </c>
      <c r="E134" s="102">
        <v>5.0640000000000001</v>
      </c>
      <c r="F134" s="102">
        <v>5.26</v>
      </c>
      <c r="G134" s="102">
        <v>5.42</v>
      </c>
      <c r="H134" s="102">
        <v>5.556</v>
      </c>
      <c r="I134" s="102">
        <v>5.6740000000000004</v>
      </c>
      <c r="J134" s="102">
        <v>5.7779999999999996</v>
      </c>
      <c r="K134" s="102">
        <v>5.8710000000000004</v>
      </c>
      <c r="L134" s="102">
        <v>5.9550000000000001</v>
      </c>
      <c r="M134" s="102">
        <v>6.032</v>
      </c>
      <c r="N134" s="102">
        <v>6.1029999999999998</v>
      </c>
      <c r="O134" s="102">
        <v>6.1680000000000001</v>
      </c>
      <c r="P134" s="102">
        <v>6.2279999999999998</v>
      </c>
      <c r="Q134" s="102">
        <v>6.2850000000000001</v>
      </c>
      <c r="R134" s="102">
        <v>6.3380000000000001</v>
      </c>
      <c r="S134" s="102">
        <v>6.3879999999999999</v>
      </c>
      <c r="T134" s="102">
        <v>6.4349999999999996</v>
      </c>
    </row>
    <row r="135" spans="1:20">
      <c r="A135">
        <v>30</v>
      </c>
      <c r="B135" s="102">
        <v>3.8889999999999998</v>
      </c>
      <c r="C135" s="102">
        <v>4.4550000000000001</v>
      </c>
      <c r="D135" s="102">
        <v>4.7990000000000004</v>
      </c>
      <c r="E135" s="102">
        <v>5.048</v>
      </c>
      <c r="F135" s="102">
        <v>5.242</v>
      </c>
      <c r="G135" s="102">
        <v>5.4009999999999998</v>
      </c>
      <c r="H135" s="102">
        <v>5.5359999999999996</v>
      </c>
      <c r="I135" s="102">
        <v>5.6529999999999996</v>
      </c>
      <c r="J135" s="102">
        <v>5.7560000000000002</v>
      </c>
      <c r="K135" s="102">
        <v>5.8479999999999999</v>
      </c>
      <c r="L135" s="102">
        <v>5.9320000000000004</v>
      </c>
      <c r="M135" s="102">
        <v>6.008</v>
      </c>
      <c r="N135" s="102">
        <v>6.0780000000000003</v>
      </c>
      <c r="O135" s="102">
        <v>6.1420000000000003</v>
      </c>
      <c r="P135" s="102">
        <v>6.202</v>
      </c>
      <c r="Q135" s="102">
        <v>6.258</v>
      </c>
      <c r="R135" s="102">
        <v>6.3109999999999999</v>
      </c>
      <c r="S135" s="102">
        <v>6.3609999999999998</v>
      </c>
      <c r="T135" s="102">
        <v>6.407</v>
      </c>
    </row>
    <row r="136" spans="1:20">
      <c r="A136">
        <v>31</v>
      </c>
      <c r="B136" s="102">
        <v>3.8809999999999998</v>
      </c>
      <c r="C136" s="102">
        <v>4.4429999999999996</v>
      </c>
      <c r="D136" s="102">
        <v>4.7859999999999996</v>
      </c>
      <c r="E136" s="102">
        <v>5.032</v>
      </c>
      <c r="F136" s="102">
        <v>5.2249999999999996</v>
      </c>
      <c r="G136" s="102">
        <v>5.383</v>
      </c>
      <c r="H136" s="102">
        <v>5.5170000000000003</v>
      </c>
      <c r="I136" s="102">
        <v>5.633</v>
      </c>
      <c r="J136" s="102">
        <v>5.7359999999999998</v>
      </c>
      <c r="K136" s="102">
        <v>5.827</v>
      </c>
      <c r="L136" s="102">
        <v>5.91</v>
      </c>
      <c r="M136" s="102">
        <v>5.9850000000000003</v>
      </c>
      <c r="N136" s="102">
        <v>6.0549999999999997</v>
      </c>
      <c r="O136" s="102">
        <v>6.1189999999999998</v>
      </c>
      <c r="P136" s="102">
        <v>6.1779999999999999</v>
      </c>
      <c r="Q136" s="102">
        <v>6.234</v>
      </c>
      <c r="R136" s="102">
        <v>6.2859999999999996</v>
      </c>
      <c r="S136" s="102">
        <v>6.335</v>
      </c>
      <c r="T136" s="102">
        <v>6.3810000000000002</v>
      </c>
    </row>
    <row r="137" spans="1:20">
      <c r="A137">
        <v>32</v>
      </c>
      <c r="B137" s="102">
        <v>3.8730000000000002</v>
      </c>
      <c r="C137" s="102">
        <v>4.4329999999999998</v>
      </c>
      <c r="D137" s="102">
        <v>4.7729999999999997</v>
      </c>
      <c r="E137" s="102">
        <v>5.0179999999999998</v>
      </c>
      <c r="F137" s="102">
        <v>5.21</v>
      </c>
      <c r="G137" s="102">
        <v>5.367</v>
      </c>
      <c r="H137" s="102">
        <v>5.5</v>
      </c>
      <c r="I137" s="102">
        <v>5.6150000000000002</v>
      </c>
      <c r="J137" s="102">
        <v>5.7160000000000002</v>
      </c>
      <c r="K137" s="102">
        <v>5.8070000000000004</v>
      </c>
      <c r="L137" s="102">
        <v>5.8890000000000002</v>
      </c>
      <c r="M137" s="102">
        <v>5.9640000000000004</v>
      </c>
      <c r="N137" s="102">
        <v>6.0330000000000004</v>
      </c>
      <c r="O137" s="102">
        <v>6.0960000000000001</v>
      </c>
      <c r="P137" s="102">
        <v>6.1550000000000002</v>
      </c>
      <c r="Q137" s="102">
        <v>6.2110000000000003</v>
      </c>
      <c r="R137" s="102">
        <v>6.2619999999999996</v>
      </c>
      <c r="S137" s="102">
        <v>6.3109999999999999</v>
      </c>
      <c r="T137" s="102">
        <v>6.3570000000000002</v>
      </c>
    </row>
    <row r="138" spans="1:20">
      <c r="A138">
        <v>33</v>
      </c>
      <c r="B138" s="102">
        <v>3.8650000000000002</v>
      </c>
      <c r="C138" s="102">
        <v>4.423</v>
      </c>
      <c r="D138" s="102">
        <v>4.7610000000000001</v>
      </c>
      <c r="E138" s="102">
        <v>5.0049999999999999</v>
      </c>
      <c r="F138" s="102">
        <v>5.1950000000000003</v>
      </c>
      <c r="G138" s="102">
        <v>5.351</v>
      </c>
      <c r="H138" s="102">
        <v>5.4829999999999997</v>
      </c>
      <c r="I138" s="102">
        <v>5.5979999999999999</v>
      </c>
      <c r="J138" s="102">
        <v>5.6980000000000004</v>
      </c>
      <c r="K138" s="102">
        <v>5.7889999999999997</v>
      </c>
      <c r="L138" s="102">
        <v>5.87</v>
      </c>
      <c r="M138" s="102">
        <v>5.944</v>
      </c>
      <c r="N138" s="102">
        <v>6.0129999999999999</v>
      </c>
      <c r="O138" s="102">
        <v>6.0759999999999996</v>
      </c>
      <c r="P138" s="102">
        <v>6.1340000000000003</v>
      </c>
      <c r="Q138" s="102">
        <v>6.1890000000000001</v>
      </c>
      <c r="R138" s="102">
        <v>6.24</v>
      </c>
      <c r="S138" s="102">
        <v>6.2889999999999997</v>
      </c>
      <c r="T138" s="102">
        <v>6.3339999999999996</v>
      </c>
    </row>
    <row r="139" spans="1:20">
      <c r="A139">
        <v>34</v>
      </c>
      <c r="B139" s="102">
        <v>3.859</v>
      </c>
      <c r="C139" s="102">
        <v>4.4130000000000003</v>
      </c>
      <c r="D139" s="102">
        <v>4.75</v>
      </c>
      <c r="E139" s="102">
        <v>4.992</v>
      </c>
      <c r="F139" s="102">
        <v>5.181</v>
      </c>
      <c r="G139" s="102">
        <v>5.3360000000000003</v>
      </c>
      <c r="H139" s="102">
        <v>5.468</v>
      </c>
      <c r="I139" s="102">
        <v>5.5810000000000004</v>
      </c>
      <c r="J139" s="102">
        <v>5.6820000000000004</v>
      </c>
      <c r="K139" s="102">
        <v>5.7709999999999999</v>
      </c>
      <c r="L139" s="102">
        <v>5.8520000000000003</v>
      </c>
      <c r="M139" s="102">
        <v>5.9260000000000002</v>
      </c>
      <c r="N139" s="102">
        <v>5.9939999999999998</v>
      </c>
      <c r="O139" s="102">
        <v>6.056</v>
      </c>
      <c r="P139" s="102">
        <v>6.1139999999999999</v>
      </c>
      <c r="Q139" s="102">
        <v>6.1689999999999996</v>
      </c>
      <c r="R139" s="102">
        <v>6.22</v>
      </c>
      <c r="S139" s="102">
        <v>6.2679999999999998</v>
      </c>
      <c r="T139" s="102">
        <v>6.3129999999999997</v>
      </c>
    </row>
    <row r="140" spans="1:20">
      <c r="A140">
        <v>35</v>
      </c>
      <c r="B140" s="102">
        <v>3.8519999999999999</v>
      </c>
      <c r="C140" s="102">
        <v>4.4039999999999999</v>
      </c>
      <c r="D140" s="102">
        <v>4.7389999999999999</v>
      </c>
      <c r="E140" s="102">
        <v>4.9800000000000004</v>
      </c>
      <c r="F140" s="102">
        <v>5.1689999999999996</v>
      </c>
      <c r="G140" s="102">
        <v>5.3230000000000004</v>
      </c>
      <c r="H140" s="102">
        <v>5.4530000000000003</v>
      </c>
      <c r="I140" s="102">
        <v>5.5659999999999998</v>
      </c>
      <c r="J140" s="102">
        <v>5.6660000000000004</v>
      </c>
      <c r="K140" s="102">
        <v>5.7549999999999999</v>
      </c>
      <c r="L140" s="102">
        <v>5.835</v>
      </c>
      <c r="M140" s="102">
        <v>5.9080000000000004</v>
      </c>
      <c r="N140" s="102">
        <v>5.976</v>
      </c>
      <c r="O140" s="102">
        <v>6.0380000000000003</v>
      </c>
      <c r="P140" s="102">
        <v>6.0960000000000001</v>
      </c>
      <c r="Q140" s="102">
        <v>6.15</v>
      </c>
      <c r="R140" s="102">
        <v>6.2</v>
      </c>
      <c r="S140" s="102">
        <v>6.2480000000000002</v>
      </c>
      <c r="T140" s="102">
        <v>6.2930000000000001</v>
      </c>
    </row>
    <row r="141" spans="1:20">
      <c r="A141">
        <v>36</v>
      </c>
      <c r="B141" s="102">
        <v>3.8460000000000001</v>
      </c>
      <c r="C141" s="102">
        <v>4.3959999999999999</v>
      </c>
      <c r="D141" s="102">
        <v>4.7290000000000001</v>
      </c>
      <c r="E141" s="102">
        <v>4.9690000000000003</v>
      </c>
      <c r="F141" s="102">
        <v>5.1559999999999997</v>
      </c>
      <c r="G141" s="102">
        <v>5.31</v>
      </c>
      <c r="H141" s="102">
        <v>5.4390000000000001</v>
      </c>
      <c r="I141" s="102">
        <v>5.5519999999999996</v>
      </c>
      <c r="J141" s="102">
        <v>5.6509999999999998</v>
      </c>
      <c r="K141" s="102">
        <v>5.7389999999999999</v>
      </c>
      <c r="L141" s="102">
        <v>5.819</v>
      </c>
      <c r="M141" s="102">
        <v>5.8920000000000003</v>
      </c>
      <c r="N141" s="102">
        <v>5.9589999999999996</v>
      </c>
      <c r="O141" s="102">
        <v>6.0209999999999999</v>
      </c>
      <c r="P141" s="102">
        <v>6.0780000000000003</v>
      </c>
      <c r="Q141" s="102">
        <v>6.1319999999999997</v>
      </c>
      <c r="R141" s="102">
        <v>6.1820000000000004</v>
      </c>
      <c r="S141" s="102">
        <v>6.2290000000000001</v>
      </c>
      <c r="T141" s="102">
        <v>6.274</v>
      </c>
    </row>
    <row r="142" spans="1:20">
      <c r="A142">
        <v>37</v>
      </c>
      <c r="B142" s="102">
        <v>3.84</v>
      </c>
      <c r="C142" s="102">
        <v>4.3879999999999999</v>
      </c>
      <c r="D142" s="102">
        <v>4.72</v>
      </c>
      <c r="E142" s="102">
        <v>4.9589999999999996</v>
      </c>
      <c r="F142" s="102">
        <v>5.1449999999999996</v>
      </c>
      <c r="G142" s="102">
        <v>5.298</v>
      </c>
      <c r="H142" s="102">
        <v>5.4269999999999996</v>
      </c>
      <c r="I142" s="102">
        <v>5.5380000000000003</v>
      </c>
      <c r="J142" s="102">
        <v>5.6369999999999996</v>
      </c>
      <c r="K142" s="102">
        <v>5.7249999999999996</v>
      </c>
      <c r="L142" s="102">
        <v>5.8040000000000003</v>
      </c>
      <c r="M142" s="102">
        <v>5.8760000000000003</v>
      </c>
      <c r="N142" s="102">
        <v>5.9429999999999996</v>
      </c>
      <c r="O142" s="102">
        <v>6.0039999999999996</v>
      </c>
      <c r="P142" s="102">
        <v>6.0609999999999999</v>
      </c>
      <c r="Q142" s="102">
        <v>6.1150000000000002</v>
      </c>
      <c r="R142" s="102">
        <v>6.165</v>
      </c>
      <c r="S142" s="102">
        <v>6.2119999999999997</v>
      </c>
      <c r="T142" s="102">
        <v>6.2560000000000002</v>
      </c>
    </row>
    <row r="143" spans="1:20">
      <c r="A143">
        <v>38</v>
      </c>
      <c r="B143" s="102">
        <v>3.835</v>
      </c>
      <c r="C143" s="102">
        <v>4.3810000000000002</v>
      </c>
      <c r="D143" s="102">
        <v>4.7110000000000003</v>
      </c>
      <c r="E143" s="102">
        <v>4.9489999999999998</v>
      </c>
      <c r="F143" s="102">
        <v>5.1340000000000003</v>
      </c>
      <c r="G143" s="102">
        <v>5.2859999999999996</v>
      </c>
      <c r="H143" s="102">
        <v>5.4139999999999997</v>
      </c>
      <c r="I143" s="102">
        <v>5.5259999999999998</v>
      </c>
      <c r="J143" s="102">
        <v>5.6230000000000002</v>
      </c>
      <c r="K143" s="102">
        <v>5.7110000000000003</v>
      </c>
      <c r="L143" s="102">
        <v>5.79</v>
      </c>
      <c r="M143" s="102">
        <v>5.8620000000000001</v>
      </c>
      <c r="N143" s="102">
        <v>5.9279999999999999</v>
      </c>
      <c r="O143" s="102">
        <v>5.9889999999999999</v>
      </c>
      <c r="P143" s="102">
        <v>6.0460000000000003</v>
      </c>
      <c r="Q143" s="102">
        <v>6.0990000000000002</v>
      </c>
      <c r="R143" s="102">
        <v>6.1479999999999997</v>
      </c>
      <c r="S143" s="102">
        <v>6.1950000000000003</v>
      </c>
      <c r="T143" s="102">
        <v>6.2389999999999999</v>
      </c>
    </row>
    <row r="144" spans="1:20">
      <c r="A144">
        <v>39</v>
      </c>
      <c r="B144" s="102">
        <v>3.83</v>
      </c>
      <c r="C144" s="102">
        <v>4.3739999999999997</v>
      </c>
      <c r="D144" s="102">
        <v>4.7030000000000003</v>
      </c>
      <c r="E144" s="102">
        <v>4.9400000000000004</v>
      </c>
      <c r="F144" s="102">
        <v>5.1239999999999997</v>
      </c>
      <c r="G144" s="102">
        <v>5.2750000000000004</v>
      </c>
      <c r="H144" s="102">
        <v>5.4029999999999996</v>
      </c>
      <c r="I144" s="102">
        <v>5.5129999999999999</v>
      </c>
      <c r="J144" s="102">
        <v>5.6109999999999998</v>
      </c>
      <c r="K144" s="102">
        <v>5.6980000000000004</v>
      </c>
      <c r="L144" s="102">
        <v>5.7759999999999998</v>
      </c>
      <c r="M144" s="102">
        <v>5.8479999999999999</v>
      </c>
      <c r="N144" s="102">
        <v>5.9139999999999997</v>
      </c>
      <c r="O144" s="102">
        <v>5.9740000000000002</v>
      </c>
      <c r="P144" s="102">
        <v>6.0309999999999997</v>
      </c>
      <c r="Q144" s="102">
        <v>6.0839999999999996</v>
      </c>
      <c r="R144" s="102">
        <v>6.133</v>
      </c>
      <c r="S144" s="102">
        <v>6.1790000000000003</v>
      </c>
      <c r="T144" s="102">
        <v>6.2229999999999999</v>
      </c>
    </row>
    <row r="145" spans="1:20">
      <c r="A145">
        <v>40</v>
      </c>
      <c r="B145" s="102">
        <v>3.8250000000000002</v>
      </c>
      <c r="C145" s="102">
        <v>4.367</v>
      </c>
      <c r="D145" s="102">
        <v>4.6950000000000003</v>
      </c>
      <c r="E145" s="102">
        <v>4.931</v>
      </c>
      <c r="F145" s="102">
        <v>5.1139999999999999</v>
      </c>
      <c r="G145" s="102">
        <v>5.2649999999999997</v>
      </c>
      <c r="H145" s="102">
        <v>5.3920000000000003</v>
      </c>
      <c r="I145" s="102">
        <v>5.5019999999999998</v>
      </c>
      <c r="J145" s="102">
        <v>5.5990000000000002</v>
      </c>
      <c r="K145" s="102">
        <v>5.6849999999999996</v>
      </c>
      <c r="L145" s="102">
        <v>5.7640000000000002</v>
      </c>
      <c r="M145" s="102">
        <v>5.835</v>
      </c>
      <c r="N145" s="102">
        <v>5.9</v>
      </c>
      <c r="O145" s="102">
        <v>5.9610000000000003</v>
      </c>
      <c r="P145" s="102">
        <v>6.0170000000000003</v>
      </c>
      <c r="Q145" s="102">
        <v>6.069</v>
      </c>
      <c r="R145" s="102">
        <v>6.1180000000000003</v>
      </c>
      <c r="S145" s="102">
        <v>6.165</v>
      </c>
      <c r="T145" s="102">
        <v>6.2080000000000002</v>
      </c>
    </row>
    <row r="146" spans="1:20">
      <c r="A146">
        <v>48</v>
      </c>
      <c r="B146" s="102">
        <v>3.7930000000000001</v>
      </c>
      <c r="C146" s="102">
        <v>4.3239999999999998</v>
      </c>
      <c r="D146" s="102">
        <v>4.6440000000000001</v>
      </c>
      <c r="E146" s="102">
        <v>4.8739999999999997</v>
      </c>
      <c r="F146" s="102">
        <v>5.0519999999999996</v>
      </c>
      <c r="G146" s="102">
        <v>5.1980000000000004</v>
      </c>
      <c r="H146" s="102">
        <v>5.3220000000000001</v>
      </c>
      <c r="I146" s="102">
        <v>5.4279999999999999</v>
      </c>
      <c r="J146" s="102">
        <v>5.5220000000000002</v>
      </c>
      <c r="K146" s="102">
        <v>5.6059999999999999</v>
      </c>
      <c r="L146" s="102">
        <v>5.681</v>
      </c>
      <c r="M146" s="102">
        <v>5.75</v>
      </c>
      <c r="N146" s="102">
        <v>5.8140000000000001</v>
      </c>
      <c r="O146" s="102">
        <v>5.8719999999999999</v>
      </c>
      <c r="P146" s="102">
        <v>5.9260000000000002</v>
      </c>
      <c r="Q146" s="102">
        <v>5.9770000000000003</v>
      </c>
      <c r="R146" s="102">
        <v>6.024</v>
      </c>
      <c r="S146" s="102">
        <v>6.069</v>
      </c>
      <c r="T146" s="102">
        <v>6.1109999999999998</v>
      </c>
    </row>
    <row r="147" spans="1:20">
      <c r="A147">
        <v>60</v>
      </c>
      <c r="B147" s="102">
        <v>3.762</v>
      </c>
      <c r="C147" s="102">
        <v>4.282</v>
      </c>
      <c r="D147" s="102">
        <v>4.5940000000000003</v>
      </c>
      <c r="E147" s="102">
        <v>4.8179999999999996</v>
      </c>
      <c r="F147" s="102">
        <v>4.9909999999999997</v>
      </c>
      <c r="G147" s="102">
        <v>5.133</v>
      </c>
      <c r="H147" s="102">
        <v>5.2530000000000001</v>
      </c>
      <c r="I147" s="102">
        <v>5.3559999999999999</v>
      </c>
      <c r="J147" s="102">
        <v>5.4470000000000001</v>
      </c>
      <c r="K147" s="102">
        <v>5.5279999999999996</v>
      </c>
      <c r="L147" s="102">
        <v>5.601</v>
      </c>
      <c r="M147" s="102">
        <v>5.6669999999999998</v>
      </c>
      <c r="N147" s="102">
        <v>5.7279999999999998</v>
      </c>
      <c r="O147" s="102">
        <v>5.7839999999999998</v>
      </c>
      <c r="P147" s="102">
        <v>5.8369999999999997</v>
      </c>
      <c r="Q147" s="102">
        <v>5.8860000000000001</v>
      </c>
      <c r="R147" s="102">
        <v>5.931</v>
      </c>
      <c r="S147" s="102">
        <v>5.9740000000000002</v>
      </c>
      <c r="T147" s="102">
        <v>6.0149999999999997</v>
      </c>
    </row>
    <row r="148" spans="1:20">
      <c r="A148">
        <v>80</v>
      </c>
      <c r="B148" s="102">
        <v>3.7320000000000002</v>
      </c>
      <c r="C148" s="102">
        <v>4.2409999999999997</v>
      </c>
      <c r="D148" s="102">
        <v>4.5449999999999999</v>
      </c>
      <c r="E148" s="102">
        <v>4.7629999999999999</v>
      </c>
      <c r="F148" s="102">
        <v>4.931</v>
      </c>
      <c r="G148" s="102">
        <v>5.069</v>
      </c>
      <c r="H148" s="102">
        <v>5.1849999999999996</v>
      </c>
      <c r="I148" s="102">
        <v>5.2839999999999998</v>
      </c>
      <c r="J148" s="102">
        <v>5.3719999999999999</v>
      </c>
      <c r="K148" s="102">
        <v>5.4509999999999996</v>
      </c>
      <c r="L148" s="102">
        <v>5.5209999999999999</v>
      </c>
      <c r="M148" s="102">
        <v>5.585</v>
      </c>
      <c r="N148" s="102">
        <v>5.6440000000000001</v>
      </c>
      <c r="O148" s="102">
        <v>5.6980000000000004</v>
      </c>
      <c r="P148" s="102">
        <v>5.7489999999999997</v>
      </c>
      <c r="Q148" s="102">
        <v>5.7960000000000003</v>
      </c>
      <c r="R148" s="102">
        <v>5.84</v>
      </c>
      <c r="S148" s="102">
        <v>5.8810000000000002</v>
      </c>
      <c r="T148" s="102">
        <v>5.92</v>
      </c>
    </row>
    <row r="149" spans="1:20">
      <c r="A149">
        <v>120</v>
      </c>
      <c r="B149" s="102">
        <v>3.702</v>
      </c>
      <c r="C149" s="102">
        <v>4.2</v>
      </c>
      <c r="D149" s="102">
        <v>4.4969999999999999</v>
      </c>
      <c r="E149" s="102">
        <v>4.7089999999999996</v>
      </c>
      <c r="F149" s="102">
        <v>4.8719999999999999</v>
      </c>
      <c r="G149" s="102">
        <v>5.0049999999999999</v>
      </c>
      <c r="H149" s="102">
        <v>5.1180000000000003</v>
      </c>
      <c r="I149" s="102">
        <v>5.2140000000000004</v>
      </c>
      <c r="J149" s="102">
        <v>5.2990000000000004</v>
      </c>
      <c r="K149" s="102">
        <v>5.375</v>
      </c>
      <c r="L149" s="102">
        <v>5.4429999999999996</v>
      </c>
      <c r="M149" s="102">
        <v>5.5049999999999999</v>
      </c>
      <c r="N149" s="102">
        <v>5.5609999999999999</v>
      </c>
      <c r="O149" s="102">
        <v>5.6139999999999999</v>
      </c>
      <c r="P149" s="102">
        <v>5.6619999999999999</v>
      </c>
      <c r="Q149" s="102">
        <v>5.7080000000000002</v>
      </c>
      <c r="R149" s="102">
        <v>5.75</v>
      </c>
      <c r="S149" s="102">
        <v>5.79</v>
      </c>
      <c r="T149" s="102">
        <v>5.827</v>
      </c>
    </row>
    <row r="150" spans="1:20">
      <c r="A150">
        <v>240</v>
      </c>
      <c r="B150" s="102">
        <v>3.6720000000000002</v>
      </c>
      <c r="C150" s="102">
        <v>4.16</v>
      </c>
      <c r="D150" s="102">
        <v>4.45</v>
      </c>
      <c r="E150" s="102">
        <v>4.6550000000000002</v>
      </c>
      <c r="F150" s="102">
        <v>4.8140000000000001</v>
      </c>
      <c r="G150" s="102">
        <v>4.9429999999999996</v>
      </c>
      <c r="H150" s="102">
        <v>5.0519999999999996</v>
      </c>
      <c r="I150" s="102">
        <v>5.1449999999999996</v>
      </c>
      <c r="J150" s="102">
        <v>5.2270000000000003</v>
      </c>
      <c r="K150" s="102">
        <v>5.3</v>
      </c>
      <c r="L150" s="102">
        <v>5.3659999999999997</v>
      </c>
      <c r="M150" s="102">
        <v>5.4260000000000002</v>
      </c>
      <c r="N150" s="102">
        <v>5.48</v>
      </c>
      <c r="O150" s="102">
        <v>5.53</v>
      </c>
      <c r="P150" s="102">
        <v>5.577</v>
      </c>
      <c r="Q150" s="102">
        <v>5.6210000000000004</v>
      </c>
      <c r="R150" s="102">
        <v>5.6609999999999996</v>
      </c>
      <c r="S150" s="102">
        <v>5.6989999999999998</v>
      </c>
      <c r="T150" s="102">
        <v>5.7350000000000003</v>
      </c>
    </row>
    <row r="151" spans="1:20">
      <c r="A151" s="19" t="s">
        <v>318</v>
      </c>
      <c r="B151" s="102">
        <v>3.6429999999999998</v>
      </c>
      <c r="C151" s="102">
        <v>4.12</v>
      </c>
      <c r="D151" s="102">
        <v>4.4029999999999996</v>
      </c>
      <c r="E151" s="102">
        <v>4.6029999999999998</v>
      </c>
      <c r="F151" s="102">
        <v>4.7569999999999997</v>
      </c>
      <c r="G151" s="102">
        <v>4.8819999999999997</v>
      </c>
      <c r="H151" s="102">
        <v>4.9870000000000001</v>
      </c>
      <c r="I151" s="102">
        <v>5.0780000000000003</v>
      </c>
      <c r="J151" s="102">
        <v>5.157</v>
      </c>
      <c r="K151" s="102">
        <v>5.2270000000000003</v>
      </c>
      <c r="L151" s="102">
        <v>5.29</v>
      </c>
      <c r="M151" s="102">
        <v>5.3479999999999999</v>
      </c>
      <c r="N151" s="102">
        <v>5.4</v>
      </c>
      <c r="O151" s="102">
        <v>5.4480000000000004</v>
      </c>
      <c r="P151" s="102">
        <v>5.4930000000000003</v>
      </c>
      <c r="Q151" s="102">
        <v>5.5350000000000001</v>
      </c>
      <c r="R151" s="102">
        <v>5.5739999999999998</v>
      </c>
      <c r="S151" s="102">
        <v>5.6109999999999998</v>
      </c>
      <c r="T151" s="102">
        <v>5.6449999999999996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sheetPr codeName="Sheet111"/>
  <dimension ref="A1:W151"/>
  <sheetViews>
    <sheetView workbookViewId="0"/>
  </sheetViews>
  <sheetFormatPr defaultRowHeight="14.4"/>
  <cols>
    <col min="1" max="23" width="7.33203125" customWidth="1"/>
  </cols>
  <sheetData>
    <row r="1" spans="1:23">
      <c r="A1" s="1" t="s">
        <v>316</v>
      </c>
    </row>
    <row r="3" spans="1:23">
      <c r="A3" t="s">
        <v>116</v>
      </c>
      <c r="B3">
        <v>0.01</v>
      </c>
    </row>
    <row r="4" spans="1:23">
      <c r="B4" t="s">
        <v>317</v>
      </c>
    </row>
    <row r="5" spans="1:23">
      <c r="A5" s="19" t="s">
        <v>186</v>
      </c>
      <c r="B5">
        <v>2</v>
      </c>
      <c r="C5">
        <f>B5+1</f>
        <v>3</v>
      </c>
      <c r="D5">
        <f t="shared" ref="D5:L5" si="0">C5+1</f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v>13</v>
      </c>
      <c r="N5">
        <f>M5+1</f>
        <v>14</v>
      </c>
      <c r="O5">
        <f>N5+1</f>
        <v>15</v>
      </c>
      <c r="P5">
        <f>O5+1</f>
        <v>16</v>
      </c>
      <c r="Q5">
        <f>P5+2</f>
        <v>18</v>
      </c>
      <c r="R5">
        <f>Q5+2</f>
        <v>20</v>
      </c>
      <c r="S5">
        <f>R5+4</f>
        <v>24</v>
      </c>
      <c r="T5">
        <f>S5+4</f>
        <v>28</v>
      </c>
      <c r="U5">
        <f>T5+4</f>
        <v>32</v>
      </c>
      <c r="V5">
        <f>U5+4</f>
        <v>36</v>
      </c>
      <c r="W5">
        <f>V5+4</f>
        <v>40</v>
      </c>
    </row>
    <row r="6" spans="1:23" ht="15.75" customHeight="1">
      <c r="A6">
        <v>1</v>
      </c>
      <c r="B6">
        <v>90.03</v>
      </c>
      <c r="C6">
        <v>135</v>
      </c>
      <c r="D6">
        <v>164.3</v>
      </c>
      <c r="E6">
        <v>185.6</v>
      </c>
      <c r="F6">
        <v>202.2</v>
      </c>
      <c r="G6">
        <v>215.8</v>
      </c>
      <c r="H6">
        <v>227.2</v>
      </c>
      <c r="I6">
        <v>237</v>
      </c>
      <c r="J6">
        <v>245.6</v>
      </c>
      <c r="K6">
        <v>253.2</v>
      </c>
      <c r="L6">
        <v>260</v>
      </c>
      <c r="M6">
        <v>266.2</v>
      </c>
      <c r="N6">
        <v>271.8</v>
      </c>
      <c r="O6">
        <v>277</v>
      </c>
      <c r="P6">
        <v>281.8</v>
      </c>
      <c r="Q6">
        <v>290.39999999999998</v>
      </c>
      <c r="R6">
        <v>298</v>
      </c>
      <c r="S6">
        <v>310.8</v>
      </c>
      <c r="T6">
        <v>321.3</v>
      </c>
      <c r="U6">
        <v>330.3</v>
      </c>
      <c r="V6">
        <v>338</v>
      </c>
      <c r="W6">
        <v>344.8</v>
      </c>
    </row>
    <row r="7" spans="1:23">
      <c r="A7">
        <v>2</v>
      </c>
      <c r="B7">
        <v>14.04</v>
      </c>
      <c r="C7">
        <v>19.02</v>
      </c>
      <c r="D7">
        <v>22.29</v>
      </c>
      <c r="E7">
        <v>24.72</v>
      </c>
      <c r="F7">
        <v>26.63</v>
      </c>
      <c r="G7">
        <v>28.2</v>
      </c>
      <c r="H7">
        <v>29.53</v>
      </c>
      <c r="I7">
        <v>30.68</v>
      </c>
      <c r="J7">
        <v>31.69</v>
      </c>
      <c r="K7">
        <v>32.590000000000003</v>
      </c>
      <c r="L7">
        <v>33.4</v>
      </c>
      <c r="M7">
        <v>34.130000000000003</v>
      </c>
      <c r="N7">
        <v>34.81</v>
      </c>
      <c r="O7">
        <v>35.43</v>
      </c>
      <c r="P7">
        <v>36</v>
      </c>
      <c r="Q7">
        <v>37.03</v>
      </c>
      <c r="R7">
        <v>37.950000000000003</v>
      </c>
      <c r="S7">
        <v>39.49</v>
      </c>
      <c r="T7">
        <v>40.76</v>
      </c>
      <c r="U7">
        <v>41.84</v>
      </c>
      <c r="V7">
        <v>42.78</v>
      </c>
      <c r="W7">
        <v>43.61</v>
      </c>
    </row>
    <row r="8" spans="1:23">
      <c r="A8">
        <v>3</v>
      </c>
      <c r="B8">
        <v>8.2609999999999992</v>
      </c>
      <c r="C8">
        <v>10.62</v>
      </c>
      <c r="D8">
        <v>12.17</v>
      </c>
      <c r="E8">
        <v>13.33</v>
      </c>
      <c r="F8">
        <v>14.24</v>
      </c>
      <c r="G8">
        <v>15</v>
      </c>
      <c r="H8">
        <v>15.64</v>
      </c>
      <c r="I8">
        <v>16.2</v>
      </c>
      <c r="J8">
        <v>16.690000000000001</v>
      </c>
      <c r="K8">
        <v>17.13</v>
      </c>
      <c r="L8">
        <v>17.53</v>
      </c>
      <c r="M8">
        <v>17.89</v>
      </c>
      <c r="N8">
        <v>18.22</v>
      </c>
      <c r="O8">
        <v>18.52</v>
      </c>
      <c r="P8">
        <v>18.809999999999999</v>
      </c>
      <c r="Q8">
        <v>19.32</v>
      </c>
      <c r="R8">
        <v>19.77</v>
      </c>
      <c r="S8">
        <v>20.53</v>
      </c>
      <c r="T8">
        <v>21.16</v>
      </c>
      <c r="U8">
        <v>21.7</v>
      </c>
      <c r="V8">
        <v>22.17</v>
      </c>
      <c r="W8">
        <v>22.59</v>
      </c>
    </row>
    <row r="9" spans="1:23">
      <c r="A9">
        <v>4</v>
      </c>
      <c r="B9">
        <v>6.5119999999999996</v>
      </c>
      <c r="C9">
        <v>8.1199999999999992</v>
      </c>
      <c r="D9">
        <v>9.173</v>
      </c>
      <c r="E9">
        <v>9.9580000000000002</v>
      </c>
      <c r="F9">
        <v>10.58</v>
      </c>
      <c r="G9">
        <v>11.1</v>
      </c>
      <c r="H9">
        <v>11.55</v>
      </c>
      <c r="I9">
        <v>11.93</v>
      </c>
      <c r="J9">
        <v>12.27</v>
      </c>
      <c r="K9">
        <v>12.57</v>
      </c>
      <c r="L9">
        <v>12.84</v>
      </c>
      <c r="M9">
        <v>13.09</v>
      </c>
      <c r="N9">
        <v>13.32</v>
      </c>
      <c r="O9">
        <v>13.53</v>
      </c>
      <c r="P9">
        <v>13.73</v>
      </c>
      <c r="Q9">
        <v>14.08</v>
      </c>
      <c r="R9">
        <v>14.4</v>
      </c>
      <c r="S9">
        <v>14.93</v>
      </c>
      <c r="T9">
        <v>15.37</v>
      </c>
      <c r="U9">
        <v>15.75</v>
      </c>
      <c r="V9">
        <v>16.079999999999998</v>
      </c>
      <c r="W9">
        <v>16.37</v>
      </c>
    </row>
    <row r="10" spans="1:23">
      <c r="A10">
        <v>5</v>
      </c>
      <c r="B10">
        <v>5.702</v>
      </c>
      <c r="C10">
        <v>6.976</v>
      </c>
      <c r="D10">
        <v>7.8040000000000003</v>
      </c>
      <c r="E10">
        <v>8.4209999999999994</v>
      </c>
      <c r="F10">
        <v>8.9130000000000003</v>
      </c>
      <c r="G10">
        <v>9.3209999999999997</v>
      </c>
      <c r="H10">
        <v>9.6690000000000005</v>
      </c>
      <c r="I10">
        <v>9.9719999999999995</v>
      </c>
      <c r="J10">
        <v>10.24</v>
      </c>
      <c r="K10">
        <v>10.48</v>
      </c>
      <c r="L10">
        <v>10.7</v>
      </c>
      <c r="M10">
        <v>10.89</v>
      </c>
      <c r="N10">
        <v>11.08</v>
      </c>
      <c r="O10">
        <v>11.24</v>
      </c>
      <c r="P10">
        <v>11.4</v>
      </c>
      <c r="Q10">
        <v>11.68</v>
      </c>
      <c r="R10">
        <v>11.93</v>
      </c>
      <c r="S10">
        <v>12.36</v>
      </c>
      <c r="T10">
        <v>12.71</v>
      </c>
      <c r="U10">
        <v>13.02</v>
      </c>
      <c r="V10">
        <v>13.28</v>
      </c>
      <c r="W10">
        <v>13.52</v>
      </c>
    </row>
    <row r="11" spans="1:23">
      <c r="A11">
        <v>6</v>
      </c>
      <c r="B11">
        <v>5.2430000000000003</v>
      </c>
      <c r="C11">
        <v>6.3310000000000004</v>
      </c>
      <c r="D11">
        <v>7.0330000000000004</v>
      </c>
      <c r="E11">
        <v>7.556</v>
      </c>
      <c r="F11">
        <v>7.9729999999999999</v>
      </c>
      <c r="G11">
        <v>8.3179999999999996</v>
      </c>
      <c r="H11">
        <v>8.6129999999999995</v>
      </c>
      <c r="I11">
        <v>8.8689999999999998</v>
      </c>
      <c r="J11">
        <v>9.0969999999999995</v>
      </c>
      <c r="K11">
        <v>9.3010000000000002</v>
      </c>
      <c r="L11">
        <v>9.4849999999999994</v>
      </c>
      <c r="M11">
        <v>9.6530000000000005</v>
      </c>
      <c r="N11">
        <v>9.8079999999999998</v>
      </c>
      <c r="O11">
        <v>9.9510000000000005</v>
      </c>
      <c r="P11">
        <v>10.08</v>
      </c>
      <c r="Q11">
        <v>10.32</v>
      </c>
      <c r="R11">
        <v>10.54</v>
      </c>
      <c r="S11">
        <v>10.91</v>
      </c>
      <c r="T11">
        <v>11.21</v>
      </c>
      <c r="U11">
        <v>11.47</v>
      </c>
      <c r="V11">
        <v>11.69</v>
      </c>
      <c r="W11">
        <v>11.9</v>
      </c>
    </row>
    <row r="12" spans="1:23">
      <c r="A12">
        <v>7</v>
      </c>
      <c r="B12">
        <v>4.9489999999999998</v>
      </c>
      <c r="C12">
        <v>5.9189999999999996</v>
      </c>
      <c r="D12">
        <v>6.5430000000000001</v>
      </c>
      <c r="E12">
        <v>7.0049999999999999</v>
      </c>
      <c r="F12">
        <v>7.3730000000000002</v>
      </c>
      <c r="G12">
        <v>7.6790000000000003</v>
      </c>
      <c r="H12">
        <v>7.9390000000000001</v>
      </c>
      <c r="I12">
        <v>8.1660000000000004</v>
      </c>
      <c r="J12">
        <v>8.3680000000000003</v>
      </c>
      <c r="K12">
        <v>8.548</v>
      </c>
      <c r="L12">
        <v>8.7110000000000003</v>
      </c>
      <c r="M12">
        <v>8.86</v>
      </c>
      <c r="N12">
        <v>8.9969999999999999</v>
      </c>
      <c r="O12">
        <v>9.1240000000000006</v>
      </c>
      <c r="P12">
        <v>9.2420000000000009</v>
      </c>
      <c r="Q12">
        <v>9.4559999999999995</v>
      </c>
      <c r="R12">
        <v>9.6460000000000008</v>
      </c>
      <c r="S12">
        <v>9.9700000000000006</v>
      </c>
      <c r="T12">
        <v>10.24</v>
      </c>
      <c r="U12">
        <v>10.47</v>
      </c>
      <c r="V12">
        <v>10.67</v>
      </c>
      <c r="W12">
        <v>10.85</v>
      </c>
    </row>
    <row r="13" spans="1:23">
      <c r="A13">
        <v>8</v>
      </c>
      <c r="B13">
        <v>4.7460000000000004</v>
      </c>
      <c r="C13">
        <v>5.6349999999999998</v>
      </c>
      <c r="D13">
        <v>6.2039999999999997</v>
      </c>
      <c r="E13">
        <v>6.625</v>
      </c>
      <c r="F13">
        <v>6.96</v>
      </c>
      <c r="G13">
        <v>7.2370000000000001</v>
      </c>
      <c r="H13">
        <v>7.4740000000000002</v>
      </c>
      <c r="I13">
        <v>7.681</v>
      </c>
      <c r="J13">
        <v>7.8630000000000004</v>
      </c>
      <c r="K13">
        <v>8.0269999999999992</v>
      </c>
      <c r="L13">
        <v>8.1760000000000002</v>
      </c>
      <c r="M13">
        <v>8.3119999999999994</v>
      </c>
      <c r="N13">
        <v>8.4359999999999999</v>
      </c>
      <c r="O13">
        <v>8.5519999999999996</v>
      </c>
      <c r="P13">
        <v>8.6590000000000007</v>
      </c>
      <c r="Q13">
        <v>8.8539999999999992</v>
      </c>
      <c r="R13">
        <v>9.0269999999999992</v>
      </c>
      <c r="S13">
        <v>9.3219999999999992</v>
      </c>
      <c r="T13">
        <v>9.5690000000000008</v>
      </c>
      <c r="U13">
        <v>9.7789999999999999</v>
      </c>
      <c r="V13">
        <v>9.9640000000000004</v>
      </c>
      <c r="W13">
        <v>10.130000000000001</v>
      </c>
    </row>
    <row r="14" spans="1:23">
      <c r="A14">
        <v>9</v>
      </c>
      <c r="B14">
        <v>4.5960000000000001</v>
      </c>
      <c r="C14">
        <v>5.4279999999999999</v>
      </c>
      <c r="D14">
        <v>5.9569999999999999</v>
      </c>
      <c r="E14">
        <v>6.3479999999999999</v>
      </c>
      <c r="F14">
        <v>6.6580000000000004</v>
      </c>
      <c r="G14">
        <v>6.915</v>
      </c>
      <c r="H14">
        <v>7.1340000000000003</v>
      </c>
      <c r="I14">
        <v>7.3250000000000002</v>
      </c>
      <c r="J14">
        <v>7.4950000000000001</v>
      </c>
      <c r="K14">
        <v>7.6470000000000002</v>
      </c>
      <c r="L14">
        <v>7.7839999999999998</v>
      </c>
      <c r="M14">
        <v>7.91</v>
      </c>
      <c r="N14">
        <v>8.0250000000000004</v>
      </c>
      <c r="O14">
        <v>8.1319999999999997</v>
      </c>
      <c r="P14">
        <v>8.2319999999999993</v>
      </c>
      <c r="Q14">
        <v>8.4120000000000008</v>
      </c>
      <c r="R14">
        <v>8.5730000000000004</v>
      </c>
      <c r="S14">
        <v>8.8469999999999995</v>
      </c>
      <c r="T14">
        <v>9.0749999999999993</v>
      </c>
      <c r="U14">
        <v>9.2710000000000008</v>
      </c>
      <c r="V14">
        <v>9.4429999999999996</v>
      </c>
      <c r="W14">
        <v>9.5939999999999994</v>
      </c>
    </row>
    <row r="15" spans="1:23">
      <c r="A15">
        <v>10</v>
      </c>
      <c r="B15">
        <v>4.4820000000000002</v>
      </c>
      <c r="C15">
        <v>5.27</v>
      </c>
      <c r="D15">
        <v>5.7690000000000001</v>
      </c>
      <c r="E15">
        <v>6.1360000000000001</v>
      </c>
      <c r="F15">
        <v>6.4279999999999999</v>
      </c>
      <c r="G15">
        <v>6.6689999999999996</v>
      </c>
      <c r="H15">
        <v>6.875</v>
      </c>
      <c r="I15">
        <v>7.0549999999999997</v>
      </c>
      <c r="J15">
        <v>7.2130000000000001</v>
      </c>
      <c r="K15">
        <v>7.3559999999999999</v>
      </c>
      <c r="L15">
        <v>7.4850000000000003</v>
      </c>
      <c r="M15">
        <v>7.6029999999999998</v>
      </c>
      <c r="N15">
        <v>7.7119999999999997</v>
      </c>
      <c r="O15">
        <v>7.8120000000000003</v>
      </c>
      <c r="P15">
        <v>7.9059999999999997</v>
      </c>
      <c r="Q15">
        <v>8.0760000000000005</v>
      </c>
      <c r="R15">
        <v>8.2260000000000009</v>
      </c>
      <c r="S15">
        <v>8.4830000000000005</v>
      </c>
      <c r="T15">
        <v>8.6980000000000004</v>
      </c>
      <c r="U15">
        <v>8.8829999999999991</v>
      </c>
      <c r="V15">
        <v>9.0440000000000005</v>
      </c>
      <c r="W15">
        <v>9.1869999999999994</v>
      </c>
    </row>
    <row r="16" spans="1:23">
      <c r="A16">
        <v>11</v>
      </c>
      <c r="B16">
        <v>4.3920000000000003</v>
      </c>
      <c r="C16">
        <v>5.1459999999999999</v>
      </c>
      <c r="D16">
        <v>5.6210000000000004</v>
      </c>
      <c r="E16">
        <v>5.97</v>
      </c>
      <c r="F16">
        <v>6.2469999999999999</v>
      </c>
      <c r="G16">
        <v>6.476</v>
      </c>
      <c r="H16">
        <v>6.6719999999999997</v>
      </c>
      <c r="I16">
        <v>6.8419999999999996</v>
      </c>
      <c r="J16">
        <v>6.992</v>
      </c>
      <c r="K16">
        <v>7.1280000000000001</v>
      </c>
      <c r="L16">
        <v>7.25</v>
      </c>
      <c r="M16">
        <v>7.3620000000000001</v>
      </c>
      <c r="N16">
        <v>7.4649999999999999</v>
      </c>
      <c r="O16">
        <v>7.56</v>
      </c>
      <c r="P16">
        <v>7.649</v>
      </c>
      <c r="Q16">
        <v>7.8090000000000002</v>
      </c>
      <c r="R16">
        <v>7.952</v>
      </c>
      <c r="S16">
        <v>8.1959999999999997</v>
      </c>
      <c r="T16">
        <v>8.4</v>
      </c>
      <c r="U16">
        <v>8.5749999999999993</v>
      </c>
      <c r="V16">
        <v>8.7279999999999998</v>
      </c>
      <c r="W16">
        <v>8.8640000000000008</v>
      </c>
    </row>
    <row r="17" spans="1:23">
      <c r="A17">
        <v>12</v>
      </c>
      <c r="B17">
        <v>4.32</v>
      </c>
      <c r="C17">
        <v>5.0460000000000003</v>
      </c>
      <c r="D17">
        <v>5.5019999999999998</v>
      </c>
      <c r="E17">
        <v>5.8360000000000003</v>
      </c>
      <c r="F17">
        <v>6.101</v>
      </c>
      <c r="G17">
        <v>6.3209999999999997</v>
      </c>
      <c r="H17">
        <v>6.5069999999999997</v>
      </c>
      <c r="I17">
        <v>6.67</v>
      </c>
      <c r="J17">
        <v>6.8140000000000001</v>
      </c>
      <c r="K17">
        <v>6.9429999999999996</v>
      </c>
      <c r="L17">
        <v>7.06</v>
      </c>
      <c r="M17">
        <v>7.1669999999999998</v>
      </c>
      <c r="N17">
        <v>7.2649999999999997</v>
      </c>
      <c r="O17">
        <v>7.3559999999999999</v>
      </c>
      <c r="P17">
        <v>7.4409999999999998</v>
      </c>
      <c r="Q17">
        <v>7.5940000000000003</v>
      </c>
      <c r="R17">
        <v>7.7309999999999999</v>
      </c>
      <c r="S17">
        <v>7.9640000000000004</v>
      </c>
      <c r="T17">
        <v>8.1590000000000007</v>
      </c>
      <c r="U17">
        <v>8.327</v>
      </c>
      <c r="V17">
        <v>8.4730000000000008</v>
      </c>
      <c r="W17">
        <v>8.6029999999999998</v>
      </c>
    </row>
    <row r="18" spans="1:23">
      <c r="A18">
        <v>13</v>
      </c>
      <c r="B18">
        <v>4.26</v>
      </c>
      <c r="C18">
        <v>4.9640000000000004</v>
      </c>
      <c r="D18">
        <v>5.4039999999999999</v>
      </c>
      <c r="E18">
        <v>5.7270000000000003</v>
      </c>
      <c r="F18">
        <v>5.9809999999999999</v>
      </c>
      <c r="G18">
        <v>6.1920000000000002</v>
      </c>
      <c r="H18">
        <v>6.3719999999999999</v>
      </c>
      <c r="I18">
        <v>6.5279999999999996</v>
      </c>
      <c r="J18">
        <v>6.6669999999999998</v>
      </c>
      <c r="K18">
        <v>6.7910000000000004</v>
      </c>
      <c r="L18">
        <v>6.9029999999999996</v>
      </c>
      <c r="M18">
        <v>7.0060000000000002</v>
      </c>
      <c r="N18">
        <v>7.101</v>
      </c>
      <c r="O18">
        <v>7.1879999999999997</v>
      </c>
      <c r="P18">
        <v>7.2690000000000001</v>
      </c>
      <c r="Q18">
        <v>7.4169999999999998</v>
      </c>
      <c r="R18">
        <v>7.548</v>
      </c>
      <c r="S18">
        <v>7.7720000000000002</v>
      </c>
      <c r="T18">
        <v>7.96</v>
      </c>
      <c r="U18">
        <v>8.1210000000000004</v>
      </c>
      <c r="V18">
        <v>8.2620000000000005</v>
      </c>
      <c r="W18">
        <v>8.3870000000000005</v>
      </c>
    </row>
    <row r="19" spans="1:23">
      <c r="A19">
        <v>14</v>
      </c>
      <c r="B19">
        <v>4.21</v>
      </c>
      <c r="C19">
        <v>4.8949999999999996</v>
      </c>
      <c r="D19">
        <v>5.3220000000000001</v>
      </c>
      <c r="E19">
        <v>5.6340000000000003</v>
      </c>
      <c r="F19">
        <v>5.8810000000000002</v>
      </c>
      <c r="G19">
        <v>6.085</v>
      </c>
      <c r="H19">
        <v>6.258</v>
      </c>
      <c r="I19">
        <v>6.4089999999999998</v>
      </c>
      <c r="J19">
        <v>6.5430000000000001</v>
      </c>
      <c r="K19">
        <v>6.6639999999999997</v>
      </c>
      <c r="L19">
        <v>6.7720000000000002</v>
      </c>
      <c r="M19">
        <v>5.8710000000000004</v>
      </c>
      <c r="N19">
        <v>6.9619999999999997</v>
      </c>
      <c r="O19">
        <v>7.0469999999999997</v>
      </c>
      <c r="P19">
        <v>7.1260000000000003</v>
      </c>
      <c r="Q19">
        <v>7.2679999999999998</v>
      </c>
      <c r="R19">
        <v>7.3949999999999996</v>
      </c>
      <c r="S19">
        <v>7.6109999999999998</v>
      </c>
      <c r="T19">
        <v>7.7919999999999998</v>
      </c>
      <c r="U19">
        <v>7.9480000000000004</v>
      </c>
      <c r="V19">
        <v>8.0839999999999996</v>
      </c>
      <c r="W19">
        <v>8.2040000000000006</v>
      </c>
    </row>
    <row r="20" spans="1:23">
      <c r="A20">
        <v>15</v>
      </c>
      <c r="B20">
        <v>4.1680000000000001</v>
      </c>
      <c r="C20">
        <v>4.8360000000000003</v>
      </c>
      <c r="D20">
        <v>5.2519999999999998</v>
      </c>
      <c r="E20">
        <v>5.556</v>
      </c>
      <c r="F20">
        <v>5.7960000000000003</v>
      </c>
      <c r="G20">
        <v>5.9939999999999998</v>
      </c>
      <c r="H20">
        <v>6.1619999999999999</v>
      </c>
      <c r="I20">
        <v>6.3090000000000002</v>
      </c>
      <c r="J20">
        <v>6.4390000000000001</v>
      </c>
      <c r="K20">
        <v>6.5549999999999997</v>
      </c>
      <c r="L20">
        <v>6.66</v>
      </c>
      <c r="M20">
        <v>5.7569999999999997</v>
      </c>
      <c r="N20">
        <v>6.8449999999999998</v>
      </c>
      <c r="O20">
        <v>6.9269999999999996</v>
      </c>
      <c r="P20">
        <v>7.0030000000000001</v>
      </c>
      <c r="Q20">
        <v>7.1420000000000003</v>
      </c>
      <c r="R20">
        <v>7.2640000000000002</v>
      </c>
      <c r="S20">
        <v>7.4740000000000002</v>
      </c>
      <c r="T20">
        <v>7.65</v>
      </c>
      <c r="U20">
        <v>7.8</v>
      </c>
      <c r="V20">
        <v>7.9320000000000004</v>
      </c>
      <c r="W20">
        <v>8.0489999999999995</v>
      </c>
    </row>
    <row r="21" spans="1:23">
      <c r="A21">
        <v>16</v>
      </c>
      <c r="B21">
        <v>4.1310000000000002</v>
      </c>
      <c r="C21">
        <v>4.7859999999999996</v>
      </c>
      <c r="D21">
        <v>5.1920000000000002</v>
      </c>
      <c r="E21">
        <v>5.4889999999999999</v>
      </c>
      <c r="F21">
        <v>5.7220000000000004</v>
      </c>
      <c r="G21">
        <v>5.915</v>
      </c>
      <c r="H21">
        <v>6.0789999999999997</v>
      </c>
      <c r="I21">
        <v>6.2220000000000004</v>
      </c>
      <c r="J21">
        <v>6.3490000000000002</v>
      </c>
      <c r="K21">
        <v>6.4619999999999997</v>
      </c>
      <c r="L21">
        <v>6.5640000000000001</v>
      </c>
      <c r="M21">
        <v>5.6580000000000004</v>
      </c>
      <c r="N21">
        <v>6.7439999999999998</v>
      </c>
      <c r="O21">
        <v>6.8230000000000004</v>
      </c>
      <c r="P21">
        <v>6.8979999999999997</v>
      </c>
      <c r="Q21">
        <v>7.032</v>
      </c>
      <c r="R21">
        <v>7.1520000000000001</v>
      </c>
      <c r="S21">
        <v>7.3559999999999999</v>
      </c>
      <c r="T21">
        <v>7.5270000000000001</v>
      </c>
      <c r="U21">
        <v>7.673</v>
      </c>
      <c r="V21">
        <v>7.8019999999999996</v>
      </c>
      <c r="W21">
        <v>7.9160000000000004</v>
      </c>
    </row>
    <row r="22" spans="1:23">
      <c r="A22">
        <v>17</v>
      </c>
      <c r="B22">
        <v>4.0990000000000002</v>
      </c>
      <c r="C22">
        <v>4.742</v>
      </c>
      <c r="D22">
        <v>5.14</v>
      </c>
      <c r="E22">
        <v>5.43</v>
      </c>
      <c r="F22">
        <v>5.6589999999999998</v>
      </c>
      <c r="G22">
        <v>5.8470000000000004</v>
      </c>
      <c r="H22">
        <v>6.0069999999999997</v>
      </c>
      <c r="I22">
        <v>6.1470000000000002</v>
      </c>
      <c r="J22">
        <v>6.27</v>
      </c>
      <c r="K22">
        <v>6.3810000000000002</v>
      </c>
      <c r="L22">
        <v>6.48</v>
      </c>
      <c r="M22">
        <v>5.5720000000000001</v>
      </c>
      <c r="N22">
        <v>6.6559999999999997</v>
      </c>
      <c r="O22">
        <v>6.734</v>
      </c>
      <c r="P22">
        <v>6.806</v>
      </c>
      <c r="Q22">
        <v>6.9370000000000003</v>
      </c>
      <c r="R22">
        <v>7.0529999999999999</v>
      </c>
      <c r="S22">
        <v>7.2530000000000001</v>
      </c>
      <c r="T22">
        <v>7.42</v>
      </c>
      <c r="U22">
        <v>7.5629999999999997</v>
      </c>
      <c r="V22">
        <v>7.6870000000000003</v>
      </c>
      <c r="W22">
        <v>7.7990000000000004</v>
      </c>
    </row>
    <row r="23" spans="1:23">
      <c r="A23">
        <v>18</v>
      </c>
      <c r="B23">
        <v>4.0709999999999997</v>
      </c>
      <c r="C23">
        <v>4.7030000000000003</v>
      </c>
      <c r="D23">
        <v>5.0940000000000003</v>
      </c>
      <c r="E23">
        <v>5.3789999999999996</v>
      </c>
      <c r="F23">
        <v>5.6029999999999998</v>
      </c>
      <c r="G23">
        <v>5.7880000000000003</v>
      </c>
      <c r="H23">
        <v>5.944</v>
      </c>
      <c r="I23">
        <v>6.0810000000000004</v>
      </c>
      <c r="J23">
        <v>6.2009999999999996</v>
      </c>
      <c r="K23">
        <v>6.31</v>
      </c>
      <c r="L23">
        <v>6.407</v>
      </c>
      <c r="M23">
        <v>5.4969999999999999</v>
      </c>
      <c r="N23">
        <v>6.5789999999999997</v>
      </c>
      <c r="O23">
        <v>6.6550000000000002</v>
      </c>
      <c r="P23">
        <v>6.7249999999999996</v>
      </c>
      <c r="Q23">
        <v>6.8540000000000001</v>
      </c>
      <c r="R23">
        <v>6.968</v>
      </c>
      <c r="S23">
        <v>7.1630000000000003</v>
      </c>
      <c r="T23">
        <v>7.3250000000000002</v>
      </c>
      <c r="U23">
        <v>7.4649999999999999</v>
      </c>
      <c r="V23">
        <v>7.5869999999999997</v>
      </c>
      <c r="W23">
        <v>7.6959999999999997</v>
      </c>
    </row>
    <row r="24" spans="1:23">
      <c r="A24">
        <v>19</v>
      </c>
      <c r="B24">
        <v>4.0460000000000003</v>
      </c>
      <c r="C24">
        <v>1.67</v>
      </c>
      <c r="D24">
        <v>5.0540000000000003</v>
      </c>
      <c r="E24">
        <v>5.3339999999999996</v>
      </c>
      <c r="F24">
        <v>5.5540000000000003</v>
      </c>
      <c r="G24">
        <v>5.7350000000000003</v>
      </c>
      <c r="H24">
        <v>5.8890000000000002</v>
      </c>
      <c r="I24">
        <v>6.0220000000000002</v>
      </c>
      <c r="J24">
        <v>6.141</v>
      </c>
      <c r="K24">
        <v>6.2469999999999999</v>
      </c>
      <c r="L24">
        <v>6.3419999999999996</v>
      </c>
      <c r="M24">
        <v>5.43</v>
      </c>
      <c r="N24">
        <v>6.51</v>
      </c>
      <c r="O24">
        <v>6.585</v>
      </c>
      <c r="P24">
        <v>6.6539999999999999</v>
      </c>
      <c r="Q24">
        <v>6.78</v>
      </c>
      <c r="R24">
        <v>6.891</v>
      </c>
      <c r="S24">
        <v>7.0819999999999999</v>
      </c>
      <c r="T24">
        <v>7.242</v>
      </c>
      <c r="U24">
        <v>7.3789999999999996</v>
      </c>
      <c r="V24">
        <v>7.4980000000000002</v>
      </c>
      <c r="W24">
        <v>7.6050000000000004</v>
      </c>
    </row>
    <row r="25" spans="1:23">
      <c r="A25">
        <v>20</v>
      </c>
      <c r="B25">
        <v>4.024</v>
      </c>
      <c r="C25">
        <v>4.6390000000000002</v>
      </c>
      <c r="D25">
        <v>5.0179999999999998</v>
      </c>
      <c r="E25">
        <v>5.2939999999999996</v>
      </c>
      <c r="F25">
        <v>5.51</v>
      </c>
      <c r="G25">
        <v>5.6879999999999997</v>
      </c>
      <c r="H25">
        <v>5.8390000000000004</v>
      </c>
      <c r="I25">
        <v>5.97</v>
      </c>
      <c r="J25">
        <v>6.0869999999999997</v>
      </c>
      <c r="K25">
        <v>6.1909999999999998</v>
      </c>
      <c r="L25">
        <v>6.2850000000000001</v>
      </c>
      <c r="M25">
        <v>5.3710000000000004</v>
      </c>
      <c r="N25">
        <v>6.45</v>
      </c>
      <c r="O25">
        <v>6.5229999999999997</v>
      </c>
      <c r="P25">
        <v>6.5910000000000002</v>
      </c>
      <c r="Q25">
        <v>6.7140000000000004</v>
      </c>
      <c r="R25">
        <v>6.8230000000000004</v>
      </c>
      <c r="S25">
        <v>7.0110000000000001</v>
      </c>
      <c r="T25">
        <v>7.1680000000000001</v>
      </c>
      <c r="U25">
        <v>7.3019999999999996</v>
      </c>
      <c r="V25">
        <v>7.4189999999999996</v>
      </c>
      <c r="W25">
        <v>7.5229999999999997</v>
      </c>
    </row>
    <row r="26" spans="1:23">
      <c r="A26">
        <v>24</v>
      </c>
      <c r="B26">
        <v>3.956</v>
      </c>
      <c r="C26">
        <v>4.5460000000000003</v>
      </c>
      <c r="D26">
        <v>4.907</v>
      </c>
      <c r="E26">
        <v>5.1680000000000001</v>
      </c>
      <c r="F26">
        <v>5.3739999999999997</v>
      </c>
      <c r="G26">
        <v>5.5419999999999998</v>
      </c>
      <c r="H26">
        <v>5.6849999999999996</v>
      </c>
      <c r="I26">
        <v>5.8090000000000002</v>
      </c>
      <c r="J26">
        <v>5.9189999999999996</v>
      </c>
      <c r="K26">
        <v>6.0170000000000003</v>
      </c>
      <c r="L26">
        <v>6.1059999999999999</v>
      </c>
      <c r="M26">
        <v>5.1859999999999999</v>
      </c>
      <c r="N26">
        <v>6.2610000000000001</v>
      </c>
      <c r="O26">
        <v>6.33</v>
      </c>
      <c r="P26">
        <v>6.3940000000000001</v>
      </c>
      <c r="Q26">
        <v>6.51</v>
      </c>
      <c r="R26">
        <v>6.6120000000000001</v>
      </c>
      <c r="S26">
        <v>6.7889999999999997</v>
      </c>
      <c r="T26">
        <v>6.9359999999999999</v>
      </c>
      <c r="U26">
        <v>7.0620000000000003</v>
      </c>
      <c r="V26">
        <v>7.173</v>
      </c>
      <c r="W26">
        <v>7.27</v>
      </c>
    </row>
    <row r="27" spans="1:23">
      <c r="A27">
        <v>30</v>
      </c>
      <c r="B27">
        <v>3.8889999999999998</v>
      </c>
      <c r="C27">
        <v>4.4550000000000001</v>
      </c>
      <c r="D27">
        <v>4.7990000000000004</v>
      </c>
      <c r="E27">
        <v>5.048</v>
      </c>
      <c r="F27">
        <v>5.242</v>
      </c>
      <c r="G27">
        <v>5.4009999999999998</v>
      </c>
      <c r="H27">
        <v>5.5359999999999996</v>
      </c>
      <c r="I27">
        <v>5.6529999999999996</v>
      </c>
      <c r="J27">
        <v>5.7560000000000002</v>
      </c>
      <c r="K27">
        <v>5.8490000000000002</v>
      </c>
      <c r="L27">
        <v>5.9320000000000004</v>
      </c>
      <c r="M27">
        <v>5.008</v>
      </c>
      <c r="N27">
        <v>6.0780000000000003</v>
      </c>
      <c r="O27">
        <v>6.1429999999999998</v>
      </c>
      <c r="P27">
        <v>6.2030000000000003</v>
      </c>
      <c r="Q27">
        <v>6.3109999999999999</v>
      </c>
      <c r="R27">
        <v>6.407</v>
      </c>
      <c r="S27">
        <v>6.5720000000000001</v>
      </c>
      <c r="T27">
        <v>6.71</v>
      </c>
      <c r="U27">
        <v>6.8280000000000003</v>
      </c>
      <c r="V27">
        <v>6.9320000000000004</v>
      </c>
      <c r="W27">
        <v>7.0229999999999997</v>
      </c>
    </row>
    <row r="28" spans="1:23">
      <c r="A28">
        <v>40</v>
      </c>
      <c r="B28">
        <v>3.8250000000000002</v>
      </c>
      <c r="C28">
        <v>4.367</v>
      </c>
      <c r="D28">
        <v>4.6959999999999997</v>
      </c>
      <c r="E28">
        <v>4.931</v>
      </c>
      <c r="F28">
        <v>5.1139999999999999</v>
      </c>
      <c r="G28">
        <v>5.2649999999999997</v>
      </c>
      <c r="H28">
        <v>5.3920000000000003</v>
      </c>
      <c r="I28">
        <v>5.5019999999999998</v>
      </c>
      <c r="J28">
        <v>5.5990000000000002</v>
      </c>
      <c r="K28">
        <v>5.6859999999999999</v>
      </c>
      <c r="L28">
        <v>5.7640000000000002</v>
      </c>
      <c r="M28">
        <v>5.835</v>
      </c>
      <c r="N28">
        <v>5.9</v>
      </c>
      <c r="O28">
        <v>5.9610000000000003</v>
      </c>
      <c r="P28">
        <v>6.0170000000000003</v>
      </c>
      <c r="Q28">
        <v>6.1189999999999998</v>
      </c>
      <c r="R28">
        <v>6.2089999999999996</v>
      </c>
      <c r="S28">
        <v>6.3620000000000001</v>
      </c>
      <c r="T28">
        <v>6.49</v>
      </c>
      <c r="U28">
        <v>6.6</v>
      </c>
      <c r="V28">
        <v>6.6970000000000001</v>
      </c>
      <c r="W28">
        <v>6.782</v>
      </c>
    </row>
    <row r="29" spans="1:23">
      <c r="A29">
        <v>60</v>
      </c>
      <c r="B29">
        <v>3.762</v>
      </c>
      <c r="C29">
        <v>4.282</v>
      </c>
      <c r="D29">
        <v>4.5949999999999998</v>
      </c>
      <c r="E29">
        <v>4.8179999999999996</v>
      </c>
      <c r="F29">
        <v>4.9909999999999997</v>
      </c>
      <c r="G29">
        <v>5.133</v>
      </c>
      <c r="H29">
        <v>5.2530000000000001</v>
      </c>
      <c r="I29">
        <v>5.3559999999999999</v>
      </c>
      <c r="J29">
        <v>5.4470000000000001</v>
      </c>
      <c r="K29">
        <v>5.5279999999999996</v>
      </c>
      <c r="L29">
        <v>5.601</v>
      </c>
      <c r="M29">
        <v>5.6669999999999998</v>
      </c>
      <c r="N29">
        <v>5.7279999999999998</v>
      </c>
      <c r="O29">
        <v>5.7850000000000001</v>
      </c>
      <c r="P29">
        <v>5.8369999999999997</v>
      </c>
      <c r="Q29">
        <v>5.931</v>
      </c>
      <c r="R29">
        <v>6.0149999999999997</v>
      </c>
      <c r="S29">
        <v>6.1580000000000004</v>
      </c>
      <c r="T29">
        <v>6.2770000000000001</v>
      </c>
      <c r="U29">
        <v>6.3780000000000001</v>
      </c>
      <c r="V29">
        <v>6.4669999999999996</v>
      </c>
      <c r="W29">
        <v>6.5460000000000003</v>
      </c>
    </row>
    <row r="30" spans="1:23">
      <c r="A30">
        <v>120</v>
      </c>
      <c r="B30">
        <v>3.702</v>
      </c>
      <c r="C30">
        <v>4.2</v>
      </c>
      <c r="D30">
        <v>4.4969999999999999</v>
      </c>
      <c r="E30">
        <v>4.7089999999999996</v>
      </c>
      <c r="F30">
        <v>4.8719999999999999</v>
      </c>
      <c r="G30">
        <v>5.0049999999999999</v>
      </c>
      <c r="H30">
        <v>5.1180000000000003</v>
      </c>
      <c r="I30">
        <v>5.2140000000000004</v>
      </c>
      <c r="J30">
        <v>5.2990000000000004</v>
      </c>
      <c r="K30">
        <v>5.375</v>
      </c>
      <c r="L30">
        <v>5.4429999999999996</v>
      </c>
      <c r="M30">
        <v>5.5049999999999999</v>
      </c>
      <c r="N30">
        <v>5.5620000000000003</v>
      </c>
      <c r="O30">
        <v>5.6139999999999999</v>
      </c>
      <c r="P30">
        <v>5.6619999999999999</v>
      </c>
      <c r="Q30">
        <v>5.75</v>
      </c>
      <c r="R30">
        <v>5.827</v>
      </c>
      <c r="S30">
        <v>5.9589999999999996</v>
      </c>
      <c r="T30">
        <v>6.069</v>
      </c>
      <c r="U30">
        <v>6.1619999999999999</v>
      </c>
      <c r="V30">
        <v>6.2439999999999998</v>
      </c>
      <c r="W30">
        <v>6.3159999999999998</v>
      </c>
    </row>
    <row r="31" spans="1:23">
      <c r="A31" s="19" t="s">
        <v>980</v>
      </c>
      <c r="B31">
        <v>3.6429999999999998</v>
      </c>
      <c r="C31">
        <v>4.12</v>
      </c>
      <c r="D31">
        <v>4.4029999999999996</v>
      </c>
      <c r="E31">
        <v>4.6029999999999998</v>
      </c>
      <c r="F31">
        <v>4.7569999999999997</v>
      </c>
      <c r="G31">
        <v>4.8819999999999997</v>
      </c>
      <c r="H31">
        <v>4.9870000000000001</v>
      </c>
      <c r="I31">
        <v>5.0780000000000003</v>
      </c>
      <c r="J31">
        <v>5.157</v>
      </c>
      <c r="K31">
        <v>5.2270000000000003</v>
      </c>
      <c r="L31">
        <v>5.29</v>
      </c>
      <c r="M31">
        <v>5.3479999999999999</v>
      </c>
      <c r="N31">
        <v>5.4</v>
      </c>
      <c r="O31">
        <v>5.4480000000000004</v>
      </c>
      <c r="P31">
        <v>5.4930000000000003</v>
      </c>
      <c r="Q31">
        <v>5.5739999999999998</v>
      </c>
      <c r="R31">
        <v>5.6449999999999996</v>
      </c>
      <c r="S31">
        <v>5.766</v>
      </c>
      <c r="T31">
        <v>5.8659999999999997</v>
      </c>
      <c r="U31">
        <v>5.952</v>
      </c>
      <c r="V31">
        <v>6.0259999999999998</v>
      </c>
      <c r="W31">
        <v>6.0919999999999996</v>
      </c>
    </row>
    <row r="33" spans="1:23">
      <c r="A33" t="s">
        <v>116</v>
      </c>
      <c r="B33">
        <v>2.5000000000000001E-2</v>
      </c>
    </row>
    <row r="34" spans="1:23">
      <c r="B34" t="s">
        <v>317</v>
      </c>
    </row>
    <row r="35" spans="1:23">
      <c r="A35" s="19" t="s">
        <v>186</v>
      </c>
      <c r="B35">
        <v>2</v>
      </c>
      <c r="C35">
        <f>B35+1</f>
        <v>3</v>
      </c>
      <c r="D35">
        <f t="shared" ref="D35:L35" si="1">C35+1</f>
        <v>4</v>
      </c>
      <c r="E35">
        <f t="shared" si="1"/>
        <v>5</v>
      </c>
      <c r="F35">
        <f t="shared" si="1"/>
        <v>6</v>
      </c>
      <c r="G35">
        <f t="shared" si="1"/>
        <v>7</v>
      </c>
      <c r="H35">
        <f t="shared" si="1"/>
        <v>8</v>
      </c>
      <c r="I35">
        <f t="shared" si="1"/>
        <v>9</v>
      </c>
      <c r="J35">
        <f t="shared" si="1"/>
        <v>10</v>
      </c>
      <c r="K35">
        <f t="shared" si="1"/>
        <v>11</v>
      </c>
      <c r="L35">
        <f t="shared" si="1"/>
        <v>12</v>
      </c>
      <c r="M35">
        <v>13</v>
      </c>
      <c r="N35">
        <f>M35+1</f>
        <v>14</v>
      </c>
      <c r="O35">
        <f>N35+1</f>
        <v>15</v>
      </c>
      <c r="P35">
        <f>O35+1</f>
        <v>16</v>
      </c>
      <c r="Q35">
        <f>P35+2</f>
        <v>18</v>
      </c>
      <c r="R35">
        <f>Q35+2</f>
        <v>20</v>
      </c>
      <c r="S35">
        <f>R35+4</f>
        <v>24</v>
      </c>
      <c r="T35">
        <f>S35+4</f>
        <v>28</v>
      </c>
      <c r="U35">
        <f>T35+4</f>
        <v>32</v>
      </c>
      <c r="V35">
        <f>U35+4</f>
        <v>36</v>
      </c>
      <c r="W35">
        <f>V35+4</f>
        <v>40</v>
      </c>
    </row>
    <row r="36" spans="1:23">
      <c r="A36">
        <v>1</v>
      </c>
      <c r="B36" s="102">
        <v>35.99</v>
      </c>
      <c r="C36" s="102">
        <v>54</v>
      </c>
      <c r="D36" s="102">
        <v>65.69</v>
      </c>
      <c r="E36" s="102">
        <v>74.22</v>
      </c>
      <c r="F36" s="102">
        <v>80.87</v>
      </c>
      <c r="G36" s="102">
        <v>86.29</v>
      </c>
      <c r="H36" s="102">
        <v>90.85</v>
      </c>
      <c r="I36" s="102">
        <v>94.77</v>
      </c>
      <c r="J36" s="102">
        <v>98.2</v>
      </c>
      <c r="K36" s="102">
        <v>101.3</v>
      </c>
      <c r="L36" s="102">
        <v>104</v>
      </c>
      <c r="M36" s="102">
        <v>106.5</v>
      </c>
      <c r="N36" s="102">
        <v>108.8</v>
      </c>
      <c r="O36" s="102">
        <v>110.8</v>
      </c>
      <c r="P36" s="102">
        <v>112.7</v>
      </c>
      <c r="Q36" s="102">
        <v>116.2</v>
      </c>
      <c r="R36" s="102">
        <v>119.2</v>
      </c>
      <c r="S36" s="102">
        <v>124.3</v>
      </c>
      <c r="T36" s="102">
        <v>128.6</v>
      </c>
      <c r="U36" s="102">
        <v>132.1</v>
      </c>
      <c r="V36" s="102">
        <v>135.19999999999999</v>
      </c>
      <c r="W36" s="102">
        <v>137.9</v>
      </c>
    </row>
    <row r="37" spans="1:23">
      <c r="A37">
        <v>2</v>
      </c>
      <c r="B37" s="102">
        <v>8.7759999999999998</v>
      </c>
      <c r="C37" s="102">
        <v>11.94</v>
      </c>
      <c r="D37" s="102">
        <v>14.01</v>
      </c>
      <c r="E37" s="102">
        <v>15.54</v>
      </c>
      <c r="F37" s="102">
        <v>16.75</v>
      </c>
      <c r="G37" s="102">
        <v>17.739999999999998</v>
      </c>
      <c r="H37" s="102">
        <v>18.579999999999998</v>
      </c>
      <c r="I37" s="102">
        <v>19.309999999999999</v>
      </c>
      <c r="J37" s="102">
        <v>19.95</v>
      </c>
      <c r="K37" s="102">
        <v>20.52</v>
      </c>
      <c r="L37" s="102">
        <v>21.03</v>
      </c>
      <c r="M37" s="102">
        <v>21.49</v>
      </c>
      <c r="N37" s="102">
        <v>21.91</v>
      </c>
      <c r="O37" s="102">
        <v>22.3</v>
      </c>
      <c r="P37" s="102">
        <v>22.67</v>
      </c>
      <c r="Q37" s="102">
        <v>23.32</v>
      </c>
      <c r="R37" s="102">
        <v>23.89</v>
      </c>
      <c r="S37" s="102">
        <v>24.87</v>
      </c>
      <c r="T37" s="102">
        <v>25.67</v>
      </c>
      <c r="U37" s="102">
        <v>26.35</v>
      </c>
      <c r="V37" s="102">
        <v>26.95</v>
      </c>
      <c r="W37" s="102">
        <v>27.47</v>
      </c>
    </row>
    <row r="38" spans="1:23">
      <c r="A38">
        <v>3</v>
      </c>
      <c r="B38" s="102">
        <v>5.907</v>
      </c>
      <c r="C38" s="102">
        <v>7.6609999999999996</v>
      </c>
      <c r="D38" s="102">
        <v>8.8079999999999998</v>
      </c>
      <c r="E38" s="102">
        <v>9.66</v>
      </c>
      <c r="F38" s="102">
        <v>10.34</v>
      </c>
      <c r="G38" s="102">
        <v>10.89</v>
      </c>
      <c r="H38" s="102">
        <v>11.37</v>
      </c>
      <c r="I38" s="102">
        <v>11.78</v>
      </c>
      <c r="J38" s="102">
        <v>12.14</v>
      </c>
      <c r="K38" s="102">
        <v>12.46</v>
      </c>
      <c r="L38" s="102">
        <v>12.75</v>
      </c>
      <c r="M38" s="102">
        <v>13.01</v>
      </c>
      <c r="N38" s="102">
        <v>13.26</v>
      </c>
      <c r="O38" s="102">
        <v>13.48</v>
      </c>
      <c r="P38" s="102">
        <v>13.69</v>
      </c>
      <c r="Q38" s="102">
        <v>14.06</v>
      </c>
      <c r="R38" s="102">
        <v>14.39</v>
      </c>
      <c r="S38" s="102">
        <v>14.95</v>
      </c>
      <c r="T38" s="102">
        <v>15.41</v>
      </c>
      <c r="U38" s="102">
        <v>15.81</v>
      </c>
      <c r="V38" s="102">
        <v>16.149999999999999</v>
      </c>
      <c r="W38" s="102">
        <v>16.46</v>
      </c>
    </row>
    <row r="39" spans="1:23">
      <c r="A39">
        <v>4</v>
      </c>
      <c r="B39" s="102">
        <v>4.9429999999999996</v>
      </c>
      <c r="C39" s="102">
        <v>6.2439999999999998</v>
      </c>
      <c r="D39" s="102">
        <v>7.0880000000000001</v>
      </c>
      <c r="E39" s="102">
        <v>7.7160000000000002</v>
      </c>
      <c r="F39" s="102">
        <v>8.2129999999999992</v>
      </c>
      <c r="G39" s="102">
        <v>8.625</v>
      </c>
      <c r="H39" s="102">
        <v>8.9760000000000009</v>
      </c>
      <c r="I39" s="102">
        <v>9.2789999999999999</v>
      </c>
      <c r="J39" s="102">
        <v>9.548</v>
      </c>
      <c r="K39" s="102">
        <v>9.7880000000000003</v>
      </c>
      <c r="L39" s="102">
        <v>10.01</v>
      </c>
      <c r="M39" s="102">
        <v>10.199999999999999</v>
      </c>
      <c r="N39" s="102">
        <v>10.39</v>
      </c>
      <c r="O39" s="102">
        <v>10.55</v>
      </c>
      <c r="P39" s="102">
        <v>10.71</v>
      </c>
      <c r="Q39" s="102">
        <v>10.99</v>
      </c>
      <c r="R39" s="102">
        <v>11.23</v>
      </c>
      <c r="S39" s="102">
        <v>11.66</v>
      </c>
      <c r="T39" s="102">
        <v>12</v>
      </c>
      <c r="U39" s="102">
        <v>12.3</v>
      </c>
      <c r="V39" s="102">
        <v>12.56</v>
      </c>
      <c r="W39" s="102">
        <v>12.79</v>
      </c>
    </row>
    <row r="40" spans="1:23">
      <c r="A40">
        <v>5</v>
      </c>
      <c r="B40" s="102">
        <v>4.4740000000000002</v>
      </c>
      <c r="C40" s="102">
        <v>5.5579999999999998</v>
      </c>
      <c r="D40" s="102">
        <v>6.2569999999999997</v>
      </c>
      <c r="E40" s="102">
        <v>6.7750000000000004</v>
      </c>
      <c r="F40" s="102">
        <v>7.1859999999999999</v>
      </c>
      <c r="G40" s="102">
        <v>7.5270000000000001</v>
      </c>
      <c r="H40" s="102">
        <v>7.8159999999999998</v>
      </c>
      <c r="I40" s="102">
        <v>8.0679999999999996</v>
      </c>
      <c r="J40" s="102">
        <v>8.2910000000000004</v>
      </c>
      <c r="K40" s="102">
        <v>8.49</v>
      </c>
      <c r="L40" s="102">
        <v>8.67</v>
      </c>
      <c r="M40" s="102">
        <v>8.8339999999999996</v>
      </c>
      <c r="N40" s="102">
        <v>8.984</v>
      </c>
      <c r="O40" s="102">
        <v>9.1240000000000006</v>
      </c>
      <c r="P40" s="102">
        <v>9.2530000000000001</v>
      </c>
      <c r="Q40" s="102">
        <v>9.4860000000000007</v>
      </c>
      <c r="R40" s="102">
        <v>9.6929999999999996</v>
      </c>
      <c r="S40" s="102">
        <v>10.039999999999999</v>
      </c>
      <c r="T40" s="102">
        <v>10.34</v>
      </c>
      <c r="U40" s="102">
        <v>10.59</v>
      </c>
      <c r="V40" s="102">
        <v>10.8</v>
      </c>
      <c r="W40" s="102">
        <v>11</v>
      </c>
    </row>
    <row r="41" spans="1:23">
      <c r="A41">
        <v>6</v>
      </c>
      <c r="B41" s="102">
        <v>4.1989999999999998</v>
      </c>
      <c r="C41" s="102">
        <v>5.1580000000000004</v>
      </c>
      <c r="D41" s="102">
        <v>5.7720000000000002</v>
      </c>
      <c r="E41" s="102">
        <v>6.226</v>
      </c>
      <c r="F41" s="102">
        <v>6.5860000000000003</v>
      </c>
      <c r="G41" s="102">
        <v>6.8840000000000003</v>
      </c>
      <c r="H41" s="102">
        <v>7.1379999999999999</v>
      </c>
      <c r="I41" s="102">
        <v>7.359</v>
      </c>
      <c r="J41" s="102">
        <v>7.5540000000000003</v>
      </c>
      <c r="K41" s="102">
        <v>7.7290000000000001</v>
      </c>
      <c r="L41" s="102">
        <v>7.8869999999999996</v>
      </c>
      <c r="M41" s="102">
        <v>8.0310000000000006</v>
      </c>
      <c r="N41" s="102">
        <v>8.1630000000000003</v>
      </c>
      <c r="O41" s="102">
        <v>8.2859999999999996</v>
      </c>
      <c r="P41" s="102">
        <v>8.3989999999999991</v>
      </c>
      <c r="Q41" s="102">
        <v>8.6050000000000004</v>
      </c>
      <c r="R41" s="102">
        <v>8.7870000000000008</v>
      </c>
      <c r="S41" s="102">
        <v>9.0969999999999995</v>
      </c>
      <c r="T41" s="102">
        <v>9.3550000000000004</v>
      </c>
      <c r="U41" s="102">
        <v>9.5749999999999993</v>
      </c>
      <c r="V41" s="102">
        <v>9.7669999999999995</v>
      </c>
      <c r="W41" s="102">
        <v>9.9380000000000006</v>
      </c>
    </row>
    <row r="42" spans="1:23">
      <c r="A42">
        <v>7</v>
      </c>
      <c r="B42" s="102">
        <v>4.0179999999999998</v>
      </c>
      <c r="C42" s="102">
        <v>4.8970000000000002</v>
      </c>
      <c r="D42" s="102">
        <v>5.4550000000000001</v>
      </c>
      <c r="E42" s="102">
        <v>5.8680000000000003</v>
      </c>
      <c r="F42" s="102">
        <v>6.194</v>
      </c>
      <c r="G42" s="102">
        <v>6.4640000000000004</v>
      </c>
      <c r="H42" s="102">
        <v>6.6950000000000003</v>
      </c>
      <c r="I42" s="102">
        <v>6.8949999999999996</v>
      </c>
      <c r="J42" s="102">
        <v>7.0720000000000001</v>
      </c>
      <c r="K42" s="102">
        <v>7.23</v>
      </c>
      <c r="L42" s="102">
        <v>7.3730000000000002</v>
      </c>
      <c r="M42" s="102">
        <v>7.5039999999999996</v>
      </c>
      <c r="N42" s="102">
        <v>7.6239999999999997</v>
      </c>
      <c r="O42" s="102">
        <v>7.7350000000000003</v>
      </c>
      <c r="P42" s="102">
        <v>7.8390000000000004</v>
      </c>
      <c r="Q42" s="102">
        <v>8.0250000000000004</v>
      </c>
      <c r="R42" s="102">
        <v>8.1910000000000007</v>
      </c>
      <c r="S42" s="102">
        <v>8.4730000000000008</v>
      </c>
      <c r="T42" s="102">
        <v>8.7080000000000002</v>
      </c>
      <c r="U42" s="102">
        <v>8.9090000000000007</v>
      </c>
      <c r="V42" s="102">
        <v>9.0839999999999996</v>
      </c>
      <c r="W42" s="102">
        <v>9.2390000000000008</v>
      </c>
    </row>
    <row r="43" spans="1:23">
      <c r="A43">
        <v>8</v>
      </c>
      <c r="B43" s="102">
        <v>3.8919999999999999</v>
      </c>
      <c r="C43" s="102">
        <v>4.7140000000000004</v>
      </c>
      <c r="D43" s="102">
        <v>5.2329999999999997</v>
      </c>
      <c r="E43" s="102">
        <v>5.6159999999999997</v>
      </c>
      <c r="F43" s="102">
        <v>5.9189999999999996</v>
      </c>
      <c r="G43" s="102">
        <v>6.1689999999999996</v>
      </c>
      <c r="H43" s="102">
        <v>6.3819999999999997</v>
      </c>
      <c r="I43" s="102">
        <v>6.5679999999999996</v>
      </c>
      <c r="J43" s="102">
        <v>6.7320000000000002</v>
      </c>
      <c r="K43" s="102">
        <v>6.8789999999999996</v>
      </c>
      <c r="L43" s="102">
        <v>7.0110000000000001</v>
      </c>
      <c r="M43" s="102">
        <v>7.1319999999999997</v>
      </c>
      <c r="N43" s="102">
        <v>7.2439999999999998</v>
      </c>
      <c r="O43" s="102">
        <v>7.3470000000000004</v>
      </c>
      <c r="P43" s="102">
        <v>7.4429999999999996</v>
      </c>
      <c r="Q43" s="102">
        <v>7.6159999999999997</v>
      </c>
      <c r="R43" s="102">
        <v>7.7690000000000001</v>
      </c>
      <c r="S43" s="102">
        <v>8.0310000000000006</v>
      </c>
      <c r="T43" s="102">
        <v>8.25</v>
      </c>
      <c r="U43" s="102">
        <v>8.4359999999999999</v>
      </c>
      <c r="V43" s="102">
        <v>8.5990000000000002</v>
      </c>
      <c r="W43" s="102">
        <v>8.7430000000000003</v>
      </c>
    </row>
    <row r="44" spans="1:23">
      <c r="A44">
        <v>9</v>
      </c>
      <c r="B44" s="102">
        <v>3.7970000000000002</v>
      </c>
      <c r="C44" s="102">
        <v>4.5780000000000003</v>
      </c>
      <c r="D44" s="102">
        <v>5.069</v>
      </c>
      <c r="E44" s="102">
        <v>5.43</v>
      </c>
      <c r="F44" s="102">
        <v>5.7149999999999999</v>
      </c>
      <c r="G44" s="102">
        <v>5.95</v>
      </c>
      <c r="H44" s="102">
        <v>6.1509999999999998</v>
      </c>
      <c r="I44" s="102">
        <v>6.3250000000000002</v>
      </c>
      <c r="J44" s="102">
        <v>6.4790000000000001</v>
      </c>
      <c r="K44" s="102">
        <v>6.617</v>
      </c>
      <c r="L44" s="102">
        <v>6.742</v>
      </c>
      <c r="M44" s="102">
        <v>6.8559999999999999</v>
      </c>
      <c r="N44" s="102">
        <v>6.9610000000000003</v>
      </c>
      <c r="O44" s="102">
        <v>7.0579999999999998</v>
      </c>
      <c r="P44" s="102">
        <v>7.1479999999999997</v>
      </c>
      <c r="Q44" s="102">
        <v>7.3109999999999999</v>
      </c>
      <c r="R44" s="102">
        <v>7.4550000000000001</v>
      </c>
      <c r="S44" s="102">
        <v>7.702</v>
      </c>
      <c r="T44" s="102">
        <v>7.9080000000000004</v>
      </c>
      <c r="U44" s="102">
        <v>8.0839999999999996</v>
      </c>
      <c r="V44" s="102">
        <v>8.2370000000000001</v>
      </c>
      <c r="W44" s="102">
        <v>8.3729999999999993</v>
      </c>
    </row>
    <row r="45" spans="1:23">
      <c r="A45">
        <v>10</v>
      </c>
      <c r="B45" s="102">
        <v>3.7250000000000001</v>
      </c>
      <c r="C45" s="102">
        <v>4.4740000000000002</v>
      </c>
      <c r="D45" s="102">
        <v>4.9429999999999996</v>
      </c>
      <c r="E45" s="102">
        <v>5.2869999999999999</v>
      </c>
      <c r="F45" s="102">
        <v>5.5579999999999998</v>
      </c>
      <c r="G45" s="102">
        <v>5.782</v>
      </c>
      <c r="H45" s="102">
        <v>5.9720000000000004</v>
      </c>
      <c r="I45" s="102">
        <v>6.1379999999999999</v>
      </c>
      <c r="J45" s="102">
        <v>6.2850000000000001</v>
      </c>
      <c r="K45" s="102">
        <v>6.4160000000000004</v>
      </c>
      <c r="L45" s="102">
        <v>6.5339999999999998</v>
      </c>
      <c r="M45" s="102">
        <v>6.6429999999999998</v>
      </c>
      <c r="N45" s="102">
        <v>6.742</v>
      </c>
      <c r="O45" s="102">
        <v>6.8339999999999996</v>
      </c>
      <c r="P45" s="102">
        <v>6.92</v>
      </c>
      <c r="Q45" s="102">
        <v>7.0750000000000002</v>
      </c>
      <c r="R45" s="102">
        <v>7.2119999999999997</v>
      </c>
      <c r="S45" s="102">
        <v>7.4470000000000001</v>
      </c>
      <c r="T45" s="102">
        <v>7.6429999999999998</v>
      </c>
      <c r="U45" s="102">
        <v>7.81</v>
      </c>
      <c r="V45" s="102">
        <v>7.9560000000000004</v>
      </c>
      <c r="W45" s="102">
        <v>8.0860000000000003</v>
      </c>
    </row>
    <row r="46" spans="1:23">
      <c r="A46">
        <v>11</v>
      </c>
      <c r="B46" s="102">
        <v>3.6669999999999998</v>
      </c>
      <c r="C46" s="102">
        <v>4.391</v>
      </c>
      <c r="D46" s="102">
        <v>4.843</v>
      </c>
      <c r="E46" s="102">
        <v>5.173</v>
      </c>
      <c r="F46" s="102">
        <v>5.4329999999999998</v>
      </c>
      <c r="G46" s="102">
        <v>5.6479999999999997</v>
      </c>
      <c r="H46" s="102">
        <v>5.8310000000000004</v>
      </c>
      <c r="I46" s="102">
        <v>5.9889999999999999</v>
      </c>
      <c r="J46" s="102">
        <v>6.13</v>
      </c>
      <c r="K46" s="102">
        <v>6.2560000000000002</v>
      </c>
      <c r="L46" s="102">
        <v>6.3689999999999998</v>
      </c>
      <c r="M46" s="102">
        <v>6.4729999999999999</v>
      </c>
      <c r="N46" s="102">
        <v>6.5679999999999996</v>
      </c>
      <c r="O46" s="102">
        <v>6.657</v>
      </c>
      <c r="P46" s="102">
        <v>6.7389999999999999</v>
      </c>
      <c r="Q46" s="102">
        <v>6.8869999999999996</v>
      </c>
      <c r="R46" s="102">
        <v>7.0190000000000001</v>
      </c>
      <c r="S46" s="102">
        <v>7.2439999999999998</v>
      </c>
      <c r="T46" s="102">
        <v>7.431</v>
      </c>
      <c r="U46" s="102">
        <v>7.5919999999999996</v>
      </c>
      <c r="V46" s="102">
        <v>7.7320000000000002</v>
      </c>
      <c r="W46" s="102">
        <v>7.8559999999999999</v>
      </c>
    </row>
    <row r="47" spans="1:23">
      <c r="A47">
        <v>12</v>
      </c>
      <c r="B47" s="102">
        <v>3.62</v>
      </c>
      <c r="C47" s="102">
        <v>4.3250000000000002</v>
      </c>
      <c r="D47" s="102">
        <v>4.7619999999999996</v>
      </c>
      <c r="E47" s="102">
        <v>5.0810000000000004</v>
      </c>
      <c r="F47" s="102">
        <v>5.3319999999999999</v>
      </c>
      <c r="G47" s="102">
        <v>5.54</v>
      </c>
      <c r="H47" s="102">
        <v>5.7160000000000002</v>
      </c>
      <c r="I47" s="102">
        <v>5.8689999999999998</v>
      </c>
      <c r="J47" s="102">
        <v>6.0039999999999996</v>
      </c>
      <c r="K47" s="102">
        <v>6.125</v>
      </c>
      <c r="L47" s="102">
        <v>6.2350000000000003</v>
      </c>
      <c r="M47" s="102">
        <v>6.335</v>
      </c>
      <c r="N47" s="102">
        <v>6.4269999999999996</v>
      </c>
      <c r="O47" s="102">
        <v>6.5119999999999996</v>
      </c>
      <c r="P47" s="102">
        <v>6.5910000000000002</v>
      </c>
      <c r="Q47" s="102">
        <v>6.734</v>
      </c>
      <c r="R47" s="102">
        <v>6.8609999999999998</v>
      </c>
      <c r="S47" s="102">
        <v>7.0780000000000003</v>
      </c>
      <c r="T47" s="102">
        <v>7.258</v>
      </c>
      <c r="U47" s="102">
        <v>7.4130000000000003</v>
      </c>
      <c r="V47" s="102">
        <v>7.548</v>
      </c>
      <c r="W47" s="102">
        <v>7.6680000000000001</v>
      </c>
    </row>
    <row r="48" spans="1:23">
      <c r="A48">
        <v>13</v>
      </c>
      <c r="B48" s="102">
        <v>3.5819999999999999</v>
      </c>
      <c r="C48" s="102">
        <v>4.2690000000000001</v>
      </c>
      <c r="D48" s="102">
        <v>4.694</v>
      </c>
      <c r="E48" s="102">
        <v>5.0039999999999996</v>
      </c>
      <c r="F48" s="102">
        <v>5.2480000000000002</v>
      </c>
      <c r="G48" s="102">
        <v>5.4489999999999998</v>
      </c>
      <c r="H48" s="102">
        <v>5.62</v>
      </c>
      <c r="I48" s="102">
        <v>5.7690000000000001</v>
      </c>
      <c r="J48" s="102">
        <v>5.9</v>
      </c>
      <c r="K48" s="102">
        <v>6.0170000000000003</v>
      </c>
      <c r="L48" s="102">
        <v>6.1230000000000002</v>
      </c>
      <c r="M48" s="102">
        <v>6.22</v>
      </c>
      <c r="N48" s="102">
        <v>6.3090000000000002</v>
      </c>
      <c r="O48" s="102">
        <v>6.3920000000000003</v>
      </c>
      <c r="P48" s="102">
        <v>6.468</v>
      </c>
      <c r="Q48" s="102">
        <v>6.6070000000000002</v>
      </c>
      <c r="R48" s="102">
        <v>6.73</v>
      </c>
      <c r="S48" s="102">
        <v>6.9390000000000001</v>
      </c>
      <c r="T48" s="102">
        <v>7.1150000000000002</v>
      </c>
      <c r="U48" s="102">
        <v>7.2649999999999997</v>
      </c>
      <c r="V48" s="102">
        <v>7.3959999999999999</v>
      </c>
      <c r="W48" s="102">
        <v>7.5119999999999996</v>
      </c>
    </row>
    <row r="49" spans="1:23">
      <c r="A49">
        <v>14</v>
      </c>
      <c r="B49" s="102">
        <v>3.55</v>
      </c>
      <c r="C49" s="102">
        <v>4.2220000000000004</v>
      </c>
      <c r="D49" s="102">
        <v>4.6379999999999999</v>
      </c>
      <c r="E49" s="102">
        <v>4.9400000000000004</v>
      </c>
      <c r="F49" s="102">
        <v>5.1779999999999999</v>
      </c>
      <c r="G49" s="102">
        <v>5.3739999999999997</v>
      </c>
      <c r="H49" s="102">
        <v>5.54</v>
      </c>
      <c r="I49" s="102">
        <v>5.6840000000000002</v>
      </c>
      <c r="J49" s="102">
        <v>5.8109999999999999</v>
      </c>
      <c r="K49" s="102">
        <v>5.9260000000000002</v>
      </c>
      <c r="L49" s="102">
        <v>6.0289999999999999</v>
      </c>
      <c r="M49" s="102">
        <v>6.1230000000000002</v>
      </c>
      <c r="N49" s="102">
        <v>6.21</v>
      </c>
      <c r="O49" s="102">
        <v>6.29</v>
      </c>
      <c r="P49" s="102">
        <v>6.3639999999999999</v>
      </c>
      <c r="Q49" s="102">
        <v>6.4989999999999997</v>
      </c>
      <c r="R49" s="102">
        <v>6.6189999999999998</v>
      </c>
      <c r="S49" s="102">
        <v>6.8230000000000004</v>
      </c>
      <c r="T49" s="102">
        <v>6.9930000000000003</v>
      </c>
      <c r="U49" s="102">
        <v>7.1390000000000002</v>
      </c>
      <c r="V49" s="102">
        <v>7.266</v>
      </c>
      <c r="W49" s="102">
        <v>7.3789999999999996</v>
      </c>
    </row>
    <row r="50" spans="1:23">
      <c r="A50">
        <v>15</v>
      </c>
      <c r="B50" s="102">
        <v>3.5219999999999998</v>
      </c>
      <c r="C50" s="102">
        <v>4.1820000000000004</v>
      </c>
      <c r="D50" s="102">
        <v>4.5890000000000004</v>
      </c>
      <c r="E50" s="102">
        <v>4.8849999999999998</v>
      </c>
      <c r="F50" s="102">
        <v>5.1180000000000003</v>
      </c>
      <c r="G50" s="102">
        <v>5.3090000000000002</v>
      </c>
      <c r="H50" s="102">
        <v>5.4710000000000001</v>
      </c>
      <c r="I50" s="102">
        <v>5.6120000000000001</v>
      </c>
      <c r="J50" s="102">
        <v>5.7370000000000001</v>
      </c>
      <c r="K50" s="102">
        <v>5.8479999999999999</v>
      </c>
      <c r="L50" s="102">
        <v>5.9489999999999998</v>
      </c>
      <c r="M50" s="102">
        <v>6.0410000000000004</v>
      </c>
      <c r="N50" s="102">
        <v>6.125</v>
      </c>
      <c r="O50" s="102">
        <v>6.2030000000000003</v>
      </c>
      <c r="P50" s="102">
        <v>6.2759999999999998</v>
      </c>
      <c r="Q50" s="102">
        <v>6.407</v>
      </c>
      <c r="R50" s="102">
        <v>6.5229999999999997</v>
      </c>
      <c r="S50" s="102">
        <v>6.7229999999999999</v>
      </c>
      <c r="T50" s="102">
        <v>6.8890000000000002</v>
      </c>
      <c r="U50" s="102">
        <v>7.0309999999999997</v>
      </c>
      <c r="V50" s="102">
        <v>7.1550000000000002</v>
      </c>
      <c r="W50" s="102">
        <v>7.2649999999999997</v>
      </c>
    </row>
    <row r="51" spans="1:23">
      <c r="A51">
        <v>16</v>
      </c>
      <c r="B51" s="102">
        <v>3.4980000000000002</v>
      </c>
      <c r="C51" s="102">
        <v>4.1479999999999997</v>
      </c>
      <c r="D51" s="102">
        <v>4.548</v>
      </c>
      <c r="E51" s="102">
        <v>4.8380000000000001</v>
      </c>
      <c r="F51" s="102">
        <v>5.0659999999999998</v>
      </c>
      <c r="G51" s="102">
        <v>5.2530000000000001</v>
      </c>
      <c r="H51" s="102">
        <v>5.4119999999999999</v>
      </c>
      <c r="I51" s="102">
        <v>5.55</v>
      </c>
      <c r="J51" s="102">
        <v>5.6719999999999997</v>
      </c>
      <c r="K51" s="102">
        <v>5.7809999999999997</v>
      </c>
      <c r="L51" s="102">
        <v>5.8789999999999996</v>
      </c>
      <c r="M51" s="102">
        <v>5.9690000000000003</v>
      </c>
      <c r="N51" s="102">
        <v>6.0519999999999996</v>
      </c>
      <c r="O51" s="102">
        <v>6.1280000000000001</v>
      </c>
      <c r="P51" s="102">
        <v>6.1989999999999998</v>
      </c>
      <c r="Q51" s="102">
        <v>6.3280000000000003</v>
      </c>
      <c r="R51" s="102">
        <v>6.4409999999999998</v>
      </c>
      <c r="S51" s="102">
        <v>6.6360000000000001</v>
      </c>
      <c r="T51" s="102">
        <v>6.7990000000000004</v>
      </c>
      <c r="U51" s="102">
        <v>6.9379999999999997</v>
      </c>
      <c r="V51" s="102">
        <v>7.0590000000000002</v>
      </c>
      <c r="W51" s="102">
        <v>7.1669999999999998</v>
      </c>
    </row>
    <row r="52" spans="1:23">
      <c r="A52">
        <v>17</v>
      </c>
      <c r="B52" s="102">
        <v>3.4769999999999999</v>
      </c>
      <c r="C52" s="102">
        <v>4.1180000000000003</v>
      </c>
      <c r="D52" s="102">
        <v>4.5119999999999996</v>
      </c>
      <c r="E52" s="102">
        <v>4.7969999999999997</v>
      </c>
      <c r="F52" s="102">
        <v>5.0199999999999996</v>
      </c>
      <c r="G52" s="102">
        <v>5.2039999999999997</v>
      </c>
      <c r="H52" s="102">
        <v>5.3609999999999998</v>
      </c>
      <c r="I52" s="102">
        <v>5.4960000000000004</v>
      </c>
      <c r="J52" s="102">
        <v>5.6150000000000002</v>
      </c>
      <c r="K52" s="102">
        <v>5.7220000000000004</v>
      </c>
      <c r="L52" s="102">
        <v>5.8179999999999996</v>
      </c>
      <c r="M52" s="102">
        <v>5.907</v>
      </c>
      <c r="N52" s="102">
        <v>5.9870000000000001</v>
      </c>
      <c r="O52" s="102">
        <v>6.0620000000000003</v>
      </c>
      <c r="P52" s="102">
        <v>6.1319999999999997</v>
      </c>
      <c r="Q52" s="102">
        <v>6.258</v>
      </c>
      <c r="R52" s="102">
        <v>6.37</v>
      </c>
      <c r="S52" s="102">
        <v>6.56</v>
      </c>
      <c r="T52" s="102">
        <v>6.72</v>
      </c>
      <c r="U52" s="102">
        <v>6.8559999999999999</v>
      </c>
      <c r="V52" s="102">
        <v>6.9749999999999996</v>
      </c>
      <c r="W52" s="102">
        <v>7.0810000000000004</v>
      </c>
    </row>
    <row r="53" spans="1:23">
      <c r="A53">
        <v>18</v>
      </c>
      <c r="B53" s="102">
        <v>3.4580000000000002</v>
      </c>
      <c r="C53" s="102">
        <v>4.0919999999999996</v>
      </c>
      <c r="D53" s="102">
        <v>4.4800000000000004</v>
      </c>
      <c r="E53" s="102">
        <v>4.7610000000000001</v>
      </c>
      <c r="F53" s="102">
        <v>4.9809999999999999</v>
      </c>
      <c r="G53" s="102">
        <v>5.1619999999999999</v>
      </c>
      <c r="H53" s="102">
        <v>5.3150000000000004</v>
      </c>
      <c r="I53" s="102">
        <v>5.4480000000000004</v>
      </c>
      <c r="J53" s="102">
        <v>5.5650000000000004</v>
      </c>
      <c r="K53" s="102">
        <v>5.67</v>
      </c>
      <c r="L53" s="102">
        <v>5.7649999999999997</v>
      </c>
      <c r="M53" s="102">
        <v>5.8520000000000003</v>
      </c>
      <c r="N53" s="102">
        <v>5.931</v>
      </c>
      <c r="O53" s="102">
        <v>6.0039999999999996</v>
      </c>
      <c r="P53" s="102">
        <v>6.0730000000000004</v>
      </c>
      <c r="Q53" s="102">
        <v>6.1970000000000001</v>
      </c>
      <c r="R53" s="102">
        <v>6.306</v>
      </c>
      <c r="S53" s="102">
        <v>6.4930000000000003</v>
      </c>
      <c r="T53" s="102">
        <v>6.65</v>
      </c>
      <c r="U53" s="102">
        <v>6.7839999999999998</v>
      </c>
      <c r="V53" s="102">
        <v>6.9</v>
      </c>
      <c r="W53" s="102">
        <v>7.0049999999999999</v>
      </c>
    </row>
    <row r="54" spans="1:23">
      <c r="A54">
        <v>19</v>
      </c>
      <c r="B54" s="102">
        <v>3.4420000000000002</v>
      </c>
      <c r="C54" s="102">
        <v>4.0679999999999996</v>
      </c>
      <c r="D54" s="102">
        <v>4.4509999999999996</v>
      </c>
      <c r="E54" s="102">
        <v>4.7279999999999998</v>
      </c>
      <c r="F54" s="102">
        <v>4.9450000000000003</v>
      </c>
      <c r="G54" s="102">
        <v>5.1230000000000002</v>
      </c>
      <c r="H54" s="102">
        <v>5.2750000000000004</v>
      </c>
      <c r="I54" s="102">
        <v>5.4050000000000002</v>
      </c>
      <c r="J54" s="102">
        <v>5.5209999999999999</v>
      </c>
      <c r="K54" s="102">
        <v>5.6239999999999997</v>
      </c>
      <c r="L54" s="102">
        <v>5.718</v>
      </c>
      <c r="M54" s="102">
        <v>5.8029999999999999</v>
      </c>
      <c r="N54" s="102">
        <v>5.8810000000000002</v>
      </c>
      <c r="O54" s="102">
        <v>5.9539999999999997</v>
      </c>
      <c r="P54" s="102">
        <v>6.02</v>
      </c>
      <c r="Q54" s="102">
        <v>6.1420000000000003</v>
      </c>
      <c r="R54" s="102">
        <v>6.25</v>
      </c>
      <c r="S54" s="102">
        <v>6.4340000000000002</v>
      </c>
      <c r="T54" s="102">
        <v>6.5880000000000001</v>
      </c>
      <c r="U54" s="102">
        <v>6.7190000000000003</v>
      </c>
      <c r="V54" s="102">
        <v>6.835</v>
      </c>
      <c r="W54" s="102">
        <v>6.9359999999999999</v>
      </c>
    </row>
    <row r="55" spans="1:23">
      <c r="A55">
        <v>20</v>
      </c>
      <c r="B55" s="102">
        <v>3.427</v>
      </c>
      <c r="C55" s="102">
        <v>4.0469999999999997</v>
      </c>
      <c r="D55" s="102">
        <v>4.4260000000000002</v>
      </c>
      <c r="E55" s="102">
        <v>4.7</v>
      </c>
      <c r="F55" s="102">
        <v>4.9139999999999997</v>
      </c>
      <c r="G55" s="102">
        <v>5.0890000000000004</v>
      </c>
      <c r="H55" s="102">
        <v>5.2380000000000004</v>
      </c>
      <c r="I55" s="102">
        <v>5.3680000000000003</v>
      </c>
      <c r="J55" s="102">
        <v>5.4809999999999999</v>
      </c>
      <c r="K55" s="102">
        <v>5.5830000000000002</v>
      </c>
      <c r="L55" s="102">
        <v>5.6749999999999998</v>
      </c>
      <c r="M55" s="102">
        <v>5.7590000000000003</v>
      </c>
      <c r="N55" s="102">
        <v>5.8360000000000003</v>
      </c>
      <c r="O55" s="102">
        <v>5.907</v>
      </c>
      <c r="P55" s="102">
        <v>5.9740000000000002</v>
      </c>
      <c r="Q55" s="102">
        <v>6.093</v>
      </c>
      <c r="R55" s="102">
        <v>6.2</v>
      </c>
      <c r="S55" s="102">
        <v>6.3810000000000002</v>
      </c>
      <c r="T55" s="102">
        <v>6.532</v>
      </c>
      <c r="U55" s="102">
        <v>6.6619999999999999</v>
      </c>
      <c r="V55" s="102">
        <v>6.7750000000000004</v>
      </c>
      <c r="W55" s="102">
        <v>6.8760000000000003</v>
      </c>
    </row>
    <row r="56" spans="1:23">
      <c r="A56">
        <v>24</v>
      </c>
      <c r="B56" s="102">
        <v>3.3809999999999998</v>
      </c>
      <c r="C56" s="102">
        <v>3.9830000000000001</v>
      </c>
      <c r="D56" s="102">
        <v>4.3470000000000004</v>
      </c>
      <c r="E56" s="102">
        <v>4.6100000000000003</v>
      </c>
      <c r="F56" s="102">
        <v>4.8159999999999998</v>
      </c>
      <c r="G56" s="102">
        <v>4.984</v>
      </c>
      <c r="H56" s="102">
        <v>5.2160000000000002</v>
      </c>
      <c r="I56" s="102">
        <v>5.25</v>
      </c>
      <c r="J56" s="102">
        <v>5.3579999999999997</v>
      </c>
      <c r="K56" s="102">
        <v>5.4550000000000001</v>
      </c>
      <c r="L56" s="102">
        <v>5.5430000000000001</v>
      </c>
      <c r="M56" s="102">
        <v>5.6230000000000002</v>
      </c>
      <c r="N56" s="102">
        <v>5.6970000000000001</v>
      </c>
      <c r="O56" s="102">
        <v>5.7640000000000002</v>
      </c>
      <c r="P56" s="102">
        <v>5.827</v>
      </c>
      <c r="Q56" s="102">
        <v>5.9409999999999998</v>
      </c>
      <c r="R56" s="102">
        <v>6.0430000000000001</v>
      </c>
      <c r="S56" s="102">
        <v>6.2149999999999999</v>
      </c>
      <c r="T56" s="102">
        <v>6.359</v>
      </c>
      <c r="U56" s="102">
        <v>6.4820000000000002</v>
      </c>
      <c r="V56" s="102">
        <v>6.5890000000000004</v>
      </c>
      <c r="W56" s="102">
        <v>6.6849999999999996</v>
      </c>
    </row>
    <row r="57" spans="1:23">
      <c r="A57">
        <v>30</v>
      </c>
      <c r="B57" s="102">
        <v>3.3370000000000002</v>
      </c>
      <c r="C57" s="102">
        <v>3.919</v>
      </c>
      <c r="D57" s="102">
        <v>4.2709999999999999</v>
      </c>
      <c r="E57" s="102">
        <v>4.5229999999999997</v>
      </c>
      <c r="F57" s="102">
        <v>4.72</v>
      </c>
      <c r="G57" s="102">
        <v>4.8810000000000002</v>
      </c>
      <c r="H57" s="102">
        <v>5.0170000000000003</v>
      </c>
      <c r="I57" s="102">
        <v>5.1340000000000003</v>
      </c>
      <c r="J57" s="102">
        <v>5.2380000000000004</v>
      </c>
      <c r="K57" s="102">
        <v>5.33</v>
      </c>
      <c r="L57" s="102">
        <v>5.4139999999999997</v>
      </c>
      <c r="M57" s="102">
        <v>5.49</v>
      </c>
      <c r="N57" s="102">
        <v>5.56</v>
      </c>
      <c r="O57" s="102">
        <v>5.6239999999999997</v>
      </c>
      <c r="P57" s="102">
        <v>5.6840000000000002</v>
      </c>
      <c r="Q57" s="102">
        <v>5.7919999999999998</v>
      </c>
      <c r="R57" s="102">
        <v>5.8879999999999999</v>
      </c>
      <c r="S57" s="102">
        <v>6.0519999999999996</v>
      </c>
      <c r="T57" s="102">
        <v>6.1879999999999997</v>
      </c>
      <c r="U57" s="102">
        <v>6.3049999999999997</v>
      </c>
      <c r="V57" s="102">
        <v>6.4059999999999997</v>
      </c>
      <c r="W57" s="102">
        <v>6.4969999999999999</v>
      </c>
    </row>
    <row r="58" spans="1:23">
      <c r="A58">
        <v>40</v>
      </c>
      <c r="B58" s="102">
        <v>3.294</v>
      </c>
      <c r="C58" s="102">
        <v>3.8580000000000001</v>
      </c>
      <c r="D58" s="102">
        <v>4.1970000000000001</v>
      </c>
      <c r="E58" s="102">
        <v>4.4390000000000001</v>
      </c>
      <c r="F58" s="102">
        <v>4.6269999999999998</v>
      </c>
      <c r="G58" s="102">
        <v>4.78</v>
      </c>
      <c r="H58" s="102">
        <v>4.91</v>
      </c>
      <c r="I58" s="102">
        <v>5.0220000000000002</v>
      </c>
      <c r="J58" s="102">
        <v>5.12</v>
      </c>
      <c r="K58" s="102">
        <v>5.2080000000000002</v>
      </c>
      <c r="L58" s="102">
        <v>5.2880000000000003</v>
      </c>
      <c r="M58" s="102">
        <v>5.36</v>
      </c>
      <c r="N58" s="102">
        <v>5.4260000000000002</v>
      </c>
      <c r="O58" s="102">
        <v>5.4870000000000001</v>
      </c>
      <c r="P58" s="102">
        <v>5.5439999999999996</v>
      </c>
      <c r="Q58" s="102">
        <v>5.6459999999999999</v>
      </c>
      <c r="R58" s="102">
        <v>5.7370000000000001</v>
      </c>
      <c r="S58" s="102">
        <v>5.891</v>
      </c>
      <c r="T58" s="102">
        <v>6.02</v>
      </c>
      <c r="U58" s="102">
        <v>6.13</v>
      </c>
      <c r="V58" s="102">
        <v>6.226</v>
      </c>
      <c r="W58" s="102">
        <v>6.3109999999999999</v>
      </c>
    </row>
    <row r="59" spans="1:23">
      <c r="A59">
        <v>60</v>
      </c>
      <c r="B59" s="102">
        <v>3.2509999999999999</v>
      </c>
      <c r="C59" s="102">
        <v>3.798</v>
      </c>
      <c r="D59" s="102">
        <v>4.1239999999999997</v>
      </c>
      <c r="E59" s="102">
        <v>4.3559999999999999</v>
      </c>
      <c r="F59" s="102">
        <v>4.5359999999999996</v>
      </c>
      <c r="G59" s="102">
        <v>4.6820000000000004</v>
      </c>
      <c r="H59" s="102">
        <v>4.806</v>
      </c>
      <c r="I59" s="102">
        <v>4.9119999999999999</v>
      </c>
      <c r="J59" s="102">
        <v>5.0060000000000002</v>
      </c>
      <c r="K59" s="102">
        <v>5.0890000000000004</v>
      </c>
      <c r="L59" s="102">
        <v>5.1639999999999997</v>
      </c>
      <c r="M59" s="102">
        <v>5.2320000000000002</v>
      </c>
      <c r="N59" s="102">
        <v>5.2949999999999999</v>
      </c>
      <c r="O59" s="102">
        <v>5.3520000000000003</v>
      </c>
      <c r="P59" s="102">
        <v>5.4059999999999997</v>
      </c>
      <c r="Q59" s="102">
        <v>5.5030000000000001</v>
      </c>
      <c r="R59" s="102">
        <v>5.5880000000000001</v>
      </c>
      <c r="S59" s="102">
        <v>5.7329999999999997</v>
      </c>
      <c r="T59" s="102">
        <v>5.8540000000000001</v>
      </c>
      <c r="U59" s="102">
        <v>5.9580000000000002</v>
      </c>
      <c r="V59" s="102">
        <v>6.048</v>
      </c>
      <c r="W59" s="102">
        <v>6.1269999999999998</v>
      </c>
    </row>
    <row r="60" spans="1:23">
      <c r="A60">
        <v>120</v>
      </c>
      <c r="B60" s="102">
        <v>3.21</v>
      </c>
      <c r="C60" s="102">
        <v>3.7389999999999999</v>
      </c>
      <c r="D60" s="102">
        <v>4.0529999999999999</v>
      </c>
      <c r="E60" s="102">
        <v>4.2759999999999998</v>
      </c>
      <c r="F60" s="102">
        <v>4.4470000000000001</v>
      </c>
      <c r="G60" s="102">
        <v>4.5869999999999997</v>
      </c>
      <c r="H60" s="102">
        <v>4.7039999999999997</v>
      </c>
      <c r="I60" s="102">
        <v>4.8049999999999997</v>
      </c>
      <c r="J60" s="102">
        <v>4.8940000000000001</v>
      </c>
      <c r="K60" s="102">
        <v>4.9720000000000004</v>
      </c>
      <c r="L60" s="102">
        <v>5.0430000000000001</v>
      </c>
      <c r="M60" s="102">
        <v>5.1070000000000002</v>
      </c>
      <c r="N60" s="102">
        <v>5.1660000000000004</v>
      </c>
      <c r="O60" s="102">
        <v>5.2210000000000001</v>
      </c>
      <c r="P60" s="102">
        <v>5.2709999999999999</v>
      </c>
      <c r="Q60" s="102">
        <v>5.3620000000000001</v>
      </c>
      <c r="R60" s="102">
        <v>5.4420000000000002</v>
      </c>
      <c r="S60" s="102">
        <v>5.5780000000000003</v>
      </c>
      <c r="T60" s="102">
        <v>5.6909999999999998</v>
      </c>
      <c r="U60" s="102">
        <v>5.7880000000000003</v>
      </c>
      <c r="V60" s="102">
        <v>5.8719999999999999</v>
      </c>
      <c r="W60" s="102">
        <v>5.9459999999999997</v>
      </c>
    </row>
    <row r="61" spans="1:23">
      <c r="A61" s="19" t="s">
        <v>980</v>
      </c>
      <c r="B61" s="102">
        <v>3.17</v>
      </c>
      <c r="C61" s="102">
        <v>3.6819999999999999</v>
      </c>
      <c r="D61" s="102">
        <v>3.984</v>
      </c>
      <c r="E61" s="102">
        <v>4.1970000000000001</v>
      </c>
      <c r="F61" s="102">
        <v>4.3609999999999998</v>
      </c>
      <c r="G61" s="102">
        <v>4.4939999999999998</v>
      </c>
      <c r="H61" s="102">
        <v>4.6050000000000004</v>
      </c>
      <c r="I61" s="102">
        <v>4.7</v>
      </c>
      <c r="J61" s="102">
        <v>4.7839999999999998</v>
      </c>
      <c r="K61" s="102">
        <v>4.8579999999999997</v>
      </c>
      <c r="L61" s="102">
        <v>4.9249999999999998</v>
      </c>
      <c r="M61" s="102">
        <v>4.9850000000000003</v>
      </c>
      <c r="N61" s="102">
        <v>5.0410000000000004</v>
      </c>
      <c r="O61" s="102">
        <v>5.0919999999999996</v>
      </c>
      <c r="P61" s="102">
        <v>5.1390000000000002</v>
      </c>
      <c r="Q61" s="102">
        <v>5.2240000000000002</v>
      </c>
      <c r="R61" s="102">
        <v>5.2990000000000004</v>
      </c>
      <c r="S61" s="102">
        <v>5.4249999999999998</v>
      </c>
      <c r="T61" s="102">
        <v>5.53</v>
      </c>
      <c r="U61" s="102">
        <v>5.62</v>
      </c>
      <c r="V61" s="102">
        <v>5.6980000000000004</v>
      </c>
      <c r="W61" s="102">
        <v>5.76</v>
      </c>
    </row>
    <row r="63" spans="1:23">
      <c r="A63" t="s">
        <v>116</v>
      </c>
      <c r="B63">
        <v>0.05</v>
      </c>
    </row>
    <row r="64" spans="1:23">
      <c r="B64" t="s">
        <v>317</v>
      </c>
    </row>
    <row r="65" spans="1:23">
      <c r="A65" s="19" t="s">
        <v>186</v>
      </c>
      <c r="B65">
        <v>2</v>
      </c>
      <c r="C65">
        <f>B65+1</f>
        <v>3</v>
      </c>
      <c r="D65">
        <f t="shared" ref="D65:L65" si="2">C65+1</f>
        <v>4</v>
      </c>
      <c r="E65">
        <f t="shared" si="2"/>
        <v>5</v>
      </c>
      <c r="F65">
        <f t="shared" si="2"/>
        <v>6</v>
      </c>
      <c r="G65">
        <f t="shared" si="2"/>
        <v>7</v>
      </c>
      <c r="H65">
        <f t="shared" si="2"/>
        <v>8</v>
      </c>
      <c r="I65">
        <f t="shared" si="2"/>
        <v>9</v>
      </c>
      <c r="J65">
        <f t="shared" si="2"/>
        <v>10</v>
      </c>
      <c r="K65">
        <f t="shared" si="2"/>
        <v>11</v>
      </c>
      <c r="L65">
        <f t="shared" si="2"/>
        <v>12</v>
      </c>
      <c r="M65">
        <v>13</v>
      </c>
      <c r="N65">
        <f>M65+1</f>
        <v>14</v>
      </c>
      <c r="O65">
        <f>N65+1</f>
        <v>15</v>
      </c>
      <c r="P65">
        <f>O65+1</f>
        <v>16</v>
      </c>
      <c r="Q65">
        <f>P65+2</f>
        <v>18</v>
      </c>
      <c r="R65">
        <f>Q65+2</f>
        <v>20</v>
      </c>
      <c r="S65">
        <f>R65+4</f>
        <v>24</v>
      </c>
      <c r="T65">
        <f>S65+4</f>
        <v>28</v>
      </c>
      <c r="U65">
        <f>T65+4</f>
        <v>32</v>
      </c>
      <c r="V65">
        <f>U65+4</f>
        <v>36</v>
      </c>
      <c r="W65">
        <f>V65+4</f>
        <v>40</v>
      </c>
    </row>
    <row r="66" spans="1:23">
      <c r="A66">
        <v>1</v>
      </c>
      <c r="B66">
        <v>17.97</v>
      </c>
      <c r="C66">
        <v>26.98</v>
      </c>
      <c r="D66">
        <v>32.82</v>
      </c>
      <c r="E66">
        <v>37.08</v>
      </c>
      <c r="F66">
        <v>40.409999999999997</v>
      </c>
      <c r="G66">
        <v>43.12</v>
      </c>
      <c r="H66">
        <v>45.4</v>
      </c>
      <c r="I66">
        <v>47.36</v>
      </c>
      <c r="J66">
        <v>49.07</v>
      </c>
      <c r="K66">
        <v>50.59</v>
      </c>
      <c r="L66">
        <v>51.96</v>
      </c>
      <c r="M66">
        <v>53.2</v>
      </c>
      <c r="N66">
        <v>54.33</v>
      </c>
      <c r="O66">
        <v>55.36</v>
      </c>
      <c r="P66">
        <v>56.32</v>
      </c>
      <c r="Q66">
        <v>58.04</v>
      </c>
      <c r="R66">
        <v>59.56</v>
      </c>
      <c r="S66">
        <v>62.12</v>
      </c>
      <c r="T66">
        <v>64.23</v>
      </c>
      <c r="U66">
        <v>66.010000000000005</v>
      </c>
      <c r="V66">
        <v>67.56</v>
      </c>
      <c r="W66">
        <v>68.92</v>
      </c>
    </row>
    <row r="67" spans="1:23">
      <c r="A67">
        <v>2</v>
      </c>
      <c r="B67">
        <v>6.085</v>
      </c>
      <c r="C67">
        <v>8.3309999999999995</v>
      </c>
      <c r="D67">
        <v>9.798</v>
      </c>
      <c r="E67">
        <v>10.88</v>
      </c>
      <c r="F67">
        <v>11.74</v>
      </c>
      <c r="G67">
        <v>12.44</v>
      </c>
      <c r="H67">
        <v>13.03</v>
      </c>
      <c r="I67">
        <v>13.54</v>
      </c>
      <c r="J67">
        <v>13.99</v>
      </c>
      <c r="K67">
        <v>14.39</v>
      </c>
      <c r="L67">
        <v>14.75</v>
      </c>
      <c r="M67">
        <v>15.08</v>
      </c>
      <c r="N67">
        <v>15.38</v>
      </c>
      <c r="O67">
        <v>15.65</v>
      </c>
      <c r="P67">
        <v>15.91</v>
      </c>
      <c r="Q67">
        <v>16.37</v>
      </c>
      <c r="R67">
        <v>16.77</v>
      </c>
      <c r="S67">
        <v>17.45</v>
      </c>
      <c r="T67">
        <v>18.02</v>
      </c>
      <c r="U67">
        <v>18.5</v>
      </c>
      <c r="V67">
        <v>18.920000000000002</v>
      </c>
      <c r="W67">
        <v>19.28</v>
      </c>
    </row>
    <row r="68" spans="1:23">
      <c r="A68">
        <v>3</v>
      </c>
      <c r="B68">
        <v>4.5010000000000003</v>
      </c>
      <c r="C68">
        <v>5.91</v>
      </c>
      <c r="D68">
        <v>6.8250000000000002</v>
      </c>
      <c r="E68">
        <v>7.5019999999999998</v>
      </c>
      <c r="F68">
        <v>8.0370000000000008</v>
      </c>
      <c r="G68">
        <v>8.4779999999999998</v>
      </c>
      <c r="H68">
        <v>8.8529999999999998</v>
      </c>
      <c r="I68">
        <v>9.1769999999999996</v>
      </c>
      <c r="J68">
        <v>9.4619999999999997</v>
      </c>
      <c r="K68">
        <v>9.7170000000000005</v>
      </c>
      <c r="L68">
        <v>9.9459999999999997</v>
      </c>
      <c r="M68">
        <v>10.15</v>
      </c>
      <c r="N68">
        <v>10.35</v>
      </c>
      <c r="O68">
        <v>10.53</v>
      </c>
      <c r="P68">
        <v>10.69</v>
      </c>
      <c r="Q68">
        <v>10.98</v>
      </c>
      <c r="R68">
        <v>11.24</v>
      </c>
      <c r="S68">
        <v>11.68</v>
      </c>
      <c r="T68">
        <v>12.05</v>
      </c>
      <c r="U68">
        <v>12.36</v>
      </c>
      <c r="V68">
        <v>12.63</v>
      </c>
      <c r="W68">
        <v>12.87</v>
      </c>
    </row>
    <row r="69" spans="1:23">
      <c r="A69">
        <v>4</v>
      </c>
      <c r="B69">
        <v>3.927</v>
      </c>
      <c r="C69">
        <v>5.04</v>
      </c>
      <c r="D69">
        <v>5.7569999999999997</v>
      </c>
      <c r="E69">
        <v>6.2869999999999999</v>
      </c>
      <c r="F69">
        <v>6.7069999999999999</v>
      </c>
      <c r="G69">
        <v>7.0529999999999999</v>
      </c>
      <c r="H69">
        <v>7.3470000000000004</v>
      </c>
      <c r="I69">
        <v>7.6020000000000003</v>
      </c>
      <c r="J69">
        <v>7.8259999999999996</v>
      </c>
      <c r="K69">
        <v>8.0269999999999992</v>
      </c>
      <c r="L69">
        <v>8.2080000000000002</v>
      </c>
      <c r="M69">
        <v>8.3729999999999993</v>
      </c>
      <c r="N69">
        <v>8.5250000000000004</v>
      </c>
      <c r="O69">
        <v>8.6639999999999997</v>
      </c>
      <c r="P69">
        <v>8.7940000000000005</v>
      </c>
      <c r="Q69">
        <v>9.0280000000000005</v>
      </c>
      <c r="R69">
        <v>9.2330000000000005</v>
      </c>
      <c r="S69">
        <v>9.5839999999999996</v>
      </c>
      <c r="T69">
        <v>9.875</v>
      </c>
      <c r="U69">
        <v>10.119999999999999</v>
      </c>
      <c r="V69">
        <v>10.34</v>
      </c>
      <c r="W69">
        <v>10.53</v>
      </c>
    </row>
    <row r="70" spans="1:23">
      <c r="A70">
        <v>5</v>
      </c>
      <c r="B70">
        <v>3.6349999999999998</v>
      </c>
      <c r="C70">
        <v>4.6020000000000003</v>
      </c>
      <c r="D70">
        <v>5.218</v>
      </c>
      <c r="E70">
        <v>5.673</v>
      </c>
      <c r="F70">
        <v>6.0330000000000004</v>
      </c>
      <c r="G70">
        <v>6.33</v>
      </c>
      <c r="H70">
        <v>6.5819999999999999</v>
      </c>
      <c r="I70">
        <v>6.8019999999999996</v>
      </c>
      <c r="J70">
        <v>6.9950000000000001</v>
      </c>
      <c r="K70">
        <v>7.1680000000000001</v>
      </c>
      <c r="L70">
        <v>7.3239999999999998</v>
      </c>
      <c r="M70">
        <v>7.4660000000000002</v>
      </c>
      <c r="N70">
        <v>7.5960000000000001</v>
      </c>
      <c r="O70">
        <v>7.7169999999999996</v>
      </c>
      <c r="P70">
        <v>7.8280000000000003</v>
      </c>
      <c r="Q70">
        <v>8.0299999999999994</v>
      </c>
      <c r="R70">
        <v>8.2080000000000002</v>
      </c>
      <c r="S70">
        <v>8.5120000000000005</v>
      </c>
      <c r="T70">
        <v>8.7639999999999993</v>
      </c>
      <c r="U70">
        <v>8.9789999999999992</v>
      </c>
      <c r="V70">
        <v>9.1649999999999991</v>
      </c>
      <c r="W70">
        <v>9.33</v>
      </c>
    </row>
    <row r="71" spans="1:23">
      <c r="A71">
        <v>6</v>
      </c>
      <c r="B71">
        <v>3.4609999999999999</v>
      </c>
      <c r="C71">
        <v>4.3390000000000004</v>
      </c>
      <c r="D71">
        <v>4.8959999999999999</v>
      </c>
      <c r="E71">
        <v>5.3049999999999997</v>
      </c>
      <c r="F71">
        <v>5.6280000000000001</v>
      </c>
      <c r="G71">
        <v>5.8949999999999996</v>
      </c>
      <c r="H71">
        <v>6.1219999999999999</v>
      </c>
      <c r="I71">
        <v>6.319</v>
      </c>
      <c r="J71">
        <v>6.4930000000000003</v>
      </c>
      <c r="K71">
        <v>6.649</v>
      </c>
      <c r="L71">
        <v>6.7889999999999997</v>
      </c>
      <c r="M71">
        <v>6.9169999999999998</v>
      </c>
      <c r="N71">
        <v>7.0339999999999998</v>
      </c>
      <c r="O71">
        <v>7.1429999999999998</v>
      </c>
      <c r="P71">
        <v>7.2439999999999998</v>
      </c>
      <c r="Q71">
        <v>7.4260000000000002</v>
      </c>
      <c r="R71">
        <v>7.5869999999999997</v>
      </c>
      <c r="S71">
        <v>7.8609999999999998</v>
      </c>
      <c r="T71">
        <v>8.0879999999999992</v>
      </c>
      <c r="U71">
        <v>8.2829999999999995</v>
      </c>
      <c r="V71">
        <v>8.452</v>
      </c>
      <c r="W71">
        <v>8.6010000000000009</v>
      </c>
    </row>
    <row r="72" spans="1:23">
      <c r="A72">
        <v>7</v>
      </c>
      <c r="B72">
        <v>3.3439999999999999</v>
      </c>
      <c r="C72">
        <v>4.165</v>
      </c>
      <c r="D72">
        <v>4.681</v>
      </c>
      <c r="E72">
        <v>5.0599999999999996</v>
      </c>
      <c r="F72">
        <v>5.359</v>
      </c>
      <c r="G72">
        <v>5.6059999999999999</v>
      </c>
      <c r="H72">
        <v>5.8150000000000004</v>
      </c>
      <c r="I72">
        <v>5.9980000000000002</v>
      </c>
      <c r="J72">
        <v>6.1580000000000004</v>
      </c>
      <c r="K72">
        <v>6.3019999999999996</v>
      </c>
      <c r="L72">
        <v>6.431</v>
      </c>
      <c r="M72">
        <v>6.55</v>
      </c>
      <c r="N72">
        <v>6.6580000000000004</v>
      </c>
      <c r="O72">
        <v>6.7590000000000003</v>
      </c>
      <c r="P72">
        <v>6.8520000000000003</v>
      </c>
      <c r="Q72">
        <v>7.02</v>
      </c>
      <c r="R72">
        <v>7.17</v>
      </c>
      <c r="S72">
        <v>7.423</v>
      </c>
      <c r="T72">
        <v>7.6340000000000003</v>
      </c>
      <c r="U72">
        <v>7.8140000000000001</v>
      </c>
      <c r="V72">
        <v>7.9720000000000004</v>
      </c>
      <c r="W72">
        <v>8.11</v>
      </c>
    </row>
    <row r="73" spans="1:23">
      <c r="A73">
        <v>8</v>
      </c>
      <c r="B73">
        <v>3.2610000000000001</v>
      </c>
      <c r="C73">
        <v>4.0410000000000004</v>
      </c>
      <c r="D73">
        <v>4.5289999999999999</v>
      </c>
      <c r="E73">
        <v>4.8860000000000001</v>
      </c>
      <c r="F73">
        <v>5.1669999999999998</v>
      </c>
      <c r="G73">
        <v>5.399</v>
      </c>
      <c r="H73">
        <v>5.5970000000000004</v>
      </c>
      <c r="I73">
        <v>5.7670000000000003</v>
      </c>
      <c r="J73">
        <v>5.9180000000000001</v>
      </c>
      <c r="K73">
        <v>6.0540000000000003</v>
      </c>
      <c r="L73">
        <v>6.1749999999999998</v>
      </c>
      <c r="M73">
        <v>6.2869999999999999</v>
      </c>
      <c r="N73">
        <v>6.3890000000000002</v>
      </c>
      <c r="O73">
        <v>6.4829999999999997</v>
      </c>
      <c r="P73">
        <v>6.5709999999999997</v>
      </c>
      <c r="Q73">
        <v>6.7290000000000001</v>
      </c>
      <c r="R73">
        <v>6.87</v>
      </c>
      <c r="S73">
        <v>7.109</v>
      </c>
      <c r="T73">
        <v>7.3070000000000004</v>
      </c>
      <c r="U73">
        <v>7.4770000000000003</v>
      </c>
      <c r="V73">
        <v>7.625</v>
      </c>
      <c r="W73">
        <v>7.7560000000000002</v>
      </c>
    </row>
    <row r="74" spans="1:23">
      <c r="A74">
        <v>9</v>
      </c>
      <c r="B74">
        <v>3.1989999999999998</v>
      </c>
      <c r="C74">
        <v>3.9489999999999998</v>
      </c>
      <c r="D74">
        <v>4.415</v>
      </c>
      <c r="E74">
        <v>4.7560000000000002</v>
      </c>
      <c r="F74">
        <v>5.024</v>
      </c>
      <c r="G74">
        <v>5.2439999999999998</v>
      </c>
      <c r="H74">
        <v>5.4320000000000004</v>
      </c>
      <c r="I74">
        <v>5.5949999999999998</v>
      </c>
      <c r="J74">
        <v>5.7389999999999999</v>
      </c>
      <c r="K74">
        <v>5.867</v>
      </c>
      <c r="L74">
        <v>5.9829999999999997</v>
      </c>
      <c r="M74">
        <v>6.0890000000000004</v>
      </c>
      <c r="N74">
        <v>6.1859999999999999</v>
      </c>
      <c r="O74">
        <v>6.2759999999999998</v>
      </c>
      <c r="P74">
        <v>6.359</v>
      </c>
      <c r="Q74">
        <v>6.51</v>
      </c>
      <c r="R74">
        <v>6.6440000000000001</v>
      </c>
      <c r="S74">
        <v>6.8710000000000004</v>
      </c>
      <c r="T74">
        <v>7.0609999999999999</v>
      </c>
      <c r="U74">
        <v>7.2220000000000004</v>
      </c>
      <c r="V74">
        <v>7.3630000000000004</v>
      </c>
      <c r="W74">
        <v>7.4880000000000004</v>
      </c>
    </row>
    <row r="75" spans="1:23">
      <c r="A75">
        <v>10</v>
      </c>
      <c r="B75">
        <v>3.1509999999999998</v>
      </c>
      <c r="C75">
        <v>3.8769999999999998</v>
      </c>
      <c r="D75">
        <v>4.327</v>
      </c>
      <c r="E75">
        <v>4.6539999999999999</v>
      </c>
      <c r="F75">
        <v>4.9119999999999999</v>
      </c>
      <c r="G75">
        <v>5.1239999999999997</v>
      </c>
      <c r="H75">
        <v>5.3049999999999997</v>
      </c>
      <c r="I75">
        <v>5.4610000000000003</v>
      </c>
      <c r="J75">
        <v>5.5990000000000002</v>
      </c>
      <c r="K75">
        <v>5.7220000000000004</v>
      </c>
      <c r="L75">
        <v>5.8330000000000002</v>
      </c>
      <c r="M75">
        <v>5.9349999999999996</v>
      </c>
      <c r="N75">
        <v>6.0279999999999996</v>
      </c>
      <c r="O75">
        <v>6.1139999999999999</v>
      </c>
      <c r="P75">
        <v>6.194</v>
      </c>
      <c r="Q75">
        <v>6.3390000000000004</v>
      </c>
      <c r="R75">
        <v>6.4669999999999996</v>
      </c>
      <c r="S75">
        <v>6.6859999999999999</v>
      </c>
      <c r="T75">
        <v>6.8680000000000003</v>
      </c>
      <c r="U75">
        <v>7.0229999999999997</v>
      </c>
      <c r="V75">
        <v>7.1589999999999998</v>
      </c>
      <c r="W75">
        <v>7.2789999999999999</v>
      </c>
    </row>
    <row r="76" spans="1:23">
      <c r="A76">
        <v>11</v>
      </c>
      <c r="B76">
        <v>3.113</v>
      </c>
      <c r="C76">
        <v>3.82</v>
      </c>
      <c r="D76">
        <v>4.2560000000000002</v>
      </c>
      <c r="E76">
        <v>4.5739999999999998</v>
      </c>
      <c r="F76">
        <v>4.8230000000000004</v>
      </c>
      <c r="G76">
        <v>5.0279999999999996</v>
      </c>
      <c r="H76">
        <v>5.202</v>
      </c>
      <c r="I76">
        <v>5.3529999999999998</v>
      </c>
      <c r="J76">
        <v>5.4870000000000001</v>
      </c>
      <c r="K76">
        <v>5.6050000000000004</v>
      </c>
      <c r="L76">
        <v>5.7130000000000001</v>
      </c>
      <c r="M76">
        <v>5.8109999999999999</v>
      </c>
      <c r="N76">
        <v>5.9009999999999998</v>
      </c>
      <c r="O76">
        <v>5.984</v>
      </c>
      <c r="P76">
        <v>6.0620000000000003</v>
      </c>
      <c r="Q76">
        <v>6.202</v>
      </c>
      <c r="R76">
        <v>6.3259999999999996</v>
      </c>
      <c r="S76">
        <v>6.5359999999999996</v>
      </c>
      <c r="T76">
        <v>6.7119999999999997</v>
      </c>
      <c r="U76">
        <v>6.8630000000000004</v>
      </c>
      <c r="V76">
        <v>6.9939999999999998</v>
      </c>
      <c r="W76">
        <v>7.11</v>
      </c>
    </row>
    <row r="77" spans="1:23">
      <c r="A77">
        <v>12</v>
      </c>
      <c r="B77">
        <v>3.0819999999999999</v>
      </c>
      <c r="C77">
        <v>3.7730000000000001</v>
      </c>
      <c r="D77">
        <v>4.1989999999999998</v>
      </c>
      <c r="E77">
        <v>4.508</v>
      </c>
      <c r="F77">
        <v>4.7510000000000003</v>
      </c>
      <c r="G77">
        <v>4.95</v>
      </c>
      <c r="H77">
        <v>5.1189999999999998</v>
      </c>
      <c r="I77">
        <v>5.2649999999999997</v>
      </c>
      <c r="J77">
        <v>5.3949999999999996</v>
      </c>
      <c r="K77">
        <v>5.5110000000000001</v>
      </c>
      <c r="L77">
        <v>5.6150000000000002</v>
      </c>
      <c r="M77">
        <v>5.71</v>
      </c>
      <c r="N77">
        <v>5.798</v>
      </c>
      <c r="O77">
        <v>5.8780000000000001</v>
      </c>
      <c r="P77">
        <v>5.9530000000000003</v>
      </c>
      <c r="Q77">
        <v>6.0890000000000004</v>
      </c>
      <c r="R77">
        <v>6.2089999999999996</v>
      </c>
      <c r="S77">
        <v>6.4139999999999997</v>
      </c>
      <c r="T77">
        <v>6.585</v>
      </c>
      <c r="U77">
        <v>6.7309999999999999</v>
      </c>
      <c r="V77">
        <v>6.8579999999999997</v>
      </c>
      <c r="W77">
        <v>6.97</v>
      </c>
    </row>
    <row r="78" spans="1:23">
      <c r="A78">
        <v>13</v>
      </c>
      <c r="B78">
        <v>3.0550000000000002</v>
      </c>
      <c r="C78">
        <v>3.7349999999999999</v>
      </c>
      <c r="D78">
        <v>4.1509999999999998</v>
      </c>
      <c r="E78">
        <v>4.4530000000000003</v>
      </c>
      <c r="F78">
        <v>4.6900000000000004</v>
      </c>
      <c r="G78">
        <v>4.8849999999999998</v>
      </c>
      <c r="H78">
        <v>5.0490000000000004</v>
      </c>
      <c r="I78">
        <v>5.1920000000000002</v>
      </c>
      <c r="J78">
        <v>5.3179999999999996</v>
      </c>
      <c r="K78">
        <v>5.431</v>
      </c>
      <c r="L78">
        <v>5.5330000000000004</v>
      </c>
      <c r="M78">
        <v>5.625</v>
      </c>
      <c r="N78">
        <v>5.7110000000000003</v>
      </c>
      <c r="O78">
        <v>5.7889999999999997</v>
      </c>
      <c r="P78">
        <v>5.8620000000000001</v>
      </c>
      <c r="Q78">
        <v>5.9950000000000001</v>
      </c>
      <c r="R78">
        <v>6.1120000000000001</v>
      </c>
      <c r="S78">
        <v>6.3120000000000003</v>
      </c>
      <c r="T78">
        <v>6.4779999999999998</v>
      </c>
      <c r="U78">
        <v>6.62</v>
      </c>
      <c r="V78">
        <v>6.7439999999999998</v>
      </c>
      <c r="W78">
        <v>6.8540000000000001</v>
      </c>
    </row>
    <row r="79" spans="1:23">
      <c r="A79">
        <v>14</v>
      </c>
      <c r="B79">
        <v>3.0329999999999999</v>
      </c>
      <c r="C79">
        <v>3.702</v>
      </c>
      <c r="D79">
        <v>4.1109999999999998</v>
      </c>
      <c r="E79">
        <v>4.407</v>
      </c>
      <c r="F79">
        <v>4.6390000000000002</v>
      </c>
      <c r="G79">
        <v>4.8289999999999997</v>
      </c>
      <c r="H79">
        <v>4.99</v>
      </c>
      <c r="I79">
        <v>5.1310000000000002</v>
      </c>
      <c r="J79">
        <v>5.2539999999999996</v>
      </c>
      <c r="K79">
        <v>5.3639999999999999</v>
      </c>
      <c r="L79">
        <v>5.4630000000000001</v>
      </c>
      <c r="M79">
        <v>5.5540000000000003</v>
      </c>
      <c r="N79">
        <v>5.6369999999999996</v>
      </c>
      <c r="O79">
        <v>5.7140000000000004</v>
      </c>
      <c r="P79">
        <v>5.7859999999999996</v>
      </c>
      <c r="Q79">
        <v>5.915</v>
      </c>
      <c r="R79">
        <v>6.0289999999999999</v>
      </c>
      <c r="S79">
        <v>6.2240000000000002</v>
      </c>
      <c r="T79">
        <v>6.3869999999999996</v>
      </c>
      <c r="U79">
        <v>6.5259999999999998</v>
      </c>
      <c r="V79">
        <v>6.6470000000000002</v>
      </c>
      <c r="W79">
        <v>6.7539999999999996</v>
      </c>
    </row>
    <row r="80" spans="1:23">
      <c r="A80">
        <v>15</v>
      </c>
      <c r="B80">
        <v>3.0139999999999998</v>
      </c>
      <c r="C80">
        <v>3.6739999999999999</v>
      </c>
      <c r="D80">
        <v>4.0759999999999996</v>
      </c>
      <c r="E80">
        <v>4.367</v>
      </c>
      <c r="F80">
        <v>4.5949999999999998</v>
      </c>
      <c r="G80">
        <v>4.782</v>
      </c>
      <c r="H80">
        <v>4.9400000000000004</v>
      </c>
      <c r="I80">
        <v>5.077</v>
      </c>
      <c r="J80">
        <v>5.1980000000000004</v>
      </c>
      <c r="K80">
        <v>5.306</v>
      </c>
      <c r="L80">
        <v>5.4039999999999999</v>
      </c>
      <c r="M80">
        <v>5.4930000000000003</v>
      </c>
      <c r="N80">
        <v>5.5739999999999998</v>
      </c>
      <c r="O80">
        <v>5.649</v>
      </c>
      <c r="P80">
        <v>5.72</v>
      </c>
      <c r="Q80">
        <v>5.8460000000000001</v>
      </c>
      <c r="R80">
        <v>5.9580000000000002</v>
      </c>
      <c r="S80">
        <v>6.149</v>
      </c>
      <c r="T80">
        <v>6.3090000000000002</v>
      </c>
      <c r="U80">
        <v>6.4450000000000003</v>
      </c>
      <c r="V80">
        <v>6.5640000000000001</v>
      </c>
      <c r="W80">
        <v>6.6689999999999996</v>
      </c>
    </row>
    <row r="81" spans="1:23">
      <c r="A81">
        <v>16</v>
      </c>
      <c r="B81">
        <v>2.9980000000000002</v>
      </c>
      <c r="C81">
        <v>3.649</v>
      </c>
      <c r="D81">
        <v>4.0460000000000003</v>
      </c>
      <c r="E81">
        <v>4.3330000000000002</v>
      </c>
      <c r="F81">
        <v>4.5570000000000004</v>
      </c>
      <c r="G81">
        <v>4.7409999999999997</v>
      </c>
      <c r="H81">
        <v>4.8970000000000002</v>
      </c>
      <c r="I81">
        <v>5.0309999999999997</v>
      </c>
      <c r="J81">
        <v>5.15</v>
      </c>
      <c r="K81">
        <v>5.2560000000000002</v>
      </c>
      <c r="L81">
        <v>5.3520000000000003</v>
      </c>
      <c r="M81">
        <v>5.4390000000000001</v>
      </c>
      <c r="N81">
        <v>5.52</v>
      </c>
      <c r="O81">
        <v>5.593</v>
      </c>
      <c r="P81">
        <v>5.6619999999999999</v>
      </c>
      <c r="Q81">
        <v>5.7859999999999996</v>
      </c>
      <c r="R81">
        <v>5.8970000000000002</v>
      </c>
      <c r="S81">
        <v>6.0839999999999996</v>
      </c>
      <c r="T81">
        <v>6.2409999999999997</v>
      </c>
      <c r="U81">
        <v>6.3739999999999997</v>
      </c>
      <c r="V81">
        <v>6.4909999999999997</v>
      </c>
      <c r="W81">
        <v>6.5940000000000003</v>
      </c>
    </row>
    <row r="82" spans="1:23">
      <c r="A82">
        <v>17</v>
      </c>
      <c r="B82">
        <v>2.984</v>
      </c>
      <c r="C82">
        <v>3.6280000000000001</v>
      </c>
      <c r="D82">
        <v>4.0199999999999996</v>
      </c>
      <c r="E82">
        <v>4.3029999999999999</v>
      </c>
      <c r="F82">
        <v>4.524</v>
      </c>
      <c r="G82">
        <v>4.7050000000000001</v>
      </c>
      <c r="H82">
        <v>4.8579999999999997</v>
      </c>
      <c r="I82">
        <v>4.9909999999999997</v>
      </c>
      <c r="J82">
        <v>5.1079999999999997</v>
      </c>
      <c r="K82">
        <v>5.2119999999999997</v>
      </c>
      <c r="L82">
        <v>5.3070000000000004</v>
      </c>
      <c r="M82">
        <v>5.3920000000000003</v>
      </c>
      <c r="N82">
        <v>5.4710000000000001</v>
      </c>
      <c r="O82">
        <v>5.5439999999999996</v>
      </c>
      <c r="P82">
        <v>5.6120000000000001</v>
      </c>
      <c r="Q82">
        <v>5.734</v>
      </c>
      <c r="R82">
        <v>5.8419999999999996</v>
      </c>
      <c r="S82">
        <v>6.0270000000000001</v>
      </c>
      <c r="T82">
        <v>6.181</v>
      </c>
      <c r="U82">
        <v>6.3129999999999997</v>
      </c>
      <c r="V82">
        <v>6.4269999999999996</v>
      </c>
      <c r="W82">
        <v>6.5289999999999999</v>
      </c>
    </row>
    <row r="83" spans="1:23">
      <c r="A83">
        <v>18</v>
      </c>
      <c r="B83">
        <v>2.9710000000000001</v>
      </c>
      <c r="C83">
        <v>3.609</v>
      </c>
      <c r="D83">
        <v>3.9969999999999999</v>
      </c>
      <c r="E83">
        <v>4.2770000000000001</v>
      </c>
      <c r="F83">
        <v>4.4950000000000001</v>
      </c>
      <c r="G83">
        <v>4.673</v>
      </c>
      <c r="H83">
        <v>4.8239999999999998</v>
      </c>
      <c r="I83">
        <v>4.9560000000000004</v>
      </c>
      <c r="J83">
        <v>5.0709999999999997</v>
      </c>
      <c r="K83">
        <v>5.1740000000000004</v>
      </c>
      <c r="L83">
        <v>5.2670000000000003</v>
      </c>
      <c r="M83">
        <v>5.3520000000000003</v>
      </c>
      <c r="N83">
        <v>5.4290000000000003</v>
      </c>
      <c r="O83">
        <v>5.5010000000000003</v>
      </c>
      <c r="P83">
        <v>5.5679999999999996</v>
      </c>
      <c r="Q83">
        <v>5.6879999999999997</v>
      </c>
      <c r="R83">
        <v>5.7939999999999996</v>
      </c>
      <c r="S83">
        <v>5.9770000000000003</v>
      </c>
      <c r="T83">
        <v>6.1280000000000001</v>
      </c>
      <c r="U83">
        <v>6.258</v>
      </c>
      <c r="V83">
        <v>6.3710000000000004</v>
      </c>
      <c r="W83">
        <v>6.4710000000000001</v>
      </c>
    </row>
    <row r="84" spans="1:23">
      <c r="A84">
        <v>19</v>
      </c>
      <c r="B84">
        <v>2.96</v>
      </c>
      <c r="C84">
        <v>3.593</v>
      </c>
      <c r="D84">
        <v>3.9769999999999999</v>
      </c>
      <c r="E84">
        <v>4.2530000000000001</v>
      </c>
      <c r="F84">
        <v>4.4690000000000003</v>
      </c>
      <c r="G84">
        <v>4.6449999999999996</v>
      </c>
      <c r="H84">
        <v>4.7939999999999996</v>
      </c>
      <c r="I84">
        <v>4.9240000000000004</v>
      </c>
      <c r="J84">
        <v>5.0380000000000003</v>
      </c>
      <c r="K84">
        <v>5.14</v>
      </c>
      <c r="L84">
        <v>5.2309999999999999</v>
      </c>
      <c r="M84">
        <v>5.3150000000000004</v>
      </c>
      <c r="N84">
        <v>5.391</v>
      </c>
      <c r="O84">
        <v>5.4619999999999997</v>
      </c>
      <c r="P84">
        <v>5.5279999999999996</v>
      </c>
      <c r="Q84">
        <v>5.6470000000000002</v>
      </c>
      <c r="R84">
        <v>5.7519999999999998</v>
      </c>
      <c r="S84">
        <v>5.9320000000000004</v>
      </c>
      <c r="T84">
        <v>6.0810000000000004</v>
      </c>
      <c r="U84">
        <v>6.2089999999999996</v>
      </c>
      <c r="V84">
        <v>6.3209999999999997</v>
      </c>
      <c r="W84">
        <v>6.4189999999999996</v>
      </c>
    </row>
    <row r="85" spans="1:23">
      <c r="A85">
        <v>20</v>
      </c>
      <c r="B85">
        <v>2.95</v>
      </c>
      <c r="C85">
        <v>3.5779999999999998</v>
      </c>
      <c r="D85">
        <v>3.9580000000000002</v>
      </c>
      <c r="E85">
        <v>4.2320000000000002</v>
      </c>
      <c r="F85">
        <v>4.4450000000000003</v>
      </c>
      <c r="G85">
        <v>4.62</v>
      </c>
      <c r="H85">
        <v>4.7679999999999998</v>
      </c>
      <c r="I85">
        <v>4.8959999999999999</v>
      </c>
      <c r="J85">
        <v>5.008</v>
      </c>
      <c r="K85">
        <v>5.1079999999999997</v>
      </c>
      <c r="L85">
        <v>5.1989999999999998</v>
      </c>
      <c r="M85">
        <v>5.282</v>
      </c>
      <c r="N85">
        <v>5.3570000000000002</v>
      </c>
      <c r="O85">
        <v>5.4269999999999996</v>
      </c>
      <c r="P85">
        <v>5.4930000000000003</v>
      </c>
      <c r="Q85">
        <v>5.61</v>
      </c>
      <c r="R85">
        <v>5.7140000000000004</v>
      </c>
      <c r="S85">
        <v>5.891</v>
      </c>
      <c r="T85">
        <v>6.0389999999999997</v>
      </c>
      <c r="U85">
        <v>6.165</v>
      </c>
      <c r="V85">
        <v>6.2750000000000004</v>
      </c>
      <c r="W85">
        <v>6.3730000000000002</v>
      </c>
    </row>
    <row r="86" spans="1:23">
      <c r="A86">
        <v>24</v>
      </c>
      <c r="B86">
        <v>2.919</v>
      </c>
      <c r="C86">
        <v>3.532</v>
      </c>
      <c r="D86">
        <v>3.9009999999999998</v>
      </c>
      <c r="E86">
        <v>4.1660000000000004</v>
      </c>
      <c r="F86">
        <v>4.3730000000000002</v>
      </c>
      <c r="G86">
        <v>4.5410000000000004</v>
      </c>
      <c r="H86">
        <v>4.6840000000000002</v>
      </c>
      <c r="I86">
        <v>4.8070000000000004</v>
      </c>
      <c r="J86">
        <v>4.915</v>
      </c>
      <c r="K86">
        <v>5.0119999999999996</v>
      </c>
      <c r="L86">
        <v>5.0990000000000002</v>
      </c>
      <c r="M86">
        <v>5.1790000000000003</v>
      </c>
      <c r="N86">
        <v>5.2510000000000003</v>
      </c>
      <c r="O86">
        <v>5.319</v>
      </c>
      <c r="P86">
        <v>5.3810000000000002</v>
      </c>
      <c r="Q86">
        <v>5.4939999999999998</v>
      </c>
      <c r="R86">
        <v>5.5940000000000003</v>
      </c>
      <c r="S86">
        <v>5.7640000000000002</v>
      </c>
      <c r="T86">
        <v>5.9059999999999997</v>
      </c>
      <c r="U86">
        <v>6.0270000000000001</v>
      </c>
      <c r="V86">
        <v>6.1319999999999997</v>
      </c>
      <c r="W86">
        <v>6.226</v>
      </c>
    </row>
    <row r="87" spans="1:23">
      <c r="A87">
        <v>30</v>
      </c>
      <c r="B87">
        <v>2.8879999999999999</v>
      </c>
      <c r="C87">
        <v>3.4860000000000002</v>
      </c>
      <c r="D87">
        <v>3.8450000000000002</v>
      </c>
      <c r="E87">
        <v>4.1020000000000003</v>
      </c>
      <c r="F87">
        <v>4.3019999999999996</v>
      </c>
      <c r="G87">
        <v>4.4640000000000004</v>
      </c>
      <c r="H87">
        <v>4.6020000000000003</v>
      </c>
      <c r="I87">
        <v>4.72</v>
      </c>
      <c r="J87">
        <v>4.8239999999999998</v>
      </c>
      <c r="K87">
        <v>4.9169999999999998</v>
      </c>
      <c r="L87">
        <v>5.0010000000000003</v>
      </c>
      <c r="M87">
        <v>5.077</v>
      </c>
      <c r="N87">
        <v>5.1470000000000002</v>
      </c>
      <c r="O87">
        <v>5.2110000000000003</v>
      </c>
      <c r="P87">
        <v>5.2709999999999999</v>
      </c>
      <c r="Q87">
        <v>5.3789999999999996</v>
      </c>
      <c r="R87">
        <v>5.4749999999999996</v>
      </c>
      <c r="S87">
        <v>5.6379999999999999</v>
      </c>
      <c r="T87">
        <v>5.774</v>
      </c>
      <c r="U87">
        <v>5.8890000000000002</v>
      </c>
      <c r="V87">
        <v>5.99</v>
      </c>
      <c r="W87">
        <v>6.08</v>
      </c>
    </row>
    <row r="88" spans="1:23">
      <c r="A88">
        <v>40</v>
      </c>
      <c r="B88">
        <v>2.8580000000000001</v>
      </c>
      <c r="C88">
        <v>3.4420000000000002</v>
      </c>
      <c r="D88">
        <v>3.7909999999999999</v>
      </c>
      <c r="E88">
        <v>4.0389999999999997</v>
      </c>
      <c r="F88">
        <v>4.2320000000000002</v>
      </c>
      <c r="G88">
        <v>4.3890000000000002</v>
      </c>
      <c r="H88">
        <v>4.5209999999999999</v>
      </c>
      <c r="I88">
        <v>4.6349999999999998</v>
      </c>
      <c r="J88">
        <v>4.7350000000000003</v>
      </c>
      <c r="K88">
        <v>4.8239999999999998</v>
      </c>
      <c r="L88">
        <v>4.9039999999999999</v>
      </c>
      <c r="M88">
        <v>4.9770000000000003</v>
      </c>
      <c r="N88">
        <v>5.0439999999999996</v>
      </c>
      <c r="O88">
        <v>5.1059999999999999</v>
      </c>
      <c r="P88">
        <v>5.1630000000000003</v>
      </c>
      <c r="Q88">
        <v>5.266</v>
      </c>
      <c r="R88">
        <v>5.3579999999999997</v>
      </c>
      <c r="S88">
        <v>5.5129999999999999</v>
      </c>
      <c r="T88">
        <v>5.6420000000000003</v>
      </c>
      <c r="U88">
        <v>5.7530000000000001</v>
      </c>
      <c r="V88">
        <v>5.8490000000000002</v>
      </c>
      <c r="W88">
        <v>5.9340000000000002</v>
      </c>
    </row>
    <row r="89" spans="1:23">
      <c r="A89">
        <v>60</v>
      </c>
      <c r="B89">
        <v>2.8290000000000002</v>
      </c>
      <c r="C89">
        <v>3.399</v>
      </c>
      <c r="D89">
        <v>3.7370000000000001</v>
      </c>
      <c r="E89">
        <v>3.9769999999999999</v>
      </c>
      <c r="F89">
        <v>4.1630000000000003</v>
      </c>
      <c r="G89">
        <v>4.3140000000000001</v>
      </c>
      <c r="H89">
        <v>4.4409999999999998</v>
      </c>
      <c r="I89">
        <v>4.55</v>
      </c>
      <c r="J89">
        <v>4.6459999999999999</v>
      </c>
      <c r="K89">
        <v>4.7320000000000002</v>
      </c>
      <c r="L89">
        <v>4.8079999999999998</v>
      </c>
      <c r="M89">
        <v>4.8780000000000001</v>
      </c>
      <c r="N89">
        <v>4.9420000000000002</v>
      </c>
      <c r="O89">
        <v>5.0010000000000003</v>
      </c>
      <c r="P89">
        <v>5.056</v>
      </c>
      <c r="Q89">
        <v>5.1539999999999999</v>
      </c>
      <c r="R89">
        <v>5.2409999999999997</v>
      </c>
      <c r="S89">
        <v>5.3890000000000002</v>
      </c>
      <c r="T89">
        <v>5.5119999999999996</v>
      </c>
      <c r="U89">
        <v>5.617</v>
      </c>
      <c r="V89">
        <v>5.7080000000000002</v>
      </c>
      <c r="W89">
        <v>5.7889999999999997</v>
      </c>
    </row>
    <row r="90" spans="1:23">
      <c r="A90">
        <v>120</v>
      </c>
      <c r="B90">
        <v>2.8</v>
      </c>
      <c r="C90">
        <v>3.3559999999999999</v>
      </c>
      <c r="D90">
        <v>3.6850000000000001</v>
      </c>
      <c r="E90">
        <v>3.9169999999999998</v>
      </c>
      <c r="F90">
        <v>4.0960000000000001</v>
      </c>
      <c r="G90">
        <v>4.2409999999999997</v>
      </c>
      <c r="H90">
        <v>4.3630000000000004</v>
      </c>
      <c r="I90">
        <v>4.468</v>
      </c>
      <c r="J90">
        <v>4.5599999999999996</v>
      </c>
      <c r="K90">
        <v>4.641</v>
      </c>
      <c r="L90">
        <v>4.7140000000000004</v>
      </c>
      <c r="M90">
        <v>4.7809999999999997</v>
      </c>
      <c r="N90">
        <v>4.8419999999999996</v>
      </c>
      <c r="O90">
        <v>4.8979999999999997</v>
      </c>
      <c r="P90">
        <v>4.95</v>
      </c>
      <c r="Q90">
        <v>5.0439999999999996</v>
      </c>
      <c r="R90">
        <v>5.1260000000000003</v>
      </c>
      <c r="S90">
        <v>5.266</v>
      </c>
      <c r="T90">
        <v>5.3819999999999997</v>
      </c>
      <c r="U90">
        <v>5.4809999999999999</v>
      </c>
      <c r="V90">
        <v>5.5679999999999996</v>
      </c>
      <c r="W90">
        <v>5.6440000000000001</v>
      </c>
    </row>
    <row r="91" spans="1:23">
      <c r="A91" s="19" t="s">
        <v>980</v>
      </c>
      <c r="B91">
        <v>2.7719999999999998</v>
      </c>
      <c r="C91">
        <v>3.3140000000000001</v>
      </c>
      <c r="D91">
        <v>3.633</v>
      </c>
      <c r="E91">
        <v>3.8580000000000001</v>
      </c>
      <c r="F91">
        <v>4.03</v>
      </c>
      <c r="G91">
        <v>4.17</v>
      </c>
      <c r="H91">
        <v>4.2859999999999996</v>
      </c>
      <c r="I91">
        <v>4.3869999999999996</v>
      </c>
      <c r="J91">
        <v>4.4740000000000002</v>
      </c>
      <c r="K91">
        <v>4.5519999999999996</v>
      </c>
      <c r="L91">
        <v>4.6219999999999999</v>
      </c>
      <c r="M91">
        <v>4.6849999999999996</v>
      </c>
      <c r="N91">
        <v>4.7430000000000003</v>
      </c>
      <c r="O91">
        <v>4.7960000000000003</v>
      </c>
      <c r="P91">
        <v>4.8449999999999998</v>
      </c>
      <c r="Q91">
        <v>4.9340000000000002</v>
      </c>
      <c r="R91">
        <v>5.0119999999999996</v>
      </c>
      <c r="S91">
        <v>5.1440000000000001</v>
      </c>
      <c r="T91">
        <v>5.2530000000000001</v>
      </c>
      <c r="U91">
        <v>5.3460000000000001</v>
      </c>
      <c r="V91">
        <v>5.4269999999999996</v>
      </c>
      <c r="W91">
        <v>5.4980000000000002</v>
      </c>
    </row>
    <row r="93" spans="1:23">
      <c r="A93" t="s">
        <v>116</v>
      </c>
      <c r="B93">
        <v>5.0000000000000001E-3</v>
      </c>
    </row>
    <row r="94" spans="1:23">
      <c r="B94" t="s">
        <v>317</v>
      </c>
    </row>
    <row r="95" spans="1:23">
      <c r="A95" s="19" t="s">
        <v>186</v>
      </c>
      <c r="B95">
        <v>2</v>
      </c>
      <c r="C95">
        <f>B95+1</f>
        <v>3</v>
      </c>
      <c r="D95">
        <f t="shared" ref="D95:L95" si="3">C95+1</f>
        <v>4</v>
      </c>
      <c r="E95">
        <f t="shared" si="3"/>
        <v>5</v>
      </c>
      <c r="F95">
        <f t="shared" si="3"/>
        <v>6</v>
      </c>
      <c r="G95">
        <f t="shared" si="3"/>
        <v>7</v>
      </c>
      <c r="H95">
        <f t="shared" si="3"/>
        <v>8</v>
      </c>
      <c r="I95">
        <f t="shared" si="3"/>
        <v>9</v>
      </c>
      <c r="J95">
        <f t="shared" si="3"/>
        <v>10</v>
      </c>
      <c r="K95">
        <f t="shared" si="3"/>
        <v>11</v>
      </c>
      <c r="L95">
        <f t="shared" si="3"/>
        <v>12</v>
      </c>
      <c r="M95">
        <v>13</v>
      </c>
      <c r="N95">
        <f>M95+1</f>
        <v>14</v>
      </c>
      <c r="O95">
        <f>N95+1</f>
        <v>15</v>
      </c>
      <c r="P95">
        <f>O95+1</f>
        <v>16</v>
      </c>
      <c r="Q95">
        <f>P95+2</f>
        <v>18</v>
      </c>
      <c r="R95">
        <f>Q95+2</f>
        <v>20</v>
      </c>
      <c r="S95">
        <f>R95+4</f>
        <v>24</v>
      </c>
      <c r="T95">
        <f>S95+4</f>
        <v>28</v>
      </c>
      <c r="U95">
        <f>T95+4</f>
        <v>32</v>
      </c>
      <c r="V95">
        <f>U95+4</f>
        <v>36</v>
      </c>
      <c r="W95">
        <f>V95+4</f>
        <v>40</v>
      </c>
    </row>
    <row r="96" spans="1:23">
      <c r="A96">
        <v>1</v>
      </c>
      <c r="B96">
        <v>180.1</v>
      </c>
      <c r="C96">
        <v>270.10000000000002</v>
      </c>
      <c r="D96">
        <v>328.5</v>
      </c>
      <c r="E96">
        <v>371.2</v>
      </c>
      <c r="F96">
        <v>404.4</v>
      </c>
      <c r="G96">
        <v>431.6</v>
      </c>
      <c r="H96">
        <v>454.4</v>
      </c>
      <c r="I96">
        <v>474</v>
      </c>
      <c r="J96">
        <v>491.1</v>
      </c>
      <c r="K96">
        <v>506.3</v>
      </c>
      <c r="L96">
        <v>520</v>
      </c>
      <c r="M96">
        <v>532.4</v>
      </c>
      <c r="N96">
        <v>543.6</v>
      </c>
      <c r="O96">
        <v>554</v>
      </c>
      <c r="P96">
        <v>563.6</v>
      </c>
      <c r="Q96">
        <v>580.9</v>
      </c>
      <c r="R96">
        <v>596</v>
      </c>
      <c r="S96">
        <v>621.70000000000005</v>
      </c>
      <c r="T96">
        <v>642.70000000000005</v>
      </c>
      <c r="U96">
        <v>660.6</v>
      </c>
      <c r="V96">
        <v>676</v>
      </c>
      <c r="W96">
        <v>689.6</v>
      </c>
    </row>
    <row r="97" spans="1:23">
      <c r="A97">
        <v>2</v>
      </c>
      <c r="B97">
        <v>19.93</v>
      </c>
      <c r="C97">
        <v>26.97</v>
      </c>
      <c r="D97">
        <v>31.6</v>
      </c>
      <c r="E97">
        <v>35.020000000000003</v>
      </c>
      <c r="F97">
        <v>37.729999999999997</v>
      </c>
      <c r="G97">
        <v>39.950000000000003</v>
      </c>
      <c r="H97">
        <v>41.83</v>
      </c>
      <c r="I97">
        <v>43.46</v>
      </c>
      <c r="J97">
        <v>44.89</v>
      </c>
      <c r="K97">
        <v>46.16</v>
      </c>
      <c r="L97">
        <v>47.31</v>
      </c>
      <c r="M97">
        <v>48.35</v>
      </c>
      <c r="N97">
        <v>49.3</v>
      </c>
      <c r="O97">
        <v>50.17</v>
      </c>
      <c r="P97">
        <v>50.99</v>
      </c>
      <c r="Q97">
        <v>52.45</v>
      </c>
      <c r="R97">
        <v>53.74</v>
      </c>
      <c r="S97">
        <v>55.92</v>
      </c>
      <c r="T97">
        <v>57.73</v>
      </c>
      <c r="U97">
        <v>59.26</v>
      </c>
      <c r="V97">
        <v>60.59</v>
      </c>
      <c r="W97">
        <v>61.76</v>
      </c>
    </row>
    <row r="98" spans="1:23">
      <c r="A98">
        <v>3</v>
      </c>
      <c r="B98">
        <v>10.55</v>
      </c>
      <c r="C98">
        <v>13.5</v>
      </c>
      <c r="D98">
        <v>15.45</v>
      </c>
      <c r="E98">
        <v>16.91</v>
      </c>
      <c r="F98">
        <v>18.059999999999999</v>
      </c>
      <c r="G98">
        <v>19.010000000000002</v>
      </c>
      <c r="H98">
        <v>19.829999999999998</v>
      </c>
      <c r="I98">
        <v>20.53</v>
      </c>
      <c r="J98">
        <v>21.15</v>
      </c>
      <c r="K98">
        <v>21.7</v>
      </c>
      <c r="L98">
        <v>22.2</v>
      </c>
      <c r="M98">
        <v>22.66</v>
      </c>
      <c r="N98">
        <v>23.08</v>
      </c>
      <c r="O98">
        <v>23.46</v>
      </c>
      <c r="P98">
        <v>23.82</v>
      </c>
      <c r="Q98">
        <v>24.46</v>
      </c>
      <c r="R98">
        <v>25.03</v>
      </c>
      <c r="S98">
        <v>26</v>
      </c>
      <c r="T98">
        <v>26.8</v>
      </c>
      <c r="U98">
        <v>27.48</v>
      </c>
      <c r="V98">
        <v>28.07</v>
      </c>
      <c r="W98">
        <v>28.6</v>
      </c>
    </row>
    <row r="99" spans="1:23">
      <c r="A99">
        <v>4</v>
      </c>
      <c r="B99">
        <v>7.9160000000000004</v>
      </c>
      <c r="C99">
        <v>9.8140000000000001</v>
      </c>
      <c r="D99">
        <v>11.06</v>
      </c>
      <c r="E99">
        <v>11.99</v>
      </c>
      <c r="F99">
        <v>12.74</v>
      </c>
      <c r="G99">
        <v>13.35</v>
      </c>
      <c r="H99">
        <v>13.88</v>
      </c>
      <c r="I99">
        <v>14.33</v>
      </c>
      <c r="J99">
        <v>14.74</v>
      </c>
      <c r="K99">
        <v>15.1</v>
      </c>
      <c r="L99">
        <v>15.42</v>
      </c>
      <c r="M99">
        <v>15.72</v>
      </c>
      <c r="N99">
        <v>15.99</v>
      </c>
      <c r="O99">
        <v>16.239999999999998</v>
      </c>
      <c r="P99">
        <v>16.48</v>
      </c>
      <c r="Q99">
        <v>16.899999999999999</v>
      </c>
      <c r="R99">
        <v>17.28</v>
      </c>
      <c r="S99">
        <v>17.91</v>
      </c>
      <c r="T99">
        <v>18.440000000000001</v>
      </c>
      <c r="U99">
        <v>18.89</v>
      </c>
      <c r="V99">
        <v>19.28</v>
      </c>
      <c r="W99">
        <v>19.63</v>
      </c>
    </row>
    <row r="100" spans="1:23">
      <c r="A100">
        <v>5</v>
      </c>
      <c r="B100">
        <v>6.7510000000000003</v>
      </c>
      <c r="C100">
        <v>8.1959999999999997</v>
      </c>
      <c r="D100">
        <v>9.141</v>
      </c>
      <c r="E100">
        <v>9.8469999999999995</v>
      </c>
      <c r="F100">
        <v>10.41</v>
      </c>
      <c r="G100">
        <v>10.88</v>
      </c>
      <c r="H100">
        <v>11.28</v>
      </c>
      <c r="I100">
        <v>11.63</v>
      </c>
      <c r="J100">
        <v>11.93</v>
      </c>
      <c r="K100">
        <v>12.21</v>
      </c>
      <c r="L100">
        <v>12.46</v>
      </c>
      <c r="M100">
        <v>12.69</v>
      </c>
      <c r="N100">
        <v>12.9</v>
      </c>
      <c r="O100">
        <v>13.09</v>
      </c>
      <c r="P100">
        <v>13.27</v>
      </c>
      <c r="Q100">
        <v>13.6</v>
      </c>
      <c r="R100">
        <v>13.89</v>
      </c>
      <c r="S100">
        <v>14.38</v>
      </c>
      <c r="T100">
        <v>14.79</v>
      </c>
      <c r="U100">
        <v>15.13</v>
      </c>
      <c r="V100">
        <v>15.44</v>
      </c>
      <c r="W100">
        <v>15.71</v>
      </c>
    </row>
    <row r="101" spans="1:23">
      <c r="A101">
        <v>6</v>
      </c>
      <c r="B101">
        <v>6.1050000000000004</v>
      </c>
      <c r="C101">
        <v>7.306</v>
      </c>
      <c r="D101">
        <v>8.0879999999999992</v>
      </c>
      <c r="E101">
        <v>8.67</v>
      </c>
      <c r="F101">
        <v>9.1349999999999998</v>
      </c>
      <c r="G101">
        <v>9.5220000000000002</v>
      </c>
      <c r="H101">
        <v>9.8520000000000003</v>
      </c>
      <c r="I101">
        <v>10.14</v>
      </c>
      <c r="J101">
        <v>10.4</v>
      </c>
      <c r="K101">
        <v>10.63</v>
      </c>
      <c r="L101">
        <v>10.83</v>
      </c>
      <c r="M101">
        <v>11.02</v>
      </c>
      <c r="N101">
        <v>11.2</v>
      </c>
      <c r="O101">
        <v>11.36</v>
      </c>
      <c r="P101">
        <v>11.51</v>
      </c>
      <c r="Q101">
        <v>11.78</v>
      </c>
      <c r="R101">
        <v>12.02</v>
      </c>
      <c r="S101">
        <v>12.43</v>
      </c>
      <c r="T101">
        <v>12.77</v>
      </c>
      <c r="U101">
        <v>13.06</v>
      </c>
      <c r="V101">
        <v>13.32</v>
      </c>
      <c r="W101">
        <v>13.54</v>
      </c>
    </row>
    <row r="102" spans="1:23">
      <c r="A102">
        <v>7</v>
      </c>
      <c r="B102">
        <v>5.6989999999999998</v>
      </c>
      <c r="C102">
        <v>6.75</v>
      </c>
      <c r="D102">
        <v>7.4290000000000003</v>
      </c>
      <c r="E102">
        <v>7.9349999999999996</v>
      </c>
      <c r="F102">
        <v>8.3390000000000004</v>
      </c>
      <c r="G102">
        <v>8.6739999999999995</v>
      </c>
      <c r="H102">
        <v>8.9610000000000003</v>
      </c>
      <c r="I102">
        <v>9.2110000000000003</v>
      </c>
      <c r="J102">
        <v>9.4329999999999998</v>
      </c>
      <c r="K102">
        <v>9.6319999999999997</v>
      </c>
      <c r="L102">
        <v>9.8119999999999994</v>
      </c>
      <c r="M102">
        <v>9.9770000000000003</v>
      </c>
      <c r="N102">
        <v>10.130000000000001</v>
      </c>
      <c r="O102">
        <v>10.27</v>
      </c>
      <c r="P102">
        <v>10.4</v>
      </c>
      <c r="Q102">
        <v>10.64</v>
      </c>
      <c r="R102">
        <v>10.85</v>
      </c>
      <c r="S102">
        <v>11.21</v>
      </c>
      <c r="T102">
        <v>11.5</v>
      </c>
      <c r="U102">
        <v>11.76</v>
      </c>
      <c r="V102">
        <v>11.99</v>
      </c>
      <c r="W102">
        <v>12.18</v>
      </c>
    </row>
    <row r="103" spans="1:23">
      <c r="A103">
        <v>8</v>
      </c>
      <c r="B103">
        <v>5.42</v>
      </c>
      <c r="C103">
        <v>6.37</v>
      </c>
      <c r="D103">
        <v>6.9809999999999999</v>
      </c>
      <c r="E103">
        <v>7.4349999999999996</v>
      </c>
      <c r="F103">
        <v>7.7969999999999997</v>
      </c>
      <c r="G103">
        <v>8.0969999999999995</v>
      </c>
      <c r="H103">
        <v>8.3539999999999992</v>
      </c>
      <c r="I103">
        <v>8.5779999999999994</v>
      </c>
      <c r="J103">
        <v>8.7769999999999992</v>
      </c>
      <c r="K103">
        <v>8.9550000000000001</v>
      </c>
      <c r="L103">
        <v>9.1170000000000009</v>
      </c>
      <c r="M103">
        <v>9.2650000000000006</v>
      </c>
      <c r="N103">
        <v>9.4009999999999998</v>
      </c>
      <c r="O103">
        <v>9.5269999999999992</v>
      </c>
      <c r="P103">
        <v>9.6440000000000001</v>
      </c>
      <c r="Q103">
        <v>9.8569999999999993</v>
      </c>
      <c r="R103">
        <v>10.039999999999999</v>
      </c>
      <c r="S103">
        <v>10.37</v>
      </c>
      <c r="T103">
        <v>10.64</v>
      </c>
      <c r="U103">
        <v>10.87</v>
      </c>
      <c r="V103">
        <v>11.07</v>
      </c>
      <c r="W103">
        <v>11.25</v>
      </c>
    </row>
    <row r="104" spans="1:23">
      <c r="A104">
        <v>9</v>
      </c>
      <c r="B104">
        <v>5.218</v>
      </c>
      <c r="C104">
        <v>6.0960000000000001</v>
      </c>
      <c r="D104">
        <v>6.657</v>
      </c>
      <c r="E104">
        <v>7.0739999999999998</v>
      </c>
      <c r="F104">
        <v>7.4050000000000002</v>
      </c>
      <c r="G104">
        <v>7.68</v>
      </c>
      <c r="H104">
        <v>7.915</v>
      </c>
      <c r="I104">
        <v>8.1199999999999992</v>
      </c>
      <c r="J104">
        <v>8.3030000000000008</v>
      </c>
      <c r="K104">
        <v>8.4659999999999993</v>
      </c>
      <c r="L104">
        <v>8.6140000000000008</v>
      </c>
      <c r="M104">
        <v>8.7490000000000006</v>
      </c>
      <c r="N104">
        <v>8.8740000000000006</v>
      </c>
      <c r="O104">
        <v>8.99</v>
      </c>
      <c r="P104">
        <v>9.0969999999999995</v>
      </c>
      <c r="Q104">
        <v>9.2919999999999998</v>
      </c>
      <c r="R104">
        <v>9.4649999999999999</v>
      </c>
      <c r="S104">
        <v>9.7609999999999992</v>
      </c>
      <c r="T104">
        <v>10.01</v>
      </c>
      <c r="U104">
        <v>10.220000000000001</v>
      </c>
      <c r="V104">
        <v>10.41</v>
      </c>
      <c r="W104">
        <v>10.58</v>
      </c>
    </row>
    <row r="105" spans="1:23">
      <c r="A105">
        <v>10</v>
      </c>
      <c r="B105">
        <v>5.0650000000000004</v>
      </c>
      <c r="C105">
        <v>5.8879999999999999</v>
      </c>
      <c r="D105">
        <v>6.4119999999999999</v>
      </c>
      <c r="E105">
        <v>6.8</v>
      </c>
      <c r="F105">
        <v>7.109</v>
      </c>
      <c r="G105">
        <v>7.3650000000000002</v>
      </c>
      <c r="H105">
        <v>7.5839999999999996</v>
      </c>
      <c r="I105">
        <v>7.7750000000000004</v>
      </c>
      <c r="J105">
        <v>7.944</v>
      </c>
      <c r="K105">
        <v>8.0960000000000001</v>
      </c>
      <c r="L105">
        <v>8.234</v>
      </c>
      <c r="M105">
        <v>8.36</v>
      </c>
      <c r="N105">
        <v>8.4760000000000009</v>
      </c>
      <c r="O105">
        <v>8.5830000000000002</v>
      </c>
      <c r="P105">
        <v>8.6829999999999998</v>
      </c>
      <c r="Q105">
        <v>8.8650000000000002</v>
      </c>
      <c r="R105">
        <v>9.0259999999999998</v>
      </c>
      <c r="S105">
        <v>9.3019999999999996</v>
      </c>
      <c r="T105">
        <v>9.532</v>
      </c>
      <c r="U105">
        <v>9.73</v>
      </c>
      <c r="V105">
        <v>9.9039999999999999</v>
      </c>
      <c r="W105">
        <v>10.06</v>
      </c>
    </row>
    <row r="106" spans="1:23">
      <c r="A106">
        <v>11</v>
      </c>
      <c r="B106">
        <v>4.9450000000000003</v>
      </c>
      <c r="C106">
        <v>5.7270000000000003</v>
      </c>
      <c r="D106">
        <v>6.2220000000000004</v>
      </c>
      <c r="E106">
        <v>6.5880000000000001</v>
      </c>
      <c r="F106">
        <v>6.8780000000000001</v>
      </c>
      <c r="G106">
        <v>7.1189999999999998</v>
      </c>
      <c r="H106">
        <v>7.3250000000000002</v>
      </c>
      <c r="I106">
        <v>7.5049999999999999</v>
      </c>
      <c r="J106">
        <v>7.6639999999999997</v>
      </c>
      <c r="K106">
        <v>7.8070000000000004</v>
      </c>
      <c r="L106">
        <v>7.9370000000000003</v>
      </c>
      <c r="M106">
        <v>8.0549999999999997</v>
      </c>
      <c r="N106">
        <v>8.1639999999999997</v>
      </c>
      <c r="O106">
        <v>8.2650000000000006</v>
      </c>
      <c r="P106">
        <v>8.359</v>
      </c>
      <c r="Q106">
        <v>8.5299999999999994</v>
      </c>
      <c r="R106">
        <v>8.6820000000000004</v>
      </c>
      <c r="S106">
        <v>8.9410000000000007</v>
      </c>
      <c r="T106">
        <v>9.1590000000000007</v>
      </c>
      <c r="U106">
        <v>9.3450000000000006</v>
      </c>
      <c r="V106">
        <v>9.5090000000000003</v>
      </c>
      <c r="W106">
        <v>9.6539999999999999</v>
      </c>
    </row>
    <row r="107" spans="1:23">
      <c r="A107">
        <v>12</v>
      </c>
      <c r="B107">
        <v>4.8490000000000002</v>
      </c>
      <c r="C107">
        <v>5.5970000000000004</v>
      </c>
      <c r="D107">
        <v>6.0679999999999996</v>
      </c>
      <c r="E107">
        <v>6.4160000000000004</v>
      </c>
      <c r="F107">
        <v>6.6929999999999996</v>
      </c>
      <c r="G107">
        <v>6.9219999999999997</v>
      </c>
      <c r="H107">
        <v>7.1180000000000003</v>
      </c>
      <c r="I107">
        <v>7.2880000000000003</v>
      </c>
      <c r="J107">
        <v>7.4390000000000001</v>
      </c>
      <c r="K107">
        <v>7.5750000000000002</v>
      </c>
      <c r="L107">
        <v>7.6970000000000001</v>
      </c>
      <c r="M107">
        <v>7.81</v>
      </c>
      <c r="N107">
        <v>7.9139999999999997</v>
      </c>
      <c r="O107">
        <v>8.0090000000000003</v>
      </c>
      <c r="P107">
        <v>8.0990000000000002</v>
      </c>
      <c r="Q107">
        <v>8.2609999999999992</v>
      </c>
      <c r="R107">
        <v>8.4049999999999994</v>
      </c>
      <c r="S107">
        <v>8.6519999999999992</v>
      </c>
      <c r="T107">
        <v>8.8580000000000005</v>
      </c>
      <c r="U107">
        <v>9.0359999999999996</v>
      </c>
      <c r="V107">
        <v>9.1910000000000007</v>
      </c>
      <c r="W107">
        <v>9.3279999999999994</v>
      </c>
    </row>
    <row r="108" spans="1:23">
      <c r="A108">
        <v>13</v>
      </c>
      <c r="B108">
        <v>4.7699999999999996</v>
      </c>
      <c r="C108">
        <v>5.49</v>
      </c>
      <c r="D108">
        <v>5.9429999999999996</v>
      </c>
      <c r="E108">
        <v>6.2770000000000001</v>
      </c>
      <c r="F108">
        <v>6.5410000000000004</v>
      </c>
      <c r="G108">
        <v>6.76</v>
      </c>
      <c r="H108">
        <v>6.9470000000000001</v>
      </c>
      <c r="I108">
        <v>7.1109999999999998</v>
      </c>
      <c r="J108">
        <v>7.2549999999999999</v>
      </c>
      <c r="K108">
        <v>7.3840000000000003</v>
      </c>
      <c r="L108">
        <v>7.5019999999999998</v>
      </c>
      <c r="M108">
        <v>7.609</v>
      </c>
      <c r="N108">
        <v>7.7080000000000002</v>
      </c>
      <c r="O108">
        <v>7.8</v>
      </c>
      <c r="P108">
        <v>7.8860000000000001</v>
      </c>
      <c r="Q108">
        <v>8.0399999999999991</v>
      </c>
      <c r="R108">
        <v>8.1780000000000008</v>
      </c>
      <c r="S108">
        <v>8.4139999999999997</v>
      </c>
      <c r="T108">
        <v>8.6110000000000007</v>
      </c>
      <c r="U108">
        <v>8.7810000000000006</v>
      </c>
      <c r="V108">
        <v>8.9290000000000003</v>
      </c>
      <c r="W108">
        <v>9.0609999999999999</v>
      </c>
    </row>
    <row r="109" spans="1:23">
      <c r="A109">
        <v>14</v>
      </c>
      <c r="B109">
        <v>4.7039999999999997</v>
      </c>
      <c r="C109">
        <v>5.4009999999999998</v>
      </c>
      <c r="D109">
        <v>5.8380000000000001</v>
      </c>
      <c r="E109">
        <v>6.16</v>
      </c>
      <c r="F109">
        <v>6.4139999999999997</v>
      </c>
      <c r="G109">
        <v>6.6260000000000003</v>
      </c>
      <c r="H109">
        <v>6.8049999999999997</v>
      </c>
      <c r="I109">
        <v>6.9619999999999997</v>
      </c>
      <c r="J109">
        <v>7.101</v>
      </c>
      <c r="K109">
        <v>7.2249999999999996</v>
      </c>
      <c r="L109">
        <v>7.3380000000000001</v>
      </c>
      <c r="M109">
        <v>7.4420000000000002</v>
      </c>
      <c r="N109">
        <v>7.5369999999999999</v>
      </c>
      <c r="O109">
        <v>7.625</v>
      </c>
      <c r="P109">
        <v>7.7069999999999999</v>
      </c>
      <c r="Q109">
        <v>7.8559999999999999</v>
      </c>
      <c r="R109">
        <v>7.9880000000000004</v>
      </c>
      <c r="S109">
        <v>8.2149999999999999</v>
      </c>
      <c r="T109">
        <v>8.4039999999999999</v>
      </c>
      <c r="U109">
        <v>8.5679999999999996</v>
      </c>
      <c r="V109">
        <v>8.7100000000000009</v>
      </c>
      <c r="W109">
        <v>8.8369999999999997</v>
      </c>
    </row>
    <row r="110" spans="1:23">
      <c r="A110">
        <v>15</v>
      </c>
      <c r="B110">
        <v>4.6470000000000002</v>
      </c>
      <c r="C110">
        <v>5.3250000000000002</v>
      </c>
      <c r="D110">
        <v>5.75</v>
      </c>
      <c r="E110">
        <v>6.0609999999999999</v>
      </c>
      <c r="F110">
        <v>6.3079999999999998</v>
      </c>
      <c r="G110">
        <v>6.5110000000000001</v>
      </c>
      <c r="H110">
        <v>6.6849999999999996</v>
      </c>
      <c r="I110">
        <v>6.8369999999999997</v>
      </c>
      <c r="J110">
        <v>6.9710000000000001</v>
      </c>
      <c r="K110">
        <v>7.0910000000000002</v>
      </c>
      <c r="L110">
        <v>7.2</v>
      </c>
      <c r="M110">
        <v>7.3</v>
      </c>
      <c r="N110">
        <v>7.3920000000000003</v>
      </c>
      <c r="O110">
        <v>7.4770000000000003</v>
      </c>
      <c r="P110">
        <v>7.556</v>
      </c>
      <c r="Q110">
        <v>7.6989999999999998</v>
      </c>
      <c r="R110">
        <v>7.827</v>
      </c>
      <c r="S110">
        <v>8.0459999999999994</v>
      </c>
      <c r="T110">
        <v>8.2289999999999992</v>
      </c>
      <c r="U110">
        <v>8.3870000000000005</v>
      </c>
      <c r="V110">
        <v>8.5239999999999991</v>
      </c>
      <c r="W110">
        <v>8.6470000000000002</v>
      </c>
    </row>
    <row r="111" spans="1:23">
      <c r="A111">
        <v>16</v>
      </c>
      <c r="B111">
        <v>4.5990000000000002</v>
      </c>
      <c r="C111">
        <v>5.2610000000000001</v>
      </c>
      <c r="D111">
        <v>5.6740000000000004</v>
      </c>
      <c r="E111">
        <v>5.9770000000000003</v>
      </c>
      <c r="F111">
        <v>6.2160000000000002</v>
      </c>
      <c r="G111">
        <v>6.4130000000000003</v>
      </c>
      <c r="H111">
        <v>6.5819999999999999</v>
      </c>
      <c r="I111">
        <v>6.7290000000000001</v>
      </c>
      <c r="J111">
        <v>6.859</v>
      </c>
      <c r="K111">
        <v>6.976</v>
      </c>
      <c r="L111">
        <v>7.0810000000000004</v>
      </c>
      <c r="M111">
        <v>7.1779999999999999</v>
      </c>
      <c r="N111">
        <v>7.2670000000000003</v>
      </c>
      <c r="O111">
        <v>7.3490000000000002</v>
      </c>
      <c r="P111">
        <v>7.4260000000000002</v>
      </c>
      <c r="Q111">
        <v>7.5659999999999998</v>
      </c>
      <c r="R111">
        <v>7.6890000000000001</v>
      </c>
      <c r="S111">
        <v>7.9009999999999998</v>
      </c>
      <c r="T111">
        <v>8.0779999999999994</v>
      </c>
      <c r="U111">
        <v>8.2309999999999999</v>
      </c>
      <c r="V111">
        <v>8.3650000000000002</v>
      </c>
      <c r="W111">
        <v>8.4830000000000005</v>
      </c>
    </row>
    <row r="112" spans="1:23">
      <c r="A112">
        <v>17</v>
      </c>
      <c r="B112">
        <v>4.5570000000000004</v>
      </c>
      <c r="C112">
        <v>5.2050000000000001</v>
      </c>
      <c r="D112">
        <v>5.6079999999999997</v>
      </c>
      <c r="E112">
        <v>5.9029999999999996</v>
      </c>
      <c r="F112">
        <v>6.1360000000000001</v>
      </c>
      <c r="G112">
        <v>6.3289999999999997</v>
      </c>
      <c r="H112">
        <v>6.4930000000000003</v>
      </c>
      <c r="I112">
        <v>6.6360000000000001</v>
      </c>
      <c r="J112">
        <v>6.7629999999999999</v>
      </c>
      <c r="K112">
        <v>6.8760000000000003</v>
      </c>
      <c r="L112">
        <v>6.9790000000000001</v>
      </c>
      <c r="M112">
        <v>7.0720000000000001</v>
      </c>
      <c r="N112">
        <v>7.1589999999999998</v>
      </c>
      <c r="O112">
        <v>7.2389999999999999</v>
      </c>
      <c r="P112">
        <v>7.3140000000000001</v>
      </c>
      <c r="Q112">
        <v>7.4489999999999998</v>
      </c>
      <c r="R112">
        <v>7.569</v>
      </c>
      <c r="S112">
        <v>7.7750000000000004</v>
      </c>
      <c r="T112">
        <v>7.9480000000000004</v>
      </c>
      <c r="U112">
        <v>8.0960000000000001</v>
      </c>
      <c r="V112">
        <v>8.2260000000000009</v>
      </c>
      <c r="W112">
        <v>8.3409999999999993</v>
      </c>
    </row>
    <row r="113" spans="1:23">
      <c r="A113">
        <v>18</v>
      </c>
      <c r="B113">
        <v>4.5209999999999999</v>
      </c>
      <c r="C113">
        <v>5.1559999999999997</v>
      </c>
      <c r="D113">
        <v>5.55</v>
      </c>
      <c r="E113">
        <v>5.8390000000000004</v>
      </c>
      <c r="F113">
        <v>6.0670000000000002</v>
      </c>
      <c r="G113">
        <v>6.2549999999999999</v>
      </c>
      <c r="H113">
        <v>6.415</v>
      </c>
      <c r="I113">
        <v>6.5540000000000003</v>
      </c>
      <c r="J113">
        <v>6.6779999999999999</v>
      </c>
      <c r="K113">
        <v>6.7880000000000003</v>
      </c>
      <c r="L113">
        <v>6.8879999999999999</v>
      </c>
      <c r="M113" s="352">
        <v>6980</v>
      </c>
      <c r="N113">
        <v>7.0640000000000001</v>
      </c>
      <c r="O113">
        <v>7.1420000000000003</v>
      </c>
      <c r="P113">
        <v>7.2149999999999999</v>
      </c>
      <c r="Q113">
        <v>7.3470000000000004</v>
      </c>
      <c r="R113">
        <v>7.4640000000000004</v>
      </c>
      <c r="S113">
        <v>7.665</v>
      </c>
      <c r="T113">
        <v>7.8330000000000002</v>
      </c>
      <c r="U113">
        <v>7.9779999999999998</v>
      </c>
      <c r="V113">
        <v>8.1039999999999992</v>
      </c>
      <c r="W113">
        <v>8.2170000000000005</v>
      </c>
    </row>
    <row r="114" spans="1:23">
      <c r="A114">
        <v>19</v>
      </c>
      <c r="B114">
        <v>4.4880000000000004</v>
      </c>
      <c r="C114">
        <v>5.1130000000000004</v>
      </c>
      <c r="D114">
        <v>5.5</v>
      </c>
      <c r="E114">
        <v>5.7830000000000004</v>
      </c>
      <c r="F114">
        <v>6.0049999999999999</v>
      </c>
      <c r="G114">
        <v>6.1890000000000001</v>
      </c>
      <c r="H114">
        <v>6.3460000000000001</v>
      </c>
      <c r="I114">
        <v>6.4820000000000002</v>
      </c>
      <c r="J114">
        <v>6.6029999999999998</v>
      </c>
      <c r="K114">
        <v>6.7110000000000003</v>
      </c>
      <c r="L114">
        <v>6.8090000000000002</v>
      </c>
      <c r="M114">
        <v>6.8979999999999997</v>
      </c>
      <c r="N114">
        <v>6.9809999999999999</v>
      </c>
      <c r="O114">
        <v>7.0570000000000004</v>
      </c>
      <c r="P114">
        <v>7.1280000000000001</v>
      </c>
      <c r="Q114">
        <v>7.2569999999999997</v>
      </c>
      <c r="R114">
        <v>7.3719999999999999</v>
      </c>
      <c r="S114">
        <v>7.5679999999999996</v>
      </c>
      <c r="T114">
        <v>7.7320000000000002</v>
      </c>
      <c r="U114">
        <v>7.8730000000000002</v>
      </c>
      <c r="V114">
        <v>7.9960000000000004</v>
      </c>
      <c r="W114">
        <v>8.1059999999999999</v>
      </c>
    </row>
    <row r="115" spans="1:23">
      <c r="A115">
        <v>20</v>
      </c>
      <c r="B115">
        <v>4.46</v>
      </c>
      <c r="C115">
        <v>5.0739999999999998</v>
      </c>
      <c r="D115">
        <v>5.4550000000000001</v>
      </c>
      <c r="E115">
        <v>5.7320000000000002</v>
      </c>
      <c r="F115">
        <v>5.9509999999999996</v>
      </c>
      <c r="G115">
        <v>6.1310000000000002</v>
      </c>
      <c r="H115">
        <v>6.2850000000000001</v>
      </c>
      <c r="I115">
        <v>6.4180000000000001</v>
      </c>
      <c r="J115">
        <v>6.5369999999999999</v>
      </c>
      <c r="K115">
        <v>6.6420000000000003</v>
      </c>
      <c r="L115">
        <v>6.7380000000000004</v>
      </c>
      <c r="M115">
        <v>6.8259999999999996</v>
      </c>
      <c r="N115">
        <v>6.907</v>
      </c>
      <c r="O115">
        <v>6.9809999999999999</v>
      </c>
      <c r="P115">
        <v>7.0510000000000002</v>
      </c>
      <c r="Q115">
        <v>7.1769999999999996</v>
      </c>
      <c r="R115">
        <v>7.2889999999999997</v>
      </c>
      <c r="S115">
        <v>7.4809999999999999</v>
      </c>
      <c r="T115">
        <v>7.6420000000000003</v>
      </c>
      <c r="U115">
        <v>7.78</v>
      </c>
      <c r="V115">
        <v>7.9009999999999998</v>
      </c>
      <c r="W115">
        <v>8.0079999999999991</v>
      </c>
    </row>
    <row r="116" spans="1:23">
      <c r="A116">
        <v>24</v>
      </c>
      <c r="B116">
        <v>4.3710000000000004</v>
      </c>
      <c r="C116">
        <v>4.9550000000000001</v>
      </c>
      <c r="D116">
        <v>5.3150000000000004</v>
      </c>
      <c r="E116">
        <v>5.577</v>
      </c>
      <c r="F116">
        <v>5.7830000000000004</v>
      </c>
      <c r="G116">
        <v>5.952</v>
      </c>
      <c r="H116">
        <v>6.0960000000000001</v>
      </c>
      <c r="I116">
        <v>6.2210000000000001</v>
      </c>
      <c r="J116">
        <v>6.3319999999999999</v>
      </c>
      <c r="K116">
        <v>6.431</v>
      </c>
      <c r="L116">
        <v>6.52</v>
      </c>
      <c r="M116">
        <v>6.6020000000000003</v>
      </c>
      <c r="N116">
        <v>6.6769999999999996</v>
      </c>
      <c r="O116">
        <v>6.7469999999999999</v>
      </c>
      <c r="P116">
        <v>6.8120000000000003</v>
      </c>
      <c r="Q116">
        <v>6.93</v>
      </c>
      <c r="R116">
        <v>7.0339999999999998</v>
      </c>
      <c r="S116">
        <v>7.2130000000000001</v>
      </c>
      <c r="T116">
        <v>7.3620000000000001</v>
      </c>
      <c r="U116">
        <v>7.4909999999999997</v>
      </c>
      <c r="V116">
        <v>7.6029999999999998</v>
      </c>
      <c r="W116">
        <v>7.7039999999999997</v>
      </c>
    </row>
    <row r="117" spans="1:23">
      <c r="A117">
        <v>30</v>
      </c>
      <c r="B117">
        <v>4.2850000000000001</v>
      </c>
      <c r="C117">
        <v>4.8410000000000002</v>
      </c>
      <c r="D117">
        <v>5.181</v>
      </c>
      <c r="E117">
        <v>5.4279999999999999</v>
      </c>
      <c r="F117">
        <v>5.6210000000000004</v>
      </c>
      <c r="G117">
        <v>5.78</v>
      </c>
      <c r="H117">
        <v>5.9139999999999997</v>
      </c>
      <c r="I117">
        <v>6.0309999999999997</v>
      </c>
      <c r="J117">
        <v>6.1349999999999998</v>
      </c>
      <c r="K117">
        <v>6.2270000000000003</v>
      </c>
      <c r="L117">
        <v>6.31</v>
      </c>
      <c r="M117">
        <v>6.3869999999999996</v>
      </c>
      <c r="N117">
        <v>6.4560000000000004</v>
      </c>
      <c r="O117">
        <v>6.5209999999999999</v>
      </c>
      <c r="P117">
        <v>6.5810000000000004</v>
      </c>
      <c r="Q117">
        <v>6.6909999999999998</v>
      </c>
      <c r="R117">
        <v>6.7880000000000003</v>
      </c>
      <c r="S117">
        <v>6.9539999999999997</v>
      </c>
      <c r="T117">
        <v>7.093</v>
      </c>
      <c r="U117">
        <v>7.2119999999999997</v>
      </c>
      <c r="V117">
        <v>7.3159999999999998</v>
      </c>
      <c r="W117">
        <v>7.4089999999999998</v>
      </c>
    </row>
    <row r="118" spans="1:23">
      <c r="A118">
        <v>40</v>
      </c>
      <c r="B118">
        <v>4.202</v>
      </c>
      <c r="C118">
        <v>4.7309999999999999</v>
      </c>
      <c r="D118">
        <v>5.0529999999999999</v>
      </c>
      <c r="E118">
        <v>5.2839999999999998</v>
      </c>
      <c r="F118">
        <v>5.4649999999999999</v>
      </c>
      <c r="G118">
        <v>5.6139999999999999</v>
      </c>
      <c r="H118">
        <v>5.7389999999999999</v>
      </c>
      <c r="I118">
        <v>5.8479999999999999</v>
      </c>
      <c r="J118">
        <v>5.944</v>
      </c>
      <c r="K118">
        <v>6.03</v>
      </c>
      <c r="L118">
        <v>6.1079999999999997</v>
      </c>
      <c r="M118">
        <v>6.1790000000000003</v>
      </c>
      <c r="N118">
        <v>6.2439999999999998</v>
      </c>
      <c r="O118">
        <v>6.3040000000000003</v>
      </c>
      <c r="P118">
        <v>6.36</v>
      </c>
      <c r="Q118">
        <v>6.4610000000000003</v>
      </c>
      <c r="R118">
        <v>6.55</v>
      </c>
      <c r="S118">
        <v>6.7039999999999997</v>
      </c>
      <c r="T118">
        <v>6.8319999999999999</v>
      </c>
      <c r="U118">
        <v>6.9420000000000002</v>
      </c>
      <c r="V118">
        <v>7.0380000000000003</v>
      </c>
      <c r="W118">
        <v>7.1230000000000002</v>
      </c>
    </row>
    <row r="119" spans="1:23">
      <c r="A119">
        <v>60</v>
      </c>
      <c r="B119">
        <v>4.1219999999999999</v>
      </c>
      <c r="C119">
        <v>4.625</v>
      </c>
      <c r="D119">
        <v>4.9279999999999999</v>
      </c>
      <c r="E119">
        <v>5.1459999999999999</v>
      </c>
      <c r="F119">
        <v>5.3159999999999998</v>
      </c>
      <c r="G119">
        <v>5.4539999999999997</v>
      </c>
      <c r="H119">
        <v>5.5709999999999997</v>
      </c>
      <c r="I119">
        <v>5.673</v>
      </c>
      <c r="J119">
        <v>5.7619999999999996</v>
      </c>
      <c r="K119">
        <v>5.8410000000000002</v>
      </c>
      <c r="L119">
        <v>5.9130000000000003</v>
      </c>
      <c r="M119">
        <v>5.9790000000000001</v>
      </c>
      <c r="N119">
        <v>6.0389999999999997</v>
      </c>
      <c r="O119">
        <v>6.0940000000000003</v>
      </c>
      <c r="P119">
        <v>6.1459999999999999</v>
      </c>
      <c r="Q119">
        <v>6.2389999999999999</v>
      </c>
      <c r="R119">
        <v>6.3209999999999997</v>
      </c>
      <c r="S119">
        <v>6.4619999999999997</v>
      </c>
      <c r="T119">
        <v>6.58</v>
      </c>
      <c r="U119">
        <v>6.681</v>
      </c>
      <c r="V119">
        <v>6.7690000000000001</v>
      </c>
      <c r="W119">
        <v>6.8460000000000001</v>
      </c>
    </row>
    <row r="120" spans="1:23">
      <c r="A120">
        <v>120</v>
      </c>
      <c r="B120">
        <v>4.0449999999999999</v>
      </c>
      <c r="C120">
        <v>4.5229999999999997</v>
      </c>
      <c r="D120">
        <v>4.8090000000000002</v>
      </c>
      <c r="E120">
        <v>5.0129999999999999</v>
      </c>
      <c r="F120">
        <v>5.1719999999999997</v>
      </c>
      <c r="G120">
        <v>5.3010000000000002</v>
      </c>
      <c r="H120">
        <v>5.41</v>
      </c>
      <c r="I120">
        <v>5.5039999999999996</v>
      </c>
      <c r="J120">
        <v>5.5860000000000003</v>
      </c>
      <c r="K120">
        <v>5.66</v>
      </c>
      <c r="L120">
        <v>5.726</v>
      </c>
      <c r="M120">
        <v>5.7859999999999996</v>
      </c>
      <c r="N120">
        <v>5.8419999999999996</v>
      </c>
      <c r="O120">
        <v>5.8929999999999998</v>
      </c>
      <c r="P120">
        <v>5.94</v>
      </c>
      <c r="Q120">
        <v>6.0250000000000004</v>
      </c>
      <c r="R120">
        <v>6.101</v>
      </c>
      <c r="S120">
        <v>6.23</v>
      </c>
      <c r="T120">
        <v>6.3369999999999997</v>
      </c>
      <c r="U120">
        <v>6.4279999999999999</v>
      </c>
      <c r="V120">
        <v>6.508</v>
      </c>
      <c r="W120">
        <v>6.58</v>
      </c>
    </row>
    <row r="121" spans="1:23">
      <c r="A121" s="19" t="s">
        <v>980</v>
      </c>
      <c r="B121">
        <v>3.97</v>
      </c>
      <c r="C121">
        <v>4.4240000000000004</v>
      </c>
      <c r="D121">
        <v>4.694</v>
      </c>
      <c r="E121">
        <v>4.8860000000000001</v>
      </c>
      <c r="F121">
        <v>5.0330000000000004</v>
      </c>
      <c r="G121">
        <v>5.1539999999999999</v>
      </c>
      <c r="H121">
        <v>5.2549999999999999</v>
      </c>
      <c r="I121">
        <v>5.3410000000000002</v>
      </c>
      <c r="J121">
        <v>5.4180000000000001</v>
      </c>
      <c r="K121">
        <v>5.4850000000000003</v>
      </c>
      <c r="L121">
        <v>5.5460000000000003</v>
      </c>
      <c r="M121">
        <v>5.6020000000000003</v>
      </c>
      <c r="N121">
        <v>5.6520000000000001</v>
      </c>
      <c r="O121">
        <v>5.6989999999999998</v>
      </c>
      <c r="P121">
        <v>5.742</v>
      </c>
      <c r="Q121">
        <v>5.82</v>
      </c>
      <c r="R121">
        <v>5.8890000000000002</v>
      </c>
      <c r="S121">
        <v>6.0060000000000002</v>
      </c>
      <c r="T121">
        <v>6.1029999999999998</v>
      </c>
      <c r="U121">
        <v>6.1859999999999999</v>
      </c>
      <c r="V121">
        <v>6.258</v>
      </c>
      <c r="W121">
        <v>6.3220000000000001</v>
      </c>
    </row>
    <row r="122" spans="1:23">
      <c r="A122" s="19"/>
    </row>
    <row r="123" spans="1:23">
      <c r="A123" t="s">
        <v>116</v>
      </c>
      <c r="B123">
        <v>1E-3</v>
      </c>
    </row>
    <row r="124" spans="1:23">
      <c r="B124" t="s">
        <v>317</v>
      </c>
    </row>
    <row r="125" spans="1:23">
      <c r="A125" s="19" t="s">
        <v>186</v>
      </c>
      <c r="B125">
        <v>2</v>
      </c>
      <c r="C125">
        <f>B125+1</f>
        <v>3</v>
      </c>
      <c r="D125">
        <f t="shared" ref="D125:L125" si="4">C125+1</f>
        <v>4</v>
      </c>
      <c r="E125">
        <f t="shared" si="4"/>
        <v>5</v>
      </c>
      <c r="F125">
        <f t="shared" si="4"/>
        <v>6</v>
      </c>
      <c r="G125">
        <f t="shared" si="4"/>
        <v>7</v>
      </c>
      <c r="H125">
        <f t="shared" si="4"/>
        <v>8</v>
      </c>
      <c r="I125">
        <f t="shared" si="4"/>
        <v>9</v>
      </c>
      <c r="J125">
        <f t="shared" si="4"/>
        <v>10</v>
      </c>
      <c r="K125">
        <f t="shared" si="4"/>
        <v>11</v>
      </c>
      <c r="L125">
        <f t="shared" si="4"/>
        <v>12</v>
      </c>
      <c r="M125">
        <v>13</v>
      </c>
      <c r="N125">
        <f>M125+1</f>
        <v>14</v>
      </c>
      <c r="O125">
        <f>N125+1</f>
        <v>15</v>
      </c>
      <c r="P125">
        <f>O125+1</f>
        <v>16</v>
      </c>
      <c r="Q125">
        <f>P125+2</f>
        <v>18</v>
      </c>
      <c r="R125">
        <f>Q125+2</f>
        <v>20</v>
      </c>
      <c r="S125">
        <f>R125+4</f>
        <v>24</v>
      </c>
      <c r="T125">
        <f>S125+4</f>
        <v>28</v>
      </c>
      <c r="U125">
        <f>T125+4</f>
        <v>32</v>
      </c>
      <c r="V125">
        <f>U125+4</f>
        <v>36</v>
      </c>
      <c r="W125">
        <f>V125+4</f>
        <v>40</v>
      </c>
    </row>
    <row r="126" spans="1:23">
      <c r="A126">
        <v>1</v>
      </c>
      <c r="B126">
        <v>900.3</v>
      </c>
      <c r="C126">
        <v>1351</v>
      </c>
      <c r="D126">
        <v>1643</v>
      </c>
      <c r="E126">
        <v>1856</v>
      </c>
      <c r="F126">
        <v>2022</v>
      </c>
      <c r="G126">
        <v>2158</v>
      </c>
      <c r="H126">
        <v>2272</v>
      </c>
      <c r="I126">
        <v>2370</v>
      </c>
      <c r="J126">
        <v>2455</v>
      </c>
      <c r="K126">
        <v>2532</v>
      </c>
      <c r="L126">
        <v>2600</v>
      </c>
      <c r="M126">
        <v>2662</v>
      </c>
      <c r="N126">
        <v>2718</v>
      </c>
      <c r="O126">
        <v>2770</v>
      </c>
      <c r="P126">
        <v>2818</v>
      </c>
      <c r="Q126">
        <v>2904</v>
      </c>
      <c r="R126">
        <v>2980</v>
      </c>
      <c r="S126">
        <v>3108</v>
      </c>
      <c r="T126">
        <v>3213</v>
      </c>
      <c r="U126">
        <v>3303</v>
      </c>
      <c r="V126">
        <v>3380</v>
      </c>
      <c r="W126">
        <v>3448</v>
      </c>
    </row>
    <row r="127" spans="1:23">
      <c r="A127">
        <v>2</v>
      </c>
      <c r="B127">
        <v>44.69</v>
      </c>
      <c r="C127">
        <v>60.42</v>
      </c>
      <c r="D127">
        <v>70.77</v>
      </c>
      <c r="E127">
        <v>78.430000000000007</v>
      </c>
      <c r="F127">
        <v>84.49</v>
      </c>
      <c r="G127">
        <v>89.46</v>
      </c>
      <c r="H127">
        <v>93.67</v>
      </c>
      <c r="I127">
        <v>97.3</v>
      </c>
      <c r="J127">
        <v>100.5</v>
      </c>
      <c r="K127">
        <v>103.3</v>
      </c>
      <c r="L127">
        <v>105.9</v>
      </c>
      <c r="M127">
        <v>108.2</v>
      </c>
      <c r="N127">
        <v>110.4</v>
      </c>
      <c r="O127">
        <v>112.3</v>
      </c>
      <c r="P127">
        <v>114.2</v>
      </c>
      <c r="Q127">
        <v>117.4</v>
      </c>
      <c r="R127">
        <v>120.3</v>
      </c>
      <c r="S127">
        <v>125.2</v>
      </c>
      <c r="T127">
        <v>129.30000000000001</v>
      </c>
      <c r="U127">
        <v>132.69999999999999</v>
      </c>
      <c r="V127">
        <v>135.69999999999999</v>
      </c>
      <c r="W127">
        <v>138.30000000000001</v>
      </c>
    </row>
    <row r="128" spans="1:23">
      <c r="A128">
        <v>3</v>
      </c>
      <c r="B128">
        <v>18.28</v>
      </c>
      <c r="C128">
        <v>23.32</v>
      </c>
      <c r="D128">
        <v>26.65</v>
      </c>
      <c r="E128">
        <v>29.13</v>
      </c>
      <c r="F128">
        <v>31.11</v>
      </c>
      <c r="G128">
        <v>32.74</v>
      </c>
      <c r="H128">
        <v>34.119999999999997</v>
      </c>
      <c r="I128">
        <v>35.33</v>
      </c>
      <c r="J128">
        <v>36.39</v>
      </c>
      <c r="K128">
        <v>37.340000000000003</v>
      </c>
      <c r="L128">
        <v>38.200000000000003</v>
      </c>
      <c r="M128">
        <v>38.979999999999997</v>
      </c>
      <c r="N128">
        <v>39.69</v>
      </c>
      <c r="O128">
        <v>40.35</v>
      </c>
      <c r="P128">
        <v>40.97</v>
      </c>
      <c r="Q128">
        <v>42.07</v>
      </c>
      <c r="R128">
        <v>43.05</v>
      </c>
      <c r="S128">
        <v>44.7</v>
      </c>
      <c r="T128">
        <v>46.07</v>
      </c>
      <c r="U128">
        <v>47.24</v>
      </c>
      <c r="V128">
        <v>48.26</v>
      </c>
      <c r="W128">
        <v>49.16</v>
      </c>
    </row>
    <row r="129" spans="1:23">
      <c r="A129">
        <v>4</v>
      </c>
      <c r="B129">
        <v>12.18</v>
      </c>
      <c r="C129">
        <v>14.99</v>
      </c>
      <c r="D129">
        <v>16.84</v>
      </c>
      <c r="E129">
        <v>18.23</v>
      </c>
      <c r="F129">
        <v>19.34</v>
      </c>
      <c r="G129">
        <v>20.260000000000002</v>
      </c>
      <c r="H129">
        <v>21.04</v>
      </c>
      <c r="I129">
        <v>21.73</v>
      </c>
      <c r="J129">
        <v>22.33</v>
      </c>
      <c r="K129">
        <v>22.87</v>
      </c>
      <c r="L129">
        <v>23.36</v>
      </c>
      <c r="M129">
        <v>23.81</v>
      </c>
      <c r="N129">
        <v>24.21</v>
      </c>
      <c r="O129">
        <v>24.59</v>
      </c>
      <c r="P129">
        <v>24.94</v>
      </c>
      <c r="Q129">
        <v>25.58</v>
      </c>
      <c r="R129">
        <v>26.14</v>
      </c>
      <c r="S129">
        <v>27.1</v>
      </c>
      <c r="T129">
        <v>27.89</v>
      </c>
      <c r="U129">
        <v>28.57</v>
      </c>
      <c r="V129">
        <v>29.16</v>
      </c>
      <c r="W129">
        <v>29.68</v>
      </c>
    </row>
    <row r="130" spans="1:23">
      <c r="A130">
        <v>5</v>
      </c>
      <c r="B130">
        <v>9.7140000000000004</v>
      </c>
      <c r="C130">
        <v>11.67</v>
      </c>
      <c r="D130">
        <v>12.96</v>
      </c>
      <c r="E130">
        <v>13.93</v>
      </c>
      <c r="F130">
        <v>14.71</v>
      </c>
      <c r="G130">
        <v>15.35</v>
      </c>
      <c r="H130">
        <v>15.9</v>
      </c>
      <c r="I130">
        <v>16.38</v>
      </c>
      <c r="J130">
        <v>16.809999999999999</v>
      </c>
      <c r="K130">
        <v>17.18</v>
      </c>
      <c r="L130">
        <v>17.53</v>
      </c>
      <c r="M130">
        <v>17.850000000000001</v>
      </c>
      <c r="N130">
        <v>18.13</v>
      </c>
      <c r="O130">
        <v>18.41</v>
      </c>
      <c r="P130">
        <v>18.66</v>
      </c>
      <c r="Q130">
        <v>19.100000000000001</v>
      </c>
      <c r="R130">
        <v>19.510000000000002</v>
      </c>
      <c r="S130">
        <v>20.190000000000001</v>
      </c>
      <c r="T130">
        <v>20.75</v>
      </c>
      <c r="U130">
        <v>21.24</v>
      </c>
      <c r="V130">
        <v>21.66</v>
      </c>
      <c r="W130">
        <v>22.03</v>
      </c>
    </row>
    <row r="131" spans="1:23">
      <c r="A131">
        <v>6</v>
      </c>
      <c r="B131">
        <v>8.4269999999999996</v>
      </c>
      <c r="C131">
        <v>9.9600000000000009</v>
      </c>
      <c r="D131">
        <v>10.97</v>
      </c>
      <c r="E131">
        <v>11.72</v>
      </c>
      <c r="F131">
        <v>12.32</v>
      </c>
      <c r="G131">
        <v>12.83</v>
      </c>
      <c r="H131">
        <v>13.26</v>
      </c>
      <c r="I131">
        <v>13.63</v>
      </c>
      <c r="J131">
        <v>13.97</v>
      </c>
      <c r="K131">
        <v>14.27</v>
      </c>
      <c r="L131">
        <v>14.54</v>
      </c>
      <c r="M131">
        <v>14.79</v>
      </c>
      <c r="N131">
        <v>15.01</v>
      </c>
      <c r="O131">
        <v>15.22</v>
      </c>
      <c r="P131">
        <v>15.42</v>
      </c>
      <c r="Q131">
        <v>15.78</v>
      </c>
      <c r="R131">
        <v>16.09</v>
      </c>
      <c r="S131">
        <v>16.64</v>
      </c>
      <c r="T131">
        <v>17.079999999999998</v>
      </c>
      <c r="U131">
        <v>17.47</v>
      </c>
      <c r="V131">
        <v>17.809999999999999</v>
      </c>
      <c r="W131">
        <v>18.100000000000001</v>
      </c>
    </row>
    <row r="132" spans="1:23">
      <c r="A132">
        <v>7</v>
      </c>
      <c r="B132">
        <v>7.6479999999999997</v>
      </c>
      <c r="C132">
        <v>8.93</v>
      </c>
      <c r="D132">
        <v>9.7680000000000007</v>
      </c>
      <c r="E132">
        <v>10.4</v>
      </c>
      <c r="F132">
        <v>10.9</v>
      </c>
      <c r="G132">
        <v>11.32</v>
      </c>
      <c r="H132">
        <v>11.68</v>
      </c>
      <c r="I132">
        <v>11.99</v>
      </c>
      <c r="J132">
        <v>12.27</v>
      </c>
      <c r="K132">
        <v>12.52</v>
      </c>
      <c r="L132">
        <v>12.74</v>
      </c>
      <c r="M132">
        <v>12.95</v>
      </c>
      <c r="N132">
        <v>13.14</v>
      </c>
      <c r="O132">
        <v>13.32</v>
      </c>
      <c r="P132">
        <v>13.48</v>
      </c>
      <c r="Q132">
        <v>13.78</v>
      </c>
      <c r="R132">
        <v>14.04</v>
      </c>
      <c r="S132">
        <v>14.5</v>
      </c>
      <c r="T132">
        <v>14.88</v>
      </c>
      <c r="U132">
        <v>15.2</v>
      </c>
      <c r="V132">
        <v>15.49</v>
      </c>
      <c r="W132">
        <v>15.74</v>
      </c>
    </row>
    <row r="133" spans="1:23">
      <c r="A133">
        <v>8</v>
      </c>
      <c r="B133">
        <v>7.13</v>
      </c>
      <c r="C133">
        <v>8.25</v>
      </c>
      <c r="D133">
        <v>8.9779999999999998</v>
      </c>
      <c r="E133">
        <v>9.5220000000000002</v>
      </c>
      <c r="F133">
        <v>9.9580000000000002</v>
      </c>
      <c r="G133">
        <v>10.32</v>
      </c>
      <c r="H133">
        <v>10.64</v>
      </c>
      <c r="I133">
        <v>10.91</v>
      </c>
      <c r="J133">
        <v>11.15</v>
      </c>
      <c r="K133">
        <v>11.36</v>
      </c>
      <c r="L133">
        <v>11.56</v>
      </c>
      <c r="M133">
        <v>11.74</v>
      </c>
      <c r="N133">
        <v>11.91</v>
      </c>
      <c r="O133">
        <v>12.06</v>
      </c>
      <c r="P133">
        <v>12.21</v>
      </c>
      <c r="Q133">
        <v>12.47</v>
      </c>
      <c r="R133">
        <v>12.7</v>
      </c>
      <c r="S133">
        <v>13.09</v>
      </c>
      <c r="T133">
        <v>13.42</v>
      </c>
      <c r="U133">
        <v>13.71</v>
      </c>
      <c r="V133">
        <v>13.96</v>
      </c>
      <c r="W133">
        <v>14.18</v>
      </c>
    </row>
    <row r="134" spans="1:23">
      <c r="A134">
        <v>9</v>
      </c>
      <c r="B134">
        <v>6.7619999999999996</v>
      </c>
      <c r="C134">
        <v>7.7679999999999998</v>
      </c>
      <c r="D134">
        <v>8.4190000000000005</v>
      </c>
      <c r="E134">
        <v>8.9060000000000006</v>
      </c>
      <c r="F134">
        <v>9.2949999999999999</v>
      </c>
      <c r="G134">
        <v>9.6189999999999998</v>
      </c>
      <c r="H134">
        <v>9.8970000000000002</v>
      </c>
      <c r="I134">
        <v>10.14</v>
      </c>
      <c r="J134">
        <v>10.36</v>
      </c>
      <c r="K134">
        <v>10.55</v>
      </c>
      <c r="L134">
        <v>10.73</v>
      </c>
      <c r="M134">
        <v>10.89</v>
      </c>
      <c r="N134">
        <v>11.03</v>
      </c>
      <c r="O134">
        <v>11.18</v>
      </c>
      <c r="P134">
        <v>11.3</v>
      </c>
      <c r="Q134">
        <v>11.54</v>
      </c>
      <c r="R134">
        <v>11.75</v>
      </c>
      <c r="S134">
        <v>12.1</v>
      </c>
      <c r="T134">
        <v>12.39</v>
      </c>
      <c r="U134">
        <v>12.65</v>
      </c>
      <c r="V134">
        <v>12.87</v>
      </c>
      <c r="W134">
        <v>13.07</v>
      </c>
    </row>
    <row r="135" spans="1:23">
      <c r="A135">
        <v>10</v>
      </c>
      <c r="B135">
        <v>6.4870000000000001</v>
      </c>
      <c r="C135">
        <v>7.4109999999999996</v>
      </c>
      <c r="D135">
        <v>8.0060000000000002</v>
      </c>
      <c r="E135">
        <v>8.4499999999999993</v>
      </c>
      <c r="F135">
        <v>8.8040000000000003</v>
      </c>
      <c r="G135">
        <v>9.0990000000000002</v>
      </c>
      <c r="H135">
        <v>9.3520000000000003</v>
      </c>
      <c r="I135">
        <v>9.5730000000000004</v>
      </c>
      <c r="J135">
        <v>9.7690000000000001</v>
      </c>
      <c r="K135">
        <v>9.9459999999999997</v>
      </c>
      <c r="L135">
        <v>10.11</v>
      </c>
      <c r="M135">
        <v>10.25</v>
      </c>
      <c r="N135">
        <v>10.39</v>
      </c>
      <c r="O135">
        <v>10.52</v>
      </c>
      <c r="P135">
        <v>10.64</v>
      </c>
      <c r="Q135">
        <v>10.85</v>
      </c>
      <c r="R135">
        <v>11.03</v>
      </c>
      <c r="S135">
        <v>11.36</v>
      </c>
      <c r="T135">
        <v>11.63</v>
      </c>
      <c r="U135">
        <v>11.87</v>
      </c>
      <c r="V135">
        <v>12.07</v>
      </c>
      <c r="W135">
        <v>12.25</v>
      </c>
    </row>
    <row r="136" spans="1:23">
      <c r="A136">
        <v>11</v>
      </c>
      <c r="B136">
        <v>6.2750000000000004</v>
      </c>
      <c r="C136">
        <v>7.1360000000000001</v>
      </c>
      <c r="D136">
        <v>7.6870000000000003</v>
      </c>
      <c r="E136">
        <v>8.0980000000000008</v>
      </c>
      <c r="F136">
        <v>8.4260000000000002</v>
      </c>
      <c r="G136">
        <v>8.6989999999999998</v>
      </c>
      <c r="H136">
        <v>8.9329999999999998</v>
      </c>
      <c r="I136">
        <v>9.1379999999999999</v>
      </c>
      <c r="J136">
        <v>9.3190000000000008</v>
      </c>
      <c r="K136">
        <v>9.4819999999999993</v>
      </c>
      <c r="L136">
        <v>9.6300000000000008</v>
      </c>
      <c r="M136">
        <v>9.766</v>
      </c>
      <c r="N136">
        <v>9.8919999999999995</v>
      </c>
      <c r="O136">
        <v>10.01</v>
      </c>
      <c r="P136">
        <v>10.119999999999999</v>
      </c>
      <c r="Q136">
        <v>10.31</v>
      </c>
      <c r="R136">
        <v>10.49</v>
      </c>
      <c r="S136">
        <v>10.79</v>
      </c>
      <c r="T136">
        <v>11.04</v>
      </c>
      <c r="U136">
        <v>11.26</v>
      </c>
      <c r="V136">
        <v>11.45</v>
      </c>
      <c r="W136">
        <v>11.62</v>
      </c>
    </row>
    <row r="137" spans="1:23">
      <c r="A137">
        <v>12</v>
      </c>
      <c r="B137">
        <v>6.1059999999999999</v>
      </c>
      <c r="C137">
        <v>6.9169999999999998</v>
      </c>
      <c r="D137">
        <v>7.4359999999999999</v>
      </c>
      <c r="E137">
        <v>7.8209999999999997</v>
      </c>
      <c r="F137">
        <v>8.1270000000000007</v>
      </c>
      <c r="G137">
        <v>8.3829999999999991</v>
      </c>
      <c r="H137">
        <v>8.6010000000000009</v>
      </c>
      <c r="I137">
        <v>8.7929999999999993</v>
      </c>
      <c r="J137">
        <v>8.9619999999999997</v>
      </c>
      <c r="K137">
        <v>9.1150000000000002</v>
      </c>
      <c r="L137">
        <v>9.2539999999999996</v>
      </c>
      <c r="M137">
        <v>9.3810000000000002</v>
      </c>
      <c r="N137">
        <v>9.4979999999999993</v>
      </c>
      <c r="O137">
        <v>9.6059999999999999</v>
      </c>
      <c r="P137">
        <v>9.7070000000000007</v>
      </c>
      <c r="Q137">
        <v>9.891</v>
      </c>
      <c r="R137">
        <v>10.06</v>
      </c>
      <c r="S137">
        <v>10.34</v>
      </c>
      <c r="T137">
        <v>10.57</v>
      </c>
      <c r="U137">
        <v>10.78</v>
      </c>
      <c r="V137">
        <v>10.96</v>
      </c>
      <c r="W137">
        <v>11.11</v>
      </c>
    </row>
    <row r="138" spans="1:23">
      <c r="A138">
        <v>13</v>
      </c>
      <c r="B138">
        <v>5.97</v>
      </c>
      <c r="C138">
        <v>6.74</v>
      </c>
      <c r="D138">
        <v>7.2309999999999999</v>
      </c>
      <c r="E138">
        <v>7.5949999999999998</v>
      </c>
      <c r="F138">
        <v>7.8849999999999998</v>
      </c>
      <c r="G138">
        <v>8.1259999999999994</v>
      </c>
      <c r="H138">
        <v>8.3330000000000002</v>
      </c>
      <c r="I138">
        <v>8.5129999999999999</v>
      </c>
      <c r="J138">
        <v>8.673</v>
      </c>
      <c r="K138">
        <v>8.8170000000000002</v>
      </c>
      <c r="L138">
        <v>8.9480000000000004</v>
      </c>
      <c r="M138">
        <v>9.0679999999999996</v>
      </c>
      <c r="N138">
        <v>9.1780000000000008</v>
      </c>
      <c r="O138">
        <v>9.2810000000000006</v>
      </c>
      <c r="P138">
        <v>9.3759999999999994</v>
      </c>
      <c r="Q138">
        <v>9.5500000000000007</v>
      </c>
      <c r="R138">
        <v>9.7040000000000006</v>
      </c>
      <c r="S138">
        <v>9.9689999999999994</v>
      </c>
      <c r="T138">
        <v>10.19</v>
      </c>
      <c r="U138">
        <v>10.39</v>
      </c>
      <c r="V138">
        <v>10.55</v>
      </c>
      <c r="W138">
        <v>10.7</v>
      </c>
    </row>
    <row r="139" spans="1:23">
      <c r="A139">
        <v>14</v>
      </c>
      <c r="B139">
        <v>5.8559999999999999</v>
      </c>
      <c r="C139">
        <v>6.5940000000000003</v>
      </c>
      <c r="D139">
        <v>7.0620000000000003</v>
      </c>
      <c r="E139">
        <v>7.4089999999999998</v>
      </c>
      <c r="F139">
        <v>7.6849999999999996</v>
      </c>
      <c r="G139">
        <v>7.915</v>
      </c>
      <c r="H139">
        <v>8.11</v>
      </c>
      <c r="I139">
        <v>8.282</v>
      </c>
      <c r="J139">
        <v>8.4339999999999993</v>
      </c>
      <c r="K139">
        <v>8.5709999999999997</v>
      </c>
      <c r="L139">
        <v>8.6959999999999997</v>
      </c>
      <c r="M139">
        <v>8.8089999999999993</v>
      </c>
      <c r="N139">
        <v>8.9139999999999997</v>
      </c>
      <c r="O139">
        <v>9.0120000000000005</v>
      </c>
      <c r="P139">
        <v>9.1029999999999998</v>
      </c>
      <c r="Q139">
        <v>9.2669999999999995</v>
      </c>
      <c r="R139">
        <v>9.4139999999999997</v>
      </c>
      <c r="S139">
        <v>9.6660000000000004</v>
      </c>
      <c r="T139">
        <v>9.8780000000000001</v>
      </c>
      <c r="U139">
        <v>10.06</v>
      </c>
      <c r="V139">
        <v>10.220000000000001</v>
      </c>
      <c r="W139">
        <v>10.37</v>
      </c>
    </row>
    <row r="140" spans="1:23">
      <c r="A140">
        <v>15</v>
      </c>
      <c r="B140">
        <v>5.76</v>
      </c>
      <c r="C140">
        <v>6.47</v>
      </c>
      <c r="D140">
        <v>6.92</v>
      </c>
      <c r="E140">
        <v>7.2519999999999998</v>
      </c>
      <c r="F140">
        <v>7.5170000000000003</v>
      </c>
      <c r="G140">
        <v>7.7359999999999998</v>
      </c>
      <c r="H140">
        <v>7.9249999999999998</v>
      </c>
      <c r="I140">
        <v>8.0879999999999992</v>
      </c>
      <c r="J140">
        <v>8.234</v>
      </c>
      <c r="K140">
        <v>8.3650000000000002</v>
      </c>
      <c r="L140">
        <v>8.4830000000000005</v>
      </c>
      <c r="M140">
        <v>8.5920000000000005</v>
      </c>
      <c r="N140">
        <v>8.6929999999999996</v>
      </c>
      <c r="O140">
        <v>8.7859999999999996</v>
      </c>
      <c r="P140">
        <v>8.8719999999999999</v>
      </c>
      <c r="Q140">
        <v>9.0299999999999994</v>
      </c>
      <c r="R140">
        <v>9.17</v>
      </c>
      <c r="S140">
        <v>9.4109999999999996</v>
      </c>
      <c r="T140">
        <v>9.6129999999999995</v>
      </c>
      <c r="U140">
        <v>9.7880000000000003</v>
      </c>
      <c r="V140">
        <v>9.94</v>
      </c>
      <c r="W140">
        <v>10.08</v>
      </c>
    </row>
    <row r="141" spans="1:23">
      <c r="A141">
        <v>16</v>
      </c>
      <c r="B141">
        <v>5.6779999999999999</v>
      </c>
      <c r="C141">
        <v>6.3650000000000002</v>
      </c>
      <c r="D141">
        <v>6.7990000000000004</v>
      </c>
      <c r="E141">
        <v>7.1189999999999998</v>
      </c>
      <c r="F141">
        <v>7.3739999999999997</v>
      </c>
      <c r="G141">
        <v>7.585</v>
      </c>
      <c r="H141">
        <v>7.766</v>
      </c>
      <c r="I141">
        <v>7.923</v>
      </c>
      <c r="J141">
        <v>8.0630000000000006</v>
      </c>
      <c r="K141">
        <v>8.1890000000000001</v>
      </c>
      <c r="L141">
        <v>8.3030000000000008</v>
      </c>
      <c r="M141">
        <v>8.407</v>
      </c>
      <c r="N141">
        <v>8.5039999999999996</v>
      </c>
      <c r="O141">
        <v>8.593</v>
      </c>
      <c r="P141">
        <v>8.6760000000000002</v>
      </c>
      <c r="Q141">
        <v>8.8279999999999994</v>
      </c>
      <c r="R141">
        <v>8.9629999999999992</v>
      </c>
      <c r="S141">
        <v>9.1940000000000008</v>
      </c>
      <c r="T141">
        <v>9.3879999999999999</v>
      </c>
      <c r="U141">
        <v>9.5559999999999992</v>
      </c>
      <c r="V141">
        <v>9.702</v>
      </c>
      <c r="W141">
        <v>9.8330000000000002</v>
      </c>
    </row>
    <row r="142" spans="1:23">
      <c r="A142">
        <v>17</v>
      </c>
      <c r="B142">
        <v>5.6079999999999997</v>
      </c>
      <c r="C142">
        <v>6.2750000000000004</v>
      </c>
      <c r="D142">
        <v>6.6950000000000003</v>
      </c>
      <c r="E142">
        <v>7.0049999999999999</v>
      </c>
      <c r="F142">
        <v>7.25</v>
      </c>
      <c r="G142">
        <v>7.4539999999999997</v>
      </c>
      <c r="H142">
        <v>7.6289999999999996</v>
      </c>
      <c r="I142">
        <v>7.7809999999999997</v>
      </c>
      <c r="J142">
        <v>7.9160000000000004</v>
      </c>
      <c r="K142">
        <v>8.0370000000000008</v>
      </c>
      <c r="L142">
        <v>8.1479999999999997</v>
      </c>
      <c r="M142">
        <v>8.2479999999999993</v>
      </c>
      <c r="N142">
        <v>8.3420000000000005</v>
      </c>
      <c r="O142">
        <v>8.4269999999999996</v>
      </c>
      <c r="P142">
        <v>8.5079999999999991</v>
      </c>
      <c r="Q142">
        <v>8.6539999999999999</v>
      </c>
      <c r="R142">
        <v>8.7840000000000007</v>
      </c>
      <c r="S142">
        <v>9.0069999999999997</v>
      </c>
      <c r="T142">
        <v>9.1940000000000008</v>
      </c>
      <c r="U142">
        <v>9.3550000000000004</v>
      </c>
      <c r="V142">
        <v>9.4969999999999999</v>
      </c>
      <c r="W142">
        <v>9.6229999999999993</v>
      </c>
    </row>
    <row r="143" spans="1:23">
      <c r="A143">
        <v>18</v>
      </c>
      <c r="B143">
        <v>5.5460000000000003</v>
      </c>
      <c r="C143">
        <v>6.1959999999999997</v>
      </c>
      <c r="D143">
        <v>6.6040000000000001</v>
      </c>
      <c r="E143">
        <v>6.9050000000000002</v>
      </c>
      <c r="F143">
        <v>7.1429999999999998</v>
      </c>
      <c r="G143">
        <v>7.3410000000000002</v>
      </c>
      <c r="H143">
        <v>7.51</v>
      </c>
      <c r="I143">
        <v>7.657</v>
      </c>
      <c r="J143">
        <v>7.7880000000000003</v>
      </c>
      <c r="K143">
        <v>7.9059999999999997</v>
      </c>
      <c r="L143">
        <v>8.0120000000000005</v>
      </c>
      <c r="M143">
        <v>8.11</v>
      </c>
      <c r="N143">
        <v>8.1989999999999998</v>
      </c>
      <c r="O143">
        <v>8.2829999999999995</v>
      </c>
      <c r="P143">
        <v>8.3610000000000007</v>
      </c>
      <c r="Q143">
        <v>8.5020000000000007</v>
      </c>
      <c r="R143">
        <v>8.6280000000000001</v>
      </c>
      <c r="S143">
        <v>8.8439999999999994</v>
      </c>
      <c r="T143">
        <v>9.0250000000000004</v>
      </c>
      <c r="U143">
        <v>9.1809999999999992</v>
      </c>
      <c r="V143">
        <v>9.3179999999999996</v>
      </c>
      <c r="W143">
        <v>9.44</v>
      </c>
    </row>
    <row r="144" spans="1:23">
      <c r="A144">
        <v>19</v>
      </c>
      <c r="B144">
        <v>5.492</v>
      </c>
      <c r="C144">
        <v>6.1269999999999998</v>
      </c>
      <c r="D144">
        <v>6.5250000000000004</v>
      </c>
      <c r="E144">
        <v>6.8170000000000002</v>
      </c>
      <c r="F144">
        <v>7.0490000000000004</v>
      </c>
      <c r="G144">
        <v>7.242</v>
      </c>
      <c r="H144">
        <v>7.4050000000000002</v>
      </c>
      <c r="I144">
        <v>7.5490000000000004</v>
      </c>
      <c r="J144">
        <v>7.6760000000000002</v>
      </c>
      <c r="K144">
        <v>7.79</v>
      </c>
      <c r="L144">
        <v>7.8929999999999998</v>
      </c>
      <c r="M144">
        <v>7.9880000000000004</v>
      </c>
      <c r="N144">
        <v>8.0749999999999993</v>
      </c>
      <c r="O144">
        <v>8.1560000000000006</v>
      </c>
      <c r="P144">
        <v>8.2319999999999993</v>
      </c>
      <c r="Q144">
        <v>8.3689999999999998</v>
      </c>
      <c r="R144">
        <v>8.4909999999999997</v>
      </c>
      <c r="S144">
        <v>8.7010000000000005</v>
      </c>
      <c r="T144">
        <v>8.8759999999999994</v>
      </c>
      <c r="U144">
        <v>9.0280000000000005</v>
      </c>
      <c r="V144">
        <v>9.1609999999999996</v>
      </c>
      <c r="W144">
        <v>9.2789999999999999</v>
      </c>
    </row>
    <row r="145" spans="1:23">
      <c r="A145">
        <v>20</v>
      </c>
      <c r="B145">
        <v>5.444</v>
      </c>
      <c r="C145">
        <v>6.0650000000000004</v>
      </c>
      <c r="D145">
        <v>6.4539999999999997</v>
      </c>
      <c r="E145">
        <v>6.74</v>
      </c>
      <c r="F145">
        <v>6.9660000000000002</v>
      </c>
      <c r="G145">
        <v>7.1539999999999999</v>
      </c>
      <c r="H145">
        <v>7.3129999999999997</v>
      </c>
      <c r="I145">
        <v>7.4530000000000003</v>
      </c>
      <c r="J145">
        <v>7.577</v>
      </c>
      <c r="K145">
        <v>7.6879999999999997</v>
      </c>
      <c r="L145">
        <v>7.7880000000000003</v>
      </c>
      <c r="M145">
        <v>7.88</v>
      </c>
      <c r="N145">
        <v>7.9660000000000002</v>
      </c>
      <c r="O145">
        <v>8.0440000000000005</v>
      </c>
      <c r="P145">
        <v>8.1180000000000003</v>
      </c>
      <c r="Q145">
        <v>8.2509999999999994</v>
      </c>
      <c r="R145">
        <v>8.3699999999999992</v>
      </c>
      <c r="S145">
        <v>8.5739999999999998</v>
      </c>
      <c r="T145">
        <v>8.7449999999999992</v>
      </c>
      <c r="U145">
        <v>8.8919999999999995</v>
      </c>
      <c r="V145">
        <v>9.0210000000000008</v>
      </c>
      <c r="W145">
        <v>9.1370000000000005</v>
      </c>
    </row>
    <row r="146" spans="1:23">
      <c r="A146">
        <v>24</v>
      </c>
      <c r="B146">
        <v>5.2969999999999997</v>
      </c>
      <c r="C146">
        <v>5.8769999999999998</v>
      </c>
      <c r="D146">
        <v>6.2380000000000004</v>
      </c>
      <c r="E146">
        <v>6.5030000000000001</v>
      </c>
      <c r="F146">
        <v>6.7119999999999997</v>
      </c>
      <c r="G146">
        <v>6.8840000000000003</v>
      </c>
      <c r="H146">
        <v>7.0309999999999997</v>
      </c>
      <c r="I146">
        <v>7.1589999999999998</v>
      </c>
      <c r="J146">
        <v>7.2720000000000002</v>
      </c>
      <c r="K146">
        <v>7.3739999999999997</v>
      </c>
      <c r="L146">
        <v>7.4669999999999996</v>
      </c>
      <c r="M146">
        <v>7.5510000000000002</v>
      </c>
      <c r="N146">
        <v>7.6289999999999996</v>
      </c>
      <c r="O146">
        <v>7.7009999999999996</v>
      </c>
      <c r="P146">
        <v>7.7679999999999998</v>
      </c>
      <c r="Q146">
        <v>7.89</v>
      </c>
      <c r="R146">
        <v>7.9989999999999997</v>
      </c>
      <c r="S146">
        <v>8.1850000000000005</v>
      </c>
      <c r="T146">
        <v>8.3420000000000005</v>
      </c>
      <c r="U146">
        <v>8.4760000000000009</v>
      </c>
      <c r="V146">
        <v>8.5939999999999994</v>
      </c>
      <c r="W146">
        <v>8.6999999999999993</v>
      </c>
    </row>
    <row r="147" spans="1:23">
      <c r="A147">
        <v>30</v>
      </c>
      <c r="B147">
        <v>5.1559999999999997</v>
      </c>
      <c r="C147">
        <v>5.6980000000000004</v>
      </c>
      <c r="D147">
        <v>6.0330000000000004</v>
      </c>
      <c r="E147">
        <v>6.2779999999999996</v>
      </c>
      <c r="F147">
        <v>6.47</v>
      </c>
      <c r="G147">
        <v>6.6280000000000001</v>
      </c>
      <c r="H147">
        <v>6.7629999999999999</v>
      </c>
      <c r="I147">
        <v>6.88</v>
      </c>
      <c r="J147">
        <v>6.984</v>
      </c>
      <c r="K147">
        <v>7.077</v>
      </c>
      <c r="L147">
        <v>7.1619999999999999</v>
      </c>
      <c r="M147">
        <v>7.3289999999999997</v>
      </c>
      <c r="N147">
        <v>7.31</v>
      </c>
      <c r="O147">
        <v>7.375</v>
      </c>
      <c r="P147">
        <v>7.4370000000000003</v>
      </c>
      <c r="Q147">
        <v>7.548</v>
      </c>
      <c r="R147">
        <v>7.6470000000000002</v>
      </c>
      <c r="S147">
        <v>7.8159999999999998</v>
      </c>
      <c r="T147">
        <v>7.9580000000000002</v>
      </c>
      <c r="U147">
        <v>8.08</v>
      </c>
      <c r="V147">
        <v>8.1880000000000006</v>
      </c>
      <c r="W147">
        <v>8.2829999999999995</v>
      </c>
    </row>
    <row r="148" spans="1:23">
      <c r="A148">
        <v>40</v>
      </c>
      <c r="B148">
        <v>5.0220000000000002</v>
      </c>
      <c r="C148">
        <v>5.5279999999999996</v>
      </c>
      <c r="D148">
        <v>5.8380000000000001</v>
      </c>
      <c r="E148">
        <v>6.0629999999999997</v>
      </c>
      <c r="F148">
        <v>6.24</v>
      </c>
      <c r="G148">
        <v>6.3860000000000001</v>
      </c>
      <c r="H148">
        <v>6.5090000000000003</v>
      </c>
      <c r="I148">
        <v>6.6159999999999997</v>
      </c>
      <c r="J148">
        <v>6.7110000000000003</v>
      </c>
      <c r="K148">
        <v>6.7960000000000003</v>
      </c>
      <c r="L148">
        <v>6.8719999999999999</v>
      </c>
      <c r="M148">
        <v>6.9420000000000002</v>
      </c>
      <c r="N148">
        <v>7.0069999999999997</v>
      </c>
      <c r="O148">
        <v>7.0670000000000002</v>
      </c>
      <c r="P148">
        <v>7.1219999999999999</v>
      </c>
      <c r="Q148">
        <v>7.2229999999999999</v>
      </c>
      <c r="R148">
        <v>7.3120000000000003</v>
      </c>
      <c r="S148">
        <v>7.4660000000000002</v>
      </c>
      <c r="T148">
        <v>7.5940000000000003</v>
      </c>
      <c r="U148">
        <v>7.7039999999999997</v>
      </c>
      <c r="V148">
        <v>7.8010000000000002</v>
      </c>
      <c r="W148">
        <v>7.8869999999999996</v>
      </c>
    </row>
    <row r="149" spans="1:23">
      <c r="A149">
        <v>60</v>
      </c>
      <c r="B149">
        <v>4.8940000000000001</v>
      </c>
      <c r="C149">
        <v>5.3650000000000002</v>
      </c>
      <c r="D149">
        <v>5.6529999999999996</v>
      </c>
      <c r="E149">
        <v>5.86</v>
      </c>
      <c r="F149">
        <v>6.0220000000000002</v>
      </c>
      <c r="G149">
        <v>6.1550000000000002</v>
      </c>
      <c r="H149">
        <v>6.2679999999999998</v>
      </c>
      <c r="I149">
        <v>6.3659999999999997</v>
      </c>
      <c r="J149">
        <v>6.4509999999999996</v>
      </c>
      <c r="K149">
        <v>6.5279999999999996</v>
      </c>
      <c r="L149">
        <v>6.5979999999999999</v>
      </c>
      <c r="M149">
        <v>6.6609999999999996</v>
      </c>
      <c r="N149">
        <v>6.72</v>
      </c>
      <c r="O149">
        <v>6.774</v>
      </c>
      <c r="P149">
        <v>6.8239999999999998</v>
      </c>
      <c r="Q149">
        <v>6.9139999999999997</v>
      </c>
      <c r="R149">
        <v>6.9950000000000001</v>
      </c>
      <c r="S149">
        <v>7.133</v>
      </c>
      <c r="T149">
        <v>7.2480000000000002</v>
      </c>
      <c r="U149">
        <v>7.3470000000000004</v>
      </c>
      <c r="V149">
        <v>7.4329999999999998</v>
      </c>
      <c r="W149">
        <v>7.51</v>
      </c>
    </row>
    <row r="150" spans="1:23">
      <c r="A150">
        <v>120</v>
      </c>
      <c r="B150">
        <v>4.7709999999999999</v>
      </c>
      <c r="C150">
        <v>5.2110000000000003</v>
      </c>
      <c r="D150">
        <v>5.476</v>
      </c>
      <c r="E150">
        <v>5.6669999999999998</v>
      </c>
      <c r="F150">
        <v>5.8150000000000004</v>
      </c>
      <c r="G150">
        <v>5.9370000000000003</v>
      </c>
      <c r="H150">
        <v>6.0389999999999997</v>
      </c>
      <c r="I150">
        <v>6.1280000000000001</v>
      </c>
      <c r="J150">
        <v>6.2060000000000004</v>
      </c>
      <c r="K150">
        <v>6.2759999999999998</v>
      </c>
      <c r="L150">
        <v>6.3390000000000004</v>
      </c>
      <c r="M150">
        <v>6.3959999999999999</v>
      </c>
      <c r="N150">
        <v>6.4480000000000004</v>
      </c>
      <c r="O150">
        <v>6.4960000000000004</v>
      </c>
      <c r="P150">
        <v>6.5419999999999998</v>
      </c>
      <c r="Q150">
        <v>6.6230000000000002</v>
      </c>
      <c r="R150">
        <v>6.6950000000000003</v>
      </c>
      <c r="S150">
        <v>6.8179999999999996</v>
      </c>
      <c r="T150">
        <v>6.9210000000000003</v>
      </c>
      <c r="U150">
        <v>7.008</v>
      </c>
      <c r="V150">
        <v>7.085</v>
      </c>
      <c r="W150">
        <v>7.1529999999999996</v>
      </c>
    </row>
    <row r="151" spans="1:23">
      <c r="A151" s="19" t="s">
        <v>980</v>
      </c>
      <c r="B151">
        <v>4.6539999999999999</v>
      </c>
      <c r="C151">
        <v>5.0629999999999997</v>
      </c>
      <c r="D151">
        <v>5.3090000000000002</v>
      </c>
      <c r="E151">
        <v>5.484</v>
      </c>
      <c r="F151">
        <v>5.6189999999999998</v>
      </c>
      <c r="G151">
        <v>5.73</v>
      </c>
      <c r="H151">
        <v>5.8230000000000004</v>
      </c>
      <c r="I151">
        <v>5.9029999999999996</v>
      </c>
      <c r="J151">
        <v>5.9729999999999999</v>
      </c>
      <c r="K151">
        <v>6.0359999999999996</v>
      </c>
      <c r="L151">
        <v>6.0919999999999996</v>
      </c>
      <c r="M151">
        <v>6.1440000000000001</v>
      </c>
      <c r="N151">
        <v>6.1909999999999998</v>
      </c>
      <c r="O151">
        <v>6.234</v>
      </c>
      <c r="P151">
        <v>6.274</v>
      </c>
      <c r="Q151">
        <v>6.3470000000000004</v>
      </c>
      <c r="R151">
        <v>6.4109999999999996</v>
      </c>
      <c r="S151">
        <v>6.52</v>
      </c>
      <c r="T151">
        <v>6.6109999999999998</v>
      </c>
      <c r="U151">
        <v>6.6890000000000001</v>
      </c>
      <c r="V151">
        <v>6.7560000000000002</v>
      </c>
      <c r="W151">
        <v>6.8159999999999998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sheetPr codeName="Sheet49"/>
  <dimension ref="A1:Z34"/>
  <sheetViews>
    <sheetView workbookViewId="0"/>
  </sheetViews>
  <sheetFormatPr defaultRowHeight="14.4"/>
  <cols>
    <col min="19" max="19" width="6.6640625" customWidth="1"/>
  </cols>
  <sheetData>
    <row r="1" spans="1:26">
      <c r="A1" s="1" t="s">
        <v>319</v>
      </c>
    </row>
    <row r="3" spans="1:26" ht="23.4">
      <c r="A3" s="19" t="s">
        <v>320</v>
      </c>
      <c r="B3">
        <v>0.2</v>
      </c>
      <c r="C3">
        <v>0.1</v>
      </c>
      <c r="D3">
        <v>0.05</v>
      </c>
      <c r="E3">
        <v>0.02</v>
      </c>
      <c r="F3">
        <v>0.01</v>
      </c>
      <c r="G3">
        <v>2E-3</v>
      </c>
      <c r="L3" s="19" t="s">
        <v>320</v>
      </c>
      <c r="M3">
        <v>0.2</v>
      </c>
      <c r="N3">
        <v>0.1</v>
      </c>
      <c r="O3">
        <v>0.05</v>
      </c>
      <c r="P3">
        <v>0.02</v>
      </c>
      <c r="Q3">
        <v>0.01</v>
      </c>
      <c r="R3">
        <v>2E-3</v>
      </c>
      <c r="T3" s="19" t="s">
        <v>320</v>
      </c>
      <c r="U3">
        <v>0.2</v>
      </c>
      <c r="V3">
        <v>0.1</v>
      </c>
      <c r="W3">
        <v>0.05</v>
      </c>
      <c r="X3">
        <v>0.02</v>
      </c>
      <c r="Y3">
        <v>0.01</v>
      </c>
      <c r="Z3">
        <v>2E-3</v>
      </c>
    </row>
    <row r="4" spans="1:26">
      <c r="A4">
        <v>4</v>
      </c>
      <c r="B4" s="1468">
        <v>1</v>
      </c>
      <c r="C4" s="1459">
        <v>1</v>
      </c>
      <c r="D4" s="1471" t="s">
        <v>271</v>
      </c>
      <c r="E4" s="1471" t="s">
        <v>271</v>
      </c>
      <c r="F4" s="1471" t="s">
        <v>271</v>
      </c>
      <c r="G4" s="1472" t="s">
        <v>271</v>
      </c>
      <c r="L4">
        <v>4</v>
      </c>
      <c r="M4" s="1468">
        <v>1</v>
      </c>
      <c r="N4" s="1459">
        <v>1</v>
      </c>
      <c r="O4" s="1471" t="s">
        <v>271</v>
      </c>
      <c r="P4" s="1471" t="s">
        <v>271</v>
      </c>
      <c r="Q4" s="1471" t="s">
        <v>271</v>
      </c>
      <c r="R4" s="1472" t="s">
        <v>271</v>
      </c>
      <c r="T4">
        <v>18</v>
      </c>
      <c r="U4" s="1468">
        <v>0.317</v>
      </c>
      <c r="V4" s="1459">
        <v>0.40100000000000002</v>
      </c>
      <c r="W4" s="1459">
        <v>0.47199999999999998</v>
      </c>
      <c r="X4" s="1459">
        <v>0.55000000000000004</v>
      </c>
      <c r="Y4" s="1459">
        <v>0.6</v>
      </c>
      <c r="Z4" s="1460">
        <v>0.69199999999999995</v>
      </c>
    </row>
    <row r="5" spans="1:26">
      <c r="A5">
        <f t="shared" ref="A5:A30" si="0">A4+1</f>
        <v>5</v>
      </c>
      <c r="B5" s="875">
        <v>0.8</v>
      </c>
      <c r="C5" s="104">
        <v>0.9</v>
      </c>
      <c r="D5" s="104">
        <v>1</v>
      </c>
      <c r="E5" s="104">
        <v>1</v>
      </c>
      <c r="F5" s="1470" t="s">
        <v>271</v>
      </c>
      <c r="G5" s="1473" t="s">
        <v>271</v>
      </c>
      <c r="L5">
        <f t="shared" ref="L5:L17" si="1">L4+1</f>
        <v>5</v>
      </c>
      <c r="M5" s="875">
        <v>0.8</v>
      </c>
      <c r="N5" s="104">
        <v>0.9</v>
      </c>
      <c r="O5" s="104">
        <v>1</v>
      </c>
      <c r="P5" s="104">
        <v>1</v>
      </c>
      <c r="Q5" s="1470" t="s">
        <v>271</v>
      </c>
      <c r="R5" s="1473" t="s">
        <v>271</v>
      </c>
      <c r="T5">
        <f t="shared" ref="T5:T16" si="2">T4+1</f>
        <v>19</v>
      </c>
      <c r="U5" s="875">
        <v>0.309</v>
      </c>
      <c r="V5" s="104">
        <v>0.39100000000000001</v>
      </c>
      <c r="W5" s="104">
        <v>0.46</v>
      </c>
      <c r="X5" s="104">
        <v>0.53500000000000003</v>
      </c>
      <c r="Y5" s="104">
        <v>0.58399999999999996</v>
      </c>
      <c r="Z5" s="876">
        <v>0.67500000000000004</v>
      </c>
    </row>
    <row r="6" spans="1:26">
      <c r="A6">
        <f t="shared" si="0"/>
        <v>6</v>
      </c>
      <c r="B6" s="875">
        <v>0.65700000000000003</v>
      </c>
      <c r="C6" s="104">
        <v>0.82899999999999996</v>
      </c>
      <c r="D6" s="104">
        <v>0.88600000000000001</v>
      </c>
      <c r="E6" s="104">
        <v>0.94299999999999995</v>
      </c>
      <c r="F6" s="104">
        <v>1</v>
      </c>
      <c r="G6" s="1473" t="s">
        <v>271</v>
      </c>
      <c r="L6">
        <f t="shared" si="1"/>
        <v>6</v>
      </c>
      <c r="M6" s="875">
        <v>0.65700000000000003</v>
      </c>
      <c r="N6" s="104">
        <v>0.82899999999999996</v>
      </c>
      <c r="O6" s="104">
        <v>0.88600000000000001</v>
      </c>
      <c r="P6" s="104">
        <v>0.94299999999999995</v>
      </c>
      <c r="Q6" s="104">
        <v>1</v>
      </c>
      <c r="R6" s="1473" t="s">
        <v>271</v>
      </c>
      <c r="T6">
        <f t="shared" si="2"/>
        <v>20</v>
      </c>
      <c r="U6" s="875">
        <v>0.29899999999999999</v>
      </c>
      <c r="V6" s="104">
        <v>0.38</v>
      </c>
      <c r="W6" s="104">
        <v>0.44700000000000001</v>
      </c>
      <c r="X6" s="104">
        <v>0.52200000000000002</v>
      </c>
      <c r="Y6" s="104">
        <v>0.56999999999999995</v>
      </c>
      <c r="Z6" s="876">
        <v>0.66200000000000003</v>
      </c>
    </row>
    <row r="7" spans="1:26">
      <c r="A7">
        <f t="shared" si="0"/>
        <v>7</v>
      </c>
      <c r="B7" s="875">
        <v>0.57099999999999995</v>
      </c>
      <c r="C7" s="104">
        <v>0.71399999999999997</v>
      </c>
      <c r="D7" s="104">
        <v>0.78600000000000003</v>
      </c>
      <c r="E7" s="104">
        <v>0.89300000000000002</v>
      </c>
      <c r="F7" s="104">
        <v>0.92900000000000005</v>
      </c>
      <c r="G7" s="876">
        <v>1</v>
      </c>
      <c r="L7">
        <f t="shared" si="1"/>
        <v>7</v>
      </c>
      <c r="M7" s="875">
        <v>0.57099999999999995</v>
      </c>
      <c r="N7" s="104">
        <v>0.71399999999999997</v>
      </c>
      <c r="O7" s="104">
        <v>0.78600000000000003</v>
      </c>
      <c r="P7" s="104">
        <v>0.89300000000000002</v>
      </c>
      <c r="Q7" s="104">
        <v>0.92900000000000005</v>
      </c>
      <c r="R7" s="876">
        <v>1</v>
      </c>
      <c r="T7">
        <f t="shared" si="2"/>
        <v>21</v>
      </c>
      <c r="U7" s="875">
        <v>0.29199999999999998</v>
      </c>
      <c r="V7" s="104">
        <v>0.37</v>
      </c>
      <c r="W7" s="104">
        <v>0.436</v>
      </c>
      <c r="X7" s="104">
        <v>0.50900000000000001</v>
      </c>
      <c r="Y7" s="104">
        <v>0.55600000000000005</v>
      </c>
      <c r="Z7" s="876">
        <v>0.64700000000000002</v>
      </c>
    </row>
    <row r="8" spans="1:26">
      <c r="A8">
        <f t="shared" si="0"/>
        <v>8</v>
      </c>
      <c r="B8" s="875">
        <v>0.52400000000000002</v>
      </c>
      <c r="C8" s="104">
        <v>0.64300000000000002</v>
      </c>
      <c r="D8" s="104">
        <v>0.73799999999999999</v>
      </c>
      <c r="E8" s="104">
        <v>0.83299999999999996</v>
      </c>
      <c r="F8" s="104">
        <v>0.88100000000000001</v>
      </c>
      <c r="G8" s="876">
        <v>0.95199999999999996</v>
      </c>
      <c r="L8">
        <f t="shared" si="1"/>
        <v>8</v>
      </c>
      <c r="M8" s="875">
        <v>0.52400000000000002</v>
      </c>
      <c r="N8" s="104">
        <v>0.64300000000000002</v>
      </c>
      <c r="O8" s="104">
        <v>0.73799999999999999</v>
      </c>
      <c r="P8" s="104">
        <v>0.83299999999999996</v>
      </c>
      <c r="Q8" s="104">
        <v>0.88100000000000001</v>
      </c>
      <c r="R8" s="876">
        <v>0.95199999999999996</v>
      </c>
      <c r="T8">
        <f t="shared" si="2"/>
        <v>22</v>
      </c>
      <c r="U8" s="875">
        <v>0.28399999999999997</v>
      </c>
      <c r="V8" s="104">
        <v>0.36099999999999999</v>
      </c>
      <c r="W8" s="104">
        <v>0.42499999999999999</v>
      </c>
      <c r="X8" s="104">
        <v>0.497</v>
      </c>
      <c r="Y8" s="104">
        <v>0.54400000000000004</v>
      </c>
      <c r="Z8" s="876">
        <v>0.63300000000000001</v>
      </c>
    </row>
    <row r="9" spans="1:26">
      <c r="A9">
        <f t="shared" si="0"/>
        <v>9</v>
      </c>
      <c r="B9" s="875">
        <v>0.48299999999999998</v>
      </c>
      <c r="C9" s="104">
        <v>0.6</v>
      </c>
      <c r="D9" s="104">
        <v>0.7</v>
      </c>
      <c r="E9" s="104">
        <v>0.78300000000000003</v>
      </c>
      <c r="F9" s="104">
        <v>0.83299999999999996</v>
      </c>
      <c r="G9" s="876">
        <v>0.91700000000000004</v>
      </c>
      <c r="L9">
        <f t="shared" si="1"/>
        <v>9</v>
      </c>
      <c r="M9" s="875">
        <v>0.48299999999999998</v>
      </c>
      <c r="N9" s="104">
        <v>0.6</v>
      </c>
      <c r="O9" s="104">
        <v>0.7</v>
      </c>
      <c r="P9" s="104">
        <v>0.78300000000000003</v>
      </c>
      <c r="Q9" s="104">
        <v>0.83299999999999996</v>
      </c>
      <c r="R9" s="876">
        <v>0.91700000000000004</v>
      </c>
      <c r="T9">
        <f t="shared" si="2"/>
        <v>23</v>
      </c>
      <c r="U9" s="875">
        <v>0.27800000000000002</v>
      </c>
      <c r="V9" s="104">
        <v>0.35299999999999998</v>
      </c>
      <c r="W9" s="104">
        <v>0.41599999999999998</v>
      </c>
      <c r="X9" s="104">
        <v>0.48599999999999999</v>
      </c>
      <c r="Y9" s="104">
        <v>0.53200000000000003</v>
      </c>
      <c r="Z9" s="876">
        <v>0.621</v>
      </c>
    </row>
    <row r="10" spans="1:26">
      <c r="A10">
        <f t="shared" si="0"/>
        <v>10</v>
      </c>
      <c r="B10" s="875">
        <v>0.45500000000000002</v>
      </c>
      <c r="C10" s="104">
        <v>0.56399999999999995</v>
      </c>
      <c r="D10" s="104">
        <v>0.64800000000000002</v>
      </c>
      <c r="E10" s="104">
        <v>0.745</v>
      </c>
      <c r="F10" s="104">
        <v>0.79400000000000004</v>
      </c>
      <c r="G10" s="876">
        <v>0.879</v>
      </c>
      <c r="L10">
        <f t="shared" si="1"/>
        <v>10</v>
      </c>
      <c r="M10" s="875">
        <v>0.45500000000000002</v>
      </c>
      <c r="N10" s="104">
        <v>0.56399999999999995</v>
      </c>
      <c r="O10" s="104">
        <v>0.64800000000000002</v>
      </c>
      <c r="P10" s="104">
        <v>0.745</v>
      </c>
      <c r="Q10" s="104">
        <v>0.79400000000000004</v>
      </c>
      <c r="R10" s="876">
        <v>0.879</v>
      </c>
      <c r="T10">
        <f t="shared" si="2"/>
        <v>24</v>
      </c>
      <c r="U10" s="875">
        <v>0.27100000000000002</v>
      </c>
      <c r="V10" s="104">
        <v>0.34399999999999997</v>
      </c>
      <c r="W10" s="104">
        <v>0.40699999999999997</v>
      </c>
      <c r="X10" s="104">
        <v>0.47599999999999998</v>
      </c>
      <c r="Y10" s="104">
        <v>0.52100000000000002</v>
      </c>
      <c r="Z10" s="876">
        <v>0.60899999999999999</v>
      </c>
    </row>
    <row r="11" spans="1:26">
      <c r="A11">
        <f t="shared" si="0"/>
        <v>11</v>
      </c>
      <c r="B11" s="875">
        <v>0.42699999999999999</v>
      </c>
      <c r="C11" s="104">
        <v>0.53600000000000003</v>
      </c>
      <c r="D11" s="104">
        <v>0.61799999999999999</v>
      </c>
      <c r="E11" s="104">
        <v>0.70899999999999996</v>
      </c>
      <c r="F11" s="104">
        <v>0.755</v>
      </c>
      <c r="G11" s="876">
        <v>0.84499999999999997</v>
      </c>
      <c r="L11">
        <f t="shared" si="1"/>
        <v>11</v>
      </c>
      <c r="M11" s="875">
        <v>0.42699999999999999</v>
      </c>
      <c r="N11" s="104">
        <v>0.53600000000000003</v>
      </c>
      <c r="O11" s="104">
        <v>0.61799999999999999</v>
      </c>
      <c r="P11" s="104">
        <v>0.70899999999999996</v>
      </c>
      <c r="Q11" s="104">
        <v>0.755</v>
      </c>
      <c r="R11" s="876">
        <v>0.84499999999999997</v>
      </c>
      <c r="T11">
        <f t="shared" si="2"/>
        <v>25</v>
      </c>
      <c r="U11" s="875">
        <v>0.26500000000000001</v>
      </c>
      <c r="V11" s="104">
        <v>0.33700000000000002</v>
      </c>
      <c r="W11" s="104">
        <v>0.39800000000000002</v>
      </c>
      <c r="X11" s="104">
        <v>0.46600000000000003</v>
      </c>
      <c r="Y11" s="104">
        <v>0.51100000000000001</v>
      </c>
      <c r="Z11" s="876">
        <v>0.59699999999999998</v>
      </c>
    </row>
    <row r="12" spans="1:26">
      <c r="A12">
        <f t="shared" si="0"/>
        <v>12</v>
      </c>
      <c r="B12" s="875">
        <v>0.40600000000000003</v>
      </c>
      <c r="C12" s="104">
        <v>0.503</v>
      </c>
      <c r="D12" s="104">
        <v>0.58699999999999997</v>
      </c>
      <c r="E12" s="104">
        <v>0.67800000000000005</v>
      </c>
      <c r="F12" s="104">
        <v>0.72699999999999998</v>
      </c>
      <c r="G12" s="876">
        <v>0.81799999999999995</v>
      </c>
      <c r="L12">
        <f t="shared" si="1"/>
        <v>12</v>
      </c>
      <c r="M12" s="875">
        <v>0.40600000000000003</v>
      </c>
      <c r="N12" s="104">
        <v>0.503</v>
      </c>
      <c r="O12" s="104">
        <v>0.58699999999999997</v>
      </c>
      <c r="P12" s="104">
        <v>0.67800000000000005</v>
      </c>
      <c r="Q12" s="104">
        <v>0.72699999999999998</v>
      </c>
      <c r="R12" s="876">
        <v>0.81799999999999995</v>
      </c>
      <c r="T12">
        <f t="shared" si="2"/>
        <v>26</v>
      </c>
      <c r="U12" s="875">
        <v>0.25900000000000001</v>
      </c>
      <c r="V12" s="104">
        <v>0.33100000000000002</v>
      </c>
      <c r="W12" s="104">
        <v>0.39</v>
      </c>
      <c r="X12" s="104">
        <v>0.45700000000000002</v>
      </c>
      <c r="Y12" s="104">
        <v>0.501</v>
      </c>
      <c r="Z12" s="876">
        <v>0.58599999999999997</v>
      </c>
    </row>
    <row r="13" spans="1:26">
      <c r="A13">
        <f t="shared" si="0"/>
        <v>13</v>
      </c>
      <c r="B13" s="875">
        <v>0.38500000000000001</v>
      </c>
      <c r="C13" s="104">
        <v>0.48399999999999999</v>
      </c>
      <c r="D13" s="104">
        <v>0.56000000000000005</v>
      </c>
      <c r="E13" s="104">
        <v>0.64800000000000002</v>
      </c>
      <c r="F13" s="104">
        <v>0.70299999999999996</v>
      </c>
      <c r="G13" s="876">
        <v>0.79100000000000004</v>
      </c>
      <c r="L13">
        <f t="shared" si="1"/>
        <v>13</v>
      </c>
      <c r="M13" s="875">
        <v>0.38500000000000001</v>
      </c>
      <c r="N13" s="104">
        <v>0.48399999999999999</v>
      </c>
      <c r="O13" s="104">
        <v>0.56000000000000005</v>
      </c>
      <c r="P13" s="104">
        <v>0.64800000000000002</v>
      </c>
      <c r="Q13" s="104">
        <v>0.70299999999999996</v>
      </c>
      <c r="R13" s="876">
        <v>0.79100000000000004</v>
      </c>
      <c r="T13">
        <f t="shared" si="2"/>
        <v>27</v>
      </c>
      <c r="U13" s="875">
        <v>0.255</v>
      </c>
      <c r="V13" s="104">
        <v>0.32400000000000001</v>
      </c>
      <c r="W13" s="104">
        <v>0.38300000000000001</v>
      </c>
      <c r="X13" s="104">
        <v>0.44900000000000001</v>
      </c>
      <c r="Y13" s="104">
        <v>0.49199999999999999</v>
      </c>
      <c r="Z13" s="876">
        <v>0.57599999999999996</v>
      </c>
    </row>
    <row r="14" spans="1:26">
      <c r="A14">
        <f t="shared" si="0"/>
        <v>14</v>
      </c>
      <c r="B14" s="875">
        <v>0.36699999999999999</v>
      </c>
      <c r="C14" s="104">
        <v>0.46400000000000002</v>
      </c>
      <c r="D14" s="104">
        <v>0.53800000000000003</v>
      </c>
      <c r="E14" s="104">
        <v>0.626</v>
      </c>
      <c r="F14" s="104">
        <v>0.67900000000000005</v>
      </c>
      <c r="G14" s="876">
        <v>0.77100000000000002</v>
      </c>
      <c r="L14">
        <f t="shared" si="1"/>
        <v>14</v>
      </c>
      <c r="M14" s="875">
        <v>0.36699999999999999</v>
      </c>
      <c r="N14" s="104">
        <v>0.46400000000000002</v>
      </c>
      <c r="O14" s="104">
        <v>0.53800000000000003</v>
      </c>
      <c r="P14" s="104">
        <v>0.626</v>
      </c>
      <c r="Q14" s="104">
        <v>0.67900000000000005</v>
      </c>
      <c r="R14" s="876">
        <v>0.77100000000000002</v>
      </c>
      <c r="T14">
        <f t="shared" si="2"/>
        <v>28</v>
      </c>
      <c r="U14" s="875">
        <v>0.25</v>
      </c>
      <c r="V14" s="104">
        <v>0.318</v>
      </c>
      <c r="W14" s="104">
        <v>0.375</v>
      </c>
      <c r="X14" s="104">
        <v>0.441</v>
      </c>
      <c r="Y14" s="104">
        <v>0.48299999999999998</v>
      </c>
      <c r="Z14" s="876">
        <v>0.56699999999999995</v>
      </c>
    </row>
    <row r="15" spans="1:26">
      <c r="A15">
        <f t="shared" si="0"/>
        <v>15</v>
      </c>
      <c r="B15" s="875">
        <v>0.35399999999999998</v>
      </c>
      <c r="C15" s="104">
        <v>0.44600000000000001</v>
      </c>
      <c r="D15" s="104">
        <v>0.52100000000000002</v>
      </c>
      <c r="E15" s="104">
        <v>0.60399999999999998</v>
      </c>
      <c r="F15" s="104">
        <v>0.65400000000000003</v>
      </c>
      <c r="G15" s="876">
        <v>0.75</v>
      </c>
      <c r="L15">
        <f t="shared" si="1"/>
        <v>15</v>
      </c>
      <c r="M15" s="875">
        <v>0.35399999999999998</v>
      </c>
      <c r="N15" s="104">
        <v>0.44600000000000001</v>
      </c>
      <c r="O15" s="104">
        <v>0.52100000000000002</v>
      </c>
      <c r="P15" s="104">
        <v>0.60399999999999998</v>
      </c>
      <c r="Q15" s="104">
        <v>0.65400000000000003</v>
      </c>
      <c r="R15" s="876">
        <v>0.75</v>
      </c>
      <c r="T15">
        <f t="shared" si="2"/>
        <v>29</v>
      </c>
      <c r="U15" s="875">
        <v>0.245</v>
      </c>
      <c r="V15" s="104">
        <v>0.312</v>
      </c>
      <c r="W15" s="104">
        <v>0.36799999999999999</v>
      </c>
      <c r="X15" s="104">
        <v>0.433</v>
      </c>
      <c r="Y15" s="104">
        <v>0.47499999999999998</v>
      </c>
      <c r="Z15" s="876">
        <v>0.55800000000000005</v>
      </c>
    </row>
    <row r="16" spans="1:26">
      <c r="A16">
        <f t="shared" si="0"/>
        <v>16</v>
      </c>
      <c r="B16" s="875">
        <v>0.34100000000000003</v>
      </c>
      <c r="C16" s="104">
        <v>0.42899999999999999</v>
      </c>
      <c r="D16" s="104">
        <v>0.503</v>
      </c>
      <c r="E16" s="104">
        <v>0.58199999999999996</v>
      </c>
      <c r="F16" s="104">
        <v>0.63500000000000001</v>
      </c>
      <c r="G16" s="876">
        <v>0.72899999999999998</v>
      </c>
      <c r="L16">
        <f t="shared" si="1"/>
        <v>16</v>
      </c>
      <c r="M16" s="875">
        <v>0.34100000000000003</v>
      </c>
      <c r="N16" s="104">
        <v>0.42899999999999999</v>
      </c>
      <c r="O16" s="104">
        <v>0.503</v>
      </c>
      <c r="P16" s="104">
        <v>0.58199999999999996</v>
      </c>
      <c r="Q16" s="104">
        <v>0.63500000000000001</v>
      </c>
      <c r="R16" s="876">
        <v>0.72899999999999998</v>
      </c>
      <c r="T16">
        <f t="shared" si="2"/>
        <v>30</v>
      </c>
      <c r="U16" s="877">
        <v>0.24</v>
      </c>
      <c r="V16" s="1461">
        <v>0.30599999999999999</v>
      </c>
      <c r="W16" s="1461">
        <v>0.36199999999999999</v>
      </c>
      <c r="X16" s="1461">
        <v>0.42499999999999999</v>
      </c>
      <c r="Y16" s="1461">
        <v>0.46700000000000003</v>
      </c>
      <c r="Z16" s="879">
        <v>0.54900000000000004</v>
      </c>
    </row>
    <row r="17" spans="1:18">
      <c r="A17">
        <f t="shared" si="0"/>
        <v>17</v>
      </c>
      <c r="B17" s="875">
        <v>0.32800000000000001</v>
      </c>
      <c r="C17" s="104">
        <v>0.41399999999999998</v>
      </c>
      <c r="D17" s="104">
        <v>0.48799999999999999</v>
      </c>
      <c r="E17" s="104">
        <v>0.56599999999999995</v>
      </c>
      <c r="F17" s="104">
        <v>0.61799999999999999</v>
      </c>
      <c r="G17" s="876">
        <v>0.71099999999999997</v>
      </c>
      <c r="L17">
        <f t="shared" si="1"/>
        <v>17</v>
      </c>
      <c r="M17" s="877">
        <v>0.32800000000000001</v>
      </c>
      <c r="N17" s="1461">
        <v>0.41399999999999998</v>
      </c>
      <c r="O17" s="1461">
        <v>0.48799999999999999</v>
      </c>
      <c r="P17" s="1461">
        <v>0.56599999999999995</v>
      </c>
      <c r="Q17" s="1461">
        <v>0.61799999999999999</v>
      </c>
      <c r="R17" s="879">
        <v>0.71099999999999997</v>
      </c>
    </row>
    <row r="18" spans="1:18">
      <c r="A18">
        <f t="shared" si="0"/>
        <v>18</v>
      </c>
      <c r="B18" s="875">
        <v>0.317</v>
      </c>
      <c r="C18" s="104">
        <v>0.40100000000000002</v>
      </c>
      <c r="D18" s="104">
        <v>0.47199999999999998</v>
      </c>
      <c r="E18" s="104">
        <v>0.55000000000000004</v>
      </c>
      <c r="F18" s="104">
        <v>0.6</v>
      </c>
      <c r="G18" s="876">
        <v>0.69199999999999995</v>
      </c>
    </row>
    <row r="19" spans="1:18">
      <c r="A19">
        <f t="shared" si="0"/>
        <v>19</v>
      </c>
      <c r="B19" s="875">
        <v>0.309</v>
      </c>
      <c r="C19" s="104">
        <v>0.39100000000000001</v>
      </c>
      <c r="D19" s="104">
        <v>0.46</v>
      </c>
      <c r="E19" s="104">
        <v>0.53500000000000003</v>
      </c>
      <c r="F19" s="104">
        <v>0.58399999999999996</v>
      </c>
      <c r="G19" s="876">
        <v>0.67500000000000004</v>
      </c>
    </row>
    <row r="20" spans="1:18">
      <c r="A20">
        <f t="shared" si="0"/>
        <v>20</v>
      </c>
      <c r="B20" s="875">
        <v>0.29899999999999999</v>
      </c>
      <c r="C20" s="104">
        <v>0.38</v>
      </c>
      <c r="D20" s="104">
        <v>0.44700000000000001</v>
      </c>
      <c r="E20" s="104">
        <v>0.52200000000000002</v>
      </c>
      <c r="F20" s="104">
        <v>0.56999999999999995</v>
      </c>
      <c r="G20" s="876">
        <v>0.66200000000000003</v>
      </c>
    </row>
    <row r="21" spans="1:18">
      <c r="A21">
        <f t="shared" si="0"/>
        <v>21</v>
      </c>
      <c r="B21" s="875">
        <v>0.29199999999999998</v>
      </c>
      <c r="C21" s="104">
        <v>0.37</v>
      </c>
      <c r="D21" s="104">
        <v>0.436</v>
      </c>
      <c r="E21" s="104">
        <v>0.50900000000000001</v>
      </c>
      <c r="F21" s="104">
        <v>0.55600000000000005</v>
      </c>
      <c r="G21" s="876">
        <v>0.64700000000000002</v>
      </c>
    </row>
    <row r="22" spans="1:18">
      <c r="A22">
        <f t="shared" si="0"/>
        <v>22</v>
      </c>
      <c r="B22" s="875">
        <v>0.28399999999999997</v>
      </c>
      <c r="C22" s="104">
        <v>0.36099999999999999</v>
      </c>
      <c r="D22" s="104">
        <v>0.42499999999999999</v>
      </c>
      <c r="E22" s="104">
        <v>0.497</v>
      </c>
      <c r="F22" s="104">
        <v>0.54400000000000004</v>
      </c>
      <c r="G22" s="876">
        <v>0.63300000000000001</v>
      </c>
    </row>
    <row r="23" spans="1:18">
      <c r="A23">
        <f t="shared" si="0"/>
        <v>23</v>
      </c>
      <c r="B23" s="875">
        <v>0.27800000000000002</v>
      </c>
      <c r="C23" s="104">
        <v>0.35299999999999998</v>
      </c>
      <c r="D23" s="104">
        <v>0.41599999999999998</v>
      </c>
      <c r="E23" s="104">
        <v>0.48599999999999999</v>
      </c>
      <c r="F23" s="104">
        <v>0.53200000000000003</v>
      </c>
      <c r="G23" s="876">
        <v>0.621</v>
      </c>
    </row>
    <row r="24" spans="1:18">
      <c r="A24">
        <f t="shared" si="0"/>
        <v>24</v>
      </c>
      <c r="B24" s="875">
        <v>0.27100000000000002</v>
      </c>
      <c r="C24" s="104">
        <v>0.34399999999999997</v>
      </c>
      <c r="D24" s="104">
        <v>0.40699999999999997</v>
      </c>
      <c r="E24" s="104">
        <v>0.47599999999999998</v>
      </c>
      <c r="F24" s="104">
        <v>0.52100000000000002</v>
      </c>
      <c r="G24" s="876">
        <v>0.60899999999999999</v>
      </c>
    </row>
    <row r="25" spans="1:18">
      <c r="A25">
        <f t="shared" si="0"/>
        <v>25</v>
      </c>
      <c r="B25" s="875">
        <v>0.26500000000000001</v>
      </c>
      <c r="C25" s="104">
        <v>0.33700000000000002</v>
      </c>
      <c r="D25" s="104">
        <v>0.39800000000000002</v>
      </c>
      <c r="E25" s="104">
        <v>0.46600000000000003</v>
      </c>
      <c r="F25" s="104">
        <v>0.51100000000000001</v>
      </c>
      <c r="G25" s="876">
        <v>0.59699999999999998</v>
      </c>
    </row>
    <row r="26" spans="1:18">
      <c r="A26">
        <f t="shared" si="0"/>
        <v>26</v>
      </c>
      <c r="B26" s="875">
        <v>0.25900000000000001</v>
      </c>
      <c r="C26" s="104">
        <v>0.33100000000000002</v>
      </c>
      <c r="D26" s="104">
        <v>0.39</v>
      </c>
      <c r="E26" s="104">
        <v>0.45700000000000002</v>
      </c>
      <c r="F26" s="104">
        <v>0.501</v>
      </c>
      <c r="G26" s="876">
        <v>0.58599999999999997</v>
      </c>
    </row>
    <row r="27" spans="1:18">
      <c r="A27">
        <f t="shared" si="0"/>
        <v>27</v>
      </c>
      <c r="B27" s="875">
        <v>0.255</v>
      </c>
      <c r="C27" s="104">
        <v>0.32400000000000001</v>
      </c>
      <c r="D27" s="104">
        <v>0.38300000000000001</v>
      </c>
      <c r="E27" s="104">
        <v>0.44900000000000001</v>
      </c>
      <c r="F27" s="104">
        <v>0.49199999999999999</v>
      </c>
      <c r="G27" s="876">
        <v>0.57599999999999996</v>
      </c>
    </row>
    <row r="28" spans="1:18">
      <c r="A28">
        <f t="shared" si="0"/>
        <v>28</v>
      </c>
      <c r="B28" s="875">
        <v>0.25</v>
      </c>
      <c r="C28" s="104">
        <v>0.318</v>
      </c>
      <c r="D28" s="104">
        <v>0.375</v>
      </c>
      <c r="E28" s="104">
        <v>0.441</v>
      </c>
      <c r="F28" s="104">
        <v>0.48299999999999998</v>
      </c>
      <c r="G28" s="876">
        <v>0.56699999999999995</v>
      </c>
    </row>
    <row r="29" spans="1:18">
      <c r="A29">
        <f t="shared" si="0"/>
        <v>29</v>
      </c>
      <c r="B29" s="875">
        <v>0.245</v>
      </c>
      <c r="C29" s="104">
        <v>0.312</v>
      </c>
      <c r="D29" s="104">
        <v>0.36799999999999999</v>
      </c>
      <c r="E29" s="104">
        <v>0.433</v>
      </c>
      <c r="F29" s="104">
        <v>0.47499999999999998</v>
      </c>
      <c r="G29" s="876">
        <v>0.55800000000000005</v>
      </c>
    </row>
    <row r="30" spans="1:18">
      <c r="A30">
        <f t="shared" si="0"/>
        <v>30</v>
      </c>
      <c r="B30" s="877">
        <v>0.24</v>
      </c>
      <c r="C30" s="1461">
        <v>0.30599999999999999</v>
      </c>
      <c r="D30" s="1461">
        <v>0.36199999999999999</v>
      </c>
      <c r="E30" s="1461">
        <v>0.42499999999999999</v>
      </c>
      <c r="F30" s="1461">
        <v>0.46700000000000003</v>
      </c>
      <c r="G30" s="879">
        <v>0.54900000000000004</v>
      </c>
    </row>
    <row r="32" spans="1:18">
      <c r="A32" t="s">
        <v>321</v>
      </c>
    </row>
    <row r="33" spans="1:1">
      <c r="A33" t="s">
        <v>322</v>
      </c>
    </row>
    <row r="34" spans="1:1">
      <c r="A34" t="s">
        <v>4097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sheetPr codeName="Sheet50"/>
  <dimension ref="A1:Y34"/>
  <sheetViews>
    <sheetView workbookViewId="0"/>
  </sheetViews>
  <sheetFormatPr defaultRowHeight="14.4"/>
  <cols>
    <col min="18" max="18" width="6" customWidth="1"/>
  </cols>
  <sheetData>
    <row r="1" spans="1:25">
      <c r="A1" s="1" t="s">
        <v>323</v>
      </c>
    </row>
    <row r="3" spans="1:25" ht="23.4">
      <c r="A3" s="19" t="s">
        <v>320</v>
      </c>
      <c r="B3">
        <v>0.2</v>
      </c>
      <c r="C3">
        <v>0.1</v>
      </c>
      <c r="D3">
        <v>0.05</v>
      </c>
      <c r="E3">
        <v>0.02</v>
      </c>
      <c r="F3">
        <v>0.01</v>
      </c>
      <c r="G3">
        <v>2E-3</v>
      </c>
      <c r="K3" s="19" t="s">
        <v>320</v>
      </c>
      <c r="L3">
        <v>0.2</v>
      </c>
      <c r="M3">
        <v>0.1</v>
      </c>
      <c r="N3">
        <v>0.05</v>
      </c>
      <c r="O3">
        <v>0.02</v>
      </c>
      <c r="P3">
        <v>0.01</v>
      </c>
      <c r="Q3">
        <v>2E-3</v>
      </c>
      <c r="S3" s="19" t="s">
        <v>320</v>
      </c>
      <c r="T3">
        <v>0.2</v>
      </c>
      <c r="U3">
        <v>0.1</v>
      </c>
      <c r="V3">
        <v>0.05</v>
      </c>
      <c r="W3">
        <v>0.02</v>
      </c>
      <c r="X3">
        <v>0.01</v>
      </c>
      <c r="Y3">
        <v>2E-3</v>
      </c>
    </row>
    <row r="4" spans="1:25">
      <c r="A4">
        <v>4</v>
      </c>
      <c r="B4" s="1468">
        <v>1</v>
      </c>
      <c r="C4" s="1459">
        <v>1</v>
      </c>
      <c r="D4" s="1464" t="s">
        <v>271</v>
      </c>
      <c r="E4" s="1464" t="s">
        <v>271</v>
      </c>
      <c r="F4" s="1464" t="s">
        <v>271</v>
      </c>
      <c r="G4" s="1465" t="s">
        <v>271</v>
      </c>
      <c r="K4">
        <v>4</v>
      </c>
      <c r="L4" s="1468">
        <v>1</v>
      </c>
      <c r="M4" s="1459">
        <v>1</v>
      </c>
      <c r="N4" s="1464" t="s">
        <v>271</v>
      </c>
      <c r="O4" s="1464" t="s">
        <v>271</v>
      </c>
      <c r="P4" s="1464" t="s">
        <v>271</v>
      </c>
      <c r="Q4" s="1465" t="s">
        <v>271</v>
      </c>
      <c r="S4">
        <v>18</v>
      </c>
      <c r="T4" s="1468">
        <v>0.24199999999999999</v>
      </c>
      <c r="U4" s="1459">
        <v>0.29399999999999998</v>
      </c>
      <c r="V4" s="1459">
        <v>0.34599999999999997</v>
      </c>
      <c r="W4" s="1459">
        <v>0.41199999999999998</v>
      </c>
      <c r="X4" s="1459">
        <v>0.45100000000000001</v>
      </c>
      <c r="Y4" s="1469">
        <v>0.52900000000000003</v>
      </c>
    </row>
    <row r="5" spans="1:25">
      <c r="A5">
        <f t="shared" ref="A5:A10" si="0">A4+1</f>
        <v>5</v>
      </c>
      <c r="B5" s="875">
        <v>0.8</v>
      </c>
      <c r="C5" s="104">
        <v>0.8</v>
      </c>
      <c r="D5" s="104">
        <v>1</v>
      </c>
      <c r="E5" s="104">
        <v>1</v>
      </c>
      <c r="F5" s="1466" t="s">
        <v>271</v>
      </c>
      <c r="G5" s="1467" t="s">
        <v>271</v>
      </c>
      <c r="K5">
        <f t="shared" ref="K5:K10" si="1">K4+1</f>
        <v>5</v>
      </c>
      <c r="L5" s="875">
        <v>0.8</v>
      </c>
      <c r="M5" s="104">
        <v>0.8</v>
      </c>
      <c r="N5" s="104">
        <v>1</v>
      </c>
      <c r="O5" s="104">
        <v>1</v>
      </c>
      <c r="P5" s="1466" t="s">
        <v>271</v>
      </c>
      <c r="Q5" s="1467" t="s">
        <v>271</v>
      </c>
      <c r="S5">
        <f t="shared" ref="S5:S16" si="2">S4+1</f>
        <v>19</v>
      </c>
      <c r="T5" s="875">
        <v>0.22800000000000001</v>
      </c>
      <c r="U5" s="104">
        <v>0.28699999999999998</v>
      </c>
      <c r="V5" s="104">
        <v>0.33300000000000002</v>
      </c>
      <c r="W5" s="104">
        <v>0.39200000000000002</v>
      </c>
      <c r="X5" s="104">
        <v>0.439</v>
      </c>
      <c r="Y5" s="1462">
        <v>0.50900000000000001</v>
      </c>
    </row>
    <row r="6" spans="1:25">
      <c r="A6">
        <f t="shared" si="0"/>
        <v>6</v>
      </c>
      <c r="B6" s="875">
        <v>0.6</v>
      </c>
      <c r="C6" s="104">
        <v>0.73299999999999998</v>
      </c>
      <c r="D6" s="104">
        <v>0.86699999999999999</v>
      </c>
      <c r="E6" s="104">
        <v>0.86699999999999999</v>
      </c>
      <c r="F6" s="104">
        <v>1</v>
      </c>
      <c r="G6" s="1467" t="s">
        <v>271</v>
      </c>
      <c r="K6">
        <f t="shared" si="1"/>
        <v>6</v>
      </c>
      <c r="L6" s="875">
        <v>0.6</v>
      </c>
      <c r="M6" s="104">
        <v>0.73299999999999998</v>
      </c>
      <c r="N6" s="104">
        <v>0.86699999999999999</v>
      </c>
      <c r="O6" s="104">
        <v>0.86699999999999999</v>
      </c>
      <c r="P6" s="104">
        <v>1</v>
      </c>
      <c r="Q6" s="1467" t="s">
        <v>271</v>
      </c>
      <c r="S6">
        <f t="shared" si="2"/>
        <v>20</v>
      </c>
      <c r="T6" s="875">
        <v>0.221</v>
      </c>
      <c r="U6" s="104">
        <v>0.27400000000000002</v>
      </c>
      <c r="V6" s="104">
        <v>0.32600000000000001</v>
      </c>
      <c r="W6" s="104">
        <v>0.379</v>
      </c>
      <c r="X6" s="104">
        <v>0.42099999999999999</v>
      </c>
      <c r="Y6" s="1462">
        <v>0.495</v>
      </c>
    </row>
    <row r="7" spans="1:25">
      <c r="A7">
        <f t="shared" si="0"/>
        <v>7</v>
      </c>
      <c r="B7" s="875">
        <v>0.52400000000000002</v>
      </c>
      <c r="C7" s="104">
        <v>0.61899999999999999</v>
      </c>
      <c r="D7" s="104">
        <v>0.71399999999999997</v>
      </c>
      <c r="E7" s="104">
        <v>0.81</v>
      </c>
      <c r="F7" s="104">
        <v>0.90500000000000003</v>
      </c>
      <c r="G7" s="1462">
        <v>1</v>
      </c>
      <c r="K7">
        <f t="shared" si="1"/>
        <v>7</v>
      </c>
      <c r="L7" s="875">
        <v>0.52400000000000002</v>
      </c>
      <c r="M7" s="104">
        <v>0.61899999999999999</v>
      </c>
      <c r="N7" s="104">
        <v>0.71399999999999997</v>
      </c>
      <c r="O7" s="104">
        <v>0.81</v>
      </c>
      <c r="P7" s="104">
        <v>0.90500000000000003</v>
      </c>
      <c r="Q7" s="1462">
        <v>1</v>
      </c>
      <c r="S7">
        <f t="shared" si="2"/>
        <v>21</v>
      </c>
      <c r="T7" s="875">
        <v>0.21</v>
      </c>
      <c r="U7" s="104">
        <v>0.26700000000000002</v>
      </c>
      <c r="V7" s="104">
        <v>0.314</v>
      </c>
      <c r="W7" s="104">
        <v>0.371</v>
      </c>
      <c r="X7" s="104">
        <v>0.41</v>
      </c>
      <c r="Y7" s="1462">
        <v>0.48599999999999999</v>
      </c>
    </row>
    <row r="8" spans="1:25">
      <c r="A8">
        <f t="shared" si="0"/>
        <v>8</v>
      </c>
      <c r="B8" s="875">
        <v>0.42899999999999999</v>
      </c>
      <c r="C8" s="104">
        <v>0.57099999999999995</v>
      </c>
      <c r="D8" s="104">
        <v>0.64300000000000002</v>
      </c>
      <c r="E8" s="104">
        <v>0.71399999999999997</v>
      </c>
      <c r="F8" s="104">
        <v>0.78600000000000003</v>
      </c>
      <c r="G8" s="1462">
        <v>0.85699999999999998</v>
      </c>
      <c r="K8">
        <f t="shared" si="1"/>
        <v>8</v>
      </c>
      <c r="L8" s="875">
        <v>0.42899999999999999</v>
      </c>
      <c r="M8" s="104">
        <v>0.57099999999999995</v>
      </c>
      <c r="N8" s="104">
        <v>0.64300000000000002</v>
      </c>
      <c r="O8" s="104">
        <v>0.71399999999999997</v>
      </c>
      <c r="P8" s="104">
        <v>0.78600000000000003</v>
      </c>
      <c r="Q8" s="1462">
        <v>0.85699999999999998</v>
      </c>
      <c r="S8">
        <f t="shared" si="2"/>
        <v>22</v>
      </c>
      <c r="T8" s="875">
        <v>0.20300000000000001</v>
      </c>
      <c r="U8" s="104">
        <v>0.26400000000000001</v>
      </c>
      <c r="V8" s="104">
        <v>0.307</v>
      </c>
      <c r="W8" s="104">
        <v>0.35899999999999999</v>
      </c>
      <c r="X8" s="104">
        <v>0.39400000000000002</v>
      </c>
      <c r="Y8" s="1462">
        <v>0.47199999999999998</v>
      </c>
    </row>
    <row r="9" spans="1:25">
      <c r="A9">
        <f t="shared" si="0"/>
        <v>9</v>
      </c>
      <c r="B9" s="875">
        <v>0.38900000000000001</v>
      </c>
      <c r="C9" s="104">
        <v>0.5</v>
      </c>
      <c r="D9" s="104">
        <v>0.55600000000000005</v>
      </c>
      <c r="E9" s="104">
        <v>0.66700000000000004</v>
      </c>
      <c r="F9" s="104">
        <v>0.72199999999999998</v>
      </c>
      <c r="G9" s="1462">
        <v>0.83299999999999996</v>
      </c>
      <c r="K9">
        <f t="shared" si="1"/>
        <v>9</v>
      </c>
      <c r="L9" s="875">
        <v>0.38900000000000001</v>
      </c>
      <c r="M9" s="104">
        <v>0.5</v>
      </c>
      <c r="N9" s="104">
        <v>0.55600000000000005</v>
      </c>
      <c r="O9" s="104">
        <v>0.66700000000000004</v>
      </c>
      <c r="P9" s="104">
        <v>0.72199999999999998</v>
      </c>
      <c r="Q9" s="1462">
        <v>0.83299999999999996</v>
      </c>
      <c r="S9">
        <f t="shared" si="2"/>
        <v>23</v>
      </c>
      <c r="T9" s="875">
        <v>0.20200000000000001</v>
      </c>
      <c r="U9" s="104">
        <v>0.25700000000000001</v>
      </c>
      <c r="V9" s="104">
        <v>0.29599999999999999</v>
      </c>
      <c r="W9" s="104">
        <v>0.35199999999999998</v>
      </c>
      <c r="X9" s="104">
        <v>0.39100000000000001</v>
      </c>
      <c r="Y9" s="1462">
        <v>0.45500000000000002</v>
      </c>
    </row>
    <row r="10" spans="1:25">
      <c r="A10">
        <f t="shared" si="0"/>
        <v>10</v>
      </c>
      <c r="B10" s="875">
        <v>0.378</v>
      </c>
      <c r="C10" s="104">
        <v>0.46700000000000003</v>
      </c>
      <c r="D10" s="104">
        <v>0.55100000000000005</v>
      </c>
      <c r="E10" s="104">
        <v>0.6</v>
      </c>
      <c r="F10" s="104">
        <v>0.64400000000000002</v>
      </c>
      <c r="G10" s="1462">
        <v>0.77800000000000002</v>
      </c>
      <c r="K10">
        <f t="shared" si="1"/>
        <v>10</v>
      </c>
      <c r="L10" s="875">
        <v>0.378</v>
      </c>
      <c r="M10" s="104">
        <v>0.46700000000000003</v>
      </c>
      <c r="N10" s="104">
        <v>0.55100000000000005</v>
      </c>
      <c r="O10" s="104">
        <v>0.6</v>
      </c>
      <c r="P10" s="104">
        <v>0.64400000000000002</v>
      </c>
      <c r="Q10" s="1462">
        <v>0.77800000000000002</v>
      </c>
      <c r="S10">
        <f t="shared" si="2"/>
        <v>24</v>
      </c>
      <c r="T10" s="875">
        <v>0.19600000000000001</v>
      </c>
      <c r="U10" s="104">
        <v>0.246</v>
      </c>
      <c r="V10" s="104">
        <v>0.28999999999999998</v>
      </c>
      <c r="W10" s="104">
        <v>0.34100000000000003</v>
      </c>
      <c r="X10" s="104">
        <v>0.377</v>
      </c>
      <c r="Y10" s="1462">
        <v>0.44900000000000001</v>
      </c>
    </row>
    <row r="11" spans="1:25">
      <c r="A11">
        <f t="shared" ref="A11:A30" si="3">A10+1</f>
        <v>11</v>
      </c>
      <c r="B11" s="875">
        <v>0.34499999999999997</v>
      </c>
      <c r="C11" s="104">
        <v>0.41799999999999998</v>
      </c>
      <c r="D11" s="104">
        <v>0.49099999999999999</v>
      </c>
      <c r="E11" s="104">
        <v>0.56399999999999995</v>
      </c>
      <c r="F11" s="104">
        <v>0.6</v>
      </c>
      <c r="G11" s="1462">
        <v>0.70899999999999996</v>
      </c>
      <c r="K11">
        <f t="shared" ref="K11:K17" si="4">K10+1</f>
        <v>11</v>
      </c>
      <c r="L11" s="875">
        <v>0.34499999999999997</v>
      </c>
      <c r="M11" s="104">
        <v>0.41799999999999998</v>
      </c>
      <c r="N11" s="104">
        <v>0.49099999999999999</v>
      </c>
      <c r="O11" s="104">
        <v>0.56399999999999995</v>
      </c>
      <c r="P11" s="104">
        <v>0.6</v>
      </c>
      <c r="Q11" s="1462">
        <v>0.70899999999999996</v>
      </c>
      <c r="S11">
        <f t="shared" si="2"/>
        <v>25</v>
      </c>
      <c r="T11" s="875">
        <v>0.193</v>
      </c>
      <c r="U11" s="104">
        <v>0.24</v>
      </c>
      <c r="V11" s="104">
        <v>0.28699999999999998</v>
      </c>
      <c r="W11" s="104">
        <v>0.33300000000000002</v>
      </c>
      <c r="X11" s="104">
        <v>0.36699999999999999</v>
      </c>
      <c r="Y11" s="1462">
        <v>0.44</v>
      </c>
    </row>
    <row r="12" spans="1:25">
      <c r="A12">
        <f t="shared" si="3"/>
        <v>12</v>
      </c>
      <c r="B12" s="875">
        <v>0.30299999999999999</v>
      </c>
      <c r="C12" s="104">
        <v>0.39400000000000002</v>
      </c>
      <c r="D12" s="104">
        <v>0.45500000000000002</v>
      </c>
      <c r="E12" s="104">
        <v>0.54500000000000004</v>
      </c>
      <c r="F12" s="104">
        <v>0.57599999999999996</v>
      </c>
      <c r="G12" s="1462">
        <v>0.66700000000000004</v>
      </c>
      <c r="K12">
        <f t="shared" si="4"/>
        <v>12</v>
      </c>
      <c r="L12" s="875">
        <v>0.30299999999999999</v>
      </c>
      <c r="M12" s="104">
        <v>0.39400000000000002</v>
      </c>
      <c r="N12" s="104">
        <v>0.45500000000000002</v>
      </c>
      <c r="O12" s="104">
        <v>0.54500000000000004</v>
      </c>
      <c r="P12" s="104">
        <v>0.57599999999999996</v>
      </c>
      <c r="Q12" s="1462">
        <v>0.66700000000000004</v>
      </c>
      <c r="S12">
        <f t="shared" si="2"/>
        <v>26</v>
      </c>
      <c r="T12" s="875">
        <v>0.188</v>
      </c>
      <c r="U12" s="104">
        <v>0.23699999999999999</v>
      </c>
      <c r="V12" s="104">
        <v>0.28000000000000003</v>
      </c>
      <c r="W12" s="104">
        <v>0.32900000000000001</v>
      </c>
      <c r="X12" s="104">
        <v>0.36</v>
      </c>
      <c r="Y12" s="1462">
        <v>0.42799999999999999</v>
      </c>
    </row>
    <row r="13" spans="1:25">
      <c r="A13">
        <f t="shared" si="3"/>
        <v>13</v>
      </c>
      <c r="B13" s="875">
        <v>0.308</v>
      </c>
      <c r="C13" s="104">
        <v>0.35899999999999999</v>
      </c>
      <c r="D13" s="104">
        <v>0.436</v>
      </c>
      <c r="E13" s="104">
        <v>0.51300000000000001</v>
      </c>
      <c r="F13" s="104">
        <v>0.56399999999999995</v>
      </c>
      <c r="G13" s="1462">
        <v>0.64100000000000001</v>
      </c>
      <c r="K13">
        <f t="shared" si="4"/>
        <v>13</v>
      </c>
      <c r="L13" s="875">
        <v>0.308</v>
      </c>
      <c r="M13" s="104">
        <v>0.35899999999999999</v>
      </c>
      <c r="N13" s="104">
        <v>0.436</v>
      </c>
      <c r="O13" s="104">
        <v>0.51300000000000001</v>
      </c>
      <c r="P13" s="104">
        <v>0.56399999999999995</v>
      </c>
      <c r="Q13" s="1462">
        <v>0.64100000000000001</v>
      </c>
      <c r="S13">
        <f t="shared" si="2"/>
        <v>27</v>
      </c>
      <c r="T13" s="875">
        <v>0.17899999999999999</v>
      </c>
      <c r="U13" s="104">
        <v>0.23100000000000001</v>
      </c>
      <c r="V13" s="104">
        <v>0.27100000000000002</v>
      </c>
      <c r="W13" s="104">
        <v>0.32200000000000001</v>
      </c>
      <c r="X13" s="104">
        <v>0.35599999999999998</v>
      </c>
      <c r="Y13" s="1462">
        <v>0.41899999999999998</v>
      </c>
    </row>
    <row r="14" spans="1:25">
      <c r="A14">
        <f t="shared" si="3"/>
        <v>14</v>
      </c>
      <c r="B14" s="875">
        <v>0.27500000000000002</v>
      </c>
      <c r="C14" s="104">
        <v>0.36299999999999999</v>
      </c>
      <c r="D14" s="104">
        <v>0.40699999999999997</v>
      </c>
      <c r="E14" s="104">
        <v>0.47299999999999998</v>
      </c>
      <c r="F14" s="104">
        <v>0.51600000000000001</v>
      </c>
      <c r="G14" s="1462">
        <v>0.60399999999999998</v>
      </c>
      <c r="K14">
        <f t="shared" si="4"/>
        <v>14</v>
      </c>
      <c r="L14" s="875">
        <v>0.27500000000000002</v>
      </c>
      <c r="M14" s="104">
        <v>0.36299999999999999</v>
      </c>
      <c r="N14" s="104">
        <v>0.40699999999999997</v>
      </c>
      <c r="O14" s="104">
        <v>0.47299999999999998</v>
      </c>
      <c r="P14" s="104">
        <v>0.51600000000000001</v>
      </c>
      <c r="Q14" s="1462">
        <v>0.60399999999999998</v>
      </c>
      <c r="S14">
        <f t="shared" si="2"/>
        <v>28</v>
      </c>
      <c r="T14" s="875">
        <v>0.18</v>
      </c>
      <c r="U14" s="104">
        <v>0.22800000000000001</v>
      </c>
      <c r="V14" s="104">
        <v>0.26500000000000001</v>
      </c>
      <c r="W14" s="104">
        <v>0.312</v>
      </c>
      <c r="X14" s="104">
        <v>0.34399999999999997</v>
      </c>
      <c r="Y14" s="1462">
        <v>0.41299999999999998</v>
      </c>
    </row>
    <row r="15" spans="1:25">
      <c r="A15">
        <f t="shared" si="3"/>
        <v>15</v>
      </c>
      <c r="B15" s="875">
        <v>0.27600000000000002</v>
      </c>
      <c r="C15" s="104">
        <v>0.33300000000000002</v>
      </c>
      <c r="D15" s="104">
        <v>0.39</v>
      </c>
      <c r="E15" s="104">
        <v>0.46700000000000003</v>
      </c>
      <c r="F15" s="104">
        <v>0.505</v>
      </c>
      <c r="G15" s="1462">
        <v>0.58099999999999996</v>
      </c>
      <c r="K15">
        <f t="shared" si="4"/>
        <v>15</v>
      </c>
      <c r="L15" s="875">
        <v>0.27600000000000002</v>
      </c>
      <c r="M15" s="104">
        <v>0.33300000000000002</v>
      </c>
      <c r="N15" s="104">
        <v>0.39</v>
      </c>
      <c r="O15" s="104">
        <v>0.46700000000000003</v>
      </c>
      <c r="P15" s="104">
        <v>0.505</v>
      </c>
      <c r="Q15" s="1462">
        <v>0.58099999999999996</v>
      </c>
      <c r="S15">
        <f t="shared" si="2"/>
        <v>29</v>
      </c>
      <c r="T15" s="875">
        <v>0.17199999999999999</v>
      </c>
      <c r="U15" s="104">
        <v>0.222</v>
      </c>
      <c r="V15" s="104">
        <v>0.26100000000000001</v>
      </c>
      <c r="W15" s="104">
        <v>0.31</v>
      </c>
      <c r="X15" s="104">
        <v>0.34</v>
      </c>
      <c r="Y15" s="1462">
        <v>0.40400000000000003</v>
      </c>
    </row>
    <row r="16" spans="1:25">
      <c r="A16">
        <f t="shared" si="3"/>
        <v>16</v>
      </c>
      <c r="B16" s="875">
        <v>0.25</v>
      </c>
      <c r="C16" s="104">
        <v>0.317</v>
      </c>
      <c r="D16" s="104">
        <v>0.38300000000000001</v>
      </c>
      <c r="E16" s="104">
        <v>0.433</v>
      </c>
      <c r="F16" s="104">
        <v>0.48299999999999998</v>
      </c>
      <c r="G16" s="1462">
        <v>0.56699999999999995</v>
      </c>
      <c r="K16">
        <f t="shared" si="4"/>
        <v>16</v>
      </c>
      <c r="L16" s="875">
        <v>0.25</v>
      </c>
      <c r="M16" s="104">
        <v>0.317</v>
      </c>
      <c r="N16" s="104">
        <v>0.38300000000000001</v>
      </c>
      <c r="O16" s="104">
        <v>0.433</v>
      </c>
      <c r="P16" s="104">
        <v>0.48299999999999998</v>
      </c>
      <c r="Q16" s="1462">
        <v>0.56699999999999995</v>
      </c>
      <c r="S16">
        <f t="shared" si="2"/>
        <v>30</v>
      </c>
      <c r="T16" s="877">
        <v>0.17199999999999999</v>
      </c>
      <c r="U16" s="1461">
        <v>0.218</v>
      </c>
      <c r="V16" s="1461">
        <v>0.255</v>
      </c>
      <c r="W16" s="1461">
        <v>0.30099999999999999</v>
      </c>
      <c r="X16" s="1461">
        <v>0.33300000000000002</v>
      </c>
      <c r="Y16" s="1463">
        <v>0.39300000000000002</v>
      </c>
    </row>
    <row r="17" spans="1:17">
      <c r="A17">
        <f t="shared" si="3"/>
        <v>17</v>
      </c>
      <c r="B17" s="875">
        <v>0.25</v>
      </c>
      <c r="C17" s="104">
        <v>0.309</v>
      </c>
      <c r="D17" s="104">
        <v>0.36799999999999999</v>
      </c>
      <c r="E17" s="104">
        <v>0.42599999999999999</v>
      </c>
      <c r="F17" s="104">
        <v>0.47099999999999997</v>
      </c>
      <c r="G17" s="1462">
        <v>0.54400000000000004</v>
      </c>
      <c r="K17">
        <f t="shared" si="4"/>
        <v>17</v>
      </c>
      <c r="L17" s="877">
        <v>0.25</v>
      </c>
      <c r="M17" s="1461">
        <v>0.309</v>
      </c>
      <c r="N17" s="1461">
        <v>0.36799999999999999</v>
      </c>
      <c r="O17" s="1461">
        <v>0.42599999999999999</v>
      </c>
      <c r="P17" s="1461">
        <v>0.47099999999999997</v>
      </c>
      <c r="Q17" s="1463">
        <v>0.54400000000000004</v>
      </c>
    </row>
    <row r="18" spans="1:17">
      <c r="A18">
        <f t="shared" si="3"/>
        <v>18</v>
      </c>
      <c r="B18" s="875">
        <v>0.24199999999999999</v>
      </c>
      <c r="C18" s="104">
        <v>0.29399999999999998</v>
      </c>
      <c r="D18" s="104">
        <v>0.34599999999999997</v>
      </c>
      <c r="E18" s="104">
        <v>0.41199999999999998</v>
      </c>
      <c r="F18" s="104">
        <v>0.45100000000000001</v>
      </c>
      <c r="G18" s="1462">
        <v>0.52900000000000003</v>
      </c>
    </row>
    <row r="19" spans="1:17">
      <c r="A19">
        <f t="shared" si="3"/>
        <v>19</v>
      </c>
      <c r="B19" s="875">
        <v>0.22800000000000001</v>
      </c>
      <c r="C19" s="104">
        <v>0.28699999999999998</v>
      </c>
      <c r="D19" s="104">
        <v>0.33300000000000002</v>
      </c>
      <c r="E19" s="104">
        <v>0.39200000000000002</v>
      </c>
      <c r="F19" s="104">
        <v>0.439</v>
      </c>
      <c r="G19" s="1462">
        <v>0.50900000000000001</v>
      </c>
    </row>
    <row r="20" spans="1:17">
      <c r="A20">
        <f t="shared" si="3"/>
        <v>20</v>
      </c>
      <c r="B20" s="875">
        <v>0.221</v>
      </c>
      <c r="C20" s="104">
        <v>0.27400000000000002</v>
      </c>
      <c r="D20" s="104">
        <v>0.32600000000000001</v>
      </c>
      <c r="E20" s="104">
        <v>0.379</v>
      </c>
      <c r="F20" s="104">
        <v>0.42099999999999999</v>
      </c>
      <c r="G20" s="1462">
        <v>0.495</v>
      </c>
    </row>
    <row r="21" spans="1:17">
      <c r="A21">
        <f t="shared" si="3"/>
        <v>21</v>
      </c>
      <c r="B21" s="875">
        <v>0.21</v>
      </c>
      <c r="C21" s="104">
        <v>0.26700000000000002</v>
      </c>
      <c r="D21" s="104">
        <v>0.314</v>
      </c>
      <c r="E21" s="104">
        <v>0.371</v>
      </c>
      <c r="F21" s="104">
        <v>0.41</v>
      </c>
      <c r="G21" s="1462">
        <v>0.48599999999999999</v>
      </c>
    </row>
    <row r="22" spans="1:17">
      <c r="A22">
        <f t="shared" si="3"/>
        <v>22</v>
      </c>
      <c r="B22" s="875">
        <v>0.20300000000000001</v>
      </c>
      <c r="C22" s="104">
        <v>0.26400000000000001</v>
      </c>
      <c r="D22" s="104">
        <v>0.307</v>
      </c>
      <c r="E22" s="104">
        <v>0.35899999999999999</v>
      </c>
      <c r="F22" s="104">
        <v>0.39400000000000002</v>
      </c>
      <c r="G22" s="1462">
        <v>0.47199999999999998</v>
      </c>
    </row>
    <row r="23" spans="1:17">
      <c r="A23">
        <f t="shared" si="3"/>
        <v>23</v>
      </c>
      <c r="B23" s="875">
        <v>0.20200000000000001</v>
      </c>
      <c r="C23" s="104">
        <v>0.25700000000000001</v>
      </c>
      <c r="D23" s="104">
        <v>0.29599999999999999</v>
      </c>
      <c r="E23" s="104">
        <v>0.35199999999999998</v>
      </c>
      <c r="F23" s="104">
        <v>0.39100000000000001</v>
      </c>
      <c r="G23" s="1462">
        <v>0.45500000000000002</v>
      </c>
    </row>
    <row r="24" spans="1:17">
      <c r="A24">
        <f t="shared" si="3"/>
        <v>24</v>
      </c>
      <c r="B24" s="875">
        <v>0.19600000000000001</v>
      </c>
      <c r="C24" s="104">
        <v>0.246</v>
      </c>
      <c r="D24" s="104">
        <v>0.28999999999999998</v>
      </c>
      <c r="E24" s="104">
        <v>0.34100000000000003</v>
      </c>
      <c r="F24" s="104">
        <v>0.377</v>
      </c>
      <c r="G24" s="1462">
        <v>0.44900000000000001</v>
      </c>
    </row>
    <row r="25" spans="1:17">
      <c r="A25">
        <f t="shared" si="3"/>
        <v>25</v>
      </c>
      <c r="B25" s="875">
        <v>0.193</v>
      </c>
      <c r="C25" s="104">
        <v>0.24</v>
      </c>
      <c r="D25" s="104">
        <v>0.28699999999999998</v>
      </c>
      <c r="E25" s="104">
        <v>0.33300000000000002</v>
      </c>
      <c r="F25" s="104">
        <v>0.36699999999999999</v>
      </c>
      <c r="G25" s="1462">
        <v>0.44</v>
      </c>
    </row>
    <row r="26" spans="1:17">
      <c r="A26">
        <f t="shared" si="3"/>
        <v>26</v>
      </c>
      <c r="B26" s="875">
        <v>0.188</v>
      </c>
      <c r="C26" s="104">
        <v>0.23699999999999999</v>
      </c>
      <c r="D26" s="104">
        <v>0.28000000000000003</v>
      </c>
      <c r="E26" s="104">
        <v>0.32900000000000001</v>
      </c>
      <c r="F26" s="104">
        <v>0.36</v>
      </c>
      <c r="G26" s="1462">
        <v>0.42799999999999999</v>
      </c>
    </row>
    <row r="27" spans="1:17">
      <c r="A27">
        <f t="shared" si="3"/>
        <v>27</v>
      </c>
      <c r="B27" s="875">
        <v>0.17899999999999999</v>
      </c>
      <c r="C27" s="104">
        <v>0.23100000000000001</v>
      </c>
      <c r="D27" s="104">
        <v>0.27100000000000002</v>
      </c>
      <c r="E27" s="104">
        <v>0.32200000000000001</v>
      </c>
      <c r="F27" s="104">
        <v>0.35599999999999998</v>
      </c>
      <c r="G27" s="1462">
        <v>0.41899999999999998</v>
      </c>
    </row>
    <row r="28" spans="1:17">
      <c r="A28">
        <f t="shared" si="3"/>
        <v>28</v>
      </c>
      <c r="B28" s="875">
        <v>0.18</v>
      </c>
      <c r="C28" s="104">
        <v>0.22800000000000001</v>
      </c>
      <c r="D28" s="104">
        <v>0.26500000000000001</v>
      </c>
      <c r="E28" s="104">
        <v>0.312</v>
      </c>
      <c r="F28" s="104">
        <v>0.34399999999999997</v>
      </c>
      <c r="G28" s="1462">
        <v>0.41299999999999998</v>
      </c>
    </row>
    <row r="29" spans="1:17">
      <c r="A29">
        <f t="shared" si="3"/>
        <v>29</v>
      </c>
      <c r="B29" s="875">
        <v>0.17199999999999999</v>
      </c>
      <c r="C29" s="104">
        <v>0.222</v>
      </c>
      <c r="D29" s="104">
        <v>0.26100000000000001</v>
      </c>
      <c r="E29" s="104">
        <v>0.31</v>
      </c>
      <c r="F29" s="104">
        <v>0.34</v>
      </c>
      <c r="G29" s="1462">
        <v>0.40400000000000003</v>
      </c>
    </row>
    <row r="30" spans="1:17">
      <c r="A30">
        <f t="shared" si="3"/>
        <v>30</v>
      </c>
      <c r="B30" s="877">
        <v>0.17199999999999999</v>
      </c>
      <c r="C30" s="1461">
        <v>0.218</v>
      </c>
      <c r="D30" s="1461">
        <v>0.255</v>
      </c>
      <c r="E30" s="1461">
        <v>0.30099999999999999</v>
      </c>
      <c r="F30" s="1461">
        <v>0.33300000000000002</v>
      </c>
      <c r="G30" s="1463">
        <v>0.39300000000000002</v>
      </c>
    </row>
    <row r="32" spans="1:17">
      <c r="A32" t="s">
        <v>321</v>
      </c>
    </row>
    <row r="33" spans="1:1">
      <c r="A33" t="s">
        <v>4098</v>
      </c>
    </row>
    <row r="34" spans="1:1">
      <c r="A34" s="2" t="s">
        <v>4097</v>
      </c>
    </row>
  </sheetData>
  <hyperlinks>
    <hyperlink ref="A34" r:id="rId1"/>
  </hyperlink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AO56"/>
  <sheetViews>
    <sheetView workbookViewId="0">
      <selection sqref="A1:XFD1048576"/>
    </sheetView>
  </sheetViews>
  <sheetFormatPr defaultColWidth="9.109375" defaultRowHeight="14.4"/>
  <cols>
    <col min="1" max="1" width="6.109375" style="45" customWidth="1"/>
    <col min="2" max="41" width="6.109375" style="102" customWidth="1"/>
    <col min="42" max="16384" width="9.109375" style="102"/>
  </cols>
  <sheetData>
    <row r="1" spans="1:41">
      <c r="A1" s="1549" t="s">
        <v>4251</v>
      </c>
    </row>
    <row r="3" spans="1:41">
      <c r="A3" s="1549" t="s">
        <v>4255</v>
      </c>
    </row>
    <row r="5" spans="1:41" s="45" customFormat="1">
      <c r="A5" s="1550" t="s">
        <v>4253</v>
      </c>
      <c r="B5" s="1605">
        <v>1</v>
      </c>
      <c r="C5" s="1605"/>
      <c r="D5" s="1605">
        <v>2</v>
      </c>
      <c r="E5" s="1605"/>
      <c r="F5" s="1605">
        <v>3</v>
      </c>
      <c r="G5" s="1605"/>
      <c r="H5" s="1605">
        <v>4</v>
      </c>
      <c r="I5" s="1605"/>
      <c r="J5" s="1605">
        <v>5</v>
      </c>
      <c r="K5" s="1605"/>
      <c r="L5" s="1605">
        <v>6</v>
      </c>
      <c r="M5" s="1605"/>
      <c r="N5" s="1605">
        <v>7</v>
      </c>
      <c r="O5" s="1605"/>
      <c r="P5" s="1605">
        <v>8</v>
      </c>
      <c r="Q5" s="1605"/>
      <c r="R5" s="1605">
        <v>9</v>
      </c>
      <c r="S5" s="1605"/>
      <c r="T5" s="1605">
        <v>10</v>
      </c>
      <c r="U5" s="1605"/>
      <c r="V5" s="1605">
        <v>11</v>
      </c>
      <c r="W5" s="1605"/>
      <c r="X5" s="1605">
        <v>12</v>
      </c>
      <c r="Y5" s="1605"/>
      <c r="Z5" s="1605">
        <v>13</v>
      </c>
      <c r="AA5" s="1605"/>
      <c r="AB5" s="1605">
        <v>14</v>
      </c>
      <c r="AC5" s="1605"/>
      <c r="AD5" s="1605">
        <v>15</v>
      </c>
      <c r="AE5" s="1605"/>
      <c r="AF5" s="1605">
        <v>16</v>
      </c>
      <c r="AG5" s="1605"/>
      <c r="AH5" s="1605">
        <v>17</v>
      </c>
      <c r="AI5" s="1605"/>
      <c r="AJ5" s="1605">
        <v>18</v>
      </c>
      <c r="AK5" s="1605"/>
      <c r="AL5" s="1605">
        <v>19</v>
      </c>
      <c r="AM5" s="1605"/>
      <c r="AN5" s="1605">
        <v>20</v>
      </c>
      <c r="AO5" s="1605"/>
    </row>
    <row r="6" spans="1:41">
      <c r="A6" s="1551">
        <v>6</v>
      </c>
      <c r="B6" s="1468">
        <v>0.39</v>
      </c>
      <c r="C6" s="1459">
        <v>1.1419999999999999</v>
      </c>
      <c r="D6" s="1468"/>
      <c r="E6" s="1460"/>
      <c r="F6" s="1459"/>
      <c r="G6" s="1459"/>
      <c r="H6" s="1468"/>
      <c r="I6" s="1460"/>
      <c r="J6" s="1459"/>
      <c r="K6" s="1459"/>
      <c r="L6" s="1468"/>
      <c r="M6" s="1460"/>
      <c r="N6" s="1459"/>
      <c r="O6" s="1459"/>
      <c r="P6" s="1468"/>
      <c r="Q6" s="1459"/>
      <c r="R6" s="1468"/>
      <c r="S6" s="1460"/>
      <c r="T6" s="1459"/>
      <c r="U6" s="1459"/>
      <c r="V6" s="1468"/>
      <c r="W6" s="1460"/>
      <c r="X6" s="1459"/>
      <c r="Y6" s="1459"/>
      <c r="Z6" s="1468"/>
      <c r="AA6" s="1460"/>
      <c r="AB6" s="1459"/>
      <c r="AC6" s="1459"/>
      <c r="AD6" s="1468"/>
      <c r="AE6" s="1460"/>
      <c r="AF6" s="1459"/>
      <c r="AG6" s="1459"/>
      <c r="AH6" s="1468"/>
      <c r="AI6" s="1460"/>
      <c r="AJ6" s="1459"/>
      <c r="AK6" s="1459"/>
      <c r="AL6" s="1468"/>
      <c r="AM6" s="1460"/>
      <c r="AN6" s="1459"/>
      <c r="AO6" s="1460"/>
    </row>
    <row r="7" spans="1:41">
      <c r="A7" s="793">
        <v>7</v>
      </c>
      <c r="B7" s="875">
        <v>0.435</v>
      </c>
      <c r="C7" s="104">
        <v>1.036</v>
      </c>
      <c r="D7" s="875">
        <v>0.29399999999999998</v>
      </c>
      <c r="E7" s="876">
        <v>1.6759999999999999</v>
      </c>
      <c r="F7" s="104"/>
      <c r="G7" s="104"/>
      <c r="H7" s="875"/>
      <c r="I7" s="876"/>
      <c r="J7" s="104"/>
      <c r="K7" s="104"/>
      <c r="L7" s="875"/>
      <c r="M7" s="876"/>
      <c r="N7" s="104"/>
      <c r="O7" s="104"/>
      <c r="P7" s="875"/>
      <c r="Q7" s="104"/>
      <c r="R7" s="875"/>
      <c r="S7" s="876"/>
      <c r="T7" s="104"/>
      <c r="U7" s="104"/>
      <c r="V7" s="875"/>
      <c r="W7" s="876"/>
      <c r="X7" s="104"/>
      <c r="Y7" s="104"/>
      <c r="Z7" s="875"/>
      <c r="AA7" s="876"/>
      <c r="AB7" s="104"/>
      <c r="AC7" s="104"/>
      <c r="AD7" s="875"/>
      <c r="AE7" s="876"/>
      <c r="AF7" s="104"/>
      <c r="AG7" s="104"/>
      <c r="AH7" s="875"/>
      <c r="AI7" s="876"/>
      <c r="AJ7" s="104"/>
      <c r="AK7" s="104"/>
      <c r="AL7" s="875"/>
      <c r="AM7" s="876"/>
      <c r="AN7" s="104"/>
      <c r="AO7" s="876"/>
    </row>
    <row r="8" spans="1:41">
      <c r="A8" s="793">
        <v>8</v>
      </c>
      <c r="B8" s="875">
        <v>0.497</v>
      </c>
      <c r="C8" s="104">
        <v>1.0029999999999999</v>
      </c>
      <c r="D8" s="875">
        <v>0.34499999999999997</v>
      </c>
      <c r="E8" s="876">
        <v>1.4890000000000001</v>
      </c>
      <c r="F8" s="104">
        <v>0.22900000000000001</v>
      </c>
      <c r="G8" s="104">
        <v>2.1019999999999999</v>
      </c>
      <c r="H8" s="875"/>
      <c r="I8" s="876"/>
      <c r="J8" s="104"/>
      <c r="K8" s="104"/>
      <c r="L8" s="875"/>
      <c r="M8" s="876"/>
      <c r="N8" s="104"/>
      <c r="O8" s="104"/>
      <c r="P8" s="875"/>
      <c r="Q8" s="104"/>
      <c r="R8" s="875"/>
      <c r="S8" s="876"/>
      <c r="T8" s="104"/>
      <c r="U8" s="104"/>
      <c r="V8" s="875"/>
      <c r="W8" s="876"/>
      <c r="X8" s="104"/>
      <c r="Y8" s="104"/>
      <c r="Z8" s="875"/>
      <c r="AA8" s="876"/>
      <c r="AB8" s="104"/>
      <c r="AC8" s="104"/>
      <c r="AD8" s="875"/>
      <c r="AE8" s="876"/>
      <c r="AF8" s="104"/>
      <c r="AG8" s="104"/>
      <c r="AH8" s="875"/>
      <c r="AI8" s="876"/>
      <c r="AJ8" s="104"/>
      <c r="AK8" s="104"/>
      <c r="AL8" s="875"/>
      <c r="AM8" s="876"/>
      <c r="AN8" s="104"/>
      <c r="AO8" s="876"/>
    </row>
    <row r="9" spans="1:41">
      <c r="A9" s="793">
        <v>9</v>
      </c>
      <c r="B9" s="875">
        <v>0.55400000000000005</v>
      </c>
      <c r="C9" s="104">
        <v>0.998</v>
      </c>
      <c r="D9" s="875">
        <v>0.40799999999999997</v>
      </c>
      <c r="E9" s="876">
        <v>1.389</v>
      </c>
      <c r="F9" s="104">
        <v>0.27900000000000003</v>
      </c>
      <c r="G9" s="104">
        <v>1.875</v>
      </c>
      <c r="H9" s="875">
        <v>0.183</v>
      </c>
      <c r="I9" s="876">
        <v>2.4329999999999998</v>
      </c>
      <c r="J9" s="104"/>
      <c r="K9" s="104"/>
      <c r="L9" s="875"/>
      <c r="M9" s="876"/>
      <c r="N9" s="104"/>
      <c r="O9" s="104"/>
      <c r="P9" s="875"/>
      <c r="Q9" s="104"/>
      <c r="R9" s="875"/>
      <c r="S9" s="876"/>
      <c r="T9" s="104"/>
      <c r="U9" s="104"/>
      <c r="V9" s="875"/>
      <c r="W9" s="876"/>
      <c r="X9" s="104"/>
      <c r="Y9" s="104"/>
      <c r="Z9" s="875"/>
      <c r="AA9" s="876"/>
      <c r="AB9" s="104"/>
      <c r="AC9" s="104"/>
      <c r="AD9" s="875"/>
      <c r="AE9" s="876"/>
      <c r="AF9" s="104"/>
      <c r="AG9" s="104"/>
      <c r="AH9" s="875"/>
      <c r="AI9" s="876"/>
      <c r="AJ9" s="104"/>
      <c r="AK9" s="104"/>
      <c r="AL9" s="875"/>
      <c r="AM9" s="876"/>
      <c r="AN9" s="104"/>
      <c r="AO9" s="876"/>
    </row>
    <row r="10" spans="1:41">
      <c r="A10" s="793">
        <v>10</v>
      </c>
      <c r="B10" s="875">
        <v>0.60399999999999998</v>
      </c>
      <c r="C10" s="104">
        <v>1.0009999999999999</v>
      </c>
      <c r="D10" s="875">
        <v>0.46600000000000003</v>
      </c>
      <c r="E10" s="876">
        <v>1.333</v>
      </c>
      <c r="F10" s="104">
        <v>0.34</v>
      </c>
      <c r="G10" s="104">
        <v>1.7330000000000001</v>
      </c>
      <c r="H10" s="875">
        <v>0.23</v>
      </c>
      <c r="I10" s="876">
        <v>2.1930000000000001</v>
      </c>
      <c r="J10" s="104">
        <v>0.15</v>
      </c>
      <c r="K10" s="104">
        <v>2.69</v>
      </c>
      <c r="L10" s="875"/>
      <c r="M10" s="876"/>
      <c r="N10" s="104"/>
      <c r="O10" s="104"/>
      <c r="P10" s="875"/>
      <c r="Q10" s="104"/>
      <c r="R10" s="875"/>
      <c r="S10" s="876"/>
      <c r="T10" s="104"/>
      <c r="U10" s="104"/>
      <c r="V10" s="875"/>
      <c r="W10" s="876"/>
      <c r="X10" s="104"/>
      <c r="Y10" s="104"/>
      <c r="Z10" s="875"/>
      <c r="AA10" s="876"/>
      <c r="AB10" s="104"/>
      <c r="AC10" s="104"/>
      <c r="AD10" s="875"/>
      <c r="AE10" s="876"/>
      <c r="AF10" s="104"/>
      <c r="AG10" s="104"/>
      <c r="AH10" s="875"/>
      <c r="AI10" s="876"/>
      <c r="AJ10" s="104"/>
      <c r="AK10" s="104"/>
      <c r="AL10" s="875"/>
      <c r="AM10" s="876"/>
      <c r="AN10" s="104"/>
      <c r="AO10" s="876"/>
    </row>
    <row r="11" spans="1:41">
      <c r="A11" s="793">
        <v>11</v>
      </c>
      <c r="B11" s="875">
        <v>0.65300000000000002</v>
      </c>
      <c r="C11" s="104">
        <v>1.01</v>
      </c>
      <c r="D11" s="875">
        <v>0.51900000000000002</v>
      </c>
      <c r="E11" s="876">
        <v>1.2969999999999999</v>
      </c>
      <c r="F11" s="104">
        <v>0.39600000000000002</v>
      </c>
      <c r="G11" s="104">
        <v>1.64</v>
      </c>
      <c r="H11" s="875">
        <v>0.28599999999999998</v>
      </c>
      <c r="I11" s="876">
        <v>2.0299999999999998</v>
      </c>
      <c r="J11" s="104">
        <v>0.193</v>
      </c>
      <c r="K11" s="104">
        <v>2.4529999999999998</v>
      </c>
      <c r="L11" s="875">
        <v>0.124</v>
      </c>
      <c r="M11" s="876">
        <v>2.8919999999999999</v>
      </c>
      <c r="N11" s="104"/>
      <c r="O11" s="104"/>
      <c r="P11" s="875"/>
      <c r="Q11" s="104"/>
      <c r="R11" s="875"/>
      <c r="S11" s="876"/>
      <c r="T11" s="104"/>
      <c r="U11" s="104"/>
      <c r="V11" s="875"/>
      <c r="W11" s="876"/>
      <c r="X11" s="104"/>
      <c r="Y11" s="104"/>
      <c r="Z11" s="875"/>
      <c r="AA11" s="876"/>
      <c r="AB11" s="104"/>
      <c r="AC11" s="104"/>
      <c r="AD11" s="875"/>
      <c r="AE11" s="876"/>
      <c r="AF11" s="104"/>
      <c r="AG11" s="104"/>
      <c r="AH11" s="875"/>
      <c r="AI11" s="876"/>
      <c r="AJ11" s="104"/>
      <c r="AK11" s="104"/>
      <c r="AL11" s="875"/>
      <c r="AM11" s="876"/>
      <c r="AN11" s="104"/>
      <c r="AO11" s="876"/>
    </row>
    <row r="12" spans="1:41">
      <c r="A12" s="793">
        <v>12</v>
      </c>
      <c r="B12" s="875">
        <v>0.69699999999999995</v>
      </c>
      <c r="C12" s="104">
        <v>1.0229999999999999</v>
      </c>
      <c r="D12" s="875">
        <v>0.56899999999999995</v>
      </c>
      <c r="E12" s="876">
        <v>1.274</v>
      </c>
      <c r="F12" s="104">
        <v>0.44900000000000001</v>
      </c>
      <c r="G12" s="104">
        <v>1.575</v>
      </c>
      <c r="H12" s="875">
        <v>0.33900000000000002</v>
      </c>
      <c r="I12" s="876">
        <v>1.913</v>
      </c>
      <c r="J12" s="104">
        <v>0.24399999999999999</v>
      </c>
      <c r="K12" s="104">
        <v>2.2799999999999998</v>
      </c>
      <c r="L12" s="875">
        <v>0.16400000000000001</v>
      </c>
      <c r="M12" s="876">
        <v>2.665</v>
      </c>
      <c r="N12" s="104">
        <v>0.105</v>
      </c>
      <c r="O12" s="104">
        <v>3.0529999999999999</v>
      </c>
      <c r="P12" s="875"/>
      <c r="Q12" s="104"/>
      <c r="R12" s="875"/>
      <c r="S12" s="876"/>
      <c r="T12" s="104"/>
      <c r="U12" s="104"/>
      <c r="V12" s="875"/>
      <c r="W12" s="876"/>
      <c r="X12" s="104"/>
      <c r="Y12" s="104"/>
      <c r="Z12" s="875"/>
      <c r="AA12" s="876"/>
      <c r="AB12" s="104"/>
      <c r="AC12" s="104"/>
      <c r="AD12" s="875"/>
      <c r="AE12" s="876"/>
      <c r="AF12" s="104"/>
      <c r="AG12" s="104"/>
      <c r="AH12" s="875"/>
      <c r="AI12" s="876"/>
      <c r="AJ12" s="104"/>
      <c r="AK12" s="104"/>
      <c r="AL12" s="875"/>
      <c r="AM12" s="876"/>
      <c r="AN12" s="104"/>
      <c r="AO12" s="876"/>
    </row>
    <row r="13" spans="1:41">
      <c r="A13" s="793">
        <v>13</v>
      </c>
      <c r="B13" s="875">
        <v>0.73799999999999999</v>
      </c>
      <c r="C13" s="104">
        <v>1.038</v>
      </c>
      <c r="D13" s="875">
        <v>0.61599999999999999</v>
      </c>
      <c r="E13" s="876">
        <v>1.2609999999999999</v>
      </c>
      <c r="F13" s="104">
        <v>0.499</v>
      </c>
      <c r="G13" s="104">
        <v>1.526</v>
      </c>
      <c r="H13" s="875">
        <v>0.39100000000000001</v>
      </c>
      <c r="I13" s="876">
        <v>1.8260000000000001</v>
      </c>
      <c r="J13" s="104">
        <v>0.29399999999999998</v>
      </c>
      <c r="K13" s="104">
        <v>2.15</v>
      </c>
      <c r="L13" s="875">
        <v>0.21099999999999999</v>
      </c>
      <c r="M13" s="876">
        <v>2.4900000000000002</v>
      </c>
      <c r="N13" s="104">
        <v>0.14000000000000001</v>
      </c>
      <c r="O13" s="104">
        <v>2.8380000000000001</v>
      </c>
      <c r="P13" s="875">
        <v>0.09</v>
      </c>
      <c r="Q13" s="104">
        <v>3.1819999999999999</v>
      </c>
      <c r="R13" s="875"/>
      <c r="S13" s="876"/>
      <c r="T13" s="104"/>
      <c r="U13" s="104"/>
      <c r="V13" s="875"/>
      <c r="W13" s="876"/>
      <c r="X13" s="104"/>
      <c r="Y13" s="104"/>
      <c r="Z13" s="875"/>
      <c r="AA13" s="876"/>
      <c r="AB13" s="104"/>
      <c r="AC13" s="104"/>
      <c r="AD13" s="875"/>
      <c r="AE13" s="876"/>
      <c r="AF13" s="104"/>
      <c r="AG13" s="104"/>
      <c r="AH13" s="875"/>
      <c r="AI13" s="876"/>
      <c r="AJ13" s="104"/>
      <c r="AK13" s="104"/>
      <c r="AL13" s="875"/>
      <c r="AM13" s="876"/>
      <c r="AN13" s="104"/>
      <c r="AO13" s="876"/>
    </row>
    <row r="14" spans="1:41">
      <c r="A14" s="793">
        <v>14</v>
      </c>
      <c r="B14" s="875">
        <v>0.77600000000000002</v>
      </c>
      <c r="C14" s="104">
        <v>1.054</v>
      </c>
      <c r="D14" s="875">
        <v>0.66</v>
      </c>
      <c r="E14" s="876">
        <v>1.254</v>
      </c>
      <c r="F14" s="104">
        <v>0.54700000000000004</v>
      </c>
      <c r="G14" s="104">
        <v>1.49</v>
      </c>
      <c r="H14" s="875">
        <v>0.441</v>
      </c>
      <c r="I14" s="876">
        <v>1.7569999999999999</v>
      </c>
      <c r="J14" s="104">
        <v>0.34300000000000003</v>
      </c>
      <c r="K14" s="104">
        <v>2.0489999999999999</v>
      </c>
      <c r="L14" s="875">
        <v>0.25700000000000001</v>
      </c>
      <c r="M14" s="876">
        <v>2.3540000000000001</v>
      </c>
      <c r="N14" s="104">
        <v>0.183</v>
      </c>
      <c r="O14" s="104">
        <v>2.6669999999999998</v>
      </c>
      <c r="P14" s="875">
        <v>0.122</v>
      </c>
      <c r="Q14" s="104">
        <v>2.9809999999999999</v>
      </c>
      <c r="R14" s="875">
        <v>7.8E-2</v>
      </c>
      <c r="S14" s="876">
        <v>3.2869999999999999</v>
      </c>
      <c r="T14" s="104"/>
      <c r="U14" s="104"/>
      <c r="V14" s="875"/>
      <c r="W14" s="876"/>
      <c r="X14" s="104"/>
      <c r="Y14" s="104"/>
      <c r="Z14" s="875"/>
      <c r="AA14" s="876"/>
      <c r="AB14" s="104"/>
      <c r="AC14" s="104"/>
      <c r="AD14" s="875"/>
      <c r="AE14" s="876"/>
      <c r="AF14" s="104"/>
      <c r="AG14" s="104"/>
      <c r="AH14" s="875"/>
      <c r="AI14" s="876"/>
      <c r="AJ14" s="104"/>
      <c r="AK14" s="104"/>
      <c r="AL14" s="875"/>
      <c r="AM14" s="876"/>
      <c r="AN14" s="104"/>
      <c r="AO14" s="876"/>
    </row>
    <row r="15" spans="1:41">
      <c r="A15" s="793">
        <v>15</v>
      </c>
      <c r="B15" s="875">
        <v>0.81100000000000005</v>
      </c>
      <c r="C15" s="104">
        <v>1.07</v>
      </c>
      <c r="D15" s="875">
        <v>0.7</v>
      </c>
      <c r="E15" s="876">
        <v>1.252</v>
      </c>
      <c r="F15" s="104">
        <v>0.59099999999999997</v>
      </c>
      <c r="G15" s="104">
        <v>1.4650000000000001</v>
      </c>
      <c r="H15" s="875">
        <v>0.48699999999999999</v>
      </c>
      <c r="I15" s="876">
        <v>1.7050000000000001</v>
      </c>
      <c r="J15" s="104">
        <v>0.39</v>
      </c>
      <c r="K15" s="104">
        <v>1.9670000000000001</v>
      </c>
      <c r="L15" s="875">
        <v>0.30299999999999999</v>
      </c>
      <c r="M15" s="876">
        <v>2.2440000000000002</v>
      </c>
      <c r="N15" s="104">
        <v>0.22600000000000001</v>
      </c>
      <c r="O15" s="104">
        <v>2.5299999999999998</v>
      </c>
      <c r="P15" s="875">
        <v>0.161</v>
      </c>
      <c r="Q15" s="104">
        <v>2.8170000000000002</v>
      </c>
      <c r="R15" s="875">
        <v>0.107</v>
      </c>
      <c r="S15" s="876">
        <v>3.101</v>
      </c>
      <c r="T15" s="104">
        <v>6.8000000000000005E-2</v>
      </c>
      <c r="U15" s="104">
        <v>3.3740000000000001</v>
      </c>
      <c r="V15" s="875"/>
      <c r="W15" s="876"/>
      <c r="X15" s="104"/>
      <c r="Y15" s="104"/>
      <c r="Z15" s="875"/>
      <c r="AA15" s="876"/>
      <c r="AB15" s="104"/>
      <c r="AC15" s="104"/>
      <c r="AD15" s="875"/>
      <c r="AE15" s="876"/>
      <c r="AF15" s="104"/>
      <c r="AG15" s="104"/>
      <c r="AH15" s="875"/>
      <c r="AI15" s="876"/>
      <c r="AJ15" s="104"/>
      <c r="AK15" s="104"/>
      <c r="AL15" s="875"/>
      <c r="AM15" s="876"/>
      <c r="AN15" s="104"/>
      <c r="AO15" s="876"/>
    </row>
    <row r="16" spans="1:41">
      <c r="A16" s="793">
        <v>16</v>
      </c>
      <c r="B16" s="875">
        <v>0.84399999999999997</v>
      </c>
      <c r="C16" s="104">
        <v>1.0860000000000001</v>
      </c>
      <c r="D16" s="875">
        <v>0.73799999999999999</v>
      </c>
      <c r="E16" s="876">
        <v>1.2529999999999999</v>
      </c>
      <c r="F16" s="104">
        <v>0.63300000000000001</v>
      </c>
      <c r="G16" s="104">
        <v>1.4470000000000001</v>
      </c>
      <c r="H16" s="875">
        <v>0.53200000000000003</v>
      </c>
      <c r="I16" s="876">
        <v>1.6639999999999999</v>
      </c>
      <c r="J16" s="104">
        <v>0.437</v>
      </c>
      <c r="K16" s="104">
        <v>1.901</v>
      </c>
      <c r="L16" s="875">
        <v>0.34899999999999998</v>
      </c>
      <c r="M16" s="876">
        <v>2.153</v>
      </c>
      <c r="N16" s="104">
        <v>0.26900000000000002</v>
      </c>
      <c r="O16" s="104">
        <v>2.4159999999999999</v>
      </c>
      <c r="P16" s="875">
        <v>0.2</v>
      </c>
      <c r="Q16" s="104">
        <v>2.681</v>
      </c>
      <c r="R16" s="875">
        <v>0.14199999999999999</v>
      </c>
      <c r="S16" s="876">
        <v>2.944</v>
      </c>
      <c r="T16" s="104">
        <v>9.4E-2</v>
      </c>
      <c r="U16" s="104">
        <v>3.2010000000000001</v>
      </c>
      <c r="V16" s="875">
        <v>9.8000000000000004E-2</v>
      </c>
      <c r="W16" s="876">
        <v>3.5030000000000001</v>
      </c>
      <c r="X16" s="104"/>
      <c r="Y16" s="104"/>
      <c r="Z16" s="875"/>
      <c r="AA16" s="876"/>
      <c r="AB16" s="104"/>
      <c r="AC16" s="104"/>
      <c r="AD16" s="875"/>
      <c r="AE16" s="876"/>
      <c r="AF16" s="104"/>
      <c r="AG16" s="104"/>
      <c r="AH16" s="875"/>
      <c r="AI16" s="876"/>
      <c r="AJ16" s="104"/>
      <c r="AK16" s="104"/>
      <c r="AL16" s="875"/>
      <c r="AM16" s="876"/>
      <c r="AN16" s="104"/>
      <c r="AO16" s="876"/>
    </row>
    <row r="17" spans="1:41">
      <c r="A17" s="793">
        <v>17</v>
      </c>
      <c r="B17" s="875">
        <v>0.873</v>
      </c>
      <c r="C17" s="104">
        <v>1.1020000000000001</v>
      </c>
      <c r="D17" s="875">
        <v>0.77300000000000002</v>
      </c>
      <c r="E17" s="876">
        <v>1.2549999999999999</v>
      </c>
      <c r="F17" s="104">
        <v>0.67200000000000004</v>
      </c>
      <c r="G17" s="104">
        <v>1.4319999999999999</v>
      </c>
      <c r="H17" s="875">
        <v>0.57399999999999995</v>
      </c>
      <c r="I17" s="876">
        <v>1.631</v>
      </c>
      <c r="J17" s="104">
        <v>0.48099999999999998</v>
      </c>
      <c r="K17" s="104">
        <v>1.847</v>
      </c>
      <c r="L17" s="875">
        <v>0.39300000000000002</v>
      </c>
      <c r="M17" s="876">
        <v>2.0779999999999998</v>
      </c>
      <c r="N17" s="104">
        <v>0.313</v>
      </c>
      <c r="O17" s="104">
        <v>2.319</v>
      </c>
      <c r="P17" s="875">
        <v>0.24099999999999999</v>
      </c>
      <c r="Q17" s="104">
        <v>2.5659999999999998</v>
      </c>
      <c r="R17" s="875">
        <v>0.17899999999999999</v>
      </c>
      <c r="S17" s="876">
        <v>2.8109999999999999</v>
      </c>
      <c r="T17" s="104">
        <v>0.127</v>
      </c>
      <c r="U17" s="104">
        <v>3.0529999999999999</v>
      </c>
      <c r="V17" s="875">
        <v>0.13800000000000001</v>
      </c>
      <c r="W17" s="876">
        <v>3.3780000000000001</v>
      </c>
      <c r="X17" s="104">
        <v>8.6999999999999994E-2</v>
      </c>
      <c r="Y17" s="104">
        <v>3.5569999999999999</v>
      </c>
      <c r="Z17" s="875"/>
      <c r="AA17" s="876"/>
      <c r="AB17" s="104"/>
      <c r="AC17" s="104"/>
      <c r="AD17" s="875"/>
      <c r="AE17" s="876"/>
      <c r="AF17" s="104"/>
      <c r="AG17" s="104"/>
      <c r="AH17" s="875"/>
      <c r="AI17" s="876"/>
      <c r="AJ17" s="104"/>
      <c r="AK17" s="104"/>
      <c r="AL17" s="875"/>
      <c r="AM17" s="876"/>
      <c r="AN17" s="104"/>
      <c r="AO17" s="876"/>
    </row>
    <row r="18" spans="1:41">
      <c r="A18" s="793">
        <v>18</v>
      </c>
      <c r="B18" s="875">
        <v>0.90200000000000002</v>
      </c>
      <c r="C18" s="104">
        <v>1.1180000000000001</v>
      </c>
      <c r="D18" s="875">
        <v>0.80500000000000005</v>
      </c>
      <c r="E18" s="876">
        <v>1.2589999999999999</v>
      </c>
      <c r="F18" s="104">
        <v>0.70799999999999996</v>
      </c>
      <c r="G18" s="104">
        <v>1.4219999999999999</v>
      </c>
      <c r="H18" s="875">
        <v>0.61399999999999999</v>
      </c>
      <c r="I18" s="876">
        <v>1.6040000000000001</v>
      </c>
      <c r="J18" s="104">
        <v>0.52200000000000002</v>
      </c>
      <c r="K18" s="104">
        <v>1.8029999999999999</v>
      </c>
      <c r="L18" s="875">
        <v>0.435</v>
      </c>
      <c r="M18" s="876">
        <v>2.0150000000000001</v>
      </c>
      <c r="N18" s="104">
        <v>0.35499999999999998</v>
      </c>
      <c r="O18" s="104">
        <v>2.238</v>
      </c>
      <c r="P18" s="875">
        <v>0.28199999999999997</v>
      </c>
      <c r="Q18" s="104">
        <v>2.4670000000000001</v>
      </c>
      <c r="R18" s="875">
        <v>0.216</v>
      </c>
      <c r="S18" s="876">
        <v>2.6970000000000001</v>
      </c>
      <c r="T18" s="104">
        <v>0.16</v>
      </c>
      <c r="U18" s="104">
        <v>2.9249999999999998</v>
      </c>
      <c r="V18" s="875">
        <v>0.17699999999999999</v>
      </c>
      <c r="W18" s="876">
        <v>3.2650000000000001</v>
      </c>
      <c r="X18" s="104">
        <v>0.123</v>
      </c>
      <c r="Y18" s="104">
        <v>3.4409999999999998</v>
      </c>
      <c r="Z18" s="875">
        <v>7.8E-2</v>
      </c>
      <c r="AA18" s="876">
        <v>3.6030000000000002</v>
      </c>
      <c r="AB18" s="104"/>
      <c r="AC18" s="104"/>
      <c r="AD18" s="875"/>
      <c r="AE18" s="876"/>
      <c r="AF18" s="104"/>
      <c r="AG18" s="104"/>
      <c r="AH18" s="875"/>
      <c r="AI18" s="876"/>
      <c r="AJ18" s="104"/>
      <c r="AK18" s="104"/>
      <c r="AL18" s="875"/>
      <c r="AM18" s="876"/>
      <c r="AN18" s="104"/>
      <c r="AO18" s="876"/>
    </row>
    <row r="19" spans="1:41">
      <c r="A19" s="793">
        <v>19</v>
      </c>
      <c r="B19" s="875">
        <v>0.92800000000000005</v>
      </c>
      <c r="C19" s="104">
        <v>1.133</v>
      </c>
      <c r="D19" s="875">
        <v>0.83499999999999996</v>
      </c>
      <c r="E19" s="876">
        <v>1.264</v>
      </c>
      <c r="F19" s="104">
        <v>0.74199999999999999</v>
      </c>
      <c r="G19" s="104">
        <v>1.4159999999999999</v>
      </c>
      <c r="H19" s="875">
        <v>0.65</v>
      </c>
      <c r="I19" s="876">
        <v>1.583</v>
      </c>
      <c r="J19" s="104">
        <v>0.56100000000000005</v>
      </c>
      <c r="K19" s="104">
        <v>1.7669999999999999</v>
      </c>
      <c r="L19" s="875">
        <v>0.47599999999999998</v>
      </c>
      <c r="M19" s="876">
        <v>1.9630000000000001</v>
      </c>
      <c r="N19" s="104">
        <v>0.39600000000000002</v>
      </c>
      <c r="O19" s="104">
        <v>2.169</v>
      </c>
      <c r="P19" s="875">
        <v>0.32200000000000001</v>
      </c>
      <c r="Q19" s="104">
        <v>2.3809999999999998</v>
      </c>
      <c r="R19" s="875">
        <v>0.255</v>
      </c>
      <c r="S19" s="876">
        <v>2.597</v>
      </c>
      <c r="T19" s="104">
        <v>0.19600000000000001</v>
      </c>
      <c r="U19" s="104">
        <v>2.8130000000000002</v>
      </c>
      <c r="V19" s="875">
        <v>0.22</v>
      </c>
      <c r="W19" s="876">
        <v>3.1589999999999998</v>
      </c>
      <c r="X19" s="104">
        <v>0.16</v>
      </c>
      <c r="Y19" s="104">
        <v>3.335</v>
      </c>
      <c r="Z19" s="875">
        <v>0.111</v>
      </c>
      <c r="AA19" s="876">
        <v>3.496</v>
      </c>
      <c r="AB19" s="104">
        <v>7.0000000000000007E-2</v>
      </c>
      <c r="AC19" s="104">
        <v>3.6419999999999999</v>
      </c>
      <c r="AD19" s="875"/>
      <c r="AE19" s="876"/>
      <c r="AF19" s="104"/>
      <c r="AG19" s="104"/>
      <c r="AH19" s="875"/>
      <c r="AI19" s="876"/>
      <c r="AJ19" s="104"/>
      <c r="AK19" s="104"/>
      <c r="AL19" s="875"/>
      <c r="AM19" s="876"/>
      <c r="AN19" s="104"/>
      <c r="AO19" s="876"/>
    </row>
    <row r="20" spans="1:41">
      <c r="A20" s="793">
        <v>20</v>
      </c>
      <c r="B20" s="875">
        <v>0.95199999999999996</v>
      </c>
      <c r="C20" s="104">
        <v>1.147</v>
      </c>
      <c r="D20" s="875">
        <v>0.86199999999999999</v>
      </c>
      <c r="E20" s="876">
        <v>1.27</v>
      </c>
      <c r="F20" s="104">
        <v>0.77400000000000002</v>
      </c>
      <c r="G20" s="104">
        <v>1.41</v>
      </c>
      <c r="H20" s="875">
        <v>0.68400000000000005</v>
      </c>
      <c r="I20" s="876">
        <v>1.5669999999999999</v>
      </c>
      <c r="J20" s="104">
        <v>0.59799999999999998</v>
      </c>
      <c r="K20" s="104">
        <v>1.736</v>
      </c>
      <c r="L20" s="875">
        <v>0.51500000000000001</v>
      </c>
      <c r="M20" s="876">
        <v>1.9179999999999999</v>
      </c>
      <c r="N20" s="104">
        <v>0.436</v>
      </c>
      <c r="O20" s="104">
        <v>2.11</v>
      </c>
      <c r="P20" s="875">
        <v>0.36199999999999999</v>
      </c>
      <c r="Q20" s="104">
        <v>2.3079999999999998</v>
      </c>
      <c r="R20" s="875">
        <v>0.29399999999999998</v>
      </c>
      <c r="S20" s="876">
        <v>2.5099999999999998</v>
      </c>
      <c r="T20" s="104">
        <v>0.23200000000000001</v>
      </c>
      <c r="U20" s="104">
        <v>2.1739999999999999</v>
      </c>
      <c r="V20" s="875">
        <v>0.26300000000000001</v>
      </c>
      <c r="W20" s="876">
        <v>3.0630000000000002</v>
      </c>
      <c r="X20" s="104">
        <v>0.2</v>
      </c>
      <c r="Y20" s="104">
        <v>3.234</v>
      </c>
      <c r="Z20" s="875">
        <v>0.14499999999999999</v>
      </c>
      <c r="AA20" s="876">
        <v>3.395</v>
      </c>
      <c r="AB20" s="104">
        <v>0.1</v>
      </c>
      <c r="AC20" s="104">
        <v>3.5419999999999998</v>
      </c>
      <c r="AD20" s="875">
        <v>6.3E-2</v>
      </c>
      <c r="AE20" s="876">
        <v>3.6760000000000002</v>
      </c>
      <c r="AF20" s="104"/>
      <c r="AG20" s="104"/>
      <c r="AH20" s="875"/>
      <c r="AI20" s="876"/>
      <c r="AJ20" s="104"/>
      <c r="AK20" s="104"/>
      <c r="AL20" s="875"/>
      <c r="AM20" s="876"/>
      <c r="AN20" s="104"/>
      <c r="AO20" s="876"/>
    </row>
    <row r="21" spans="1:41">
      <c r="A21" s="793">
        <v>21</v>
      </c>
      <c r="B21" s="875">
        <v>0.97499999999999998</v>
      </c>
      <c r="C21" s="104">
        <v>1.161</v>
      </c>
      <c r="D21" s="875">
        <v>0.88900000000000001</v>
      </c>
      <c r="E21" s="876">
        <v>1.276</v>
      </c>
      <c r="F21" s="104">
        <v>0.80300000000000005</v>
      </c>
      <c r="G21" s="104">
        <v>1.4079999999999999</v>
      </c>
      <c r="H21" s="875">
        <v>0.71799999999999997</v>
      </c>
      <c r="I21" s="876">
        <v>1.554</v>
      </c>
      <c r="J21" s="104">
        <v>0.63400000000000001</v>
      </c>
      <c r="K21" s="104">
        <v>1.712</v>
      </c>
      <c r="L21" s="875">
        <v>0.55200000000000005</v>
      </c>
      <c r="M21" s="876">
        <v>1.881</v>
      </c>
      <c r="N21" s="104">
        <v>0.47399999999999998</v>
      </c>
      <c r="O21" s="104">
        <v>2.0590000000000002</v>
      </c>
      <c r="P21" s="875">
        <v>0.4</v>
      </c>
      <c r="Q21" s="104">
        <v>2.2440000000000002</v>
      </c>
      <c r="R21" s="875">
        <v>0.33100000000000002</v>
      </c>
      <c r="S21" s="876">
        <v>2.4340000000000002</v>
      </c>
      <c r="T21" s="104">
        <v>0.26800000000000002</v>
      </c>
      <c r="U21" s="104">
        <v>2.625</v>
      </c>
      <c r="V21" s="875">
        <v>0.307</v>
      </c>
      <c r="W21" s="876">
        <v>2.976</v>
      </c>
      <c r="X21" s="104">
        <v>0.24</v>
      </c>
      <c r="Y21" s="104">
        <v>3.141</v>
      </c>
      <c r="Z21" s="875">
        <v>0.182</v>
      </c>
      <c r="AA21" s="876">
        <v>3.3</v>
      </c>
      <c r="AB21" s="104">
        <v>0.13200000000000001</v>
      </c>
      <c r="AC21" s="104">
        <v>3.448</v>
      </c>
      <c r="AD21" s="875">
        <v>9.0999999999999998E-2</v>
      </c>
      <c r="AE21" s="876">
        <v>3.5830000000000002</v>
      </c>
      <c r="AF21" s="104">
        <v>5.8000000000000003E-2</v>
      </c>
      <c r="AG21" s="104">
        <v>3.7050000000000001</v>
      </c>
      <c r="AH21" s="875"/>
      <c r="AI21" s="876"/>
      <c r="AJ21" s="104"/>
      <c r="AK21" s="104"/>
      <c r="AL21" s="875"/>
      <c r="AM21" s="876"/>
      <c r="AN21" s="104"/>
      <c r="AO21" s="876"/>
    </row>
    <row r="22" spans="1:41">
      <c r="A22" s="793">
        <v>22</v>
      </c>
      <c r="B22" s="875">
        <v>0.997</v>
      </c>
      <c r="C22" s="104">
        <v>1.1739999999999999</v>
      </c>
      <c r="D22" s="875">
        <v>0.91500000000000004</v>
      </c>
      <c r="E22" s="876">
        <v>1.284</v>
      </c>
      <c r="F22" s="104">
        <v>0.83199999999999996</v>
      </c>
      <c r="G22" s="104">
        <v>1.407</v>
      </c>
      <c r="H22" s="875">
        <v>0.748</v>
      </c>
      <c r="I22" s="876">
        <v>1.5429999999999999</v>
      </c>
      <c r="J22" s="104">
        <v>0.66600000000000004</v>
      </c>
      <c r="K22" s="104">
        <v>1.6910000000000001</v>
      </c>
      <c r="L22" s="875">
        <v>0.58699999999999997</v>
      </c>
      <c r="M22" s="876">
        <v>1.849</v>
      </c>
      <c r="N22" s="104">
        <v>0.51</v>
      </c>
      <c r="O22" s="104">
        <v>2.0150000000000001</v>
      </c>
      <c r="P22" s="875">
        <v>0.437</v>
      </c>
      <c r="Q22" s="104">
        <v>2.1880000000000002</v>
      </c>
      <c r="R22" s="875">
        <v>0.36799999999999999</v>
      </c>
      <c r="S22" s="876">
        <v>2.367</v>
      </c>
      <c r="T22" s="104">
        <v>0.30399999999999999</v>
      </c>
      <c r="U22" s="104">
        <v>2.548</v>
      </c>
      <c r="V22" s="875">
        <v>0.34899999999999998</v>
      </c>
      <c r="W22" s="876">
        <v>2.8969999999999998</v>
      </c>
      <c r="X22" s="104">
        <v>0.28100000000000003</v>
      </c>
      <c r="Y22" s="104">
        <v>3.0569999999999999</v>
      </c>
      <c r="Z22" s="875">
        <v>0.22</v>
      </c>
      <c r="AA22" s="876">
        <v>3.2109999999999999</v>
      </c>
      <c r="AB22" s="104">
        <v>0.16600000000000001</v>
      </c>
      <c r="AC22" s="104">
        <v>3.3580000000000001</v>
      </c>
      <c r="AD22" s="875">
        <v>0.12</v>
      </c>
      <c r="AE22" s="876">
        <v>3.4950000000000001</v>
      </c>
      <c r="AF22" s="104">
        <v>8.3000000000000004E-2</v>
      </c>
      <c r="AG22" s="104">
        <v>3.6190000000000002</v>
      </c>
      <c r="AH22" s="875">
        <v>5.1999999999999998E-2</v>
      </c>
      <c r="AI22" s="876">
        <v>3.7309999999999999</v>
      </c>
      <c r="AJ22" s="104"/>
      <c r="AK22" s="104"/>
      <c r="AL22" s="875"/>
      <c r="AM22" s="876"/>
      <c r="AN22" s="104"/>
      <c r="AO22" s="876"/>
    </row>
    <row r="23" spans="1:41">
      <c r="A23" s="793">
        <v>23</v>
      </c>
      <c r="B23" s="875">
        <v>1.0169999999999999</v>
      </c>
      <c r="C23" s="104">
        <v>1.1859999999999999</v>
      </c>
      <c r="D23" s="875">
        <v>0.93799999999999994</v>
      </c>
      <c r="E23" s="876">
        <v>1.29</v>
      </c>
      <c r="F23" s="104">
        <v>0.85799999999999998</v>
      </c>
      <c r="G23" s="104">
        <v>1.407</v>
      </c>
      <c r="H23" s="875">
        <v>0.77700000000000002</v>
      </c>
      <c r="I23" s="876">
        <v>1.5349999999999999</v>
      </c>
      <c r="J23" s="104">
        <v>0.69899999999999995</v>
      </c>
      <c r="K23" s="104">
        <v>1.6739999999999999</v>
      </c>
      <c r="L23" s="875">
        <v>0.62</v>
      </c>
      <c r="M23" s="876">
        <v>1.821</v>
      </c>
      <c r="N23" s="104">
        <v>0.54500000000000004</v>
      </c>
      <c r="O23" s="104">
        <v>1.9770000000000001</v>
      </c>
      <c r="P23" s="875">
        <v>0.47299999999999998</v>
      </c>
      <c r="Q23" s="104">
        <v>2.14</v>
      </c>
      <c r="R23" s="875">
        <v>0.40400000000000003</v>
      </c>
      <c r="S23" s="876">
        <v>2.3079999999999998</v>
      </c>
      <c r="T23" s="104">
        <v>0.34</v>
      </c>
      <c r="U23" s="104">
        <v>2.4790000000000001</v>
      </c>
      <c r="V23" s="875">
        <v>0.39100000000000001</v>
      </c>
      <c r="W23" s="876">
        <v>2.8260000000000001</v>
      </c>
      <c r="X23" s="104">
        <v>0.32200000000000001</v>
      </c>
      <c r="Y23" s="104">
        <v>2.9790000000000001</v>
      </c>
      <c r="Z23" s="875">
        <v>0.25900000000000001</v>
      </c>
      <c r="AA23" s="876">
        <v>3.1280000000000001</v>
      </c>
      <c r="AB23" s="104">
        <v>0.20200000000000001</v>
      </c>
      <c r="AC23" s="104">
        <v>3.2719999999999998</v>
      </c>
      <c r="AD23" s="875">
        <v>0.153</v>
      </c>
      <c r="AE23" s="876">
        <v>3.4089999999999998</v>
      </c>
      <c r="AF23" s="104">
        <v>0.11</v>
      </c>
      <c r="AG23" s="104">
        <v>3.5350000000000001</v>
      </c>
      <c r="AH23" s="875">
        <v>7.5999999999999998E-2</v>
      </c>
      <c r="AI23" s="876">
        <v>3.65</v>
      </c>
      <c r="AJ23" s="104">
        <v>4.8000000000000001E-2</v>
      </c>
      <c r="AK23" s="104">
        <v>3.7530000000000001</v>
      </c>
      <c r="AL23" s="875"/>
      <c r="AM23" s="876"/>
      <c r="AN23" s="104"/>
      <c r="AO23" s="876"/>
    </row>
    <row r="24" spans="1:41">
      <c r="A24" s="793">
        <v>24</v>
      </c>
      <c r="B24" s="875">
        <v>1.0369999999999999</v>
      </c>
      <c r="C24" s="104">
        <v>1.1990000000000001</v>
      </c>
      <c r="D24" s="875">
        <v>0.95899999999999996</v>
      </c>
      <c r="E24" s="876">
        <v>1.298</v>
      </c>
      <c r="F24" s="104">
        <v>0.88100000000000001</v>
      </c>
      <c r="G24" s="104">
        <v>1.407</v>
      </c>
      <c r="H24" s="875">
        <v>0.80500000000000005</v>
      </c>
      <c r="I24" s="876">
        <v>1.5269999999999999</v>
      </c>
      <c r="J24" s="104">
        <v>0.72799999999999998</v>
      </c>
      <c r="K24" s="104">
        <v>1.659</v>
      </c>
      <c r="L24" s="875">
        <v>0.65200000000000002</v>
      </c>
      <c r="M24" s="876">
        <v>1.7969999999999999</v>
      </c>
      <c r="N24" s="104">
        <v>0.57799999999999996</v>
      </c>
      <c r="O24" s="104">
        <v>1.944</v>
      </c>
      <c r="P24" s="875">
        <v>0.50700000000000001</v>
      </c>
      <c r="Q24" s="104">
        <v>2.097</v>
      </c>
      <c r="R24" s="875">
        <v>0.439</v>
      </c>
      <c r="S24" s="876">
        <v>2.2549999999999999</v>
      </c>
      <c r="T24" s="104">
        <v>0.375</v>
      </c>
      <c r="U24" s="104">
        <v>2.4169999999999998</v>
      </c>
      <c r="V24" s="875">
        <v>0.43099999999999999</v>
      </c>
      <c r="W24" s="876">
        <v>2.7610000000000001</v>
      </c>
      <c r="X24" s="104">
        <v>0.36199999999999999</v>
      </c>
      <c r="Y24" s="104">
        <v>2.9079999999999999</v>
      </c>
      <c r="Z24" s="875">
        <v>0.29699999999999999</v>
      </c>
      <c r="AA24" s="876">
        <v>3.0529999999999999</v>
      </c>
      <c r="AB24" s="104">
        <v>0.23899999999999999</v>
      </c>
      <c r="AC24" s="104">
        <v>3.1930000000000001</v>
      </c>
      <c r="AD24" s="875">
        <v>0.186</v>
      </c>
      <c r="AE24" s="876">
        <v>3.327</v>
      </c>
      <c r="AF24" s="104">
        <v>0.14099999999999999</v>
      </c>
      <c r="AG24" s="104">
        <v>3.4540000000000002</v>
      </c>
      <c r="AH24" s="875">
        <v>0.10100000000000001</v>
      </c>
      <c r="AI24" s="876">
        <v>3.5720000000000001</v>
      </c>
      <c r="AJ24" s="104">
        <v>7.0000000000000007E-2</v>
      </c>
      <c r="AK24" s="104">
        <v>3.6779999999999999</v>
      </c>
      <c r="AL24" s="875">
        <v>4.3999999999999997E-2</v>
      </c>
      <c r="AM24" s="876">
        <v>3.7730000000000001</v>
      </c>
      <c r="AN24" s="104"/>
      <c r="AO24" s="876"/>
    </row>
    <row r="25" spans="1:41">
      <c r="A25" s="793">
        <v>25</v>
      </c>
      <c r="B25" s="875">
        <v>1.0549999999999999</v>
      </c>
      <c r="C25" s="104">
        <v>1.21</v>
      </c>
      <c r="D25" s="875">
        <v>0.98099999999999998</v>
      </c>
      <c r="E25" s="876">
        <v>1.3049999999999999</v>
      </c>
      <c r="F25" s="104">
        <v>0.90600000000000003</v>
      </c>
      <c r="G25" s="104">
        <v>1.4079999999999999</v>
      </c>
      <c r="H25" s="875">
        <v>0.83199999999999996</v>
      </c>
      <c r="I25" s="876">
        <v>1.5209999999999999</v>
      </c>
      <c r="J25" s="104">
        <v>0.75600000000000001</v>
      </c>
      <c r="K25" s="104">
        <v>1.645</v>
      </c>
      <c r="L25" s="875">
        <v>0.68200000000000005</v>
      </c>
      <c r="M25" s="876">
        <v>1.776</v>
      </c>
      <c r="N25" s="104">
        <v>0.61</v>
      </c>
      <c r="O25" s="104">
        <v>1.915</v>
      </c>
      <c r="P25" s="875">
        <v>0.54</v>
      </c>
      <c r="Q25" s="104">
        <v>2.0590000000000002</v>
      </c>
      <c r="R25" s="875">
        <v>0.47299999999999998</v>
      </c>
      <c r="S25" s="876">
        <v>2.2090000000000001</v>
      </c>
      <c r="T25" s="104">
        <v>0.40899999999999997</v>
      </c>
      <c r="U25" s="104">
        <v>2.3620000000000001</v>
      </c>
      <c r="V25" s="875">
        <v>0.47</v>
      </c>
      <c r="W25" s="876">
        <v>2.702</v>
      </c>
      <c r="X25" s="104">
        <v>0.4</v>
      </c>
      <c r="Y25" s="104">
        <v>2.8439999999999999</v>
      </c>
      <c r="Z25" s="875">
        <v>0.33500000000000002</v>
      </c>
      <c r="AA25" s="876">
        <v>2.9830000000000001</v>
      </c>
      <c r="AB25" s="104">
        <v>0.27500000000000002</v>
      </c>
      <c r="AC25" s="104">
        <v>3.1190000000000002</v>
      </c>
      <c r="AD25" s="875">
        <v>0.221</v>
      </c>
      <c r="AE25" s="876">
        <v>3.2509999999999999</v>
      </c>
      <c r="AF25" s="104">
        <v>0.17199999999999999</v>
      </c>
      <c r="AG25" s="104">
        <v>3.3759999999999999</v>
      </c>
      <c r="AH25" s="875">
        <v>0.13</v>
      </c>
      <c r="AI25" s="876">
        <v>3.4940000000000002</v>
      </c>
      <c r="AJ25" s="104">
        <v>9.4E-2</v>
      </c>
      <c r="AK25" s="104">
        <v>3.6040000000000001</v>
      </c>
      <c r="AL25" s="875">
        <v>6.5000000000000002E-2</v>
      </c>
      <c r="AM25" s="876">
        <v>3.702</v>
      </c>
      <c r="AN25" s="104">
        <v>4.1000000000000002E-2</v>
      </c>
      <c r="AO25" s="876">
        <v>3.79</v>
      </c>
    </row>
    <row r="26" spans="1:41">
      <c r="A26" s="793">
        <v>26</v>
      </c>
      <c r="B26" s="875">
        <v>1.0720000000000001</v>
      </c>
      <c r="C26" s="104">
        <v>1.222</v>
      </c>
      <c r="D26" s="875">
        <v>1</v>
      </c>
      <c r="E26" s="876">
        <v>1.3109999999999999</v>
      </c>
      <c r="F26" s="104">
        <v>0.92800000000000005</v>
      </c>
      <c r="G26" s="104">
        <v>1.41</v>
      </c>
      <c r="H26" s="875">
        <v>0.85499999999999998</v>
      </c>
      <c r="I26" s="876">
        <v>1.5169999999999999</v>
      </c>
      <c r="J26" s="104">
        <v>0.78200000000000003</v>
      </c>
      <c r="K26" s="104">
        <v>1.635</v>
      </c>
      <c r="L26" s="875">
        <v>0.71099999999999997</v>
      </c>
      <c r="M26" s="876">
        <v>1.7589999999999999</v>
      </c>
      <c r="N26" s="104">
        <v>0.64</v>
      </c>
      <c r="O26" s="104">
        <v>1.889</v>
      </c>
      <c r="P26" s="875">
        <v>0.57199999999999995</v>
      </c>
      <c r="Q26" s="104">
        <v>2.0259999999999998</v>
      </c>
      <c r="R26" s="875">
        <v>0.505</v>
      </c>
      <c r="S26" s="876">
        <v>2.1680000000000001</v>
      </c>
      <c r="T26" s="104">
        <v>0.441</v>
      </c>
      <c r="U26" s="104">
        <v>2.3130000000000002</v>
      </c>
      <c r="V26" s="875">
        <v>0.50800000000000001</v>
      </c>
      <c r="W26" s="876">
        <v>2.649</v>
      </c>
      <c r="X26" s="104">
        <v>0.438</v>
      </c>
      <c r="Y26" s="104">
        <v>2.7839999999999998</v>
      </c>
      <c r="Z26" s="875">
        <v>0.373</v>
      </c>
      <c r="AA26" s="876">
        <v>2.919</v>
      </c>
      <c r="AB26" s="104">
        <v>0.312</v>
      </c>
      <c r="AC26" s="104">
        <v>3.0510000000000002</v>
      </c>
      <c r="AD26" s="875">
        <v>0.25600000000000001</v>
      </c>
      <c r="AE26" s="876">
        <v>3.1789999999999998</v>
      </c>
      <c r="AF26" s="104">
        <v>0.20499999999999999</v>
      </c>
      <c r="AG26" s="104">
        <v>3.3029999999999999</v>
      </c>
      <c r="AH26" s="875">
        <v>0.16</v>
      </c>
      <c r="AI26" s="876">
        <v>3.42</v>
      </c>
      <c r="AJ26" s="104">
        <v>0.12</v>
      </c>
      <c r="AK26" s="104">
        <v>3.5310000000000001</v>
      </c>
      <c r="AL26" s="875">
        <v>8.6999999999999994E-2</v>
      </c>
      <c r="AM26" s="876">
        <v>3.6320000000000001</v>
      </c>
      <c r="AN26" s="104">
        <v>0.06</v>
      </c>
      <c r="AO26" s="876">
        <v>3.7240000000000002</v>
      </c>
    </row>
    <row r="27" spans="1:41">
      <c r="A27" s="793">
        <v>27</v>
      </c>
      <c r="B27" s="875">
        <v>1.0880000000000001</v>
      </c>
      <c r="C27" s="104">
        <v>1.232</v>
      </c>
      <c r="D27" s="875">
        <v>1.0189999999999999</v>
      </c>
      <c r="E27" s="876">
        <v>1.3180000000000001</v>
      </c>
      <c r="F27" s="104">
        <v>0.94799999999999995</v>
      </c>
      <c r="G27" s="104">
        <v>1.413</v>
      </c>
      <c r="H27" s="875">
        <v>0.878</v>
      </c>
      <c r="I27" s="876">
        <v>1.514</v>
      </c>
      <c r="J27" s="104">
        <v>0.80800000000000005</v>
      </c>
      <c r="K27" s="104">
        <v>1.625</v>
      </c>
      <c r="L27" s="875">
        <v>0.73799999999999999</v>
      </c>
      <c r="M27" s="876">
        <v>1.7430000000000001</v>
      </c>
      <c r="N27" s="104">
        <v>0.66900000000000004</v>
      </c>
      <c r="O27" s="104">
        <v>1.867</v>
      </c>
      <c r="P27" s="875">
        <v>0.60199999999999998</v>
      </c>
      <c r="Q27" s="104">
        <v>1.9970000000000001</v>
      </c>
      <c r="R27" s="875">
        <v>0.53600000000000003</v>
      </c>
      <c r="S27" s="876">
        <v>2.1309999999999998</v>
      </c>
      <c r="T27" s="104">
        <v>0.47299999999999998</v>
      </c>
      <c r="U27" s="104">
        <v>2.2690000000000001</v>
      </c>
      <c r="V27" s="875">
        <v>0.54400000000000004</v>
      </c>
      <c r="W27" s="876">
        <v>2.6</v>
      </c>
      <c r="X27" s="104">
        <v>0.47499999999999998</v>
      </c>
      <c r="Y27" s="104">
        <v>2.73</v>
      </c>
      <c r="Z27" s="875">
        <v>0.40899999999999997</v>
      </c>
      <c r="AA27" s="876">
        <v>2.859</v>
      </c>
      <c r="AB27" s="104">
        <v>0.34799999999999998</v>
      </c>
      <c r="AC27" s="104">
        <v>2.9870000000000001</v>
      </c>
      <c r="AD27" s="875">
        <v>0.29099999999999998</v>
      </c>
      <c r="AE27" s="876">
        <v>3.1120000000000001</v>
      </c>
      <c r="AF27" s="104">
        <v>0.23799999999999999</v>
      </c>
      <c r="AG27" s="104">
        <v>3.2330000000000001</v>
      </c>
      <c r="AH27" s="875">
        <v>0.191</v>
      </c>
      <c r="AI27" s="876">
        <v>3.3490000000000002</v>
      </c>
      <c r="AJ27" s="104">
        <v>0.14899999999999999</v>
      </c>
      <c r="AK27" s="104">
        <v>3.46</v>
      </c>
      <c r="AL27" s="875">
        <v>0.112</v>
      </c>
      <c r="AM27" s="876">
        <v>3.5630000000000002</v>
      </c>
      <c r="AN27" s="104">
        <v>8.1000000000000003E-2</v>
      </c>
      <c r="AO27" s="876">
        <v>3.6579999999999999</v>
      </c>
    </row>
    <row r="28" spans="1:41">
      <c r="A28" s="793">
        <v>28</v>
      </c>
      <c r="B28" s="875">
        <v>1.1040000000000001</v>
      </c>
      <c r="C28" s="104">
        <v>1.244</v>
      </c>
      <c r="D28" s="875">
        <v>1.036</v>
      </c>
      <c r="E28" s="876">
        <v>1.325</v>
      </c>
      <c r="F28" s="104">
        <v>0.96899999999999997</v>
      </c>
      <c r="G28" s="104">
        <v>1.4139999999999999</v>
      </c>
      <c r="H28" s="875">
        <v>0.90100000000000002</v>
      </c>
      <c r="I28" s="876">
        <v>1.512</v>
      </c>
      <c r="J28" s="104">
        <v>0.83199999999999996</v>
      </c>
      <c r="K28" s="104">
        <v>1.6180000000000001</v>
      </c>
      <c r="L28" s="875">
        <v>0.76400000000000001</v>
      </c>
      <c r="M28" s="876">
        <v>1.7290000000000001</v>
      </c>
      <c r="N28" s="104">
        <v>0.69599999999999995</v>
      </c>
      <c r="O28" s="104">
        <v>1.847</v>
      </c>
      <c r="P28" s="875">
        <v>0.63</v>
      </c>
      <c r="Q28" s="104">
        <v>1.97</v>
      </c>
      <c r="R28" s="875">
        <v>0.56599999999999995</v>
      </c>
      <c r="S28" s="876">
        <v>2.0979999999999999</v>
      </c>
      <c r="T28" s="104">
        <v>0.504</v>
      </c>
      <c r="U28" s="104">
        <v>2.2290000000000001</v>
      </c>
      <c r="V28" s="875">
        <v>0.57799999999999996</v>
      </c>
      <c r="W28" s="876">
        <v>2.5550000000000002</v>
      </c>
      <c r="X28" s="104">
        <v>0.51</v>
      </c>
      <c r="Y28" s="104">
        <v>2.68</v>
      </c>
      <c r="Z28" s="875">
        <v>0.44500000000000001</v>
      </c>
      <c r="AA28" s="876">
        <v>2.8050000000000002</v>
      </c>
      <c r="AB28" s="104">
        <v>0.38300000000000001</v>
      </c>
      <c r="AC28" s="104">
        <v>2.9279999999999999</v>
      </c>
      <c r="AD28" s="875">
        <v>0.32500000000000001</v>
      </c>
      <c r="AE28" s="876">
        <v>3.05</v>
      </c>
      <c r="AF28" s="104">
        <v>0.27100000000000002</v>
      </c>
      <c r="AG28" s="104">
        <v>3.1680000000000001</v>
      </c>
      <c r="AH28" s="875">
        <v>0.222</v>
      </c>
      <c r="AI28" s="876">
        <v>3.2829999999999999</v>
      </c>
      <c r="AJ28" s="104">
        <v>0.17799999999999999</v>
      </c>
      <c r="AK28" s="104">
        <v>3.3919999999999999</v>
      </c>
      <c r="AL28" s="875">
        <v>0.13800000000000001</v>
      </c>
      <c r="AM28" s="876">
        <v>3.4950000000000001</v>
      </c>
      <c r="AN28" s="104">
        <v>0.104</v>
      </c>
      <c r="AO28" s="876">
        <v>3.5920000000000001</v>
      </c>
    </row>
    <row r="29" spans="1:41">
      <c r="A29" s="793">
        <v>29</v>
      </c>
      <c r="B29" s="875">
        <v>1.119</v>
      </c>
      <c r="C29" s="104">
        <v>1.254</v>
      </c>
      <c r="D29" s="875">
        <v>1.0529999999999999</v>
      </c>
      <c r="E29" s="876">
        <v>1.3320000000000001</v>
      </c>
      <c r="F29" s="104">
        <v>0.98799999999999999</v>
      </c>
      <c r="G29" s="104">
        <v>1.4179999999999999</v>
      </c>
      <c r="H29" s="875">
        <v>0.92100000000000004</v>
      </c>
      <c r="I29" s="876">
        <v>1.5109999999999999</v>
      </c>
      <c r="J29" s="104">
        <v>0.85499999999999998</v>
      </c>
      <c r="K29" s="104">
        <v>1.611</v>
      </c>
      <c r="L29" s="875">
        <v>0.78800000000000003</v>
      </c>
      <c r="M29" s="876">
        <v>1.718</v>
      </c>
      <c r="N29" s="104">
        <v>0.72299999999999998</v>
      </c>
      <c r="O29" s="104">
        <v>1.83</v>
      </c>
      <c r="P29" s="875">
        <v>0.65800000000000003</v>
      </c>
      <c r="Q29" s="104">
        <v>1.9470000000000001</v>
      </c>
      <c r="R29" s="875">
        <v>0.59499999999999997</v>
      </c>
      <c r="S29" s="876">
        <v>2.0680000000000001</v>
      </c>
      <c r="T29" s="104">
        <v>0.53300000000000003</v>
      </c>
      <c r="U29" s="104">
        <v>2.1930000000000001</v>
      </c>
      <c r="V29" s="875">
        <v>0.61199999999999999</v>
      </c>
      <c r="W29" s="876">
        <v>2.5150000000000001</v>
      </c>
      <c r="X29" s="104">
        <v>0.54400000000000004</v>
      </c>
      <c r="Y29" s="104">
        <v>2.6339999999999999</v>
      </c>
      <c r="Z29" s="875">
        <v>0.47899999999999998</v>
      </c>
      <c r="AA29" s="876">
        <v>2.7549999999999999</v>
      </c>
      <c r="AB29" s="104">
        <v>0.41799999999999998</v>
      </c>
      <c r="AC29" s="104">
        <v>2.8740000000000001</v>
      </c>
      <c r="AD29" s="875">
        <v>0.35899999999999999</v>
      </c>
      <c r="AE29" s="876">
        <v>2.992</v>
      </c>
      <c r="AF29" s="104">
        <v>0.30499999999999999</v>
      </c>
      <c r="AG29" s="104">
        <v>3.1070000000000002</v>
      </c>
      <c r="AH29" s="875">
        <v>0.254</v>
      </c>
      <c r="AI29" s="876">
        <v>3.2189999999999999</v>
      </c>
      <c r="AJ29" s="104">
        <v>0.20799999999999999</v>
      </c>
      <c r="AK29" s="104">
        <v>3.327</v>
      </c>
      <c r="AL29" s="875">
        <v>0.16600000000000001</v>
      </c>
      <c r="AM29" s="876">
        <v>3.431</v>
      </c>
      <c r="AN29" s="104">
        <v>0.129</v>
      </c>
      <c r="AO29" s="876">
        <v>3.528</v>
      </c>
    </row>
    <row r="30" spans="1:41">
      <c r="A30" s="793">
        <v>30</v>
      </c>
      <c r="B30" s="875">
        <v>1.1339999999999999</v>
      </c>
      <c r="C30" s="104">
        <v>1.264</v>
      </c>
      <c r="D30" s="875">
        <v>1.07</v>
      </c>
      <c r="E30" s="876">
        <v>1.339</v>
      </c>
      <c r="F30" s="104">
        <v>1.006</v>
      </c>
      <c r="G30" s="104">
        <v>1.421</v>
      </c>
      <c r="H30" s="875">
        <v>0.94099999999999995</v>
      </c>
      <c r="I30" s="876">
        <v>1.51</v>
      </c>
      <c r="J30" s="104">
        <v>0.877</v>
      </c>
      <c r="K30" s="104">
        <v>1.6060000000000001</v>
      </c>
      <c r="L30" s="875">
        <v>0.81200000000000006</v>
      </c>
      <c r="M30" s="876">
        <v>1.7070000000000001</v>
      </c>
      <c r="N30" s="104">
        <v>0.748</v>
      </c>
      <c r="O30" s="104">
        <v>1.8140000000000001</v>
      </c>
      <c r="P30" s="875">
        <v>0.68400000000000005</v>
      </c>
      <c r="Q30" s="104">
        <v>1.925</v>
      </c>
      <c r="R30" s="875">
        <v>0.622</v>
      </c>
      <c r="S30" s="876">
        <v>2.0409999999999999</v>
      </c>
      <c r="T30" s="104">
        <v>0.56200000000000006</v>
      </c>
      <c r="U30" s="104">
        <v>2.16</v>
      </c>
      <c r="V30" s="875">
        <v>0.64300000000000002</v>
      </c>
      <c r="W30" s="876">
        <v>2.4769999999999999</v>
      </c>
      <c r="X30" s="104">
        <v>0.57699999999999996</v>
      </c>
      <c r="Y30" s="104">
        <v>2.5920000000000001</v>
      </c>
      <c r="Z30" s="875">
        <v>0.51200000000000001</v>
      </c>
      <c r="AA30" s="876">
        <v>2.7080000000000002</v>
      </c>
      <c r="AB30" s="104">
        <v>0.45100000000000001</v>
      </c>
      <c r="AC30" s="104">
        <v>2.823</v>
      </c>
      <c r="AD30" s="875">
        <v>0.39200000000000002</v>
      </c>
      <c r="AE30" s="876">
        <v>2.9369999999999998</v>
      </c>
      <c r="AF30" s="104">
        <v>0.33700000000000002</v>
      </c>
      <c r="AG30" s="104">
        <v>3.05</v>
      </c>
      <c r="AH30" s="875">
        <v>0.28599999999999998</v>
      </c>
      <c r="AI30" s="876">
        <v>3.16</v>
      </c>
      <c r="AJ30" s="104">
        <v>0.23799999999999999</v>
      </c>
      <c r="AK30" s="104">
        <v>3.266</v>
      </c>
      <c r="AL30" s="875">
        <v>0.19500000000000001</v>
      </c>
      <c r="AM30" s="876">
        <v>3.3679999999999999</v>
      </c>
      <c r="AN30" s="104">
        <v>0.156</v>
      </c>
      <c r="AO30" s="876">
        <v>3.4649999999999999</v>
      </c>
    </row>
    <row r="31" spans="1:41">
      <c r="A31" s="793">
        <v>31</v>
      </c>
      <c r="B31" s="875">
        <v>1.147</v>
      </c>
      <c r="C31" s="104">
        <v>1.274</v>
      </c>
      <c r="D31" s="875">
        <v>1.085</v>
      </c>
      <c r="E31" s="876">
        <v>1.345</v>
      </c>
      <c r="F31" s="104">
        <v>1.022</v>
      </c>
      <c r="G31" s="104">
        <v>1.425</v>
      </c>
      <c r="H31" s="875">
        <v>0.96</v>
      </c>
      <c r="I31" s="876">
        <v>1.5089999999999999</v>
      </c>
      <c r="J31" s="104">
        <v>0.89700000000000002</v>
      </c>
      <c r="K31" s="104">
        <v>1.601</v>
      </c>
      <c r="L31" s="875">
        <v>0.83399999999999996</v>
      </c>
      <c r="M31" s="876">
        <v>1.698</v>
      </c>
      <c r="N31" s="104">
        <v>0.77200000000000002</v>
      </c>
      <c r="O31" s="104">
        <v>1.8</v>
      </c>
      <c r="P31" s="875">
        <v>0.71</v>
      </c>
      <c r="Q31" s="104">
        <v>1.9059999999999999</v>
      </c>
      <c r="R31" s="875">
        <v>0.64900000000000002</v>
      </c>
      <c r="S31" s="876">
        <v>2.0169999999999999</v>
      </c>
      <c r="T31" s="104">
        <v>0.58899999999999997</v>
      </c>
      <c r="U31" s="104">
        <v>2.1309999999999998</v>
      </c>
      <c r="V31" s="875">
        <v>0.67400000000000004</v>
      </c>
      <c r="W31" s="876">
        <v>2.4430000000000001</v>
      </c>
      <c r="X31" s="104">
        <v>0.60799999999999998</v>
      </c>
      <c r="Y31" s="104">
        <v>2.5529999999999999</v>
      </c>
      <c r="Z31" s="875">
        <v>0.54500000000000004</v>
      </c>
      <c r="AA31" s="876">
        <v>2.665</v>
      </c>
      <c r="AB31" s="104">
        <v>0.48399999999999999</v>
      </c>
      <c r="AC31" s="104">
        <v>2.7759999999999998</v>
      </c>
      <c r="AD31" s="875">
        <v>0.42499999999999999</v>
      </c>
      <c r="AE31" s="876">
        <v>2.887</v>
      </c>
      <c r="AF31" s="104">
        <v>0.37</v>
      </c>
      <c r="AG31" s="104">
        <v>2.996</v>
      </c>
      <c r="AH31" s="875">
        <v>0.317</v>
      </c>
      <c r="AI31" s="876">
        <v>3.1030000000000002</v>
      </c>
      <c r="AJ31" s="104">
        <v>0.26900000000000002</v>
      </c>
      <c r="AK31" s="104">
        <v>3.2080000000000002</v>
      </c>
      <c r="AL31" s="875">
        <v>0.224</v>
      </c>
      <c r="AM31" s="876">
        <v>3.3090000000000002</v>
      </c>
      <c r="AN31" s="104">
        <v>0.183</v>
      </c>
      <c r="AO31" s="876">
        <v>3.4060000000000001</v>
      </c>
    </row>
    <row r="32" spans="1:41">
      <c r="A32" s="793">
        <v>32</v>
      </c>
      <c r="B32" s="875">
        <v>1.1599999999999999</v>
      </c>
      <c r="C32" s="104">
        <v>1.2829999999999999</v>
      </c>
      <c r="D32" s="875">
        <v>1.1000000000000001</v>
      </c>
      <c r="E32" s="876">
        <v>1.351</v>
      </c>
      <c r="F32" s="104">
        <v>1.0389999999999999</v>
      </c>
      <c r="G32" s="104">
        <v>1.4279999999999999</v>
      </c>
      <c r="H32" s="875">
        <v>0.97799999999999998</v>
      </c>
      <c r="I32" s="876">
        <v>1.5089999999999999</v>
      </c>
      <c r="J32" s="104">
        <v>0.91700000000000004</v>
      </c>
      <c r="K32" s="104">
        <v>1.597</v>
      </c>
      <c r="L32" s="875">
        <v>0.85599999999999998</v>
      </c>
      <c r="M32" s="876">
        <v>1.69</v>
      </c>
      <c r="N32" s="104">
        <v>0.79400000000000004</v>
      </c>
      <c r="O32" s="104">
        <v>1.788</v>
      </c>
      <c r="P32" s="875">
        <v>0.73399999999999999</v>
      </c>
      <c r="Q32" s="104">
        <v>1.889</v>
      </c>
      <c r="R32" s="875">
        <v>0.67400000000000004</v>
      </c>
      <c r="S32" s="876">
        <v>1.9950000000000001</v>
      </c>
      <c r="T32" s="104">
        <v>0.61499999999999999</v>
      </c>
      <c r="U32" s="104">
        <v>2.1040000000000001</v>
      </c>
      <c r="V32" s="875">
        <v>0.70299999999999996</v>
      </c>
      <c r="W32" s="876">
        <v>2.411</v>
      </c>
      <c r="X32" s="104">
        <v>0.63800000000000001</v>
      </c>
      <c r="Y32" s="104">
        <v>2.5169999999999999</v>
      </c>
      <c r="Z32" s="875">
        <v>0.57599999999999996</v>
      </c>
      <c r="AA32" s="876">
        <v>2.625</v>
      </c>
      <c r="AB32" s="104">
        <v>0.51500000000000001</v>
      </c>
      <c r="AC32" s="104">
        <v>2.7330000000000001</v>
      </c>
      <c r="AD32" s="875">
        <v>0.45700000000000002</v>
      </c>
      <c r="AE32" s="876">
        <v>2.84</v>
      </c>
      <c r="AF32" s="104">
        <v>0.40100000000000002</v>
      </c>
      <c r="AG32" s="104">
        <v>2.9460000000000002</v>
      </c>
      <c r="AH32" s="875">
        <v>0.34899999999999998</v>
      </c>
      <c r="AI32" s="876">
        <v>3.05</v>
      </c>
      <c r="AJ32" s="104">
        <v>0.29899999999999999</v>
      </c>
      <c r="AK32" s="104">
        <v>3.153</v>
      </c>
      <c r="AL32" s="875">
        <v>0.253</v>
      </c>
      <c r="AM32" s="876">
        <v>3.2519999999999998</v>
      </c>
      <c r="AN32" s="104">
        <v>0.21099999999999999</v>
      </c>
      <c r="AO32" s="876">
        <v>3.3479999999999999</v>
      </c>
    </row>
    <row r="33" spans="1:41">
      <c r="A33" s="793">
        <v>33</v>
      </c>
      <c r="B33" s="875">
        <v>1.171</v>
      </c>
      <c r="C33" s="104">
        <v>1.2909999999999999</v>
      </c>
      <c r="D33" s="875">
        <v>1.1140000000000001</v>
      </c>
      <c r="E33" s="876">
        <v>1.3580000000000001</v>
      </c>
      <c r="F33" s="104">
        <v>1.0549999999999999</v>
      </c>
      <c r="G33" s="104">
        <v>1.4319999999999999</v>
      </c>
      <c r="H33" s="875">
        <v>0.995</v>
      </c>
      <c r="I33" s="876">
        <v>1.51</v>
      </c>
      <c r="J33" s="104">
        <v>0.93500000000000005</v>
      </c>
      <c r="K33" s="104">
        <v>1.5940000000000001</v>
      </c>
      <c r="L33" s="875">
        <v>0.876</v>
      </c>
      <c r="M33" s="876">
        <v>1.6830000000000001</v>
      </c>
      <c r="N33" s="104">
        <v>0.81599999999999995</v>
      </c>
      <c r="O33" s="104">
        <v>1.776</v>
      </c>
      <c r="P33" s="875">
        <v>0.75700000000000001</v>
      </c>
      <c r="Q33" s="104">
        <v>1.8740000000000001</v>
      </c>
      <c r="R33" s="875">
        <v>0.69799999999999995</v>
      </c>
      <c r="S33" s="876">
        <v>1.9750000000000001</v>
      </c>
      <c r="T33" s="104">
        <v>0.64100000000000001</v>
      </c>
      <c r="U33" s="104">
        <v>2.08</v>
      </c>
      <c r="V33" s="875">
        <v>0.73099999999999998</v>
      </c>
      <c r="W33" s="876">
        <v>2.3820000000000001</v>
      </c>
      <c r="X33" s="104">
        <v>0.66800000000000004</v>
      </c>
      <c r="Y33" s="104">
        <v>2.484</v>
      </c>
      <c r="Z33" s="875">
        <v>0.60599999999999998</v>
      </c>
      <c r="AA33" s="876">
        <v>2.5880000000000001</v>
      </c>
      <c r="AB33" s="104">
        <v>0.54600000000000004</v>
      </c>
      <c r="AC33" s="104">
        <v>2.6920000000000002</v>
      </c>
      <c r="AD33" s="875">
        <v>0.48799999999999999</v>
      </c>
      <c r="AE33" s="876">
        <v>2.7959999999999998</v>
      </c>
      <c r="AF33" s="104">
        <v>0.432</v>
      </c>
      <c r="AG33" s="104">
        <v>2.899</v>
      </c>
      <c r="AH33" s="875">
        <v>0.379</v>
      </c>
      <c r="AI33" s="876">
        <v>3</v>
      </c>
      <c r="AJ33" s="104">
        <v>0.32900000000000001</v>
      </c>
      <c r="AK33" s="104">
        <v>3.1</v>
      </c>
      <c r="AL33" s="875">
        <v>0.28299999999999997</v>
      </c>
      <c r="AM33" s="876">
        <v>3.198</v>
      </c>
      <c r="AN33" s="104">
        <v>0.23899999999999999</v>
      </c>
      <c r="AO33" s="876">
        <v>3.2930000000000001</v>
      </c>
    </row>
    <row r="34" spans="1:41">
      <c r="A34" s="793">
        <v>34</v>
      </c>
      <c r="B34" s="875">
        <v>1.1839999999999999</v>
      </c>
      <c r="C34" s="104">
        <v>1.298</v>
      </c>
      <c r="D34" s="875">
        <v>1.1279999999999999</v>
      </c>
      <c r="E34" s="876">
        <v>1.3640000000000001</v>
      </c>
      <c r="F34" s="104">
        <v>1.07</v>
      </c>
      <c r="G34" s="104">
        <v>1.4359999999999999</v>
      </c>
      <c r="H34" s="875">
        <v>1.012</v>
      </c>
      <c r="I34" s="876">
        <v>1.5109999999999999</v>
      </c>
      <c r="J34" s="104">
        <v>0.95399999999999996</v>
      </c>
      <c r="K34" s="104">
        <v>1.591</v>
      </c>
      <c r="L34" s="875">
        <v>0.89600000000000002</v>
      </c>
      <c r="M34" s="876">
        <v>1.677</v>
      </c>
      <c r="N34" s="104">
        <v>0.83699999999999997</v>
      </c>
      <c r="O34" s="104">
        <v>1.766</v>
      </c>
      <c r="P34" s="875">
        <v>0.77900000000000003</v>
      </c>
      <c r="Q34" s="104">
        <v>1.86</v>
      </c>
      <c r="R34" s="875">
        <v>0.72199999999999998</v>
      </c>
      <c r="S34" s="876">
        <v>1.9570000000000001</v>
      </c>
      <c r="T34" s="104">
        <v>0.66500000000000004</v>
      </c>
      <c r="U34" s="104">
        <v>2.0569999999999999</v>
      </c>
      <c r="V34" s="875">
        <v>0.75800000000000001</v>
      </c>
      <c r="W34" s="876">
        <v>2.355</v>
      </c>
      <c r="X34" s="104">
        <v>0.69499999999999995</v>
      </c>
      <c r="Y34" s="104">
        <v>2.4540000000000002</v>
      </c>
      <c r="Z34" s="875">
        <v>0.63400000000000001</v>
      </c>
      <c r="AA34" s="876">
        <v>2.5539999999999998</v>
      </c>
      <c r="AB34" s="104">
        <v>0.57499999999999996</v>
      </c>
      <c r="AC34" s="104">
        <v>2.6539999999999999</v>
      </c>
      <c r="AD34" s="875">
        <v>0.51800000000000002</v>
      </c>
      <c r="AE34" s="876">
        <v>2.754</v>
      </c>
      <c r="AF34" s="104">
        <v>0.46200000000000002</v>
      </c>
      <c r="AG34" s="104">
        <v>2.8540000000000001</v>
      </c>
      <c r="AH34" s="875">
        <v>0.40899999999999997</v>
      </c>
      <c r="AI34" s="876">
        <v>2.9540000000000002</v>
      </c>
      <c r="AJ34" s="104">
        <v>0.35899999999999999</v>
      </c>
      <c r="AK34" s="104">
        <v>3.0510000000000002</v>
      </c>
      <c r="AL34" s="875">
        <v>0.312</v>
      </c>
      <c r="AM34" s="876">
        <v>3.1469999999999998</v>
      </c>
      <c r="AN34" s="104">
        <v>0.26700000000000002</v>
      </c>
      <c r="AO34" s="876">
        <v>3.24</v>
      </c>
    </row>
    <row r="35" spans="1:41">
      <c r="A35" s="793">
        <v>35</v>
      </c>
      <c r="B35" s="875">
        <v>1.1950000000000001</v>
      </c>
      <c r="C35" s="104">
        <v>1.3069999999999999</v>
      </c>
      <c r="D35" s="875">
        <v>1.141</v>
      </c>
      <c r="E35" s="876">
        <v>1.37</v>
      </c>
      <c r="F35" s="104">
        <v>1.085</v>
      </c>
      <c r="G35" s="104">
        <v>1.4390000000000001</v>
      </c>
      <c r="H35" s="875">
        <v>1.028</v>
      </c>
      <c r="I35" s="876">
        <v>1.512</v>
      </c>
      <c r="J35" s="104">
        <v>0.97099999999999997</v>
      </c>
      <c r="K35" s="104">
        <v>1.589</v>
      </c>
      <c r="L35" s="875">
        <v>0.91400000000000003</v>
      </c>
      <c r="M35" s="876">
        <v>1.671</v>
      </c>
      <c r="N35" s="104">
        <v>0.85699999999999998</v>
      </c>
      <c r="O35" s="104">
        <v>1.7569999999999999</v>
      </c>
      <c r="P35" s="875">
        <v>0.8</v>
      </c>
      <c r="Q35" s="104">
        <v>1.847</v>
      </c>
      <c r="R35" s="875">
        <v>0.74399999999999999</v>
      </c>
      <c r="S35" s="876">
        <v>1.94</v>
      </c>
      <c r="T35" s="104">
        <v>0.68899999999999995</v>
      </c>
      <c r="U35" s="104">
        <v>2.0369999999999999</v>
      </c>
      <c r="V35" s="875">
        <v>0.78300000000000003</v>
      </c>
      <c r="W35" s="876">
        <v>2.33</v>
      </c>
      <c r="X35" s="104">
        <v>0.72199999999999998</v>
      </c>
      <c r="Y35" s="104">
        <v>2.4249999999999998</v>
      </c>
      <c r="Z35" s="875">
        <v>0.66200000000000003</v>
      </c>
      <c r="AA35" s="876">
        <v>2.5209999999999999</v>
      </c>
      <c r="AB35" s="104">
        <v>0.60399999999999998</v>
      </c>
      <c r="AC35" s="104">
        <v>2.6190000000000002</v>
      </c>
      <c r="AD35" s="875">
        <v>0.54700000000000004</v>
      </c>
      <c r="AE35" s="876">
        <v>2.7160000000000002</v>
      </c>
      <c r="AF35" s="104">
        <v>0.49199999999999999</v>
      </c>
      <c r="AG35" s="104">
        <v>2.8130000000000002</v>
      </c>
      <c r="AH35" s="875">
        <v>0.439</v>
      </c>
      <c r="AI35" s="876">
        <v>2.91</v>
      </c>
      <c r="AJ35" s="104">
        <v>0.38800000000000001</v>
      </c>
      <c r="AK35" s="104">
        <v>3.0049999999999999</v>
      </c>
      <c r="AL35" s="875">
        <v>0.34</v>
      </c>
      <c r="AM35" s="876">
        <v>3.0990000000000002</v>
      </c>
      <c r="AN35" s="104">
        <v>0.29499999999999998</v>
      </c>
      <c r="AO35" s="876">
        <v>3.19</v>
      </c>
    </row>
    <row r="36" spans="1:41">
      <c r="A36" s="793">
        <v>36</v>
      </c>
      <c r="B36" s="875">
        <v>1.2050000000000001</v>
      </c>
      <c r="C36" s="104">
        <v>1.3149999999999999</v>
      </c>
      <c r="D36" s="875">
        <v>1.153</v>
      </c>
      <c r="E36" s="876">
        <v>1.3759999999999999</v>
      </c>
      <c r="F36" s="104">
        <v>1.0980000000000001</v>
      </c>
      <c r="G36" s="104">
        <v>1.4419999999999999</v>
      </c>
      <c r="H36" s="875">
        <v>1.0429999999999999</v>
      </c>
      <c r="I36" s="876">
        <v>1.5129999999999999</v>
      </c>
      <c r="J36" s="104">
        <v>0.98699999999999999</v>
      </c>
      <c r="K36" s="104">
        <v>1.587</v>
      </c>
      <c r="L36" s="875">
        <v>0.93200000000000005</v>
      </c>
      <c r="M36" s="876">
        <v>1.6659999999999999</v>
      </c>
      <c r="N36" s="104">
        <v>0.877</v>
      </c>
      <c r="O36" s="104">
        <v>1.7490000000000001</v>
      </c>
      <c r="P36" s="875">
        <v>0.82099999999999995</v>
      </c>
      <c r="Q36" s="104">
        <v>1.8360000000000001</v>
      </c>
      <c r="R36" s="875">
        <v>0.76600000000000001</v>
      </c>
      <c r="S36" s="876">
        <v>1.925</v>
      </c>
      <c r="T36" s="104">
        <v>0.71099999999999997</v>
      </c>
      <c r="U36" s="104">
        <v>2.0179999999999998</v>
      </c>
      <c r="V36" s="875">
        <v>0.80800000000000005</v>
      </c>
      <c r="W36" s="876">
        <v>2.306</v>
      </c>
      <c r="X36" s="104">
        <v>0.748</v>
      </c>
      <c r="Y36" s="104">
        <v>2.3980000000000001</v>
      </c>
      <c r="Z36" s="875">
        <v>0.68899999999999995</v>
      </c>
      <c r="AA36" s="876">
        <v>2.492</v>
      </c>
      <c r="AB36" s="104">
        <v>0.63100000000000001</v>
      </c>
      <c r="AC36" s="104">
        <v>2.5859999999999999</v>
      </c>
      <c r="AD36" s="875">
        <v>0.57499999999999996</v>
      </c>
      <c r="AE36" s="876">
        <v>2.68</v>
      </c>
      <c r="AF36" s="104">
        <v>0.52</v>
      </c>
      <c r="AG36" s="104">
        <v>2.774</v>
      </c>
      <c r="AH36" s="875">
        <v>0.46700000000000003</v>
      </c>
      <c r="AI36" s="876">
        <v>2.8679999999999999</v>
      </c>
      <c r="AJ36" s="104">
        <v>0.41699999999999998</v>
      </c>
      <c r="AK36" s="104">
        <v>2.9609999999999999</v>
      </c>
      <c r="AL36" s="875">
        <v>0.36899999999999999</v>
      </c>
      <c r="AM36" s="876">
        <v>3.0529999999999999</v>
      </c>
      <c r="AN36" s="104">
        <v>0.32300000000000001</v>
      </c>
      <c r="AO36" s="876">
        <v>3.1419999999999999</v>
      </c>
    </row>
    <row r="37" spans="1:41">
      <c r="A37" s="793">
        <v>37</v>
      </c>
      <c r="B37" s="875">
        <v>1.2170000000000001</v>
      </c>
      <c r="C37" s="104">
        <v>1.3220000000000001</v>
      </c>
      <c r="D37" s="875">
        <v>1.1639999999999999</v>
      </c>
      <c r="E37" s="876">
        <v>1.383</v>
      </c>
      <c r="F37" s="104">
        <v>1.1120000000000001</v>
      </c>
      <c r="G37" s="104">
        <v>1.446</v>
      </c>
      <c r="H37" s="875">
        <v>1.0580000000000001</v>
      </c>
      <c r="I37" s="876">
        <v>1.514</v>
      </c>
      <c r="J37" s="104">
        <v>1.004</v>
      </c>
      <c r="K37" s="104">
        <v>1.585</v>
      </c>
      <c r="L37" s="875">
        <v>0.95</v>
      </c>
      <c r="M37" s="876">
        <v>1.6619999999999999</v>
      </c>
      <c r="N37" s="104">
        <v>0.89500000000000002</v>
      </c>
      <c r="O37" s="104">
        <v>1.742</v>
      </c>
      <c r="P37" s="875">
        <v>0.84099999999999997</v>
      </c>
      <c r="Q37" s="104">
        <v>1.825</v>
      </c>
      <c r="R37" s="875">
        <v>0.78700000000000003</v>
      </c>
      <c r="S37" s="876">
        <v>1.911</v>
      </c>
      <c r="T37" s="104">
        <v>0.73299999999999998</v>
      </c>
      <c r="U37" s="104">
        <v>2.0009999999999999</v>
      </c>
      <c r="V37" s="875">
        <v>0.83099999999999996</v>
      </c>
      <c r="W37" s="876">
        <v>2.2850000000000001</v>
      </c>
      <c r="X37" s="104">
        <v>0.77200000000000002</v>
      </c>
      <c r="Y37" s="104">
        <v>2.3740000000000001</v>
      </c>
      <c r="Z37" s="875">
        <v>0.71399999999999997</v>
      </c>
      <c r="AA37" s="876">
        <v>2.464</v>
      </c>
      <c r="AB37" s="104">
        <v>0.65700000000000003</v>
      </c>
      <c r="AC37" s="104">
        <v>2.5550000000000002</v>
      </c>
      <c r="AD37" s="875">
        <v>0.60199999999999998</v>
      </c>
      <c r="AE37" s="876">
        <v>2.6459999999999999</v>
      </c>
      <c r="AF37" s="104">
        <v>0.54800000000000004</v>
      </c>
      <c r="AG37" s="104">
        <v>2.738</v>
      </c>
      <c r="AH37" s="875">
        <v>0.495</v>
      </c>
      <c r="AI37" s="876">
        <v>2.8290000000000002</v>
      </c>
      <c r="AJ37" s="104">
        <v>0.44500000000000001</v>
      </c>
      <c r="AK37" s="104">
        <v>2.92</v>
      </c>
      <c r="AL37" s="875">
        <v>0.39700000000000002</v>
      </c>
      <c r="AM37" s="876">
        <v>3.0089999999999999</v>
      </c>
      <c r="AN37" s="104">
        <v>0.35099999999999998</v>
      </c>
      <c r="AO37" s="876">
        <v>3.097</v>
      </c>
    </row>
    <row r="38" spans="1:41">
      <c r="A38" s="793">
        <v>38</v>
      </c>
      <c r="B38" s="875">
        <v>1.2270000000000001</v>
      </c>
      <c r="C38" s="104">
        <v>1.33</v>
      </c>
      <c r="D38" s="875">
        <v>1.1759999999999999</v>
      </c>
      <c r="E38" s="876">
        <v>1.3879999999999999</v>
      </c>
      <c r="F38" s="104">
        <v>1.1240000000000001</v>
      </c>
      <c r="G38" s="104">
        <v>1.4490000000000001</v>
      </c>
      <c r="H38" s="875">
        <v>1.0720000000000001</v>
      </c>
      <c r="I38" s="876">
        <v>1.5149999999999999</v>
      </c>
      <c r="J38" s="104">
        <v>1.0189999999999999</v>
      </c>
      <c r="K38" s="104">
        <v>1.5840000000000001</v>
      </c>
      <c r="L38" s="875">
        <v>0.96599999999999997</v>
      </c>
      <c r="M38" s="876">
        <v>1.6579999999999999</v>
      </c>
      <c r="N38" s="104">
        <v>0.91300000000000003</v>
      </c>
      <c r="O38" s="104">
        <v>1.7350000000000001</v>
      </c>
      <c r="P38" s="875">
        <v>0.86</v>
      </c>
      <c r="Q38" s="104">
        <v>1.8160000000000001</v>
      </c>
      <c r="R38" s="875">
        <v>0.80700000000000005</v>
      </c>
      <c r="S38" s="876">
        <v>1.899</v>
      </c>
      <c r="T38" s="104">
        <v>0.754</v>
      </c>
      <c r="U38" s="104">
        <v>1.9850000000000001</v>
      </c>
      <c r="V38" s="875">
        <v>0.85399999999999998</v>
      </c>
      <c r="W38" s="876">
        <v>2.2650000000000001</v>
      </c>
      <c r="X38" s="104">
        <v>0.79600000000000004</v>
      </c>
      <c r="Y38" s="104">
        <v>2.351</v>
      </c>
      <c r="Z38" s="875">
        <v>0.73899999999999999</v>
      </c>
      <c r="AA38" s="876">
        <v>2.4380000000000002</v>
      </c>
      <c r="AB38" s="104">
        <v>0.68300000000000005</v>
      </c>
      <c r="AC38" s="104">
        <v>2.5259999999999998</v>
      </c>
      <c r="AD38" s="875">
        <v>0.628</v>
      </c>
      <c r="AE38" s="876">
        <v>2.6139999999999999</v>
      </c>
      <c r="AF38" s="104">
        <v>0.57499999999999996</v>
      </c>
      <c r="AG38" s="104">
        <v>2.7029999999999998</v>
      </c>
      <c r="AH38" s="875">
        <v>0.52200000000000002</v>
      </c>
      <c r="AI38" s="876">
        <v>2.7919999999999998</v>
      </c>
      <c r="AJ38" s="104">
        <v>0.47199999999999998</v>
      </c>
      <c r="AK38" s="104">
        <v>2.88</v>
      </c>
      <c r="AL38" s="875">
        <v>0.42399999999999999</v>
      </c>
      <c r="AM38" s="876">
        <v>2.968</v>
      </c>
      <c r="AN38" s="104">
        <v>0.378</v>
      </c>
      <c r="AO38" s="876">
        <v>3.0539999999999998</v>
      </c>
    </row>
    <row r="39" spans="1:41">
      <c r="A39" s="793">
        <v>39</v>
      </c>
      <c r="B39" s="875">
        <v>1.2370000000000001</v>
      </c>
      <c r="C39" s="104">
        <v>1.337</v>
      </c>
      <c r="D39" s="875">
        <v>1.1870000000000001</v>
      </c>
      <c r="E39" s="876">
        <v>1.3919999999999999</v>
      </c>
      <c r="F39" s="104">
        <v>1.137</v>
      </c>
      <c r="G39" s="104">
        <v>1.452</v>
      </c>
      <c r="H39" s="875">
        <v>1.085</v>
      </c>
      <c r="I39" s="876">
        <v>1.5169999999999999</v>
      </c>
      <c r="J39" s="104">
        <v>1.0329999999999999</v>
      </c>
      <c r="K39" s="104">
        <v>1.583</v>
      </c>
      <c r="L39" s="875">
        <v>0.98199999999999998</v>
      </c>
      <c r="M39" s="876">
        <v>1.655</v>
      </c>
      <c r="N39" s="104">
        <v>0.93</v>
      </c>
      <c r="O39" s="104">
        <v>1.7290000000000001</v>
      </c>
      <c r="P39" s="875">
        <v>0.878</v>
      </c>
      <c r="Q39" s="104">
        <v>1.8069999999999999</v>
      </c>
      <c r="R39" s="875">
        <v>0.82599999999999996</v>
      </c>
      <c r="S39" s="876">
        <v>1.887</v>
      </c>
      <c r="T39" s="104">
        <v>0.77400000000000002</v>
      </c>
      <c r="U39" s="104">
        <v>1.97</v>
      </c>
      <c r="V39" s="875">
        <v>0.875</v>
      </c>
      <c r="W39" s="876">
        <v>2.246</v>
      </c>
      <c r="X39" s="104">
        <v>0.81899999999999995</v>
      </c>
      <c r="Y39" s="104">
        <v>2.3290000000000002</v>
      </c>
      <c r="Z39" s="875">
        <v>0.76300000000000001</v>
      </c>
      <c r="AA39" s="876">
        <v>2.4129999999999998</v>
      </c>
      <c r="AB39" s="104">
        <v>0.70699999999999996</v>
      </c>
      <c r="AC39" s="104">
        <v>2.4990000000000001</v>
      </c>
      <c r="AD39" s="875">
        <v>0.65300000000000002</v>
      </c>
      <c r="AE39" s="876">
        <v>2.585</v>
      </c>
      <c r="AF39" s="104">
        <v>0.6</v>
      </c>
      <c r="AG39" s="104">
        <v>2.6709999999999998</v>
      </c>
      <c r="AH39" s="875">
        <v>0.54900000000000004</v>
      </c>
      <c r="AI39" s="876">
        <v>2.7570000000000001</v>
      </c>
      <c r="AJ39" s="104">
        <v>0.499</v>
      </c>
      <c r="AK39" s="104">
        <v>2.843</v>
      </c>
      <c r="AL39" s="875">
        <v>0.45100000000000001</v>
      </c>
      <c r="AM39" s="876">
        <v>2.9289999999999998</v>
      </c>
      <c r="AN39" s="104">
        <v>0.40400000000000003</v>
      </c>
      <c r="AO39" s="876">
        <v>3.0129999999999999</v>
      </c>
    </row>
    <row r="40" spans="1:41">
      <c r="A40" s="793">
        <v>40</v>
      </c>
      <c r="B40" s="875">
        <v>1.246</v>
      </c>
      <c r="C40" s="104">
        <v>1.3440000000000001</v>
      </c>
      <c r="D40" s="875">
        <v>1.1970000000000001</v>
      </c>
      <c r="E40" s="876">
        <v>1.3979999999999999</v>
      </c>
      <c r="F40" s="104">
        <v>1.149</v>
      </c>
      <c r="G40" s="104">
        <v>1.456</v>
      </c>
      <c r="H40" s="875">
        <v>1.0980000000000001</v>
      </c>
      <c r="I40" s="876">
        <v>1.518</v>
      </c>
      <c r="J40" s="104">
        <v>1.0469999999999999</v>
      </c>
      <c r="K40" s="104">
        <v>1.583</v>
      </c>
      <c r="L40" s="875">
        <v>0.997</v>
      </c>
      <c r="M40" s="876">
        <v>1.6519999999999999</v>
      </c>
      <c r="N40" s="104">
        <v>0.94599999999999995</v>
      </c>
      <c r="O40" s="104">
        <v>1.724</v>
      </c>
      <c r="P40" s="875">
        <v>0.89500000000000002</v>
      </c>
      <c r="Q40" s="104">
        <v>1.7989999999999999</v>
      </c>
      <c r="R40" s="875">
        <v>0.84399999999999997</v>
      </c>
      <c r="S40" s="876">
        <v>1.8759999999999999</v>
      </c>
      <c r="T40" s="104">
        <v>0.749</v>
      </c>
      <c r="U40" s="104">
        <v>1.956</v>
      </c>
      <c r="V40" s="875">
        <v>0.89600000000000002</v>
      </c>
      <c r="W40" s="876">
        <v>2.2280000000000002</v>
      </c>
      <c r="X40" s="104">
        <v>0.84</v>
      </c>
      <c r="Y40" s="104">
        <v>2.3090000000000002</v>
      </c>
      <c r="Z40" s="875">
        <v>0.78500000000000003</v>
      </c>
      <c r="AA40" s="876">
        <v>2.391</v>
      </c>
      <c r="AB40" s="104">
        <v>0.73099999999999998</v>
      </c>
      <c r="AC40" s="104">
        <v>2.4729999999999999</v>
      </c>
      <c r="AD40" s="875">
        <v>0.67800000000000005</v>
      </c>
      <c r="AE40" s="876">
        <v>2.5569999999999999</v>
      </c>
      <c r="AF40" s="104">
        <v>0.626</v>
      </c>
      <c r="AG40" s="104">
        <v>2.641</v>
      </c>
      <c r="AH40" s="875">
        <v>0.57499999999999996</v>
      </c>
      <c r="AI40" s="876">
        <v>2.7240000000000002</v>
      </c>
      <c r="AJ40" s="104">
        <v>0.52500000000000002</v>
      </c>
      <c r="AK40" s="104">
        <v>2.8079999999999998</v>
      </c>
      <c r="AL40" s="875">
        <v>0.47699999999999998</v>
      </c>
      <c r="AM40" s="876">
        <v>2.8290000000000002</v>
      </c>
      <c r="AN40" s="104">
        <v>0.43</v>
      </c>
      <c r="AO40" s="876">
        <v>2.9740000000000002</v>
      </c>
    </row>
    <row r="41" spans="1:41">
      <c r="A41" s="793">
        <v>45</v>
      </c>
      <c r="B41" s="875">
        <v>1.288</v>
      </c>
      <c r="C41" s="104">
        <v>1.3759999999999999</v>
      </c>
      <c r="D41" s="875">
        <v>1.2450000000000001</v>
      </c>
      <c r="E41" s="876">
        <v>1.4239999999999999</v>
      </c>
      <c r="F41" s="104">
        <v>1.2010000000000001</v>
      </c>
      <c r="G41" s="104">
        <v>1.474</v>
      </c>
      <c r="H41" s="875">
        <v>1.1559999999999999</v>
      </c>
      <c r="I41" s="876">
        <v>1.528</v>
      </c>
      <c r="J41" s="104">
        <v>1.111</v>
      </c>
      <c r="K41" s="104">
        <v>1.583</v>
      </c>
      <c r="L41" s="875">
        <v>1.0649999999999999</v>
      </c>
      <c r="M41" s="876">
        <v>1.643</v>
      </c>
      <c r="N41" s="104">
        <v>1.0189999999999999</v>
      </c>
      <c r="O41" s="104">
        <v>1.704</v>
      </c>
      <c r="P41" s="875">
        <v>0.97399999999999998</v>
      </c>
      <c r="Q41" s="104">
        <v>1.768</v>
      </c>
      <c r="R41" s="875">
        <v>0.92700000000000005</v>
      </c>
      <c r="S41" s="876">
        <v>1.8340000000000001</v>
      </c>
      <c r="T41" s="104">
        <v>0.88100000000000001</v>
      </c>
      <c r="U41" s="104">
        <v>1.9019999999999999</v>
      </c>
      <c r="V41" s="875">
        <v>0.98799999999999999</v>
      </c>
      <c r="W41" s="876">
        <v>2.1560000000000001</v>
      </c>
      <c r="X41" s="104">
        <v>0.93799999999999994</v>
      </c>
      <c r="Y41" s="104">
        <v>2.2250000000000001</v>
      </c>
      <c r="Z41" s="875">
        <v>0.88700000000000001</v>
      </c>
      <c r="AA41" s="876">
        <v>2.2959999999999998</v>
      </c>
      <c r="AB41" s="104">
        <v>0.83799999999999997</v>
      </c>
      <c r="AC41" s="104">
        <v>2.367</v>
      </c>
      <c r="AD41" s="875">
        <v>0.78800000000000003</v>
      </c>
      <c r="AE41" s="876">
        <v>2.4390000000000001</v>
      </c>
      <c r="AF41" s="104">
        <v>0.74</v>
      </c>
      <c r="AG41" s="104">
        <v>2.512</v>
      </c>
      <c r="AH41" s="875">
        <v>0.69199999999999995</v>
      </c>
      <c r="AI41" s="876">
        <v>2.5859999999999999</v>
      </c>
      <c r="AJ41" s="104">
        <v>0.64400000000000002</v>
      </c>
      <c r="AK41" s="104">
        <v>2.6589999999999998</v>
      </c>
      <c r="AL41" s="875">
        <v>0.59799999999999998</v>
      </c>
      <c r="AM41" s="876">
        <v>2.7330000000000001</v>
      </c>
      <c r="AN41" s="104">
        <v>0.55300000000000005</v>
      </c>
      <c r="AO41" s="876">
        <v>2.8069999999999999</v>
      </c>
    </row>
    <row r="42" spans="1:41">
      <c r="A42" s="793">
        <v>50</v>
      </c>
      <c r="B42" s="875">
        <v>1.3240000000000001</v>
      </c>
      <c r="C42" s="104">
        <v>1.403</v>
      </c>
      <c r="D42" s="875">
        <v>1.2849999999999999</v>
      </c>
      <c r="E42" s="876">
        <v>1.4450000000000001</v>
      </c>
      <c r="F42" s="104">
        <v>1.2450000000000001</v>
      </c>
      <c r="G42" s="104">
        <v>1.4910000000000001</v>
      </c>
      <c r="H42" s="875">
        <v>1.206</v>
      </c>
      <c r="I42" s="876">
        <v>1.5369999999999999</v>
      </c>
      <c r="J42" s="104">
        <v>1.1639999999999999</v>
      </c>
      <c r="K42" s="104">
        <v>1.587</v>
      </c>
      <c r="L42" s="875">
        <v>1.123</v>
      </c>
      <c r="M42" s="876">
        <v>1.639</v>
      </c>
      <c r="N42" s="104">
        <v>1.081</v>
      </c>
      <c r="O42" s="104">
        <v>1.6919999999999999</v>
      </c>
      <c r="P42" s="875">
        <v>1.0389999999999999</v>
      </c>
      <c r="Q42" s="104">
        <v>1.748</v>
      </c>
      <c r="R42" s="875">
        <v>0.997</v>
      </c>
      <c r="S42" s="876">
        <v>1.8049999999999999</v>
      </c>
      <c r="T42" s="104">
        <v>0.95499999999999996</v>
      </c>
      <c r="U42" s="104">
        <v>1.8640000000000001</v>
      </c>
      <c r="V42" s="875">
        <v>1.0640000000000001</v>
      </c>
      <c r="W42" s="876">
        <v>2.1030000000000002</v>
      </c>
      <c r="X42" s="104">
        <v>1.0189999999999999</v>
      </c>
      <c r="Y42" s="104">
        <v>2.1629999999999998</v>
      </c>
      <c r="Z42" s="875">
        <v>0.97299999999999998</v>
      </c>
      <c r="AA42" s="876">
        <v>2.2250000000000001</v>
      </c>
      <c r="AB42" s="104">
        <v>0.92700000000000005</v>
      </c>
      <c r="AC42" s="104">
        <v>2.2869999999999999</v>
      </c>
      <c r="AD42" s="875">
        <v>0.88200000000000001</v>
      </c>
      <c r="AE42" s="876">
        <v>2.35</v>
      </c>
      <c r="AF42" s="104">
        <v>0.83599999999999997</v>
      </c>
      <c r="AG42" s="104">
        <v>2.4140000000000001</v>
      </c>
      <c r="AH42" s="875">
        <v>0.79200000000000004</v>
      </c>
      <c r="AI42" s="876">
        <v>2.4790000000000001</v>
      </c>
      <c r="AJ42" s="104">
        <v>0.747</v>
      </c>
      <c r="AK42" s="104">
        <v>2.544</v>
      </c>
      <c r="AL42" s="875">
        <v>0.70299999999999996</v>
      </c>
      <c r="AM42" s="876">
        <v>2.61</v>
      </c>
      <c r="AN42" s="104">
        <v>0.66</v>
      </c>
      <c r="AO42" s="876">
        <v>2.6749999999999998</v>
      </c>
    </row>
    <row r="43" spans="1:41">
      <c r="A43" s="793">
        <v>55</v>
      </c>
      <c r="B43" s="875">
        <v>1.3560000000000001</v>
      </c>
      <c r="C43" s="104">
        <v>1.4279999999999999</v>
      </c>
      <c r="D43" s="875">
        <v>1.32</v>
      </c>
      <c r="E43" s="876">
        <v>1.466</v>
      </c>
      <c r="F43" s="104">
        <v>1.284</v>
      </c>
      <c r="G43" s="104">
        <v>1.5049999999999999</v>
      </c>
      <c r="H43" s="875">
        <v>1.246</v>
      </c>
      <c r="I43" s="876">
        <v>1.548</v>
      </c>
      <c r="J43" s="104">
        <v>1.2090000000000001</v>
      </c>
      <c r="K43" s="104">
        <v>1.5920000000000001</v>
      </c>
      <c r="L43" s="875">
        <v>1.1719999999999999</v>
      </c>
      <c r="M43" s="876">
        <v>1.6379999999999999</v>
      </c>
      <c r="N43" s="104">
        <v>1.1339999999999999</v>
      </c>
      <c r="O43" s="104">
        <v>1.6850000000000001</v>
      </c>
      <c r="P43" s="875">
        <v>1.095</v>
      </c>
      <c r="Q43" s="104">
        <v>1.734</v>
      </c>
      <c r="R43" s="875">
        <v>1.0569999999999999</v>
      </c>
      <c r="S43" s="876">
        <v>1.7849999999999999</v>
      </c>
      <c r="T43" s="104">
        <v>1.018</v>
      </c>
      <c r="U43" s="104">
        <v>1.837</v>
      </c>
      <c r="V43" s="875">
        <v>1.129</v>
      </c>
      <c r="W43" s="876">
        <v>2.0619999999999998</v>
      </c>
      <c r="X43" s="104">
        <v>1.087</v>
      </c>
      <c r="Y43" s="104">
        <v>2.1160000000000001</v>
      </c>
      <c r="Z43" s="875">
        <v>1.0449999999999999</v>
      </c>
      <c r="AA43" s="876">
        <v>2.17</v>
      </c>
      <c r="AB43" s="104">
        <v>1.0029999999999999</v>
      </c>
      <c r="AC43" s="104">
        <v>2.2250000000000001</v>
      </c>
      <c r="AD43" s="875">
        <v>0.96099999999999997</v>
      </c>
      <c r="AE43" s="876">
        <v>2.2810000000000001</v>
      </c>
      <c r="AF43" s="104">
        <v>0.91900000000000004</v>
      </c>
      <c r="AG43" s="104">
        <v>2.3380000000000001</v>
      </c>
      <c r="AH43" s="875">
        <v>0.877</v>
      </c>
      <c r="AI43" s="876">
        <v>2.3959999999999999</v>
      </c>
      <c r="AJ43" s="104">
        <v>0.83599999999999997</v>
      </c>
      <c r="AK43" s="104">
        <v>2.4540000000000002</v>
      </c>
      <c r="AL43" s="875">
        <v>0.79500000000000004</v>
      </c>
      <c r="AM43" s="876">
        <v>2.512</v>
      </c>
      <c r="AN43" s="104">
        <v>0.754</v>
      </c>
      <c r="AO43" s="876">
        <v>2.5710000000000002</v>
      </c>
    </row>
    <row r="44" spans="1:41">
      <c r="A44" s="793">
        <v>60</v>
      </c>
      <c r="B44" s="875">
        <v>1.3819999999999999</v>
      </c>
      <c r="C44" s="104">
        <v>1.4490000000000001</v>
      </c>
      <c r="D44" s="875">
        <v>1.351</v>
      </c>
      <c r="E44" s="876">
        <v>1.484</v>
      </c>
      <c r="F44" s="104">
        <v>1.3169999999999999</v>
      </c>
      <c r="G44" s="104">
        <v>1.52</v>
      </c>
      <c r="H44" s="875">
        <v>1.2829999999999999</v>
      </c>
      <c r="I44" s="876">
        <v>1.5589999999999999</v>
      </c>
      <c r="J44" s="104">
        <v>1.248</v>
      </c>
      <c r="K44" s="104">
        <v>1.5980000000000001</v>
      </c>
      <c r="L44" s="875">
        <v>1.214</v>
      </c>
      <c r="M44" s="876">
        <v>1.639</v>
      </c>
      <c r="N44" s="104">
        <v>1.179</v>
      </c>
      <c r="O44" s="104">
        <v>1.6819999999999999</v>
      </c>
      <c r="P44" s="875">
        <v>1.1439999999999999</v>
      </c>
      <c r="Q44" s="104">
        <v>1.726</v>
      </c>
      <c r="R44" s="875">
        <v>1.1080000000000001</v>
      </c>
      <c r="S44" s="876">
        <v>1.7709999999999999</v>
      </c>
      <c r="T44" s="104">
        <v>1.0720000000000001</v>
      </c>
      <c r="U44" s="104">
        <v>1.8169999999999999</v>
      </c>
      <c r="V44" s="875">
        <v>1.1839999999999999</v>
      </c>
      <c r="W44" s="876">
        <v>2.0310000000000001</v>
      </c>
      <c r="X44" s="104">
        <v>1.145</v>
      </c>
      <c r="Y44" s="104">
        <v>2.0790000000000002</v>
      </c>
      <c r="Z44" s="875">
        <v>1.1060000000000001</v>
      </c>
      <c r="AA44" s="876">
        <v>2.1269999999999998</v>
      </c>
      <c r="AB44" s="104">
        <v>1.0680000000000001</v>
      </c>
      <c r="AC44" s="104">
        <v>2.177</v>
      </c>
      <c r="AD44" s="875">
        <v>1.0289999999999999</v>
      </c>
      <c r="AE44" s="876">
        <v>2.2269999999999999</v>
      </c>
      <c r="AF44" s="104">
        <v>0.99</v>
      </c>
      <c r="AG44" s="104">
        <v>2.278</v>
      </c>
      <c r="AH44" s="875">
        <v>0.95099999999999996</v>
      </c>
      <c r="AI44" s="876">
        <v>2.33</v>
      </c>
      <c r="AJ44" s="104">
        <v>0.91300000000000003</v>
      </c>
      <c r="AK44" s="104">
        <v>2.3820000000000001</v>
      </c>
      <c r="AL44" s="875">
        <v>0.874</v>
      </c>
      <c r="AM44" s="876">
        <v>2.4340000000000002</v>
      </c>
      <c r="AN44" s="104">
        <v>0.83599999999999997</v>
      </c>
      <c r="AO44" s="876">
        <v>2.4870000000000001</v>
      </c>
    </row>
    <row r="45" spans="1:41">
      <c r="A45" s="793">
        <v>65</v>
      </c>
      <c r="B45" s="875">
        <v>1.407</v>
      </c>
      <c r="C45" s="104">
        <v>1.4670000000000001</v>
      </c>
      <c r="D45" s="875">
        <v>1.377</v>
      </c>
      <c r="E45" s="876">
        <v>1.5</v>
      </c>
      <c r="F45" s="104">
        <v>1.3460000000000001</v>
      </c>
      <c r="G45" s="104">
        <v>1.534</v>
      </c>
      <c r="H45" s="875">
        <v>1.3140000000000001</v>
      </c>
      <c r="I45" s="876">
        <v>1.5680000000000001</v>
      </c>
      <c r="J45" s="104">
        <v>1.2829999999999999</v>
      </c>
      <c r="K45" s="104">
        <v>1.6040000000000001</v>
      </c>
      <c r="L45" s="875">
        <v>1.2509999999999999</v>
      </c>
      <c r="M45" s="876">
        <v>1.6419999999999999</v>
      </c>
      <c r="N45" s="104">
        <v>1.218</v>
      </c>
      <c r="O45" s="104">
        <v>1.68</v>
      </c>
      <c r="P45" s="875">
        <v>1.1859999999999999</v>
      </c>
      <c r="Q45" s="104">
        <v>1.72</v>
      </c>
      <c r="R45" s="875">
        <v>1.153</v>
      </c>
      <c r="S45" s="876">
        <v>1.7609999999999999</v>
      </c>
      <c r="T45" s="104">
        <v>1.1200000000000001</v>
      </c>
      <c r="U45" s="104">
        <v>1.802</v>
      </c>
      <c r="V45" s="875">
        <v>1.2310000000000001</v>
      </c>
      <c r="W45" s="876">
        <v>2.0059999999999998</v>
      </c>
      <c r="X45" s="104">
        <v>1.1950000000000001</v>
      </c>
      <c r="Y45" s="104">
        <v>2.0489999999999999</v>
      </c>
      <c r="Z45" s="875">
        <v>1.1599999999999999</v>
      </c>
      <c r="AA45" s="876">
        <v>2.093</v>
      </c>
      <c r="AB45" s="104">
        <v>1.1240000000000001</v>
      </c>
      <c r="AC45" s="104">
        <v>2.1379999999999999</v>
      </c>
      <c r="AD45" s="875">
        <v>1.0880000000000001</v>
      </c>
      <c r="AE45" s="876">
        <v>2.1829999999999998</v>
      </c>
      <c r="AF45" s="104">
        <v>1.052</v>
      </c>
      <c r="AG45" s="104">
        <v>2.2290000000000001</v>
      </c>
      <c r="AH45" s="875">
        <v>1.016</v>
      </c>
      <c r="AI45" s="876">
        <v>2.2759999999999998</v>
      </c>
      <c r="AJ45" s="104">
        <v>0.98</v>
      </c>
      <c r="AK45" s="104">
        <v>2.323</v>
      </c>
      <c r="AL45" s="875">
        <v>0.94399999999999995</v>
      </c>
      <c r="AM45" s="876">
        <v>2.371</v>
      </c>
      <c r="AN45" s="104">
        <v>0.90800000000000003</v>
      </c>
      <c r="AO45" s="876">
        <v>2.419</v>
      </c>
    </row>
    <row r="46" spans="1:41">
      <c r="A46" s="793">
        <v>70</v>
      </c>
      <c r="B46" s="875">
        <v>1.429</v>
      </c>
      <c r="C46" s="104">
        <v>1.4850000000000001</v>
      </c>
      <c r="D46" s="875">
        <v>1.4</v>
      </c>
      <c r="E46" s="876">
        <v>1.514</v>
      </c>
      <c r="F46" s="104">
        <v>1.3720000000000001</v>
      </c>
      <c r="G46" s="104">
        <v>1.546</v>
      </c>
      <c r="H46" s="875">
        <v>1.343</v>
      </c>
      <c r="I46" s="876">
        <v>1.577</v>
      </c>
      <c r="J46" s="104">
        <v>1.3129999999999999</v>
      </c>
      <c r="K46" s="104">
        <v>1.611</v>
      </c>
      <c r="L46" s="875">
        <v>1.2829999999999999</v>
      </c>
      <c r="M46" s="876">
        <v>1.645</v>
      </c>
      <c r="N46" s="104">
        <v>1.2529999999999999</v>
      </c>
      <c r="O46" s="104">
        <v>1.68</v>
      </c>
      <c r="P46" s="875">
        <v>1.2230000000000001</v>
      </c>
      <c r="Q46" s="104">
        <v>1.716</v>
      </c>
      <c r="R46" s="875">
        <v>1.1919999999999999</v>
      </c>
      <c r="S46" s="876">
        <v>1.754</v>
      </c>
      <c r="T46" s="104">
        <v>1.1619999999999999</v>
      </c>
      <c r="U46" s="104">
        <v>1.792</v>
      </c>
      <c r="V46" s="875">
        <v>1.272</v>
      </c>
      <c r="W46" s="876">
        <v>1.9870000000000001</v>
      </c>
      <c r="X46" s="104">
        <v>1.2390000000000001</v>
      </c>
      <c r="Y46" s="104">
        <v>2.0259999999999998</v>
      </c>
      <c r="Z46" s="875">
        <v>1.206</v>
      </c>
      <c r="AA46" s="876">
        <v>2.0659999999999998</v>
      </c>
      <c r="AB46" s="104">
        <v>1.1719999999999999</v>
      </c>
      <c r="AC46" s="104">
        <v>2.1059999999999999</v>
      </c>
      <c r="AD46" s="875">
        <v>1.139</v>
      </c>
      <c r="AE46" s="876">
        <v>2.1480000000000001</v>
      </c>
      <c r="AF46" s="104">
        <v>1.105</v>
      </c>
      <c r="AG46" s="104">
        <v>2.1890000000000001</v>
      </c>
      <c r="AH46" s="875">
        <v>1.0720000000000001</v>
      </c>
      <c r="AI46" s="876">
        <v>2.2320000000000002</v>
      </c>
      <c r="AJ46" s="104">
        <v>1.038</v>
      </c>
      <c r="AK46" s="104">
        <v>2.2749999999999999</v>
      </c>
      <c r="AL46" s="875">
        <v>1.0049999999999999</v>
      </c>
      <c r="AM46" s="876">
        <v>2.3180000000000001</v>
      </c>
      <c r="AN46" s="104">
        <v>0.97099999999999997</v>
      </c>
      <c r="AO46" s="876">
        <v>2.3620000000000001</v>
      </c>
    </row>
    <row r="47" spans="1:41">
      <c r="A47" s="793">
        <v>75</v>
      </c>
      <c r="B47" s="875">
        <v>1.448</v>
      </c>
      <c r="C47" s="104">
        <v>1.5009999999999999</v>
      </c>
      <c r="D47" s="875">
        <v>1.4219999999999999</v>
      </c>
      <c r="E47" s="876">
        <v>1.5289999999999999</v>
      </c>
      <c r="F47" s="104">
        <v>1.395</v>
      </c>
      <c r="G47" s="104">
        <v>1.5569999999999999</v>
      </c>
      <c r="H47" s="875">
        <v>1.3680000000000001</v>
      </c>
      <c r="I47" s="876">
        <v>1.5860000000000001</v>
      </c>
      <c r="J47" s="104">
        <v>1.34</v>
      </c>
      <c r="K47" s="104">
        <v>1.617</v>
      </c>
      <c r="L47" s="875">
        <v>1.3129999999999999</v>
      </c>
      <c r="M47" s="876">
        <v>1.649</v>
      </c>
      <c r="N47" s="104">
        <v>1.284</v>
      </c>
      <c r="O47" s="104">
        <v>1.6819999999999999</v>
      </c>
      <c r="P47" s="875">
        <v>1.256</v>
      </c>
      <c r="Q47" s="104">
        <v>1.714</v>
      </c>
      <c r="R47" s="875">
        <v>1.2270000000000001</v>
      </c>
      <c r="S47" s="876">
        <v>1.748</v>
      </c>
      <c r="T47" s="104">
        <v>1.1990000000000001</v>
      </c>
      <c r="U47" s="104">
        <v>1.7829999999999999</v>
      </c>
      <c r="V47" s="875">
        <v>1.3080000000000001</v>
      </c>
      <c r="W47" s="876">
        <v>1.97</v>
      </c>
      <c r="X47" s="104">
        <v>1.2769999999999999</v>
      </c>
      <c r="Y47" s="104">
        <v>2.0059999999999998</v>
      </c>
      <c r="Z47" s="875">
        <v>1.2470000000000001</v>
      </c>
      <c r="AA47" s="876">
        <v>2.0430000000000001</v>
      </c>
      <c r="AB47" s="104">
        <v>1.2150000000000001</v>
      </c>
      <c r="AC47" s="104">
        <v>2.08</v>
      </c>
      <c r="AD47" s="875">
        <v>1.1839999999999999</v>
      </c>
      <c r="AE47" s="876">
        <v>2.1179999999999999</v>
      </c>
      <c r="AF47" s="104">
        <v>1.153</v>
      </c>
      <c r="AG47" s="104">
        <v>2.1560000000000001</v>
      </c>
      <c r="AH47" s="875">
        <v>1.121</v>
      </c>
      <c r="AI47" s="876">
        <v>2.1949999999999998</v>
      </c>
      <c r="AJ47" s="104">
        <v>1.0900000000000001</v>
      </c>
      <c r="AK47" s="104">
        <v>2.2349999999999999</v>
      </c>
      <c r="AL47" s="875">
        <v>1.0580000000000001</v>
      </c>
      <c r="AM47" s="876">
        <v>2.2749999999999999</v>
      </c>
      <c r="AN47" s="104">
        <v>1.0269999999999999</v>
      </c>
      <c r="AO47" s="876">
        <v>2.3149999999999999</v>
      </c>
    </row>
    <row r="48" spans="1:41">
      <c r="A48" s="793">
        <v>80</v>
      </c>
      <c r="B48" s="875">
        <v>1.4650000000000001</v>
      </c>
      <c r="C48" s="104">
        <v>1.514</v>
      </c>
      <c r="D48" s="875">
        <v>1.44</v>
      </c>
      <c r="E48" s="876">
        <v>1.5409999999999999</v>
      </c>
      <c r="F48" s="104">
        <v>1.4159999999999999</v>
      </c>
      <c r="G48" s="104">
        <v>1.5680000000000001</v>
      </c>
      <c r="H48" s="875">
        <v>1.39</v>
      </c>
      <c r="I48" s="876">
        <v>1.595</v>
      </c>
      <c r="J48" s="104">
        <v>1.3640000000000001</v>
      </c>
      <c r="K48" s="104">
        <v>1.6240000000000001</v>
      </c>
      <c r="L48" s="875">
        <v>1.3380000000000001</v>
      </c>
      <c r="M48" s="876">
        <v>1.653</v>
      </c>
      <c r="N48" s="104">
        <v>1.3120000000000001</v>
      </c>
      <c r="O48" s="104">
        <v>1.6830000000000001</v>
      </c>
      <c r="P48" s="875">
        <v>1.2849999999999999</v>
      </c>
      <c r="Q48" s="104">
        <v>1.714</v>
      </c>
      <c r="R48" s="875">
        <v>1.2589999999999999</v>
      </c>
      <c r="S48" s="876">
        <v>1.7450000000000001</v>
      </c>
      <c r="T48" s="104">
        <v>1.232</v>
      </c>
      <c r="U48" s="104">
        <v>1.7769999999999999</v>
      </c>
      <c r="V48" s="875">
        <v>1.34</v>
      </c>
      <c r="W48" s="876">
        <v>1.9570000000000001</v>
      </c>
      <c r="X48" s="104">
        <v>1.3109999999999999</v>
      </c>
      <c r="Y48" s="104">
        <v>1.9910000000000001</v>
      </c>
      <c r="Z48" s="875">
        <v>1.2829999999999999</v>
      </c>
      <c r="AA48" s="876">
        <v>2.024</v>
      </c>
      <c r="AB48" s="104">
        <v>1.2529999999999999</v>
      </c>
      <c r="AC48" s="104">
        <v>2.0590000000000002</v>
      </c>
      <c r="AD48" s="875">
        <v>1.224</v>
      </c>
      <c r="AE48" s="876">
        <v>2.093</v>
      </c>
      <c r="AF48" s="104">
        <v>1.1950000000000001</v>
      </c>
      <c r="AG48" s="104">
        <v>2.129</v>
      </c>
      <c r="AH48" s="875">
        <v>1.165</v>
      </c>
      <c r="AI48" s="876">
        <v>2.165</v>
      </c>
      <c r="AJ48" s="104">
        <v>1.1359999999999999</v>
      </c>
      <c r="AK48" s="104">
        <v>2.2010000000000001</v>
      </c>
      <c r="AL48" s="875">
        <v>1.1060000000000001</v>
      </c>
      <c r="AM48" s="876">
        <v>2.238</v>
      </c>
      <c r="AN48" s="104">
        <v>1.0760000000000001</v>
      </c>
      <c r="AO48" s="876">
        <v>2.2749999999999999</v>
      </c>
    </row>
    <row r="49" spans="1:41">
      <c r="A49" s="793">
        <v>85</v>
      </c>
      <c r="B49" s="875">
        <v>1.4810000000000001</v>
      </c>
      <c r="C49" s="104">
        <v>1.5289999999999999</v>
      </c>
      <c r="D49" s="875">
        <v>1.458</v>
      </c>
      <c r="E49" s="876">
        <v>1.5529999999999999</v>
      </c>
      <c r="F49" s="104">
        <v>1.4339999999999999</v>
      </c>
      <c r="G49" s="104">
        <v>1.577</v>
      </c>
      <c r="H49" s="875">
        <v>1.411</v>
      </c>
      <c r="I49" s="876">
        <v>1.603</v>
      </c>
      <c r="J49" s="104">
        <v>1.3859999999999999</v>
      </c>
      <c r="K49" s="104">
        <v>1.63</v>
      </c>
      <c r="L49" s="875">
        <v>1.3620000000000001</v>
      </c>
      <c r="M49" s="876">
        <v>1.657</v>
      </c>
      <c r="N49" s="104">
        <v>1.337</v>
      </c>
      <c r="O49" s="104">
        <v>1.6850000000000001</v>
      </c>
      <c r="P49" s="875">
        <v>1.3120000000000001</v>
      </c>
      <c r="Q49" s="104">
        <v>1.714</v>
      </c>
      <c r="R49" s="875">
        <v>1.2869999999999999</v>
      </c>
      <c r="S49" s="876">
        <v>1.7430000000000001</v>
      </c>
      <c r="T49" s="104">
        <v>1.262</v>
      </c>
      <c r="U49" s="104">
        <v>1.7729999999999999</v>
      </c>
      <c r="V49" s="875">
        <v>1.369</v>
      </c>
      <c r="W49" s="876">
        <v>1.946</v>
      </c>
      <c r="X49" s="104">
        <v>1.3420000000000001</v>
      </c>
      <c r="Y49" s="104">
        <v>1.9770000000000001</v>
      </c>
      <c r="Z49" s="875">
        <v>1.3149999999999999</v>
      </c>
      <c r="AA49" s="876">
        <v>2.0089999999999999</v>
      </c>
      <c r="AB49" s="104">
        <v>1.2869999999999999</v>
      </c>
      <c r="AC49" s="104">
        <v>2.04</v>
      </c>
      <c r="AD49" s="875">
        <v>1.26</v>
      </c>
      <c r="AE49" s="876">
        <v>2.073</v>
      </c>
      <c r="AF49" s="104">
        <v>1.232</v>
      </c>
      <c r="AG49" s="104">
        <v>2.105</v>
      </c>
      <c r="AH49" s="875">
        <v>1.2050000000000001</v>
      </c>
      <c r="AI49" s="876">
        <v>2.1389999999999998</v>
      </c>
      <c r="AJ49" s="104">
        <v>1.177</v>
      </c>
      <c r="AK49" s="104">
        <v>2.1720000000000002</v>
      </c>
      <c r="AL49" s="875">
        <v>1.149</v>
      </c>
      <c r="AM49" s="876">
        <v>2.206</v>
      </c>
      <c r="AN49" s="104">
        <v>1.121</v>
      </c>
      <c r="AO49" s="876">
        <v>2.2410000000000001</v>
      </c>
    </row>
    <row r="50" spans="1:41">
      <c r="A50" s="793">
        <v>90</v>
      </c>
      <c r="B50" s="875">
        <v>1.496</v>
      </c>
      <c r="C50" s="104">
        <v>1.5409999999999999</v>
      </c>
      <c r="D50" s="875">
        <v>1.474</v>
      </c>
      <c r="E50" s="876">
        <v>1.5629999999999999</v>
      </c>
      <c r="F50" s="104">
        <v>1.452</v>
      </c>
      <c r="G50" s="104">
        <v>1.587</v>
      </c>
      <c r="H50" s="875">
        <v>1.429</v>
      </c>
      <c r="I50" s="876">
        <v>1.611</v>
      </c>
      <c r="J50" s="104">
        <v>1.4059999999999999</v>
      </c>
      <c r="K50" s="104">
        <v>1.6359999999999999</v>
      </c>
      <c r="L50" s="875">
        <v>1.383</v>
      </c>
      <c r="M50" s="876">
        <v>1.661</v>
      </c>
      <c r="N50" s="104">
        <v>1.36</v>
      </c>
      <c r="O50" s="104">
        <v>1.6870000000000001</v>
      </c>
      <c r="P50" s="875">
        <v>1.3360000000000001</v>
      </c>
      <c r="Q50" s="104">
        <v>1.714</v>
      </c>
      <c r="R50" s="875">
        <v>1.3120000000000001</v>
      </c>
      <c r="S50" s="876">
        <v>1.7410000000000001</v>
      </c>
      <c r="T50" s="104">
        <v>1.288</v>
      </c>
      <c r="U50" s="104">
        <v>1.7689999999999999</v>
      </c>
      <c r="V50" s="875">
        <v>1.395</v>
      </c>
      <c r="W50" s="876">
        <v>1.9370000000000001</v>
      </c>
      <c r="X50" s="104">
        <v>1.369</v>
      </c>
      <c r="Y50" s="104">
        <v>1.966</v>
      </c>
      <c r="Z50" s="875">
        <v>1.3440000000000001</v>
      </c>
      <c r="AA50" s="876">
        <v>1.9950000000000001</v>
      </c>
      <c r="AB50" s="104">
        <v>1.3180000000000001</v>
      </c>
      <c r="AC50" s="104">
        <v>2.0249999999999999</v>
      </c>
      <c r="AD50" s="875">
        <v>1.292</v>
      </c>
      <c r="AE50" s="876">
        <v>2.0550000000000002</v>
      </c>
      <c r="AF50" s="104">
        <v>1.266</v>
      </c>
      <c r="AG50" s="104">
        <v>2.085</v>
      </c>
      <c r="AH50" s="875">
        <v>1.24</v>
      </c>
      <c r="AI50" s="876">
        <v>2.1160000000000001</v>
      </c>
      <c r="AJ50" s="104">
        <v>1.2130000000000001</v>
      </c>
      <c r="AK50" s="104">
        <v>2.1480000000000001</v>
      </c>
      <c r="AL50" s="875">
        <v>1.1870000000000001</v>
      </c>
      <c r="AM50" s="876">
        <v>2.1789999999999998</v>
      </c>
      <c r="AN50" s="104">
        <v>1.1599999999999999</v>
      </c>
      <c r="AO50" s="876">
        <v>2.2109999999999999</v>
      </c>
    </row>
    <row r="51" spans="1:41">
      <c r="A51" s="793">
        <v>95</v>
      </c>
      <c r="B51" s="875">
        <v>1.51</v>
      </c>
      <c r="C51" s="104">
        <v>1.552</v>
      </c>
      <c r="D51" s="875">
        <v>1.4890000000000001</v>
      </c>
      <c r="E51" s="876">
        <v>1.573</v>
      </c>
      <c r="F51" s="104">
        <v>1.468</v>
      </c>
      <c r="G51" s="104">
        <v>1.5960000000000001</v>
      </c>
      <c r="H51" s="875">
        <v>1.446</v>
      </c>
      <c r="I51" s="876">
        <v>1.6180000000000001</v>
      </c>
      <c r="J51" s="104">
        <v>1.425</v>
      </c>
      <c r="K51" s="104">
        <v>1.641</v>
      </c>
      <c r="L51" s="875">
        <v>1.403</v>
      </c>
      <c r="M51" s="876">
        <v>1.6659999999999999</v>
      </c>
      <c r="N51" s="104">
        <v>1.381</v>
      </c>
      <c r="O51" s="104">
        <v>1.69</v>
      </c>
      <c r="P51" s="875">
        <v>1.3580000000000001</v>
      </c>
      <c r="Q51" s="104">
        <v>1.7150000000000001</v>
      </c>
      <c r="R51" s="875">
        <v>1.3360000000000001</v>
      </c>
      <c r="S51" s="876">
        <v>1.7410000000000001</v>
      </c>
      <c r="T51" s="104">
        <v>1.3129999999999999</v>
      </c>
      <c r="U51" s="104">
        <v>1.7669999999999999</v>
      </c>
      <c r="V51" s="875">
        <v>1.4179999999999999</v>
      </c>
      <c r="W51" s="876">
        <v>1.93</v>
      </c>
      <c r="X51" s="104">
        <v>1.3939999999999999</v>
      </c>
      <c r="Y51" s="104">
        <v>1.956</v>
      </c>
      <c r="Z51" s="875">
        <v>1.37</v>
      </c>
      <c r="AA51" s="876">
        <v>1.984</v>
      </c>
      <c r="AB51" s="104">
        <v>1.345</v>
      </c>
      <c r="AC51" s="104">
        <v>2.012</v>
      </c>
      <c r="AD51" s="875">
        <v>1.321</v>
      </c>
      <c r="AE51" s="876">
        <v>2.04</v>
      </c>
      <c r="AF51" s="104">
        <v>1.296</v>
      </c>
      <c r="AG51" s="104">
        <v>2.0680000000000001</v>
      </c>
      <c r="AH51" s="875">
        <v>1.2709999999999999</v>
      </c>
      <c r="AI51" s="876">
        <v>2.097</v>
      </c>
      <c r="AJ51" s="104">
        <v>1.2470000000000001</v>
      </c>
      <c r="AK51" s="104">
        <v>2.1259999999999999</v>
      </c>
      <c r="AL51" s="875">
        <v>1.222</v>
      </c>
      <c r="AM51" s="876">
        <v>2.1560000000000001</v>
      </c>
      <c r="AN51" s="104">
        <v>1.1970000000000001</v>
      </c>
      <c r="AO51" s="876">
        <v>2.1859999999999999</v>
      </c>
    </row>
    <row r="52" spans="1:41">
      <c r="A52" s="793">
        <v>100</v>
      </c>
      <c r="B52" s="875">
        <v>1.522</v>
      </c>
      <c r="C52" s="104">
        <v>1.5620000000000001</v>
      </c>
      <c r="D52" s="875">
        <v>1.502</v>
      </c>
      <c r="E52" s="876">
        <v>1.5820000000000001</v>
      </c>
      <c r="F52" s="104">
        <v>1.482</v>
      </c>
      <c r="G52" s="104">
        <v>1.6040000000000001</v>
      </c>
      <c r="H52" s="875">
        <v>1.4610000000000001</v>
      </c>
      <c r="I52" s="876">
        <v>1.625</v>
      </c>
      <c r="J52" s="104">
        <v>1.4410000000000001</v>
      </c>
      <c r="K52" s="104">
        <v>1.647</v>
      </c>
      <c r="L52" s="875">
        <v>1.421</v>
      </c>
      <c r="M52" s="876">
        <v>1.67</v>
      </c>
      <c r="N52" s="104">
        <v>1.4</v>
      </c>
      <c r="O52" s="104">
        <v>1.6930000000000001</v>
      </c>
      <c r="P52" s="875">
        <v>1.3779999999999999</v>
      </c>
      <c r="Q52" s="104">
        <v>1.7170000000000001</v>
      </c>
      <c r="R52" s="875">
        <v>1.357</v>
      </c>
      <c r="S52" s="876">
        <v>1.7410000000000001</v>
      </c>
      <c r="T52" s="104">
        <v>1.335</v>
      </c>
      <c r="U52" s="104">
        <v>1.7649999999999999</v>
      </c>
      <c r="V52" s="875">
        <v>1.4390000000000001</v>
      </c>
      <c r="W52" s="876">
        <v>1.923</v>
      </c>
      <c r="X52" s="104">
        <v>1.4159999999999999</v>
      </c>
      <c r="Y52" s="104">
        <v>1.948</v>
      </c>
      <c r="Z52" s="875">
        <v>1.393</v>
      </c>
      <c r="AA52" s="876">
        <v>1.974</v>
      </c>
      <c r="AB52" s="104">
        <v>1.371</v>
      </c>
      <c r="AC52" s="104">
        <v>2</v>
      </c>
      <c r="AD52" s="875">
        <v>1.347</v>
      </c>
      <c r="AE52" s="876">
        <v>2.0259999999999998</v>
      </c>
      <c r="AF52" s="104">
        <v>1.3240000000000001</v>
      </c>
      <c r="AG52" s="104">
        <v>2.0529999999999999</v>
      </c>
      <c r="AH52" s="875">
        <v>1.3009999999999999</v>
      </c>
      <c r="AI52" s="876">
        <v>2.08</v>
      </c>
      <c r="AJ52" s="104">
        <v>1.2769999999999999</v>
      </c>
      <c r="AK52" s="104">
        <v>2.1080000000000001</v>
      </c>
      <c r="AL52" s="875">
        <v>1.2529999999999999</v>
      </c>
      <c r="AM52" s="876">
        <v>2.1349999999999998</v>
      </c>
      <c r="AN52" s="104">
        <v>1.2290000000000001</v>
      </c>
      <c r="AO52" s="876">
        <v>2.1640000000000001</v>
      </c>
    </row>
    <row r="53" spans="1:41">
      <c r="A53" s="793">
        <v>150</v>
      </c>
      <c r="B53" s="875">
        <v>1.611</v>
      </c>
      <c r="C53" s="104">
        <v>1.637</v>
      </c>
      <c r="D53" s="875">
        <v>1.5980000000000001</v>
      </c>
      <c r="E53" s="876">
        <v>1.651</v>
      </c>
      <c r="F53" s="104">
        <v>1.5840000000000001</v>
      </c>
      <c r="G53" s="104">
        <v>1.665</v>
      </c>
      <c r="H53" s="875">
        <v>1.571</v>
      </c>
      <c r="I53" s="876">
        <v>1.679</v>
      </c>
      <c r="J53" s="104">
        <v>1.5569999999999999</v>
      </c>
      <c r="K53" s="104">
        <v>1.6930000000000001</v>
      </c>
      <c r="L53" s="875">
        <v>1.5429999999999999</v>
      </c>
      <c r="M53" s="876">
        <v>1.708</v>
      </c>
      <c r="N53" s="104">
        <v>1.53</v>
      </c>
      <c r="O53" s="104">
        <v>1.722</v>
      </c>
      <c r="P53" s="875">
        <v>1.5149999999999999</v>
      </c>
      <c r="Q53" s="104">
        <v>1.7370000000000001</v>
      </c>
      <c r="R53" s="875">
        <v>1.5009999999999999</v>
      </c>
      <c r="S53" s="876">
        <v>1.752</v>
      </c>
      <c r="T53" s="104">
        <v>1.486</v>
      </c>
      <c r="U53" s="104">
        <v>1.7669999999999999</v>
      </c>
      <c r="V53" s="875">
        <v>1.579</v>
      </c>
      <c r="W53" s="876">
        <v>1.8919999999999999</v>
      </c>
      <c r="X53" s="104">
        <v>1.5640000000000001</v>
      </c>
      <c r="Y53" s="104">
        <v>1.9079999999999999</v>
      </c>
      <c r="Z53" s="875">
        <v>1.55</v>
      </c>
      <c r="AA53" s="876">
        <v>1.9239999999999999</v>
      </c>
      <c r="AB53" s="104">
        <v>1.5349999999999999</v>
      </c>
      <c r="AC53" s="104">
        <v>1.94</v>
      </c>
      <c r="AD53" s="875">
        <v>1.5189999999999999</v>
      </c>
      <c r="AE53" s="876">
        <v>1.956</v>
      </c>
      <c r="AF53" s="104">
        <v>1.504</v>
      </c>
      <c r="AG53" s="104">
        <v>1.972</v>
      </c>
      <c r="AH53" s="875">
        <v>1.4890000000000001</v>
      </c>
      <c r="AI53" s="876">
        <v>1.9890000000000001</v>
      </c>
      <c r="AJ53" s="104">
        <v>1.474</v>
      </c>
      <c r="AK53" s="104">
        <v>2.0059999999999998</v>
      </c>
      <c r="AL53" s="875">
        <v>1.458</v>
      </c>
      <c r="AM53" s="876">
        <v>2.0230000000000001</v>
      </c>
      <c r="AN53" s="104">
        <v>1.4430000000000001</v>
      </c>
      <c r="AO53" s="876">
        <v>2.04</v>
      </c>
    </row>
    <row r="54" spans="1:41">
      <c r="A54" s="792">
        <v>200</v>
      </c>
      <c r="B54" s="877">
        <v>1.6639999999999999</v>
      </c>
      <c r="C54" s="1461">
        <v>1.6839999999999999</v>
      </c>
      <c r="D54" s="877">
        <v>1.653</v>
      </c>
      <c r="E54" s="879">
        <v>1.6930000000000001</v>
      </c>
      <c r="F54" s="1461">
        <v>1.643</v>
      </c>
      <c r="G54" s="1461">
        <v>1.704</v>
      </c>
      <c r="H54" s="877">
        <v>1.633</v>
      </c>
      <c r="I54" s="879">
        <v>1.7150000000000001</v>
      </c>
      <c r="J54" s="1461">
        <v>1.623</v>
      </c>
      <c r="K54" s="1461">
        <v>1.7250000000000001</v>
      </c>
      <c r="L54" s="877">
        <v>1.613</v>
      </c>
      <c r="M54" s="879">
        <v>1.7350000000000001</v>
      </c>
      <c r="N54" s="1461">
        <v>1.603</v>
      </c>
      <c r="O54" s="1461">
        <v>1.746</v>
      </c>
      <c r="P54" s="877">
        <v>1.5920000000000001</v>
      </c>
      <c r="Q54" s="1461">
        <v>1.7569999999999999</v>
      </c>
      <c r="R54" s="877">
        <v>1.5820000000000001</v>
      </c>
      <c r="S54" s="879">
        <v>1.768</v>
      </c>
      <c r="T54" s="1461">
        <v>1.571</v>
      </c>
      <c r="U54" s="1461">
        <v>1.7789999999999999</v>
      </c>
      <c r="V54" s="877">
        <v>1.6539999999999999</v>
      </c>
      <c r="W54" s="879">
        <v>1.885</v>
      </c>
      <c r="X54" s="1461">
        <v>1.643</v>
      </c>
      <c r="Y54" s="1461">
        <v>1.8959999999999999</v>
      </c>
      <c r="Z54" s="877">
        <v>1.6319999999999999</v>
      </c>
      <c r="AA54" s="879">
        <v>1.9079999999999999</v>
      </c>
      <c r="AB54" s="1461">
        <v>1.621</v>
      </c>
      <c r="AC54" s="1461">
        <v>1.919</v>
      </c>
      <c r="AD54" s="877">
        <v>1.61</v>
      </c>
      <c r="AE54" s="879">
        <v>1.931</v>
      </c>
      <c r="AF54" s="1461">
        <v>1.599</v>
      </c>
      <c r="AG54" s="1461">
        <v>1.9430000000000001</v>
      </c>
      <c r="AH54" s="877">
        <v>1.5880000000000001</v>
      </c>
      <c r="AI54" s="879">
        <v>1.9550000000000001</v>
      </c>
      <c r="AJ54" s="1461">
        <v>1.5760000000000001</v>
      </c>
      <c r="AK54" s="1461">
        <v>1.9670000000000001</v>
      </c>
      <c r="AL54" s="877">
        <v>1.5649999999999999</v>
      </c>
      <c r="AM54" s="879">
        <v>1.9790000000000001</v>
      </c>
      <c r="AN54" s="1461">
        <v>1.554</v>
      </c>
      <c r="AO54" s="879">
        <v>1.9910000000000001</v>
      </c>
    </row>
    <row r="56" spans="1:41">
      <c r="A56" s="45" t="s">
        <v>4254</v>
      </c>
    </row>
  </sheetData>
  <mergeCells count="20">
    <mergeCell ref="AL5:AM5"/>
    <mergeCell ref="AN5:AO5"/>
    <mergeCell ref="Z5:AA5"/>
    <mergeCell ref="AB5:AC5"/>
    <mergeCell ref="AD5:AE5"/>
    <mergeCell ref="AF5:AG5"/>
    <mergeCell ref="AH5:AI5"/>
    <mergeCell ref="AJ5:AK5"/>
    <mergeCell ref="X5:Y5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AO54"/>
  <sheetViews>
    <sheetView workbookViewId="0"/>
  </sheetViews>
  <sheetFormatPr defaultColWidth="9.109375" defaultRowHeight="14.4"/>
  <cols>
    <col min="1" max="1" width="6.109375" style="45" customWidth="1"/>
    <col min="2" max="41" width="6.109375" style="102" customWidth="1"/>
    <col min="42" max="16384" width="9.109375" style="102"/>
  </cols>
  <sheetData>
    <row r="1" spans="1:41">
      <c r="A1" s="1549" t="s">
        <v>4251</v>
      </c>
    </row>
    <row r="3" spans="1:41">
      <c r="A3" s="1549" t="s">
        <v>4252</v>
      </c>
    </row>
    <row r="5" spans="1:41" s="45" customFormat="1">
      <c r="A5" s="1550" t="s">
        <v>4253</v>
      </c>
      <c r="B5" s="1605">
        <v>1</v>
      </c>
      <c r="C5" s="1605"/>
      <c r="D5" s="1605">
        <v>2</v>
      </c>
      <c r="E5" s="1605"/>
      <c r="F5" s="1605">
        <v>3</v>
      </c>
      <c r="G5" s="1605"/>
      <c r="H5" s="1605">
        <v>4</v>
      </c>
      <c r="I5" s="1605"/>
      <c r="J5" s="1605">
        <v>5</v>
      </c>
      <c r="K5" s="1605"/>
      <c r="L5" s="1605">
        <v>6</v>
      </c>
      <c r="M5" s="1605"/>
      <c r="N5" s="1605">
        <v>7</v>
      </c>
      <c r="O5" s="1605"/>
      <c r="P5" s="1605">
        <v>8</v>
      </c>
      <c r="Q5" s="1605"/>
      <c r="R5" s="1605">
        <v>9</v>
      </c>
      <c r="S5" s="1605"/>
      <c r="T5" s="1605">
        <v>10</v>
      </c>
      <c r="U5" s="1605"/>
      <c r="V5" s="1605">
        <v>11</v>
      </c>
      <c r="W5" s="1605"/>
      <c r="X5" s="1605">
        <v>12</v>
      </c>
      <c r="Y5" s="1605"/>
      <c r="Z5" s="1605">
        <v>13</v>
      </c>
      <c r="AA5" s="1605"/>
      <c r="AB5" s="1605">
        <v>14</v>
      </c>
      <c r="AC5" s="1605"/>
      <c r="AD5" s="1605">
        <v>15</v>
      </c>
      <c r="AE5" s="1605"/>
      <c r="AF5" s="1605">
        <v>16</v>
      </c>
      <c r="AG5" s="1605"/>
      <c r="AH5" s="1605">
        <v>17</v>
      </c>
      <c r="AI5" s="1605"/>
      <c r="AJ5" s="1605">
        <v>18</v>
      </c>
      <c r="AK5" s="1605"/>
      <c r="AL5" s="1605">
        <v>19</v>
      </c>
      <c r="AM5" s="1605"/>
      <c r="AN5" s="1605">
        <v>20</v>
      </c>
      <c r="AO5" s="1605"/>
    </row>
    <row r="6" spans="1:41">
      <c r="A6" s="1551">
        <v>6</v>
      </c>
      <c r="B6" s="1468">
        <v>0.61</v>
      </c>
      <c r="C6" s="1459">
        <v>1.4</v>
      </c>
      <c r="D6" s="1468"/>
      <c r="E6" s="1460"/>
      <c r="F6" s="1459"/>
      <c r="G6" s="1459"/>
      <c r="H6" s="1468"/>
      <c r="I6" s="1460"/>
      <c r="J6" s="1459"/>
      <c r="K6" s="1459"/>
      <c r="L6" s="1468"/>
      <c r="M6" s="1460"/>
      <c r="N6" s="1459"/>
      <c r="O6" s="1459"/>
      <c r="P6" s="1468"/>
      <c r="Q6" s="1459"/>
      <c r="R6" s="1468"/>
      <c r="S6" s="1460"/>
      <c r="T6" s="1459"/>
      <c r="U6" s="1459"/>
      <c r="V6" s="1468"/>
      <c r="W6" s="1460"/>
      <c r="X6" s="1459"/>
      <c r="Y6" s="1459"/>
      <c r="Z6" s="1468"/>
      <c r="AA6" s="1460"/>
      <c r="AB6" s="1459"/>
      <c r="AC6" s="1459"/>
      <c r="AD6" s="1468"/>
      <c r="AE6" s="1460"/>
      <c r="AF6" s="1459"/>
      <c r="AG6" s="1459"/>
      <c r="AH6" s="1468"/>
      <c r="AI6" s="1460"/>
      <c r="AJ6" s="1459"/>
      <c r="AK6" s="1459"/>
      <c r="AL6" s="1468"/>
      <c r="AM6" s="1460"/>
      <c r="AN6" s="1459"/>
      <c r="AO6" s="1460"/>
    </row>
    <row r="7" spans="1:41">
      <c r="A7" s="793">
        <v>7</v>
      </c>
      <c r="B7" s="875">
        <v>0.7</v>
      </c>
      <c r="C7" s="104">
        <v>1.3560000000000001</v>
      </c>
      <c r="D7" s="875">
        <v>0.46700000000000003</v>
      </c>
      <c r="E7" s="876">
        <v>1.8959999999999999</v>
      </c>
      <c r="F7" s="104"/>
      <c r="G7" s="104"/>
      <c r="H7" s="875"/>
      <c r="I7" s="876"/>
      <c r="J7" s="104"/>
      <c r="K7" s="104"/>
      <c r="L7" s="875"/>
      <c r="M7" s="876"/>
      <c r="N7" s="104"/>
      <c r="O7" s="104"/>
      <c r="P7" s="875"/>
      <c r="Q7" s="104"/>
      <c r="R7" s="875"/>
      <c r="S7" s="876"/>
      <c r="T7" s="104"/>
      <c r="U7" s="104"/>
      <c r="V7" s="875"/>
      <c r="W7" s="876"/>
      <c r="X7" s="104"/>
      <c r="Y7" s="104"/>
      <c r="Z7" s="875"/>
      <c r="AA7" s="876"/>
      <c r="AB7" s="104"/>
      <c r="AC7" s="104"/>
      <c r="AD7" s="875"/>
      <c r="AE7" s="876"/>
      <c r="AF7" s="104"/>
      <c r="AG7" s="104"/>
      <c r="AH7" s="875"/>
      <c r="AI7" s="876"/>
      <c r="AJ7" s="104"/>
      <c r="AK7" s="104"/>
      <c r="AL7" s="875"/>
      <c r="AM7" s="876"/>
      <c r="AN7" s="104"/>
      <c r="AO7" s="876"/>
    </row>
    <row r="8" spans="1:41">
      <c r="A8" s="793">
        <v>8</v>
      </c>
      <c r="B8" s="875">
        <v>0.76300000000000001</v>
      </c>
      <c r="C8" s="104">
        <v>1.3320000000000001</v>
      </c>
      <c r="D8" s="875">
        <v>0.55900000000000005</v>
      </c>
      <c r="E8" s="876">
        <v>1.7769999999999999</v>
      </c>
      <c r="F8" s="104">
        <v>0.36699999999999999</v>
      </c>
      <c r="G8" s="104">
        <v>2.2869999999999999</v>
      </c>
      <c r="H8" s="875"/>
      <c r="I8" s="876"/>
      <c r="J8" s="104"/>
      <c r="K8" s="104"/>
      <c r="L8" s="875"/>
      <c r="M8" s="876"/>
      <c r="N8" s="104"/>
      <c r="O8" s="104"/>
      <c r="P8" s="875"/>
      <c r="Q8" s="104"/>
      <c r="R8" s="875"/>
      <c r="S8" s="876"/>
      <c r="T8" s="104"/>
      <c r="U8" s="104"/>
      <c r="V8" s="875"/>
      <c r="W8" s="876"/>
      <c r="X8" s="104"/>
      <c r="Y8" s="104"/>
      <c r="Z8" s="875"/>
      <c r="AA8" s="876"/>
      <c r="AB8" s="104"/>
      <c r="AC8" s="104"/>
      <c r="AD8" s="875"/>
      <c r="AE8" s="876"/>
      <c r="AF8" s="104"/>
      <c r="AG8" s="104"/>
      <c r="AH8" s="875"/>
      <c r="AI8" s="876"/>
      <c r="AJ8" s="104"/>
      <c r="AK8" s="104"/>
      <c r="AL8" s="875"/>
      <c r="AM8" s="876"/>
      <c r="AN8" s="104"/>
      <c r="AO8" s="876"/>
    </row>
    <row r="9" spans="1:41">
      <c r="A9" s="793">
        <v>9</v>
      </c>
      <c r="B9" s="875">
        <v>0.82399999999999995</v>
      </c>
      <c r="C9" s="104">
        <v>1.32</v>
      </c>
      <c r="D9" s="875">
        <v>0.629</v>
      </c>
      <c r="E9" s="876">
        <v>1.6990000000000001</v>
      </c>
      <c r="F9" s="104">
        <v>0.45500000000000002</v>
      </c>
      <c r="G9" s="104">
        <v>2.1280000000000001</v>
      </c>
      <c r="H9" s="875">
        <v>0.29599999999999999</v>
      </c>
      <c r="I9" s="876">
        <v>2.5880000000000001</v>
      </c>
      <c r="J9" s="104"/>
      <c r="K9" s="104"/>
      <c r="L9" s="875"/>
      <c r="M9" s="876"/>
      <c r="N9" s="104"/>
      <c r="O9" s="104"/>
      <c r="P9" s="875"/>
      <c r="Q9" s="104"/>
      <c r="R9" s="875"/>
      <c r="S9" s="876"/>
      <c r="T9" s="104"/>
      <c r="U9" s="104"/>
      <c r="V9" s="875"/>
      <c r="W9" s="876"/>
      <c r="X9" s="104"/>
      <c r="Y9" s="104"/>
      <c r="Z9" s="875"/>
      <c r="AA9" s="876"/>
      <c r="AB9" s="104"/>
      <c r="AC9" s="104"/>
      <c r="AD9" s="875"/>
      <c r="AE9" s="876"/>
      <c r="AF9" s="104"/>
      <c r="AG9" s="104"/>
      <c r="AH9" s="875"/>
      <c r="AI9" s="876"/>
      <c r="AJ9" s="104"/>
      <c r="AK9" s="104"/>
      <c r="AL9" s="875"/>
      <c r="AM9" s="876"/>
      <c r="AN9" s="104"/>
      <c r="AO9" s="876"/>
    </row>
    <row r="10" spans="1:41">
      <c r="A10" s="793">
        <v>10</v>
      </c>
      <c r="B10" s="875">
        <v>0.879</v>
      </c>
      <c r="C10" s="104">
        <v>1.32</v>
      </c>
      <c r="D10" s="875">
        <v>0.69699999999999995</v>
      </c>
      <c r="E10" s="876">
        <v>1.641</v>
      </c>
      <c r="F10" s="104">
        <v>0.52500000000000002</v>
      </c>
      <c r="G10" s="104">
        <v>2.016</v>
      </c>
      <c r="H10" s="875">
        <v>0.376</v>
      </c>
      <c r="I10" s="876">
        <v>2.4140000000000001</v>
      </c>
      <c r="J10" s="104">
        <v>0.24299999999999999</v>
      </c>
      <c r="K10" s="104">
        <v>2.8220000000000001</v>
      </c>
      <c r="L10" s="875"/>
      <c r="M10" s="876"/>
      <c r="N10" s="104"/>
      <c r="O10" s="104"/>
      <c r="P10" s="875"/>
      <c r="Q10" s="104"/>
      <c r="R10" s="875"/>
      <c r="S10" s="876"/>
      <c r="T10" s="104"/>
      <c r="U10" s="104"/>
      <c r="V10" s="875"/>
      <c r="W10" s="876"/>
      <c r="X10" s="104"/>
      <c r="Y10" s="104"/>
      <c r="Z10" s="875"/>
      <c r="AA10" s="876"/>
      <c r="AB10" s="104"/>
      <c r="AC10" s="104"/>
      <c r="AD10" s="875"/>
      <c r="AE10" s="876"/>
      <c r="AF10" s="104"/>
      <c r="AG10" s="104"/>
      <c r="AH10" s="875"/>
      <c r="AI10" s="876"/>
      <c r="AJ10" s="104"/>
      <c r="AK10" s="104"/>
      <c r="AL10" s="875"/>
      <c r="AM10" s="876"/>
      <c r="AN10" s="104"/>
      <c r="AO10" s="876"/>
    </row>
    <row r="11" spans="1:41">
      <c r="A11" s="793">
        <v>11</v>
      </c>
      <c r="B11" s="875">
        <v>0.92700000000000005</v>
      </c>
      <c r="C11" s="104">
        <v>1.3240000000000001</v>
      </c>
      <c r="D11" s="875">
        <v>0.75800000000000001</v>
      </c>
      <c r="E11" s="876">
        <v>1.6040000000000001</v>
      </c>
      <c r="F11" s="104">
        <v>0.59499999999999997</v>
      </c>
      <c r="G11" s="104">
        <v>1.9279999999999999</v>
      </c>
      <c r="H11" s="875">
        <v>0.44400000000000001</v>
      </c>
      <c r="I11" s="876">
        <v>2.2829999999999999</v>
      </c>
      <c r="J11" s="104">
        <v>0.315</v>
      </c>
      <c r="K11" s="104">
        <v>2.645</v>
      </c>
      <c r="L11" s="875">
        <v>0.20300000000000001</v>
      </c>
      <c r="M11" s="876">
        <v>3.004</v>
      </c>
      <c r="N11" s="104"/>
      <c r="O11" s="104"/>
      <c r="P11" s="875"/>
      <c r="Q11" s="104"/>
      <c r="R11" s="875"/>
      <c r="S11" s="876"/>
      <c r="T11" s="104"/>
      <c r="U11" s="104"/>
      <c r="V11" s="875"/>
      <c r="W11" s="876"/>
      <c r="X11" s="104"/>
      <c r="Y11" s="104"/>
      <c r="Z11" s="875"/>
      <c r="AA11" s="876"/>
      <c r="AB11" s="104"/>
      <c r="AC11" s="104"/>
      <c r="AD11" s="875"/>
      <c r="AE11" s="876"/>
      <c r="AF11" s="104"/>
      <c r="AG11" s="104"/>
      <c r="AH11" s="875"/>
      <c r="AI11" s="876"/>
      <c r="AJ11" s="104"/>
      <c r="AK11" s="104"/>
      <c r="AL11" s="875"/>
      <c r="AM11" s="876"/>
      <c r="AN11" s="104"/>
      <c r="AO11" s="876"/>
    </row>
    <row r="12" spans="1:41">
      <c r="A12" s="793">
        <v>12</v>
      </c>
      <c r="B12" s="875">
        <v>0.97099999999999997</v>
      </c>
      <c r="C12" s="104">
        <v>1.331</v>
      </c>
      <c r="D12" s="875">
        <v>0.81200000000000006</v>
      </c>
      <c r="E12" s="876">
        <v>1.579</v>
      </c>
      <c r="F12" s="104">
        <v>0.65800000000000003</v>
      </c>
      <c r="G12" s="104">
        <v>1.8640000000000001</v>
      </c>
      <c r="H12" s="875">
        <v>0.51200000000000001</v>
      </c>
      <c r="I12" s="876">
        <v>2.177</v>
      </c>
      <c r="J12" s="104">
        <v>0.38</v>
      </c>
      <c r="K12" s="104">
        <v>2.5059999999999998</v>
      </c>
      <c r="L12" s="875">
        <v>0.26800000000000002</v>
      </c>
      <c r="M12" s="876">
        <v>2.8319999999999999</v>
      </c>
      <c r="N12" s="104">
        <v>0.17100000000000001</v>
      </c>
      <c r="O12" s="104">
        <v>3.149</v>
      </c>
      <c r="P12" s="875"/>
      <c r="Q12" s="104"/>
      <c r="R12" s="875"/>
      <c r="S12" s="876"/>
      <c r="T12" s="104"/>
      <c r="U12" s="104"/>
      <c r="V12" s="875"/>
      <c r="W12" s="876"/>
      <c r="X12" s="104"/>
      <c r="Y12" s="104"/>
      <c r="Z12" s="875"/>
      <c r="AA12" s="876"/>
      <c r="AB12" s="104"/>
      <c r="AC12" s="104"/>
      <c r="AD12" s="875"/>
      <c r="AE12" s="876"/>
      <c r="AF12" s="104"/>
      <c r="AG12" s="104"/>
      <c r="AH12" s="875"/>
      <c r="AI12" s="876"/>
      <c r="AJ12" s="104"/>
      <c r="AK12" s="104"/>
      <c r="AL12" s="875"/>
      <c r="AM12" s="876"/>
      <c r="AN12" s="104"/>
      <c r="AO12" s="876"/>
    </row>
    <row r="13" spans="1:41">
      <c r="A13" s="793">
        <v>13</v>
      </c>
      <c r="B13" s="875">
        <v>1.01</v>
      </c>
      <c r="C13" s="104">
        <v>1.34</v>
      </c>
      <c r="D13" s="875">
        <v>0.86099999999999999</v>
      </c>
      <c r="E13" s="876">
        <v>1.5620000000000001</v>
      </c>
      <c r="F13" s="104">
        <v>0.71499999999999997</v>
      </c>
      <c r="G13" s="104">
        <v>1.8160000000000001</v>
      </c>
      <c r="H13" s="875">
        <v>0.57399999999999995</v>
      </c>
      <c r="I13" s="876">
        <v>2.0939999999999999</v>
      </c>
      <c r="J13" s="104">
        <v>0.44400000000000001</v>
      </c>
      <c r="K13" s="104">
        <v>2.39</v>
      </c>
      <c r="L13" s="875">
        <v>0.32800000000000001</v>
      </c>
      <c r="M13" s="876">
        <v>2.6920000000000002</v>
      </c>
      <c r="N13" s="104">
        <v>0.23</v>
      </c>
      <c r="O13" s="104">
        <v>2.9849999999999999</v>
      </c>
      <c r="P13" s="875">
        <v>0.14699999999999999</v>
      </c>
      <c r="Q13" s="104">
        <v>3.266</v>
      </c>
      <c r="R13" s="875"/>
      <c r="S13" s="876"/>
      <c r="T13" s="104"/>
      <c r="U13" s="104"/>
      <c r="V13" s="875"/>
      <c r="W13" s="876"/>
      <c r="X13" s="104"/>
      <c r="Y13" s="104"/>
      <c r="Z13" s="875"/>
      <c r="AA13" s="876"/>
      <c r="AB13" s="104"/>
      <c r="AC13" s="104"/>
      <c r="AD13" s="875"/>
      <c r="AE13" s="876"/>
      <c r="AF13" s="104"/>
      <c r="AG13" s="104"/>
      <c r="AH13" s="875"/>
      <c r="AI13" s="876"/>
      <c r="AJ13" s="104"/>
      <c r="AK13" s="104"/>
      <c r="AL13" s="875"/>
      <c r="AM13" s="876"/>
      <c r="AN13" s="104"/>
      <c r="AO13" s="876"/>
    </row>
    <row r="14" spans="1:41">
      <c r="A14" s="793">
        <v>14</v>
      </c>
      <c r="B14" s="875">
        <v>1.0449999999999999</v>
      </c>
      <c r="C14" s="104">
        <v>1.35</v>
      </c>
      <c r="D14" s="875">
        <v>0.90500000000000003</v>
      </c>
      <c r="E14" s="876">
        <v>1.5509999999999999</v>
      </c>
      <c r="F14" s="104">
        <v>0.76700000000000002</v>
      </c>
      <c r="G14" s="104">
        <v>1.7789999999999999</v>
      </c>
      <c r="H14" s="875">
        <v>0.63200000000000001</v>
      </c>
      <c r="I14" s="876">
        <v>2.0299999999999998</v>
      </c>
      <c r="J14" s="104">
        <v>0.505</v>
      </c>
      <c r="K14" s="104">
        <v>2.2959999999999998</v>
      </c>
      <c r="L14" s="875">
        <v>0.38900000000000001</v>
      </c>
      <c r="M14" s="876">
        <v>2.5720000000000001</v>
      </c>
      <c r="N14" s="104">
        <v>0.28599999999999998</v>
      </c>
      <c r="O14" s="104">
        <v>2.8479999999999999</v>
      </c>
      <c r="P14" s="875">
        <v>0.2</v>
      </c>
      <c r="Q14" s="104">
        <v>3.1110000000000002</v>
      </c>
      <c r="R14" s="875">
        <v>0.127</v>
      </c>
      <c r="S14" s="876">
        <v>3.36</v>
      </c>
      <c r="T14" s="104"/>
      <c r="U14" s="104"/>
      <c r="V14" s="875"/>
      <c r="W14" s="876"/>
      <c r="X14" s="104"/>
      <c r="Y14" s="104"/>
      <c r="Z14" s="875"/>
      <c r="AA14" s="876"/>
      <c r="AB14" s="104"/>
      <c r="AC14" s="104"/>
      <c r="AD14" s="875"/>
      <c r="AE14" s="876"/>
      <c r="AF14" s="104"/>
      <c r="AG14" s="104"/>
      <c r="AH14" s="875"/>
      <c r="AI14" s="876"/>
      <c r="AJ14" s="104"/>
      <c r="AK14" s="104"/>
      <c r="AL14" s="875"/>
      <c r="AM14" s="876"/>
      <c r="AN14" s="104"/>
      <c r="AO14" s="876"/>
    </row>
    <row r="15" spans="1:41">
      <c r="A15" s="793">
        <v>15</v>
      </c>
      <c r="B15" s="875">
        <v>1.077</v>
      </c>
      <c r="C15" s="104">
        <v>1.361</v>
      </c>
      <c r="D15" s="875">
        <v>0.94599999999999995</v>
      </c>
      <c r="E15" s="876">
        <v>1.5429999999999999</v>
      </c>
      <c r="F15" s="104">
        <v>0.81399999999999995</v>
      </c>
      <c r="G15" s="104">
        <v>1.75</v>
      </c>
      <c r="H15" s="875">
        <v>0.68500000000000005</v>
      </c>
      <c r="I15" s="876">
        <v>1.9770000000000001</v>
      </c>
      <c r="J15" s="104">
        <v>0.56200000000000006</v>
      </c>
      <c r="K15" s="104">
        <v>2.2200000000000002</v>
      </c>
      <c r="L15" s="875">
        <v>0.44700000000000001</v>
      </c>
      <c r="M15" s="876">
        <v>2.4710000000000001</v>
      </c>
      <c r="N15" s="104">
        <v>0.34300000000000003</v>
      </c>
      <c r="O15" s="104">
        <v>2.7269999999999999</v>
      </c>
      <c r="P15" s="875">
        <v>0.251</v>
      </c>
      <c r="Q15" s="104">
        <v>2.9790000000000001</v>
      </c>
      <c r="R15" s="875">
        <v>0.17499999999999999</v>
      </c>
      <c r="S15" s="876">
        <v>3.2160000000000002</v>
      </c>
      <c r="T15" s="104">
        <v>0.111</v>
      </c>
      <c r="U15" s="104">
        <v>3.4380000000000002</v>
      </c>
      <c r="V15" s="875"/>
      <c r="W15" s="876"/>
      <c r="X15" s="104"/>
      <c r="Y15" s="104"/>
      <c r="Z15" s="875"/>
      <c r="AA15" s="876"/>
      <c r="AB15" s="104"/>
      <c r="AC15" s="104"/>
      <c r="AD15" s="875"/>
      <c r="AE15" s="876"/>
      <c r="AF15" s="104"/>
      <c r="AG15" s="104"/>
      <c r="AH15" s="875"/>
      <c r="AI15" s="876"/>
      <c r="AJ15" s="104"/>
      <c r="AK15" s="104"/>
      <c r="AL15" s="875"/>
      <c r="AM15" s="876"/>
      <c r="AN15" s="104"/>
      <c r="AO15" s="876"/>
    </row>
    <row r="16" spans="1:41">
      <c r="A16" s="793">
        <v>16</v>
      </c>
      <c r="B16" s="875">
        <v>1.1060000000000001</v>
      </c>
      <c r="C16" s="104">
        <v>1.371</v>
      </c>
      <c r="D16" s="875">
        <v>0.98199999999999998</v>
      </c>
      <c r="E16" s="876">
        <v>1.5389999999999999</v>
      </c>
      <c r="F16" s="104">
        <v>0.85699999999999998</v>
      </c>
      <c r="G16" s="104">
        <v>1.728</v>
      </c>
      <c r="H16" s="875">
        <v>0.73399999999999999</v>
      </c>
      <c r="I16" s="876">
        <v>1.9350000000000001</v>
      </c>
      <c r="J16" s="104">
        <v>0.61499999999999999</v>
      </c>
      <c r="K16" s="104">
        <v>2.157</v>
      </c>
      <c r="L16" s="875">
        <v>0.502</v>
      </c>
      <c r="M16" s="876">
        <v>2.3879999999999999</v>
      </c>
      <c r="N16" s="104">
        <v>0.39800000000000002</v>
      </c>
      <c r="O16" s="104">
        <v>2.6240000000000001</v>
      </c>
      <c r="P16" s="875">
        <v>0.30399999999999999</v>
      </c>
      <c r="Q16" s="104">
        <v>2.86</v>
      </c>
      <c r="R16" s="875">
        <v>0.222</v>
      </c>
      <c r="S16" s="876">
        <v>3.09</v>
      </c>
      <c r="T16" s="104">
        <v>0.155</v>
      </c>
      <c r="U16" s="104">
        <v>3.3039999999999998</v>
      </c>
      <c r="V16" s="875">
        <v>9.8000000000000004E-2</v>
      </c>
      <c r="W16" s="876">
        <v>3.5030000000000001</v>
      </c>
      <c r="X16" s="104"/>
      <c r="Y16" s="104"/>
      <c r="Z16" s="875"/>
      <c r="AA16" s="876"/>
      <c r="AB16" s="104"/>
      <c r="AC16" s="104"/>
      <c r="AD16" s="875"/>
      <c r="AE16" s="876"/>
      <c r="AF16" s="104"/>
      <c r="AG16" s="104"/>
      <c r="AH16" s="875"/>
      <c r="AI16" s="876"/>
      <c r="AJ16" s="104"/>
      <c r="AK16" s="104"/>
      <c r="AL16" s="875"/>
      <c r="AM16" s="876"/>
      <c r="AN16" s="104"/>
      <c r="AO16" s="876"/>
    </row>
    <row r="17" spans="1:41">
      <c r="A17" s="793">
        <v>17</v>
      </c>
      <c r="B17" s="875">
        <v>1.133</v>
      </c>
      <c r="C17" s="104">
        <v>1.381</v>
      </c>
      <c r="D17" s="875">
        <v>1.0149999999999999</v>
      </c>
      <c r="E17" s="876">
        <v>1.536</v>
      </c>
      <c r="F17" s="104">
        <v>0.89700000000000002</v>
      </c>
      <c r="G17" s="104">
        <v>1.71</v>
      </c>
      <c r="H17" s="875">
        <v>0.77900000000000003</v>
      </c>
      <c r="I17" s="876">
        <v>1.9</v>
      </c>
      <c r="J17" s="104">
        <v>0.66400000000000003</v>
      </c>
      <c r="K17" s="104">
        <v>2.1040000000000001</v>
      </c>
      <c r="L17" s="875">
        <v>0.55400000000000005</v>
      </c>
      <c r="M17" s="876">
        <v>2.3180000000000001</v>
      </c>
      <c r="N17" s="104">
        <v>0.45100000000000001</v>
      </c>
      <c r="O17" s="104">
        <v>2.5369999999999999</v>
      </c>
      <c r="P17" s="875">
        <v>0.35599999999999998</v>
      </c>
      <c r="Q17" s="104">
        <v>2.7570000000000001</v>
      </c>
      <c r="R17" s="875">
        <v>0.27200000000000002</v>
      </c>
      <c r="S17" s="876">
        <v>2.9750000000000001</v>
      </c>
      <c r="T17" s="104">
        <v>0.19800000000000001</v>
      </c>
      <c r="U17" s="104">
        <v>3.1840000000000002</v>
      </c>
      <c r="V17" s="875">
        <v>0.13800000000000001</v>
      </c>
      <c r="W17" s="876">
        <v>3.3780000000000001</v>
      </c>
      <c r="X17" s="104">
        <v>8.6999999999999994E-2</v>
      </c>
      <c r="Y17" s="104">
        <v>3.5569999999999999</v>
      </c>
      <c r="Z17" s="875"/>
      <c r="AA17" s="876"/>
      <c r="AB17" s="104"/>
      <c r="AC17" s="104"/>
      <c r="AD17" s="875"/>
      <c r="AE17" s="876"/>
      <c r="AF17" s="104"/>
      <c r="AG17" s="104"/>
      <c r="AH17" s="875"/>
      <c r="AI17" s="876"/>
      <c r="AJ17" s="104"/>
      <c r="AK17" s="104"/>
      <c r="AL17" s="875"/>
      <c r="AM17" s="876"/>
      <c r="AN17" s="104"/>
      <c r="AO17" s="876"/>
    </row>
    <row r="18" spans="1:41">
      <c r="A18" s="793">
        <v>18</v>
      </c>
      <c r="B18" s="875">
        <v>1.1579999999999999</v>
      </c>
      <c r="C18" s="104">
        <v>1.391</v>
      </c>
      <c r="D18" s="875">
        <v>1.046</v>
      </c>
      <c r="E18" s="876">
        <v>1.5349999999999999</v>
      </c>
      <c r="F18" s="104">
        <v>0.93300000000000005</v>
      </c>
      <c r="G18" s="104">
        <v>1.696</v>
      </c>
      <c r="H18" s="875">
        <v>0.82</v>
      </c>
      <c r="I18" s="876">
        <v>1.8720000000000001</v>
      </c>
      <c r="J18" s="104">
        <v>0.71</v>
      </c>
      <c r="K18" s="104">
        <v>2.06</v>
      </c>
      <c r="L18" s="875">
        <v>0.60299999999999998</v>
      </c>
      <c r="M18" s="876">
        <v>2.258</v>
      </c>
      <c r="N18" s="104">
        <v>0.502</v>
      </c>
      <c r="O18" s="104">
        <v>2.4609999999999999</v>
      </c>
      <c r="P18" s="875">
        <v>0.40699999999999997</v>
      </c>
      <c r="Q18" s="104">
        <v>2.6680000000000001</v>
      </c>
      <c r="R18" s="875">
        <v>0.32100000000000001</v>
      </c>
      <c r="S18" s="876">
        <v>2.8730000000000002</v>
      </c>
      <c r="T18" s="104">
        <v>0.24399999999999999</v>
      </c>
      <c r="U18" s="104">
        <v>3.073</v>
      </c>
      <c r="V18" s="875">
        <v>0.17699999999999999</v>
      </c>
      <c r="W18" s="876">
        <v>3.2650000000000001</v>
      </c>
      <c r="X18" s="104">
        <v>0.123</v>
      </c>
      <c r="Y18" s="104">
        <v>3.4409999999999998</v>
      </c>
      <c r="Z18" s="875">
        <v>7.8E-2</v>
      </c>
      <c r="AA18" s="876">
        <v>3.6030000000000002</v>
      </c>
      <c r="AB18" s="104"/>
      <c r="AC18" s="104"/>
      <c r="AD18" s="875"/>
      <c r="AE18" s="876"/>
      <c r="AF18" s="104"/>
      <c r="AG18" s="104"/>
      <c r="AH18" s="875"/>
      <c r="AI18" s="876"/>
      <c r="AJ18" s="104"/>
      <c r="AK18" s="104"/>
      <c r="AL18" s="875"/>
      <c r="AM18" s="876"/>
      <c r="AN18" s="104"/>
      <c r="AO18" s="876"/>
    </row>
    <row r="19" spans="1:41">
      <c r="A19" s="793">
        <v>19</v>
      </c>
      <c r="B19" s="875">
        <v>1.18</v>
      </c>
      <c r="C19" s="104">
        <v>1.401</v>
      </c>
      <c r="D19" s="875">
        <v>1.0740000000000001</v>
      </c>
      <c r="E19" s="876">
        <v>1.536</v>
      </c>
      <c r="F19" s="104">
        <v>0.96699999999999997</v>
      </c>
      <c r="G19" s="104">
        <v>1.6850000000000001</v>
      </c>
      <c r="H19" s="875">
        <v>0.85899999999999999</v>
      </c>
      <c r="I19" s="876">
        <v>1.8480000000000001</v>
      </c>
      <c r="J19" s="104">
        <v>0.752</v>
      </c>
      <c r="K19" s="104">
        <v>2.0230000000000001</v>
      </c>
      <c r="L19" s="875">
        <v>0.64900000000000002</v>
      </c>
      <c r="M19" s="876">
        <v>2.206</v>
      </c>
      <c r="N19" s="104">
        <v>0.54900000000000004</v>
      </c>
      <c r="O19" s="104">
        <v>2.3959999999999999</v>
      </c>
      <c r="P19" s="875">
        <v>0.45600000000000002</v>
      </c>
      <c r="Q19" s="104">
        <v>2.589</v>
      </c>
      <c r="R19" s="875">
        <v>0.36899999999999999</v>
      </c>
      <c r="S19" s="876">
        <v>2.7829999999999999</v>
      </c>
      <c r="T19" s="104">
        <v>0.28999999999999998</v>
      </c>
      <c r="U19" s="104">
        <v>2.9740000000000002</v>
      </c>
      <c r="V19" s="875">
        <v>0.22</v>
      </c>
      <c r="W19" s="876">
        <v>3.1589999999999998</v>
      </c>
      <c r="X19" s="104">
        <v>0.16</v>
      </c>
      <c r="Y19" s="104">
        <v>3.335</v>
      </c>
      <c r="Z19" s="875">
        <v>0.111</v>
      </c>
      <c r="AA19" s="876">
        <v>3.496</v>
      </c>
      <c r="AB19" s="104">
        <v>7.0000000000000007E-2</v>
      </c>
      <c r="AC19" s="104">
        <v>3.6419999999999999</v>
      </c>
      <c r="AD19" s="875"/>
      <c r="AE19" s="876"/>
      <c r="AF19" s="104"/>
      <c r="AG19" s="104"/>
      <c r="AH19" s="875"/>
      <c r="AI19" s="876"/>
      <c r="AJ19" s="104"/>
      <c r="AK19" s="104"/>
      <c r="AL19" s="875"/>
      <c r="AM19" s="876"/>
      <c r="AN19" s="104"/>
      <c r="AO19" s="876"/>
    </row>
    <row r="20" spans="1:41">
      <c r="A20" s="793">
        <v>20</v>
      </c>
      <c r="B20" s="875">
        <v>1.2010000000000001</v>
      </c>
      <c r="C20" s="104">
        <v>1.411</v>
      </c>
      <c r="D20" s="875">
        <v>1.1000000000000001</v>
      </c>
      <c r="E20" s="876">
        <v>1.5369999999999999</v>
      </c>
      <c r="F20" s="104">
        <v>0.998</v>
      </c>
      <c r="G20" s="104">
        <v>1.6759999999999999</v>
      </c>
      <c r="H20" s="875">
        <v>0.89400000000000002</v>
      </c>
      <c r="I20" s="876">
        <v>1.8280000000000001</v>
      </c>
      <c r="J20" s="104">
        <v>0.79200000000000004</v>
      </c>
      <c r="K20" s="104">
        <v>1.9910000000000001</v>
      </c>
      <c r="L20" s="875">
        <v>0.69099999999999995</v>
      </c>
      <c r="M20" s="876">
        <v>2.1619999999999999</v>
      </c>
      <c r="N20" s="104">
        <v>0.59499999999999997</v>
      </c>
      <c r="O20" s="104">
        <v>2.339</v>
      </c>
      <c r="P20" s="875">
        <v>0.502</v>
      </c>
      <c r="Q20" s="104">
        <v>2.5209999999999999</v>
      </c>
      <c r="R20" s="875">
        <v>0.41599999999999998</v>
      </c>
      <c r="S20" s="876">
        <v>2.7040000000000002</v>
      </c>
      <c r="T20" s="104">
        <v>0.33600000000000002</v>
      </c>
      <c r="U20" s="104">
        <v>2.8849999999999998</v>
      </c>
      <c r="V20" s="875">
        <v>0.26300000000000001</v>
      </c>
      <c r="W20" s="876">
        <v>3.0630000000000002</v>
      </c>
      <c r="X20" s="104">
        <v>0.2</v>
      </c>
      <c r="Y20" s="104">
        <v>3.234</v>
      </c>
      <c r="Z20" s="875">
        <v>0.14499999999999999</v>
      </c>
      <c r="AA20" s="876">
        <v>3.395</v>
      </c>
      <c r="AB20" s="104">
        <v>0.1</v>
      </c>
      <c r="AC20" s="104">
        <v>3.5419999999999998</v>
      </c>
      <c r="AD20" s="875">
        <v>6.3E-2</v>
      </c>
      <c r="AE20" s="876">
        <v>3.6760000000000002</v>
      </c>
      <c r="AF20" s="104"/>
      <c r="AG20" s="104"/>
      <c r="AH20" s="875"/>
      <c r="AI20" s="876"/>
      <c r="AJ20" s="104"/>
      <c r="AK20" s="104"/>
      <c r="AL20" s="875"/>
      <c r="AM20" s="876"/>
      <c r="AN20" s="104"/>
      <c r="AO20" s="876"/>
    </row>
    <row r="21" spans="1:41">
      <c r="A21" s="793">
        <v>21</v>
      </c>
      <c r="B21" s="875">
        <v>1.2210000000000001</v>
      </c>
      <c r="C21" s="104">
        <v>1.42</v>
      </c>
      <c r="D21" s="875">
        <v>1.125</v>
      </c>
      <c r="E21" s="876">
        <v>1.538</v>
      </c>
      <c r="F21" s="104">
        <v>1.026</v>
      </c>
      <c r="G21" s="104">
        <v>1.669</v>
      </c>
      <c r="H21" s="875">
        <v>0.92700000000000005</v>
      </c>
      <c r="I21" s="876">
        <v>1.8120000000000001</v>
      </c>
      <c r="J21" s="104">
        <v>0.82899999999999996</v>
      </c>
      <c r="K21" s="104">
        <v>1.964</v>
      </c>
      <c r="L21" s="875">
        <v>0.73099999999999998</v>
      </c>
      <c r="M21" s="876">
        <v>2.1240000000000001</v>
      </c>
      <c r="N21" s="104">
        <v>0.63700000000000001</v>
      </c>
      <c r="O21" s="104">
        <v>2.29</v>
      </c>
      <c r="P21" s="875">
        <v>0.54600000000000004</v>
      </c>
      <c r="Q21" s="104">
        <v>2.4609999999999999</v>
      </c>
      <c r="R21" s="875">
        <v>0.46100000000000002</v>
      </c>
      <c r="S21" s="876">
        <v>2.633</v>
      </c>
      <c r="T21" s="104">
        <v>0.38</v>
      </c>
      <c r="U21" s="104">
        <v>2.806</v>
      </c>
      <c r="V21" s="875">
        <v>0.307</v>
      </c>
      <c r="W21" s="876">
        <v>2.976</v>
      </c>
      <c r="X21" s="104">
        <v>0.24</v>
      </c>
      <c r="Y21" s="104">
        <v>3.141</v>
      </c>
      <c r="Z21" s="875">
        <v>0.182</v>
      </c>
      <c r="AA21" s="876">
        <v>3.3</v>
      </c>
      <c r="AB21" s="104">
        <v>0.13200000000000001</v>
      </c>
      <c r="AC21" s="104">
        <v>3.448</v>
      </c>
      <c r="AD21" s="875">
        <v>9.0999999999999998E-2</v>
      </c>
      <c r="AE21" s="876">
        <v>3.5830000000000002</v>
      </c>
      <c r="AF21" s="104">
        <v>5.8000000000000003E-2</v>
      </c>
      <c r="AG21" s="104">
        <v>3.7050000000000001</v>
      </c>
      <c r="AH21" s="875"/>
      <c r="AI21" s="876"/>
      <c r="AJ21" s="104"/>
      <c r="AK21" s="104"/>
      <c r="AL21" s="875"/>
      <c r="AM21" s="876"/>
      <c r="AN21" s="104"/>
      <c r="AO21" s="876"/>
    </row>
    <row r="22" spans="1:41">
      <c r="A22" s="793">
        <v>22</v>
      </c>
      <c r="B22" s="875">
        <v>1.2390000000000001</v>
      </c>
      <c r="C22" s="104">
        <v>1.429</v>
      </c>
      <c r="D22" s="875">
        <v>1.147</v>
      </c>
      <c r="E22" s="876">
        <v>1.5409999999999999</v>
      </c>
      <c r="F22" s="104">
        <v>1.0529999999999999</v>
      </c>
      <c r="G22" s="104">
        <v>1.6639999999999999</v>
      </c>
      <c r="H22" s="875">
        <v>0.95799999999999996</v>
      </c>
      <c r="I22" s="876">
        <v>1.7969999999999999</v>
      </c>
      <c r="J22" s="104">
        <v>0.86299999999999999</v>
      </c>
      <c r="K22" s="104">
        <v>1.94</v>
      </c>
      <c r="L22" s="875">
        <v>0.76900000000000002</v>
      </c>
      <c r="M22" s="876">
        <v>2.09</v>
      </c>
      <c r="N22" s="104">
        <v>0.67700000000000005</v>
      </c>
      <c r="O22" s="104">
        <v>2.246</v>
      </c>
      <c r="P22" s="875">
        <v>0.58799999999999997</v>
      </c>
      <c r="Q22" s="104">
        <v>2.407</v>
      </c>
      <c r="R22" s="875">
        <v>0.504</v>
      </c>
      <c r="S22" s="876">
        <v>2.5710000000000002</v>
      </c>
      <c r="T22" s="104">
        <v>0.42399999999999999</v>
      </c>
      <c r="U22" s="104">
        <v>2.7349999999999999</v>
      </c>
      <c r="V22" s="875">
        <v>0.34899999999999998</v>
      </c>
      <c r="W22" s="876">
        <v>2.8969999999999998</v>
      </c>
      <c r="X22" s="104">
        <v>0.28100000000000003</v>
      </c>
      <c r="Y22" s="104">
        <v>3.0569999999999999</v>
      </c>
      <c r="Z22" s="875">
        <v>0.22</v>
      </c>
      <c r="AA22" s="876">
        <v>3.2109999999999999</v>
      </c>
      <c r="AB22" s="104">
        <v>0.16600000000000001</v>
      </c>
      <c r="AC22" s="104">
        <v>3.3580000000000001</v>
      </c>
      <c r="AD22" s="875">
        <v>0.12</v>
      </c>
      <c r="AE22" s="876">
        <v>3.4950000000000001</v>
      </c>
      <c r="AF22" s="104">
        <v>8.3000000000000004E-2</v>
      </c>
      <c r="AG22" s="104">
        <v>3.6190000000000002</v>
      </c>
      <c r="AH22" s="875">
        <v>5.1999999999999998E-2</v>
      </c>
      <c r="AI22" s="876">
        <v>3.7309999999999999</v>
      </c>
      <c r="AJ22" s="104"/>
      <c r="AK22" s="104"/>
      <c r="AL22" s="875"/>
      <c r="AM22" s="876"/>
      <c r="AN22" s="104"/>
      <c r="AO22" s="876"/>
    </row>
    <row r="23" spans="1:41">
      <c r="A23" s="793">
        <v>23</v>
      </c>
      <c r="B23" s="875">
        <v>1.2569999999999999</v>
      </c>
      <c r="C23" s="104">
        <v>1.4370000000000001</v>
      </c>
      <c r="D23" s="875">
        <v>1.1679999999999999</v>
      </c>
      <c r="E23" s="876">
        <v>1.5429999999999999</v>
      </c>
      <c r="F23" s="104">
        <v>1.0780000000000001</v>
      </c>
      <c r="G23" s="104">
        <v>1.66</v>
      </c>
      <c r="H23" s="875">
        <v>0.98599999999999999</v>
      </c>
      <c r="I23" s="876">
        <v>1.7849999999999999</v>
      </c>
      <c r="J23" s="104">
        <v>0.89500000000000002</v>
      </c>
      <c r="K23" s="104">
        <v>1.92</v>
      </c>
      <c r="L23" s="875">
        <v>0.80400000000000005</v>
      </c>
      <c r="M23" s="876">
        <v>2.0609999999999999</v>
      </c>
      <c r="N23" s="104">
        <v>0.71499999999999997</v>
      </c>
      <c r="O23" s="104">
        <v>2.2080000000000002</v>
      </c>
      <c r="P23" s="875">
        <v>0.628</v>
      </c>
      <c r="Q23" s="104">
        <v>2.36</v>
      </c>
      <c r="R23" s="875">
        <v>0.54500000000000004</v>
      </c>
      <c r="S23" s="876">
        <v>2.5139999999999998</v>
      </c>
      <c r="T23" s="104">
        <v>0.46500000000000002</v>
      </c>
      <c r="U23" s="104">
        <v>2.67</v>
      </c>
      <c r="V23" s="875">
        <v>0.39100000000000001</v>
      </c>
      <c r="W23" s="876">
        <v>2.8260000000000001</v>
      </c>
      <c r="X23" s="104">
        <v>0.32200000000000001</v>
      </c>
      <c r="Y23" s="104">
        <v>2.9790000000000001</v>
      </c>
      <c r="Z23" s="875">
        <v>0.25900000000000001</v>
      </c>
      <c r="AA23" s="876">
        <v>3.1280000000000001</v>
      </c>
      <c r="AB23" s="104">
        <v>0.20200000000000001</v>
      </c>
      <c r="AC23" s="104">
        <v>3.2719999999999998</v>
      </c>
      <c r="AD23" s="875">
        <v>0.153</v>
      </c>
      <c r="AE23" s="876">
        <v>3.4089999999999998</v>
      </c>
      <c r="AF23" s="104">
        <v>0.11</v>
      </c>
      <c r="AG23" s="104">
        <v>3.5350000000000001</v>
      </c>
      <c r="AH23" s="875">
        <v>7.5999999999999998E-2</v>
      </c>
      <c r="AI23" s="876">
        <v>3.65</v>
      </c>
      <c r="AJ23" s="104">
        <v>4.8000000000000001E-2</v>
      </c>
      <c r="AK23" s="104">
        <v>3.7530000000000001</v>
      </c>
      <c r="AL23" s="875"/>
      <c r="AM23" s="876"/>
      <c r="AN23" s="104"/>
      <c r="AO23" s="876"/>
    </row>
    <row r="24" spans="1:41">
      <c r="A24" s="793">
        <v>24</v>
      </c>
      <c r="B24" s="875">
        <v>1.2729999999999999</v>
      </c>
      <c r="C24" s="104">
        <v>1.446</v>
      </c>
      <c r="D24" s="875">
        <v>1.1879999999999999</v>
      </c>
      <c r="E24" s="876">
        <v>1.546</v>
      </c>
      <c r="F24" s="104">
        <v>1.101</v>
      </c>
      <c r="G24" s="104">
        <v>1.6559999999999999</v>
      </c>
      <c r="H24" s="875">
        <v>1.0129999999999999</v>
      </c>
      <c r="I24" s="876">
        <v>1.7749999999999999</v>
      </c>
      <c r="J24" s="104">
        <v>0.92500000000000004</v>
      </c>
      <c r="K24" s="104">
        <v>1.9019999999999999</v>
      </c>
      <c r="L24" s="875">
        <v>0.83699999999999997</v>
      </c>
      <c r="M24" s="876">
        <v>2.0350000000000001</v>
      </c>
      <c r="N24" s="104">
        <v>0.75</v>
      </c>
      <c r="O24" s="104">
        <v>2.1739999999999999</v>
      </c>
      <c r="P24" s="875">
        <v>0.66600000000000004</v>
      </c>
      <c r="Q24" s="104">
        <v>2.3180000000000001</v>
      </c>
      <c r="R24" s="875">
        <v>0.58399999999999996</v>
      </c>
      <c r="S24" s="876">
        <v>2.464</v>
      </c>
      <c r="T24" s="104">
        <v>0.50600000000000001</v>
      </c>
      <c r="U24" s="104">
        <v>2.613</v>
      </c>
      <c r="V24" s="875">
        <v>0.43099999999999999</v>
      </c>
      <c r="W24" s="876">
        <v>2.7610000000000001</v>
      </c>
      <c r="X24" s="104">
        <v>0.36199999999999999</v>
      </c>
      <c r="Y24" s="104">
        <v>2.9079999999999999</v>
      </c>
      <c r="Z24" s="875">
        <v>0.29699999999999999</v>
      </c>
      <c r="AA24" s="876">
        <v>3.0529999999999999</v>
      </c>
      <c r="AB24" s="104">
        <v>0.23899999999999999</v>
      </c>
      <c r="AC24" s="104">
        <v>3.1930000000000001</v>
      </c>
      <c r="AD24" s="875">
        <v>0.186</v>
      </c>
      <c r="AE24" s="876">
        <v>3.327</v>
      </c>
      <c r="AF24" s="104">
        <v>0.14099999999999999</v>
      </c>
      <c r="AG24" s="104">
        <v>3.4540000000000002</v>
      </c>
      <c r="AH24" s="875">
        <v>0.10100000000000001</v>
      </c>
      <c r="AI24" s="876">
        <v>3.5720000000000001</v>
      </c>
      <c r="AJ24" s="104">
        <v>7.0000000000000007E-2</v>
      </c>
      <c r="AK24" s="104">
        <v>3.6779999999999999</v>
      </c>
      <c r="AL24" s="875">
        <v>4.3999999999999997E-2</v>
      </c>
      <c r="AM24" s="876">
        <v>3.7730000000000001</v>
      </c>
      <c r="AN24" s="104"/>
      <c r="AO24" s="876"/>
    </row>
    <row r="25" spans="1:41">
      <c r="A25" s="793">
        <v>25</v>
      </c>
      <c r="B25" s="875">
        <v>1.288</v>
      </c>
      <c r="C25" s="104">
        <v>1.454</v>
      </c>
      <c r="D25" s="875">
        <v>1.206</v>
      </c>
      <c r="E25" s="876">
        <v>1.55</v>
      </c>
      <c r="F25" s="104">
        <v>1.123</v>
      </c>
      <c r="G25" s="104">
        <v>1.6539999999999999</v>
      </c>
      <c r="H25" s="875">
        <v>1.038</v>
      </c>
      <c r="I25" s="876">
        <v>1.7669999999999999</v>
      </c>
      <c r="J25" s="104">
        <v>0.95299999999999996</v>
      </c>
      <c r="K25" s="104">
        <v>1.8859999999999999</v>
      </c>
      <c r="L25" s="875">
        <v>0.86799999999999999</v>
      </c>
      <c r="M25" s="876">
        <v>2.0129999999999999</v>
      </c>
      <c r="N25" s="104">
        <v>0.78400000000000003</v>
      </c>
      <c r="O25" s="104">
        <v>2.1440000000000001</v>
      </c>
      <c r="P25" s="875">
        <v>0.70199999999999996</v>
      </c>
      <c r="Q25" s="104">
        <v>2.2799999999999998</v>
      </c>
      <c r="R25" s="875">
        <v>0.621</v>
      </c>
      <c r="S25" s="876">
        <v>2.419</v>
      </c>
      <c r="T25" s="104">
        <v>0.54400000000000004</v>
      </c>
      <c r="U25" s="104">
        <v>2.56</v>
      </c>
      <c r="V25" s="875">
        <v>0.47</v>
      </c>
      <c r="W25" s="876">
        <v>2.702</v>
      </c>
      <c r="X25" s="104">
        <v>0.4</v>
      </c>
      <c r="Y25" s="104">
        <v>2.8439999999999999</v>
      </c>
      <c r="Z25" s="875">
        <v>0.33500000000000002</v>
      </c>
      <c r="AA25" s="876">
        <v>2.9830000000000001</v>
      </c>
      <c r="AB25" s="104">
        <v>0.27500000000000002</v>
      </c>
      <c r="AC25" s="104">
        <v>3.1190000000000002</v>
      </c>
      <c r="AD25" s="875">
        <v>0.221</v>
      </c>
      <c r="AE25" s="876">
        <v>3.2509999999999999</v>
      </c>
      <c r="AF25" s="104">
        <v>0.17199999999999999</v>
      </c>
      <c r="AG25" s="104">
        <v>3.3759999999999999</v>
      </c>
      <c r="AH25" s="875">
        <v>0.13</v>
      </c>
      <c r="AI25" s="876">
        <v>3.4940000000000002</v>
      </c>
      <c r="AJ25" s="104">
        <v>9.4E-2</v>
      </c>
      <c r="AK25" s="104">
        <v>3.6040000000000001</v>
      </c>
      <c r="AL25" s="875">
        <v>6.5000000000000002E-2</v>
      </c>
      <c r="AM25" s="876">
        <v>3.702</v>
      </c>
      <c r="AN25" s="104">
        <v>4.1000000000000002E-2</v>
      </c>
      <c r="AO25" s="876">
        <v>3.79</v>
      </c>
    </row>
    <row r="26" spans="1:41">
      <c r="A26" s="793">
        <v>26</v>
      </c>
      <c r="B26" s="875">
        <v>1.302</v>
      </c>
      <c r="C26" s="104">
        <v>1.4610000000000001</v>
      </c>
      <c r="D26" s="875">
        <v>1.224</v>
      </c>
      <c r="E26" s="876">
        <v>1.5529999999999999</v>
      </c>
      <c r="F26" s="104">
        <v>1.143</v>
      </c>
      <c r="G26" s="104">
        <v>1.6519999999999999</v>
      </c>
      <c r="H26" s="875">
        <v>1.0620000000000001</v>
      </c>
      <c r="I26" s="876">
        <v>1.7589999999999999</v>
      </c>
      <c r="J26" s="104">
        <v>0.97899999999999998</v>
      </c>
      <c r="K26" s="104">
        <v>1.873</v>
      </c>
      <c r="L26" s="875">
        <v>0.89700000000000002</v>
      </c>
      <c r="M26" s="876">
        <v>1.992</v>
      </c>
      <c r="N26" s="104">
        <v>0.81599999999999995</v>
      </c>
      <c r="O26" s="104">
        <v>2.117</v>
      </c>
      <c r="P26" s="875">
        <v>0.73499999999999999</v>
      </c>
      <c r="Q26" s="104">
        <v>2.246</v>
      </c>
      <c r="R26" s="875">
        <v>0.65700000000000003</v>
      </c>
      <c r="S26" s="876">
        <v>2.379</v>
      </c>
      <c r="T26" s="104">
        <v>0.58099999999999996</v>
      </c>
      <c r="U26" s="104">
        <v>2.5129999999999999</v>
      </c>
      <c r="V26" s="875">
        <v>0.50800000000000001</v>
      </c>
      <c r="W26" s="876">
        <v>2.649</v>
      </c>
      <c r="X26" s="104">
        <v>0.438</v>
      </c>
      <c r="Y26" s="104">
        <v>2.7839999999999998</v>
      </c>
      <c r="Z26" s="875">
        <v>0.373</v>
      </c>
      <c r="AA26" s="876">
        <v>2.919</v>
      </c>
      <c r="AB26" s="104">
        <v>0.312</v>
      </c>
      <c r="AC26" s="104">
        <v>3.0510000000000002</v>
      </c>
      <c r="AD26" s="875">
        <v>0.25600000000000001</v>
      </c>
      <c r="AE26" s="876">
        <v>3.1789999999999998</v>
      </c>
      <c r="AF26" s="104">
        <v>0.20499999999999999</v>
      </c>
      <c r="AG26" s="104">
        <v>3.3029999999999999</v>
      </c>
      <c r="AH26" s="875">
        <v>0.16</v>
      </c>
      <c r="AI26" s="876">
        <v>3.42</v>
      </c>
      <c r="AJ26" s="104">
        <v>0.12</v>
      </c>
      <c r="AK26" s="104">
        <v>3.5310000000000001</v>
      </c>
      <c r="AL26" s="875">
        <v>8.6999999999999994E-2</v>
      </c>
      <c r="AM26" s="876">
        <v>3.6320000000000001</v>
      </c>
      <c r="AN26" s="104">
        <v>0.06</v>
      </c>
      <c r="AO26" s="876">
        <v>3.7240000000000002</v>
      </c>
    </row>
    <row r="27" spans="1:41">
      <c r="A27" s="793">
        <v>27</v>
      </c>
      <c r="B27" s="875">
        <v>1.3160000000000001</v>
      </c>
      <c r="C27" s="104">
        <v>1.4690000000000001</v>
      </c>
      <c r="D27" s="875">
        <v>1.24</v>
      </c>
      <c r="E27" s="876">
        <v>1.556</v>
      </c>
      <c r="F27" s="104">
        <v>1.1619999999999999</v>
      </c>
      <c r="G27" s="104">
        <v>1.651</v>
      </c>
      <c r="H27" s="875">
        <v>1.0840000000000001</v>
      </c>
      <c r="I27" s="876">
        <v>1.7529999999999999</v>
      </c>
      <c r="J27" s="104">
        <v>1.004</v>
      </c>
      <c r="K27" s="104">
        <v>1.861</v>
      </c>
      <c r="L27" s="875">
        <v>0.92500000000000004</v>
      </c>
      <c r="M27" s="876">
        <v>1.974</v>
      </c>
      <c r="N27" s="104">
        <v>0.84499999999999997</v>
      </c>
      <c r="O27" s="104">
        <v>2.093</v>
      </c>
      <c r="P27" s="875">
        <v>0.76700000000000002</v>
      </c>
      <c r="Q27" s="104">
        <v>2.2160000000000002</v>
      </c>
      <c r="R27" s="875">
        <v>0.69099999999999995</v>
      </c>
      <c r="S27" s="876">
        <v>2.3420000000000001</v>
      </c>
      <c r="T27" s="104">
        <v>0.61599999999999999</v>
      </c>
      <c r="U27" s="104">
        <v>2.4700000000000002</v>
      </c>
      <c r="V27" s="875">
        <v>0.54400000000000004</v>
      </c>
      <c r="W27" s="876">
        <v>2.6</v>
      </c>
      <c r="X27" s="104">
        <v>0.47499999999999998</v>
      </c>
      <c r="Y27" s="104">
        <v>2.73</v>
      </c>
      <c r="Z27" s="875">
        <v>0.40899999999999997</v>
      </c>
      <c r="AA27" s="876">
        <v>2.859</v>
      </c>
      <c r="AB27" s="104">
        <v>0.34799999999999998</v>
      </c>
      <c r="AC27" s="104">
        <v>2.9870000000000001</v>
      </c>
      <c r="AD27" s="875">
        <v>0.29099999999999998</v>
      </c>
      <c r="AE27" s="876">
        <v>3.1120000000000001</v>
      </c>
      <c r="AF27" s="104">
        <v>0.23799999999999999</v>
      </c>
      <c r="AG27" s="104">
        <v>3.2330000000000001</v>
      </c>
      <c r="AH27" s="875">
        <v>0.191</v>
      </c>
      <c r="AI27" s="876">
        <v>3.3490000000000002</v>
      </c>
      <c r="AJ27" s="104">
        <v>0.14899999999999999</v>
      </c>
      <c r="AK27" s="104">
        <v>3.46</v>
      </c>
      <c r="AL27" s="875">
        <v>0.112</v>
      </c>
      <c r="AM27" s="876">
        <v>3.5630000000000002</v>
      </c>
      <c r="AN27" s="104">
        <v>8.1000000000000003E-2</v>
      </c>
      <c r="AO27" s="876">
        <v>3.6579999999999999</v>
      </c>
    </row>
    <row r="28" spans="1:41">
      <c r="A28" s="793">
        <v>28</v>
      </c>
      <c r="B28" s="875">
        <v>1.3280000000000001</v>
      </c>
      <c r="C28" s="104">
        <v>1.476</v>
      </c>
      <c r="D28" s="875">
        <v>1.2549999999999999</v>
      </c>
      <c r="E28" s="876">
        <v>1.56</v>
      </c>
      <c r="F28" s="104">
        <v>1.181</v>
      </c>
      <c r="G28" s="104">
        <v>1.65</v>
      </c>
      <c r="H28" s="875">
        <v>1.1040000000000001</v>
      </c>
      <c r="I28" s="876">
        <v>1.7470000000000001</v>
      </c>
      <c r="J28" s="104">
        <v>1.028</v>
      </c>
      <c r="K28" s="104">
        <v>1.85</v>
      </c>
      <c r="L28" s="875">
        <v>0.95099999999999996</v>
      </c>
      <c r="M28" s="876">
        <v>1.9590000000000001</v>
      </c>
      <c r="N28" s="104">
        <v>0.874</v>
      </c>
      <c r="O28" s="104">
        <v>2.0710000000000002</v>
      </c>
      <c r="P28" s="875">
        <v>0.79800000000000004</v>
      </c>
      <c r="Q28" s="104">
        <v>2.1880000000000002</v>
      </c>
      <c r="R28" s="875">
        <v>0.72299999999999998</v>
      </c>
      <c r="S28" s="876">
        <v>2.3090000000000002</v>
      </c>
      <c r="T28" s="104">
        <v>0.64900000000000002</v>
      </c>
      <c r="U28" s="104">
        <v>2.431</v>
      </c>
      <c r="V28" s="875">
        <v>0.57799999999999996</v>
      </c>
      <c r="W28" s="876">
        <v>2.5550000000000002</v>
      </c>
      <c r="X28" s="104">
        <v>0.51</v>
      </c>
      <c r="Y28" s="104">
        <v>2.68</v>
      </c>
      <c r="Z28" s="875">
        <v>0.44500000000000001</v>
      </c>
      <c r="AA28" s="876">
        <v>2.8050000000000002</v>
      </c>
      <c r="AB28" s="104">
        <v>0.38300000000000001</v>
      </c>
      <c r="AC28" s="104">
        <v>2.9279999999999999</v>
      </c>
      <c r="AD28" s="875">
        <v>0.32500000000000001</v>
      </c>
      <c r="AE28" s="876">
        <v>3.05</v>
      </c>
      <c r="AF28" s="104">
        <v>0.27100000000000002</v>
      </c>
      <c r="AG28" s="104">
        <v>3.1680000000000001</v>
      </c>
      <c r="AH28" s="875">
        <v>0.222</v>
      </c>
      <c r="AI28" s="876">
        <v>3.2829999999999999</v>
      </c>
      <c r="AJ28" s="104">
        <v>0.17799999999999999</v>
      </c>
      <c r="AK28" s="104">
        <v>3.3919999999999999</v>
      </c>
      <c r="AL28" s="875">
        <v>0.13800000000000001</v>
      </c>
      <c r="AM28" s="876">
        <v>3.4950000000000001</v>
      </c>
      <c r="AN28" s="104">
        <v>0.104</v>
      </c>
      <c r="AO28" s="876">
        <v>3.5920000000000001</v>
      </c>
    </row>
    <row r="29" spans="1:41">
      <c r="A29" s="793">
        <v>29</v>
      </c>
      <c r="B29" s="875">
        <v>1.341</v>
      </c>
      <c r="C29" s="104">
        <v>1.4830000000000001</v>
      </c>
      <c r="D29" s="875">
        <v>1.27</v>
      </c>
      <c r="E29" s="876">
        <v>1.5629999999999999</v>
      </c>
      <c r="F29" s="104">
        <v>1.198</v>
      </c>
      <c r="G29" s="104">
        <v>1.65</v>
      </c>
      <c r="H29" s="875">
        <v>1.1240000000000001</v>
      </c>
      <c r="I29" s="876">
        <v>1.7430000000000001</v>
      </c>
      <c r="J29" s="104">
        <v>1.05</v>
      </c>
      <c r="K29" s="104">
        <v>1.841</v>
      </c>
      <c r="L29" s="875">
        <v>0.97499999999999998</v>
      </c>
      <c r="M29" s="876">
        <v>1.944</v>
      </c>
      <c r="N29" s="104">
        <v>0.9</v>
      </c>
      <c r="O29" s="104">
        <v>2.052</v>
      </c>
      <c r="P29" s="875">
        <v>0.82599999999999996</v>
      </c>
      <c r="Q29" s="104">
        <v>2.1640000000000001</v>
      </c>
      <c r="R29" s="875">
        <v>0.753</v>
      </c>
      <c r="S29" s="876">
        <v>2.278</v>
      </c>
      <c r="T29" s="104">
        <v>0.68100000000000005</v>
      </c>
      <c r="U29" s="104">
        <v>2.3959999999999999</v>
      </c>
      <c r="V29" s="875">
        <v>0.61199999999999999</v>
      </c>
      <c r="W29" s="876">
        <v>2.5150000000000001</v>
      </c>
      <c r="X29" s="104">
        <v>0.54400000000000004</v>
      </c>
      <c r="Y29" s="104">
        <v>2.6339999999999999</v>
      </c>
      <c r="Z29" s="875">
        <v>0.47899999999999998</v>
      </c>
      <c r="AA29" s="876">
        <v>2.7549999999999999</v>
      </c>
      <c r="AB29" s="104">
        <v>0.41799999999999998</v>
      </c>
      <c r="AC29" s="104">
        <v>2.8740000000000001</v>
      </c>
      <c r="AD29" s="875">
        <v>0.35899999999999999</v>
      </c>
      <c r="AE29" s="876">
        <v>2.992</v>
      </c>
      <c r="AF29" s="104">
        <v>0.30499999999999999</v>
      </c>
      <c r="AG29" s="104">
        <v>3.1070000000000002</v>
      </c>
      <c r="AH29" s="875">
        <v>0.254</v>
      </c>
      <c r="AI29" s="876">
        <v>3.2189999999999999</v>
      </c>
      <c r="AJ29" s="104">
        <v>0.20799999999999999</v>
      </c>
      <c r="AK29" s="104">
        <v>3.327</v>
      </c>
      <c r="AL29" s="875">
        <v>0.16600000000000001</v>
      </c>
      <c r="AM29" s="876">
        <v>3.431</v>
      </c>
      <c r="AN29" s="104">
        <v>0.129</v>
      </c>
      <c r="AO29" s="876">
        <v>3.528</v>
      </c>
    </row>
    <row r="30" spans="1:41">
      <c r="A30" s="793">
        <v>30</v>
      </c>
      <c r="B30" s="875">
        <v>1.3520000000000001</v>
      </c>
      <c r="C30" s="104">
        <v>1.4890000000000001</v>
      </c>
      <c r="D30" s="875">
        <v>1.284</v>
      </c>
      <c r="E30" s="876">
        <v>1.5669999999999999</v>
      </c>
      <c r="F30" s="104">
        <v>1.214</v>
      </c>
      <c r="G30" s="104">
        <v>1.65</v>
      </c>
      <c r="H30" s="875">
        <v>1.143</v>
      </c>
      <c r="I30" s="876">
        <v>1.7390000000000001</v>
      </c>
      <c r="J30" s="104">
        <v>1.071</v>
      </c>
      <c r="K30" s="104">
        <v>1.833</v>
      </c>
      <c r="L30" s="875">
        <v>0.998</v>
      </c>
      <c r="M30" s="876">
        <v>1.931</v>
      </c>
      <c r="N30" s="104">
        <v>0.92600000000000005</v>
      </c>
      <c r="O30" s="104">
        <v>2.0339999999999998</v>
      </c>
      <c r="P30" s="875">
        <v>0.85399999999999998</v>
      </c>
      <c r="Q30" s="104">
        <v>2.141</v>
      </c>
      <c r="R30" s="875">
        <v>0.78200000000000003</v>
      </c>
      <c r="S30" s="876">
        <v>2.2509999999999999</v>
      </c>
      <c r="T30" s="104">
        <v>0.71199999999999997</v>
      </c>
      <c r="U30" s="104">
        <v>2.363</v>
      </c>
      <c r="V30" s="875">
        <v>0.64300000000000002</v>
      </c>
      <c r="W30" s="876">
        <v>2.4769999999999999</v>
      </c>
      <c r="X30" s="104">
        <v>0.57699999999999996</v>
      </c>
      <c r="Y30" s="104">
        <v>2.5920000000000001</v>
      </c>
      <c r="Z30" s="875">
        <v>0.51200000000000001</v>
      </c>
      <c r="AA30" s="876">
        <v>2.7080000000000002</v>
      </c>
      <c r="AB30" s="104">
        <v>0.45100000000000001</v>
      </c>
      <c r="AC30" s="104">
        <v>2.823</v>
      </c>
      <c r="AD30" s="875">
        <v>0.39200000000000002</v>
      </c>
      <c r="AE30" s="876">
        <v>2.9369999999999998</v>
      </c>
      <c r="AF30" s="104">
        <v>0.33700000000000002</v>
      </c>
      <c r="AG30" s="104">
        <v>3.05</v>
      </c>
      <c r="AH30" s="875">
        <v>0.28599999999999998</v>
      </c>
      <c r="AI30" s="876">
        <v>3.16</v>
      </c>
      <c r="AJ30" s="104">
        <v>0.23799999999999999</v>
      </c>
      <c r="AK30" s="104">
        <v>3.266</v>
      </c>
      <c r="AL30" s="875">
        <v>0.19500000000000001</v>
      </c>
      <c r="AM30" s="876">
        <v>3.3679999999999999</v>
      </c>
      <c r="AN30" s="104">
        <v>0.156</v>
      </c>
      <c r="AO30" s="876">
        <v>3.4649999999999999</v>
      </c>
    </row>
    <row r="31" spans="1:41">
      <c r="A31" s="793">
        <v>31</v>
      </c>
      <c r="B31" s="875">
        <v>1.363</v>
      </c>
      <c r="C31" s="104">
        <v>1.496</v>
      </c>
      <c r="D31" s="875">
        <v>1.2969999999999999</v>
      </c>
      <c r="E31" s="876">
        <v>1.57</v>
      </c>
      <c r="F31" s="104">
        <v>1.2290000000000001</v>
      </c>
      <c r="G31" s="104">
        <v>1.65</v>
      </c>
      <c r="H31" s="875">
        <v>1.1599999999999999</v>
      </c>
      <c r="I31" s="876">
        <v>1.7350000000000001</v>
      </c>
      <c r="J31" s="104">
        <v>1.0900000000000001</v>
      </c>
      <c r="K31" s="104">
        <v>1.825</v>
      </c>
      <c r="L31" s="875">
        <v>1.02</v>
      </c>
      <c r="M31" s="876">
        <v>1.92</v>
      </c>
      <c r="N31" s="104">
        <v>0.95</v>
      </c>
      <c r="O31" s="104">
        <v>2.0179999999999998</v>
      </c>
      <c r="P31" s="875">
        <v>0.879</v>
      </c>
      <c r="Q31" s="104">
        <v>2.12</v>
      </c>
      <c r="R31" s="875">
        <v>0.81</v>
      </c>
      <c r="S31" s="876">
        <v>2.226</v>
      </c>
      <c r="T31" s="104">
        <v>0.74099999999999999</v>
      </c>
      <c r="U31" s="104">
        <v>2.3330000000000002</v>
      </c>
      <c r="V31" s="875">
        <v>0.67400000000000004</v>
      </c>
      <c r="W31" s="876">
        <v>2.4430000000000001</v>
      </c>
      <c r="X31" s="104">
        <v>0.60799999999999998</v>
      </c>
      <c r="Y31" s="104">
        <v>2.5529999999999999</v>
      </c>
      <c r="Z31" s="875">
        <v>0.54500000000000004</v>
      </c>
      <c r="AA31" s="876">
        <v>2.665</v>
      </c>
      <c r="AB31" s="104">
        <v>0.48399999999999999</v>
      </c>
      <c r="AC31" s="104">
        <v>2.7759999999999998</v>
      </c>
      <c r="AD31" s="875">
        <v>0.42499999999999999</v>
      </c>
      <c r="AE31" s="876">
        <v>2.887</v>
      </c>
      <c r="AF31" s="104">
        <v>0.37</v>
      </c>
      <c r="AG31" s="104">
        <v>2.996</v>
      </c>
      <c r="AH31" s="875">
        <v>0.317</v>
      </c>
      <c r="AI31" s="876">
        <v>3.1030000000000002</v>
      </c>
      <c r="AJ31" s="104">
        <v>0.26900000000000002</v>
      </c>
      <c r="AK31" s="104">
        <v>3.2080000000000002</v>
      </c>
      <c r="AL31" s="875">
        <v>0.224</v>
      </c>
      <c r="AM31" s="876">
        <v>3.3090000000000002</v>
      </c>
      <c r="AN31" s="104">
        <v>0.183</v>
      </c>
      <c r="AO31" s="876">
        <v>3.4060000000000001</v>
      </c>
    </row>
    <row r="32" spans="1:41">
      <c r="A32" s="793">
        <v>32</v>
      </c>
      <c r="B32" s="875">
        <v>1.373</v>
      </c>
      <c r="C32" s="104">
        <v>1.502</v>
      </c>
      <c r="D32" s="875">
        <v>1.3089999999999999</v>
      </c>
      <c r="E32" s="876">
        <v>1.5740000000000001</v>
      </c>
      <c r="F32" s="104">
        <v>1.244</v>
      </c>
      <c r="G32" s="104">
        <v>1.65</v>
      </c>
      <c r="H32" s="875">
        <v>1.177</v>
      </c>
      <c r="I32" s="876">
        <v>1.732</v>
      </c>
      <c r="J32" s="104">
        <v>1.109</v>
      </c>
      <c r="K32" s="104">
        <v>1.819</v>
      </c>
      <c r="L32" s="875">
        <v>1.0409999999999999</v>
      </c>
      <c r="M32" s="876">
        <v>1.909</v>
      </c>
      <c r="N32" s="104">
        <v>0.97199999999999998</v>
      </c>
      <c r="O32" s="104">
        <v>2.004</v>
      </c>
      <c r="P32" s="875">
        <v>0.90400000000000003</v>
      </c>
      <c r="Q32" s="104">
        <v>2.1019999999999999</v>
      </c>
      <c r="R32" s="875">
        <v>0.83599999999999997</v>
      </c>
      <c r="S32" s="876">
        <v>2.2029999999999998</v>
      </c>
      <c r="T32" s="104">
        <v>0.76900000000000002</v>
      </c>
      <c r="U32" s="104">
        <v>2.306</v>
      </c>
      <c r="V32" s="875">
        <v>0.70299999999999996</v>
      </c>
      <c r="W32" s="876">
        <v>2.411</v>
      </c>
      <c r="X32" s="104">
        <v>0.63800000000000001</v>
      </c>
      <c r="Y32" s="104">
        <v>2.5169999999999999</v>
      </c>
      <c r="Z32" s="875">
        <v>0.57599999999999996</v>
      </c>
      <c r="AA32" s="876">
        <v>2.625</v>
      </c>
      <c r="AB32" s="104">
        <v>0.51500000000000001</v>
      </c>
      <c r="AC32" s="104">
        <v>2.7330000000000001</v>
      </c>
      <c r="AD32" s="875">
        <v>0.45700000000000002</v>
      </c>
      <c r="AE32" s="876">
        <v>2.84</v>
      </c>
      <c r="AF32" s="104">
        <v>0.40100000000000002</v>
      </c>
      <c r="AG32" s="104">
        <v>2.9460000000000002</v>
      </c>
      <c r="AH32" s="875">
        <v>0.34899999999999998</v>
      </c>
      <c r="AI32" s="876">
        <v>3.05</v>
      </c>
      <c r="AJ32" s="104">
        <v>0.29899999999999999</v>
      </c>
      <c r="AK32" s="104">
        <v>3.153</v>
      </c>
      <c r="AL32" s="875">
        <v>0.253</v>
      </c>
      <c r="AM32" s="876">
        <v>3.2519999999999998</v>
      </c>
      <c r="AN32" s="104">
        <v>0.21099999999999999</v>
      </c>
      <c r="AO32" s="876">
        <v>3.3479999999999999</v>
      </c>
    </row>
    <row r="33" spans="1:41">
      <c r="A33" s="793">
        <v>33</v>
      </c>
      <c r="B33" s="875">
        <v>1.383</v>
      </c>
      <c r="C33" s="104">
        <v>1.508</v>
      </c>
      <c r="D33" s="875">
        <v>1.321</v>
      </c>
      <c r="E33" s="876">
        <v>1.577</v>
      </c>
      <c r="F33" s="104">
        <v>1.258</v>
      </c>
      <c r="G33" s="104">
        <v>1.651</v>
      </c>
      <c r="H33" s="875">
        <v>1.1930000000000001</v>
      </c>
      <c r="I33" s="876">
        <v>1.73</v>
      </c>
      <c r="J33" s="104">
        <v>1.127</v>
      </c>
      <c r="K33" s="104">
        <v>1.8129999999999999</v>
      </c>
      <c r="L33" s="875">
        <v>1.0609999999999999</v>
      </c>
      <c r="M33" s="876">
        <v>1.9</v>
      </c>
      <c r="N33" s="104">
        <v>0.99399999999999999</v>
      </c>
      <c r="O33" s="104">
        <v>1.9910000000000001</v>
      </c>
      <c r="P33" s="875">
        <v>0.92700000000000005</v>
      </c>
      <c r="Q33" s="104">
        <v>2.085</v>
      </c>
      <c r="R33" s="875">
        <v>0.86099999999999999</v>
      </c>
      <c r="S33" s="876">
        <v>2.181</v>
      </c>
      <c r="T33" s="104">
        <v>0.79600000000000004</v>
      </c>
      <c r="U33" s="104">
        <v>2.2810000000000001</v>
      </c>
      <c r="V33" s="875">
        <v>0.73099999999999998</v>
      </c>
      <c r="W33" s="876">
        <v>2.3820000000000001</v>
      </c>
      <c r="X33" s="104">
        <v>0.66800000000000004</v>
      </c>
      <c r="Y33" s="104">
        <v>2.484</v>
      </c>
      <c r="Z33" s="875">
        <v>0.60599999999999998</v>
      </c>
      <c r="AA33" s="876">
        <v>2.5880000000000001</v>
      </c>
      <c r="AB33" s="104">
        <v>0.54600000000000004</v>
      </c>
      <c r="AC33" s="104">
        <v>2.6920000000000002</v>
      </c>
      <c r="AD33" s="875">
        <v>0.48799999999999999</v>
      </c>
      <c r="AE33" s="876">
        <v>2.7959999999999998</v>
      </c>
      <c r="AF33" s="104">
        <v>0.432</v>
      </c>
      <c r="AG33" s="104">
        <v>2.899</v>
      </c>
      <c r="AH33" s="875">
        <v>0.379</v>
      </c>
      <c r="AI33" s="876">
        <v>3</v>
      </c>
      <c r="AJ33" s="104">
        <v>0.32900000000000001</v>
      </c>
      <c r="AK33" s="104">
        <v>3.1</v>
      </c>
      <c r="AL33" s="875">
        <v>0.28299999999999997</v>
      </c>
      <c r="AM33" s="876">
        <v>3.198</v>
      </c>
      <c r="AN33" s="104">
        <v>0.23899999999999999</v>
      </c>
      <c r="AO33" s="876">
        <v>3.2930000000000001</v>
      </c>
    </row>
    <row r="34" spans="1:41">
      <c r="A34" s="793">
        <v>34</v>
      </c>
      <c r="B34" s="875">
        <v>1.393</v>
      </c>
      <c r="C34" s="104">
        <v>1.514</v>
      </c>
      <c r="D34" s="875">
        <v>1.333</v>
      </c>
      <c r="E34" s="876">
        <v>1.58</v>
      </c>
      <c r="F34" s="104">
        <v>1.2709999999999999</v>
      </c>
      <c r="G34" s="104">
        <v>1.6519999999999999</v>
      </c>
      <c r="H34" s="875">
        <v>1.208</v>
      </c>
      <c r="I34" s="876">
        <v>1.728</v>
      </c>
      <c r="J34" s="104">
        <v>1.1439999999999999</v>
      </c>
      <c r="K34" s="104">
        <v>1.8080000000000001</v>
      </c>
      <c r="L34" s="875">
        <v>1.079</v>
      </c>
      <c r="M34" s="876">
        <v>1.891</v>
      </c>
      <c r="N34" s="104">
        <v>1.0149999999999999</v>
      </c>
      <c r="O34" s="104">
        <v>1.978</v>
      </c>
      <c r="P34" s="875">
        <v>0.95</v>
      </c>
      <c r="Q34" s="104">
        <v>2.069</v>
      </c>
      <c r="R34" s="875">
        <v>0.88500000000000001</v>
      </c>
      <c r="S34" s="876">
        <v>2.1619999999999999</v>
      </c>
      <c r="T34" s="104">
        <v>0.82099999999999995</v>
      </c>
      <c r="U34" s="104">
        <v>2.2570000000000001</v>
      </c>
      <c r="V34" s="875">
        <v>0.75800000000000001</v>
      </c>
      <c r="W34" s="876">
        <v>2.355</v>
      </c>
      <c r="X34" s="104">
        <v>0.69499999999999995</v>
      </c>
      <c r="Y34" s="104">
        <v>2.4540000000000002</v>
      </c>
      <c r="Z34" s="875">
        <v>0.63400000000000001</v>
      </c>
      <c r="AA34" s="876">
        <v>2.5539999999999998</v>
      </c>
      <c r="AB34" s="104">
        <v>0.57499999999999996</v>
      </c>
      <c r="AC34" s="104">
        <v>2.6539999999999999</v>
      </c>
      <c r="AD34" s="875">
        <v>0.51800000000000002</v>
      </c>
      <c r="AE34" s="876">
        <v>2.754</v>
      </c>
      <c r="AF34" s="104">
        <v>0.46200000000000002</v>
      </c>
      <c r="AG34" s="104">
        <v>2.8540000000000001</v>
      </c>
      <c r="AH34" s="875">
        <v>0.40899999999999997</v>
      </c>
      <c r="AI34" s="876">
        <v>2.9540000000000002</v>
      </c>
      <c r="AJ34" s="104">
        <v>0.35899999999999999</v>
      </c>
      <c r="AK34" s="104">
        <v>3.0510000000000002</v>
      </c>
      <c r="AL34" s="875">
        <v>0.312</v>
      </c>
      <c r="AM34" s="876">
        <v>3.1469999999999998</v>
      </c>
      <c r="AN34" s="104">
        <v>0.26700000000000002</v>
      </c>
      <c r="AO34" s="876">
        <v>3.24</v>
      </c>
    </row>
    <row r="35" spans="1:41">
      <c r="A35" s="793">
        <v>35</v>
      </c>
      <c r="B35" s="875">
        <v>1.4019999999999999</v>
      </c>
      <c r="C35" s="104">
        <v>1.5189999999999999</v>
      </c>
      <c r="D35" s="875">
        <v>1.343</v>
      </c>
      <c r="E35" s="876">
        <v>1.5840000000000001</v>
      </c>
      <c r="F35" s="104">
        <v>1.2829999999999999</v>
      </c>
      <c r="G35" s="104">
        <v>1.653</v>
      </c>
      <c r="H35" s="875">
        <v>1.222</v>
      </c>
      <c r="I35" s="876">
        <v>1.726</v>
      </c>
      <c r="J35" s="104">
        <v>1.1599999999999999</v>
      </c>
      <c r="K35" s="104">
        <v>1.8029999999999999</v>
      </c>
      <c r="L35" s="875">
        <v>1.097</v>
      </c>
      <c r="M35" s="876">
        <v>1.8839999999999999</v>
      </c>
      <c r="N35" s="104">
        <v>1.034</v>
      </c>
      <c r="O35" s="104">
        <v>1.9670000000000001</v>
      </c>
      <c r="P35" s="875">
        <v>0.97099999999999997</v>
      </c>
      <c r="Q35" s="104">
        <v>2.0539999999999998</v>
      </c>
      <c r="R35" s="875">
        <v>0.90800000000000003</v>
      </c>
      <c r="S35" s="876">
        <v>2.1440000000000001</v>
      </c>
      <c r="T35" s="104">
        <v>0.84499999999999997</v>
      </c>
      <c r="U35" s="104">
        <v>2.2360000000000002</v>
      </c>
      <c r="V35" s="875">
        <v>0.78300000000000003</v>
      </c>
      <c r="W35" s="876">
        <v>2.33</v>
      </c>
      <c r="X35" s="104">
        <v>0.72199999999999998</v>
      </c>
      <c r="Y35" s="104">
        <v>2.4249999999999998</v>
      </c>
      <c r="Z35" s="875">
        <v>0.66200000000000003</v>
      </c>
      <c r="AA35" s="876">
        <v>2.5209999999999999</v>
      </c>
      <c r="AB35" s="104">
        <v>0.60399999999999998</v>
      </c>
      <c r="AC35" s="104">
        <v>2.6190000000000002</v>
      </c>
      <c r="AD35" s="875">
        <v>0.54700000000000004</v>
      </c>
      <c r="AE35" s="876">
        <v>2.7160000000000002</v>
      </c>
      <c r="AF35" s="104">
        <v>0.49199999999999999</v>
      </c>
      <c r="AG35" s="104">
        <v>2.8130000000000002</v>
      </c>
      <c r="AH35" s="875">
        <v>0.439</v>
      </c>
      <c r="AI35" s="876">
        <v>2.91</v>
      </c>
      <c r="AJ35" s="104">
        <v>0.38800000000000001</v>
      </c>
      <c r="AK35" s="104">
        <v>3.0049999999999999</v>
      </c>
      <c r="AL35" s="875">
        <v>0.34</v>
      </c>
      <c r="AM35" s="876">
        <v>3.0990000000000002</v>
      </c>
      <c r="AN35" s="104">
        <v>0.29499999999999998</v>
      </c>
      <c r="AO35" s="876">
        <v>3.19</v>
      </c>
    </row>
    <row r="36" spans="1:41">
      <c r="A36" s="793">
        <v>36</v>
      </c>
      <c r="B36" s="875">
        <v>1.411</v>
      </c>
      <c r="C36" s="104">
        <v>1.5249999999999999</v>
      </c>
      <c r="D36" s="875">
        <v>1.3540000000000001</v>
      </c>
      <c r="E36" s="876">
        <v>1.587</v>
      </c>
      <c r="F36" s="104">
        <v>1.2949999999999999</v>
      </c>
      <c r="G36" s="104">
        <v>1.6539999999999999</v>
      </c>
      <c r="H36" s="875">
        <v>1.236</v>
      </c>
      <c r="I36" s="876">
        <v>1.724</v>
      </c>
      <c r="J36" s="104">
        <v>1.175</v>
      </c>
      <c r="K36" s="104">
        <v>1.7989999999999999</v>
      </c>
      <c r="L36" s="875">
        <v>1.1140000000000001</v>
      </c>
      <c r="M36" s="876">
        <v>1.8759999999999999</v>
      </c>
      <c r="N36" s="104">
        <v>1.0529999999999999</v>
      </c>
      <c r="O36" s="104">
        <v>1.9570000000000001</v>
      </c>
      <c r="P36" s="875">
        <v>0.99099999999999999</v>
      </c>
      <c r="Q36" s="104">
        <v>2.0409999999999999</v>
      </c>
      <c r="R36" s="875">
        <v>0.93</v>
      </c>
      <c r="S36" s="876">
        <v>2.1269999999999998</v>
      </c>
      <c r="T36" s="104">
        <v>0.86799999999999999</v>
      </c>
      <c r="U36" s="104">
        <v>2.2160000000000002</v>
      </c>
      <c r="V36" s="875">
        <v>0.80800000000000005</v>
      </c>
      <c r="W36" s="876">
        <v>2.306</v>
      </c>
      <c r="X36" s="104">
        <v>0.748</v>
      </c>
      <c r="Y36" s="104">
        <v>2.3980000000000001</v>
      </c>
      <c r="Z36" s="875">
        <v>0.68899999999999995</v>
      </c>
      <c r="AA36" s="876">
        <v>2.492</v>
      </c>
      <c r="AB36" s="104">
        <v>0.63100000000000001</v>
      </c>
      <c r="AC36" s="104">
        <v>2.5859999999999999</v>
      </c>
      <c r="AD36" s="875">
        <v>0.57499999999999996</v>
      </c>
      <c r="AE36" s="876">
        <v>2.68</v>
      </c>
      <c r="AF36" s="104">
        <v>0.52</v>
      </c>
      <c r="AG36" s="104">
        <v>2.774</v>
      </c>
      <c r="AH36" s="875">
        <v>0.46700000000000003</v>
      </c>
      <c r="AI36" s="876">
        <v>2.8679999999999999</v>
      </c>
      <c r="AJ36" s="104">
        <v>0.41699999999999998</v>
      </c>
      <c r="AK36" s="104">
        <v>2.9609999999999999</v>
      </c>
      <c r="AL36" s="875">
        <v>0.36899999999999999</v>
      </c>
      <c r="AM36" s="876">
        <v>3.0529999999999999</v>
      </c>
      <c r="AN36" s="104">
        <v>0.32300000000000001</v>
      </c>
      <c r="AO36" s="876">
        <v>3.1419999999999999</v>
      </c>
    </row>
    <row r="37" spans="1:41">
      <c r="A37" s="793">
        <v>37</v>
      </c>
      <c r="B37" s="875">
        <v>1.419</v>
      </c>
      <c r="C37" s="104">
        <v>1.53</v>
      </c>
      <c r="D37" s="875">
        <v>1.3640000000000001</v>
      </c>
      <c r="E37" s="876">
        <v>1.59</v>
      </c>
      <c r="F37" s="104">
        <v>1.3069999999999999</v>
      </c>
      <c r="G37" s="104">
        <v>1.655</v>
      </c>
      <c r="H37" s="875">
        <v>1.2490000000000001</v>
      </c>
      <c r="I37" s="876">
        <v>1.7230000000000001</v>
      </c>
      <c r="J37" s="104">
        <v>1.19</v>
      </c>
      <c r="K37" s="104">
        <v>1.7949999999999999</v>
      </c>
      <c r="L37" s="875">
        <v>1.131</v>
      </c>
      <c r="M37" s="876">
        <v>1.87</v>
      </c>
      <c r="N37" s="104">
        <v>1.071</v>
      </c>
      <c r="O37" s="104">
        <v>1.948</v>
      </c>
      <c r="P37" s="875">
        <v>1.0109999999999999</v>
      </c>
      <c r="Q37" s="104">
        <v>2.0289999999999999</v>
      </c>
      <c r="R37" s="875">
        <v>0.95099999999999996</v>
      </c>
      <c r="S37" s="876">
        <v>2.1120000000000001</v>
      </c>
      <c r="T37" s="104">
        <v>0.89100000000000001</v>
      </c>
      <c r="U37" s="104">
        <v>2.1970000000000001</v>
      </c>
      <c r="V37" s="875">
        <v>0.83099999999999996</v>
      </c>
      <c r="W37" s="876">
        <v>2.2850000000000001</v>
      </c>
      <c r="X37" s="104">
        <v>0.77200000000000002</v>
      </c>
      <c r="Y37" s="104">
        <v>2.3740000000000001</v>
      </c>
      <c r="Z37" s="875">
        <v>0.71399999999999997</v>
      </c>
      <c r="AA37" s="876">
        <v>2.464</v>
      </c>
      <c r="AB37" s="104">
        <v>0.65700000000000003</v>
      </c>
      <c r="AC37" s="104">
        <v>2.5550000000000002</v>
      </c>
      <c r="AD37" s="875">
        <v>0.60199999999999998</v>
      </c>
      <c r="AE37" s="876">
        <v>2.6459999999999999</v>
      </c>
      <c r="AF37" s="104">
        <v>0.54800000000000004</v>
      </c>
      <c r="AG37" s="104">
        <v>2.738</v>
      </c>
      <c r="AH37" s="875">
        <v>0.495</v>
      </c>
      <c r="AI37" s="876">
        <v>2.8290000000000002</v>
      </c>
      <c r="AJ37" s="104">
        <v>0.44500000000000001</v>
      </c>
      <c r="AK37" s="104">
        <v>2.92</v>
      </c>
      <c r="AL37" s="875">
        <v>0.39700000000000002</v>
      </c>
      <c r="AM37" s="876">
        <v>3.0089999999999999</v>
      </c>
      <c r="AN37" s="104">
        <v>0.35099999999999998</v>
      </c>
      <c r="AO37" s="876">
        <v>3.097</v>
      </c>
    </row>
    <row r="38" spans="1:41">
      <c r="A38" s="793">
        <v>38</v>
      </c>
      <c r="B38" s="875">
        <v>1.427</v>
      </c>
      <c r="C38" s="104">
        <v>1.5349999999999999</v>
      </c>
      <c r="D38" s="875">
        <v>1.373</v>
      </c>
      <c r="E38" s="876">
        <v>1.5940000000000001</v>
      </c>
      <c r="F38" s="104">
        <v>1.3180000000000001</v>
      </c>
      <c r="G38" s="104">
        <v>1.6559999999999999</v>
      </c>
      <c r="H38" s="875">
        <v>1.2609999999999999</v>
      </c>
      <c r="I38" s="876">
        <v>1.722</v>
      </c>
      <c r="J38" s="104">
        <v>1.204</v>
      </c>
      <c r="K38" s="104">
        <v>1.792</v>
      </c>
      <c r="L38" s="875">
        <v>1.1459999999999999</v>
      </c>
      <c r="M38" s="876">
        <v>1.8640000000000001</v>
      </c>
      <c r="N38" s="104">
        <v>1.0880000000000001</v>
      </c>
      <c r="O38" s="104">
        <v>1.9390000000000001</v>
      </c>
      <c r="P38" s="875">
        <v>1.0289999999999999</v>
      </c>
      <c r="Q38" s="104">
        <v>2.0169999999999999</v>
      </c>
      <c r="R38" s="875">
        <v>0.97</v>
      </c>
      <c r="S38" s="876">
        <v>2.0979999999999999</v>
      </c>
      <c r="T38" s="104">
        <v>0.91200000000000003</v>
      </c>
      <c r="U38" s="104">
        <v>2.1800000000000002</v>
      </c>
      <c r="V38" s="875">
        <v>0.85399999999999998</v>
      </c>
      <c r="W38" s="876">
        <v>2.2650000000000001</v>
      </c>
      <c r="X38" s="104">
        <v>0.79600000000000004</v>
      </c>
      <c r="Y38" s="104">
        <v>2.351</v>
      </c>
      <c r="Z38" s="875">
        <v>0.73899999999999999</v>
      </c>
      <c r="AA38" s="876">
        <v>2.4380000000000002</v>
      </c>
      <c r="AB38" s="104">
        <v>0.68300000000000005</v>
      </c>
      <c r="AC38" s="104">
        <v>2.5259999999999998</v>
      </c>
      <c r="AD38" s="875">
        <v>0.628</v>
      </c>
      <c r="AE38" s="876">
        <v>2.6139999999999999</v>
      </c>
      <c r="AF38" s="104">
        <v>0.57499999999999996</v>
      </c>
      <c r="AG38" s="104">
        <v>2.7029999999999998</v>
      </c>
      <c r="AH38" s="875">
        <v>0.52200000000000002</v>
      </c>
      <c r="AI38" s="876">
        <v>2.7919999999999998</v>
      </c>
      <c r="AJ38" s="104">
        <v>0.47199999999999998</v>
      </c>
      <c r="AK38" s="104">
        <v>2.88</v>
      </c>
      <c r="AL38" s="875">
        <v>0.42399999999999999</v>
      </c>
      <c r="AM38" s="876">
        <v>2.968</v>
      </c>
      <c r="AN38" s="104">
        <v>0.378</v>
      </c>
      <c r="AO38" s="876">
        <v>3.0539999999999998</v>
      </c>
    </row>
    <row r="39" spans="1:41">
      <c r="A39" s="793">
        <v>39</v>
      </c>
      <c r="B39" s="875">
        <v>1.4350000000000001</v>
      </c>
      <c r="C39" s="104">
        <v>1.54</v>
      </c>
      <c r="D39" s="875">
        <v>1.3819999999999999</v>
      </c>
      <c r="E39" s="876">
        <v>1.597</v>
      </c>
      <c r="F39" s="104">
        <v>1.3280000000000001</v>
      </c>
      <c r="G39" s="104">
        <v>1.6579999999999999</v>
      </c>
      <c r="H39" s="875">
        <v>1.2729999999999999</v>
      </c>
      <c r="I39" s="876">
        <v>1.722</v>
      </c>
      <c r="J39" s="104">
        <v>1.218</v>
      </c>
      <c r="K39" s="104">
        <v>1.7889999999999999</v>
      </c>
      <c r="L39" s="875">
        <v>1.161</v>
      </c>
      <c r="M39" s="876">
        <v>1.859</v>
      </c>
      <c r="N39" s="104">
        <v>1.1040000000000001</v>
      </c>
      <c r="O39" s="104">
        <v>1.9319999999999999</v>
      </c>
      <c r="P39" s="875">
        <v>1.0469999999999999</v>
      </c>
      <c r="Q39" s="104">
        <v>2.0070000000000001</v>
      </c>
      <c r="R39" s="875">
        <v>0.99</v>
      </c>
      <c r="S39" s="876">
        <v>2.085</v>
      </c>
      <c r="T39" s="104">
        <v>0.93200000000000005</v>
      </c>
      <c r="U39" s="104">
        <v>2.1640000000000001</v>
      </c>
      <c r="V39" s="875">
        <v>0.875</v>
      </c>
      <c r="W39" s="876">
        <v>2.246</v>
      </c>
      <c r="X39" s="104">
        <v>0.81899999999999995</v>
      </c>
      <c r="Y39" s="104">
        <v>2.3290000000000002</v>
      </c>
      <c r="Z39" s="875">
        <v>0.76300000000000001</v>
      </c>
      <c r="AA39" s="876">
        <v>2.4129999999999998</v>
      </c>
      <c r="AB39" s="104">
        <v>0.70699999999999996</v>
      </c>
      <c r="AC39" s="104">
        <v>2.4990000000000001</v>
      </c>
      <c r="AD39" s="875">
        <v>0.65300000000000002</v>
      </c>
      <c r="AE39" s="876">
        <v>2.585</v>
      </c>
      <c r="AF39" s="104">
        <v>0.6</v>
      </c>
      <c r="AG39" s="104">
        <v>2.6709999999999998</v>
      </c>
      <c r="AH39" s="875">
        <v>0.54900000000000004</v>
      </c>
      <c r="AI39" s="876">
        <v>2.7570000000000001</v>
      </c>
      <c r="AJ39" s="104">
        <v>0.499</v>
      </c>
      <c r="AK39" s="104">
        <v>2.843</v>
      </c>
      <c r="AL39" s="875">
        <v>0.45100000000000001</v>
      </c>
      <c r="AM39" s="876">
        <v>2.9289999999999998</v>
      </c>
      <c r="AN39" s="104">
        <v>0.40400000000000003</v>
      </c>
      <c r="AO39" s="876">
        <v>3.0129999999999999</v>
      </c>
    </row>
    <row r="40" spans="1:41">
      <c r="A40" s="793">
        <v>40</v>
      </c>
      <c r="B40" s="875">
        <v>1.4419999999999999</v>
      </c>
      <c r="C40" s="104">
        <v>1.544</v>
      </c>
      <c r="D40" s="875">
        <v>1.391</v>
      </c>
      <c r="E40" s="876">
        <v>1.6</v>
      </c>
      <c r="F40" s="104">
        <v>1.3380000000000001</v>
      </c>
      <c r="G40" s="104">
        <v>1.659</v>
      </c>
      <c r="H40" s="875">
        <v>1.2849999999999999</v>
      </c>
      <c r="I40" s="876">
        <v>1.7210000000000001</v>
      </c>
      <c r="J40" s="104">
        <v>1.23</v>
      </c>
      <c r="K40" s="104">
        <v>1.786</v>
      </c>
      <c r="L40" s="875">
        <v>1.175</v>
      </c>
      <c r="M40" s="876">
        <v>1.8540000000000001</v>
      </c>
      <c r="N40" s="104">
        <v>1.1200000000000001</v>
      </c>
      <c r="O40" s="104">
        <v>1.9239999999999999</v>
      </c>
      <c r="P40" s="875">
        <v>1.0640000000000001</v>
      </c>
      <c r="Q40" s="104">
        <v>1.9970000000000001</v>
      </c>
      <c r="R40" s="875">
        <v>1.008</v>
      </c>
      <c r="S40" s="876">
        <v>2.0720000000000001</v>
      </c>
      <c r="T40" s="104">
        <v>0.95199999999999996</v>
      </c>
      <c r="U40" s="104">
        <v>2.149</v>
      </c>
      <c r="V40" s="875">
        <v>0.89600000000000002</v>
      </c>
      <c r="W40" s="876">
        <v>2.2280000000000002</v>
      </c>
      <c r="X40" s="104">
        <v>0.84</v>
      </c>
      <c r="Y40" s="104">
        <v>2.3090000000000002</v>
      </c>
      <c r="Z40" s="875">
        <v>0.78500000000000003</v>
      </c>
      <c r="AA40" s="876">
        <v>2.391</v>
      </c>
      <c r="AB40" s="104">
        <v>0.73099999999999998</v>
      </c>
      <c r="AC40" s="104">
        <v>2.4729999999999999</v>
      </c>
      <c r="AD40" s="875">
        <v>0.67800000000000005</v>
      </c>
      <c r="AE40" s="876">
        <v>2.5569999999999999</v>
      </c>
      <c r="AF40" s="104">
        <v>0.626</v>
      </c>
      <c r="AG40" s="104">
        <v>2.641</v>
      </c>
      <c r="AH40" s="875">
        <v>0.57499999999999996</v>
      </c>
      <c r="AI40" s="876">
        <v>2.7240000000000002</v>
      </c>
      <c r="AJ40" s="104">
        <v>0.52500000000000002</v>
      </c>
      <c r="AK40" s="104">
        <v>2.8079999999999998</v>
      </c>
      <c r="AL40" s="875">
        <v>0.47699999999999998</v>
      </c>
      <c r="AM40" s="876">
        <v>2.8290000000000002</v>
      </c>
      <c r="AN40" s="104">
        <v>0.43</v>
      </c>
      <c r="AO40" s="876">
        <v>2.9740000000000002</v>
      </c>
    </row>
    <row r="41" spans="1:41">
      <c r="A41" s="793">
        <v>45</v>
      </c>
      <c r="B41" s="875">
        <v>1.4750000000000001</v>
      </c>
      <c r="C41" s="104">
        <v>1.5660000000000001</v>
      </c>
      <c r="D41" s="875">
        <v>1.43</v>
      </c>
      <c r="E41" s="876">
        <v>1.615</v>
      </c>
      <c r="F41" s="104">
        <v>1.383</v>
      </c>
      <c r="G41" s="104">
        <v>1.6659999999999999</v>
      </c>
      <c r="H41" s="875">
        <v>1.3360000000000001</v>
      </c>
      <c r="I41" s="876">
        <v>1.72</v>
      </c>
      <c r="J41" s="104">
        <v>1.2869999999999999</v>
      </c>
      <c r="K41" s="104">
        <v>1.776</v>
      </c>
      <c r="L41" s="875">
        <v>1.238</v>
      </c>
      <c r="M41" s="876">
        <v>1.835</v>
      </c>
      <c r="N41" s="104">
        <v>1.1890000000000001</v>
      </c>
      <c r="O41" s="104">
        <v>1.895</v>
      </c>
      <c r="P41" s="875">
        <v>1.139</v>
      </c>
      <c r="Q41" s="104">
        <v>1.958</v>
      </c>
      <c r="R41" s="875">
        <v>1.089</v>
      </c>
      <c r="S41" s="876">
        <v>2.0219999999999998</v>
      </c>
      <c r="T41" s="104">
        <v>1.038</v>
      </c>
      <c r="U41" s="104">
        <v>2.0880000000000001</v>
      </c>
      <c r="V41" s="875">
        <v>0.98799999999999999</v>
      </c>
      <c r="W41" s="876">
        <v>2.1560000000000001</v>
      </c>
      <c r="X41" s="104">
        <v>0.93799999999999994</v>
      </c>
      <c r="Y41" s="104">
        <v>2.2250000000000001</v>
      </c>
      <c r="Z41" s="875">
        <v>0.88700000000000001</v>
      </c>
      <c r="AA41" s="876">
        <v>2.2959999999999998</v>
      </c>
      <c r="AB41" s="104">
        <v>0.83799999999999997</v>
      </c>
      <c r="AC41" s="104">
        <v>2.367</v>
      </c>
      <c r="AD41" s="875">
        <v>0.78800000000000003</v>
      </c>
      <c r="AE41" s="876">
        <v>2.4390000000000001</v>
      </c>
      <c r="AF41" s="104">
        <v>0.74</v>
      </c>
      <c r="AG41" s="104">
        <v>2.512</v>
      </c>
      <c r="AH41" s="875">
        <v>0.69199999999999995</v>
      </c>
      <c r="AI41" s="876">
        <v>2.5859999999999999</v>
      </c>
      <c r="AJ41" s="104">
        <v>0.64400000000000002</v>
      </c>
      <c r="AK41" s="104">
        <v>2.6589999999999998</v>
      </c>
      <c r="AL41" s="875">
        <v>0.59799999999999998</v>
      </c>
      <c r="AM41" s="876">
        <v>2.7330000000000001</v>
      </c>
      <c r="AN41" s="104">
        <v>0.55300000000000005</v>
      </c>
      <c r="AO41" s="876">
        <v>2.8069999999999999</v>
      </c>
    </row>
    <row r="42" spans="1:41">
      <c r="A42" s="793">
        <v>50</v>
      </c>
      <c r="B42" s="875">
        <v>1.5029999999999999</v>
      </c>
      <c r="C42" s="104">
        <v>1.585</v>
      </c>
      <c r="D42" s="875">
        <v>1.462</v>
      </c>
      <c r="E42" s="876">
        <v>1.6279999999999999</v>
      </c>
      <c r="F42" s="104">
        <v>1.421</v>
      </c>
      <c r="G42" s="104">
        <v>1.6739999999999999</v>
      </c>
      <c r="H42" s="875">
        <v>1.3779999999999999</v>
      </c>
      <c r="I42" s="876">
        <v>1.7210000000000001</v>
      </c>
      <c r="J42" s="104">
        <v>1.335</v>
      </c>
      <c r="K42" s="104">
        <v>1.7709999999999999</v>
      </c>
      <c r="L42" s="875">
        <v>1.2909999999999999</v>
      </c>
      <c r="M42" s="876">
        <v>1.8220000000000001</v>
      </c>
      <c r="N42" s="104">
        <v>1.246</v>
      </c>
      <c r="O42" s="104">
        <v>1.875</v>
      </c>
      <c r="P42" s="875">
        <v>1.2010000000000001</v>
      </c>
      <c r="Q42" s="104">
        <v>1.93</v>
      </c>
      <c r="R42" s="875">
        <v>1.1559999999999999</v>
      </c>
      <c r="S42" s="876">
        <v>1.986</v>
      </c>
      <c r="T42" s="104">
        <v>1.1100000000000001</v>
      </c>
      <c r="U42" s="104">
        <v>2.044</v>
      </c>
      <c r="V42" s="875">
        <v>1.0640000000000001</v>
      </c>
      <c r="W42" s="876">
        <v>2.1030000000000002</v>
      </c>
      <c r="X42" s="104">
        <v>1.0189999999999999</v>
      </c>
      <c r="Y42" s="104">
        <v>2.1629999999999998</v>
      </c>
      <c r="Z42" s="875">
        <v>0.97299999999999998</v>
      </c>
      <c r="AA42" s="876">
        <v>2.2250000000000001</v>
      </c>
      <c r="AB42" s="104">
        <v>0.92700000000000005</v>
      </c>
      <c r="AC42" s="104">
        <v>2.2869999999999999</v>
      </c>
      <c r="AD42" s="875">
        <v>0.88200000000000001</v>
      </c>
      <c r="AE42" s="876">
        <v>2.35</v>
      </c>
      <c r="AF42" s="104">
        <v>0.83599999999999997</v>
      </c>
      <c r="AG42" s="104">
        <v>2.4140000000000001</v>
      </c>
      <c r="AH42" s="875">
        <v>0.79200000000000004</v>
      </c>
      <c r="AI42" s="876">
        <v>2.4790000000000001</v>
      </c>
      <c r="AJ42" s="104">
        <v>0.747</v>
      </c>
      <c r="AK42" s="104">
        <v>2.544</v>
      </c>
      <c r="AL42" s="875">
        <v>0.70299999999999996</v>
      </c>
      <c r="AM42" s="876">
        <v>2.61</v>
      </c>
      <c r="AN42" s="104">
        <v>0.66</v>
      </c>
      <c r="AO42" s="876">
        <v>2.6749999999999998</v>
      </c>
    </row>
    <row r="43" spans="1:41">
      <c r="A43" s="793">
        <v>55</v>
      </c>
      <c r="B43" s="875">
        <v>1.528</v>
      </c>
      <c r="C43" s="104">
        <v>1.601</v>
      </c>
      <c r="D43" s="875">
        <v>1.49</v>
      </c>
      <c r="E43" s="876">
        <v>1.641</v>
      </c>
      <c r="F43" s="104">
        <v>1.452</v>
      </c>
      <c r="G43" s="104">
        <v>1.681</v>
      </c>
      <c r="H43" s="875">
        <v>1.4139999999999999</v>
      </c>
      <c r="I43" s="876">
        <v>1.724</v>
      </c>
      <c r="J43" s="104">
        <v>1.3740000000000001</v>
      </c>
      <c r="K43" s="104">
        <v>1.768</v>
      </c>
      <c r="L43" s="875">
        <v>1.3340000000000001</v>
      </c>
      <c r="M43" s="876">
        <v>1.8140000000000001</v>
      </c>
      <c r="N43" s="104">
        <v>1.294</v>
      </c>
      <c r="O43" s="104">
        <v>1.861</v>
      </c>
      <c r="P43" s="875">
        <v>1.2529999999999999</v>
      </c>
      <c r="Q43" s="104">
        <v>1.909</v>
      </c>
      <c r="R43" s="875">
        <v>1.212</v>
      </c>
      <c r="S43" s="876">
        <v>1.9590000000000001</v>
      </c>
      <c r="T43" s="104">
        <v>1.17</v>
      </c>
      <c r="U43" s="104">
        <v>2.0099999999999998</v>
      </c>
      <c r="V43" s="875">
        <v>1.129</v>
      </c>
      <c r="W43" s="876">
        <v>2.0619999999999998</v>
      </c>
      <c r="X43" s="104">
        <v>1.087</v>
      </c>
      <c r="Y43" s="104">
        <v>2.1160000000000001</v>
      </c>
      <c r="Z43" s="875">
        <v>1.0449999999999999</v>
      </c>
      <c r="AA43" s="876">
        <v>2.17</v>
      </c>
      <c r="AB43" s="104">
        <v>1.0029999999999999</v>
      </c>
      <c r="AC43" s="104">
        <v>2.2250000000000001</v>
      </c>
      <c r="AD43" s="875">
        <v>0.96099999999999997</v>
      </c>
      <c r="AE43" s="876">
        <v>2.2810000000000001</v>
      </c>
      <c r="AF43" s="104">
        <v>0.91900000000000004</v>
      </c>
      <c r="AG43" s="104">
        <v>2.3380000000000001</v>
      </c>
      <c r="AH43" s="875">
        <v>0.877</v>
      </c>
      <c r="AI43" s="876">
        <v>2.3959999999999999</v>
      </c>
      <c r="AJ43" s="104">
        <v>0.83599999999999997</v>
      </c>
      <c r="AK43" s="104">
        <v>2.4540000000000002</v>
      </c>
      <c r="AL43" s="875">
        <v>0.79500000000000004</v>
      </c>
      <c r="AM43" s="876">
        <v>2.512</v>
      </c>
      <c r="AN43" s="104">
        <v>0.754</v>
      </c>
      <c r="AO43" s="876">
        <v>2.5710000000000002</v>
      </c>
    </row>
    <row r="44" spans="1:41">
      <c r="A44" s="793">
        <v>60</v>
      </c>
      <c r="B44" s="875">
        <v>1.5489999999999999</v>
      </c>
      <c r="C44" s="104">
        <v>1.6160000000000001</v>
      </c>
      <c r="D44" s="875">
        <v>1.514</v>
      </c>
      <c r="E44" s="876">
        <v>1.6519999999999999</v>
      </c>
      <c r="F44" s="104">
        <v>1.48</v>
      </c>
      <c r="G44" s="104">
        <v>1.6890000000000001</v>
      </c>
      <c r="H44" s="875">
        <v>1.444</v>
      </c>
      <c r="I44" s="876">
        <v>1.7270000000000001</v>
      </c>
      <c r="J44" s="104">
        <v>1.4079999999999999</v>
      </c>
      <c r="K44" s="104">
        <v>1.7669999999999999</v>
      </c>
      <c r="L44" s="875">
        <v>1.3720000000000001</v>
      </c>
      <c r="M44" s="876">
        <v>1.8080000000000001</v>
      </c>
      <c r="N44" s="104">
        <v>1.335</v>
      </c>
      <c r="O44" s="104">
        <v>1.85</v>
      </c>
      <c r="P44" s="875">
        <v>1.298</v>
      </c>
      <c r="Q44" s="104">
        <v>1.8939999999999999</v>
      </c>
      <c r="R44" s="875">
        <v>1.26</v>
      </c>
      <c r="S44" s="876">
        <v>1.9390000000000001</v>
      </c>
      <c r="T44" s="104">
        <v>1.222</v>
      </c>
      <c r="U44" s="104">
        <v>1.984</v>
      </c>
      <c r="V44" s="875">
        <v>1.1839999999999999</v>
      </c>
      <c r="W44" s="876">
        <v>2.0310000000000001</v>
      </c>
      <c r="X44" s="104">
        <v>1.145</v>
      </c>
      <c r="Y44" s="104">
        <v>2.0790000000000002</v>
      </c>
      <c r="Z44" s="875">
        <v>1.1060000000000001</v>
      </c>
      <c r="AA44" s="876">
        <v>2.1269999999999998</v>
      </c>
      <c r="AB44" s="104">
        <v>1.0680000000000001</v>
      </c>
      <c r="AC44" s="104">
        <v>2.177</v>
      </c>
      <c r="AD44" s="875">
        <v>1.0289999999999999</v>
      </c>
      <c r="AE44" s="876">
        <v>2.2269999999999999</v>
      </c>
      <c r="AF44" s="104">
        <v>0.99</v>
      </c>
      <c r="AG44" s="104">
        <v>2.278</v>
      </c>
      <c r="AH44" s="875">
        <v>0.95099999999999996</v>
      </c>
      <c r="AI44" s="876">
        <v>2.33</v>
      </c>
      <c r="AJ44" s="104">
        <v>0.91300000000000003</v>
      </c>
      <c r="AK44" s="104">
        <v>2.3820000000000001</v>
      </c>
      <c r="AL44" s="875">
        <v>0.874</v>
      </c>
      <c r="AM44" s="876">
        <v>2.4340000000000002</v>
      </c>
      <c r="AN44" s="104">
        <v>0.83599999999999997</v>
      </c>
      <c r="AO44" s="876">
        <v>2.4870000000000001</v>
      </c>
    </row>
    <row r="45" spans="1:41">
      <c r="A45" s="793">
        <v>65</v>
      </c>
      <c r="B45" s="875">
        <v>1.5669999999999999</v>
      </c>
      <c r="C45" s="104">
        <v>1.629</v>
      </c>
      <c r="D45" s="875">
        <v>1.536</v>
      </c>
      <c r="E45" s="876">
        <v>1.6619999999999999</v>
      </c>
      <c r="F45" s="104">
        <v>1.5029999999999999</v>
      </c>
      <c r="G45" s="104">
        <v>1.696</v>
      </c>
      <c r="H45" s="875">
        <v>1.4710000000000001</v>
      </c>
      <c r="I45" s="876">
        <v>1.7310000000000001</v>
      </c>
      <c r="J45" s="104">
        <v>1.4379999999999999</v>
      </c>
      <c r="K45" s="104">
        <v>1.7669999999999999</v>
      </c>
      <c r="L45" s="875">
        <v>1.4039999999999999</v>
      </c>
      <c r="M45" s="876">
        <v>1.8049999999999999</v>
      </c>
      <c r="N45" s="104">
        <v>1.37</v>
      </c>
      <c r="O45" s="104">
        <v>1.843</v>
      </c>
      <c r="P45" s="875">
        <v>1.3360000000000001</v>
      </c>
      <c r="Q45" s="104">
        <v>1.8819999999999999</v>
      </c>
      <c r="R45" s="875">
        <v>1.3009999999999999</v>
      </c>
      <c r="S45" s="876">
        <v>1.923</v>
      </c>
      <c r="T45" s="104">
        <v>1.266</v>
      </c>
      <c r="U45" s="104">
        <v>1.964</v>
      </c>
      <c r="V45" s="875">
        <v>1.2310000000000001</v>
      </c>
      <c r="W45" s="876">
        <v>2.0059999999999998</v>
      </c>
      <c r="X45" s="104">
        <v>1.1950000000000001</v>
      </c>
      <c r="Y45" s="104">
        <v>2.0489999999999999</v>
      </c>
      <c r="Z45" s="875">
        <v>1.1599999999999999</v>
      </c>
      <c r="AA45" s="876">
        <v>2.093</v>
      </c>
      <c r="AB45" s="104">
        <v>1.1240000000000001</v>
      </c>
      <c r="AC45" s="104">
        <v>2.1379999999999999</v>
      </c>
      <c r="AD45" s="875">
        <v>1.0880000000000001</v>
      </c>
      <c r="AE45" s="876">
        <v>2.1829999999999998</v>
      </c>
      <c r="AF45" s="104">
        <v>1.052</v>
      </c>
      <c r="AG45" s="104">
        <v>2.2290000000000001</v>
      </c>
      <c r="AH45" s="875">
        <v>1.016</v>
      </c>
      <c r="AI45" s="876">
        <v>2.2759999999999998</v>
      </c>
      <c r="AJ45" s="104">
        <v>0.98</v>
      </c>
      <c r="AK45" s="104">
        <v>2.323</v>
      </c>
      <c r="AL45" s="875">
        <v>0.94399999999999995</v>
      </c>
      <c r="AM45" s="876">
        <v>2.371</v>
      </c>
      <c r="AN45" s="104">
        <v>0.90800000000000003</v>
      </c>
      <c r="AO45" s="876">
        <v>2.419</v>
      </c>
    </row>
    <row r="46" spans="1:41">
      <c r="A46" s="793">
        <v>70</v>
      </c>
      <c r="B46" s="875">
        <v>1.583</v>
      </c>
      <c r="C46" s="104">
        <v>1.641</v>
      </c>
      <c r="D46" s="875">
        <v>1.554</v>
      </c>
      <c r="E46" s="876">
        <v>1.6719999999999999</v>
      </c>
      <c r="F46" s="104">
        <v>1.5249999999999999</v>
      </c>
      <c r="G46" s="104">
        <v>1.7030000000000001</v>
      </c>
      <c r="H46" s="875">
        <v>1.494</v>
      </c>
      <c r="I46" s="876">
        <v>1.7350000000000001</v>
      </c>
      <c r="J46" s="104">
        <v>1.464</v>
      </c>
      <c r="K46" s="104">
        <v>1.768</v>
      </c>
      <c r="L46" s="875">
        <v>1.4330000000000001</v>
      </c>
      <c r="M46" s="876">
        <v>1.802</v>
      </c>
      <c r="N46" s="104">
        <v>1.401</v>
      </c>
      <c r="O46" s="104">
        <v>1.8380000000000001</v>
      </c>
      <c r="P46" s="875">
        <v>1.369</v>
      </c>
      <c r="Q46" s="104">
        <v>1.8740000000000001</v>
      </c>
      <c r="R46" s="875">
        <v>1.337</v>
      </c>
      <c r="S46" s="876">
        <v>1.91</v>
      </c>
      <c r="T46" s="104">
        <v>1.3049999999999999</v>
      </c>
      <c r="U46" s="104">
        <v>1.948</v>
      </c>
      <c r="V46" s="875">
        <v>1.272</v>
      </c>
      <c r="W46" s="876">
        <v>1.9870000000000001</v>
      </c>
      <c r="X46" s="104">
        <v>1.2390000000000001</v>
      </c>
      <c r="Y46" s="104">
        <v>2.0259999999999998</v>
      </c>
      <c r="Z46" s="875">
        <v>1.206</v>
      </c>
      <c r="AA46" s="876">
        <v>2.0659999999999998</v>
      </c>
      <c r="AB46" s="104">
        <v>1.1719999999999999</v>
      </c>
      <c r="AC46" s="104">
        <v>2.1059999999999999</v>
      </c>
      <c r="AD46" s="875">
        <v>1.139</v>
      </c>
      <c r="AE46" s="876">
        <v>2.1480000000000001</v>
      </c>
      <c r="AF46" s="104">
        <v>1.105</v>
      </c>
      <c r="AG46" s="104">
        <v>2.1890000000000001</v>
      </c>
      <c r="AH46" s="875">
        <v>1.0720000000000001</v>
      </c>
      <c r="AI46" s="876">
        <v>2.2320000000000002</v>
      </c>
      <c r="AJ46" s="104">
        <v>1.038</v>
      </c>
      <c r="AK46" s="104">
        <v>2.2749999999999999</v>
      </c>
      <c r="AL46" s="875">
        <v>1.0049999999999999</v>
      </c>
      <c r="AM46" s="876">
        <v>2.3180000000000001</v>
      </c>
      <c r="AN46" s="104">
        <v>0.97099999999999997</v>
      </c>
      <c r="AO46" s="876">
        <v>2.3620000000000001</v>
      </c>
    </row>
    <row r="47" spans="1:41">
      <c r="A47" s="793">
        <v>75</v>
      </c>
      <c r="B47" s="875">
        <v>1.5980000000000001</v>
      </c>
      <c r="C47" s="104">
        <v>1.6519999999999999</v>
      </c>
      <c r="D47" s="875">
        <v>1.571</v>
      </c>
      <c r="E47" s="876">
        <v>1.68</v>
      </c>
      <c r="F47" s="104">
        <v>1.5429999999999999</v>
      </c>
      <c r="G47" s="104">
        <v>1.7090000000000001</v>
      </c>
      <c r="H47" s="875">
        <v>1.5149999999999999</v>
      </c>
      <c r="I47" s="876">
        <v>1.7390000000000001</v>
      </c>
      <c r="J47" s="104">
        <v>1.4870000000000001</v>
      </c>
      <c r="K47" s="104">
        <v>1.77</v>
      </c>
      <c r="L47" s="875">
        <v>1.458</v>
      </c>
      <c r="M47" s="876">
        <v>1.8009999999999999</v>
      </c>
      <c r="N47" s="104">
        <v>1.4279999999999999</v>
      </c>
      <c r="O47" s="104">
        <v>1.8340000000000001</v>
      </c>
      <c r="P47" s="875">
        <v>1.399</v>
      </c>
      <c r="Q47" s="104">
        <v>1.867</v>
      </c>
      <c r="R47" s="875">
        <v>1.369</v>
      </c>
      <c r="S47" s="876">
        <v>1.901</v>
      </c>
      <c r="T47" s="104">
        <v>1.339</v>
      </c>
      <c r="U47" s="104">
        <v>1.9350000000000001</v>
      </c>
      <c r="V47" s="875">
        <v>1.3080000000000001</v>
      </c>
      <c r="W47" s="876">
        <v>1.97</v>
      </c>
      <c r="X47" s="104">
        <v>1.2769999999999999</v>
      </c>
      <c r="Y47" s="104">
        <v>2.0059999999999998</v>
      </c>
      <c r="Z47" s="875">
        <v>1.2470000000000001</v>
      </c>
      <c r="AA47" s="876">
        <v>2.0430000000000001</v>
      </c>
      <c r="AB47" s="104">
        <v>1.2150000000000001</v>
      </c>
      <c r="AC47" s="104">
        <v>2.08</v>
      </c>
      <c r="AD47" s="875">
        <v>1.1839999999999999</v>
      </c>
      <c r="AE47" s="876">
        <v>2.1179999999999999</v>
      </c>
      <c r="AF47" s="104">
        <v>1.153</v>
      </c>
      <c r="AG47" s="104">
        <v>2.1560000000000001</v>
      </c>
      <c r="AH47" s="875">
        <v>1.121</v>
      </c>
      <c r="AI47" s="876">
        <v>2.1949999999999998</v>
      </c>
      <c r="AJ47" s="104">
        <v>1.0900000000000001</v>
      </c>
      <c r="AK47" s="104">
        <v>2.2349999999999999</v>
      </c>
      <c r="AL47" s="875">
        <v>1.0580000000000001</v>
      </c>
      <c r="AM47" s="876">
        <v>2.2749999999999999</v>
      </c>
      <c r="AN47" s="104">
        <v>1.0269999999999999</v>
      </c>
      <c r="AO47" s="876">
        <v>2.3149999999999999</v>
      </c>
    </row>
    <row r="48" spans="1:41">
      <c r="A48" s="793">
        <v>80</v>
      </c>
      <c r="B48" s="875">
        <v>1.611</v>
      </c>
      <c r="C48" s="104">
        <v>1.6619999999999999</v>
      </c>
      <c r="D48" s="875">
        <v>1.5860000000000001</v>
      </c>
      <c r="E48" s="876">
        <v>1.6879999999999999</v>
      </c>
      <c r="F48" s="104">
        <v>1.56</v>
      </c>
      <c r="G48" s="104">
        <v>1.7150000000000001</v>
      </c>
      <c r="H48" s="875">
        <v>1.534</v>
      </c>
      <c r="I48" s="876">
        <v>1.7430000000000001</v>
      </c>
      <c r="J48" s="104">
        <v>1.5069999999999999</v>
      </c>
      <c r="K48" s="104">
        <v>1.772</v>
      </c>
      <c r="L48" s="875">
        <v>1.48</v>
      </c>
      <c r="M48" s="876">
        <v>1.8009999999999999</v>
      </c>
      <c r="N48" s="104">
        <v>1.4530000000000001</v>
      </c>
      <c r="O48" s="104">
        <v>1.831</v>
      </c>
      <c r="P48" s="875">
        <v>1.425</v>
      </c>
      <c r="Q48" s="104">
        <v>1.861</v>
      </c>
      <c r="R48" s="875">
        <v>1.397</v>
      </c>
      <c r="S48" s="876">
        <v>1.893</v>
      </c>
      <c r="T48" s="104">
        <v>1.369</v>
      </c>
      <c r="U48" s="104">
        <v>1.925</v>
      </c>
      <c r="V48" s="875">
        <v>1.34</v>
      </c>
      <c r="W48" s="876">
        <v>1.9570000000000001</v>
      </c>
      <c r="X48" s="104">
        <v>1.3109999999999999</v>
      </c>
      <c r="Y48" s="104">
        <v>1.9910000000000001</v>
      </c>
      <c r="Z48" s="875">
        <v>1.2829999999999999</v>
      </c>
      <c r="AA48" s="876">
        <v>2.024</v>
      </c>
      <c r="AB48" s="104">
        <v>1.2529999999999999</v>
      </c>
      <c r="AC48" s="104">
        <v>2.0590000000000002</v>
      </c>
      <c r="AD48" s="875">
        <v>1.224</v>
      </c>
      <c r="AE48" s="876">
        <v>2.093</v>
      </c>
      <c r="AF48" s="104">
        <v>1.1950000000000001</v>
      </c>
      <c r="AG48" s="104">
        <v>2.129</v>
      </c>
      <c r="AH48" s="875">
        <v>1.165</v>
      </c>
      <c r="AI48" s="876">
        <v>2.165</v>
      </c>
      <c r="AJ48" s="104">
        <v>1.1359999999999999</v>
      </c>
      <c r="AK48" s="104">
        <v>2.2010000000000001</v>
      </c>
      <c r="AL48" s="875">
        <v>1.1060000000000001</v>
      </c>
      <c r="AM48" s="876">
        <v>2.238</v>
      </c>
      <c r="AN48" s="104">
        <v>1.0760000000000001</v>
      </c>
      <c r="AO48" s="876">
        <v>2.2749999999999999</v>
      </c>
    </row>
    <row r="49" spans="1:41">
      <c r="A49" s="793">
        <v>85</v>
      </c>
      <c r="B49" s="875">
        <v>1.6240000000000001</v>
      </c>
      <c r="C49" s="104">
        <v>1.671</v>
      </c>
      <c r="D49" s="875">
        <v>1.6</v>
      </c>
      <c r="E49" s="876">
        <v>1.696</v>
      </c>
      <c r="F49" s="104">
        <v>1.575</v>
      </c>
      <c r="G49" s="104">
        <v>1.7210000000000001</v>
      </c>
      <c r="H49" s="875">
        <v>1.55</v>
      </c>
      <c r="I49" s="876">
        <v>1.7470000000000001</v>
      </c>
      <c r="J49" s="104">
        <v>1.5249999999999999</v>
      </c>
      <c r="K49" s="104">
        <v>1.774</v>
      </c>
      <c r="L49" s="875">
        <v>1.5</v>
      </c>
      <c r="M49" s="876">
        <v>1.8009999999999999</v>
      </c>
      <c r="N49" s="104">
        <v>1.474</v>
      </c>
      <c r="O49" s="104">
        <v>1.829</v>
      </c>
      <c r="P49" s="875">
        <v>1.448</v>
      </c>
      <c r="Q49" s="104">
        <v>1.857</v>
      </c>
      <c r="R49" s="875">
        <v>1.4219999999999999</v>
      </c>
      <c r="S49" s="876">
        <v>1.8859999999999999</v>
      </c>
      <c r="T49" s="104">
        <v>1.3959999999999999</v>
      </c>
      <c r="U49" s="104">
        <v>1.9159999999999999</v>
      </c>
      <c r="V49" s="875">
        <v>1.369</v>
      </c>
      <c r="W49" s="876">
        <v>1.946</v>
      </c>
      <c r="X49" s="104">
        <v>1.3420000000000001</v>
      </c>
      <c r="Y49" s="104">
        <v>1.9770000000000001</v>
      </c>
      <c r="Z49" s="875">
        <v>1.3149999999999999</v>
      </c>
      <c r="AA49" s="876">
        <v>2.0089999999999999</v>
      </c>
      <c r="AB49" s="104">
        <v>1.2869999999999999</v>
      </c>
      <c r="AC49" s="104">
        <v>2.04</v>
      </c>
      <c r="AD49" s="875">
        <v>1.26</v>
      </c>
      <c r="AE49" s="876">
        <v>2.073</v>
      </c>
      <c r="AF49" s="104">
        <v>1.232</v>
      </c>
      <c r="AG49" s="104">
        <v>2.105</v>
      </c>
      <c r="AH49" s="875">
        <v>1.2050000000000001</v>
      </c>
      <c r="AI49" s="876">
        <v>2.1389999999999998</v>
      </c>
      <c r="AJ49" s="104">
        <v>1.177</v>
      </c>
      <c r="AK49" s="104">
        <v>2.1720000000000002</v>
      </c>
      <c r="AL49" s="875">
        <v>1.149</v>
      </c>
      <c r="AM49" s="876">
        <v>2.206</v>
      </c>
      <c r="AN49" s="104">
        <v>1.121</v>
      </c>
      <c r="AO49" s="876">
        <v>2.2410000000000001</v>
      </c>
    </row>
    <row r="50" spans="1:41">
      <c r="A50" s="793">
        <v>90</v>
      </c>
      <c r="B50" s="875">
        <v>1.635</v>
      </c>
      <c r="C50" s="104">
        <v>1.679</v>
      </c>
      <c r="D50" s="875">
        <v>1.6120000000000001</v>
      </c>
      <c r="E50" s="876">
        <v>1.7030000000000001</v>
      </c>
      <c r="F50" s="104">
        <v>1.589</v>
      </c>
      <c r="G50" s="104">
        <v>1.726</v>
      </c>
      <c r="H50" s="875">
        <v>1.5660000000000001</v>
      </c>
      <c r="I50" s="876">
        <v>1.7509999999999999</v>
      </c>
      <c r="J50" s="104">
        <v>1.542</v>
      </c>
      <c r="K50" s="104">
        <v>1.776</v>
      </c>
      <c r="L50" s="875">
        <v>1.518</v>
      </c>
      <c r="M50" s="876">
        <v>1.8009999999999999</v>
      </c>
      <c r="N50" s="104">
        <v>1.494</v>
      </c>
      <c r="O50" s="104">
        <v>1.827</v>
      </c>
      <c r="P50" s="875">
        <v>1.4690000000000001</v>
      </c>
      <c r="Q50" s="104">
        <v>1.8540000000000001</v>
      </c>
      <c r="R50" s="875">
        <v>1.4450000000000001</v>
      </c>
      <c r="S50" s="876">
        <v>1.881</v>
      </c>
      <c r="T50" s="104">
        <v>1.42</v>
      </c>
      <c r="U50" s="104">
        <v>1.909</v>
      </c>
      <c r="V50" s="875">
        <v>1.395</v>
      </c>
      <c r="W50" s="876">
        <v>1.9370000000000001</v>
      </c>
      <c r="X50" s="104">
        <v>1.369</v>
      </c>
      <c r="Y50" s="104">
        <v>1.966</v>
      </c>
      <c r="Z50" s="875">
        <v>1.3440000000000001</v>
      </c>
      <c r="AA50" s="876">
        <v>1.9950000000000001</v>
      </c>
      <c r="AB50" s="104">
        <v>1.3180000000000001</v>
      </c>
      <c r="AC50" s="104">
        <v>2.0249999999999999</v>
      </c>
      <c r="AD50" s="875">
        <v>1.292</v>
      </c>
      <c r="AE50" s="876">
        <v>2.0550000000000002</v>
      </c>
      <c r="AF50" s="104">
        <v>1.266</v>
      </c>
      <c r="AG50" s="104">
        <v>2.085</v>
      </c>
      <c r="AH50" s="875">
        <v>1.24</v>
      </c>
      <c r="AI50" s="876">
        <v>2.1160000000000001</v>
      </c>
      <c r="AJ50" s="104">
        <v>1.2130000000000001</v>
      </c>
      <c r="AK50" s="104">
        <v>2.1480000000000001</v>
      </c>
      <c r="AL50" s="875">
        <v>1.1870000000000001</v>
      </c>
      <c r="AM50" s="876">
        <v>2.1789999999999998</v>
      </c>
      <c r="AN50" s="104">
        <v>1.1599999999999999</v>
      </c>
      <c r="AO50" s="876">
        <v>2.2109999999999999</v>
      </c>
    </row>
    <row r="51" spans="1:41">
      <c r="A51" s="793">
        <v>95</v>
      </c>
      <c r="B51" s="875">
        <v>1.645</v>
      </c>
      <c r="C51" s="104">
        <v>1.6870000000000001</v>
      </c>
      <c r="D51" s="875">
        <v>1.623</v>
      </c>
      <c r="E51" s="876">
        <v>1.7090000000000001</v>
      </c>
      <c r="F51" s="104">
        <v>1.6020000000000001</v>
      </c>
      <c r="G51" s="104">
        <v>1.732</v>
      </c>
      <c r="H51" s="875">
        <v>1.579</v>
      </c>
      <c r="I51" s="876">
        <v>1.7549999999999999</v>
      </c>
      <c r="J51" s="104">
        <v>1.5569999999999999</v>
      </c>
      <c r="K51" s="104">
        <v>1.778</v>
      </c>
      <c r="L51" s="875">
        <v>1.5349999999999999</v>
      </c>
      <c r="M51" s="876">
        <v>1.802</v>
      </c>
      <c r="N51" s="104">
        <v>1.512</v>
      </c>
      <c r="O51" s="104">
        <v>1.827</v>
      </c>
      <c r="P51" s="875">
        <v>1.4890000000000001</v>
      </c>
      <c r="Q51" s="104">
        <v>1.8520000000000001</v>
      </c>
      <c r="R51" s="875">
        <v>1.4650000000000001</v>
      </c>
      <c r="S51" s="876">
        <v>1.877</v>
      </c>
      <c r="T51" s="104">
        <v>1.4419999999999999</v>
      </c>
      <c r="U51" s="104">
        <v>1.903</v>
      </c>
      <c r="V51" s="875">
        <v>1.4179999999999999</v>
      </c>
      <c r="W51" s="876">
        <v>1.93</v>
      </c>
      <c r="X51" s="104">
        <v>1.3939999999999999</v>
      </c>
      <c r="Y51" s="104">
        <v>1.956</v>
      </c>
      <c r="Z51" s="875">
        <v>1.37</v>
      </c>
      <c r="AA51" s="876">
        <v>1.984</v>
      </c>
      <c r="AB51" s="104">
        <v>1.345</v>
      </c>
      <c r="AC51" s="104">
        <v>2.012</v>
      </c>
      <c r="AD51" s="875">
        <v>1.321</v>
      </c>
      <c r="AE51" s="876">
        <v>2.04</v>
      </c>
      <c r="AF51" s="104">
        <v>1.296</v>
      </c>
      <c r="AG51" s="104">
        <v>2.0680000000000001</v>
      </c>
      <c r="AH51" s="875">
        <v>1.2709999999999999</v>
      </c>
      <c r="AI51" s="876">
        <v>2.097</v>
      </c>
      <c r="AJ51" s="104">
        <v>1.2470000000000001</v>
      </c>
      <c r="AK51" s="104">
        <v>2.1259999999999999</v>
      </c>
      <c r="AL51" s="875">
        <v>1.222</v>
      </c>
      <c r="AM51" s="876">
        <v>2.1560000000000001</v>
      </c>
      <c r="AN51" s="104">
        <v>1.1970000000000001</v>
      </c>
      <c r="AO51" s="876">
        <v>2.1859999999999999</v>
      </c>
    </row>
    <row r="52" spans="1:41">
      <c r="A52" s="793">
        <v>100</v>
      </c>
      <c r="B52" s="875">
        <v>1.6539999999999999</v>
      </c>
      <c r="C52" s="104">
        <v>1.694</v>
      </c>
      <c r="D52" s="875">
        <v>1.6339999999999999</v>
      </c>
      <c r="E52" s="876">
        <v>1.7150000000000001</v>
      </c>
      <c r="F52" s="104">
        <v>1.613</v>
      </c>
      <c r="G52" s="104">
        <v>1.736</v>
      </c>
      <c r="H52" s="875">
        <v>1.5920000000000001</v>
      </c>
      <c r="I52" s="876">
        <v>1.758</v>
      </c>
      <c r="J52" s="104">
        <v>1.571</v>
      </c>
      <c r="K52" s="104">
        <v>1.78</v>
      </c>
      <c r="L52" s="875">
        <v>1.55</v>
      </c>
      <c r="M52" s="876">
        <v>1.8029999999999999</v>
      </c>
      <c r="N52" s="104">
        <v>1.528</v>
      </c>
      <c r="O52" s="104">
        <v>1.8260000000000001</v>
      </c>
      <c r="P52" s="875">
        <v>1.506</v>
      </c>
      <c r="Q52" s="104">
        <v>1.85</v>
      </c>
      <c r="R52" s="875">
        <v>1.484</v>
      </c>
      <c r="S52" s="876">
        <v>1.8740000000000001</v>
      </c>
      <c r="T52" s="104">
        <v>1.462</v>
      </c>
      <c r="U52" s="104">
        <v>1.8979999999999999</v>
      </c>
      <c r="V52" s="875">
        <v>1.4390000000000001</v>
      </c>
      <c r="W52" s="876">
        <v>1.923</v>
      </c>
      <c r="X52" s="104">
        <v>1.4159999999999999</v>
      </c>
      <c r="Y52" s="104">
        <v>1.948</v>
      </c>
      <c r="Z52" s="875">
        <v>1.393</v>
      </c>
      <c r="AA52" s="876">
        <v>1.974</v>
      </c>
      <c r="AB52" s="104">
        <v>1.371</v>
      </c>
      <c r="AC52" s="104">
        <v>2</v>
      </c>
      <c r="AD52" s="875">
        <v>1.347</v>
      </c>
      <c r="AE52" s="876">
        <v>2.0259999999999998</v>
      </c>
      <c r="AF52" s="104">
        <v>1.3240000000000001</v>
      </c>
      <c r="AG52" s="104">
        <v>2.0529999999999999</v>
      </c>
      <c r="AH52" s="875">
        <v>1.3009999999999999</v>
      </c>
      <c r="AI52" s="876">
        <v>2.08</v>
      </c>
      <c r="AJ52" s="104">
        <v>1.2769999999999999</v>
      </c>
      <c r="AK52" s="104">
        <v>2.1080000000000001</v>
      </c>
      <c r="AL52" s="875">
        <v>1.2529999999999999</v>
      </c>
      <c r="AM52" s="876">
        <v>2.1349999999999998</v>
      </c>
      <c r="AN52" s="104">
        <v>1.2290000000000001</v>
      </c>
      <c r="AO52" s="876">
        <v>2.1640000000000001</v>
      </c>
    </row>
    <row r="53" spans="1:41">
      <c r="A53" s="793">
        <v>150</v>
      </c>
      <c r="B53" s="875">
        <v>1.72</v>
      </c>
      <c r="C53" s="104">
        <v>1.7470000000000001</v>
      </c>
      <c r="D53" s="875">
        <v>1.706</v>
      </c>
      <c r="E53" s="876">
        <v>1.76</v>
      </c>
      <c r="F53" s="104">
        <v>1.6930000000000001</v>
      </c>
      <c r="G53" s="104">
        <v>1.774</v>
      </c>
      <c r="H53" s="875">
        <v>1.679</v>
      </c>
      <c r="I53" s="876">
        <v>1.788</v>
      </c>
      <c r="J53" s="104">
        <v>1.665</v>
      </c>
      <c r="K53" s="104">
        <v>1.802</v>
      </c>
      <c r="L53" s="875">
        <v>1.651</v>
      </c>
      <c r="M53" s="876">
        <v>1.8169999999999999</v>
      </c>
      <c r="N53" s="104">
        <v>1.637</v>
      </c>
      <c r="O53" s="104">
        <v>1.8320000000000001</v>
      </c>
      <c r="P53" s="875">
        <v>1.6220000000000001</v>
      </c>
      <c r="Q53" s="104">
        <v>1.8460000000000001</v>
      </c>
      <c r="R53" s="875">
        <v>1.6080000000000001</v>
      </c>
      <c r="S53" s="876">
        <v>1.8620000000000001</v>
      </c>
      <c r="T53" s="104">
        <v>1.593</v>
      </c>
      <c r="U53" s="104">
        <v>1.877</v>
      </c>
      <c r="V53" s="875">
        <v>1.579</v>
      </c>
      <c r="W53" s="876">
        <v>1.8919999999999999</v>
      </c>
      <c r="X53" s="104">
        <v>1.5640000000000001</v>
      </c>
      <c r="Y53" s="104">
        <v>1.9079999999999999</v>
      </c>
      <c r="Z53" s="875">
        <v>1.55</v>
      </c>
      <c r="AA53" s="876">
        <v>1.9239999999999999</v>
      </c>
      <c r="AB53" s="104">
        <v>1.5349999999999999</v>
      </c>
      <c r="AC53" s="104">
        <v>1.94</v>
      </c>
      <c r="AD53" s="875">
        <v>1.5189999999999999</v>
      </c>
      <c r="AE53" s="876">
        <v>1.956</v>
      </c>
      <c r="AF53" s="104">
        <v>1.504</v>
      </c>
      <c r="AG53" s="104">
        <v>1.972</v>
      </c>
      <c r="AH53" s="875">
        <v>1.4890000000000001</v>
      </c>
      <c r="AI53" s="876">
        <v>1.9890000000000001</v>
      </c>
      <c r="AJ53" s="104">
        <v>1.474</v>
      </c>
      <c r="AK53" s="104">
        <v>2.0059999999999998</v>
      </c>
      <c r="AL53" s="875">
        <v>1.458</v>
      </c>
      <c r="AM53" s="876">
        <v>2.0230000000000001</v>
      </c>
      <c r="AN53" s="104">
        <v>1.4430000000000001</v>
      </c>
      <c r="AO53" s="876">
        <v>2.04</v>
      </c>
    </row>
    <row r="54" spans="1:41">
      <c r="A54" s="792">
        <v>200</v>
      </c>
      <c r="B54" s="877">
        <v>1.758</v>
      </c>
      <c r="C54" s="1461">
        <v>1.7789999999999999</v>
      </c>
      <c r="D54" s="877">
        <v>1.748</v>
      </c>
      <c r="E54" s="879">
        <v>1.7889999999999999</v>
      </c>
      <c r="F54" s="1461">
        <v>1.738</v>
      </c>
      <c r="G54" s="1461">
        <v>1.7989999999999999</v>
      </c>
      <c r="H54" s="877">
        <v>1.728</v>
      </c>
      <c r="I54" s="879">
        <v>1.8089999999999999</v>
      </c>
      <c r="J54" s="1461">
        <v>1.718</v>
      </c>
      <c r="K54" s="1461">
        <v>1.82</v>
      </c>
      <c r="L54" s="877">
        <v>1.7070000000000001</v>
      </c>
      <c r="M54" s="879">
        <v>1.831</v>
      </c>
      <c r="N54" s="1461">
        <v>1.6970000000000001</v>
      </c>
      <c r="O54" s="1461">
        <v>1.841</v>
      </c>
      <c r="P54" s="877">
        <v>1.6859999999999999</v>
      </c>
      <c r="Q54" s="1461">
        <v>1.8520000000000001</v>
      </c>
      <c r="R54" s="877">
        <v>1.675</v>
      </c>
      <c r="S54" s="879">
        <v>1.863</v>
      </c>
      <c r="T54" s="1461">
        <v>1.665</v>
      </c>
      <c r="U54" s="1461">
        <v>1.8740000000000001</v>
      </c>
      <c r="V54" s="877">
        <v>1.6539999999999999</v>
      </c>
      <c r="W54" s="879">
        <v>1.885</v>
      </c>
      <c r="X54" s="1461">
        <v>1.643</v>
      </c>
      <c r="Y54" s="1461">
        <v>1.8959999999999999</v>
      </c>
      <c r="Z54" s="877">
        <v>1.6319999999999999</v>
      </c>
      <c r="AA54" s="879">
        <v>1.9079999999999999</v>
      </c>
      <c r="AB54" s="1461">
        <v>1.621</v>
      </c>
      <c r="AC54" s="1461">
        <v>1.919</v>
      </c>
      <c r="AD54" s="877">
        <v>1.61</v>
      </c>
      <c r="AE54" s="879">
        <v>1.931</v>
      </c>
      <c r="AF54" s="1461">
        <v>1.599</v>
      </c>
      <c r="AG54" s="1461">
        <v>1.9430000000000001</v>
      </c>
      <c r="AH54" s="877">
        <v>1.5880000000000001</v>
      </c>
      <c r="AI54" s="879">
        <v>1.9550000000000001</v>
      </c>
      <c r="AJ54" s="1461">
        <v>1.5760000000000001</v>
      </c>
      <c r="AK54" s="1461">
        <v>1.9670000000000001</v>
      </c>
      <c r="AL54" s="877">
        <v>1.5649999999999999</v>
      </c>
      <c r="AM54" s="879">
        <v>1.9790000000000001</v>
      </c>
      <c r="AN54" s="1461">
        <v>1.554</v>
      </c>
      <c r="AO54" s="879">
        <v>1.9910000000000001</v>
      </c>
    </row>
  </sheetData>
  <mergeCells count="20">
    <mergeCell ref="AL5:AM5"/>
    <mergeCell ref="AN5:AO5"/>
    <mergeCell ref="Z5:AA5"/>
    <mergeCell ref="AB5:AC5"/>
    <mergeCell ref="AD5:AE5"/>
    <mergeCell ref="AF5:AG5"/>
    <mergeCell ref="AH5:AI5"/>
    <mergeCell ref="AJ5:AK5"/>
    <mergeCell ref="X5:Y5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</mergeCell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sheetPr codeName="Sheet161"/>
  <dimension ref="A1:J12"/>
  <sheetViews>
    <sheetView workbookViewId="0"/>
  </sheetViews>
  <sheetFormatPr defaultRowHeight="14.4"/>
  <cols>
    <col min="1" max="1" width="6.109375" customWidth="1"/>
    <col min="2" max="2" width="6.6640625" customWidth="1"/>
    <col min="3" max="3" width="16.109375" customWidth="1"/>
    <col min="4" max="4" width="9.109375" customWidth="1"/>
    <col min="5" max="5" width="45.44140625" customWidth="1"/>
    <col min="6" max="6" width="7" customWidth="1"/>
    <col min="7" max="7" width="6.6640625" customWidth="1"/>
    <col min="8" max="8" width="4.88671875" customWidth="1"/>
    <col min="9" max="9" width="16.33203125" customWidth="1"/>
  </cols>
  <sheetData>
    <row r="1" spans="1:10">
      <c r="A1" s="1" t="s">
        <v>2589</v>
      </c>
    </row>
    <row r="2" spans="1:10">
      <c r="A2" s="1"/>
    </row>
    <row r="3" spans="1:10">
      <c r="A3" s="929">
        <v>2</v>
      </c>
      <c r="C3" t="s">
        <v>2595</v>
      </c>
      <c r="D3" s="929">
        <f t="array" ref="D3">SUM(IF(FREQUENCY(A3:A12,A3:A12)&gt;0,1))</f>
        <v>4</v>
      </c>
      <c r="E3" s="23" t="s">
        <v>2592</v>
      </c>
      <c r="G3" s="929">
        <v>2</v>
      </c>
      <c r="I3" t="s">
        <v>2595</v>
      </c>
      <c r="J3" s="929">
        <f t="array" ref="J3">SUM(IF(FREQUENCY(G3:G12,G3:G12)&gt;0,1))</f>
        <v>3</v>
      </c>
    </row>
    <row r="4" spans="1:10">
      <c r="A4" s="627" t="s">
        <v>2590</v>
      </c>
      <c r="C4" t="s">
        <v>2591</v>
      </c>
      <c r="D4" s="627">
        <f t="array" ref="D4">SUM(1/COUNTIF(A3:A12,A3:A12))</f>
        <v>7</v>
      </c>
      <c r="E4" s="23" t="s">
        <v>2593</v>
      </c>
      <c r="G4" s="627" t="s">
        <v>2590</v>
      </c>
      <c r="I4" t="s">
        <v>2591</v>
      </c>
      <c r="J4" s="627" t="e">
        <f t="array" ref="J4">SUM(1/COUNTIF(G3:G12,G3:G12))</f>
        <v>#DIV/0!</v>
      </c>
    </row>
    <row r="5" spans="1:10">
      <c r="A5" s="627" t="s">
        <v>526</v>
      </c>
      <c r="C5" t="s">
        <v>2591</v>
      </c>
      <c r="D5" s="544">
        <f t="array" ref="D5">SUM((A3:A12&lt;&gt;"")/COUNTIF(A3:A12,A3:A12&amp;""))</f>
        <v>7</v>
      </c>
      <c r="E5" s="23" t="s">
        <v>2594</v>
      </c>
      <c r="G5" s="627" t="s">
        <v>526</v>
      </c>
      <c r="I5" t="s">
        <v>2591</v>
      </c>
      <c r="J5" s="544">
        <f t="array" ref="J5">SUM((G3:G12&lt;&gt;"")/COUNTIF(G3:G12,G3:G12&amp;""))</f>
        <v>6</v>
      </c>
    </row>
    <row r="6" spans="1:10">
      <c r="A6" s="627">
        <v>5</v>
      </c>
      <c r="G6" s="627">
        <v>5</v>
      </c>
    </row>
    <row r="7" spans="1:10">
      <c r="A7" s="627" t="s">
        <v>2590</v>
      </c>
      <c r="C7" t="s">
        <v>1939</v>
      </c>
      <c r="G7" s="627" t="s">
        <v>2590</v>
      </c>
      <c r="I7" t="s">
        <v>1939</v>
      </c>
    </row>
    <row r="8" spans="1:10">
      <c r="A8" s="627">
        <v>8</v>
      </c>
      <c r="G8" s="627">
        <v>8</v>
      </c>
    </row>
    <row r="9" spans="1:10">
      <c r="A9" s="627">
        <v>3</v>
      </c>
      <c r="C9" t="s">
        <v>2595</v>
      </c>
      <c r="D9" s="1235" t="e">
        <f ca="1">[1]!COUNTU(A3:A12)</f>
        <v>#NAME?</v>
      </c>
      <c r="E9" s="23" t="s">
        <v>2596</v>
      </c>
      <c r="G9" s="627"/>
      <c r="I9" t="s">
        <v>2595</v>
      </c>
      <c r="J9" s="1235" t="e">
        <f ca="1">[1]!COUNTU(G3:G12)</f>
        <v>#NAME?</v>
      </c>
    </row>
    <row r="10" spans="1:10">
      <c r="A10" s="627" t="s">
        <v>384</v>
      </c>
      <c r="C10" t="s">
        <v>2595</v>
      </c>
      <c r="D10" s="544" t="e">
        <f ca="1">[1]!COUNTAU(A3:A12)</f>
        <v>#NAME?</v>
      </c>
      <c r="E10" s="23" t="s">
        <v>3753</v>
      </c>
      <c r="G10" s="627" t="s">
        <v>384</v>
      </c>
      <c r="I10" t="s">
        <v>2595</v>
      </c>
      <c r="J10" s="544" t="e">
        <f ca="1">[1]!COUNTAU(G3:G12)</f>
        <v>#NAME?</v>
      </c>
    </row>
    <row r="11" spans="1:10">
      <c r="A11" s="627">
        <v>5</v>
      </c>
      <c r="G11" s="627">
        <v>5</v>
      </c>
    </row>
    <row r="12" spans="1:10">
      <c r="A12" s="544">
        <v>8</v>
      </c>
      <c r="G12" s="544">
        <v>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sheetPr codeName="Sheet245"/>
  <dimension ref="A1:Z16"/>
  <sheetViews>
    <sheetView workbookViewId="0"/>
  </sheetViews>
  <sheetFormatPr defaultRowHeight="14.4"/>
  <cols>
    <col min="6" max="6" width="5" customWidth="1"/>
    <col min="10" max="10" width="5" customWidth="1"/>
    <col min="13" max="13" width="4.6640625" customWidth="1"/>
    <col min="15" max="15" width="5" customWidth="1"/>
    <col min="17" max="17" width="5" customWidth="1"/>
  </cols>
  <sheetData>
    <row r="1" spans="1:26">
      <c r="A1" s="1" t="s">
        <v>2627</v>
      </c>
      <c r="U1" t="s">
        <v>2901</v>
      </c>
    </row>
    <row r="2" spans="1:26">
      <c r="A2" s="1"/>
    </row>
    <row r="3" spans="1:26">
      <c r="A3" s="25" t="s">
        <v>2628</v>
      </c>
      <c r="E3" t="s">
        <v>2629</v>
      </c>
      <c r="G3" t="s">
        <v>2630</v>
      </c>
      <c r="K3" t="s">
        <v>2631</v>
      </c>
      <c r="N3" t="s">
        <v>2632</v>
      </c>
      <c r="P3" t="s">
        <v>2633</v>
      </c>
      <c r="R3" t="s">
        <v>2634</v>
      </c>
      <c r="U3" t="s">
        <v>2902</v>
      </c>
      <c r="X3" t="s">
        <v>2907</v>
      </c>
      <c r="Z3" t="s">
        <v>2908</v>
      </c>
    </row>
    <row r="5" spans="1:26">
      <c r="A5" s="949">
        <v>3</v>
      </c>
      <c r="B5" s="1008">
        <v>5</v>
      </c>
      <c r="C5" s="1009">
        <v>8</v>
      </c>
      <c r="E5" s="929" t="e">
        <f t="array" aca="1" ref="E5:E16" ca="1">[1]!RESHAPE(A5:C8)</f>
        <v>#NAME?</v>
      </c>
      <c r="G5" s="926" t="e">
        <f t="array" aca="1" ref="G5:I8" ca="1">[1]!REVERSE(A5:C8)</f>
        <v>#NAME?</v>
      </c>
      <c r="H5" s="928" t="e">
        <f ca="1"/>
        <v>#NAME?</v>
      </c>
      <c r="I5" s="927" t="e">
        <f ca="1"/>
        <v>#NAME?</v>
      </c>
      <c r="K5" s="926" t="e">
        <f t="array" aca="1" ref="K5:L10" ca="1">[1]!DELBLANK(A5:C8)</f>
        <v>#NAME?</v>
      </c>
      <c r="L5" s="927" t="e">
        <f ca="1"/>
        <v>#NAME?</v>
      </c>
      <c r="N5" s="929" t="e">
        <f t="array" aca="1" ref="N5:N16" ca="1">[1]!RANDOMIZE(A5:C8)</f>
        <v>#NAME?</v>
      </c>
      <c r="P5" s="929" t="e">
        <f t="array" aca="1" ref="P5:P16" ca="1">[1]!QSORT(A5:C8)</f>
        <v>#NAME?</v>
      </c>
      <c r="R5" s="929" t="e">
        <f t="array" aca="1" ref="R5:R16" ca="1">[1]!NODUPES(A5:C8)</f>
        <v>#NAME?</v>
      </c>
      <c r="U5" s="1067" t="s">
        <v>2905</v>
      </c>
      <c r="V5" s="1071" t="s">
        <v>2904</v>
      </c>
      <c r="X5" s="1072" t="e">
        <f t="array" aca="1" ref="X5:X10" ca="1">[1]!SortUnique(U5:V8)</f>
        <v>#NAME?</v>
      </c>
      <c r="Z5" s="1072" t="e">
        <f t="array" aca="1" ref="Z5:Z10" ca="1">[1]!ExtractUnique(U5:V8)</f>
        <v>#NAME?</v>
      </c>
    </row>
    <row r="6" spans="1:26">
      <c r="A6" s="664">
        <v>15</v>
      </c>
      <c r="B6" s="967"/>
      <c r="C6" s="618" t="s">
        <v>526</v>
      </c>
      <c r="E6" s="627" t="e">
        <f ca="1"/>
        <v>#NAME?</v>
      </c>
      <c r="G6" s="656" t="e">
        <f ca="1"/>
        <v>#NAME?</v>
      </c>
      <c r="H6" s="8" t="e">
        <f ca="1"/>
        <v>#NAME?</v>
      </c>
      <c r="I6" s="657" t="e">
        <f ca="1"/>
        <v>#NAME?</v>
      </c>
      <c r="K6" s="656" t="e">
        <f ca="1"/>
        <v>#NAME?</v>
      </c>
      <c r="L6" s="657" t="e">
        <f ca="1"/>
        <v>#NAME?</v>
      </c>
      <c r="N6" s="627" t="e">
        <f ca="1"/>
        <v>#NAME?</v>
      </c>
      <c r="P6" s="627" t="e">
        <f ca="1"/>
        <v>#NAME?</v>
      </c>
      <c r="R6" s="627" t="e">
        <f ca="1"/>
        <v>#NAME?</v>
      </c>
      <c r="U6" s="656" t="s">
        <v>2903</v>
      </c>
      <c r="V6" s="657" t="s">
        <v>2861</v>
      </c>
      <c r="X6" s="627" t="e">
        <f ca="1"/>
        <v>#NAME?</v>
      </c>
      <c r="Z6" s="627" t="e">
        <f ca="1"/>
        <v>#NAME?</v>
      </c>
    </row>
    <row r="7" spans="1:26">
      <c r="A7" s="664">
        <v>5</v>
      </c>
      <c r="B7" s="967" t="s">
        <v>526</v>
      </c>
      <c r="C7" s="618">
        <v>0</v>
      </c>
      <c r="E7" s="627" t="e">
        <f ca="1"/>
        <v>#NAME?</v>
      </c>
      <c r="G7" s="656" t="e">
        <f ca="1"/>
        <v>#NAME?</v>
      </c>
      <c r="H7" s="8" t="e">
        <f ca="1"/>
        <v>#NAME?</v>
      </c>
      <c r="I7" s="657" t="e">
        <f ca="1"/>
        <v>#NAME?</v>
      </c>
      <c r="K7" s="656" t="e">
        <f ca="1"/>
        <v>#NAME?</v>
      </c>
      <c r="L7" s="657" t="e">
        <f ca="1"/>
        <v>#NAME?</v>
      </c>
      <c r="N7" s="627" t="e">
        <f ca="1"/>
        <v>#NAME?</v>
      </c>
      <c r="P7" s="627" t="e">
        <f ca="1"/>
        <v>#NAME?</v>
      </c>
      <c r="R7" s="627" t="e">
        <f ca="1"/>
        <v>#NAME?</v>
      </c>
      <c r="U7" s="656" t="s">
        <v>2904</v>
      </c>
      <c r="V7" s="657" t="s">
        <v>2905</v>
      </c>
      <c r="X7" s="627" t="e">
        <f ca="1"/>
        <v>#NAME?</v>
      </c>
      <c r="Z7" s="627" t="e">
        <f ca="1"/>
        <v>#NAME?</v>
      </c>
    </row>
    <row r="8" spans="1:26">
      <c r="A8" s="560">
        <v>12</v>
      </c>
      <c r="B8" s="969" t="s">
        <v>384</v>
      </c>
      <c r="C8" s="536">
        <v>8</v>
      </c>
      <c r="E8" s="627" t="e">
        <f ca="1"/>
        <v>#NAME?</v>
      </c>
      <c r="G8" s="533" t="e">
        <f ca="1"/>
        <v>#NAME?</v>
      </c>
      <c r="H8" s="11" t="e">
        <f ca="1"/>
        <v>#NAME?</v>
      </c>
      <c r="I8" s="541" t="e">
        <f ca="1"/>
        <v>#NAME?</v>
      </c>
      <c r="K8" s="656" t="e">
        <f ca="1"/>
        <v>#NAME?</v>
      </c>
      <c r="L8" s="657" t="e">
        <f ca="1"/>
        <v>#NAME?</v>
      </c>
      <c r="N8" s="627" t="e">
        <f ca="1"/>
        <v>#NAME?</v>
      </c>
      <c r="P8" s="627" t="e">
        <f ca="1"/>
        <v>#NAME?</v>
      </c>
      <c r="R8" s="627" t="e">
        <f ca="1"/>
        <v>#NAME?</v>
      </c>
      <c r="U8" s="533" t="s">
        <v>2861</v>
      </c>
      <c r="V8" s="541" t="s">
        <v>2906</v>
      </c>
      <c r="X8" s="627" t="e">
        <f ca="1"/>
        <v>#NAME?</v>
      </c>
      <c r="Z8" s="627" t="e">
        <f ca="1"/>
        <v>#NAME?</v>
      </c>
    </row>
    <row r="9" spans="1:26">
      <c r="E9" s="627" t="e">
        <f ca="1"/>
        <v>#NAME?</v>
      </c>
      <c r="K9" s="656" t="e">
        <f ca="1"/>
        <v>#NAME?</v>
      </c>
      <c r="L9" s="657" t="e">
        <f ca="1"/>
        <v>#NAME?</v>
      </c>
      <c r="N9" s="627" t="e">
        <f ca="1"/>
        <v>#NAME?</v>
      </c>
      <c r="P9" s="627" t="e">
        <f ca="1"/>
        <v>#NAME?</v>
      </c>
      <c r="R9" s="627" t="e">
        <f ca="1"/>
        <v>#NAME?</v>
      </c>
      <c r="X9" s="627" t="e">
        <f ca="1"/>
        <v>#NAME?</v>
      </c>
      <c r="Z9" s="627" t="e">
        <f ca="1"/>
        <v>#NAME?</v>
      </c>
    </row>
    <row r="10" spans="1:26">
      <c r="E10" s="627" t="e">
        <f ca="1"/>
        <v>#NAME?</v>
      </c>
      <c r="K10" s="533" t="e">
        <f ca="1"/>
        <v>#NAME?</v>
      </c>
      <c r="L10" s="541" t="e">
        <f ca="1"/>
        <v>#NAME?</v>
      </c>
      <c r="N10" s="627" t="e">
        <f ca="1"/>
        <v>#NAME?</v>
      </c>
      <c r="P10" s="627" t="e">
        <f ca="1"/>
        <v>#NAME?</v>
      </c>
      <c r="R10" s="627" t="e">
        <f ca="1"/>
        <v>#NAME?</v>
      </c>
      <c r="X10" s="544" t="e">
        <f ca="1"/>
        <v>#NAME?</v>
      </c>
      <c r="Z10" s="544" t="e">
        <f ca="1"/>
        <v>#NAME?</v>
      </c>
    </row>
    <row r="11" spans="1:26">
      <c r="E11" s="627" t="e">
        <f ca="1"/>
        <v>#NAME?</v>
      </c>
      <c r="G11" t="s">
        <v>2635</v>
      </c>
      <c r="N11" s="627" t="e">
        <f ca="1"/>
        <v>#NAME?</v>
      </c>
      <c r="P11" s="627" t="e">
        <f ca="1"/>
        <v>#NAME?</v>
      </c>
      <c r="R11" s="627" t="e">
        <f ca="1"/>
        <v>#NAME?</v>
      </c>
    </row>
    <row r="12" spans="1:26">
      <c r="E12" s="627" t="e">
        <f ca="1"/>
        <v>#NAME?</v>
      </c>
      <c r="N12" s="627" t="e">
        <f ca="1"/>
        <v>#NAME?</v>
      </c>
      <c r="P12" s="627" t="e">
        <f ca="1"/>
        <v>#NAME?</v>
      </c>
      <c r="R12" s="627" t="e">
        <f ca="1"/>
        <v>#NAME?</v>
      </c>
    </row>
    <row r="13" spans="1:26">
      <c r="E13" s="627" t="e">
        <f ca="1"/>
        <v>#NAME?</v>
      </c>
      <c r="G13" s="926" t="e">
        <f t="array" aca="1" ref="G13:I16" ca="1">[1]!SHUFFLE(A5:C8)</f>
        <v>#NAME?</v>
      </c>
      <c r="H13" s="928" t="e">
        <f ca="1"/>
        <v>#NAME?</v>
      </c>
      <c r="I13" s="927" t="e">
        <f ca="1"/>
        <v>#NAME?</v>
      </c>
      <c r="N13" s="627" t="e">
        <f ca="1"/>
        <v>#NAME?</v>
      </c>
      <c r="P13" s="627" t="e">
        <f ca="1"/>
        <v>#NAME?</v>
      </c>
      <c r="R13" s="627" t="e">
        <f ca="1"/>
        <v>#NAME?</v>
      </c>
    </row>
    <row r="14" spans="1:26">
      <c r="E14" s="627" t="e">
        <f ca="1"/>
        <v>#NAME?</v>
      </c>
      <c r="G14" s="656" t="e">
        <f ca="1"/>
        <v>#NAME?</v>
      </c>
      <c r="H14" s="8" t="e">
        <f ca="1"/>
        <v>#NAME?</v>
      </c>
      <c r="I14" s="657" t="e">
        <f ca="1"/>
        <v>#NAME?</v>
      </c>
      <c r="N14" s="627" t="e">
        <f ca="1"/>
        <v>#NAME?</v>
      </c>
      <c r="P14" s="627" t="e">
        <f ca="1"/>
        <v>#NAME?</v>
      </c>
      <c r="R14" s="627" t="e">
        <f ca="1"/>
        <v>#NAME?</v>
      </c>
    </row>
    <row r="15" spans="1:26">
      <c r="E15" s="627" t="e">
        <f ca="1"/>
        <v>#NAME?</v>
      </c>
      <c r="G15" s="656" t="e">
        <f ca="1"/>
        <v>#NAME?</v>
      </c>
      <c r="H15" s="8" t="e">
        <f ca="1"/>
        <v>#NAME?</v>
      </c>
      <c r="I15" s="657" t="e">
        <f ca="1"/>
        <v>#NAME?</v>
      </c>
      <c r="N15" s="627" t="e">
        <f ca="1"/>
        <v>#NAME?</v>
      </c>
      <c r="P15" s="627" t="e">
        <f ca="1"/>
        <v>#NAME?</v>
      </c>
      <c r="R15" s="627" t="e">
        <f ca="1"/>
        <v>#NAME?</v>
      </c>
    </row>
    <row r="16" spans="1:26">
      <c r="E16" s="544" t="e">
        <f ca="1"/>
        <v>#NAME?</v>
      </c>
      <c r="G16" s="533" t="e">
        <f ca="1"/>
        <v>#NAME?</v>
      </c>
      <c r="H16" s="11" t="e">
        <f ca="1"/>
        <v>#NAME?</v>
      </c>
      <c r="I16" s="541" t="e">
        <f ca="1"/>
        <v>#NAME?</v>
      </c>
      <c r="N16" s="544" t="e">
        <f ca="1"/>
        <v>#NAME?</v>
      </c>
      <c r="P16" s="544" t="e">
        <f ca="1"/>
        <v>#NAME?</v>
      </c>
      <c r="R16" s="544" t="e">
        <f ca="1"/>
        <v>#NAME?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sheetPr codeName="Sheet240"/>
  <dimension ref="A1:R45"/>
  <sheetViews>
    <sheetView workbookViewId="0"/>
  </sheetViews>
  <sheetFormatPr defaultRowHeight="14.4"/>
  <sheetData>
    <row r="1" spans="1:18">
      <c r="A1" s="1" t="s">
        <v>2661</v>
      </c>
    </row>
    <row r="2" spans="1:18">
      <c r="A2" s="1"/>
    </row>
    <row r="3" spans="1:18">
      <c r="A3" s="25" t="s">
        <v>2671</v>
      </c>
      <c r="E3" t="s">
        <v>2672</v>
      </c>
      <c r="H3" t="s">
        <v>2673</v>
      </c>
      <c r="N3" t="s">
        <v>2672</v>
      </c>
    </row>
    <row r="5" spans="1:18">
      <c r="A5" s="1020" t="s">
        <v>2662</v>
      </c>
      <c r="B5" s="1020" t="s">
        <v>211</v>
      </c>
      <c r="C5" s="1020" t="s">
        <v>2633</v>
      </c>
      <c r="D5" s="1020"/>
      <c r="E5" s="1020" t="s">
        <v>211</v>
      </c>
      <c r="F5" s="1020" t="s">
        <v>2633</v>
      </c>
      <c r="G5" s="1020"/>
      <c r="H5" s="1020" t="s">
        <v>2662</v>
      </c>
      <c r="I5" s="1020" t="s">
        <v>211</v>
      </c>
      <c r="J5" s="1020" t="s">
        <v>88</v>
      </c>
      <c r="K5" s="1020" t="s">
        <v>2664</v>
      </c>
      <c r="L5" s="1020" t="s">
        <v>2633</v>
      </c>
      <c r="M5" s="1020"/>
      <c r="N5" s="1020" t="s">
        <v>211</v>
      </c>
      <c r="O5" s="1020" t="s">
        <v>2664</v>
      </c>
      <c r="P5" s="1020" t="s">
        <v>2633</v>
      </c>
      <c r="Q5" s="1020"/>
      <c r="R5" s="1020" t="s">
        <v>2665</v>
      </c>
    </row>
    <row r="6" spans="1:18">
      <c r="A6" s="1020">
        <v>1</v>
      </c>
      <c r="B6" s="949">
        <v>4</v>
      </c>
      <c r="C6" s="1009">
        <f>SMALL(B$6:B$15,A6)</f>
        <v>-1</v>
      </c>
      <c r="D6" s="1020"/>
      <c r="E6" s="949">
        <v>4</v>
      </c>
      <c r="F6" s="1009">
        <f>SMALL(E$6:E$15,ROW(E6)-ROW(E$6)+1)</f>
        <v>-1</v>
      </c>
      <c r="G6" s="1020"/>
      <c r="H6" s="1020">
        <v>1</v>
      </c>
      <c r="I6" s="949">
        <v>4</v>
      </c>
      <c r="J6" s="115">
        <f>COUNTIF(I7:I$15,"="&amp;I6)</f>
        <v>1</v>
      </c>
      <c r="K6" s="115" t="str">
        <f>IF(J6=0,I6,"")</f>
        <v/>
      </c>
      <c r="L6" s="1009">
        <f>SMALL(K$6:K$15,H6)</f>
        <v>-1</v>
      </c>
      <c r="M6" s="1020"/>
      <c r="N6" s="949">
        <v>4</v>
      </c>
      <c r="O6" s="115" t="str">
        <f>IF(COUNTIF(I7:I$15,"="&amp;I6)=0,N6,"")</f>
        <v/>
      </c>
      <c r="P6" s="1009">
        <f>SMALL(O$6:O$15,ROW(N6)-ROW(N$6)+1)</f>
        <v>-1</v>
      </c>
      <c r="Q6" s="1020"/>
      <c r="R6" s="1028">
        <f>IF(ISNUMBER(P6),P6,"")</f>
        <v>-1</v>
      </c>
    </row>
    <row r="7" spans="1:18">
      <c r="A7" s="1020">
        <f>A6+1</f>
        <v>2</v>
      </c>
      <c r="B7" s="664">
        <v>5</v>
      </c>
      <c r="C7" s="618">
        <f t="shared" ref="C7:C15" si="0">SMALL(B$6:B$15,A7)</f>
        <v>0</v>
      </c>
      <c r="D7" s="1020"/>
      <c r="E7" s="664">
        <v>5</v>
      </c>
      <c r="F7" s="618">
        <f t="shared" ref="F7:F15" si="1">SMALL(E$6:E$15,ROW(E7)-ROW(E$6)+1)</f>
        <v>0</v>
      </c>
      <c r="G7" s="1020"/>
      <c r="H7" s="1020">
        <f>H6+1</f>
        <v>2</v>
      </c>
      <c r="I7" s="664">
        <v>5</v>
      </c>
      <c r="J7" s="1022">
        <f>COUNTIF(I8:I$15,"="&amp;I7)</f>
        <v>0</v>
      </c>
      <c r="K7" s="1022">
        <f t="shared" ref="K7:K15" si="2">IF(J7=0,I7,"")</f>
        <v>5</v>
      </c>
      <c r="L7" s="618">
        <f t="shared" ref="L7:L15" si="3">SMALL(K$6:K$15,H7)</f>
        <v>0</v>
      </c>
      <c r="M7" s="1020"/>
      <c r="N7" s="664">
        <v>5</v>
      </c>
      <c r="O7" s="1022">
        <f>IF(COUNTIF(I8:I$15,"="&amp;I7)=0,N7,"")</f>
        <v>5</v>
      </c>
      <c r="P7" s="618">
        <f t="shared" ref="P7:P15" si="4">SMALL(O$6:O$15,ROW(N7)-ROW(N$6)+1)</f>
        <v>0</v>
      </c>
      <c r="Q7" s="1020"/>
      <c r="R7" s="714">
        <f t="shared" ref="R7:R15" si="5">IF(ISNUMBER(P7),P7,"")</f>
        <v>0</v>
      </c>
    </row>
    <row r="8" spans="1:18">
      <c r="A8" s="1020">
        <f t="shared" ref="A8:A15" si="6">A7+1</f>
        <v>3</v>
      </c>
      <c r="B8" s="664">
        <v>2</v>
      </c>
      <c r="C8" s="618">
        <f t="shared" si="0"/>
        <v>2</v>
      </c>
      <c r="D8" s="1020"/>
      <c r="E8" s="664">
        <v>2</v>
      </c>
      <c r="F8" s="618">
        <f t="shared" si="1"/>
        <v>2</v>
      </c>
      <c r="G8" s="1020"/>
      <c r="H8" s="1020">
        <f t="shared" ref="H8:H15" si="7">H7+1</f>
        <v>3</v>
      </c>
      <c r="I8" s="664">
        <v>2</v>
      </c>
      <c r="J8" s="1022">
        <f>COUNTIF(I9:I$15,"="&amp;I8)</f>
        <v>2</v>
      </c>
      <c r="K8" s="1022" t="str">
        <f t="shared" si="2"/>
        <v/>
      </c>
      <c r="L8" s="618">
        <f t="shared" si="3"/>
        <v>4</v>
      </c>
      <c r="M8" s="1020"/>
      <c r="N8" s="664">
        <v>2</v>
      </c>
      <c r="O8" s="1022" t="str">
        <f>IF(COUNTIF(I9:I$15,"="&amp;I8)=0,N8,"")</f>
        <v/>
      </c>
      <c r="P8" s="618">
        <f t="shared" si="4"/>
        <v>4</v>
      </c>
      <c r="Q8" s="1020"/>
      <c r="R8" s="714">
        <f t="shared" si="5"/>
        <v>4</v>
      </c>
    </row>
    <row r="9" spans="1:18">
      <c r="A9" s="1020">
        <f t="shared" si="6"/>
        <v>4</v>
      </c>
      <c r="B9" s="664">
        <v>9</v>
      </c>
      <c r="C9" s="618">
        <f t="shared" si="0"/>
        <v>2</v>
      </c>
      <c r="D9" s="1020"/>
      <c r="E9" s="664">
        <v>9</v>
      </c>
      <c r="F9" s="618">
        <f t="shared" si="1"/>
        <v>2</v>
      </c>
      <c r="G9" s="1020"/>
      <c r="H9" s="1020">
        <f t="shared" si="7"/>
        <v>4</v>
      </c>
      <c r="I9" s="664">
        <v>9</v>
      </c>
      <c r="J9" s="1022">
        <f>COUNTIF(I10:I$15,"="&amp;I9)</f>
        <v>0</v>
      </c>
      <c r="K9" s="1022">
        <f t="shared" si="2"/>
        <v>9</v>
      </c>
      <c r="L9" s="618">
        <f t="shared" si="3"/>
        <v>5</v>
      </c>
      <c r="M9" s="1020"/>
      <c r="N9" s="664">
        <v>9</v>
      </c>
      <c r="O9" s="1022">
        <f>IF(COUNTIF(I10:I$15,"="&amp;I9)=0,N9,"")</f>
        <v>9</v>
      </c>
      <c r="P9" s="618">
        <f t="shared" si="4"/>
        <v>5</v>
      </c>
      <c r="Q9" s="1020"/>
      <c r="R9" s="714">
        <f t="shared" si="5"/>
        <v>5</v>
      </c>
    </row>
    <row r="10" spans="1:18">
      <c r="A10" s="1020">
        <f t="shared" si="6"/>
        <v>5</v>
      </c>
      <c r="B10" s="664">
        <v>2</v>
      </c>
      <c r="C10" s="618">
        <f t="shared" si="0"/>
        <v>2</v>
      </c>
      <c r="D10" s="1020"/>
      <c r="E10" s="664">
        <v>2</v>
      </c>
      <c r="F10" s="618">
        <f t="shared" si="1"/>
        <v>2</v>
      </c>
      <c r="G10" s="1020"/>
      <c r="H10" s="1020">
        <f t="shared" si="7"/>
        <v>5</v>
      </c>
      <c r="I10" s="664">
        <v>2</v>
      </c>
      <c r="J10" s="1022">
        <f>COUNTIF(I11:I$15,"="&amp;I10)</f>
        <v>1</v>
      </c>
      <c r="K10" s="1022" t="str">
        <f t="shared" si="2"/>
        <v/>
      </c>
      <c r="L10" s="618">
        <f t="shared" si="3"/>
        <v>7</v>
      </c>
      <c r="M10" s="1020"/>
      <c r="N10" s="664">
        <v>2</v>
      </c>
      <c r="O10" s="1022" t="str">
        <f>IF(COUNTIF(I11:I$15,"="&amp;I10)=0,N10,"")</f>
        <v/>
      </c>
      <c r="P10" s="618">
        <f t="shared" si="4"/>
        <v>7</v>
      </c>
      <c r="Q10" s="1020"/>
      <c r="R10" s="714">
        <f t="shared" si="5"/>
        <v>7</v>
      </c>
    </row>
    <row r="11" spans="1:18">
      <c r="A11" s="1020">
        <f t="shared" si="6"/>
        <v>6</v>
      </c>
      <c r="B11" s="664">
        <v>-1</v>
      </c>
      <c r="C11" s="618">
        <f t="shared" si="0"/>
        <v>4</v>
      </c>
      <c r="D11" s="1020"/>
      <c r="E11" s="664">
        <v>-1</v>
      </c>
      <c r="F11" s="618">
        <f t="shared" si="1"/>
        <v>4</v>
      </c>
      <c r="G11" s="1020"/>
      <c r="H11" s="1020">
        <f t="shared" si="7"/>
        <v>6</v>
      </c>
      <c r="I11" s="664">
        <v>-1</v>
      </c>
      <c r="J11" s="1022">
        <f>COUNTIF(I12:I$15,"="&amp;I11)</f>
        <v>0</v>
      </c>
      <c r="K11" s="1022">
        <f t="shared" si="2"/>
        <v>-1</v>
      </c>
      <c r="L11" s="618">
        <f t="shared" si="3"/>
        <v>9</v>
      </c>
      <c r="M11" s="1020"/>
      <c r="N11" s="664">
        <v>-1</v>
      </c>
      <c r="O11" s="1022">
        <f>IF(COUNTIF(I12:I$15,"="&amp;I11)=0,N11,"")</f>
        <v>-1</v>
      </c>
      <c r="P11" s="618">
        <f t="shared" si="4"/>
        <v>9</v>
      </c>
      <c r="Q11" s="1020"/>
      <c r="R11" s="714">
        <f t="shared" si="5"/>
        <v>9</v>
      </c>
    </row>
    <row r="12" spans="1:18">
      <c r="A12" s="1020">
        <f t="shared" si="6"/>
        <v>7</v>
      </c>
      <c r="B12" s="664">
        <v>4</v>
      </c>
      <c r="C12" s="618">
        <f t="shared" si="0"/>
        <v>4</v>
      </c>
      <c r="D12" s="1020"/>
      <c r="E12" s="664">
        <v>4</v>
      </c>
      <c r="F12" s="618">
        <f t="shared" si="1"/>
        <v>4</v>
      </c>
      <c r="G12" s="1020"/>
      <c r="H12" s="1020">
        <f t="shared" si="7"/>
        <v>7</v>
      </c>
      <c r="I12" s="664">
        <v>4</v>
      </c>
      <c r="J12" s="1022">
        <f>COUNTIF(I13:I$15,"="&amp;I12)</f>
        <v>0</v>
      </c>
      <c r="K12" s="1022">
        <f t="shared" si="2"/>
        <v>4</v>
      </c>
      <c r="L12" s="618" t="e">
        <f t="shared" si="3"/>
        <v>#NUM!</v>
      </c>
      <c r="M12" s="1020"/>
      <c r="N12" s="664">
        <v>4</v>
      </c>
      <c r="O12" s="1022">
        <f>IF(COUNTIF(I13:I$15,"="&amp;I12)=0,N12,"")</f>
        <v>4</v>
      </c>
      <c r="P12" s="618" t="e">
        <f t="shared" si="4"/>
        <v>#NUM!</v>
      </c>
      <c r="Q12" s="1020"/>
      <c r="R12" s="714" t="str">
        <f t="shared" si="5"/>
        <v/>
      </c>
    </row>
    <row r="13" spans="1:18">
      <c r="A13" s="1020">
        <f t="shared" si="6"/>
        <v>8</v>
      </c>
      <c r="B13" s="664">
        <v>7</v>
      </c>
      <c r="C13" s="618">
        <f t="shared" si="0"/>
        <v>5</v>
      </c>
      <c r="D13" s="1020"/>
      <c r="E13" s="664">
        <v>7</v>
      </c>
      <c r="F13" s="618">
        <f t="shared" si="1"/>
        <v>5</v>
      </c>
      <c r="G13" s="1020"/>
      <c r="H13" s="1020">
        <f t="shared" si="7"/>
        <v>8</v>
      </c>
      <c r="I13" s="664">
        <v>7</v>
      </c>
      <c r="J13" s="1022">
        <f>COUNTIF(I14:I$15,"="&amp;I13)</f>
        <v>0</v>
      </c>
      <c r="K13" s="1022">
        <f t="shared" si="2"/>
        <v>7</v>
      </c>
      <c r="L13" s="618" t="e">
        <f t="shared" si="3"/>
        <v>#NUM!</v>
      </c>
      <c r="M13" s="1020"/>
      <c r="N13" s="664">
        <v>7</v>
      </c>
      <c r="O13" s="1022">
        <f>IF(COUNTIF(I14:I$15,"="&amp;I13)=0,N13,"")</f>
        <v>7</v>
      </c>
      <c r="P13" s="618" t="e">
        <f t="shared" si="4"/>
        <v>#NUM!</v>
      </c>
      <c r="Q13" s="1020"/>
      <c r="R13" s="714" t="str">
        <f t="shared" si="5"/>
        <v/>
      </c>
    </row>
    <row r="14" spans="1:18">
      <c r="A14" s="1020">
        <f t="shared" si="6"/>
        <v>9</v>
      </c>
      <c r="B14" s="664">
        <v>0</v>
      </c>
      <c r="C14" s="618">
        <f t="shared" si="0"/>
        <v>7</v>
      </c>
      <c r="D14" s="1020"/>
      <c r="E14" s="664">
        <v>0</v>
      </c>
      <c r="F14" s="618">
        <f t="shared" si="1"/>
        <v>7</v>
      </c>
      <c r="G14" s="1020"/>
      <c r="H14" s="1020">
        <f t="shared" si="7"/>
        <v>9</v>
      </c>
      <c r="I14" s="664">
        <v>0</v>
      </c>
      <c r="J14" s="1022">
        <f>COUNTIF(I15:I$15,"="&amp;I14)</f>
        <v>0</v>
      </c>
      <c r="K14" s="1022">
        <f t="shared" si="2"/>
        <v>0</v>
      </c>
      <c r="L14" s="618" t="e">
        <f t="shared" si="3"/>
        <v>#NUM!</v>
      </c>
      <c r="M14" s="1020"/>
      <c r="N14" s="664">
        <v>0</v>
      </c>
      <c r="O14" s="1022">
        <f>IF(COUNTIF(I15:I$15,"="&amp;I14)=0,N14,"")</f>
        <v>0</v>
      </c>
      <c r="P14" s="618" t="e">
        <f t="shared" si="4"/>
        <v>#NUM!</v>
      </c>
      <c r="Q14" s="1020"/>
      <c r="R14" s="714" t="str">
        <f t="shared" si="5"/>
        <v/>
      </c>
    </row>
    <row r="15" spans="1:18">
      <c r="A15" s="1020">
        <f t="shared" si="6"/>
        <v>10</v>
      </c>
      <c r="B15" s="560">
        <v>2</v>
      </c>
      <c r="C15" s="536">
        <f t="shared" si="0"/>
        <v>9</v>
      </c>
      <c r="D15" s="1020"/>
      <c r="E15" s="560">
        <v>2</v>
      </c>
      <c r="F15" s="536">
        <f t="shared" si="1"/>
        <v>9</v>
      </c>
      <c r="G15" s="1020"/>
      <c r="H15" s="1020">
        <f t="shared" si="7"/>
        <v>10</v>
      </c>
      <c r="I15" s="560">
        <v>2</v>
      </c>
      <c r="J15" s="1021">
        <f>COUNTIF(I$15:I19,"="&amp;I15)</f>
        <v>1</v>
      </c>
      <c r="K15" s="1021" t="str">
        <f t="shared" si="2"/>
        <v/>
      </c>
      <c r="L15" s="536" t="e">
        <f t="shared" si="3"/>
        <v>#NUM!</v>
      </c>
      <c r="M15" s="1020"/>
      <c r="N15" s="560">
        <v>2</v>
      </c>
      <c r="O15" s="1021" t="str">
        <f>IF(COUNTIF(I$15:I19,"="&amp;I15)=0,N15,"")</f>
        <v/>
      </c>
      <c r="P15" s="536" t="e">
        <f t="shared" si="4"/>
        <v>#NUM!</v>
      </c>
      <c r="Q15" s="1020"/>
      <c r="R15" s="713" t="str">
        <f t="shared" si="5"/>
        <v/>
      </c>
    </row>
    <row r="16" spans="1:18">
      <c r="A16" s="1020"/>
      <c r="B16" s="1022"/>
      <c r="C16" s="1022"/>
      <c r="D16" s="1020"/>
      <c r="E16" s="1022"/>
      <c r="F16" s="1022"/>
      <c r="G16" s="1020"/>
      <c r="H16" s="1020"/>
      <c r="I16" s="1022"/>
      <c r="J16" s="1022"/>
      <c r="K16" s="1022"/>
      <c r="L16" s="1022"/>
      <c r="M16" s="1020"/>
      <c r="N16" s="1022"/>
      <c r="O16" s="1022"/>
      <c r="P16" s="1022"/>
      <c r="Q16" s="1020"/>
      <c r="R16" s="1022"/>
    </row>
    <row r="17" spans="1:18">
      <c r="A17" s="1020"/>
      <c r="B17" s="1022"/>
      <c r="C17" s="1022"/>
      <c r="D17" s="1020"/>
      <c r="E17" s="1022"/>
      <c r="F17" s="1022"/>
      <c r="G17" s="1020"/>
      <c r="H17" s="1020"/>
      <c r="I17" s="1022"/>
      <c r="J17" s="1022"/>
      <c r="K17" s="1022"/>
      <c r="L17" s="1022"/>
      <c r="M17" s="1020"/>
      <c r="N17" s="1022"/>
      <c r="O17" s="1022"/>
      <c r="P17" s="1022"/>
      <c r="Q17" s="1020"/>
      <c r="R17" s="1022"/>
    </row>
    <row r="18" spans="1:18">
      <c r="A18" s="126" t="s">
        <v>2674</v>
      </c>
      <c r="B18" s="1022"/>
      <c r="C18" s="1022"/>
      <c r="D18" s="1020"/>
      <c r="E18" s="1022"/>
      <c r="F18" s="1022"/>
      <c r="G18" s="1020"/>
      <c r="H18" s="1020"/>
      <c r="I18" s="1022" t="s">
        <v>2672</v>
      </c>
      <c r="J18" s="1022"/>
      <c r="K18" s="1022"/>
      <c r="L18" s="1022"/>
      <c r="M18" s="1020"/>
      <c r="N18" s="1022"/>
      <c r="O18" s="1022"/>
      <c r="P18" s="1022"/>
      <c r="Q18" s="1020"/>
      <c r="R18" s="1022"/>
    </row>
    <row r="20" spans="1:18">
      <c r="A20" s="1020" t="s">
        <v>2662</v>
      </c>
      <c r="B20" s="1020" t="s">
        <v>211</v>
      </c>
      <c r="C20" s="1020" t="s">
        <v>71</v>
      </c>
      <c r="D20" s="1020" t="s">
        <v>88</v>
      </c>
      <c r="E20" s="1020" t="s">
        <v>71</v>
      </c>
      <c r="F20" s="1020" t="s">
        <v>2670</v>
      </c>
      <c r="G20" s="1020" t="s">
        <v>2633</v>
      </c>
      <c r="I20" s="1020" t="s">
        <v>211</v>
      </c>
      <c r="J20" s="1025" t="s">
        <v>71</v>
      </c>
      <c r="K20" s="1025" t="s">
        <v>2670</v>
      </c>
      <c r="L20" s="1020" t="s">
        <v>2633</v>
      </c>
      <c r="N20" s="1020" t="s">
        <v>2633</v>
      </c>
    </row>
    <row r="21" spans="1:18">
      <c r="A21" s="1020">
        <v>1</v>
      </c>
      <c r="B21" s="949" t="s">
        <v>2668</v>
      </c>
      <c r="C21" s="115">
        <f>COUNTIF(B$21:B$30,"&lt;"&amp;B21)</f>
        <v>7</v>
      </c>
      <c r="D21" s="115">
        <f>COUNTIF(B$21:B21,B21)</f>
        <v>1</v>
      </c>
      <c r="E21" s="115">
        <f>C21+D21</f>
        <v>8</v>
      </c>
      <c r="F21" s="115">
        <f>MATCH(A21,E$21:E$30,0)</f>
        <v>5</v>
      </c>
      <c r="G21" s="1009" t="str">
        <f>INDEX(B$21:B$30,F21)</f>
        <v>ape</v>
      </c>
      <c r="I21" s="949" t="s">
        <v>2668</v>
      </c>
      <c r="J21" s="115">
        <f>COUNTIF(B$21:B$30,"&lt;"&amp;B21)+COUNTIF(B$21:B21,B21)</f>
        <v>8</v>
      </c>
      <c r="K21" s="115">
        <f>MATCH(ROW(I21)-ROW(I$21)+1,J$21:J$30,0)</f>
        <v>5</v>
      </c>
      <c r="L21" s="1009" t="str">
        <f>INDEX(I$21:I$30,K21)</f>
        <v>ape</v>
      </c>
      <c r="N21" s="1028" t="str">
        <f>IF(ISNA(L21),"",L21)</f>
        <v>ape</v>
      </c>
    </row>
    <row r="22" spans="1:18">
      <c r="A22" s="1020">
        <f>A21+1</f>
        <v>2</v>
      </c>
      <c r="B22" s="664" t="s">
        <v>2663</v>
      </c>
      <c r="C22" s="1022">
        <f t="shared" ref="C22:C30" si="8">COUNTIF(B$21:B$30,"&lt;"&amp;B22)</f>
        <v>4</v>
      </c>
      <c r="D22" s="1022">
        <f>COUNTIF(B$21:B22,B22)</f>
        <v>1</v>
      </c>
      <c r="E22" s="1022">
        <f>C22+D22</f>
        <v>5</v>
      </c>
      <c r="F22" s="1022">
        <f t="shared" ref="F22:F30" si="9">MATCH(A22,E$21:E$30,0)</f>
        <v>9</v>
      </c>
      <c r="G22" s="618" t="str">
        <f t="shared" ref="G22:G30" si="10">INDEX(B$21:B$30,F22)</f>
        <v>ape</v>
      </c>
      <c r="I22" s="664" t="s">
        <v>2663</v>
      </c>
      <c r="J22" s="1027">
        <f>COUNTIF(B$21:B$30,"&lt;"&amp;B22)+COUNTIF(B$21:B22,B22)</f>
        <v>5</v>
      </c>
      <c r="K22" s="1027">
        <f t="shared" ref="K22:K30" si="11">MATCH(ROW(I22)-ROW(I$21)+1,J$21:J$30,0)</f>
        <v>9</v>
      </c>
      <c r="L22" s="618" t="str">
        <f t="shared" ref="L22:L30" si="12">INDEX(I$21:I$30,K22)</f>
        <v>ape</v>
      </c>
      <c r="N22" s="714" t="str">
        <f t="shared" ref="N22:N30" si="13">IF(ISNA(L22),"",L22)</f>
        <v>ape</v>
      </c>
    </row>
    <row r="23" spans="1:18">
      <c r="A23" s="1020">
        <f t="shared" ref="A23:A30" si="14">A22+1</f>
        <v>3</v>
      </c>
      <c r="B23" s="664" t="s">
        <v>2666</v>
      </c>
      <c r="C23" s="1022">
        <f t="shared" si="8"/>
        <v>3</v>
      </c>
      <c r="D23" s="1022">
        <f>COUNTIF(B$21:B23,B23)</f>
        <v>1</v>
      </c>
      <c r="E23" s="1022">
        <f t="shared" ref="E23:E30" si="15">C23+D23</f>
        <v>4</v>
      </c>
      <c r="F23" s="1022">
        <f t="shared" si="9"/>
        <v>4</v>
      </c>
      <c r="G23" s="618" t="str">
        <f t="shared" si="10"/>
        <v>bat</v>
      </c>
      <c r="I23" s="664" t="s">
        <v>2666</v>
      </c>
      <c r="J23" s="1027">
        <f>COUNTIF(B$21:B$30,"&lt;"&amp;B23)+COUNTIF(B$21:B23,B23)</f>
        <v>4</v>
      </c>
      <c r="K23" s="1027">
        <f t="shared" si="11"/>
        <v>4</v>
      </c>
      <c r="L23" s="618" t="str">
        <f t="shared" si="12"/>
        <v>bat</v>
      </c>
      <c r="N23" s="714" t="str">
        <f t="shared" si="13"/>
        <v>bat</v>
      </c>
    </row>
    <row r="24" spans="1:18">
      <c r="A24" s="1020">
        <f t="shared" si="14"/>
        <v>4</v>
      </c>
      <c r="B24" s="664" t="s">
        <v>2667</v>
      </c>
      <c r="C24" s="1022">
        <f t="shared" si="8"/>
        <v>2</v>
      </c>
      <c r="D24" s="1022">
        <f>COUNTIF(B$21:B24,B24)</f>
        <v>1</v>
      </c>
      <c r="E24" s="1022">
        <f t="shared" si="15"/>
        <v>3</v>
      </c>
      <c r="F24" s="1022">
        <f t="shared" si="9"/>
        <v>3</v>
      </c>
      <c r="G24" s="618" t="str">
        <f t="shared" si="10"/>
        <v>bird</v>
      </c>
      <c r="I24" s="664" t="s">
        <v>2667</v>
      </c>
      <c r="J24" s="1027">
        <f>COUNTIF(B$21:B$30,"&lt;"&amp;B24)+COUNTIF(B$21:B24,B24)</f>
        <v>3</v>
      </c>
      <c r="K24" s="1027">
        <f t="shared" si="11"/>
        <v>3</v>
      </c>
      <c r="L24" s="618" t="str">
        <f t="shared" si="12"/>
        <v>bird</v>
      </c>
      <c r="N24" s="714" t="str">
        <f t="shared" si="13"/>
        <v>bird</v>
      </c>
    </row>
    <row r="25" spans="1:18">
      <c r="A25" s="1020">
        <f t="shared" si="14"/>
        <v>5</v>
      </c>
      <c r="B25" s="664" t="s">
        <v>2669</v>
      </c>
      <c r="C25" s="1022">
        <f t="shared" si="8"/>
        <v>0</v>
      </c>
      <c r="D25" s="1022">
        <f>COUNTIF(B$21:B25,B25)</f>
        <v>1</v>
      </c>
      <c r="E25" s="1022">
        <f t="shared" si="15"/>
        <v>1</v>
      </c>
      <c r="F25" s="1022">
        <f t="shared" si="9"/>
        <v>2</v>
      </c>
      <c r="G25" s="618" t="str">
        <f t="shared" si="10"/>
        <v>dog</v>
      </c>
      <c r="I25" s="664" t="s">
        <v>2669</v>
      </c>
      <c r="J25" s="1027">
        <f>COUNTIF(B$21:B$30,"&lt;"&amp;B25)+COUNTIF(B$21:B25,B25)</f>
        <v>1</v>
      </c>
      <c r="K25" s="1027">
        <f t="shared" si="11"/>
        <v>2</v>
      </c>
      <c r="L25" s="618" t="str">
        <f t="shared" si="12"/>
        <v>dog</v>
      </c>
      <c r="N25" s="714" t="str">
        <f t="shared" si="13"/>
        <v>dog</v>
      </c>
    </row>
    <row r="26" spans="1:18">
      <c r="A26" s="1020">
        <f t="shared" si="14"/>
        <v>6</v>
      </c>
      <c r="B26" s="664" t="s">
        <v>2663</v>
      </c>
      <c r="C26" s="1022">
        <f t="shared" si="8"/>
        <v>4</v>
      </c>
      <c r="D26" s="1022">
        <f>COUNTIF(B$21:B26,B26)</f>
        <v>2</v>
      </c>
      <c r="E26" s="1022">
        <f t="shared" si="15"/>
        <v>6</v>
      </c>
      <c r="F26" s="1022">
        <f t="shared" si="9"/>
        <v>6</v>
      </c>
      <c r="G26" s="618" t="str">
        <f t="shared" si="10"/>
        <v>dog</v>
      </c>
      <c r="I26" s="664" t="s">
        <v>2663</v>
      </c>
      <c r="J26" s="1027">
        <f>COUNTIF(B$21:B$30,"&lt;"&amp;B26)+COUNTIF(B$21:B26,B26)</f>
        <v>6</v>
      </c>
      <c r="K26" s="1027">
        <f t="shared" si="11"/>
        <v>6</v>
      </c>
      <c r="L26" s="618" t="str">
        <f t="shared" si="12"/>
        <v>dog</v>
      </c>
      <c r="N26" s="714" t="str">
        <f t="shared" si="13"/>
        <v>dog</v>
      </c>
    </row>
    <row r="27" spans="1:18">
      <c r="A27" s="1020">
        <f t="shared" si="14"/>
        <v>7</v>
      </c>
      <c r="B27" s="664" t="s">
        <v>2668</v>
      </c>
      <c r="C27" s="1022">
        <f t="shared" si="8"/>
        <v>7</v>
      </c>
      <c r="D27" s="1022">
        <f>COUNTIF(B$21:B27,B27)</f>
        <v>2</v>
      </c>
      <c r="E27" s="1022">
        <f t="shared" si="15"/>
        <v>9</v>
      </c>
      <c r="F27" s="1022">
        <f t="shared" si="9"/>
        <v>10</v>
      </c>
      <c r="G27" s="618" t="str">
        <f t="shared" si="10"/>
        <v>dog</v>
      </c>
      <c r="I27" s="664" t="s">
        <v>2668</v>
      </c>
      <c r="J27" s="1027">
        <f>COUNTIF(B$21:B$30,"&lt;"&amp;B27)+COUNTIF(B$21:B27,B27)</f>
        <v>9</v>
      </c>
      <c r="K27" s="1027">
        <f t="shared" si="11"/>
        <v>10</v>
      </c>
      <c r="L27" s="618" t="str">
        <f t="shared" si="12"/>
        <v>dog</v>
      </c>
      <c r="N27" s="714" t="str">
        <f t="shared" si="13"/>
        <v>dog</v>
      </c>
    </row>
    <row r="28" spans="1:18">
      <c r="A28" s="1020">
        <f t="shared" si="14"/>
        <v>8</v>
      </c>
      <c r="B28" s="664"/>
      <c r="C28" s="1022">
        <f t="shared" si="8"/>
        <v>0</v>
      </c>
      <c r="D28" s="1022">
        <f>COUNTIF(B$21:B28,B28)</f>
        <v>0</v>
      </c>
      <c r="E28" s="1022">
        <f t="shared" si="15"/>
        <v>0</v>
      </c>
      <c r="F28" s="1022">
        <f t="shared" si="9"/>
        <v>1</v>
      </c>
      <c r="G28" s="618" t="str">
        <f t="shared" si="10"/>
        <v>lion</v>
      </c>
      <c r="I28" s="664"/>
      <c r="J28" s="1027">
        <f>COUNTIF(B$21:B$30,"&lt;"&amp;B28)+COUNTIF(B$21:B28,B28)</f>
        <v>0</v>
      </c>
      <c r="K28" s="1027">
        <f t="shared" si="11"/>
        <v>1</v>
      </c>
      <c r="L28" s="618" t="str">
        <f t="shared" si="12"/>
        <v>lion</v>
      </c>
      <c r="N28" s="714" t="str">
        <f t="shared" si="13"/>
        <v>lion</v>
      </c>
    </row>
    <row r="29" spans="1:18">
      <c r="A29" s="1020">
        <f t="shared" si="14"/>
        <v>9</v>
      </c>
      <c r="B29" s="664" t="s">
        <v>2669</v>
      </c>
      <c r="C29" s="1022">
        <f t="shared" si="8"/>
        <v>0</v>
      </c>
      <c r="D29" s="1022">
        <f>COUNTIF(B$21:B29,B29)</f>
        <v>2</v>
      </c>
      <c r="E29" s="1022">
        <f t="shared" si="15"/>
        <v>2</v>
      </c>
      <c r="F29" s="1022">
        <f t="shared" si="9"/>
        <v>7</v>
      </c>
      <c r="G29" s="618" t="str">
        <f t="shared" si="10"/>
        <v>lion</v>
      </c>
      <c r="I29" s="664" t="s">
        <v>2669</v>
      </c>
      <c r="J29" s="1027">
        <f>COUNTIF(B$21:B$30,"&lt;"&amp;B29)+COUNTIF(B$21:B29,B29)</f>
        <v>2</v>
      </c>
      <c r="K29" s="1027">
        <f t="shared" si="11"/>
        <v>7</v>
      </c>
      <c r="L29" s="618" t="str">
        <f t="shared" si="12"/>
        <v>lion</v>
      </c>
      <c r="N29" s="714" t="str">
        <f t="shared" si="13"/>
        <v>lion</v>
      </c>
    </row>
    <row r="30" spans="1:18">
      <c r="A30" s="1020">
        <f t="shared" si="14"/>
        <v>10</v>
      </c>
      <c r="B30" s="560" t="s">
        <v>2663</v>
      </c>
      <c r="C30" s="1021">
        <f t="shared" si="8"/>
        <v>4</v>
      </c>
      <c r="D30" s="1021">
        <f>COUNTIF(B$21:B30,B30)</f>
        <v>3</v>
      </c>
      <c r="E30" s="1021">
        <f t="shared" si="15"/>
        <v>7</v>
      </c>
      <c r="F30" s="1021" t="e">
        <f t="shared" si="9"/>
        <v>#N/A</v>
      </c>
      <c r="G30" s="536" t="e">
        <f t="shared" si="10"/>
        <v>#N/A</v>
      </c>
      <c r="I30" s="560" t="s">
        <v>2663</v>
      </c>
      <c r="J30" s="1026">
        <f>COUNTIF(B$21:B$30,"&lt;"&amp;B30)+COUNTIF(B$21:B30,B30)</f>
        <v>7</v>
      </c>
      <c r="K30" s="1026" t="e">
        <f t="shared" si="11"/>
        <v>#N/A</v>
      </c>
      <c r="L30" s="536" t="e">
        <f t="shared" si="12"/>
        <v>#N/A</v>
      </c>
      <c r="N30" s="713" t="str">
        <f t="shared" si="13"/>
        <v/>
      </c>
    </row>
    <row r="33" spans="1:15">
      <c r="A33" t="s">
        <v>2675</v>
      </c>
      <c r="I33" t="s">
        <v>2672</v>
      </c>
    </row>
    <row r="35" spans="1:15">
      <c r="A35" s="1025" t="s">
        <v>2662</v>
      </c>
      <c r="B35" s="1025" t="s">
        <v>211</v>
      </c>
      <c r="C35" s="1025" t="s">
        <v>2664</v>
      </c>
      <c r="D35" s="1025" t="s">
        <v>71</v>
      </c>
      <c r="E35" s="1025" t="s">
        <v>71</v>
      </c>
      <c r="F35" s="1025" t="s">
        <v>2670</v>
      </c>
      <c r="G35" s="1025" t="s">
        <v>2633</v>
      </c>
      <c r="H35" s="1025"/>
      <c r="I35" s="1025" t="s">
        <v>211</v>
      </c>
      <c r="J35" s="1025" t="s">
        <v>2664</v>
      </c>
      <c r="K35" s="1025" t="s">
        <v>71</v>
      </c>
      <c r="L35" s="1025" t="s">
        <v>2670</v>
      </c>
      <c r="M35" s="1025" t="s">
        <v>2633</v>
      </c>
      <c r="N35" s="1025"/>
      <c r="O35" s="1025" t="s">
        <v>2633</v>
      </c>
    </row>
    <row r="36" spans="1:15">
      <c r="A36" s="1025">
        <v>1</v>
      </c>
      <c r="B36" s="949" t="s">
        <v>2668</v>
      </c>
      <c r="C36" s="115" t="str">
        <f>IF(COUNTIF(B36:B$45,B36)=1,B36,"")</f>
        <v/>
      </c>
      <c r="D36" s="115">
        <f>COUNTIF(C$36:C$45,"&lt;"&amp;C36)</f>
        <v>0</v>
      </c>
      <c r="E36" s="115">
        <f>IF(C36="",0,D36-COUNTIF(C$36:C$45,"")+1)</f>
        <v>0</v>
      </c>
      <c r="F36" s="115">
        <f>MATCH(A36,E$36:E$45,0)</f>
        <v>9</v>
      </c>
      <c r="G36" s="1009" t="str">
        <f>INDEX(B$21:B$30,F36)</f>
        <v>ape</v>
      </c>
      <c r="H36" s="1025"/>
      <c r="I36" s="949" t="s">
        <v>2668</v>
      </c>
      <c r="J36" s="115" t="str">
        <f>IF(COUNTIF(I36:I$45,I36)=1,I36,"")</f>
        <v/>
      </c>
      <c r="K36" s="115">
        <f>IF(J36="",0,COUNTIF(J$36:J$45,"&lt;"&amp;J36)-COUNTIF(J$36:J$45,"")+1)</f>
        <v>0</v>
      </c>
      <c r="L36" s="115">
        <f>MATCH(ROW(I36)-ROW(I$36)+1,K$36:K$45,0)</f>
        <v>9</v>
      </c>
      <c r="M36" s="1009" t="str">
        <f>INDEX(I$21:I$30,L36)</f>
        <v>ape</v>
      </c>
      <c r="N36" s="1025"/>
      <c r="O36" s="1028" t="str">
        <f>IF(ISNA(M36),"",M36)</f>
        <v>ape</v>
      </c>
    </row>
    <row r="37" spans="1:15">
      <c r="A37" s="1025">
        <f>A36+1</f>
        <v>2</v>
      </c>
      <c r="B37" s="664" t="s">
        <v>2663</v>
      </c>
      <c r="C37" s="1027" t="str">
        <f>IF(COUNTIF(B37:B$45,B37)=1,B37,"")</f>
        <v/>
      </c>
      <c r="D37" s="1027">
        <f t="shared" ref="D37:D45" si="16">COUNTIF(C$36:C$45,"&lt;"&amp;C37)</f>
        <v>0</v>
      </c>
      <c r="E37" s="1027">
        <f t="shared" ref="E37:E45" si="17">IF(C37="",0,D37-COUNTIF(C$36:C$45,"")+1)</f>
        <v>0</v>
      </c>
      <c r="F37" s="1027">
        <f t="shared" ref="F37:F45" si="18">MATCH(A37,E$36:E$45,0)</f>
        <v>4</v>
      </c>
      <c r="G37" s="618" t="str">
        <f t="shared" ref="G37:G45" si="19">INDEX(B$21:B$30,F37)</f>
        <v>bat</v>
      </c>
      <c r="H37" s="1025"/>
      <c r="I37" s="664" t="s">
        <v>2663</v>
      </c>
      <c r="J37" s="1027" t="str">
        <f>IF(COUNTIF(I37:I$45,I37)=1,I37,"")</f>
        <v/>
      </c>
      <c r="K37" s="1027">
        <f t="shared" ref="K37:K45" si="20">IF(J37="",0,COUNTIF(J$36:J$45,"&lt;"&amp;J37)-COUNTIF(J$36:J$45,"")+1)</f>
        <v>0</v>
      </c>
      <c r="L37" s="1027">
        <f t="shared" ref="L37:L45" si="21">MATCH(ROW(I37)-ROW(I$36)+1,K$36:K$45,0)</f>
        <v>4</v>
      </c>
      <c r="M37" s="618" t="str">
        <f t="shared" ref="M37:M45" si="22">INDEX(I$21:I$30,L37)</f>
        <v>bat</v>
      </c>
      <c r="N37" s="1025"/>
      <c r="O37" s="714" t="str">
        <f t="shared" ref="O37:O45" si="23">IF(ISNA(M37),"",M37)</f>
        <v>bat</v>
      </c>
    </row>
    <row r="38" spans="1:15">
      <c r="A38" s="1025">
        <f t="shared" ref="A38:A45" si="24">A37+1</f>
        <v>3</v>
      </c>
      <c r="B38" s="664" t="s">
        <v>2666</v>
      </c>
      <c r="C38" s="1027" t="str">
        <f>IF(COUNTIF(B38:B$45,B38)=1,B38,"")</f>
        <v>bird</v>
      </c>
      <c r="D38" s="1027">
        <f t="shared" si="16"/>
        <v>7</v>
      </c>
      <c r="E38" s="1027">
        <f t="shared" si="17"/>
        <v>3</v>
      </c>
      <c r="F38" s="1027">
        <f t="shared" si="18"/>
        <v>3</v>
      </c>
      <c r="G38" s="618" t="str">
        <f t="shared" si="19"/>
        <v>bird</v>
      </c>
      <c r="H38" s="1025"/>
      <c r="I38" s="664" t="s">
        <v>2666</v>
      </c>
      <c r="J38" s="1027" t="str">
        <f>IF(COUNTIF(I38:I$45,I38)=1,I38,"")</f>
        <v>bird</v>
      </c>
      <c r="K38" s="1027">
        <f t="shared" si="20"/>
        <v>3</v>
      </c>
      <c r="L38" s="1027">
        <f t="shared" si="21"/>
        <v>3</v>
      </c>
      <c r="M38" s="618" t="str">
        <f t="shared" si="22"/>
        <v>bird</v>
      </c>
      <c r="N38" s="1025"/>
      <c r="O38" s="714" t="str">
        <f t="shared" si="23"/>
        <v>bird</v>
      </c>
    </row>
    <row r="39" spans="1:15">
      <c r="A39" s="1025">
        <f t="shared" si="24"/>
        <v>4</v>
      </c>
      <c r="B39" s="664" t="s">
        <v>2667</v>
      </c>
      <c r="C39" s="1027" t="str">
        <f>IF(COUNTIF(B39:B$45,B39)=1,B39,"")</f>
        <v>bat</v>
      </c>
      <c r="D39" s="1027">
        <f t="shared" si="16"/>
        <v>6</v>
      </c>
      <c r="E39" s="1027">
        <f t="shared" si="17"/>
        <v>2</v>
      </c>
      <c r="F39" s="1027">
        <f t="shared" si="18"/>
        <v>10</v>
      </c>
      <c r="G39" s="618" t="str">
        <f t="shared" si="19"/>
        <v>dog</v>
      </c>
      <c r="H39" s="1025"/>
      <c r="I39" s="664" t="s">
        <v>2667</v>
      </c>
      <c r="J39" s="1027" t="str">
        <f>IF(COUNTIF(I39:I$45,I39)=1,I39,"")</f>
        <v>bat</v>
      </c>
      <c r="K39" s="1027">
        <f t="shared" si="20"/>
        <v>2</v>
      </c>
      <c r="L39" s="1027">
        <f t="shared" si="21"/>
        <v>10</v>
      </c>
      <c r="M39" s="618" t="str">
        <f t="shared" si="22"/>
        <v>dog</v>
      </c>
      <c r="N39" s="1025"/>
      <c r="O39" s="714" t="str">
        <f t="shared" si="23"/>
        <v>dog</v>
      </c>
    </row>
    <row r="40" spans="1:15">
      <c r="A40" s="1025">
        <f t="shared" si="24"/>
        <v>5</v>
      </c>
      <c r="B40" s="664" t="s">
        <v>2669</v>
      </c>
      <c r="C40" s="1027" t="str">
        <f>IF(COUNTIF(B40:B$45,B40)=1,B40,"")</f>
        <v/>
      </c>
      <c r="D40" s="1027">
        <f t="shared" si="16"/>
        <v>0</v>
      </c>
      <c r="E40" s="1027">
        <f t="shared" si="17"/>
        <v>0</v>
      </c>
      <c r="F40" s="1027">
        <f t="shared" si="18"/>
        <v>7</v>
      </c>
      <c r="G40" s="618" t="str">
        <f t="shared" si="19"/>
        <v>lion</v>
      </c>
      <c r="H40" s="1025"/>
      <c r="I40" s="664" t="s">
        <v>2669</v>
      </c>
      <c r="J40" s="1027" t="str">
        <f>IF(COUNTIF(I40:I$45,I40)=1,I40,"")</f>
        <v/>
      </c>
      <c r="K40" s="1027">
        <f t="shared" si="20"/>
        <v>0</v>
      </c>
      <c r="L40" s="1027">
        <f t="shared" si="21"/>
        <v>7</v>
      </c>
      <c r="M40" s="618" t="str">
        <f t="shared" si="22"/>
        <v>lion</v>
      </c>
      <c r="N40" s="1025"/>
      <c r="O40" s="714" t="str">
        <f t="shared" si="23"/>
        <v>lion</v>
      </c>
    </row>
    <row r="41" spans="1:15">
      <c r="A41" s="1025">
        <f t="shared" si="24"/>
        <v>6</v>
      </c>
      <c r="B41" s="664" t="s">
        <v>2663</v>
      </c>
      <c r="C41" s="1027" t="str">
        <f>IF(COUNTIF(B41:B$45,B41)=1,B41,"")</f>
        <v/>
      </c>
      <c r="D41" s="1027">
        <f t="shared" si="16"/>
        <v>0</v>
      </c>
      <c r="E41" s="1027">
        <f t="shared" si="17"/>
        <v>0</v>
      </c>
      <c r="F41" s="1027" t="e">
        <f t="shared" si="18"/>
        <v>#N/A</v>
      </c>
      <c r="G41" s="618" t="e">
        <f t="shared" si="19"/>
        <v>#N/A</v>
      </c>
      <c r="H41" s="1025"/>
      <c r="I41" s="664" t="s">
        <v>2663</v>
      </c>
      <c r="J41" s="1027" t="str">
        <f>IF(COUNTIF(I41:I$45,I41)=1,I41,"")</f>
        <v/>
      </c>
      <c r="K41" s="1027">
        <f t="shared" si="20"/>
        <v>0</v>
      </c>
      <c r="L41" s="1027" t="e">
        <f t="shared" si="21"/>
        <v>#N/A</v>
      </c>
      <c r="M41" s="618" t="e">
        <f t="shared" si="22"/>
        <v>#N/A</v>
      </c>
      <c r="N41" s="1025"/>
      <c r="O41" s="714" t="str">
        <f t="shared" si="23"/>
        <v/>
      </c>
    </row>
    <row r="42" spans="1:15">
      <c r="A42" s="1025">
        <f t="shared" si="24"/>
        <v>7</v>
      </c>
      <c r="B42" s="664" t="s">
        <v>2668</v>
      </c>
      <c r="C42" s="1027" t="str">
        <f>IF(COUNTIF(B42:B$45,B42)=1,B42,"")</f>
        <v>lion</v>
      </c>
      <c r="D42" s="1027">
        <f t="shared" si="16"/>
        <v>9</v>
      </c>
      <c r="E42" s="1027">
        <f t="shared" si="17"/>
        <v>5</v>
      </c>
      <c r="F42" s="1027" t="e">
        <f t="shared" si="18"/>
        <v>#N/A</v>
      </c>
      <c r="G42" s="618" t="e">
        <f t="shared" si="19"/>
        <v>#N/A</v>
      </c>
      <c r="H42" s="1025"/>
      <c r="I42" s="664" t="s">
        <v>2668</v>
      </c>
      <c r="J42" s="1027" t="str">
        <f>IF(COUNTIF(I42:I$45,I42)=1,I42,"")</f>
        <v>lion</v>
      </c>
      <c r="K42" s="1027">
        <f t="shared" si="20"/>
        <v>5</v>
      </c>
      <c r="L42" s="1027" t="e">
        <f t="shared" si="21"/>
        <v>#N/A</v>
      </c>
      <c r="M42" s="618" t="e">
        <f t="shared" si="22"/>
        <v>#N/A</v>
      </c>
      <c r="N42" s="1025"/>
      <c r="O42" s="714" t="str">
        <f t="shared" si="23"/>
        <v/>
      </c>
    </row>
    <row r="43" spans="1:15">
      <c r="A43" s="1025">
        <f t="shared" si="24"/>
        <v>8</v>
      </c>
      <c r="B43" s="664"/>
      <c r="C43" s="1027" t="str">
        <f>IF(COUNTIF(B43:B$45,B43)=1,B43,"")</f>
        <v/>
      </c>
      <c r="D43" s="1027">
        <f t="shared" si="16"/>
        <v>0</v>
      </c>
      <c r="E43" s="1027">
        <f t="shared" si="17"/>
        <v>0</v>
      </c>
      <c r="F43" s="1027" t="e">
        <f t="shared" si="18"/>
        <v>#N/A</v>
      </c>
      <c r="G43" s="618" t="e">
        <f t="shared" si="19"/>
        <v>#N/A</v>
      </c>
      <c r="H43" s="1025"/>
      <c r="I43" s="664"/>
      <c r="J43" s="1027" t="str">
        <f>IF(COUNTIF(I43:I$45,I43)=1,I43,"")</f>
        <v/>
      </c>
      <c r="K43" s="1027">
        <f t="shared" si="20"/>
        <v>0</v>
      </c>
      <c r="L43" s="1027" t="e">
        <f t="shared" si="21"/>
        <v>#N/A</v>
      </c>
      <c r="M43" s="618" t="e">
        <f t="shared" si="22"/>
        <v>#N/A</v>
      </c>
      <c r="N43" s="1025"/>
      <c r="O43" s="714" t="str">
        <f t="shared" si="23"/>
        <v/>
      </c>
    </row>
    <row r="44" spans="1:15">
      <c r="A44" s="1025">
        <f t="shared" si="24"/>
        <v>9</v>
      </c>
      <c r="B44" s="664" t="s">
        <v>2669</v>
      </c>
      <c r="C44" s="1027" t="str">
        <f>IF(COUNTIF(B44:B$45,B44)=1,B44,"")</f>
        <v>ape</v>
      </c>
      <c r="D44" s="1027">
        <f t="shared" si="16"/>
        <v>5</v>
      </c>
      <c r="E44" s="1027">
        <f t="shared" si="17"/>
        <v>1</v>
      </c>
      <c r="F44" s="1027" t="e">
        <f t="shared" si="18"/>
        <v>#N/A</v>
      </c>
      <c r="G44" s="618" t="e">
        <f t="shared" si="19"/>
        <v>#N/A</v>
      </c>
      <c r="H44" s="1025"/>
      <c r="I44" s="664" t="s">
        <v>2669</v>
      </c>
      <c r="J44" s="1027" t="str">
        <f>IF(COUNTIF(I44:I$45,I44)=1,I44,"")</f>
        <v>ape</v>
      </c>
      <c r="K44" s="1027">
        <f t="shared" si="20"/>
        <v>1</v>
      </c>
      <c r="L44" s="1027" t="e">
        <f t="shared" si="21"/>
        <v>#N/A</v>
      </c>
      <c r="M44" s="618" t="e">
        <f t="shared" si="22"/>
        <v>#N/A</v>
      </c>
      <c r="N44" s="1025"/>
      <c r="O44" s="714" t="str">
        <f t="shared" si="23"/>
        <v/>
      </c>
    </row>
    <row r="45" spans="1:15">
      <c r="A45" s="1025">
        <f t="shared" si="24"/>
        <v>10</v>
      </c>
      <c r="B45" s="560" t="s">
        <v>2663</v>
      </c>
      <c r="C45" s="1026" t="str">
        <f>IF(COUNTIF(B45:B$45,B45)=1,B45,"")</f>
        <v>dog</v>
      </c>
      <c r="D45" s="1026">
        <f t="shared" si="16"/>
        <v>8</v>
      </c>
      <c r="E45" s="1026">
        <f t="shared" si="17"/>
        <v>4</v>
      </c>
      <c r="F45" s="1026" t="e">
        <f t="shared" si="18"/>
        <v>#N/A</v>
      </c>
      <c r="G45" s="536" t="e">
        <f t="shared" si="19"/>
        <v>#N/A</v>
      </c>
      <c r="H45" s="1025"/>
      <c r="I45" s="560" t="s">
        <v>2663</v>
      </c>
      <c r="J45" s="1026" t="str">
        <f>IF(COUNTIF(I45:I$45,I45)=1,I45,"")</f>
        <v>dog</v>
      </c>
      <c r="K45" s="1026">
        <f t="shared" si="20"/>
        <v>4</v>
      </c>
      <c r="L45" s="1026" t="e">
        <f t="shared" si="21"/>
        <v>#N/A</v>
      </c>
      <c r="M45" s="536" t="e">
        <f t="shared" si="22"/>
        <v>#N/A</v>
      </c>
      <c r="N45" s="1025"/>
      <c r="O45" s="713" t="str">
        <f t="shared" si="23"/>
        <v/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53.xml><?xml version="1.0" encoding="utf-8"?>
<worksheet xmlns="http://schemas.openxmlformats.org/spreadsheetml/2006/main" xmlns:r="http://schemas.openxmlformats.org/officeDocument/2006/relationships">
  <sheetPr codeName="Sheet328"/>
  <dimension ref="A1:H26"/>
  <sheetViews>
    <sheetView workbookViewId="0"/>
  </sheetViews>
  <sheetFormatPr defaultRowHeight="14.4"/>
  <sheetData>
    <row r="1" spans="1:8">
      <c r="A1" s="1" t="s">
        <v>3750</v>
      </c>
    </row>
    <row r="2" spans="1:8">
      <c r="A2" s="1"/>
    </row>
    <row r="3" spans="1:8" s="19" customFormat="1">
      <c r="A3" s="19" t="s">
        <v>211</v>
      </c>
      <c r="C3" s="19" t="s">
        <v>3751</v>
      </c>
      <c r="E3" s="19" t="s">
        <v>3752</v>
      </c>
    </row>
    <row r="4" spans="1:8">
      <c r="A4" s="1235">
        <v>3</v>
      </c>
      <c r="C4" s="1235" t="e">
        <f t="array" aca="1" ref="C4:C23" ca="1">[1]!TRIMDATA(A4:A23,0.3)</f>
        <v>#NAME?</v>
      </c>
      <c r="E4" s="1235" t="e">
        <f t="array" aca="1" ref="E4:E23" ca="1">[1]!WINSORIZE(A4:A23,0.3)</f>
        <v>#NAME?</v>
      </c>
      <c r="H4" s="19"/>
    </row>
    <row r="5" spans="1:8">
      <c r="A5" s="627">
        <v>4</v>
      </c>
      <c r="C5" s="627" t="e">
        <f ca="1"/>
        <v>#NAME?</v>
      </c>
      <c r="E5" s="627" t="e">
        <f ca="1"/>
        <v>#NAME?</v>
      </c>
      <c r="H5" s="19"/>
    </row>
    <row r="6" spans="1:8">
      <c r="A6" s="627">
        <v>6</v>
      </c>
      <c r="C6" s="627" t="e">
        <f ca="1"/>
        <v>#NAME?</v>
      </c>
      <c r="E6" s="627" t="e">
        <f ca="1"/>
        <v>#NAME?</v>
      </c>
      <c r="H6" s="19"/>
    </row>
    <row r="7" spans="1:8">
      <c r="A7" s="627">
        <v>9</v>
      </c>
      <c r="C7" s="627" t="e">
        <f ca="1"/>
        <v>#NAME?</v>
      </c>
      <c r="E7" s="627" t="e">
        <f ca="1"/>
        <v>#NAME?</v>
      </c>
    </row>
    <row r="8" spans="1:8">
      <c r="A8" s="627">
        <v>9</v>
      </c>
      <c r="C8" s="627" t="e">
        <f ca="1"/>
        <v>#NAME?</v>
      </c>
      <c r="E8" s="627" t="e">
        <f ca="1"/>
        <v>#NAME?</v>
      </c>
    </row>
    <row r="9" spans="1:8">
      <c r="A9" s="627">
        <v>3</v>
      </c>
      <c r="C9" s="627" t="e">
        <f ca="1"/>
        <v>#NAME?</v>
      </c>
      <c r="E9" s="627" t="e">
        <f ca="1"/>
        <v>#NAME?</v>
      </c>
    </row>
    <row r="10" spans="1:8">
      <c r="A10" s="627">
        <v>4</v>
      </c>
      <c r="C10" s="627" t="e">
        <f ca="1"/>
        <v>#NAME?</v>
      </c>
      <c r="E10" s="627" t="e">
        <f ca="1"/>
        <v>#NAME?</v>
      </c>
    </row>
    <row r="11" spans="1:8">
      <c r="A11" s="627">
        <v>5</v>
      </c>
      <c r="C11" s="627" t="e">
        <f ca="1"/>
        <v>#NAME?</v>
      </c>
      <c r="E11" s="627" t="e">
        <f ca="1"/>
        <v>#NAME?</v>
      </c>
    </row>
    <row r="12" spans="1:8">
      <c r="A12" s="627">
        <v>7</v>
      </c>
      <c r="C12" s="627" t="e">
        <f ca="1"/>
        <v>#NAME?</v>
      </c>
      <c r="E12" s="627" t="e">
        <f ca="1"/>
        <v>#NAME?</v>
      </c>
    </row>
    <row r="13" spans="1:8">
      <c r="A13" s="627">
        <v>5</v>
      </c>
      <c r="C13" s="627" t="e">
        <f ca="1"/>
        <v>#NAME?</v>
      </c>
      <c r="E13" s="627" t="e">
        <f ca="1"/>
        <v>#NAME?</v>
      </c>
    </row>
    <row r="14" spans="1:8">
      <c r="A14" s="627">
        <v>40</v>
      </c>
      <c r="C14" s="627" t="e">
        <f ca="1"/>
        <v>#NAME?</v>
      </c>
      <c r="E14" s="627" t="e">
        <f ca="1"/>
        <v>#NAME?</v>
      </c>
    </row>
    <row r="15" spans="1:8">
      <c r="A15" s="627">
        <v>1</v>
      </c>
      <c r="C15" s="627" t="e">
        <f ca="1"/>
        <v>#NAME?</v>
      </c>
      <c r="E15" s="627" t="e">
        <f ca="1"/>
        <v>#NAME?</v>
      </c>
    </row>
    <row r="16" spans="1:8">
      <c r="A16" s="627">
        <v>0</v>
      </c>
      <c r="C16" s="627" t="e">
        <f ca="1"/>
        <v>#NAME?</v>
      </c>
      <c r="E16" s="627" t="e">
        <f ca="1"/>
        <v>#NAME?</v>
      </c>
    </row>
    <row r="17" spans="1:5">
      <c r="A17" s="627">
        <v>8</v>
      </c>
      <c r="C17" s="627" t="e">
        <f ca="1"/>
        <v>#NAME?</v>
      </c>
      <c r="E17" s="627" t="e">
        <f ca="1"/>
        <v>#NAME?</v>
      </c>
    </row>
    <row r="18" spans="1:5">
      <c r="A18" s="627">
        <v>30</v>
      </c>
      <c r="C18" s="627" t="e">
        <f ca="1"/>
        <v>#NAME?</v>
      </c>
      <c r="E18" s="627" t="e">
        <f ca="1"/>
        <v>#NAME?</v>
      </c>
    </row>
    <row r="19" spans="1:5">
      <c r="A19" s="627">
        <v>1</v>
      </c>
      <c r="C19" s="627" t="e">
        <f ca="1"/>
        <v>#NAME?</v>
      </c>
      <c r="E19" s="627" t="e">
        <f ca="1"/>
        <v>#NAME?</v>
      </c>
    </row>
    <row r="20" spans="1:5">
      <c r="A20" s="627">
        <v>7</v>
      </c>
      <c r="C20" s="627" t="e">
        <f ca="1"/>
        <v>#NAME?</v>
      </c>
      <c r="E20" s="627" t="e">
        <f ca="1"/>
        <v>#NAME?</v>
      </c>
    </row>
    <row r="21" spans="1:5">
      <c r="A21" s="627">
        <v>5</v>
      </c>
      <c r="C21" s="627" t="e">
        <f ca="1"/>
        <v>#NAME?</v>
      </c>
      <c r="E21" s="627" t="e">
        <f ca="1"/>
        <v>#NAME?</v>
      </c>
    </row>
    <row r="22" spans="1:5">
      <c r="A22" s="627">
        <v>4</v>
      </c>
      <c r="C22" s="627" t="e">
        <f ca="1"/>
        <v>#NAME?</v>
      </c>
      <c r="E22" s="627" t="e">
        <f ca="1"/>
        <v>#NAME?</v>
      </c>
    </row>
    <row r="23" spans="1:5">
      <c r="A23" s="544">
        <v>2</v>
      </c>
      <c r="C23" s="544" t="e">
        <f ca="1"/>
        <v>#NAME?</v>
      </c>
      <c r="E23" s="544" t="e">
        <f ca="1"/>
        <v>#NAME?</v>
      </c>
    </row>
    <row r="24" spans="1:5">
      <c r="A24">
        <f>AVERAGE(A4:A23)</f>
        <v>7.65</v>
      </c>
      <c r="C24" t="e">
        <f ca="1">AVERAGE(C4:C23)</f>
        <v>#NAME?</v>
      </c>
      <c r="E24" t="e">
        <f ca="1">AVERAGE(E4:E23)</f>
        <v>#NAME?</v>
      </c>
    </row>
    <row r="26" spans="1:5">
      <c r="C26" s="756">
        <f>TRIMMEAN(A4:A23,0.3)</f>
        <v>5.1428571428571432</v>
      </c>
      <c r="E26" s="756" t="e">
        <f ca="1">[1]!WINMEAN(A4:A23,0.3)</f>
        <v>#NAME?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sheetPr codeName="Sheet246"/>
  <dimension ref="A1:W24"/>
  <sheetViews>
    <sheetView workbookViewId="0"/>
  </sheetViews>
  <sheetFormatPr defaultRowHeight="14.4"/>
  <cols>
    <col min="1" max="1" width="11.5546875" customWidth="1"/>
    <col min="2" max="15" width="9.44140625" customWidth="1"/>
    <col min="17" max="17" width="11.5546875" customWidth="1"/>
  </cols>
  <sheetData>
    <row r="1" spans="1:23">
      <c r="A1" s="1" t="s">
        <v>2626</v>
      </c>
    </row>
    <row r="3" spans="1:23">
      <c r="A3" s="982"/>
      <c r="B3" s="983" t="s">
        <v>416</v>
      </c>
      <c r="C3" s="983" t="s">
        <v>418</v>
      </c>
      <c r="D3" s="983" t="s">
        <v>419</v>
      </c>
      <c r="E3" s="983" t="s">
        <v>420</v>
      </c>
      <c r="F3" s="983" t="s">
        <v>422</v>
      </c>
      <c r="G3" s="983" t="s">
        <v>23</v>
      </c>
      <c r="I3" t="e">
        <f t="array" aca="1" ref="I3:O22" ca="1">[1]!DELROWBLANK(A3:G22,TRUE)</f>
        <v>#NAME?</v>
      </c>
      <c r="J3" t="e">
        <f ca="1"/>
        <v>#NAME?</v>
      </c>
      <c r="K3" t="e">
        <f ca="1"/>
        <v>#NAME?</v>
      </c>
      <c r="L3" t="e">
        <f ca="1"/>
        <v>#NAME?</v>
      </c>
      <c r="M3" t="e">
        <f ca="1"/>
        <v>#NAME?</v>
      </c>
      <c r="N3" t="e">
        <f ca="1"/>
        <v>#NAME?</v>
      </c>
      <c r="O3" t="e">
        <f ca="1"/>
        <v>#NAME?</v>
      </c>
      <c r="Q3" t="e">
        <f t="array" aca="1" ref="Q3:W18" ca="1">[1]!DELROWBLANK(A3:G22,TRUE)</f>
        <v>#NAME?</v>
      </c>
      <c r="R3" t="e">
        <f ca="1"/>
        <v>#NAME?</v>
      </c>
      <c r="S3" t="e">
        <f ca="1"/>
        <v>#NAME?</v>
      </c>
      <c r="T3" t="e">
        <f ca="1"/>
        <v>#NAME?</v>
      </c>
      <c r="U3" t="e">
        <f ca="1"/>
        <v>#NAME?</v>
      </c>
      <c r="V3" t="e">
        <f ca="1"/>
        <v>#NAME?</v>
      </c>
      <c r="W3" t="e">
        <f ca="1"/>
        <v>#NAME?</v>
      </c>
    </row>
    <row r="4" spans="1:23">
      <c r="A4" s="932" t="s">
        <v>424</v>
      </c>
      <c r="B4" s="984">
        <v>15.7</v>
      </c>
      <c r="C4" s="986">
        <v>71.027177760140717</v>
      </c>
      <c r="D4" s="987">
        <v>448</v>
      </c>
      <c r="E4" s="988">
        <v>218.17340830567619</v>
      </c>
      <c r="F4" s="990">
        <v>22</v>
      </c>
      <c r="G4" s="992">
        <v>42666</v>
      </c>
      <c r="I4" t="e">
        <f ca="1"/>
        <v>#NAME?</v>
      </c>
      <c r="J4" t="e">
        <f ca="1"/>
        <v>#NAME?</v>
      </c>
      <c r="K4" t="e">
        <f ca="1"/>
        <v>#NAME?</v>
      </c>
      <c r="L4" t="e">
        <f ca="1"/>
        <v>#NAME?</v>
      </c>
      <c r="M4" t="e">
        <f ca="1"/>
        <v>#NAME?</v>
      </c>
      <c r="N4" t="e">
        <f ca="1"/>
        <v>#NAME?</v>
      </c>
      <c r="O4" t="e">
        <f ca="1"/>
        <v>#NAME?</v>
      </c>
      <c r="Q4" t="e">
        <f ca="1"/>
        <v>#NAME?</v>
      </c>
      <c r="R4" s="1067" t="e">
        <f ca="1"/>
        <v>#NAME?</v>
      </c>
      <c r="S4" s="1152" t="e">
        <f ca="1"/>
        <v>#NAME?</v>
      </c>
      <c r="T4" s="1152" t="e">
        <f ca="1"/>
        <v>#NAME?</v>
      </c>
      <c r="U4" s="1152" t="e">
        <f ca="1"/>
        <v>#NAME?</v>
      </c>
      <c r="V4" s="1152" t="e">
        <f ca="1"/>
        <v>#NAME?</v>
      </c>
      <c r="W4" s="1071" t="e">
        <f ca="1"/>
        <v>#NAME?</v>
      </c>
    </row>
    <row r="5" spans="1:23">
      <c r="A5" s="932" t="s">
        <v>425</v>
      </c>
      <c r="B5" s="984">
        <v>8.4</v>
      </c>
      <c r="C5" s="986">
        <v>70.62318863808899</v>
      </c>
      <c r="D5" s="987">
        <v>661.2</v>
      </c>
      <c r="E5" s="988">
        <v>228.45028196578826</v>
      </c>
      <c r="F5" s="990">
        <v>27.3</v>
      </c>
      <c r="G5" s="992">
        <v>68460</v>
      </c>
      <c r="I5" t="e">
        <f ca="1"/>
        <v>#NAME?</v>
      </c>
      <c r="J5" t="e">
        <f ca="1"/>
        <v>#NAME?</v>
      </c>
      <c r="K5" t="e">
        <f ca="1"/>
        <v>#NAME?</v>
      </c>
      <c r="L5" t="e">
        <f ca="1"/>
        <v>#NAME?</v>
      </c>
      <c r="M5" t="e">
        <f ca="1"/>
        <v>#NAME?</v>
      </c>
      <c r="N5" t="e">
        <f ca="1"/>
        <v>#NAME?</v>
      </c>
      <c r="O5" t="e">
        <f ca="1"/>
        <v>#NAME?</v>
      </c>
      <c r="Q5" t="e">
        <f ca="1"/>
        <v>#NAME?</v>
      </c>
      <c r="R5" s="656" t="e">
        <f ca="1"/>
        <v>#NAME?</v>
      </c>
      <c r="S5" s="8" t="e">
        <f ca="1"/>
        <v>#NAME?</v>
      </c>
      <c r="T5" s="8" t="e">
        <f ca="1"/>
        <v>#NAME?</v>
      </c>
      <c r="U5" s="8" t="e">
        <f ca="1"/>
        <v>#NAME?</v>
      </c>
      <c r="V5" s="8" t="e">
        <f ca="1"/>
        <v>#NAME?</v>
      </c>
      <c r="W5" s="657" t="e">
        <f ca="1"/>
        <v>#NAME?</v>
      </c>
    </row>
    <row r="6" spans="1:23">
      <c r="A6" s="932" t="s">
        <v>426</v>
      </c>
      <c r="B6" s="984">
        <v>14.7</v>
      </c>
      <c r="C6" s="986">
        <v>86.505696765320337</v>
      </c>
      <c r="D6" s="987">
        <v>482.7</v>
      </c>
      <c r="E6" s="988">
        <v>209.66657175716827</v>
      </c>
      <c r="F6" s="990">
        <v>25.1</v>
      </c>
      <c r="G6" s="992">
        <v>50958</v>
      </c>
      <c r="I6" t="e">
        <f ca="1"/>
        <v>#NAME?</v>
      </c>
      <c r="J6" t="e">
        <f ca="1"/>
        <v>#NAME?</v>
      </c>
      <c r="K6" t="e">
        <f ca="1"/>
        <v>#NAME?</v>
      </c>
      <c r="L6" t="e">
        <f ca="1"/>
        <v>#NAME?</v>
      </c>
      <c r="M6" t="e">
        <f ca="1"/>
        <v>#NAME?</v>
      </c>
      <c r="N6" t="e">
        <f ca="1"/>
        <v>#NAME?</v>
      </c>
      <c r="O6" t="e">
        <f ca="1"/>
        <v>#NAME?</v>
      </c>
      <c r="Q6" t="e">
        <f ca="1"/>
        <v>#NAME?</v>
      </c>
      <c r="R6" s="656" t="e">
        <f ca="1"/>
        <v>#NAME?</v>
      </c>
      <c r="S6" s="8" t="e">
        <f ca="1"/>
        <v>#NAME?</v>
      </c>
      <c r="T6" s="8" t="e">
        <f ca="1"/>
        <v>#NAME?</v>
      </c>
      <c r="U6" s="8" t="e">
        <f ca="1"/>
        <v>#NAME?</v>
      </c>
      <c r="V6" s="8" t="e">
        <f ca="1"/>
        <v>#NAME?</v>
      </c>
      <c r="W6" s="657" t="e">
        <f ca="1"/>
        <v>#NAME?</v>
      </c>
    </row>
    <row r="7" spans="1:23">
      <c r="A7" s="932" t="s">
        <v>427</v>
      </c>
      <c r="B7" s="984">
        <v>17.3</v>
      </c>
      <c r="C7" s="986">
        <v>80.783955956979611</v>
      </c>
      <c r="D7" s="987"/>
      <c r="E7" s="988">
        <v>203.42285988234826</v>
      </c>
      <c r="F7" s="990">
        <v>18.8</v>
      </c>
      <c r="G7" s="992">
        <v>38815</v>
      </c>
      <c r="I7" t="e">
        <f ca="1"/>
        <v>#NAME?</v>
      </c>
      <c r="J7" t="e">
        <f ca="1"/>
        <v>#NAME?</v>
      </c>
      <c r="K7" t="e">
        <f ca="1"/>
        <v>#NAME?</v>
      </c>
      <c r="L7" t="e">
        <f ca="1"/>
        <v>#NAME?</v>
      </c>
      <c r="M7" t="e">
        <f ca="1"/>
        <v>#NAME?</v>
      </c>
      <c r="N7" t="e">
        <f ca="1"/>
        <v>#NAME?</v>
      </c>
      <c r="O7" t="e">
        <f ca="1"/>
        <v>#NAME?</v>
      </c>
      <c r="Q7" t="e">
        <f ca="1"/>
        <v>#NAME?</v>
      </c>
      <c r="R7" s="656" t="e">
        <f ca="1"/>
        <v>#NAME?</v>
      </c>
      <c r="S7" s="8" t="e">
        <f ca="1"/>
        <v>#NAME?</v>
      </c>
      <c r="T7" s="8" t="e">
        <f ca="1"/>
        <v>#NAME?</v>
      </c>
      <c r="U7" s="8" t="e">
        <f ca="1"/>
        <v>#NAME?</v>
      </c>
      <c r="V7" s="8" t="e">
        <f ca="1"/>
        <v>#NAME?</v>
      </c>
      <c r="W7" s="657" t="e">
        <f ca="1"/>
        <v>#NAME?</v>
      </c>
    </row>
    <row r="8" spans="1:23">
      <c r="A8" s="932" t="s">
        <v>428</v>
      </c>
      <c r="B8" s="984">
        <v>13.3</v>
      </c>
      <c r="C8" s="986">
        <v>76.640052174481781</v>
      </c>
      <c r="D8" s="987">
        <v>522.6</v>
      </c>
      <c r="E8" s="988">
        <v>268.69056049813605</v>
      </c>
      <c r="F8" s="990">
        <v>29.6</v>
      </c>
      <c r="G8" s="992">
        <v>61021</v>
      </c>
      <c r="I8" t="e">
        <f ca="1"/>
        <v>#NAME?</v>
      </c>
      <c r="J8" t="e">
        <f ca="1"/>
        <v>#NAME?</v>
      </c>
      <c r="K8" t="e">
        <f ca="1"/>
        <v>#NAME?</v>
      </c>
      <c r="L8" t="e">
        <f ca="1"/>
        <v>#NAME?</v>
      </c>
      <c r="M8" t="e">
        <f ca="1"/>
        <v>#NAME?</v>
      </c>
      <c r="N8" t="e">
        <f ca="1"/>
        <v>#NAME?</v>
      </c>
      <c r="O8" t="e">
        <f ca="1"/>
        <v>#NAME?</v>
      </c>
      <c r="Q8" t="e">
        <f ca="1"/>
        <v>#NAME?</v>
      </c>
      <c r="R8" s="656" t="e">
        <f ca="1"/>
        <v>#NAME?</v>
      </c>
      <c r="S8" s="8" t="e">
        <f ca="1"/>
        <v>#NAME?</v>
      </c>
      <c r="T8" s="8" t="e">
        <f ca="1"/>
        <v>#NAME?</v>
      </c>
      <c r="U8" s="8" t="e">
        <f ca="1"/>
        <v>#NAME?</v>
      </c>
      <c r="V8" s="8" t="e">
        <f ca="1"/>
        <v>#NAME?</v>
      </c>
      <c r="W8" s="657" t="e">
        <f ca="1"/>
        <v>#NAME?</v>
      </c>
    </row>
    <row r="9" spans="1:23">
      <c r="A9" s="932" t="s">
        <v>429</v>
      </c>
      <c r="B9" s="984"/>
      <c r="C9" s="986">
        <v>89.734092175332663</v>
      </c>
      <c r="D9" s="987">
        <v>347.8</v>
      </c>
      <c r="E9" s="988">
        <v>259.68608874672964</v>
      </c>
      <c r="F9" s="990">
        <v>35.6</v>
      </c>
      <c r="G9" s="992">
        <v>56993</v>
      </c>
      <c r="I9" t="e">
        <f ca="1"/>
        <v>#NAME?</v>
      </c>
      <c r="J9" t="e">
        <f ca="1"/>
        <v>#NAME?</v>
      </c>
      <c r="K9" t="e">
        <f ca="1"/>
        <v>#NAME?</v>
      </c>
      <c r="L9" t="e">
        <f ca="1"/>
        <v>#NAME?</v>
      </c>
      <c r="M9" t="e">
        <f ca="1"/>
        <v>#NAME?</v>
      </c>
      <c r="N9" t="e">
        <f ca="1"/>
        <v>#NAME?</v>
      </c>
      <c r="O9" t="e">
        <f ca="1"/>
        <v>#NAME?</v>
      </c>
      <c r="Q9" t="e">
        <f ca="1"/>
        <v>#NAME?</v>
      </c>
      <c r="R9" s="656" t="e">
        <f ca="1"/>
        <v>#NAME?</v>
      </c>
      <c r="S9" s="8" t="e">
        <f ca="1"/>
        <v>#NAME?</v>
      </c>
      <c r="T9" s="8" t="e">
        <f ca="1"/>
        <v>#NAME?</v>
      </c>
      <c r="U9" s="8" t="e">
        <f ca="1"/>
        <v>#NAME?</v>
      </c>
      <c r="V9" s="8" t="e">
        <f ca="1"/>
        <v>#NAME?</v>
      </c>
      <c r="W9" s="657" t="e">
        <f ca="1"/>
        <v>#NAME?</v>
      </c>
    </row>
    <row r="10" spans="1:23">
      <c r="A10" s="932" t="s">
        <v>430</v>
      </c>
      <c r="B10" s="984">
        <v>9.3000000000000007</v>
      </c>
      <c r="C10" s="986">
        <v>84.278652322083644</v>
      </c>
      <c r="D10" s="987">
        <v>256</v>
      </c>
      <c r="E10" s="988">
        <v>376.3752669155395</v>
      </c>
      <c r="F10" s="990">
        <v>35.6</v>
      </c>
      <c r="G10" s="992">
        <v>68595</v>
      </c>
      <c r="I10" t="e">
        <f ca="1"/>
        <v>#NAME?</v>
      </c>
      <c r="J10" t="e">
        <f ca="1"/>
        <v>#NAME?</v>
      </c>
      <c r="K10" t="e">
        <f ca="1"/>
        <v>#NAME?</v>
      </c>
      <c r="L10" t="e">
        <f ca="1"/>
        <v>#NAME?</v>
      </c>
      <c r="M10" t="e">
        <f ca="1"/>
        <v>#NAME?</v>
      </c>
      <c r="N10" t="e">
        <f ca="1"/>
        <v>#NAME?</v>
      </c>
      <c r="O10" t="e">
        <f ca="1"/>
        <v>#NAME?</v>
      </c>
      <c r="Q10" t="e">
        <f ca="1"/>
        <v>#NAME?</v>
      </c>
      <c r="R10" s="656" t="e">
        <f ca="1"/>
        <v>#NAME?</v>
      </c>
      <c r="S10" s="8" t="e">
        <f ca="1"/>
        <v>#NAME?</v>
      </c>
      <c r="T10" s="8" t="e">
        <f ca="1"/>
        <v>#NAME?</v>
      </c>
      <c r="U10" s="8" t="e">
        <f ca="1"/>
        <v>#NAME?</v>
      </c>
      <c r="V10" s="8" t="e">
        <f ca="1"/>
        <v>#NAME?</v>
      </c>
      <c r="W10" s="657" t="e">
        <f ca="1"/>
        <v>#NAME?</v>
      </c>
    </row>
    <row r="11" spans="1:23">
      <c r="A11" s="932" t="s">
        <v>431</v>
      </c>
      <c r="B11" s="993">
        <v>10</v>
      </c>
      <c r="C11" s="986">
        <v>74.266056727126113</v>
      </c>
      <c r="D11" s="987">
        <v>689.2</v>
      </c>
      <c r="E11" s="988">
        <v>250.94175668510928</v>
      </c>
      <c r="F11" s="990">
        <v>27.5</v>
      </c>
      <c r="G11" s="992">
        <v>57989</v>
      </c>
      <c r="I11" t="e">
        <f ca="1"/>
        <v>#NAME?</v>
      </c>
      <c r="J11" t="e">
        <f ca="1"/>
        <v>#NAME?</v>
      </c>
      <c r="K11" t="e">
        <f ca="1"/>
        <v>#NAME?</v>
      </c>
      <c r="L11" t="e">
        <f ca="1"/>
        <v>#NAME?</v>
      </c>
      <c r="M11" t="e">
        <f ca="1"/>
        <v>#NAME?</v>
      </c>
      <c r="N11" t="e">
        <f ca="1"/>
        <v>#NAME?</v>
      </c>
      <c r="O11" t="e">
        <f ca="1"/>
        <v>#NAME?</v>
      </c>
      <c r="Q11" t="e">
        <f ca="1"/>
        <v>#NAME?</v>
      </c>
      <c r="R11" s="656" t="e">
        <f ca="1"/>
        <v>#NAME?</v>
      </c>
      <c r="S11" s="8" t="e">
        <f ca="1"/>
        <v>#NAME?</v>
      </c>
      <c r="T11" s="8" t="e">
        <f ca="1"/>
        <v>#NAME?</v>
      </c>
      <c r="U11" s="8" t="e">
        <f ca="1"/>
        <v>#NAME?</v>
      </c>
      <c r="V11" s="8" t="e">
        <f ca="1"/>
        <v>#NAME?</v>
      </c>
      <c r="W11" s="657" t="e">
        <f ca="1"/>
        <v>#NAME?</v>
      </c>
    </row>
    <row r="12" spans="1:23">
      <c r="A12" s="932" t="s">
        <v>432</v>
      </c>
      <c r="B12" s="984">
        <v>13.2</v>
      </c>
      <c r="C12" s="986">
        <v>79.811068541941054</v>
      </c>
      <c r="D12" s="987">
        <v>722.6</v>
      </c>
      <c r="E12" s="988">
        <v>247.86359820579941</v>
      </c>
      <c r="F12" s="990">
        <v>25.8</v>
      </c>
      <c r="G12" s="992">
        <v>47778</v>
      </c>
      <c r="I12" t="e">
        <f ca="1"/>
        <v>#NAME?</v>
      </c>
      <c r="J12" t="e">
        <f ca="1"/>
        <v>#NAME?</v>
      </c>
      <c r="K12" t="e">
        <f ca="1"/>
        <v>#NAME?</v>
      </c>
      <c r="L12" t="e">
        <f ca="1"/>
        <v>#NAME?</v>
      </c>
      <c r="M12" t="e">
        <f ca="1"/>
        <v>#NAME?</v>
      </c>
      <c r="N12" t="e">
        <f ca="1"/>
        <v>#NAME?</v>
      </c>
      <c r="O12" t="e">
        <f ca="1"/>
        <v>#NAME?</v>
      </c>
      <c r="Q12" t="e">
        <f ca="1"/>
        <v>#NAME?</v>
      </c>
      <c r="R12" s="656" t="e">
        <f ca="1"/>
        <v>#NAME?</v>
      </c>
      <c r="S12" s="8" t="e">
        <f ca="1"/>
        <v>#NAME?</v>
      </c>
      <c r="T12" s="8" t="e">
        <f ca="1"/>
        <v>#NAME?</v>
      </c>
      <c r="U12" s="8" t="e">
        <f ca="1"/>
        <v>#NAME?</v>
      </c>
      <c r="V12" s="8" t="e">
        <f ca="1"/>
        <v>#NAME?</v>
      </c>
      <c r="W12" s="657" t="e">
        <f ca="1"/>
        <v>#NAME?</v>
      </c>
    </row>
    <row r="13" spans="1:23">
      <c r="A13" s="932" t="s">
        <v>433</v>
      </c>
      <c r="B13" s="984">
        <v>14.7</v>
      </c>
      <c r="C13" s="986">
        <v>65.387718279566343</v>
      </c>
      <c r="D13" s="987">
        <v>493.2</v>
      </c>
      <c r="E13" s="988">
        <v>217.44570184044454</v>
      </c>
      <c r="F13" s="990">
        <v>27.5</v>
      </c>
      <c r="G13" s="992">
        <v>50861</v>
      </c>
      <c r="I13" t="e">
        <f ca="1"/>
        <v>#NAME?</v>
      </c>
      <c r="J13" t="e">
        <f ca="1"/>
        <v>#NAME?</v>
      </c>
      <c r="K13" t="e">
        <f ca="1"/>
        <v>#NAME?</v>
      </c>
      <c r="L13" t="e">
        <f ca="1"/>
        <v>#NAME?</v>
      </c>
      <c r="M13" t="e">
        <f ca="1"/>
        <v>#NAME?</v>
      </c>
      <c r="N13" t="e">
        <f ca="1"/>
        <v>#NAME?</v>
      </c>
      <c r="O13" t="e">
        <f ca="1"/>
        <v>#NAME?</v>
      </c>
      <c r="Q13" t="e">
        <f ca="1"/>
        <v>#NAME?</v>
      </c>
      <c r="R13" s="656" t="e">
        <f ca="1"/>
        <v>#NAME?</v>
      </c>
      <c r="S13" s="8" t="e">
        <f ca="1"/>
        <v>#NAME?</v>
      </c>
      <c r="T13" s="8" t="e">
        <f ca="1"/>
        <v>#NAME?</v>
      </c>
      <c r="U13" s="8" t="e">
        <f ca="1"/>
        <v>#NAME?</v>
      </c>
      <c r="V13" s="8" t="e">
        <f ca="1"/>
        <v>#NAME?</v>
      </c>
      <c r="W13" s="657" t="e">
        <f ca="1"/>
        <v>#NAME?</v>
      </c>
    </row>
    <row r="14" spans="1:23">
      <c r="A14" s="932" t="s">
        <v>434</v>
      </c>
      <c r="B14" s="984">
        <v>9.1</v>
      </c>
      <c r="C14" s="986">
        <v>29.667333748383395</v>
      </c>
      <c r="D14" s="987">
        <v>272.8</v>
      </c>
      <c r="E14" s="988">
        <v>316.98289278791503</v>
      </c>
      <c r="F14" s="990">
        <v>29.1</v>
      </c>
      <c r="G14" s="992">
        <v>67214</v>
      </c>
      <c r="I14" t="e">
        <f ca="1"/>
        <v>#NAME?</v>
      </c>
      <c r="J14" t="e">
        <f ca="1"/>
        <v>#NAME?</v>
      </c>
      <c r="K14" t="e">
        <f ca="1"/>
        <v>#NAME?</v>
      </c>
      <c r="L14" t="e">
        <f ca="1"/>
        <v>#NAME?</v>
      </c>
      <c r="M14" t="e">
        <f ca="1"/>
        <v>#NAME?</v>
      </c>
      <c r="N14" t="e">
        <f ca="1"/>
        <v>#NAME?</v>
      </c>
      <c r="O14" t="e">
        <f ca="1"/>
        <v>#NAME?</v>
      </c>
      <c r="Q14" t="e">
        <f ca="1"/>
        <v>#NAME?</v>
      </c>
      <c r="R14" s="656" t="e">
        <f ca="1"/>
        <v>#NAME?</v>
      </c>
      <c r="S14" s="8" t="e">
        <f ca="1"/>
        <v>#NAME?</v>
      </c>
      <c r="T14" s="8" t="e">
        <f ca="1"/>
        <v>#NAME?</v>
      </c>
      <c r="U14" s="8" t="e">
        <f ca="1"/>
        <v>#NAME?</v>
      </c>
      <c r="V14" s="8" t="e">
        <f ca="1"/>
        <v>#NAME?</v>
      </c>
      <c r="W14" s="657" t="e">
        <f ca="1"/>
        <v>#NAME?</v>
      </c>
    </row>
    <row r="15" spans="1:23">
      <c r="A15" s="932" t="s">
        <v>435</v>
      </c>
      <c r="B15" s="984"/>
      <c r="C15" s="986">
        <v>94.600660447193093</v>
      </c>
      <c r="D15" s="987">
        <v>239.4</v>
      </c>
      <c r="E15" s="988">
        <v>168.83390313104681</v>
      </c>
      <c r="F15" s="990">
        <v>24</v>
      </c>
      <c r="G15" s="992">
        <v>47576</v>
      </c>
      <c r="I15" t="e">
        <f ca="1"/>
        <v>#NAME?</v>
      </c>
      <c r="J15" t="e">
        <f ca="1"/>
        <v>#NAME?</v>
      </c>
      <c r="K15" t="e">
        <f ca="1"/>
        <v>#NAME?</v>
      </c>
      <c r="L15" t="e">
        <f ca="1"/>
        <v>#NAME?</v>
      </c>
      <c r="M15" t="e">
        <f ca="1"/>
        <v>#NAME?</v>
      </c>
      <c r="N15" t="e">
        <f ca="1"/>
        <v>#NAME?</v>
      </c>
      <c r="O15" t="e">
        <f ca="1"/>
        <v>#NAME?</v>
      </c>
      <c r="Q15" t="e">
        <f ca="1"/>
        <v>#NAME?</v>
      </c>
      <c r="R15" s="656" t="e">
        <f ca="1"/>
        <v>#NAME?</v>
      </c>
      <c r="S15" s="8" t="e">
        <f ca="1"/>
        <v>#NAME?</v>
      </c>
      <c r="T15" s="8" t="e">
        <f ca="1"/>
        <v>#NAME?</v>
      </c>
      <c r="U15" s="8" t="e">
        <f ca="1"/>
        <v>#NAME?</v>
      </c>
      <c r="V15" s="8" t="e">
        <f ca="1"/>
        <v>#NAME?</v>
      </c>
      <c r="W15" s="657" t="e">
        <f ca="1"/>
        <v>#NAME?</v>
      </c>
    </row>
    <row r="16" spans="1:23">
      <c r="A16" s="932" t="s">
        <v>436</v>
      </c>
      <c r="B16" s="984">
        <v>12.2</v>
      </c>
      <c r="C16" s="986">
        <v>79.13310968601246</v>
      </c>
      <c r="D16" s="987">
        <v>533.20000000000005</v>
      </c>
      <c r="E16" s="988">
        <v>280.15386787687231</v>
      </c>
      <c r="F16" s="990">
        <v>29.9</v>
      </c>
      <c r="G16" s="992">
        <v>56235</v>
      </c>
      <c r="I16" t="e">
        <f ca="1"/>
        <v>#NAME?</v>
      </c>
      <c r="J16" t="e">
        <f ca="1"/>
        <v>#NAME?</v>
      </c>
      <c r="K16" t="e">
        <f ca="1"/>
        <v>#NAME?</v>
      </c>
      <c r="L16" t="e">
        <f ca="1"/>
        <v>#NAME?</v>
      </c>
      <c r="M16" t="e">
        <f ca="1"/>
        <v>#NAME?</v>
      </c>
      <c r="N16" t="e">
        <f ca="1"/>
        <v>#NAME?</v>
      </c>
      <c r="O16" t="e">
        <f ca="1"/>
        <v>#NAME?</v>
      </c>
      <c r="Q16" t="e">
        <f ca="1"/>
        <v>#NAME?</v>
      </c>
      <c r="R16" s="656" t="e">
        <f ca="1"/>
        <v>#NAME?</v>
      </c>
      <c r="S16" s="8" t="e">
        <f ca="1"/>
        <v>#NAME?</v>
      </c>
      <c r="T16" s="8" t="e">
        <f ca="1"/>
        <v>#NAME?</v>
      </c>
      <c r="U16" s="8" t="e">
        <f ca="1"/>
        <v>#NAME?</v>
      </c>
      <c r="V16" s="8" t="e">
        <f ca="1"/>
        <v>#NAME?</v>
      </c>
      <c r="W16" s="657" t="e">
        <f ca="1"/>
        <v>#NAME?</v>
      </c>
    </row>
    <row r="17" spans="1:23">
      <c r="A17" s="932" t="s">
        <v>437</v>
      </c>
      <c r="B17" s="984">
        <v>13.1</v>
      </c>
      <c r="C17" s="986"/>
      <c r="D17" s="987"/>
      <c r="E17" s="988">
        <v>216.93969975987483</v>
      </c>
      <c r="F17" s="990"/>
      <c r="G17" s="992">
        <v>47966</v>
      </c>
      <c r="I17" t="e">
        <f ca="1"/>
        <v>#NAME?</v>
      </c>
      <c r="J17" t="e">
        <f ca="1"/>
        <v>#NAME?</v>
      </c>
      <c r="K17" t="e">
        <f ca="1"/>
        <v>#NAME?</v>
      </c>
      <c r="L17" t="e">
        <f ca="1"/>
        <v>#NAME?</v>
      </c>
      <c r="M17" t="e">
        <f ca="1"/>
        <v>#NAME?</v>
      </c>
      <c r="N17" t="e">
        <f ca="1"/>
        <v>#NAME?</v>
      </c>
      <c r="O17" t="e">
        <f ca="1"/>
        <v>#NAME?</v>
      </c>
      <c r="Q17" t="e">
        <f ca="1"/>
        <v>#NAME?</v>
      </c>
      <c r="R17" s="656" t="e">
        <f ca="1"/>
        <v>#NAME?</v>
      </c>
      <c r="S17" s="8" t="e">
        <f ca="1"/>
        <v>#NAME?</v>
      </c>
      <c r="T17" s="8" t="e">
        <f ca="1"/>
        <v>#NAME?</v>
      </c>
      <c r="U17" s="8" t="e">
        <f ca="1"/>
        <v>#NAME?</v>
      </c>
      <c r="V17" s="8" t="e">
        <f ca="1"/>
        <v>#NAME?</v>
      </c>
      <c r="W17" s="657" t="e">
        <f ca="1"/>
        <v>#NAME?</v>
      </c>
    </row>
    <row r="18" spans="1:23">
      <c r="A18" s="932" t="s">
        <v>438</v>
      </c>
      <c r="B18" s="984">
        <v>11.5</v>
      </c>
      <c r="C18" s="986">
        <v>94.170464820794294</v>
      </c>
      <c r="D18" s="987">
        <v>294.7</v>
      </c>
      <c r="E18" s="988">
        <v>189.28322428402873</v>
      </c>
      <c r="F18" s="990">
        <v>24.3</v>
      </c>
      <c r="G18" s="992">
        <v>48980</v>
      </c>
      <c r="I18" t="e">
        <f ca="1"/>
        <v>#NAME?</v>
      </c>
      <c r="J18" t="e">
        <f ca="1"/>
        <v>#NAME?</v>
      </c>
      <c r="K18" t="e">
        <f ca="1"/>
        <v>#NAME?</v>
      </c>
      <c r="L18" t="e">
        <f ca="1"/>
        <v>#NAME?</v>
      </c>
      <c r="M18" t="e">
        <f ca="1"/>
        <v>#NAME?</v>
      </c>
      <c r="N18" t="e">
        <f ca="1"/>
        <v>#NAME?</v>
      </c>
      <c r="O18" t="e">
        <f ca="1"/>
        <v>#NAME?</v>
      </c>
      <c r="Q18" t="e">
        <f ca="1"/>
        <v>#NAME?</v>
      </c>
      <c r="R18" s="533" t="e">
        <f ca="1"/>
        <v>#NAME?</v>
      </c>
      <c r="S18" s="1078" t="e">
        <f ca="1"/>
        <v>#NAME?</v>
      </c>
      <c r="T18" s="1078" t="e">
        <f ca="1"/>
        <v>#NAME?</v>
      </c>
      <c r="U18" s="1078" t="e">
        <f ca="1"/>
        <v>#NAME?</v>
      </c>
      <c r="V18" s="1078" t="e">
        <f ca="1"/>
        <v>#NAME?</v>
      </c>
      <c r="W18" s="541" t="e">
        <f ca="1"/>
        <v>#NAME?</v>
      </c>
    </row>
    <row r="19" spans="1:23">
      <c r="A19" s="932" t="s">
        <v>439</v>
      </c>
      <c r="B19" s="984">
        <v>11.3</v>
      </c>
      <c r="C19" s="986">
        <v>88.703716524620162</v>
      </c>
      <c r="D19" s="987">
        <v>452.7</v>
      </c>
      <c r="E19" s="988">
        <v>222.54770859752097</v>
      </c>
      <c r="F19" s="990">
        <v>29.6</v>
      </c>
      <c r="G19" s="992">
        <v>50177</v>
      </c>
      <c r="I19" t="e">
        <f ca="1"/>
        <v>#NAME?</v>
      </c>
      <c r="J19" t="e">
        <f ca="1"/>
        <v>#NAME?</v>
      </c>
      <c r="K19" t="e">
        <f ca="1"/>
        <v>#NAME?</v>
      </c>
      <c r="L19" t="e">
        <f ca="1"/>
        <v>#NAME?</v>
      </c>
      <c r="M19" t="e">
        <f ca="1"/>
        <v>#NAME?</v>
      </c>
      <c r="N19" t="e">
        <f ca="1"/>
        <v>#NAME?</v>
      </c>
      <c r="O19" t="e">
        <f ca="1"/>
        <v>#NAME?</v>
      </c>
    </row>
    <row r="20" spans="1:23">
      <c r="A20" s="932" t="s">
        <v>440</v>
      </c>
      <c r="B20" s="984">
        <v>17.3</v>
      </c>
      <c r="C20" s="986">
        <v>89.904327345935869</v>
      </c>
      <c r="D20" s="987">
        <v>295</v>
      </c>
      <c r="E20" s="988">
        <v>232.34854500664258</v>
      </c>
      <c r="F20" s="990">
        <v>19.7</v>
      </c>
      <c r="G20" s="992">
        <v>41538</v>
      </c>
      <c r="I20" t="e">
        <f ca="1"/>
        <v>#NAME?</v>
      </c>
      <c r="J20" t="e">
        <f ca="1"/>
        <v>#NAME?</v>
      </c>
      <c r="K20" t="e">
        <f ca="1"/>
        <v>#NAME?</v>
      </c>
      <c r="L20" t="e">
        <f ca="1"/>
        <v>#NAME?</v>
      </c>
      <c r="M20" t="e">
        <f ca="1"/>
        <v>#NAME?</v>
      </c>
      <c r="N20" t="e">
        <f ca="1"/>
        <v>#NAME?</v>
      </c>
      <c r="O20" t="e">
        <f ca="1"/>
        <v>#NAME?</v>
      </c>
    </row>
    <row r="21" spans="1:23">
      <c r="A21" s="98" t="s">
        <v>441</v>
      </c>
      <c r="B21" s="984">
        <v>17.3</v>
      </c>
      <c r="C21" s="994">
        <v>64.839543701408999</v>
      </c>
      <c r="D21" s="987">
        <v>729.5</v>
      </c>
      <c r="E21" s="988">
        <v>262.66146237060713</v>
      </c>
      <c r="F21" s="990">
        <v>20.3</v>
      </c>
      <c r="G21" s="997">
        <v>43733</v>
      </c>
      <c r="I21" t="e">
        <f ca="1"/>
        <v>#NAME?</v>
      </c>
      <c r="J21" t="e">
        <f ca="1"/>
        <v>#NAME?</v>
      </c>
      <c r="K21" t="e">
        <f ca="1"/>
        <v>#NAME?</v>
      </c>
      <c r="L21" t="e">
        <f ca="1"/>
        <v>#NAME?</v>
      </c>
      <c r="M21" t="e">
        <f ca="1"/>
        <v>#NAME?</v>
      </c>
      <c r="N21" t="e">
        <f ca="1"/>
        <v>#NAME?</v>
      </c>
      <c r="O21" t="e">
        <f ca="1"/>
        <v>#NAME?</v>
      </c>
    </row>
    <row r="22" spans="1:23">
      <c r="A22" s="998" t="s">
        <v>442</v>
      </c>
      <c r="B22" s="999">
        <v>12.3</v>
      </c>
      <c r="C22" s="1001">
        <v>96.389852756187835</v>
      </c>
      <c r="D22" s="1002">
        <v>118</v>
      </c>
      <c r="E22" s="1003">
        <v>278.39482802923527</v>
      </c>
      <c r="F22" s="1005">
        <v>25.4</v>
      </c>
      <c r="G22" s="1007">
        <v>46581</v>
      </c>
      <c r="I22" t="e">
        <f ca="1"/>
        <v>#NAME?</v>
      </c>
      <c r="J22" t="e">
        <f ca="1"/>
        <v>#NAME?</v>
      </c>
      <c r="K22" t="e">
        <f ca="1"/>
        <v>#NAME?</v>
      </c>
      <c r="L22" t="e">
        <f ca="1"/>
        <v>#NAME?</v>
      </c>
      <c r="M22" t="e">
        <f ca="1"/>
        <v>#NAME?</v>
      </c>
      <c r="N22" t="e">
        <f ca="1"/>
        <v>#NAME?</v>
      </c>
      <c r="O22" t="e">
        <f ca="1"/>
        <v>#NAME?</v>
      </c>
    </row>
    <row r="24" spans="1:23">
      <c r="I24" t="s">
        <v>3249</v>
      </c>
      <c r="M24" s="756" t="e">
        <f ca="1">[1]!CountFullRows(A3:G22,TRUE)</f>
        <v>#NAME?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sheetPr codeName="Sheet244"/>
  <dimension ref="A1:Q22"/>
  <sheetViews>
    <sheetView zoomScale="55" zoomScaleNormal="55" workbookViewId="0">
      <selection activeCell="Q4" sqref="Q4"/>
    </sheetView>
  </sheetViews>
  <sheetFormatPr defaultRowHeight="14.4"/>
  <cols>
    <col min="2" max="10" width="11.33203125" customWidth="1"/>
    <col min="12" max="17" width="10.5546875" customWidth="1"/>
  </cols>
  <sheetData>
    <row r="1" spans="1:17">
      <c r="A1" s="1" t="s">
        <v>2625</v>
      </c>
    </row>
    <row r="3" spans="1:17" s="25" customFormat="1">
      <c r="A3" s="982"/>
      <c r="B3" s="983" t="s">
        <v>416</v>
      </c>
      <c r="C3" s="983" t="s">
        <v>417</v>
      </c>
      <c r="D3" s="983" t="s">
        <v>418</v>
      </c>
      <c r="E3" s="983" t="s">
        <v>419</v>
      </c>
      <c r="F3" s="983" t="s">
        <v>420</v>
      </c>
      <c r="G3" s="983" t="s">
        <v>421</v>
      </c>
      <c r="H3" s="983" t="s">
        <v>422</v>
      </c>
      <c r="I3" s="983" t="s">
        <v>423</v>
      </c>
      <c r="J3" s="983" t="s">
        <v>23</v>
      </c>
      <c r="L3" s="25" t="str">
        <f>IF(ISBLANK(A3),"",A3)</f>
        <v/>
      </c>
      <c r="M3" s="25" t="str">
        <f>IF(ISBLANK(B3),"",B3)</f>
        <v>Poverty</v>
      </c>
      <c r="N3" s="25" t="str">
        <f>IF(ISBLANK(C3),"",C3)</f>
        <v>Infant Mort</v>
      </c>
      <c r="O3" s="25" t="str">
        <f>IF(ISBLANK(F3),"",F3)</f>
        <v>Doctors</v>
      </c>
      <c r="P3" s="25" t="str">
        <f>IF(ISBLANK(G3),"",G3)</f>
        <v>Traf Deaths</v>
      </c>
      <c r="Q3" s="25" t="str">
        <f>IF(ISBLANK(J3),"",J3)</f>
        <v>Income</v>
      </c>
    </row>
    <row r="4" spans="1:17" s="25" customFormat="1">
      <c r="A4" s="932" t="s">
        <v>424</v>
      </c>
      <c r="B4" s="984">
        <v>15.7</v>
      </c>
      <c r="C4" s="985">
        <v>9</v>
      </c>
      <c r="D4" s="986">
        <v>71.027177760140717</v>
      </c>
      <c r="E4" s="987">
        <v>448</v>
      </c>
      <c r="F4" s="988">
        <v>218.17340830567619</v>
      </c>
      <c r="G4" s="989">
        <v>1.81</v>
      </c>
      <c r="H4" s="990">
        <v>22</v>
      </c>
      <c r="I4" s="991">
        <v>5</v>
      </c>
      <c r="J4" s="992">
        <v>42666</v>
      </c>
      <c r="L4" s="25" t="str">
        <f t="shared" ref="L4:L22" si="0">IF(ISBLANK(A4),"",A4)</f>
        <v>Alabama</v>
      </c>
      <c r="M4" s="25">
        <f t="shared" ref="M4:M22" si="1">IF(ISBLANK(B4),"",B4)</f>
        <v>15.7</v>
      </c>
      <c r="N4" s="25">
        <f t="shared" ref="N4:N22" si="2">IF(ISBLANK(C4),"",C4)</f>
        <v>9</v>
      </c>
      <c r="O4" s="25">
        <f t="shared" ref="O4:O22" si="3">IF(ISBLANK(F4),"",F4)</f>
        <v>218.17340830567619</v>
      </c>
      <c r="P4" s="25">
        <f t="shared" ref="P4:P22" si="4">IF(ISBLANK(G4),"",G4)</f>
        <v>1.81</v>
      </c>
      <c r="Q4" s="25">
        <f t="shared" ref="Q4:Q22" si="5">IF(ISBLANK(J4),"",J4)</f>
        <v>42666</v>
      </c>
    </row>
    <row r="5" spans="1:17" s="25" customFormat="1">
      <c r="A5" s="932" t="s">
        <v>425</v>
      </c>
      <c r="B5" s="984">
        <v>8.4</v>
      </c>
      <c r="C5" s="985">
        <v>6.9</v>
      </c>
      <c r="D5" s="986">
        <v>70.62318863808899</v>
      </c>
      <c r="E5" s="987">
        <v>661.2</v>
      </c>
      <c r="F5" s="988">
        <v>228.45028196578826</v>
      </c>
      <c r="G5" s="989">
        <v>1.63</v>
      </c>
      <c r="H5" s="990">
        <v>27.3</v>
      </c>
      <c r="I5" s="991">
        <v>6.7</v>
      </c>
      <c r="J5" s="992">
        <v>68460</v>
      </c>
      <c r="L5" s="25" t="str">
        <f t="shared" si="0"/>
        <v>Alaska</v>
      </c>
      <c r="M5" s="25">
        <f t="shared" si="1"/>
        <v>8.4</v>
      </c>
      <c r="N5" s="25">
        <f t="shared" si="2"/>
        <v>6.9</v>
      </c>
      <c r="O5" s="25">
        <f t="shared" si="3"/>
        <v>228.45028196578826</v>
      </c>
      <c r="P5" s="25">
        <f t="shared" si="4"/>
        <v>1.63</v>
      </c>
      <c r="Q5" s="25">
        <f t="shared" si="5"/>
        <v>68460</v>
      </c>
    </row>
    <row r="6" spans="1:17" s="25" customFormat="1">
      <c r="A6" s="932" t="s">
        <v>426</v>
      </c>
      <c r="B6" s="984">
        <v>14.7</v>
      </c>
      <c r="C6" s="985">
        <v>6.4</v>
      </c>
      <c r="D6" s="986">
        <v>86.505696765320337</v>
      </c>
      <c r="E6" s="987">
        <v>482.7</v>
      </c>
      <c r="F6" s="988">
        <v>209.66657175716827</v>
      </c>
      <c r="G6" s="989">
        <v>1.69</v>
      </c>
      <c r="H6" s="990">
        <v>25.1</v>
      </c>
      <c r="I6" s="991">
        <v>5.5</v>
      </c>
      <c r="J6" s="992">
        <v>50958</v>
      </c>
      <c r="L6" s="25" t="str">
        <f t="shared" si="0"/>
        <v>Arizona</v>
      </c>
      <c r="M6" s="25">
        <f t="shared" si="1"/>
        <v>14.7</v>
      </c>
      <c r="N6" s="25">
        <f t="shared" si="2"/>
        <v>6.4</v>
      </c>
      <c r="O6" s="25">
        <f t="shared" si="3"/>
        <v>209.66657175716827</v>
      </c>
      <c r="P6" s="25">
        <f t="shared" si="4"/>
        <v>1.69</v>
      </c>
      <c r="Q6" s="25">
        <f t="shared" si="5"/>
        <v>50958</v>
      </c>
    </row>
    <row r="7" spans="1:17" s="25" customFormat="1">
      <c r="A7" s="932" t="s">
        <v>427</v>
      </c>
      <c r="B7" s="984">
        <v>17.3</v>
      </c>
      <c r="C7" s="985">
        <v>8.5</v>
      </c>
      <c r="D7" s="986">
        <v>80.783955956979611</v>
      </c>
      <c r="E7" s="987">
        <v>529.4</v>
      </c>
      <c r="F7" s="988">
        <v>203.42285988234826</v>
      </c>
      <c r="G7" s="989">
        <v>1.96</v>
      </c>
      <c r="H7" s="990">
        <v>18.8</v>
      </c>
      <c r="I7" s="991">
        <v>5.0999999999999996</v>
      </c>
      <c r="J7" s="992">
        <v>38815</v>
      </c>
      <c r="L7" s="25" t="str">
        <f t="shared" si="0"/>
        <v>Arkansas</v>
      </c>
      <c r="M7" s="25">
        <f t="shared" si="1"/>
        <v>17.3</v>
      </c>
      <c r="N7" s="25">
        <f t="shared" si="2"/>
        <v>8.5</v>
      </c>
      <c r="O7" s="25">
        <f t="shared" si="3"/>
        <v>203.42285988234826</v>
      </c>
      <c r="P7" s="25">
        <f t="shared" si="4"/>
        <v>1.96</v>
      </c>
      <c r="Q7" s="25">
        <f t="shared" si="5"/>
        <v>38815</v>
      </c>
    </row>
    <row r="8" spans="1:17" s="25" customFormat="1">
      <c r="A8" s="932" t="s">
        <v>428</v>
      </c>
      <c r="B8" s="984">
        <v>13.3</v>
      </c>
      <c r="C8" s="985">
        <v>5</v>
      </c>
      <c r="D8" s="986">
        <v>76.640052174481781</v>
      </c>
      <c r="E8" s="987">
        <v>522.6</v>
      </c>
      <c r="F8" s="988">
        <v>268.69056049813605</v>
      </c>
      <c r="G8" s="989">
        <v>1.21</v>
      </c>
      <c r="H8" s="990">
        <v>29.6</v>
      </c>
      <c r="I8" s="991">
        <v>7.2</v>
      </c>
      <c r="J8" s="992">
        <v>61021</v>
      </c>
      <c r="L8" s="25" t="str">
        <f t="shared" si="0"/>
        <v>California</v>
      </c>
      <c r="M8" s="25">
        <f t="shared" si="1"/>
        <v>13.3</v>
      </c>
      <c r="N8" s="25">
        <f t="shared" si="2"/>
        <v>5</v>
      </c>
      <c r="O8" s="25">
        <f t="shared" si="3"/>
        <v>268.69056049813605</v>
      </c>
      <c r="P8" s="25">
        <f t="shared" si="4"/>
        <v>1.21</v>
      </c>
      <c r="Q8" s="25">
        <f t="shared" si="5"/>
        <v>61021</v>
      </c>
    </row>
    <row r="9" spans="1:17" s="25" customFormat="1">
      <c r="A9" s="932" t="s">
        <v>429</v>
      </c>
      <c r="B9" s="984">
        <v>11.4</v>
      </c>
      <c r="C9" s="985">
        <v>5.7</v>
      </c>
      <c r="D9" s="986">
        <v>89.734092175332663</v>
      </c>
      <c r="E9" s="987">
        <v>347.8</v>
      </c>
      <c r="F9" s="988">
        <v>259.68608874672964</v>
      </c>
      <c r="G9" s="989">
        <v>1.1399999999999999</v>
      </c>
      <c r="H9" s="990">
        <v>35.6</v>
      </c>
      <c r="I9" s="991">
        <v>4.9000000000000004</v>
      </c>
      <c r="J9" s="992">
        <v>56993</v>
      </c>
      <c r="L9" s="25" t="str">
        <f t="shared" si="0"/>
        <v>Colorado</v>
      </c>
      <c r="M9" s="25">
        <f t="shared" si="1"/>
        <v>11.4</v>
      </c>
      <c r="N9" s="25">
        <f t="shared" si="2"/>
        <v>5.7</v>
      </c>
      <c r="O9" s="25">
        <f t="shared" si="3"/>
        <v>259.68608874672964</v>
      </c>
      <c r="P9" s="25">
        <f t="shared" si="4"/>
        <v>1.1399999999999999</v>
      </c>
      <c r="Q9" s="25">
        <f t="shared" si="5"/>
        <v>56993</v>
      </c>
    </row>
    <row r="10" spans="1:17" s="25" customFormat="1">
      <c r="A10" s="932" t="s">
        <v>430</v>
      </c>
      <c r="B10" s="984">
        <v>9.3000000000000007</v>
      </c>
      <c r="C10" s="985">
        <v>6.2</v>
      </c>
      <c r="D10" s="986">
        <v>84.278652322083644</v>
      </c>
      <c r="E10" s="987">
        <v>256</v>
      </c>
      <c r="F10" s="988">
        <v>376.3752669155395</v>
      </c>
      <c r="G10" s="989">
        <v>0.86</v>
      </c>
      <c r="H10" s="990">
        <v>35.6</v>
      </c>
      <c r="I10" s="991">
        <v>5.7</v>
      </c>
      <c r="J10" s="992">
        <v>68595</v>
      </c>
      <c r="L10" s="25" t="str">
        <f t="shared" si="0"/>
        <v>Connecticut</v>
      </c>
      <c r="M10" s="25">
        <f t="shared" si="1"/>
        <v>9.3000000000000007</v>
      </c>
      <c r="N10" s="25">
        <f t="shared" si="2"/>
        <v>6.2</v>
      </c>
      <c r="O10" s="25">
        <f t="shared" si="3"/>
        <v>376.3752669155395</v>
      </c>
      <c r="P10" s="25">
        <f t="shared" si="4"/>
        <v>0.86</v>
      </c>
      <c r="Q10" s="25">
        <f t="shared" si="5"/>
        <v>68595</v>
      </c>
    </row>
    <row r="11" spans="1:17" s="25" customFormat="1">
      <c r="A11" s="932" t="s">
        <v>431</v>
      </c>
      <c r="B11" s="993">
        <v>10</v>
      </c>
      <c r="C11" s="985">
        <v>8.3000000000000007</v>
      </c>
      <c r="D11" s="986">
        <v>74.266056727126113</v>
      </c>
      <c r="E11" s="987">
        <v>689.2</v>
      </c>
      <c r="F11" s="988">
        <v>250.94175668510928</v>
      </c>
      <c r="G11" s="989">
        <v>1.23</v>
      </c>
      <c r="H11" s="990">
        <v>27.5</v>
      </c>
      <c r="I11" s="991">
        <v>4.8</v>
      </c>
      <c r="J11" s="992">
        <v>57989</v>
      </c>
      <c r="L11" s="25" t="str">
        <f t="shared" si="0"/>
        <v>Delaware</v>
      </c>
      <c r="M11" s="25">
        <f t="shared" si="1"/>
        <v>10</v>
      </c>
      <c r="N11" s="25">
        <f t="shared" si="2"/>
        <v>8.3000000000000007</v>
      </c>
      <c r="O11" s="25">
        <f t="shared" si="3"/>
        <v>250.94175668510928</v>
      </c>
      <c r="P11" s="25">
        <f t="shared" si="4"/>
        <v>1.23</v>
      </c>
      <c r="Q11" s="25">
        <f t="shared" si="5"/>
        <v>57989</v>
      </c>
    </row>
    <row r="12" spans="1:17" s="25" customFormat="1">
      <c r="A12" s="932" t="s">
        <v>432</v>
      </c>
      <c r="B12" s="984">
        <v>13.2</v>
      </c>
      <c r="C12" s="985">
        <v>7.3</v>
      </c>
      <c r="D12" s="986">
        <v>79.811068541941054</v>
      </c>
      <c r="E12" s="987">
        <v>722.6</v>
      </c>
      <c r="F12" s="988">
        <v>247.86359820579941</v>
      </c>
      <c r="G12" s="989">
        <v>1.56</v>
      </c>
      <c r="H12" s="990">
        <v>25.8</v>
      </c>
      <c r="I12" s="991">
        <v>6.2</v>
      </c>
      <c r="J12" s="992">
        <v>47778</v>
      </c>
      <c r="L12" s="25" t="str">
        <f t="shared" si="0"/>
        <v>Florida</v>
      </c>
      <c r="M12" s="25">
        <f t="shared" si="1"/>
        <v>13.2</v>
      </c>
      <c r="N12" s="25">
        <f t="shared" si="2"/>
        <v>7.3</v>
      </c>
      <c r="O12" s="25">
        <f t="shared" si="3"/>
        <v>247.86359820579941</v>
      </c>
      <c r="P12" s="25">
        <f t="shared" si="4"/>
        <v>1.56</v>
      </c>
      <c r="Q12" s="25">
        <f t="shared" si="5"/>
        <v>47778</v>
      </c>
    </row>
    <row r="13" spans="1:17" s="25" customFormat="1">
      <c r="A13" s="932" t="s">
        <v>433</v>
      </c>
      <c r="B13" s="984">
        <v>14.7</v>
      </c>
      <c r="C13" s="985">
        <v>8.1</v>
      </c>
      <c r="D13" s="986">
        <v>65.387718279566343</v>
      </c>
      <c r="E13" s="987">
        <v>493.2</v>
      </c>
      <c r="F13" s="988">
        <v>217.44570184044454</v>
      </c>
      <c r="G13" s="989">
        <v>1.46</v>
      </c>
      <c r="H13" s="990">
        <v>27.5</v>
      </c>
      <c r="I13" s="991">
        <v>6.2</v>
      </c>
      <c r="J13" s="992">
        <v>50861</v>
      </c>
      <c r="L13" s="25" t="str">
        <f t="shared" si="0"/>
        <v>Georgia</v>
      </c>
      <c r="M13" s="25">
        <f t="shared" si="1"/>
        <v>14.7</v>
      </c>
      <c r="N13" s="25">
        <f t="shared" si="2"/>
        <v>8.1</v>
      </c>
      <c r="O13" s="25">
        <f t="shared" si="3"/>
        <v>217.44570184044454</v>
      </c>
      <c r="P13" s="25">
        <f t="shared" si="4"/>
        <v>1.46</v>
      </c>
      <c r="Q13" s="25">
        <f t="shared" si="5"/>
        <v>50861</v>
      </c>
    </row>
    <row r="14" spans="1:17" s="25" customFormat="1">
      <c r="A14" s="932" t="s">
        <v>434</v>
      </c>
      <c r="B14" s="984">
        <v>9.1</v>
      </c>
      <c r="C14" s="985">
        <v>5.6</v>
      </c>
      <c r="D14" s="986">
        <v>29.667333748383395</v>
      </c>
      <c r="E14" s="987">
        <v>272.8</v>
      </c>
      <c r="F14" s="988">
        <v>316.98289278791503</v>
      </c>
      <c r="G14" s="989">
        <v>1.33</v>
      </c>
      <c r="H14" s="990">
        <v>29.1</v>
      </c>
      <c r="I14" s="991">
        <v>3.9</v>
      </c>
      <c r="J14" s="992">
        <v>67214</v>
      </c>
      <c r="L14" s="25" t="str">
        <f t="shared" si="0"/>
        <v>Hawaii</v>
      </c>
      <c r="M14" s="25">
        <f t="shared" si="1"/>
        <v>9.1</v>
      </c>
      <c r="N14" s="25">
        <f t="shared" si="2"/>
        <v>5.6</v>
      </c>
      <c r="O14" s="25">
        <f t="shared" si="3"/>
        <v>316.98289278791503</v>
      </c>
      <c r="P14" s="25">
        <f t="shared" si="4"/>
        <v>1.33</v>
      </c>
      <c r="Q14" s="25">
        <f t="shared" si="5"/>
        <v>67214</v>
      </c>
    </row>
    <row r="15" spans="1:17" s="25" customFormat="1">
      <c r="A15" s="932" t="s">
        <v>435</v>
      </c>
      <c r="B15" s="984">
        <v>12.6</v>
      </c>
      <c r="C15" s="985">
        <v>6.8</v>
      </c>
      <c r="D15" s="986">
        <v>94.600660447193093</v>
      </c>
      <c r="E15" s="987">
        <v>239.4</v>
      </c>
      <c r="F15" s="988">
        <v>168.83390313104681</v>
      </c>
      <c r="G15" s="989">
        <v>1.6</v>
      </c>
      <c r="H15" s="990">
        <v>24</v>
      </c>
      <c r="I15" s="991">
        <v>4.9000000000000004</v>
      </c>
      <c r="J15" s="992">
        <v>47576</v>
      </c>
      <c r="L15" s="25" t="str">
        <f t="shared" si="0"/>
        <v>Idaho</v>
      </c>
      <c r="M15" s="25">
        <f t="shared" si="1"/>
        <v>12.6</v>
      </c>
      <c r="N15" s="25">
        <f t="shared" si="2"/>
        <v>6.8</v>
      </c>
      <c r="O15" s="25">
        <f t="shared" si="3"/>
        <v>168.83390313104681</v>
      </c>
      <c r="P15" s="25">
        <f t="shared" si="4"/>
        <v>1.6</v>
      </c>
      <c r="Q15" s="25">
        <f t="shared" si="5"/>
        <v>47576</v>
      </c>
    </row>
    <row r="16" spans="1:17" s="25" customFormat="1">
      <c r="A16" s="932" t="s">
        <v>436</v>
      </c>
      <c r="B16" s="984">
        <v>12.2</v>
      </c>
      <c r="C16" s="985">
        <v>7.3</v>
      </c>
      <c r="D16" s="986">
        <v>79.13310968601246</v>
      </c>
      <c r="E16" s="987">
        <v>533.20000000000005</v>
      </c>
      <c r="F16" s="988">
        <v>280.15386787687231</v>
      </c>
      <c r="G16" s="989">
        <v>1.1599999999999999</v>
      </c>
      <c r="H16" s="990">
        <v>29.9</v>
      </c>
      <c r="I16" s="991">
        <v>6.5</v>
      </c>
      <c r="J16" s="992">
        <v>56235</v>
      </c>
      <c r="L16" s="25" t="str">
        <f t="shared" si="0"/>
        <v>Illinois</v>
      </c>
      <c r="M16" s="25">
        <f t="shared" si="1"/>
        <v>12.2</v>
      </c>
      <c r="N16" s="25">
        <f t="shared" si="2"/>
        <v>7.3</v>
      </c>
      <c r="O16" s="25">
        <f t="shared" si="3"/>
        <v>280.15386787687231</v>
      </c>
      <c r="P16" s="25">
        <f t="shared" si="4"/>
        <v>1.1599999999999999</v>
      </c>
      <c r="Q16" s="25">
        <f t="shared" si="5"/>
        <v>56235</v>
      </c>
    </row>
    <row r="17" spans="1:17" s="25" customFormat="1">
      <c r="A17" s="932" t="s">
        <v>437</v>
      </c>
      <c r="B17" s="984">
        <v>13.1</v>
      </c>
      <c r="C17" s="985">
        <v>8</v>
      </c>
      <c r="D17" s="986">
        <v>88.000000627274659</v>
      </c>
      <c r="E17" s="987">
        <v>333.6</v>
      </c>
      <c r="F17" s="988">
        <v>216.93969975987483</v>
      </c>
      <c r="G17" s="989">
        <v>1.26</v>
      </c>
      <c r="H17" s="990">
        <v>22.9</v>
      </c>
      <c r="I17" s="991">
        <v>5.9</v>
      </c>
      <c r="J17" s="992">
        <v>47966</v>
      </c>
      <c r="L17" s="25" t="str">
        <f t="shared" si="0"/>
        <v>Indiana</v>
      </c>
      <c r="M17" s="25">
        <f t="shared" si="1"/>
        <v>13.1</v>
      </c>
      <c r="N17" s="25">
        <f t="shared" si="2"/>
        <v>8</v>
      </c>
      <c r="O17" s="25">
        <f t="shared" si="3"/>
        <v>216.93969975987483</v>
      </c>
      <c r="P17" s="25">
        <f t="shared" si="4"/>
        <v>1.26</v>
      </c>
      <c r="Q17" s="25">
        <f t="shared" si="5"/>
        <v>47966</v>
      </c>
    </row>
    <row r="18" spans="1:17" s="25" customFormat="1">
      <c r="A18" s="932" t="s">
        <v>438</v>
      </c>
      <c r="B18" s="984">
        <v>11.5</v>
      </c>
      <c r="C18" s="985">
        <v>5.0999999999999996</v>
      </c>
      <c r="D18" s="986">
        <v>94.170464820794294</v>
      </c>
      <c r="E18" s="987">
        <v>294.7</v>
      </c>
      <c r="F18" s="988">
        <v>189.28322428402873</v>
      </c>
      <c r="G18" s="989">
        <v>1.42</v>
      </c>
      <c r="H18" s="990">
        <v>24.3</v>
      </c>
      <c r="I18" s="991">
        <v>4.0999999999999996</v>
      </c>
      <c r="J18" s="992">
        <v>48980</v>
      </c>
      <c r="L18" s="25" t="str">
        <f t="shared" si="0"/>
        <v>Iowa</v>
      </c>
      <c r="M18" s="25">
        <f t="shared" si="1"/>
        <v>11.5</v>
      </c>
      <c r="N18" s="25">
        <f t="shared" si="2"/>
        <v>5.0999999999999996</v>
      </c>
      <c r="O18" s="25">
        <f t="shared" si="3"/>
        <v>189.28322428402873</v>
      </c>
      <c r="P18" s="25">
        <f t="shared" si="4"/>
        <v>1.42</v>
      </c>
      <c r="Q18" s="25">
        <f t="shared" si="5"/>
        <v>48980</v>
      </c>
    </row>
    <row r="19" spans="1:17" s="25" customFormat="1">
      <c r="A19" s="932" t="s">
        <v>439</v>
      </c>
      <c r="B19" s="984">
        <v>11.3</v>
      </c>
      <c r="C19" s="985">
        <v>7.1</v>
      </c>
      <c r="D19" s="986">
        <v>88.703716524620162</v>
      </c>
      <c r="E19" s="987">
        <v>452.7</v>
      </c>
      <c r="F19" s="988">
        <v>222.54770859752097</v>
      </c>
      <c r="G19" s="989">
        <v>1.38</v>
      </c>
      <c r="H19" s="990">
        <v>29.6</v>
      </c>
      <c r="I19" s="991">
        <v>4.4000000000000004</v>
      </c>
      <c r="J19" s="992">
        <v>50177</v>
      </c>
      <c r="L19" s="25" t="str">
        <f t="shared" si="0"/>
        <v>Kansas</v>
      </c>
      <c r="M19" s="25">
        <f t="shared" si="1"/>
        <v>11.3</v>
      </c>
      <c r="N19" s="25">
        <f t="shared" si="2"/>
        <v>7.1</v>
      </c>
      <c r="O19" s="25">
        <f t="shared" si="3"/>
        <v>222.54770859752097</v>
      </c>
      <c r="P19" s="25">
        <f t="shared" si="4"/>
        <v>1.38</v>
      </c>
      <c r="Q19" s="25">
        <f t="shared" si="5"/>
        <v>50177</v>
      </c>
    </row>
    <row r="20" spans="1:17" s="25" customFormat="1">
      <c r="A20" s="932" t="s">
        <v>440</v>
      </c>
      <c r="B20" s="984">
        <v>17.3</v>
      </c>
      <c r="C20" s="985">
        <v>7.5</v>
      </c>
      <c r="D20" s="986">
        <v>89.904327345935869</v>
      </c>
      <c r="E20" s="987">
        <v>295</v>
      </c>
      <c r="F20" s="988">
        <v>232.34854500664258</v>
      </c>
      <c r="G20" s="989">
        <v>1.8</v>
      </c>
      <c r="H20" s="990">
        <v>19.7</v>
      </c>
      <c r="I20" s="991">
        <v>6.4</v>
      </c>
      <c r="J20" s="992">
        <v>41538</v>
      </c>
      <c r="L20" s="25" t="str">
        <f t="shared" si="0"/>
        <v>Kentucky</v>
      </c>
      <c r="M20" s="25">
        <f t="shared" si="1"/>
        <v>17.3</v>
      </c>
      <c r="N20" s="25">
        <f t="shared" si="2"/>
        <v>7.5</v>
      </c>
      <c r="O20" s="25">
        <f t="shared" si="3"/>
        <v>232.34854500664258</v>
      </c>
      <c r="P20" s="25">
        <f t="shared" si="4"/>
        <v>1.8</v>
      </c>
      <c r="Q20" s="25">
        <f t="shared" si="5"/>
        <v>41538</v>
      </c>
    </row>
    <row r="21" spans="1:17" s="25" customFormat="1">
      <c r="A21" s="98" t="s">
        <v>441</v>
      </c>
      <c r="B21" s="984">
        <v>17.3</v>
      </c>
      <c r="C21" s="985">
        <v>9.9</v>
      </c>
      <c r="D21" s="994">
        <v>64.839543701408999</v>
      </c>
      <c r="E21" s="987">
        <v>729.5</v>
      </c>
      <c r="F21" s="988">
        <v>262.66146237060713</v>
      </c>
      <c r="G21" s="995">
        <v>2.17</v>
      </c>
      <c r="H21" s="990">
        <v>20.3</v>
      </c>
      <c r="I21" s="996">
        <v>4.5999999999999996</v>
      </c>
      <c r="J21" s="997">
        <v>43733</v>
      </c>
      <c r="L21" s="25" t="str">
        <f t="shared" si="0"/>
        <v>Louisiana</v>
      </c>
      <c r="M21" s="25">
        <f t="shared" si="1"/>
        <v>17.3</v>
      </c>
      <c r="N21" s="25">
        <f t="shared" si="2"/>
        <v>9.9</v>
      </c>
      <c r="O21" s="25">
        <f t="shared" si="3"/>
        <v>262.66146237060713</v>
      </c>
      <c r="P21" s="25">
        <f t="shared" si="4"/>
        <v>2.17</v>
      </c>
      <c r="Q21" s="25">
        <f t="shared" si="5"/>
        <v>43733</v>
      </c>
    </row>
    <row r="22" spans="1:17" s="25" customFormat="1">
      <c r="A22" s="998" t="s">
        <v>442</v>
      </c>
      <c r="B22" s="999">
        <v>12.3</v>
      </c>
      <c r="C22" s="1000">
        <v>6.3</v>
      </c>
      <c r="D22" s="1001">
        <v>96.389852756187835</v>
      </c>
      <c r="E22" s="1002">
        <v>118</v>
      </c>
      <c r="F22" s="1003">
        <v>278.39482802923527</v>
      </c>
      <c r="G22" s="1004">
        <v>1.22</v>
      </c>
      <c r="H22" s="1005">
        <v>25.4</v>
      </c>
      <c r="I22" s="1006">
        <v>5.4</v>
      </c>
      <c r="J22" s="1007">
        <v>46581</v>
      </c>
      <c r="L22" s="25" t="str">
        <f t="shared" si="0"/>
        <v>Maine</v>
      </c>
      <c r="M22" s="25">
        <f t="shared" si="1"/>
        <v>12.3</v>
      </c>
      <c r="N22" s="25">
        <f t="shared" si="2"/>
        <v>6.3</v>
      </c>
      <c r="O22" s="25">
        <f t="shared" si="3"/>
        <v>278.39482802923527</v>
      </c>
      <c r="P22" s="25">
        <f t="shared" si="4"/>
        <v>1.22</v>
      </c>
      <c r="Q22" s="25">
        <f t="shared" si="5"/>
        <v>46581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sheetPr codeName="Sheet263"/>
  <dimension ref="A1:AG26"/>
  <sheetViews>
    <sheetView workbookViewId="0"/>
  </sheetViews>
  <sheetFormatPr defaultRowHeight="14.4"/>
  <cols>
    <col min="2" max="3" width="7.88671875" customWidth="1"/>
    <col min="4" max="4" width="6" customWidth="1"/>
    <col min="5" max="5" width="3.6640625" customWidth="1"/>
    <col min="7" max="8" width="8" customWidth="1"/>
    <col min="9" max="9" width="3.6640625" customWidth="1"/>
    <col min="11" max="12" width="7.5546875" customWidth="1"/>
    <col min="13" max="13" width="4.6640625" customWidth="1"/>
    <col min="14" max="14" width="3.6640625" customWidth="1"/>
    <col min="16" max="17" width="7.33203125" customWidth="1"/>
    <col min="18" max="18" width="5.44140625" customWidth="1"/>
    <col min="22" max="22" width="8.109375" customWidth="1"/>
    <col min="23" max="23" width="5.109375" customWidth="1"/>
    <col min="27" max="27" width="8.109375" customWidth="1"/>
    <col min="28" max="28" width="5.109375" customWidth="1"/>
    <col min="29" max="29" width="4.5546875" customWidth="1"/>
    <col min="32" max="32" width="8.109375" customWidth="1"/>
    <col min="33" max="33" width="5" customWidth="1"/>
  </cols>
  <sheetData>
    <row r="1" spans="1:33">
      <c r="A1" s="1" t="s">
        <v>2895</v>
      </c>
      <c r="T1" s="1" t="s">
        <v>2860</v>
      </c>
      <c r="Y1" s="23" t="s">
        <v>2896</v>
      </c>
      <c r="AD1" s="23" t="s">
        <v>2909</v>
      </c>
    </row>
    <row r="3" spans="1:33">
      <c r="A3" s="1067" t="s">
        <v>383</v>
      </c>
      <c r="B3" s="5" t="s">
        <v>2861</v>
      </c>
      <c r="C3" s="5" t="s">
        <v>2864</v>
      </c>
      <c r="D3" s="1071">
        <v>45</v>
      </c>
      <c r="F3" s="23" t="s">
        <v>2865</v>
      </c>
      <c r="J3" s="23" t="s">
        <v>2866</v>
      </c>
      <c r="O3" s="23" t="s">
        <v>2867</v>
      </c>
      <c r="T3" s="1067" t="s">
        <v>383</v>
      </c>
      <c r="U3" s="5" t="s">
        <v>2861</v>
      </c>
      <c r="V3" s="5" t="s">
        <v>2864</v>
      </c>
      <c r="W3" s="1071">
        <v>45</v>
      </c>
      <c r="Y3" s="1067" t="e">
        <f t="array" aca="1" ref="Y3:AB14" ca="1">[1]!QSORTRows(T3:W14,4)</f>
        <v>#NAME?</v>
      </c>
      <c r="Z3" s="5" t="e">
        <f ca="1"/>
        <v>#NAME?</v>
      </c>
      <c r="AA3" s="5" t="e">
        <f ca="1"/>
        <v>#NAME?</v>
      </c>
      <c r="AB3" s="1071" t="e">
        <f ca="1"/>
        <v>#NAME?</v>
      </c>
      <c r="AD3" s="1067" t="e">
        <f t="array" aca="1" ref="AD3:AG14" ca="1">[1]!QSORTRows(T3:W14)</f>
        <v>#NAME?</v>
      </c>
      <c r="AE3" s="1117" t="e">
        <f ca="1"/>
        <v>#NAME?</v>
      </c>
      <c r="AF3" s="1117" t="e">
        <f ca="1"/>
        <v>#NAME?</v>
      </c>
      <c r="AG3" s="1071" t="e">
        <f ca="1"/>
        <v>#NAME?</v>
      </c>
    </row>
    <row r="4" spans="1:33">
      <c r="A4" s="656" t="s">
        <v>342</v>
      </c>
      <c r="B4" s="8" t="s">
        <v>2862</v>
      </c>
      <c r="C4" s="8" t="s">
        <v>373</v>
      </c>
      <c r="D4" s="657">
        <v>35</v>
      </c>
      <c r="T4" s="656" t="s">
        <v>342</v>
      </c>
      <c r="U4" s="8" t="s">
        <v>2862</v>
      </c>
      <c r="V4" s="8" t="s">
        <v>373</v>
      </c>
      <c r="W4" s="657">
        <v>35</v>
      </c>
      <c r="Y4" s="656" t="e">
        <f ca="1"/>
        <v>#NAME?</v>
      </c>
      <c r="Z4" s="8" t="e">
        <f ca="1"/>
        <v>#NAME?</v>
      </c>
      <c r="AA4" s="8" t="e">
        <f ca="1"/>
        <v>#NAME?</v>
      </c>
      <c r="AB4" s="657" t="e">
        <f ca="1"/>
        <v>#NAME?</v>
      </c>
      <c r="AD4" s="656" t="e">
        <f ca="1"/>
        <v>#NAME?</v>
      </c>
      <c r="AE4" s="8" t="e">
        <f ca="1"/>
        <v>#NAME?</v>
      </c>
      <c r="AF4" s="8" t="e">
        <f ca="1"/>
        <v>#NAME?</v>
      </c>
      <c r="AG4" s="657" t="e">
        <f ca="1"/>
        <v>#NAME?</v>
      </c>
    </row>
    <row r="5" spans="1:33">
      <c r="A5" s="656" t="s">
        <v>383</v>
      </c>
      <c r="B5" s="8" t="s">
        <v>2863</v>
      </c>
      <c r="C5" s="8" t="s">
        <v>2864</v>
      </c>
      <c r="D5" s="657">
        <v>15</v>
      </c>
      <c r="F5" s="1067" t="e">
        <f t="array" aca="1" ref="F5:H13" ca="1">[1]!SortRowsUnique(A3:C14)</f>
        <v>#NAME?</v>
      </c>
      <c r="G5" s="5" t="e">
        <f ca="1"/>
        <v>#NAME?</v>
      </c>
      <c r="H5" s="1071" t="e">
        <f ca="1"/>
        <v>#NAME?</v>
      </c>
      <c r="J5" s="1067" t="e">
        <f t="array" aca="1" ref="J5:M12" ca="1">[1]!SortRowsCount(A3:C14)</f>
        <v>#NAME?</v>
      </c>
      <c r="K5" s="5" t="e">
        <f ca="1"/>
        <v>#NAME?</v>
      </c>
      <c r="L5" s="5" t="e">
        <f ca="1"/>
        <v>#NAME?</v>
      </c>
      <c r="M5" s="1071" t="e">
        <f ca="1"/>
        <v>#NAME?</v>
      </c>
      <c r="O5" s="1067" t="e">
        <f t="array" aca="1" ref="O5:R13" ca="1">[1]!SortRowsSum(A3:D14,"")</f>
        <v>#NAME?</v>
      </c>
      <c r="P5" s="5" t="e">
        <f ca="1"/>
        <v>#NAME?</v>
      </c>
      <c r="Q5" s="5" t="e">
        <f ca="1"/>
        <v>#NAME?</v>
      </c>
      <c r="R5" s="1071" t="e">
        <f ca="1"/>
        <v>#NAME?</v>
      </c>
      <c r="T5" s="656" t="s">
        <v>383</v>
      </c>
      <c r="U5" s="8" t="s">
        <v>2863</v>
      </c>
      <c r="V5" s="8" t="s">
        <v>2864</v>
      </c>
      <c r="W5" s="657">
        <v>15</v>
      </c>
      <c r="Y5" s="656" t="e">
        <f ca="1"/>
        <v>#NAME?</v>
      </c>
      <c r="Z5" s="8" t="e">
        <f ca="1"/>
        <v>#NAME?</v>
      </c>
      <c r="AA5" s="8" t="e">
        <f ca="1"/>
        <v>#NAME?</v>
      </c>
      <c r="AB5" s="657" t="e">
        <f ca="1"/>
        <v>#NAME?</v>
      </c>
      <c r="AD5" s="656" t="e">
        <f ca="1"/>
        <v>#NAME?</v>
      </c>
      <c r="AE5" s="8" t="e">
        <f ca="1"/>
        <v>#NAME?</v>
      </c>
      <c r="AF5" s="8" t="e">
        <f ca="1"/>
        <v>#NAME?</v>
      </c>
      <c r="AG5" s="657" t="e">
        <f ca="1"/>
        <v>#NAME?</v>
      </c>
    </row>
    <row r="6" spans="1:33">
      <c r="A6" s="656" t="s">
        <v>383</v>
      </c>
      <c r="B6" s="8" t="s">
        <v>2863</v>
      </c>
      <c r="C6" s="8" t="s">
        <v>2864</v>
      </c>
      <c r="D6" s="657">
        <v>40</v>
      </c>
      <c r="F6" s="656" t="e">
        <f ca="1"/>
        <v>#NAME?</v>
      </c>
      <c r="G6" s="8" t="e">
        <f ca="1"/>
        <v>#NAME?</v>
      </c>
      <c r="H6" s="657" t="e">
        <f ca="1"/>
        <v>#NAME?</v>
      </c>
      <c r="J6" s="656" t="e">
        <f ca="1"/>
        <v>#NAME?</v>
      </c>
      <c r="K6" s="8" t="e">
        <f ca="1"/>
        <v>#NAME?</v>
      </c>
      <c r="L6" s="8" t="e">
        <f ca="1"/>
        <v>#NAME?</v>
      </c>
      <c r="M6" s="657" t="e">
        <f ca="1"/>
        <v>#NAME?</v>
      </c>
      <c r="O6" s="656" t="e">
        <f ca="1"/>
        <v>#NAME?</v>
      </c>
      <c r="P6" s="8" t="e">
        <f ca="1"/>
        <v>#NAME?</v>
      </c>
      <c r="Q6" s="8" t="e">
        <f ca="1"/>
        <v>#NAME?</v>
      </c>
      <c r="R6" s="657" t="e">
        <f ca="1"/>
        <v>#NAME?</v>
      </c>
      <c r="T6" s="656" t="s">
        <v>383</v>
      </c>
      <c r="U6" s="8" t="s">
        <v>2863</v>
      </c>
      <c r="V6" s="8" t="s">
        <v>2864</v>
      </c>
      <c r="W6" s="657">
        <v>40</v>
      </c>
      <c r="Y6" s="656" t="e">
        <f ca="1"/>
        <v>#NAME?</v>
      </c>
      <c r="Z6" s="8" t="e">
        <f ca="1"/>
        <v>#NAME?</v>
      </c>
      <c r="AA6" s="8" t="e">
        <f ca="1"/>
        <v>#NAME?</v>
      </c>
      <c r="AB6" s="657" t="e">
        <f ca="1"/>
        <v>#NAME?</v>
      </c>
      <c r="AD6" s="656" t="e">
        <f ca="1"/>
        <v>#NAME?</v>
      </c>
      <c r="AE6" s="8" t="e">
        <f ca="1"/>
        <v>#NAME?</v>
      </c>
      <c r="AF6" s="8" t="e">
        <f ca="1"/>
        <v>#NAME?</v>
      </c>
      <c r="AG6" s="657" t="e">
        <f ca="1"/>
        <v>#NAME?</v>
      </c>
    </row>
    <row r="7" spans="1:33">
      <c r="A7" s="656" t="s">
        <v>342</v>
      </c>
      <c r="B7" s="8" t="s">
        <v>2862</v>
      </c>
      <c r="C7" s="8" t="s">
        <v>2864</v>
      </c>
      <c r="D7" s="657">
        <v>25</v>
      </c>
      <c r="F7" s="656" t="e">
        <f ca="1"/>
        <v>#NAME?</v>
      </c>
      <c r="G7" s="8" t="e">
        <f ca="1"/>
        <v>#NAME?</v>
      </c>
      <c r="H7" s="657" t="e">
        <f ca="1"/>
        <v>#NAME?</v>
      </c>
      <c r="J7" s="656" t="e">
        <f ca="1"/>
        <v>#NAME?</v>
      </c>
      <c r="K7" s="8" t="e">
        <f ca="1"/>
        <v>#NAME?</v>
      </c>
      <c r="L7" s="8" t="e">
        <f ca="1"/>
        <v>#NAME?</v>
      </c>
      <c r="M7" s="657" t="e">
        <f ca="1"/>
        <v>#NAME?</v>
      </c>
      <c r="O7" s="656" t="e">
        <f ca="1"/>
        <v>#NAME?</v>
      </c>
      <c r="P7" s="8" t="e">
        <f ca="1"/>
        <v>#NAME?</v>
      </c>
      <c r="Q7" s="8" t="e">
        <f ca="1"/>
        <v>#NAME?</v>
      </c>
      <c r="R7" s="657" t="e">
        <f ca="1"/>
        <v>#NAME?</v>
      </c>
      <c r="T7" s="656" t="s">
        <v>342</v>
      </c>
      <c r="U7" s="8" t="s">
        <v>2862</v>
      </c>
      <c r="V7" s="8" t="s">
        <v>2864</v>
      </c>
      <c r="W7" s="657">
        <v>25</v>
      </c>
      <c r="Y7" s="656" t="e">
        <f ca="1"/>
        <v>#NAME?</v>
      </c>
      <c r="Z7" s="8" t="e">
        <f ca="1"/>
        <v>#NAME?</v>
      </c>
      <c r="AA7" s="8" t="e">
        <f ca="1"/>
        <v>#NAME?</v>
      </c>
      <c r="AB7" s="657" t="e">
        <f ca="1"/>
        <v>#NAME?</v>
      </c>
      <c r="AD7" s="656" t="e">
        <f ca="1"/>
        <v>#NAME?</v>
      </c>
      <c r="AE7" s="8" t="e">
        <f ca="1"/>
        <v>#NAME?</v>
      </c>
      <c r="AF7" s="8" t="e">
        <f ca="1"/>
        <v>#NAME?</v>
      </c>
      <c r="AG7" s="657" t="e">
        <f ca="1"/>
        <v>#NAME?</v>
      </c>
    </row>
    <row r="8" spans="1:33">
      <c r="A8" s="656" t="s">
        <v>383</v>
      </c>
      <c r="B8" s="8" t="s">
        <v>2863</v>
      </c>
      <c r="C8" s="8" t="s">
        <v>373</v>
      </c>
      <c r="D8" s="657">
        <v>20</v>
      </c>
      <c r="F8" s="656" t="e">
        <f ca="1"/>
        <v>#NAME?</v>
      </c>
      <c r="G8" s="8" t="e">
        <f ca="1"/>
        <v>#NAME?</v>
      </c>
      <c r="H8" s="657" t="e">
        <f ca="1"/>
        <v>#NAME?</v>
      </c>
      <c r="J8" s="656" t="e">
        <f ca="1"/>
        <v>#NAME?</v>
      </c>
      <c r="K8" s="8" t="e">
        <f ca="1"/>
        <v>#NAME?</v>
      </c>
      <c r="L8" s="8" t="e">
        <f ca="1"/>
        <v>#NAME?</v>
      </c>
      <c r="M8" s="657" t="e">
        <f ca="1"/>
        <v>#NAME?</v>
      </c>
      <c r="O8" s="656" t="e">
        <f ca="1"/>
        <v>#NAME?</v>
      </c>
      <c r="P8" s="8" t="e">
        <f ca="1"/>
        <v>#NAME?</v>
      </c>
      <c r="Q8" s="8" t="e">
        <f ca="1"/>
        <v>#NAME?</v>
      </c>
      <c r="R8" s="657" t="e">
        <f ca="1"/>
        <v>#NAME?</v>
      </c>
      <c r="T8" s="656" t="s">
        <v>383</v>
      </c>
      <c r="U8" s="8" t="s">
        <v>2863</v>
      </c>
      <c r="V8" s="8" t="s">
        <v>373</v>
      </c>
      <c r="W8" s="657">
        <v>20</v>
      </c>
      <c r="Y8" s="656" t="e">
        <f ca="1"/>
        <v>#NAME?</v>
      </c>
      <c r="Z8" s="8" t="e">
        <f ca="1"/>
        <v>#NAME?</v>
      </c>
      <c r="AA8" s="8" t="e">
        <f ca="1"/>
        <v>#NAME?</v>
      </c>
      <c r="AB8" s="657" t="e">
        <f ca="1"/>
        <v>#NAME?</v>
      </c>
      <c r="AD8" s="656" t="e">
        <f ca="1"/>
        <v>#NAME?</v>
      </c>
      <c r="AE8" s="8" t="e">
        <f ca="1"/>
        <v>#NAME?</v>
      </c>
      <c r="AF8" s="8" t="e">
        <f ca="1"/>
        <v>#NAME?</v>
      </c>
      <c r="AG8" s="657" t="e">
        <f ca="1"/>
        <v>#NAME?</v>
      </c>
    </row>
    <row r="9" spans="1:33">
      <c r="A9" s="656" t="s">
        <v>342</v>
      </c>
      <c r="B9" s="8" t="s">
        <v>2861</v>
      </c>
      <c r="C9" s="8" t="s">
        <v>2864</v>
      </c>
      <c r="D9" s="657">
        <v>10</v>
      </c>
      <c r="F9" s="656" t="e">
        <f ca="1"/>
        <v>#NAME?</v>
      </c>
      <c r="G9" s="8" t="e">
        <f ca="1"/>
        <v>#NAME?</v>
      </c>
      <c r="H9" s="657" t="e">
        <f ca="1"/>
        <v>#NAME?</v>
      </c>
      <c r="J9" s="656" t="e">
        <f ca="1"/>
        <v>#NAME?</v>
      </c>
      <c r="K9" s="8" t="e">
        <f ca="1"/>
        <v>#NAME?</v>
      </c>
      <c r="L9" s="8" t="e">
        <f ca="1"/>
        <v>#NAME?</v>
      </c>
      <c r="M9" s="657" t="e">
        <f ca="1"/>
        <v>#NAME?</v>
      </c>
      <c r="O9" s="656" t="e">
        <f ca="1"/>
        <v>#NAME?</v>
      </c>
      <c r="P9" s="8" t="e">
        <f ca="1"/>
        <v>#NAME?</v>
      </c>
      <c r="Q9" s="8" t="e">
        <f ca="1"/>
        <v>#NAME?</v>
      </c>
      <c r="R9" s="657" t="e">
        <f ca="1"/>
        <v>#NAME?</v>
      </c>
      <c r="T9" s="656" t="s">
        <v>342</v>
      </c>
      <c r="U9" s="8" t="s">
        <v>2861</v>
      </c>
      <c r="V9" s="8" t="s">
        <v>2864</v>
      </c>
      <c r="W9" s="657">
        <v>10</v>
      </c>
      <c r="Y9" s="656" t="e">
        <f ca="1"/>
        <v>#NAME?</v>
      </c>
      <c r="Z9" s="8" t="e">
        <f ca="1"/>
        <v>#NAME?</v>
      </c>
      <c r="AA9" s="8" t="e">
        <f ca="1"/>
        <v>#NAME?</v>
      </c>
      <c r="AB9" s="657" t="e">
        <f ca="1"/>
        <v>#NAME?</v>
      </c>
      <c r="AD9" s="656" t="e">
        <f ca="1"/>
        <v>#NAME?</v>
      </c>
      <c r="AE9" s="8" t="e">
        <f ca="1"/>
        <v>#NAME?</v>
      </c>
      <c r="AF9" s="8" t="e">
        <f ca="1"/>
        <v>#NAME?</v>
      </c>
      <c r="AG9" s="657" t="e">
        <f ca="1"/>
        <v>#NAME?</v>
      </c>
    </row>
    <row r="10" spans="1:33">
      <c r="A10" s="656" t="s">
        <v>342</v>
      </c>
      <c r="B10" s="8" t="s">
        <v>2862</v>
      </c>
      <c r="C10" s="8" t="s">
        <v>2864</v>
      </c>
      <c r="D10" s="657">
        <v>50</v>
      </c>
      <c r="F10" s="656" t="e">
        <f ca="1"/>
        <v>#NAME?</v>
      </c>
      <c r="G10" s="8" t="e">
        <f ca="1"/>
        <v>#NAME?</v>
      </c>
      <c r="H10" s="657" t="e">
        <f ca="1"/>
        <v>#NAME?</v>
      </c>
      <c r="J10" s="656" t="e">
        <f ca="1"/>
        <v>#NAME?</v>
      </c>
      <c r="K10" s="8" t="e">
        <f ca="1"/>
        <v>#NAME?</v>
      </c>
      <c r="L10" s="8" t="e">
        <f ca="1"/>
        <v>#NAME?</v>
      </c>
      <c r="M10" s="657" t="e">
        <f ca="1"/>
        <v>#NAME?</v>
      </c>
      <c r="O10" s="656" t="e">
        <f ca="1"/>
        <v>#NAME?</v>
      </c>
      <c r="P10" s="8" t="e">
        <f ca="1"/>
        <v>#NAME?</v>
      </c>
      <c r="Q10" s="8" t="e">
        <f ca="1"/>
        <v>#NAME?</v>
      </c>
      <c r="R10" s="657" t="e">
        <f ca="1"/>
        <v>#NAME?</v>
      </c>
      <c r="T10" s="656" t="s">
        <v>342</v>
      </c>
      <c r="U10" s="8" t="s">
        <v>2862</v>
      </c>
      <c r="V10" s="8" t="s">
        <v>2864</v>
      </c>
      <c r="W10" s="657">
        <v>50</v>
      </c>
      <c r="Y10" s="656" t="e">
        <f ca="1"/>
        <v>#NAME?</v>
      </c>
      <c r="Z10" s="8" t="e">
        <f ca="1"/>
        <v>#NAME?</v>
      </c>
      <c r="AA10" s="8" t="e">
        <f ca="1"/>
        <v>#NAME?</v>
      </c>
      <c r="AB10" s="657" t="e">
        <f ca="1"/>
        <v>#NAME?</v>
      </c>
      <c r="AD10" s="656" t="e">
        <f ca="1"/>
        <v>#NAME?</v>
      </c>
      <c r="AE10" s="8" t="e">
        <f ca="1"/>
        <v>#NAME?</v>
      </c>
      <c r="AF10" s="8" t="e">
        <f ca="1"/>
        <v>#NAME?</v>
      </c>
      <c r="AG10" s="657" t="e">
        <f ca="1"/>
        <v>#NAME?</v>
      </c>
    </row>
    <row r="11" spans="1:33">
      <c r="A11" s="656" t="s">
        <v>342</v>
      </c>
      <c r="B11" s="8" t="s">
        <v>2862</v>
      </c>
      <c r="C11" s="8" t="s">
        <v>373</v>
      </c>
      <c r="D11" s="657">
        <v>35</v>
      </c>
      <c r="F11" s="656" t="e">
        <f ca="1"/>
        <v>#NAME?</v>
      </c>
      <c r="G11" s="8" t="e">
        <f ca="1"/>
        <v>#NAME?</v>
      </c>
      <c r="H11" s="657" t="e">
        <f ca="1"/>
        <v>#NAME?</v>
      </c>
      <c r="J11" s="656" t="e">
        <f ca="1"/>
        <v>#NAME?</v>
      </c>
      <c r="K11" s="8" t="e">
        <f ca="1"/>
        <v>#NAME?</v>
      </c>
      <c r="L11" s="8" t="e">
        <f ca="1"/>
        <v>#NAME?</v>
      </c>
      <c r="M11" s="657" t="e">
        <f ca="1"/>
        <v>#NAME?</v>
      </c>
      <c r="O11" s="656" t="e">
        <f ca="1"/>
        <v>#NAME?</v>
      </c>
      <c r="P11" s="8" t="e">
        <f ca="1"/>
        <v>#NAME?</v>
      </c>
      <c r="Q11" s="8" t="e">
        <f ca="1"/>
        <v>#NAME?</v>
      </c>
      <c r="R11" s="657" t="e">
        <f ca="1"/>
        <v>#NAME?</v>
      </c>
      <c r="T11" s="656" t="s">
        <v>342</v>
      </c>
      <c r="U11" s="8" t="s">
        <v>2862</v>
      </c>
      <c r="V11" s="8" t="s">
        <v>373</v>
      </c>
      <c r="W11" s="657">
        <v>35</v>
      </c>
      <c r="Y11" s="656" t="e">
        <f ca="1"/>
        <v>#NAME?</v>
      </c>
      <c r="Z11" s="8" t="e">
        <f ca="1"/>
        <v>#NAME?</v>
      </c>
      <c r="AA11" s="8" t="e">
        <f ca="1"/>
        <v>#NAME?</v>
      </c>
      <c r="AB11" s="657" t="e">
        <f ca="1"/>
        <v>#NAME?</v>
      </c>
      <c r="AD11" s="656" t="e">
        <f ca="1"/>
        <v>#NAME?</v>
      </c>
      <c r="AE11" s="8" t="e">
        <f ca="1"/>
        <v>#NAME?</v>
      </c>
      <c r="AF11" s="8" t="e">
        <f ca="1"/>
        <v>#NAME?</v>
      </c>
      <c r="AG11" s="657" t="e">
        <f ca="1"/>
        <v>#NAME?</v>
      </c>
    </row>
    <row r="12" spans="1:33">
      <c r="A12" s="656" t="s">
        <v>383</v>
      </c>
      <c r="B12" s="8" t="s">
        <v>2861</v>
      </c>
      <c r="C12" s="8" t="s">
        <v>373</v>
      </c>
      <c r="D12" s="657">
        <v>45</v>
      </c>
      <c r="F12" s="656" t="e">
        <f ca="1"/>
        <v>#NAME?</v>
      </c>
      <c r="G12" s="8" t="e">
        <f ca="1"/>
        <v>#NAME?</v>
      </c>
      <c r="H12" s="657" t="e">
        <f ca="1"/>
        <v>#NAME?</v>
      </c>
      <c r="J12" s="533" t="e">
        <f ca="1"/>
        <v>#NAME?</v>
      </c>
      <c r="K12" s="1078" t="e">
        <f ca="1"/>
        <v>#NAME?</v>
      </c>
      <c r="L12" s="1078" t="e">
        <f ca="1"/>
        <v>#NAME?</v>
      </c>
      <c r="M12" s="541" t="e">
        <f ca="1"/>
        <v>#NAME?</v>
      </c>
      <c r="O12" s="656" t="e">
        <f ca="1"/>
        <v>#NAME?</v>
      </c>
      <c r="P12" s="8" t="e">
        <f ca="1"/>
        <v>#NAME?</v>
      </c>
      <c r="Q12" s="8" t="e">
        <f ca="1"/>
        <v>#NAME?</v>
      </c>
      <c r="R12" s="657" t="e">
        <f ca="1"/>
        <v>#NAME?</v>
      </c>
      <c r="T12" s="656" t="s">
        <v>383</v>
      </c>
      <c r="U12" s="8" t="s">
        <v>2861</v>
      </c>
      <c r="V12" s="8" t="s">
        <v>373</v>
      </c>
      <c r="W12" s="657">
        <v>45</v>
      </c>
      <c r="Y12" s="656" t="e">
        <f ca="1"/>
        <v>#NAME?</v>
      </c>
      <c r="Z12" s="8" t="e">
        <f ca="1"/>
        <v>#NAME?</v>
      </c>
      <c r="AA12" s="8" t="e">
        <f ca="1"/>
        <v>#NAME?</v>
      </c>
      <c r="AB12" s="657" t="e">
        <f ca="1"/>
        <v>#NAME?</v>
      </c>
      <c r="AD12" s="656" t="e">
        <f ca="1"/>
        <v>#NAME?</v>
      </c>
      <c r="AE12" s="8" t="e">
        <f ca="1"/>
        <v>#NAME?</v>
      </c>
      <c r="AF12" s="8" t="e">
        <f ca="1"/>
        <v>#NAME?</v>
      </c>
      <c r="AG12" s="657" t="e">
        <f ca="1"/>
        <v>#NAME?</v>
      </c>
    </row>
    <row r="13" spans="1:33">
      <c r="A13" s="656" t="s">
        <v>342</v>
      </c>
      <c r="B13" s="8" t="s">
        <v>2863</v>
      </c>
      <c r="C13" s="8" t="s">
        <v>373</v>
      </c>
      <c r="D13" s="657">
        <v>20</v>
      </c>
      <c r="F13" s="533" t="e">
        <f ca="1"/>
        <v>#NAME?</v>
      </c>
      <c r="G13" s="1078" t="e">
        <f ca="1"/>
        <v>#NAME?</v>
      </c>
      <c r="H13" s="541" t="e">
        <f ca="1"/>
        <v>#NAME?</v>
      </c>
      <c r="J13" s="8"/>
      <c r="K13" s="8"/>
      <c r="L13" s="8"/>
      <c r="O13" s="533" t="e">
        <f ca="1"/>
        <v>#NAME?</v>
      </c>
      <c r="P13" s="1078" t="e">
        <f ca="1"/>
        <v>#NAME?</v>
      </c>
      <c r="Q13" s="1078" t="e">
        <f ca="1"/>
        <v>#NAME?</v>
      </c>
      <c r="R13" s="541" t="e">
        <f ca="1"/>
        <v>#NAME?</v>
      </c>
      <c r="T13" s="656" t="s">
        <v>342</v>
      </c>
      <c r="U13" s="8" t="s">
        <v>2863</v>
      </c>
      <c r="V13" s="8" t="s">
        <v>373</v>
      </c>
      <c r="W13" s="657">
        <v>20</v>
      </c>
      <c r="Y13" s="656" t="e">
        <f ca="1"/>
        <v>#NAME?</v>
      </c>
      <c r="Z13" s="8" t="e">
        <f ca="1"/>
        <v>#NAME?</v>
      </c>
      <c r="AA13" s="8" t="e">
        <f ca="1"/>
        <v>#NAME?</v>
      </c>
      <c r="AB13" s="657" t="e">
        <f ca="1"/>
        <v>#NAME?</v>
      </c>
      <c r="AD13" s="656" t="e">
        <f ca="1"/>
        <v>#NAME?</v>
      </c>
      <c r="AE13" s="8" t="e">
        <f ca="1"/>
        <v>#NAME?</v>
      </c>
      <c r="AF13" s="8" t="e">
        <f ca="1"/>
        <v>#NAME?</v>
      </c>
      <c r="AG13" s="657" t="e">
        <f ca="1"/>
        <v>#NAME?</v>
      </c>
    </row>
    <row r="14" spans="1:33">
      <c r="A14" s="533" t="s">
        <v>342</v>
      </c>
      <c r="B14" s="1078" t="s">
        <v>2862</v>
      </c>
      <c r="C14" s="1078" t="s">
        <v>2864</v>
      </c>
      <c r="D14" s="541">
        <v>40</v>
      </c>
      <c r="T14" s="533" t="s">
        <v>342</v>
      </c>
      <c r="U14" s="1078" t="s">
        <v>2862</v>
      </c>
      <c r="V14" s="1078" t="s">
        <v>2864</v>
      </c>
      <c r="W14" s="541">
        <v>40</v>
      </c>
      <c r="Y14" s="533" t="e">
        <f ca="1"/>
        <v>#NAME?</v>
      </c>
      <c r="Z14" s="1078" t="e">
        <f ca="1"/>
        <v>#NAME?</v>
      </c>
      <c r="AA14" s="1078" t="e">
        <f ca="1"/>
        <v>#NAME?</v>
      </c>
      <c r="AB14" s="541" t="e">
        <f ca="1"/>
        <v>#NAME?</v>
      </c>
      <c r="AD14" s="533" t="e">
        <f ca="1"/>
        <v>#NAME?</v>
      </c>
      <c r="AE14" s="1078" t="e">
        <f ca="1"/>
        <v>#NAME?</v>
      </c>
      <c r="AF14" s="1078" t="e">
        <f ca="1"/>
        <v>#NAME?</v>
      </c>
      <c r="AG14" s="541" t="e">
        <f ca="1"/>
        <v>#NAME?</v>
      </c>
    </row>
    <row r="15" spans="1:33">
      <c r="F15" s="23" t="s">
        <v>2899</v>
      </c>
    </row>
    <row r="17" spans="6:7">
      <c r="F17" s="1067" t="e">
        <f t="array" aca="1" ref="F17:G22" ca="1">[1]!SortRowsUnique(A3:B14)</f>
        <v>#NAME?</v>
      </c>
      <c r="G17" s="1071" t="e">
        <f ca="1"/>
        <v>#NAME?</v>
      </c>
    </row>
    <row r="18" spans="6:7">
      <c r="F18" s="656" t="e">
        <f ca="1"/>
        <v>#NAME?</v>
      </c>
      <c r="G18" s="657" t="e">
        <f ca="1"/>
        <v>#NAME?</v>
      </c>
    </row>
    <row r="19" spans="6:7">
      <c r="F19" s="656" t="e">
        <f ca="1"/>
        <v>#NAME?</v>
      </c>
      <c r="G19" s="657" t="e">
        <f ca="1"/>
        <v>#NAME?</v>
      </c>
    </row>
    <row r="20" spans="6:7">
      <c r="F20" s="656" t="e">
        <f ca="1"/>
        <v>#NAME?</v>
      </c>
      <c r="G20" s="657" t="e">
        <f ca="1"/>
        <v>#NAME?</v>
      </c>
    </row>
    <row r="21" spans="6:7">
      <c r="F21" s="656" t="e">
        <f ca="1"/>
        <v>#NAME?</v>
      </c>
      <c r="G21" s="657" t="e">
        <f ca="1"/>
        <v>#NAME?</v>
      </c>
    </row>
    <row r="22" spans="6:7">
      <c r="F22" s="533" t="e">
        <f ca="1"/>
        <v>#NAME?</v>
      </c>
      <c r="G22" s="541" t="e">
        <f ca="1"/>
        <v>#NAME?</v>
      </c>
    </row>
    <row r="24" spans="6:7">
      <c r="F24" s="23" t="s">
        <v>2900</v>
      </c>
    </row>
    <row r="26" spans="6:7">
      <c r="F26" s="756" t="e">
        <f ca="1">[1]!CountRowsUnique(A3:B14)</f>
        <v>#NAME?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sheetPr codeName="Sheet271"/>
  <dimension ref="A1:M14"/>
  <sheetViews>
    <sheetView workbookViewId="0"/>
  </sheetViews>
  <sheetFormatPr defaultRowHeight="14.4"/>
  <cols>
    <col min="4" max="4" width="6" customWidth="1"/>
    <col min="13" max="13" width="5" customWidth="1"/>
  </cols>
  <sheetData>
    <row r="1" spans="1:13">
      <c r="A1" s="1" t="s">
        <v>2894</v>
      </c>
      <c r="F1" s="23" t="s">
        <v>2897</v>
      </c>
      <c r="J1" s="23" t="s">
        <v>2898</v>
      </c>
    </row>
    <row r="3" spans="1:13">
      <c r="A3" s="1067" t="s">
        <v>383</v>
      </c>
      <c r="B3" s="5" t="s">
        <v>2861</v>
      </c>
      <c r="C3" s="5" t="s">
        <v>2864</v>
      </c>
      <c r="D3" s="1071">
        <v>45</v>
      </c>
      <c r="F3" s="1067" t="e">
        <f t="array" aca="1" ref="F3:H14" ca="1">[1]!SelectCols(A3:D14,"2,3,1")</f>
        <v>#NAME?</v>
      </c>
      <c r="G3" s="5" t="e">
        <f ca="1"/>
        <v>#NAME?</v>
      </c>
      <c r="H3" s="1071" t="e">
        <f ca="1"/>
        <v>#NAME?</v>
      </c>
      <c r="J3" s="1067" t="e">
        <f t="array" aca="1" ref="J3:M14" ca="1">[1]!SelectCols(A3:D14,"3,2,1,4",1)</f>
        <v>#NAME?</v>
      </c>
      <c r="K3" s="5" t="e">
        <f ca="1"/>
        <v>#NAME?</v>
      </c>
      <c r="L3" s="5" t="e">
        <f ca="1"/>
        <v>#NAME?</v>
      </c>
      <c r="M3" s="1071" t="e">
        <f ca="1"/>
        <v>#NAME?</v>
      </c>
    </row>
    <row r="4" spans="1:13">
      <c r="A4" s="656" t="s">
        <v>342</v>
      </c>
      <c r="B4" s="8" t="s">
        <v>2862</v>
      </c>
      <c r="C4" s="8" t="s">
        <v>373</v>
      </c>
      <c r="D4" s="657">
        <v>35</v>
      </c>
      <c r="F4" s="656" t="e">
        <f ca="1"/>
        <v>#NAME?</v>
      </c>
      <c r="G4" s="8" t="e">
        <f ca="1"/>
        <v>#NAME?</v>
      </c>
      <c r="H4" s="657" t="e">
        <f ca="1"/>
        <v>#NAME?</v>
      </c>
      <c r="J4" s="656" t="e">
        <f ca="1"/>
        <v>#NAME?</v>
      </c>
      <c r="K4" s="8" t="e">
        <f ca="1"/>
        <v>#NAME?</v>
      </c>
      <c r="L4" s="8" t="e">
        <f ca="1"/>
        <v>#NAME?</v>
      </c>
      <c r="M4" s="657" t="e">
        <f ca="1"/>
        <v>#NAME?</v>
      </c>
    </row>
    <row r="5" spans="1:13">
      <c r="A5" s="656" t="s">
        <v>383</v>
      </c>
      <c r="B5" s="8" t="s">
        <v>2863</v>
      </c>
      <c r="C5" s="8" t="s">
        <v>2864</v>
      </c>
      <c r="D5" s="657">
        <v>15</v>
      </c>
      <c r="F5" s="656" t="e">
        <f ca="1"/>
        <v>#NAME?</v>
      </c>
      <c r="G5" s="8" t="e">
        <f ca="1"/>
        <v>#NAME?</v>
      </c>
      <c r="H5" s="657" t="e">
        <f ca="1"/>
        <v>#NAME?</v>
      </c>
      <c r="J5" s="656" t="e">
        <f ca="1"/>
        <v>#NAME?</v>
      </c>
      <c r="K5" s="8" t="e">
        <f ca="1"/>
        <v>#NAME?</v>
      </c>
      <c r="L5" s="8" t="e">
        <f ca="1"/>
        <v>#NAME?</v>
      </c>
      <c r="M5" s="657" t="e">
        <f ca="1"/>
        <v>#NAME?</v>
      </c>
    </row>
    <row r="6" spans="1:13">
      <c r="A6" s="656" t="s">
        <v>383</v>
      </c>
      <c r="B6" s="8" t="s">
        <v>2863</v>
      </c>
      <c r="C6" s="8" t="s">
        <v>2864</v>
      </c>
      <c r="D6" s="657">
        <v>40</v>
      </c>
      <c r="F6" s="656" t="e">
        <f ca="1"/>
        <v>#NAME?</v>
      </c>
      <c r="G6" s="8" t="e">
        <f ca="1"/>
        <v>#NAME?</v>
      </c>
      <c r="H6" s="657" t="e">
        <f ca="1"/>
        <v>#NAME?</v>
      </c>
      <c r="J6" s="656" t="e">
        <f ca="1"/>
        <v>#NAME?</v>
      </c>
      <c r="K6" s="8" t="e">
        <f ca="1"/>
        <v>#NAME?</v>
      </c>
      <c r="L6" s="8" t="e">
        <f ca="1"/>
        <v>#NAME?</v>
      </c>
      <c r="M6" s="657" t="e">
        <f ca="1"/>
        <v>#NAME?</v>
      </c>
    </row>
    <row r="7" spans="1:13">
      <c r="A7" s="656" t="s">
        <v>342</v>
      </c>
      <c r="B7" s="8" t="s">
        <v>2862</v>
      </c>
      <c r="C7" s="8" t="s">
        <v>2864</v>
      </c>
      <c r="D7" s="657">
        <v>25</v>
      </c>
      <c r="F7" s="656" t="e">
        <f ca="1"/>
        <v>#NAME?</v>
      </c>
      <c r="G7" s="8" t="e">
        <f ca="1"/>
        <v>#NAME?</v>
      </c>
      <c r="H7" s="657" t="e">
        <f ca="1"/>
        <v>#NAME?</v>
      </c>
      <c r="J7" s="656" t="e">
        <f ca="1"/>
        <v>#NAME?</v>
      </c>
      <c r="K7" s="8" t="e">
        <f ca="1"/>
        <v>#NAME?</v>
      </c>
      <c r="L7" s="8" t="e">
        <f ca="1"/>
        <v>#NAME?</v>
      </c>
      <c r="M7" s="657" t="e">
        <f ca="1"/>
        <v>#NAME?</v>
      </c>
    </row>
    <row r="8" spans="1:13">
      <c r="A8" s="656" t="s">
        <v>383</v>
      </c>
      <c r="B8" s="8" t="s">
        <v>2863</v>
      </c>
      <c r="C8" s="8" t="s">
        <v>373</v>
      </c>
      <c r="D8" s="657">
        <v>20</v>
      </c>
      <c r="F8" s="656" t="e">
        <f ca="1"/>
        <v>#NAME?</v>
      </c>
      <c r="G8" s="8" t="e">
        <f ca="1"/>
        <v>#NAME?</v>
      </c>
      <c r="H8" s="657" t="e">
        <f ca="1"/>
        <v>#NAME?</v>
      </c>
      <c r="J8" s="656" t="e">
        <f ca="1"/>
        <v>#NAME?</v>
      </c>
      <c r="K8" s="8" t="e">
        <f ca="1"/>
        <v>#NAME?</v>
      </c>
      <c r="L8" s="8" t="e">
        <f ca="1"/>
        <v>#NAME?</v>
      </c>
      <c r="M8" s="657" t="e">
        <f ca="1"/>
        <v>#NAME?</v>
      </c>
    </row>
    <row r="9" spans="1:13">
      <c r="A9" s="656" t="s">
        <v>342</v>
      </c>
      <c r="B9" s="8" t="s">
        <v>2861</v>
      </c>
      <c r="C9" s="8" t="s">
        <v>2864</v>
      </c>
      <c r="D9" s="657">
        <v>10</v>
      </c>
      <c r="F9" s="656" t="e">
        <f ca="1"/>
        <v>#NAME?</v>
      </c>
      <c r="G9" s="8" t="e">
        <f ca="1"/>
        <v>#NAME?</v>
      </c>
      <c r="H9" s="657" t="e">
        <f ca="1"/>
        <v>#NAME?</v>
      </c>
      <c r="J9" s="656" t="e">
        <f ca="1"/>
        <v>#NAME?</v>
      </c>
      <c r="K9" s="8" t="e">
        <f ca="1"/>
        <v>#NAME?</v>
      </c>
      <c r="L9" s="8" t="e">
        <f ca="1"/>
        <v>#NAME?</v>
      </c>
      <c r="M9" s="657" t="e">
        <f ca="1"/>
        <v>#NAME?</v>
      </c>
    </row>
    <row r="10" spans="1:13">
      <c r="A10" s="656" t="s">
        <v>342</v>
      </c>
      <c r="B10" s="8" t="s">
        <v>2862</v>
      </c>
      <c r="C10" s="8" t="s">
        <v>2864</v>
      </c>
      <c r="D10" s="657">
        <v>50</v>
      </c>
      <c r="F10" s="656" t="e">
        <f ca="1"/>
        <v>#NAME?</v>
      </c>
      <c r="G10" s="8" t="e">
        <f ca="1"/>
        <v>#NAME?</v>
      </c>
      <c r="H10" s="657" t="e">
        <f ca="1"/>
        <v>#NAME?</v>
      </c>
      <c r="J10" s="656" t="e">
        <f ca="1"/>
        <v>#NAME?</v>
      </c>
      <c r="K10" s="8" t="e">
        <f ca="1"/>
        <v>#NAME?</v>
      </c>
      <c r="L10" s="8" t="e">
        <f ca="1"/>
        <v>#NAME?</v>
      </c>
      <c r="M10" s="657" t="e">
        <f ca="1"/>
        <v>#NAME?</v>
      </c>
    </row>
    <row r="11" spans="1:13">
      <c r="A11" s="656" t="s">
        <v>342</v>
      </c>
      <c r="B11" s="8" t="s">
        <v>2862</v>
      </c>
      <c r="C11" s="8" t="s">
        <v>373</v>
      </c>
      <c r="D11" s="657">
        <v>35</v>
      </c>
      <c r="F11" s="656" t="e">
        <f ca="1"/>
        <v>#NAME?</v>
      </c>
      <c r="G11" s="8" t="e">
        <f ca="1"/>
        <v>#NAME?</v>
      </c>
      <c r="H11" s="657" t="e">
        <f ca="1"/>
        <v>#NAME?</v>
      </c>
      <c r="J11" s="656" t="e">
        <f ca="1"/>
        <v>#NAME?</v>
      </c>
      <c r="K11" s="8" t="e">
        <f ca="1"/>
        <v>#NAME?</v>
      </c>
      <c r="L11" s="8" t="e">
        <f ca="1"/>
        <v>#NAME?</v>
      </c>
      <c r="M11" s="657" t="e">
        <f ca="1"/>
        <v>#NAME?</v>
      </c>
    </row>
    <row r="12" spans="1:13">
      <c r="A12" s="656" t="s">
        <v>383</v>
      </c>
      <c r="B12" s="8" t="s">
        <v>2861</v>
      </c>
      <c r="C12" s="8" t="s">
        <v>373</v>
      </c>
      <c r="D12" s="657">
        <v>45</v>
      </c>
      <c r="F12" s="656" t="e">
        <f ca="1"/>
        <v>#NAME?</v>
      </c>
      <c r="G12" s="8" t="e">
        <f ca="1"/>
        <v>#NAME?</v>
      </c>
      <c r="H12" s="657" t="e">
        <f ca="1"/>
        <v>#NAME?</v>
      </c>
      <c r="J12" s="656" t="e">
        <f ca="1"/>
        <v>#NAME?</v>
      </c>
      <c r="K12" s="8" t="e">
        <f ca="1"/>
        <v>#NAME?</v>
      </c>
      <c r="L12" s="8" t="e">
        <f ca="1"/>
        <v>#NAME?</v>
      </c>
      <c r="M12" s="657" t="e">
        <f ca="1"/>
        <v>#NAME?</v>
      </c>
    </row>
    <row r="13" spans="1:13">
      <c r="A13" s="656" t="s">
        <v>342</v>
      </c>
      <c r="B13" s="8" t="s">
        <v>2863</v>
      </c>
      <c r="C13" s="8" t="s">
        <v>373</v>
      </c>
      <c r="D13" s="657">
        <v>20</v>
      </c>
      <c r="F13" s="656" t="e">
        <f ca="1"/>
        <v>#NAME?</v>
      </c>
      <c r="G13" s="8" t="e">
        <f ca="1"/>
        <v>#NAME?</v>
      </c>
      <c r="H13" s="657" t="e">
        <f ca="1"/>
        <v>#NAME?</v>
      </c>
      <c r="J13" s="656" t="e">
        <f ca="1"/>
        <v>#NAME?</v>
      </c>
      <c r="K13" s="8" t="e">
        <f ca="1"/>
        <v>#NAME?</v>
      </c>
      <c r="L13" s="8" t="e">
        <f ca="1"/>
        <v>#NAME?</v>
      </c>
      <c r="M13" s="657" t="e">
        <f ca="1"/>
        <v>#NAME?</v>
      </c>
    </row>
    <row r="14" spans="1:13">
      <c r="A14" s="533" t="s">
        <v>342</v>
      </c>
      <c r="B14" s="1078" t="s">
        <v>2862</v>
      </c>
      <c r="C14" s="1078" t="s">
        <v>2864</v>
      </c>
      <c r="D14" s="541">
        <v>40</v>
      </c>
      <c r="F14" s="533" t="e">
        <f ca="1"/>
        <v>#NAME?</v>
      </c>
      <c r="G14" s="1078" t="e">
        <f ca="1"/>
        <v>#NAME?</v>
      </c>
      <c r="H14" s="541" t="e">
        <f ca="1"/>
        <v>#NAME?</v>
      </c>
      <c r="J14" s="533" t="e">
        <f ca="1"/>
        <v>#NAME?</v>
      </c>
      <c r="K14" s="1078" t="e">
        <f ca="1"/>
        <v>#NAME?</v>
      </c>
      <c r="L14" s="1078" t="e">
        <f ca="1"/>
        <v>#NAME?</v>
      </c>
      <c r="M14" s="541" t="e">
        <f ca="1"/>
        <v>#NAME?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sheetPr codeName="Sheet89"/>
  <dimension ref="A1:P27"/>
  <sheetViews>
    <sheetView topLeftCell="A4" workbookViewId="0">
      <selection activeCell="C7" sqref="C7"/>
    </sheetView>
  </sheetViews>
  <sheetFormatPr defaultRowHeight="14.4"/>
  <sheetData>
    <row r="1" spans="1:15">
      <c r="A1" s="1" t="s">
        <v>2649</v>
      </c>
    </row>
    <row r="3" spans="1:15">
      <c r="A3" s="1012">
        <v>3</v>
      </c>
      <c r="B3" s="5">
        <v>-4</v>
      </c>
      <c r="C3" s="927">
        <v>9</v>
      </c>
      <c r="E3" t="s">
        <v>24</v>
      </c>
      <c r="I3" t="s">
        <v>2652</v>
      </c>
      <c r="M3" t="s">
        <v>2655</v>
      </c>
    </row>
    <row r="4" spans="1:15">
      <c r="A4" s="656">
        <v>5</v>
      </c>
      <c r="B4" s="8">
        <v>2</v>
      </c>
      <c r="C4" s="657">
        <v>3</v>
      </c>
    </row>
    <row r="5" spans="1:15">
      <c r="A5" s="533">
        <v>7</v>
      </c>
      <c r="B5" s="534">
        <v>1</v>
      </c>
      <c r="C5" s="541">
        <v>6</v>
      </c>
      <c r="E5" s="1013">
        <f t="array" ref="E5:G7">TRANSPOSE(A3:C5)</f>
        <v>3</v>
      </c>
      <c r="F5" s="1014">
        <v>5</v>
      </c>
      <c r="G5" s="1015">
        <v>7</v>
      </c>
      <c r="I5" s="1013" t="e">
        <f t="array" aca="1" ref="I5:K7" ca="1">[1]!COVP(A3:C5)</f>
        <v>#NAME?</v>
      </c>
      <c r="J5" s="1014" t="e">
        <f ca="1"/>
        <v>#NAME?</v>
      </c>
      <c r="K5" s="1015" t="e">
        <f ca="1"/>
        <v>#NAME?</v>
      </c>
      <c r="M5" s="1013" t="e">
        <f t="array" aca="1" ref="M5:O7" ca="1">MMULT(A3:C5,MINVERSE(M11:O13))</f>
        <v>#NAME?</v>
      </c>
      <c r="N5" s="1014" t="e">
        <f ca="1"/>
        <v>#NAME?</v>
      </c>
      <c r="O5" s="1015" t="e">
        <f ca="1"/>
        <v>#NAME?</v>
      </c>
    </row>
    <row r="6" spans="1:15">
      <c r="E6" s="625">
        <v>-4</v>
      </c>
      <c r="F6" s="8">
        <v>2</v>
      </c>
      <c r="G6" s="132">
        <v>1</v>
      </c>
      <c r="I6" s="625" t="e">
        <f ca="1"/>
        <v>#NAME?</v>
      </c>
      <c r="J6" s="8" t="e">
        <f ca="1"/>
        <v>#NAME?</v>
      </c>
      <c r="K6" s="132" t="e">
        <f ca="1"/>
        <v>#NAME?</v>
      </c>
      <c r="M6" s="625" t="e">
        <f ca="1"/>
        <v>#NAME?</v>
      </c>
      <c r="N6" s="8" t="e">
        <f ca="1"/>
        <v>#NAME?</v>
      </c>
      <c r="O6" s="132" t="e">
        <f ca="1"/>
        <v>#NAME?</v>
      </c>
    </row>
    <row r="7" spans="1:15">
      <c r="E7" s="497">
        <v>9</v>
      </c>
      <c r="F7" s="615">
        <v>3</v>
      </c>
      <c r="G7" s="498">
        <v>6</v>
      </c>
      <c r="I7" s="497" t="e">
        <f ca="1"/>
        <v>#NAME?</v>
      </c>
      <c r="J7" s="615" t="e">
        <f ca="1"/>
        <v>#NAME?</v>
      </c>
      <c r="K7" s="498" t="e">
        <f ca="1"/>
        <v>#NAME?</v>
      </c>
      <c r="M7" s="497" t="e">
        <f ca="1"/>
        <v>#NAME?</v>
      </c>
      <c r="N7" s="615" t="e">
        <f ca="1"/>
        <v>#NAME?</v>
      </c>
      <c r="O7" s="498" t="e">
        <f ca="1"/>
        <v>#NAME?</v>
      </c>
    </row>
    <row r="9" spans="1:15">
      <c r="E9" t="s">
        <v>2650</v>
      </c>
      <c r="I9" t="s">
        <v>2653</v>
      </c>
      <c r="M9" t="s">
        <v>2656</v>
      </c>
    </row>
    <row r="11" spans="1:15">
      <c r="E11" s="1013">
        <f t="array" ref="E11:G13">MINVERSE(A3:C5)</f>
        <v>-0.5</v>
      </c>
      <c r="F11" s="1014">
        <v>-1.8333333333333337</v>
      </c>
      <c r="G11" s="1015">
        <v>1.6666666666666667</v>
      </c>
      <c r="I11" s="1013" t="e">
        <f t="array" aca="1" ref="I11:K13" ca="1">[1]!COV(A3:C5)</f>
        <v>#NAME?</v>
      </c>
      <c r="J11" s="1014" t="e">
        <f ca="1"/>
        <v>#NAME?</v>
      </c>
      <c r="K11" s="1015" t="e">
        <f ca="1"/>
        <v>#NAME?</v>
      </c>
      <c r="M11" s="1013" t="e">
        <f t="array" aca="1" ref="M11:O13" ca="1">[1]!QRFactorR(A3:C5)</f>
        <v>#NAME?</v>
      </c>
      <c r="N11" s="1014" t="e">
        <f ca="1"/>
        <v>#NAME?</v>
      </c>
      <c r="O11" s="1015" t="e">
        <f ca="1"/>
        <v>#NAME?</v>
      </c>
    </row>
    <row r="12" spans="1:15">
      <c r="E12" s="625">
        <v>0.5</v>
      </c>
      <c r="F12" s="8">
        <v>2.5000000000000004</v>
      </c>
      <c r="G12" s="132">
        <v>-2</v>
      </c>
      <c r="I12" s="625" t="e">
        <f ca="1"/>
        <v>#NAME?</v>
      </c>
      <c r="J12" s="8" t="e">
        <f ca="1"/>
        <v>#NAME?</v>
      </c>
      <c r="K12" s="132" t="e">
        <f ca="1"/>
        <v>#NAME?</v>
      </c>
      <c r="M12" s="625" t="e">
        <f ca="1"/>
        <v>#NAME?</v>
      </c>
      <c r="N12" s="8" t="e">
        <f ca="1"/>
        <v>#NAME?</v>
      </c>
      <c r="O12" s="132" t="e">
        <f ca="1"/>
        <v>#NAME?</v>
      </c>
    </row>
    <row r="13" spans="1:15">
      <c r="E13" s="497">
        <v>0.5</v>
      </c>
      <c r="F13" s="615">
        <v>1.7222222222222225</v>
      </c>
      <c r="G13" s="498">
        <v>-1.4444444444444446</v>
      </c>
      <c r="I13" s="497" t="e">
        <f ca="1"/>
        <v>#NAME?</v>
      </c>
      <c r="J13" s="615" t="e">
        <f ca="1"/>
        <v>#NAME?</v>
      </c>
      <c r="K13" s="498" t="e">
        <f ca="1"/>
        <v>#NAME?</v>
      </c>
      <c r="M13" s="497" t="e">
        <f ca="1"/>
        <v>#NAME?</v>
      </c>
      <c r="N13" s="615" t="e">
        <f ca="1"/>
        <v>#NAME?</v>
      </c>
      <c r="O13" s="498" t="e">
        <f ca="1"/>
        <v>#NAME?</v>
      </c>
    </row>
    <row r="15" spans="1:15">
      <c r="E15" t="s">
        <v>2651</v>
      </c>
      <c r="I15" t="s">
        <v>1153</v>
      </c>
      <c r="M15" t="s">
        <v>2657</v>
      </c>
    </row>
    <row r="17" spans="5:16">
      <c r="E17" s="1013" t="e">
        <f t="array" aca="1" ref="E17:G19" ca="1">[1]!CORR(A3:C5)</f>
        <v>#NAME?</v>
      </c>
      <c r="F17" s="1014" t="e">
        <f ca="1"/>
        <v>#NAME?</v>
      </c>
      <c r="G17" s="1015" t="e">
        <f ca="1"/>
        <v>#NAME?</v>
      </c>
      <c r="I17" s="1016" t="e">
        <f t="array" aca="1" ref="I17:K17" ca="1">[1]!DIAG(A3:C5)</f>
        <v>#NAME?</v>
      </c>
      <c r="J17" s="1017" t="e">
        <f ca="1"/>
        <v>#NAME?</v>
      </c>
      <c r="K17" s="1018" t="e">
        <f ca="1"/>
        <v>#NAME?</v>
      </c>
      <c r="M17" s="1013" t="e">
        <f t="array" aca="1" ref="M17:P20" ca="1">[1]!IDENTITY(4)</f>
        <v>#NAME?</v>
      </c>
      <c r="N17" s="1014" t="e">
        <f ca="1"/>
        <v>#NAME?</v>
      </c>
      <c r="O17" s="1014" t="e">
        <f ca="1"/>
        <v>#NAME?</v>
      </c>
      <c r="P17" s="1015" t="e">
        <f ca="1"/>
        <v>#NAME?</v>
      </c>
    </row>
    <row r="18" spans="5:16">
      <c r="E18" s="625" t="e">
        <f ca="1"/>
        <v>#NAME?</v>
      </c>
      <c r="F18" s="8" t="e">
        <f ca="1"/>
        <v>#NAME?</v>
      </c>
      <c r="G18" s="132" t="e">
        <f ca="1"/>
        <v>#NAME?</v>
      </c>
      <c r="M18" s="625" t="e">
        <f ca="1"/>
        <v>#NAME?</v>
      </c>
      <c r="N18" s="8" t="e">
        <f ca="1"/>
        <v>#NAME?</v>
      </c>
      <c r="O18" s="8" t="e">
        <f ca="1"/>
        <v>#NAME?</v>
      </c>
      <c r="P18" s="132" t="e">
        <f ca="1"/>
        <v>#NAME?</v>
      </c>
    </row>
    <row r="19" spans="5:16">
      <c r="E19" s="497" t="e">
        <f ca="1"/>
        <v>#NAME?</v>
      </c>
      <c r="F19" s="615" t="e">
        <f ca="1"/>
        <v>#NAME?</v>
      </c>
      <c r="G19" s="498" t="e">
        <f ca="1"/>
        <v>#NAME?</v>
      </c>
      <c r="I19" t="s">
        <v>2654</v>
      </c>
      <c r="M19" s="625" t="e">
        <f ca="1"/>
        <v>#NAME?</v>
      </c>
      <c r="N19" s="8" t="e">
        <f ca="1"/>
        <v>#NAME?</v>
      </c>
      <c r="O19" s="8" t="e">
        <f ca="1"/>
        <v>#NAME?</v>
      </c>
      <c r="P19" s="132" t="e">
        <f ca="1"/>
        <v>#NAME?</v>
      </c>
    </row>
    <row r="20" spans="5:16">
      <c r="M20" s="497" t="e">
        <f ca="1"/>
        <v>#NAME?</v>
      </c>
      <c r="N20" s="615" t="e">
        <f ca="1"/>
        <v>#NAME?</v>
      </c>
      <c r="O20" s="615" t="e">
        <f ca="1"/>
        <v>#NAME?</v>
      </c>
      <c r="P20" s="498" t="e">
        <f ca="1"/>
        <v>#NAME?</v>
      </c>
    </row>
    <row r="21" spans="5:16">
      <c r="I21" s="1016" t="e">
        <f t="array" aca="1" ref="I21:K24" ca="1">[1]!eVECTORS(A3:C5)</f>
        <v>#NAME?</v>
      </c>
      <c r="J21" s="1017" t="e">
        <f ca="1"/>
        <v>#NAME?</v>
      </c>
      <c r="K21" s="1018" t="e">
        <f ca="1"/>
        <v>#NAME?</v>
      </c>
    </row>
    <row r="22" spans="5:16">
      <c r="I22" s="625" t="e">
        <f ca="1"/>
        <v>#NAME?</v>
      </c>
      <c r="J22" s="8" t="e">
        <f ca="1"/>
        <v>#NAME?</v>
      </c>
      <c r="K22" s="132" t="e">
        <f ca="1"/>
        <v>#NAME?</v>
      </c>
      <c r="M22" t="s">
        <v>2658</v>
      </c>
    </row>
    <row r="23" spans="5:16">
      <c r="I23" s="625" t="e">
        <f ca="1"/>
        <v>#NAME?</v>
      </c>
      <c r="J23" s="8" t="e">
        <f ca="1"/>
        <v>#NAME?</v>
      </c>
      <c r="K23" s="132" t="e">
        <f ca="1"/>
        <v>#NAME?</v>
      </c>
    </row>
    <row r="24" spans="5:16">
      <c r="I24" s="497" t="e">
        <f ca="1"/>
        <v>#NAME?</v>
      </c>
      <c r="J24" s="615" t="e">
        <f ca="1"/>
        <v>#NAME?</v>
      </c>
      <c r="K24" s="498" t="e">
        <f ca="1"/>
        <v>#NAME?</v>
      </c>
      <c r="M24" s="1013"/>
      <c r="N24" s="1015"/>
    </row>
    <row r="25" spans="5:16">
      <c r="M25" s="625"/>
      <c r="N25" s="132"/>
    </row>
    <row r="26" spans="5:16">
      <c r="M26" s="625"/>
      <c r="N26" s="132"/>
    </row>
    <row r="27" spans="5:16">
      <c r="M27" s="497"/>
      <c r="N27" s="498"/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sheetPr codeName="Sheet299"/>
  <dimension ref="A1:W20"/>
  <sheetViews>
    <sheetView workbookViewId="0"/>
  </sheetViews>
  <sheetFormatPr defaultRowHeight="14.4"/>
  <cols>
    <col min="1" max="1" width="6.88671875" customWidth="1"/>
    <col min="2" max="4" width="8.6640625" customWidth="1"/>
    <col min="5" max="5" width="6.88671875" customWidth="1"/>
    <col min="6" max="7" width="8.6640625" customWidth="1"/>
    <col min="9" max="9" width="17.5546875" customWidth="1"/>
    <col min="16" max="16" width="7.109375" customWidth="1"/>
    <col min="17" max="17" width="17.44140625" customWidth="1"/>
  </cols>
  <sheetData>
    <row r="1" spans="1:23">
      <c r="A1" s="1" t="s">
        <v>3330</v>
      </c>
    </row>
    <row r="2" spans="1:23">
      <c r="A2" s="1"/>
    </row>
    <row r="3" spans="1:23">
      <c r="A3" s="25" t="s">
        <v>3334</v>
      </c>
      <c r="E3" t="s">
        <v>3335</v>
      </c>
      <c r="I3" t="s">
        <v>3342</v>
      </c>
      <c r="Q3" t="s">
        <v>3336</v>
      </c>
    </row>
    <row r="5" spans="1:23" ht="15" thickBot="1">
      <c r="A5" s="19" t="s">
        <v>3331</v>
      </c>
      <c r="B5" s="1239" t="s">
        <v>3332</v>
      </c>
      <c r="C5" s="1239" t="s">
        <v>3333</v>
      </c>
      <c r="E5" s="19" t="s">
        <v>3331</v>
      </c>
      <c r="F5" s="1239" t="s">
        <v>3332</v>
      </c>
      <c r="G5" s="1239" t="s">
        <v>3333</v>
      </c>
      <c r="I5" s="1059" t="s">
        <v>2750</v>
      </c>
      <c r="J5" s="1059"/>
      <c r="Q5" s="1059" t="s">
        <v>2750</v>
      </c>
      <c r="R5" s="1059"/>
    </row>
    <row r="6" spans="1:23" ht="15" thickTop="1">
      <c r="A6">
        <v>1</v>
      </c>
      <c r="B6" s="1242">
        <v>14</v>
      </c>
      <c r="C6" s="1243">
        <v>27</v>
      </c>
      <c r="E6" s="8">
        <v>1</v>
      </c>
      <c r="F6" s="1242">
        <f>B6</f>
        <v>14</v>
      </c>
      <c r="G6" s="1243">
        <f>C6</f>
        <v>27</v>
      </c>
      <c r="I6" t="s">
        <v>693</v>
      </c>
      <c r="J6" t="e">
        <f ca="1">SQRT(J7)</f>
        <v>#NAME?</v>
      </c>
      <c r="Q6" t="s">
        <v>693</v>
      </c>
      <c r="R6" t="e">
        <f ca="1">SQRT(R7)</f>
        <v>#NAME?</v>
      </c>
    </row>
    <row r="7" spans="1:23">
      <c r="A7">
        <f>A6+1</f>
        <v>2</v>
      </c>
      <c r="B7" s="750">
        <v>13</v>
      </c>
      <c r="C7" s="838">
        <v>29</v>
      </c>
      <c r="E7" s="8">
        <f>E6+1</f>
        <v>2</v>
      </c>
      <c r="F7" s="750">
        <f t="shared" ref="F7:F17" si="0">B7</f>
        <v>13</v>
      </c>
      <c r="G7" s="838">
        <f t="shared" ref="G7:G12" si="1">C7</f>
        <v>29</v>
      </c>
      <c r="I7" t="s">
        <v>686</v>
      </c>
      <c r="J7" t="e">
        <f ca="1">K14/K16</f>
        <v>#NAME?</v>
      </c>
      <c r="Q7" t="s">
        <v>686</v>
      </c>
      <c r="R7" t="e">
        <f ca="1">S14/S16</f>
        <v>#NAME?</v>
      </c>
    </row>
    <row r="8" spans="1:23">
      <c r="A8">
        <f t="shared" ref="A8:A17" si="2">A7+1</f>
        <v>3</v>
      </c>
      <c r="B8" s="750">
        <v>23</v>
      </c>
      <c r="C8" s="838">
        <v>49</v>
      </c>
      <c r="E8" s="8">
        <f t="shared" ref="E8:E17" si="3">E7+1</f>
        <v>3</v>
      </c>
      <c r="F8" s="750">
        <f t="shared" si="0"/>
        <v>23</v>
      </c>
      <c r="G8" s="838">
        <f t="shared" si="1"/>
        <v>49</v>
      </c>
      <c r="I8" t="s">
        <v>694</v>
      </c>
      <c r="J8" t="e">
        <f ca="1">1-(1-J7)*(J10-1)/(J10-J14-1)</f>
        <v>#NAME?</v>
      </c>
      <c r="Q8" t="s">
        <v>694</v>
      </c>
      <c r="R8" t="e">
        <f ca="1">1-(1-R7)*(R10-1)/(R10-R14-1)</f>
        <v>#NAME?</v>
      </c>
    </row>
    <row r="9" spans="1:23">
      <c r="A9">
        <f t="shared" si="2"/>
        <v>4</v>
      </c>
      <c r="B9" s="750">
        <v>19</v>
      </c>
      <c r="C9" s="838">
        <v>37</v>
      </c>
      <c r="E9" s="8">
        <f t="shared" si="3"/>
        <v>4</v>
      </c>
      <c r="F9" s="750">
        <f t="shared" si="0"/>
        <v>19</v>
      </c>
      <c r="G9" s="838">
        <f t="shared" si="1"/>
        <v>37</v>
      </c>
      <c r="I9" t="s">
        <v>77</v>
      </c>
      <c r="J9" t="e">
        <f ca="1">SQRT(L15)</f>
        <v>#NAME?</v>
      </c>
      <c r="Q9" t="s">
        <v>77</v>
      </c>
      <c r="R9" t="e">
        <f ca="1">SQRT(T15)</f>
        <v>#NAME?</v>
      </c>
    </row>
    <row r="10" spans="1:23">
      <c r="A10">
        <f t="shared" si="2"/>
        <v>5</v>
      </c>
      <c r="B10" s="750">
        <v>21</v>
      </c>
      <c r="C10" s="838">
        <v>31</v>
      </c>
      <c r="E10" s="8">
        <f t="shared" si="3"/>
        <v>5</v>
      </c>
      <c r="F10" s="750">
        <f t="shared" si="0"/>
        <v>21</v>
      </c>
      <c r="G10" s="838">
        <f t="shared" si="1"/>
        <v>31</v>
      </c>
      <c r="I10" s="1078" t="s">
        <v>224</v>
      </c>
      <c r="J10" s="1078">
        <f>COUNT(C6:C17)</f>
        <v>12</v>
      </c>
      <c r="Q10" s="1078" t="s">
        <v>224</v>
      </c>
      <c r="R10" s="1078">
        <f>COUNT(G6:G12)</f>
        <v>7</v>
      </c>
    </row>
    <row r="11" spans="1:23">
      <c r="A11">
        <f t="shared" si="2"/>
        <v>6</v>
      </c>
      <c r="B11" s="750">
        <v>25</v>
      </c>
      <c r="C11" s="838">
        <v>40</v>
      </c>
      <c r="E11" s="8">
        <f t="shared" si="3"/>
        <v>6</v>
      </c>
      <c r="F11" s="750">
        <f t="shared" si="0"/>
        <v>25</v>
      </c>
      <c r="G11" s="838">
        <f t="shared" si="1"/>
        <v>40</v>
      </c>
    </row>
    <row r="12" spans="1:23" ht="15" thickBot="1">
      <c r="A12">
        <f t="shared" si="2"/>
        <v>7</v>
      </c>
      <c r="B12" s="750">
        <v>18</v>
      </c>
      <c r="C12" s="838">
        <v>35</v>
      </c>
      <c r="E12" s="8">
        <f t="shared" si="3"/>
        <v>7</v>
      </c>
      <c r="F12" s="750">
        <f t="shared" si="0"/>
        <v>18</v>
      </c>
      <c r="G12" s="838">
        <f t="shared" si="1"/>
        <v>35</v>
      </c>
      <c r="I12" t="s">
        <v>695</v>
      </c>
      <c r="M12" s="1239" t="s">
        <v>116</v>
      </c>
      <c r="N12" s="1239">
        <v>0.05</v>
      </c>
      <c r="Q12" t="s">
        <v>695</v>
      </c>
      <c r="U12" s="1239" t="s">
        <v>116</v>
      </c>
      <c r="V12" s="1239">
        <v>0.05</v>
      </c>
    </row>
    <row r="13" spans="1:23" ht="15" thickTop="1">
      <c r="A13">
        <f t="shared" si="2"/>
        <v>8</v>
      </c>
      <c r="B13" s="750">
        <v>22</v>
      </c>
      <c r="C13" s="838">
        <v>44</v>
      </c>
      <c r="E13" s="8">
        <f t="shared" si="3"/>
        <v>8</v>
      </c>
      <c r="F13" s="750">
        <f t="shared" si="0"/>
        <v>22</v>
      </c>
      <c r="G13" s="838" t="s">
        <v>28</v>
      </c>
      <c r="I13" s="1151"/>
      <c r="J13" s="1151" t="s">
        <v>186</v>
      </c>
      <c r="K13" s="1151" t="s">
        <v>578</v>
      </c>
      <c r="L13" s="1151" t="s">
        <v>641</v>
      </c>
      <c r="M13" s="1151" t="s">
        <v>388</v>
      </c>
      <c r="N13" s="1151" t="s">
        <v>200</v>
      </c>
      <c r="O13" s="1151" t="s">
        <v>948</v>
      </c>
      <c r="Q13" s="1151"/>
      <c r="R13" s="1151" t="s">
        <v>186</v>
      </c>
      <c r="S13" s="1151" t="s">
        <v>578</v>
      </c>
      <c r="T13" s="1151" t="s">
        <v>641</v>
      </c>
      <c r="U13" s="1151" t="s">
        <v>388</v>
      </c>
      <c r="V13" s="1151" t="s">
        <v>200</v>
      </c>
      <c r="W13" s="1151" t="s">
        <v>948</v>
      </c>
    </row>
    <row r="14" spans="1:23">
      <c r="A14">
        <f t="shared" si="2"/>
        <v>9</v>
      </c>
      <c r="B14" s="750">
        <v>18</v>
      </c>
      <c r="C14" s="838">
        <v>32</v>
      </c>
      <c r="E14" s="8">
        <f t="shared" si="3"/>
        <v>9</v>
      </c>
      <c r="F14" s="750">
        <f t="shared" si="0"/>
        <v>18</v>
      </c>
      <c r="G14" s="838" t="s">
        <v>28</v>
      </c>
      <c r="I14" t="s">
        <v>623</v>
      </c>
      <c r="J14">
        <f>COUNT(B6)</f>
        <v>1</v>
      </c>
      <c r="K14" t="e">
        <f ca="1">DEVSQ(MMULT([1]!DESIGN(B6:B17),J19:J20))</f>
        <v>#NAME?</v>
      </c>
      <c r="L14" t="e">
        <f ca="1">K14/J14</f>
        <v>#NAME?</v>
      </c>
      <c r="M14" t="e">
        <f ca="1">L14/L15</f>
        <v>#NAME?</v>
      </c>
      <c r="N14" t="e">
        <f ca="1">FDIST(M14,J14,J15)</f>
        <v>#NAME?</v>
      </c>
      <c r="O14" s="1239" t="e">
        <f ca="1">IF(N14&lt;N12,"yes","no")</f>
        <v>#NAME?</v>
      </c>
      <c r="Q14" t="s">
        <v>623</v>
      </c>
      <c r="R14">
        <f>COUNT(F6)</f>
        <v>1</v>
      </c>
      <c r="S14" t="e">
        <f ca="1">DEVSQ(MMULT([1]!DESIGN(F6:F12),R19:R20))</f>
        <v>#NAME?</v>
      </c>
      <c r="T14" t="e">
        <f ca="1">S14/R14</f>
        <v>#NAME?</v>
      </c>
      <c r="U14" t="e">
        <f ca="1">T14/T15</f>
        <v>#NAME?</v>
      </c>
      <c r="V14" t="e">
        <f ca="1">FDIST(U14,R14,R15)</f>
        <v>#NAME?</v>
      </c>
      <c r="W14" s="1239" t="e">
        <f ca="1">IF(V14&lt;V12,"yes","no")</f>
        <v>#NAME?</v>
      </c>
    </row>
    <row r="15" spans="1:23">
      <c r="A15">
        <f t="shared" si="2"/>
        <v>10</v>
      </c>
      <c r="B15" s="750">
        <v>28</v>
      </c>
      <c r="C15" s="838">
        <v>48</v>
      </c>
      <c r="E15" s="8">
        <f t="shared" si="3"/>
        <v>10</v>
      </c>
      <c r="F15" s="750">
        <f t="shared" si="0"/>
        <v>28</v>
      </c>
      <c r="G15" s="838" t="s">
        <v>28</v>
      </c>
      <c r="I15" t="s">
        <v>696</v>
      </c>
      <c r="J15">
        <f>J16-J14</f>
        <v>10</v>
      </c>
      <c r="K15" t="e">
        <f ca="1">K16-K14</f>
        <v>#NAME?</v>
      </c>
      <c r="L15" t="e">
        <f ca="1">K15/J15</f>
        <v>#NAME?</v>
      </c>
      <c r="Q15" t="s">
        <v>696</v>
      </c>
      <c r="R15">
        <f>R16-R14</f>
        <v>5</v>
      </c>
      <c r="S15" t="e">
        <f ca="1">S16-S14</f>
        <v>#NAME?</v>
      </c>
      <c r="T15" t="e">
        <f ca="1">S15/R15</f>
        <v>#NAME?</v>
      </c>
    </row>
    <row r="16" spans="1:23">
      <c r="A16">
        <f t="shared" si="2"/>
        <v>11</v>
      </c>
      <c r="B16" s="750">
        <v>25</v>
      </c>
      <c r="C16" s="838">
        <v>43</v>
      </c>
      <c r="E16" s="8">
        <f t="shared" si="3"/>
        <v>11</v>
      </c>
      <c r="F16" s="750">
        <f t="shared" si="0"/>
        <v>25</v>
      </c>
      <c r="G16" s="838" t="s">
        <v>28</v>
      </c>
      <c r="I16" s="1078" t="s">
        <v>12</v>
      </c>
      <c r="J16" s="1078">
        <f>J10-1</f>
        <v>11</v>
      </c>
      <c r="K16" s="1078">
        <f>DEVSQ(C6:C17)</f>
        <v>589</v>
      </c>
      <c r="L16" s="1078"/>
      <c r="M16" s="1078"/>
      <c r="N16" s="1078"/>
      <c r="O16" s="1078"/>
      <c r="Q16" s="1078" t="s">
        <v>12</v>
      </c>
      <c r="R16" s="1078">
        <f>R10-1</f>
        <v>6</v>
      </c>
      <c r="S16" s="1078">
        <f>DEVSQ(G6:G12)</f>
        <v>339.71428571428572</v>
      </c>
      <c r="T16" s="1078"/>
      <c r="U16" s="1078"/>
      <c r="V16" s="1078"/>
      <c r="W16" s="1078"/>
    </row>
    <row r="17" spans="1:23" ht="15" thickBot="1">
      <c r="A17">
        <f t="shared" si="2"/>
        <v>12</v>
      </c>
      <c r="B17" s="1244">
        <v>17</v>
      </c>
      <c r="C17" s="1245">
        <v>35</v>
      </c>
      <c r="E17" s="8">
        <f t="shared" si="3"/>
        <v>12</v>
      </c>
      <c r="F17" s="1244">
        <f t="shared" si="0"/>
        <v>17</v>
      </c>
      <c r="G17" s="1245" t="s">
        <v>28</v>
      </c>
    </row>
    <row r="18" spans="1:23" ht="15" thickTop="1">
      <c r="A18" s="19" t="s">
        <v>63</v>
      </c>
      <c r="B18">
        <f>AVERAGE(B6:B17)</f>
        <v>20.25</v>
      </c>
      <c r="C18">
        <f>AVERAGE(C6:C17)</f>
        <v>37.5</v>
      </c>
      <c r="E18" s="19" t="s">
        <v>63</v>
      </c>
      <c r="F18">
        <f>AVERAGE(F6:F17)</f>
        <v>20.25</v>
      </c>
      <c r="G18">
        <f>AVERAGE(G6:G17)</f>
        <v>35.428571428571431</v>
      </c>
      <c r="I18" s="1151"/>
      <c r="J18" s="1151" t="s">
        <v>2743</v>
      </c>
      <c r="K18" s="1151" t="s">
        <v>1469</v>
      </c>
      <c r="L18" s="1151" t="s">
        <v>188</v>
      </c>
      <c r="M18" s="1151" t="s">
        <v>200</v>
      </c>
      <c r="N18" s="1151" t="s">
        <v>103</v>
      </c>
      <c r="O18" s="1151" t="s">
        <v>104</v>
      </c>
      <c r="Q18" s="1151"/>
      <c r="R18" s="1151" t="s">
        <v>2743</v>
      </c>
      <c r="S18" s="1151" t="s">
        <v>1469</v>
      </c>
      <c r="T18" s="1151" t="s">
        <v>188</v>
      </c>
      <c r="U18" s="1151" t="s">
        <v>200</v>
      </c>
      <c r="V18" s="1151" t="s">
        <v>103</v>
      </c>
      <c r="W18" s="1151" t="s">
        <v>104</v>
      </c>
    </row>
    <row r="19" spans="1:23">
      <c r="A19" s="19" t="s">
        <v>67</v>
      </c>
      <c r="B19">
        <f>STDEV(B6:B17)</f>
        <v>4.575130400526108</v>
      </c>
      <c r="C19">
        <f>STDEV(C6:C17)</f>
        <v>7.3174759682184503</v>
      </c>
      <c r="E19" s="19" t="s">
        <v>67</v>
      </c>
      <c r="F19">
        <f>STDEV(F6:F17)</f>
        <v>4.575130400526108</v>
      </c>
      <c r="G19">
        <f>STDEV(G6:G17)</f>
        <v>7.5245629520290214</v>
      </c>
      <c r="I19" t="s">
        <v>697</v>
      </c>
      <c r="J19" t="e">
        <f t="array" aca="1" ref="J19:J20" ca="1">[1]!RegCoeff(B6:B17,C6:C17)</f>
        <v>#NAME?</v>
      </c>
      <c r="K19" t="e">
        <f t="array" aca="1" ref="K19:K20" ca="1">[1]!RegCoeffSE(B6:B17,C6:C17)</f>
        <v>#NAME?</v>
      </c>
      <c r="L19" t="e">
        <f ca="1">J19/K19</f>
        <v>#NAME?</v>
      </c>
      <c r="M19" t="e">
        <f ca="1">TDIST(ABS(L19),$J$15,2)</f>
        <v>#NAME?</v>
      </c>
      <c r="N19" t="e">
        <f ca="1">J19-TINV(N$12,$J$15)*K19</f>
        <v>#NAME?</v>
      </c>
      <c r="O19" t="e">
        <f ca="1">J19+TINV(N$12,$J$15)*K19</f>
        <v>#NAME?</v>
      </c>
      <c r="Q19" t="s">
        <v>697</v>
      </c>
      <c r="R19" t="e">
        <f t="array" aca="1" ref="R19:R20" ca="1">[1]!RegCoeff(F6:F12,G6:G12)</f>
        <v>#NAME?</v>
      </c>
      <c r="S19" t="e">
        <f t="array" aca="1" ref="S19:S20" ca="1">[1]!RegCoeffSE(F6:F12,G6:G12)</f>
        <v>#NAME?</v>
      </c>
      <c r="T19" t="e">
        <f ca="1">R19/S19</f>
        <v>#NAME?</v>
      </c>
      <c r="U19" t="e">
        <f ca="1">TDIST(ABS(T19),$R$15,2)</f>
        <v>#NAME?</v>
      </c>
      <c r="V19" t="e">
        <f ca="1">R19-TINV(V$12,$R$15)*S19</f>
        <v>#NAME?</v>
      </c>
      <c r="W19" t="e">
        <f ca="1">R19+TINV(V$12,$R$15)*S19</f>
        <v>#NAME?</v>
      </c>
    </row>
    <row r="20" spans="1:23">
      <c r="A20" s="19" t="s">
        <v>3341</v>
      </c>
      <c r="B20">
        <f>CORREL(B6:B17,C6:C17)</f>
        <v>0.84586408258493195</v>
      </c>
      <c r="E20" s="19" t="s">
        <v>3341</v>
      </c>
      <c r="F20">
        <f>CORREL(F6:F17,G6:G17)</f>
        <v>0.76917084121957169</v>
      </c>
      <c r="I20" s="1078" t="str">
        <f t="array" ref="I20">TRANSPOSE(B5)</f>
        <v>math</v>
      </c>
      <c r="J20" s="1078" t="e">
        <f ca="1"/>
        <v>#NAME?</v>
      </c>
      <c r="K20" s="1078" t="e">
        <f ca="1"/>
        <v>#NAME?</v>
      </c>
      <c r="L20" s="1078" t="e">
        <f ca="1">J20/K20</f>
        <v>#NAME?</v>
      </c>
      <c r="M20" s="1078" t="e">
        <f ca="1">TDIST(ABS(L20),$J$15,2)</f>
        <v>#NAME?</v>
      </c>
      <c r="N20" s="1078" t="e">
        <f ca="1">J20-TINV(N$12,$J$15)*K20</f>
        <v>#NAME?</v>
      </c>
      <c r="O20" s="1078" t="e">
        <f ca="1">J20+TINV(N$12,$J$15)*K20</f>
        <v>#NAME?</v>
      </c>
      <c r="Q20" s="1078" t="str">
        <f t="array" ref="Q20">TRANSPOSE(F5)</f>
        <v>math</v>
      </c>
      <c r="R20" s="1078" t="e">
        <f ca="1"/>
        <v>#NAME?</v>
      </c>
      <c r="S20" s="1078" t="e">
        <f ca="1"/>
        <v>#NAME?</v>
      </c>
      <c r="T20" s="1078" t="e">
        <f ca="1">R20/S20</f>
        <v>#NAME?</v>
      </c>
      <c r="U20" s="1078" t="e">
        <f ca="1">TDIST(ABS(T20),$R$15,2)</f>
        <v>#NAME?</v>
      </c>
      <c r="V20" s="1078" t="e">
        <f ca="1">R20-TINV(V$12,$R$15)*S20</f>
        <v>#NAME?</v>
      </c>
      <c r="W20" s="1078" t="e">
        <f ca="1">R20+TINV(V$12,$R$15)*S20</f>
        <v>#NAME?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sheetPr codeName="Sheet300"/>
  <dimension ref="A1:K19"/>
  <sheetViews>
    <sheetView workbookViewId="0"/>
  </sheetViews>
  <sheetFormatPr defaultRowHeight="14.4"/>
  <cols>
    <col min="1" max="1" width="6.88671875" customWidth="1"/>
    <col min="2" max="4" width="8.6640625" customWidth="1"/>
    <col min="5" max="5" width="6.88671875" customWidth="1"/>
    <col min="6" max="7" width="8.6640625" customWidth="1"/>
  </cols>
  <sheetData>
    <row r="1" spans="1:11">
      <c r="A1" s="1" t="s">
        <v>3337</v>
      </c>
    </row>
    <row r="2" spans="1:11">
      <c r="A2" s="1"/>
    </row>
    <row r="3" spans="1:11">
      <c r="A3" s="25" t="s">
        <v>3334</v>
      </c>
      <c r="E3" t="s">
        <v>3335</v>
      </c>
      <c r="I3" t="s">
        <v>3338</v>
      </c>
    </row>
    <row r="5" spans="1:11">
      <c r="A5" s="19" t="s">
        <v>3331</v>
      </c>
      <c r="B5" s="1239" t="s">
        <v>3332</v>
      </c>
      <c r="C5" s="1239" t="s">
        <v>3333</v>
      </c>
      <c r="E5" s="19" t="s">
        <v>3331</v>
      </c>
      <c r="F5" s="1239" t="s">
        <v>3332</v>
      </c>
      <c r="G5" s="1239" t="s">
        <v>3333</v>
      </c>
      <c r="I5" s="19" t="s">
        <v>3331</v>
      </c>
      <c r="J5" s="1239" t="s">
        <v>3332</v>
      </c>
      <c r="K5" s="1239" t="s">
        <v>3333</v>
      </c>
    </row>
    <row r="6" spans="1:11">
      <c r="A6">
        <v>1</v>
      </c>
      <c r="B6" s="1242">
        <v>14</v>
      </c>
      <c r="C6" s="1243">
        <v>27</v>
      </c>
      <c r="E6" s="8">
        <v>1</v>
      </c>
      <c r="F6" s="1242">
        <f>B6</f>
        <v>14</v>
      </c>
      <c r="G6" s="1243">
        <f>C6</f>
        <v>27</v>
      </c>
      <c r="I6" s="8">
        <v>1</v>
      </c>
      <c r="J6" s="1242">
        <f>F6</f>
        <v>14</v>
      </c>
      <c r="K6" s="1243">
        <f>G6</f>
        <v>27</v>
      </c>
    </row>
    <row r="7" spans="1:11">
      <c r="A7">
        <f>A6+1</f>
        <v>2</v>
      </c>
      <c r="B7" s="750">
        <v>13</v>
      </c>
      <c r="C7" s="838">
        <v>29</v>
      </c>
      <c r="E7" s="8">
        <f>E6+1</f>
        <v>2</v>
      </c>
      <c r="F7" s="750">
        <f t="shared" ref="F7:G17" si="0">B7</f>
        <v>13</v>
      </c>
      <c r="G7" s="838">
        <f t="shared" si="0"/>
        <v>29</v>
      </c>
      <c r="I7" s="8">
        <f>I6+1</f>
        <v>2</v>
      </c>
      <c r="J7" s="750">
        <f t="shared" ref="J7:J17" si="1">F7</f>
        <v>13</v>
      </c>
      <c r="K7" s="838">
        <f t="shared" ref="K7:K12" si="2">G7</f>
        <v>29</v>
      </c>
    </row>
    <row r="8" spans="1:11">
      <c r="A8">
        <f t="shared" ref="A8:A17" si="3">A7+1</f>
        <v>3</v>
      </c>
      <c r="B8" s="750">
        <v>23</v>
      </c>
      <c r="C8" s="838">
        <v>49</v>
      </c>
      <c r="E8" s="8">
        <f t="shared" ref="E8:E17" si="4">E7+1</f>
        <v>3</v>
      </c>
      <c r="F8" s="750">
        <f t="shared" si="0"/>
        <v>23</v>
      </c>
      <c r="G8" s="838">
        <f t="shared" si="0"/>
        <v>49</v>
      </c>
      <c r="I8" s="8">
        <f t="shared" ref="I8:I17" si="5">I7+1</f>
        <v>3</v>
      </c>
      <c r="J8" s="750">
        <f t="shared" si="1"/>
        <v>23</v>
      </c>
      <c r="K8" s="838">
        <f t="shared" si="2"/>
        <v>49</v>
      </c>
    </row>
    <row r="9" spans="1:11">
      <c r="A9">
        <f t="shared" si="3"/>
        <v>4</v>
      </c>
      <c r="B9" s="750">
        <v>19</v>
      </c>
      <c r="C9" s="838">
        <v>37</v>
      </c>
      <c r="E9" s="8">
        <f t="shared" si="4"/>
        <v>4</v>
      </c>
      <c r="F9" s="750">
        <f t="shared" si="0"/>
        <v>19</v>
      </c>
      <c r="G9" s="838">
        <f t="shared" si="0"/>
        <v>37</v>
      </c>
      <c r="I9" s="8">
        <f t="shared" si="5"/>
        <v>4</v>
      </c>
      <c r="J9" s="750">
        <f t="shared" si="1"/>
        <v>19</v>
      </c>
      <c r="K9" s="838">
        <f t="shared" si="2"/>
        <v>37</v>
      </c>
    </row>
    <row r="10" spans="1:11">
      <c r="A10">
        <f t="shared" si="3"/>
        <v>5</v>
      </c>
      <c r="B10" s="750">
        <v>21</v>
      </c>
      <c r="C10" s="838">
        <v>31</v>
      </c>
      <c r="E10" s="8">
        <f t="shared" si="4"/>
        <v>5</v>
      </c>
      <c r="F10" s="750">
        <f t="shared" si="0"/>
        <v>21</v>
      </c>
      <c r="G10" s="838">
        <f t="shared" si="0"/>
        <v>31</v>
      </c>
      <c r="I10" s="8">
        <f t="shared" si="5"/>
        <v>5</v>
      </c>
      <c r="J10" s="750">
        <f t="shared" si="1"/>
        <v>21</v>
      </c>
      <c r="K10" s="838">
        <f t="shared" si="2"/>
        <v>31</v>
      </c>
    </row>
    <row r="11" spans="1:11">
      <c r="A11">
        <f t="shared" si="3"/>
        <v>6</v>
      </c>
      <c r="B11" s="750">
        <v>25</v>
      </c>
      <c r="C11" s="838">
        <v>40</v>
      </c>
      <c r="E11" s="8">
        <f t="shared" si="4"/>
        <v>6</v>
      </c>
      <c r="F11" s="750">
        <f t="shared" si="0"/>
        <v>25</v>
      </c>
      <c r="G11" s="838">
        <f t="shared" si="0"/>
        <v>40</v>
      </c>
      <c r="I11" s="8">
        <f t="shared" si="5"/>
        <v>6</v>
      </c>
      <c r="J11" s="750">
        <f t="shared" si="1"/>
        <v>25</v>
      </c>
      <c r="K11" s="838">
        <f t="shared" si="2"/>
        <v>40</v>
      </c>
    </row>
    <row r="12" spans="1:11">
      <c r="A12">
        <f t="shared" si="3"/>
        <v>7</v>
      </c>
      <c r="B12" s="750">
        <v>18</v>
      </c>
      <c r="C12" s="838">
        <v>35</v>
      </c>
      <c r="E12" s="8">
        <f t="shared" si="4"/>
        <v>7</v>
      </c>
      <c r="F12" s="750">
        <f t="shared" si="0"/>
        <v>18</v>
      </c>
      <c r="G12" s="838">
        <f t="shared" si="0"/>
        <v>35</v>
      </c>
      <c r="I12" s="8">
        <f t="shared" si="5"/>
        <v>7</v>
      </c>
      <c r="J12" s="750">
        <f t="shared" si="1"/>
        <v>18</v>
      </c>
      <c r="K12" s="838">
        <f t="shared" si="2"/>
        <v>35</v>
      </c>
    </row>
    <row r="13" spans="1:11">
      <c r="A13">
        <f t="shared" si="3"/>
        <v>8</v>
      </c>
      <c r="B13" s="750">
        <v>22</v>
      </c>
      <c r="C13" s="838">
        <v>44</v>
      </c>
      <c r="E13" s="8">
        <f t="shared" si="4"/>
        <v>8</v>
      </c>
      <c r="F13" s="750">
        <f t="shared" si="0"/>
        <v>22</v>
      </c>
      <c r="G13" s="838" t="s">
        <v>28</v>
      </c>
      <c r="I13" s="8">
        <f t="shared" si="5"/>
        <v>8</v>
      </c>
      <c r="J13" s="750">
        <f t="shared" si="1"/>
        <v>22</v>
      </c>
      <c r="K13" s="838">
        <f>G18</f>
        <v>35.428571428571431</v>
      </c>
    </row>
    <row r="14" spans="1:11">
      <c r="A14">
        <f t="shared" si="3"/>
        <v>9</v>
      </c>
      <c r="B14" s="750">
        <v>18</v>
      </c>
      <c r="C14" s="838">
        <v>32</v>
      </c>
      <c r="E14" s="8">
        <f t="shared" si="4"/>
        <v>9</v>
      </c>
      <c r="F14" s="750">
        <f t="shared" si="0"/>
        <v>18</v>
      </c>
      <c r="G14" s="838" t="s">
        <v>28</v>
      </c>
      <c r="I14" s="8">
        <f t="shared" si="5"/>
        <v>9</v>
      </c>
      <c r="J14" s="750">
        <f t="shared" si="1"/>
        <v>18</v>
      </c>
      <c r="K14" s="838">
        <f>K13</f>
        <v>35.428571428571431</v>
      </c>
    </row>
    <row r="15" spans="1:11">
      <c r="A15">
        <f t="shared" si="3"/>
        <v>10</v>
      </c>
      <c r="B15" s="750">
        <v>28</v>
      </c>
      <c r="C15" s="838">
        <v>48</v>
      </c>
      <c r="E15" s="8">
        <f t="shared" si="4"/>
        <v>10</v>
      </c>
      <c r="F15" s="750">
        <f t="shared" si="0"/>
        <v>28</v>
      </c>
      <c r="G15" s="838" t="s">
        <v>28</v>
      </c>
      <c r="I15" s="8">
        <f t="shared" si="5"/>
        <v>10</v>
      </c>
      <c r="J15" s="750">
        <f t="shared" si="1"/>
        <v>28</v>
      </c>
      <c r="K15" s="838">
        <f>K14</f>
        <v>35.428571428571431</v>
      </c>
    </row>
    <row r="16" spans="1:11">
      <c r="A16">
        <f t="shared" si="3"/>
        <v>11</v>
      </c>
      <c r="B16" s="750">
        <v>25</v>
      </c>
      <c r="C16" s="838">
        <v>43</v>
      </c>
      <c r="E16" s="8">
        <f t="shared" si="4"/>
        <v>11</v>
      </c>
      <c r="F16" s="750">
        <f t="shared" si="0"/>
        <v>25</v>
      </c>
      <c r="G16" s="838" t="s">
        <v>28</v>
      </c>
      <c r="I16" s="8">
        <f t="shared" si="5"/>
        <v>11</v>
      </c>
      <c r="J16" s="750">
        <f t="shared" si="1"/>
        <v>25</v>
      </c>
      <c r="K16" s="838">
        <f>K15</f>
        <v>35.428571428571431</v>
      </c>
    </row>
    <row r="17" spans="1:11">
      <c r="A17">
        <f t="shared" si="3"/>
        <v>12</v>
      </c>
      <c r="B17" s="1244">
        <v>17</v>
      </c>
      <c r="C17" s="1245">
        <v>35</v>
      </c>
      <c r="E17" s="8">
        <f t="shared" si="4"/>
        <v>12</v>
      </c>
      <c r="F17" s="1244">
        <f t="shared" si="0"/>
        <v>17</v>
      </c>
      <c r="G17" s="1245" t="s">
        <v>28</v>
      </c>
      <c r="I17" s="8">
        <f t="shared" si="5"/>
        <v>12</v>
      </c>
      <c r="J17" s="1244">
        <f t="shared" si="1"/>
        <v>17</v>
      </c>
      <c r="K17" s="1245">
        <f>K16</f>
        <v>35.428571428571431</v>
      </c>
    </row>
    <row r="18" spans="1:11">
      <c r="A18" s="19" t="s">
        <v>63</v>
      </c>
      <c r="B18">
        <f>AVERAGE(B6:B17)</f>
        <v>20.25</v>
      </c>
      <c r="C18">
        <f>AVERAGE(C6:C17)</f>
        <v>37.5</v>
      </c>
      <c r="E18" s="19" t="s">
        <v>63</v>
      </c>
      <c r="F18">
        <f>AVERAGE(F6:F17)</f>
        <v>20.25</v>
      </c>
      <c r="G18">
        <f>AVERAGE(G6:G17)</f>
        <v>35.428571428571431</v>
      </c>
      <c r="I18" s="19" t="s">
        <v>63</v>
      </c>
      <c r="J18">
        <f>AVERAGE(J6:J17)</f>
        <v>20.25</v>
      </c>
      <c r="K18">
        <f>AVERAGE(K6:K17)</f>
        <v>35.428571428571438</v>
      </c>
    </row>
    <row r="19" spans="1:11">
      <c r="A19" s="19" t="s">
        <v>67</v>
      </c>
      <c r="B19">
        <f>STDEV(B6:B17)</f>
        <v>4.575130400526108</v>
      </c>
      <c r="C19">
        <f>STDEV(C6:C17)</f>
        <v>7.3174759682184503</v>
      </c>
      <c r="E19" s="19" t="s">
        <v>67</v>
      </c>
      <c r="F19">
        <f>STDEV(F6:F17)</f>
        <v>4.575130400526108</v>
      </c>
      <c r="G19">
        <f>STDEV(G6:G17)</f>
        <v>7.5245629520290214</v>
      </c>
      <c r="I19" s="19" t="s">
        <v>67</v>
      </c>
      <c r="J19">
        <f>STDEV(J6:J17)</f>
        <v>4.575130400526108</v>
      </c>
      <c r="K19">
        <f>STDEV(K6:K17)</f>
        <v>5.5572580363985802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sheetPr codeName="Sheet301"/>
  <dimension ref="A1:K20"/>
  <sheetViews>
    <sheetView workbookViewId="0"/>
  </sheetViews>
  <sheetFormatPr defaultRowHeight="14.4"/>
  <cols>
    <col min="1" max="1" width="6.88671875" customWidth="1"/>
    <col min="2" max="4" width="8.6640625" customWidth="1"/>
    <col min="5" max="5" width="6.88671875" customWidth="1"/>
    <col min="6" max="7" width="8.6640625" customWidth="1"/>
  </cols>
  <sheetData>
    <row r="1" spans="1:11">
      <c r="A1" s="1" t="s">
        <v>3339</v>
      </c>
    </row>
    <row r="2" spans="1:11">
      <c r="A2" s="1"/>
    </row>
    <row r="3" spans="1:11">
      <c r="A3" s="25" t="s">
        <v>3334</v>
      </c>
      <c r="E3" t="s">
        <v>3335</v>
      </c>
      <c r="I3" t="s">
        <v>3340</v>
      </c>
    </row>
    <row r="5" spans="1:11">
      <c r="A5" s="19" t="s">
        <v>3331</v>
      </c>
      <c r="B5" s="1239" t="s">
        <v>3332</v>
      </c>
      <c r="C5" s="1239" t="s">
        <v>3333</v>
      </c>
      <c r="E5" s="19" t="s">
        <v>3331</v>
      </c>
      <c r="F5" s="1239" t="s">
        <v>3332</v>
      </c>
      <c r="G5" s="1239" t="s">
        <v>3333</v>
      </c>
      <c r="I5" s="19" t="s">
        <v>3331</v>
      </c>
      <c r="J5" s="1239" t="s">
        <v>3332</v>
      </c>
      <c r="K5" s="1239" t="s">
        <v>3333</v>
      </c>
    </row>
    <row r="6" spans="1:11">
      <c r="A6">
        <v>1</v>
      </c>
      <c r="B6" s="1242">
        <v>14</v>
      </c>
      <c r="C6" s="1243">
        <v>27</v>
      </c>
      <c r="E6" s="8">
        <v>1</v>
      </c>
      <c r="F6" s="1242">
        <f>B6</f>
        <v>14</v>
      </c>
      <c r="G6" s="1243">
        <f>C6</f>
        <v>27</v>
      </c>
      <c r="I6" s="8">
        <v>1</v>
      </c>
      <c r="J6" s="1242">
        <f>F6</f>
        <v>14</v>
      </c>
      <c r="K6" s="1243">
        <f>G6</f>
        <v>27</v>
      </c>
    </row>
    <row r="7" spans="1:11">
      <c r="A7">
        <f>A6+1</f>
        <v>2</v>
      </c>
      <c r="B7" s="750">
        <v>13</v>
      </c>
      <c r="C7" s="838">
        <v>29</v>
      </c>
      <c r="E7" s="8">
        <f>E6+1</f>
        <v>2</v>
      </c>
      <c r="F7" s="750">
        <f t="shared" ref="F7:G17" si="0">B7</f>
        <v>13</v>
      </c>
      <c r="G7" s="838">
        <f t="shared" si="0"/>
        <v>29</v>
      </c>
      <c r="I7" s="8">
        <f>I6+1</f>
        <v>2</v>
      </c>
      <c r="J7" s="750">
        <f t="shared" ref="J7:K17" si="1">F7</f>
        <v>13</v>
      </c>
      <c r="K7" s="838">
        <f t="shared" si="1"/>
        <v>29</v>
      </c>
    </row>
    <row r="8" spans="1:11">
      <c r="A8">
        <f t="shared" ref="A8:A17" si="2">A7+1</f>
        <v>3</v>
      </c>
      <c r="B8" s="750">
        <v>23</v>
      </c>
      <c r="C8" s="838">
        <v>49</v>
      </c>
      <c r="E8" s="8">
        <f t="shared" ref="E8:E17" si="3">E7+1</f>
        <v>3</v>
      </c>
      <c r="F8" s="750">
        <f t="shared" si="0"/>
        <v>23</v>
      </c>
      <c r="G8" s="838">
        <f t="shared" si="0"/>
        <v>49</v>
      </c>
      <c r="I8" s="8">
        <f t="shared" ref="I8:I17" si="4">I7+1</f>
        <v>3</v>
      </c>
      <c r="J8" s="750">
        <f t="shared" si="1"/>
        <v>23</v>
      </c>
      <c r="K8" s="838">
        <f t="shared" si="1"/>
        <v>49</v>
      </c>
    </row>
    <row r="9" spans="1:11">
      <c r="A9">
        <f t="shared" si="2"/>
        <v>4</v>
      </c>
      <c r="B9" s="750">
        <v>19</v>
      </c>
      <c r="C9" s="838">
        <v>37</v>
      </c>
      <c r="E9" s="8">
        <f t="shared" si="3"/>
        <v>4</v>
      </c>
      <c r="F9" s="750">
        <f t="shared" si="0"/>
        <v>19</v>
      </c>
      <c r="G9" s="838">
        <f t="shared" si="0"/>
        <v>37</v>
      </c>
      <c r="I9" s="8">
        <f t="shared" si="4"/>
        <v>4</v>
      </c>
      <c r="J9" s="750">
        <f t="shared" si="1"/>
        <v>19</v>
      </c>
      <c r="K9" s="838">
        <f t="shared" si="1"/>
        <v>37</v>
      </c>
    </row>
    <row r="10" spans="1:11">
      <c r="A10">
        <f t="shared" si="2"/>
        <v>5</v>
      </c>
      <c r="B10" s="750">
        <v>21</v>
      </c>
      <c r="C10" s="838">
        <v>31</v>
      </c>
      <c r="E10" s="8">
        <f t="shared" si="3"/>
        <v>5</v>
      </c>
      <c r="F10" s="750">
        <f t="shared" si="0"/>
        <v>21</v>
      </c>
      <c r="G10" s="838">
        <f t="shared" si="0"/>
        <v>31</v>
      </c>
      <c r="I10" s="8">
        <f t="shared" si="4"/>
        <v>5</v>
      </c>
      <c r="J10" s="750">
        <f t="shared" si="1"/>
        <v>21</v>
      </c>
      <c r="K10" s="838">
        <f t="shared" si="1"/>
        <v>31</v>
      </c>
    </row>
    <row r="11" spans="1:11">
      <c r="A11">
        <f t="shared" si="2"/>
        <v>6</v>
      </c>
      <c r="B11" s="750">
        <v>25</v>
      </c>
      <c r="C11" s="838">
        <v>40</v>
      </c>
      <c r="E11" s="8">
        <f t="shared" si="3"/>
        <v>6</v>
      </c>
      <c r="F11" s="750">
        <f t="shared" si="0"/>
        <v>25</v>
      </c>
      <c r="G11" s="838">
        <f t="shared" si="0"/>
        <v>40</v>
      </c>
      <c r="I11" s="8">
        <f t="shared" si="4"/>
        <v>6</v>
      </c>
      <c r="J11" s="750">
        <f t="shared" si="1"/>
        <v>25</v>
      </c>
      <c r="K11" s="838">
        <f t="shared" si="1"/>
        <v>40</v>
      </c>
    </row>
    <row r="12" spans="1:11">
      <c r="A12">
        <f t="shared" si="2"/>
        <v>7</v>
      </c>
      <c r="B12" s="750">
        <v>18</v>
      </c>
      <c r="C12" s="838">
        <v>35</v>
      </c>
      <c r="E12" s="8">
        <f t="shared" si="3"/>
        <v>7</v>
      </c>
      <c r="F12" s="750">
        <f t="shared" si="0"/>
        <v>18</v>
      </c>
      <c r="G12" s="838">
        <f t="shared" si="0"/>
        <v>35</v>
      </c>
      <c r="I12" s="8">
        <f t="shared" si="4"/>
        <v>7</v>
      </c>
      <c r="J12" s="750">
        <f t="shared" si="1"/>
        <v>18</v>
      </c>
      <c r="K12" s="838">
        <f t="shared" si="1"/>
        <v>35</v>
      </c>
    </row>
    <row r="13" spans="1:11">
      <c r="A13">
        <f t="shared" si="2"/>
        <v>8</v>
      </c>
      <c r="B13" s="750">
        <v>22</v>
      </c>
      <c r="C13" s="838">
        <v>44</v>
      </c>
      <c r="E13" s="8">
        <f t="shared" si="3"/>
        <v>8</v>
      </c>
      <c r="F13" s="750">
        <f t="shared" si="0"/>
        <v>22</v>
      </c>
      <c r="G13" s="838" t="s">
        <v>28</v>
      </c>
      <c r="I13" s="8">
        <f t="shared" si="4"/>
        <v>8</v>
      </c>
      <c r="J13" s="750">
        <f t="shared" si="1"/>
        <v>22</v>
      </c>
      <c r="K13" s="838">
        <f t="array" ref="K13:K17">FORECAST(J13:J17,G6:G12,F6:F12)</f>
        <v>39.343825665859569</v>
      </c>
    </row>
    <row r="14" spans="1:11">
      <c r="A14">
        <f t="shared" si="2"/>
        <v>9</v>
      </c>
      <c r="B14" s="750">
        <v>18</v>
      </c>
      <c r="C14" s="838">
        <v>32</v>
      </c>
      <c r="E14" s="8">
        <f t="shared" si="3"/>
        <v>9</v>
      </c>
      <c r="F14" s="750">
        <f t="shared" si="0"/>
        <v>18</v>
      </c>
      <c r="G14" s="838" t="s">
        <v>28</v>
      </c>
      <c r="I14" s="8">
        <f t="shared" si="4"/>
        <v>9</v>
      </c>
      <c r="J14" s="750">
        <f t="shared" si="1"/>
        <v>18</v>
      </c>
      <c r="K14" s="838">
        <v>34.123486682808718</v>
      </c>
    </row>
    <row r="15" spans="1:11">
      <c r="A15">
        <f t="shared" si="2"/>
        <v>10</v>
      </c>
      <c r="B15" s="750">
        <v>28</v>
      </c>
      <c r="C15" s="838">
        <v>48</v>
      </c>
      <c r="E15" s="8">
        <f t="shared" si="3"/>
        <v>10</v>
      </c>
      <c r="F15" s="750">
        <f t="shared" si="0"/>
        <v>28</v>
      </c>
      <c r="G15" s="838" t="s">
        <v>28</v>
      </c>
      <c r="I15" s="8">
        <f t="shared" si="4"/>
        <v>10</v>
      </c>
      <c r="J15" s="750">
        <f t="shared" si="1"/>
        <v>28</v>
      </c>
      <c r="K15" s="838">
        <v>47.174334140435832</v>
      </c>
    </row>
    <row r="16" spans="1:11">
      <c r="A16">
        <f t="shared" si="2"/>
        <v>11</v>
      </c>
      <c r="B16" s="750">
        <v>25</v>
      </c>
      <c r="C16" s="838">
        <v>43</v>
      </c>
      <c r="E16" s="8">
        <f t="shared" si="3"/>
        <v>11</v>
      </c>
      <c r="F16" s="750">
        <f t="shared" si="0"/>
        <v>25</v>
      </c>
      <c r="G16" s="838" t="s">
        <v>28</v>
      </c>
      <c r="I16" s="8">
        <f t="shared" si="4"/>
        <v>11</v>
      </c>
      <c r="J16" s="750">
        <f t="shared" si="1"/>
        <v>25</v>
      </c>
      <c r="K16" s="838">
        <v>43.259079903147708</v>
      </c>
    </row>
    <row r="17" spans="1:11">
      <c r="A17">
        <f t="shared" si="2"/>
        <v>12</v>
      </c>
      <c r="B17" s="1244">
        <v>17</v>
      </c>
      <c r="C17" s="1245">
        <v>35</v>
      </c>
      <c r="E17" s="8">
        <f t="shared" si="3"/>
        <v>12</v>
      </c>
      <c r="F17" s="1244">
        <f t="shared" si="0"/>
        <v>17</v>
      </c>
      <c r="G17" s="1245" t="s">
        <v>28</v>
      </c>
      <c r="I17" s="8">
        <f t="shared" si="4"/>
        <v>12</v>
      </c>
      <c r="J17" s="1244">
        <f t="shared" si="1"/>
        <v>17</v>
      </c>
      <c r="K17" s="1245">
        <v>32.818401937046005</v>
      </c>
    </row>
    <row r="18" spans="1:11">
      <c r="A18" s="19" t="s">
        <v>63</v>
      </c>
      <c r="B18">
        <f>AVERAGE(B6:B17)</f>
        <v>20.25</v>
      </c>
      <c r="C18">
        <f>AVERAGE(C6:C17)</f>
        <v>37.5</v>
      </c>
      <c r="E18" s="19" t="s">
        <v>63</v>
      </c>
      <c r="F18">
        <f>AVERAGE(F6:F17)</f>
        <v>20.25</v>
      </c>
      <c r="G18">
        <f>AVERAGE(G6:G17)</f>
        <v>35.428571428571431</v>
      </c>
      <c r="I18" s="19" t="s">
        <v>63</v>
      </c>
      <c r="J18">
        <f>AVERAGE(J6:J17)</f>
        <v>20.25</v>
      </c>
      <c r="K18">
        <f>AVERAGE(K6:K17)</f>
        <v>37.059927360774822</v>
      </c>
    </row>
    <row r="19" spans="1:11">
      <c r="A19" s="19" t="s">
        <v>67</v>
      </c>
      <c r="B19">
        <f>STDEV(B6:B17)</f>
        <v>4.575130400526108</v>
      </c>
      <c r="C19">
        <f>STDEV(C6:C17)</f>
        <v>7.3174759682184503</v>
      </c>
      <c r="E19" s="19" t="s">
        <v>67</v>
      </c>
      <c r="F19">
        <f>STDEV(F6:F17)</f>
        <v>4.575130400526108</v>
      </c>
      <c r="G19">
        <f>STDEV(G6:G17)</f>
        <v>7.5245629520290214</v>
      </c>
      <c r="I19" s="19" t="s">
        <v>67</v>
      </c>
      <c r="J19">
        <f>STDEV(J6:J17)</f>
        <v>4.575130400526108</v>
      </c>
      <c r="K19">
        <f>STDEV(K6:K17)</f>
        <v>6.9472275107570365</v>
      </c>
    </row>
    <row r="20" spans="1:11">
      <c r="A20" s="19" t="s">
        <v>3341</v>
      </c>
      <c r="B20">
        <f>CORREL(B6:B17,C6:C17)</f>
        <v>0.84586408258493195</v>
      </c>
      <c r="E20" s="19" t="s">
        <v>3341</v>
      </c>
      <c r="F20">
        <f>CORREL(F6:F17,G6:G17)</f>
        <v>0.76917084121957169</v>
      </c>
      <c r="I20" s="19" t="s">
        <v>3341</v>
      </c>
      <c r="J20">
        <f>CORREL(J6:J17,K6:K17)</f>
        <v>0.85946989448042677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sheetPr codeName="Sheet302"/>
  <dimension ref="A1:O21"/>
  <sheetViews>
    <sheetView workbookViewId="0"/>
  </sheetViews>
  <sheetFormatPr defaultRowHeight="14.4"/>
  <cols>
    <col min="1" max="1" width="6.88671875" customWidth="1"/>
    <col min="2" max="4" width="8.6640625" customWidth="1"/>
    <col min="5" max="5" width="6.88671875" customWidth="1"/>
    <col min="6" max="7" width="8.6640625" customWidth="1"/>
  </cols>
  <sheetData>
    <row r="1" spans="1:13">
      <c r="A1" s="1" t="s">
        <v>3343</v>
      </c>
    </row>
    <row r="2" spans="1:13">
      <c r="A2" s="1"/>
    </row>
    <row r="3" spans="1:13">
      <c r="A3" s="25" t="s">
        <v>3334</v>
      </c>
      <c r="E3" t="s">
        <v>3335</v>
      </c>
      <c r="I3" t="s">
        <v>3344</v>
      </c>
    </row>
    <row r="5" spans="1:13">
      <c r="A5" s="19" t="s">
        <v>3331</v>
      </c>
      <c r="B5" s="1239" t="s">
        <v>3332</v>
      </c>
      <c r="C5" s="1239" t="s">
        <v>3333</v>
      </c>
      <c r="E5" s="19" t="s">
        <v>3331</v>
      </c>
      <c r="F5" s="1239" t="s">
        <v>3332</v>
      </c>
      <c r="G5" s="1239" t="s">
        <v>3333</v>
      </c>
      <c r="I5" s="19" t="s">
        <v>3331</v>
      </c>
      <c r="J5" s="1239" t="s">
        <v>3332</v>
      </c>
      <c r="K5" s="1239" t="s">
        <v>3346</v>
      </c>
      <c r="L5" s="1239" t="s">
        <v>3345</v>
      </c>
      <c r="M5" s="1239" t="s">
        <v>3333</v>
      </c>
    </row>
    <row r="6" spans="1:13">
      <c r="A6">
        <v>1</v>
      </c>
      <c r="B6" s="1242">
        <v>14</v>
      </c>
      <c r="C6" s="1243">
        <v>27</v>
      </c>
      <c r="E6" s="8">
        <v>1</v>
      </c>
      <c r="F6" s="1242">
        <f>B6</f>
        <v>14</v>
      </c>
      <c r="G6" s="1243">
        <f>C6</f>
        <v>27</v>
      </c>
      <c r="I6" s="8">
        <v>1</v>
      </c>
      <c r="J6" s="1242">
        <f>F6</f>
        <v>14</v>
      </c>
      <c r="K6" s="1246">
        <f>G6</f>
        <v>27</v>
      </c>
      <c r="L6" s="1234"/>
      <c r="M6" s="1237">
        <f>K6+L6</f>
        <v>27</v>
      </c>
    </row>
    <row r="7" spans="1:13">
      <c r="A7">
        <f>A6+1</f>
        <v>2</v>
      </c>
      <c r="B7" s="750">
        <v>13</v>
      </c>
      <c r="C7" s="838">
        <v>29</v>
      </c>
      <c r="E7" s="8">
        <f>E6+1</f>
        <v>2</v>
      </c>
      <c r="F7" s="750">
        <f t="shared" ref="F7:G17" si="0">B7</f>
        <v>13</v>
      </c>
      <c r="G7" s="838">
        <f t="shared" si="0"/>
        <v>29</v>
      </c>
      <c r="I7" s="8">
        <f>I6+1</f>
        <v>2</v>
      </c>
      <c r="J7" s="750">
        <f t="shared" ref="J7:K17" si="1">F7</f>
        <v>13</v>
      </c>
      <c r="K7" s="42">
        <f t="shared" si="1"/>
        <v>29</v>
      </c>
      <c r="L7" s="8"/>
      <c r="M7" s="657">
        <f t="shared" ref="M7:M17" si="2">K7+L7</f>
        <v>29</v>
      </c>
    </row>
    <row r="8" spans="1:13">
      <c r="A8">
        <f t="shared" ref="A8:A17" si="3">A7+1</f>
        <v>3</v>
      </c>
      <c r="B8" s="750">
        <v>23</v>
      </c>
      <c r="C8" s="838">
        <v>49</v>
      </c>
      <c r="E8" s="8">
        <f t="shared" ref="E8:E17" si="4">E7+1</f>
        <v>3</v>
      </c>
      <c r="F8" s="750">
        <f t="shared" si="0"/>
        <v>23</v>
      </c>
      <c r="G8" s="838">
        <f t="shared" si="0"/>
        <v>49</v>
      </c>
      <c r="I8" s="8">
        <f t="shared" ref="I8:I17" si="5">I7+1</f>
        <v>3</v>
      </c>
      <c r="J8" s="750">
        <f t="shared" si="1"/>
        <v>23</v>
      </c>
      <c r="K8" s="42">
        <f t="shared" si="1"/>
        <v>49</v>
      </c>
      <c r="L8" s="8"/>
      <c r="M8" s="657">
        <f t="shared" si="2"/>
        <v>49</v>
      </c>
    </row>
    <row r="9" spans="1:13">
      <c r="A9">
        <f t="shared" si="3"/>
        <v>4</v>
      </c>
      <c r="B9" s="750">
        <v>19</v>
      </c>
      <c r="C9" s="838">
        <v>37</v>
      </c>
      <c r="E9" s="8">
        <f t="shared" si="4"/>
        <v>4</v>
      </c>
      <c r="F9" s="750">
        <f t="shared" si="0"/>
        <v>19</v>
      </c>
      <c r="G9" s="838">
        <f t="shared" si="0"/>
        <v>37</v>
      </c>
      <c r="I9" s="8">
        <f t="shared" si="5"/>
        <v>4</v>
      </c>
      <c r="J9" s="750">
        <f t="shared" si="1"/>
        <v>19</v>
      </c>
      <c r="K9" s="42">
        <f t="shared" si="1"/>
        <v>37</v>
      </c>
      <c r="L9" s="8"/>
      <c r="M9" s="657">
        <f t="shared" si="2"/>
        <v>37</v>
      </c>
    </row>
    <row r="10" spans="1:13">
      <c r="A10">
        <f t="shared" si="3"/>
        <v>5</v>
      </c>
      <c r="B10" s="750">
        <v>21</v>
      </c>
      <c r="C10" s="838">
        <v>31</v>
      </c>
      <c r="E10" s="8">
        <f t="shared" si="4"/>
        <v>5</v>
      </c>
      <c r="F10" s="750">
        <f t="shared" si="0"/>
        <v>21</v>
      </c>
      <c r="G10" s="838">
        <f t="shared" si="0"/>
        <v>31</v>
      </c>
      <c r="I10" s="8">
        <f t="shared" si="5"/>
        <v>5</v>
      </c>
      <c r="J10" s="750">
        <f t="shared" si="1"/>
        <v>21</v>
      </c>
      <c r="K10" s="42">
        <f t="shared" si="1"/>
        <v>31</v>
      </c>
      <c r="L10" s="8"/>
      <c r="M10" s="657">
        <f t="shared" si="2"/>
        <v>31</v>
      </c>
    </row>
    <row r="11" spans="1:13">
      <c r="A11">
        <f t="shared" si="3"/>
        <v>6</v>
      </c>
      <c r="B11" s="750">
        <v>25</v>
      </c>
      <c r="C11" s="838">
        <v>40</v>
      </c>
      <c r="E11" s="8">
        <f t="shared" si="4"/>
        <v>6</v>
      </c>
      <c r="F11" s="750">
        <f t="shared" si="0"/>
        <v>25</v>
      </c>
      <c r="G11" s="838">
        <f t="shared" si="0"/>
        <v>40</v>
      </c>
      <c r="I11" s="8">
        <f t="shared" si="5"/>
        <v>6</v>
      </c>
      <c r="J11" s="750">
        <f t="shared" si="1"/>
        <v>25</v>
      </c>
      <c r="K11" s="42">
        <f t="shared" si="1"/>
        <v>40</v>
      </c>
      <c r="L11" s="8"/>
      <c r="M11" s="657">
        <f t="shared" si="2"/>
        <v>40</v>
      </c>
    </row>
    <row r="12" spans="1:13">
      <c r="A12">
        <f t="shared" si="3"/>
        <v>7</v>
      </c>
      <c r="B12" s="750">
        <v>18</v>
      </c>
      <c r="C12" s="838">
        <v>35</v>
      </c>
      <c r="E12" s="8">
        <f t="shared" si="4"/>
        <v>7</v>
      </c>
      <c r="F12" s="750">
        <f t="shared" si="0"/>
        <v>18</v>
      </c>
      <c r="G12" s="838">
        <f t="shared" si="0"/>
        <v>35</v>
      </c>
      <c r="I12" s="8">
        <f t="shared" si="5"/>
        <v>7</v>
      </c>
      <c r="J12" s="750">
        <f t="shared" si="1"/>
        <v>18</v>
      </c>
      <c r="K12" s="42">
        <f t="shared" si="1"/>
        <v>35</v>
      </c>
      <c r="L12" s="8"/>
      <c r="M12" s="657">
        <f t="shared" si="2"/>
        <v>35</v>
      </c>
    </row>
    <row r="13" spans="1:13">
      <c r="A13">
        <f t="shared" si="3"/>
        <v>8</v>
      </c>
      <c r="B13" s="750">
        <v>22</v>
      </c>
      <c r="C13" s="838">
        <v>44</v>
      </c>
      <c r="E13" s="8">
        <f t="shared" si="4"/>
        <v>8</v>
      </c>
      <c r="F13" s="750">
        <f t="shared" si="0"/>
        <v>22</v>
      </c>
      <c r="G13" s="838" t="s">
        <v>28</v>
      </c>
      <c r="I13" s="8">
        <f t="shared" si="5"/>
        <v>8</v>
      </c>
      <c r="J13" s="750">
        <f t="shared" si="1"/>
        <v>22</v>
      </c>
      <c r="K13" s="42">
        <f t="array" ref="K13:K17">FORECAST(J13:J17,G6:G12,F6:F12)</f>
        <v>39.343825665859569</v>
      </c>
      <c r="L13" s="8" t="e">
        <f ca="1">NORMINV(RAND(),0,$K$21)</f>
        <v>#NAME?</v>
      </c>
      <c r="M13" s="657" t="e">
        <f t="shared" ca="1" si="2"/>
        <v>#NAME?</v>
      </c>
    </row>
    <row r="14" spans="1:13">
      <c r="A14">
        <f t="shared" si="3"/>
        <v>9</v>
      </c>
      <c r="B14" s="750">
        <v>18</v>
      </c>
      <c r="C14" s="838">
        <v>32</v>
      </c>
      <c r="E14" s="8">
        <f t="shared" si="4"/>
        <v>9</v>
      </c>
      <c r="F14" s="750">
        <f t="shared" si="0"/>
        <v>18</v>
      </c>
      <c r="G14" s="838" t="s">
        <v>28</v>
      </c>
      <c r="I14" s="8">
        <f t="shared" si="5"/>
        <v>9</v>
      </c>
      <c r="J14" s="750">
        <f t="shared" si="1"/>
        <v>18</v>
      </c>
      <c r="K14" s="42">
        <v>34.123486682808718</v>
      </c>
      <c r="L14" s="8" t="e">
        <f ca="1">NORMINV(RAND(),0,$K$21)</f>
        <v>#NAME?</v>
      </c>
      <c r="M14" s="657" t="e">
        <f t="shared" ca="1" si="2"/>
        <v>#NAME?</v>
      </c>
    </row>
    <row r="15" spans="1:13">
      <c r="A15">
        <f t="shared" si="3"/>
        <v>10</v>
      </c>
      <c r="B15" s="750">
        <v>28</v>
      </c>
      <c r="C15" s="838">
        <v>48</v>
      </c>
      <c r="E15" s="8">
        <f t="shared" si="4"/>
        <v>10</v>
      </c>
      <c r="F15" s="750">
        <f t="shared" si="0"/>
        <v>28</v>
      </c>
      <c r="G15" s="838" t="s">
        <v>28</v>
      </c>
      <c r="I15" s="8">
        <f t="shared" si="5"/>
        <v>10</v>
      </c>
      <c r="J15" s="750">
        <f t="shared" si="1"/>
        <v>28</v>
      </c>
      <c r="K15" s="42">
        <v>47.174334140435832</v>
      </c>
      <c r="L15" s="8" t="e">
        <f ca="1">NORMINV(RAND(),0,$K$21)</f>
        <v>#NAME?</v>
      </c>
      <c r="M15" s="657" t="e">
        <f t="shared" ca="1" si="2"/>
        <v>#NAME?</v>
      </c>
    </row>
    <row r="16" spans="1:13">
      <c r="A16">
        <f t="shared" si="3"/>
        <v>11</v>
      </c>
      <c r="B16" s="750">
        <v>25</v>
      </c>
      <c r="C16" s="838">
        <v>43</v>
      </c>
      <c r="E16" s="8">
        <f t="shared" si="4"/>
        <v>11</v>
      </c>
      <c r="F16" s="750">
        <f t="shared" si="0"/>
        <v>25</v>
      </c>
      <c r="G16" s="838" t="s">
        <v>28</v>
      </c>
      <c r="I16" s="8">
        <f t="shared" si="5"/>
        <v>11</v>
      </c>
      <c r="J16" s="750">
        <f t="shared" si="1"/>
        <v>25</v>
      </c>
      <c r="K16" s="42">
        <v>43.259079903147708</v>
      </c>
      <c r="L16" s="8" t="e">
        <f ca="1">NORMINV(RAND(),0,$K$21)</f>
        <v>#NAME?</v>
      </c>
      <c r="M16" s="657" t="e">
        <f t="shared" ca="1" si="2"/>
        <v>#NAME?</v>
      </c>
    </row>
    <row r="17" spans="1:15">
      <c r="A17">
        <f t="shared" si="3"/>
        <v>12</v>
      </c>
      <c r="B17" s="1244">
        <v>17</v>
      </c>
      <c r="C17" s="1245">
        <v>35</v>
      </c>
      <c r="E17" s="8">
        <f t="shared" si="4"/>
        <v>12</v>
      </c>
      <c r="F17" s="1244">
        <f t="shared" si="0"/>
        <v>17</v>
      </c>
      <c r="G17" s="1245" t="s">
        <v>28</v>
      </c>
      <c r="I17" s="8">
        <f t="shared" si="5"/>
        <v>12</v>
      </c>
      <c r="J17" s="1244">
        <f t="shared" si="1"/>
        <v>17</v>
      </c>
      <c r="K17" s="1247">
        <v>32.818401937046005</v>
      </c>
      <c r="L17" s="1078" t="e">
        <f ca="1">NORMINV(RAND(),0,$K$21)</f>
        <v>#NAME?</v>
      </c>
      <c r="M17" s="541" t="e">
        <f t="shared" ca="1" si="2"/>
        <v>#NAME?</v>
      </c>
    </row>
    <row r="18" spans="1:15">
      <c r="A18" s="19" t="s">
        <v>63</v>
      </c>
      <c r="B18">
        <f>AVERAGE(B6:B17)</f>
        <v>20.25</v>
      </c>
      <c r="C18">
        <f>AVERAGE(C6:C17)</f>
        <v>37.5</v>
      </c>
      <c r="E18" s="19" t="s">
        <v>63</v>
      </c>
      <c r="F18">
        <f>AVERAGE(F6:F17)</f>
        <v>20.25</v>
      </c>
      <c r="G18">
        <f>AVERAGE(G6:G17)</f>
        <v>35.428571428571431</v>
      </c>
      <c r="I18" s="19" t="s">
        <v>63</v>
      </c>
      <c r="J18">
        <f>AVERAGE(J6:J17)</f>
        <v>20.25</v>
      </c>
      <c r="K18">
        <f>AVERAGE(K6:K17)</f>
        <v>37.059927360774822</v>
      </c>
      <c r="M18" t="e">
        <f ca="1">AVERAGE(M6:M17)</f>
        <v>#NAME?</v>
      </c>
      <c r="O18" t="s">
        <v>199</v>
      </c>
    </row>
    <row r="19" spans="1:15">
      <c r="A19" s="19" t="s">
        <v>67</v>
      </c>
      <c r="B19">
        <f>STDEV(B6:B17)</f>
        <v>4.575130400526108</v>
      </c>
      <c r="C19">
        <f>STDEV(C6:C17)</f>
        <v>7.3174759682184503</v>
      </c>
      <c r="E19" s="19" t="s">
        <v>67</v>
      </c>
      <c r="F19">
        <f>STDEV(F6:F17)</f>
        <v>4.575130400526108</v>
      </c>
      <c r="G19">
        <f>STDEV(G6:G17)</f>
        <v>7.5245629520290214</v>
      </c>
      <c r="I19" s="19" t="s">
        <v>67</v>
      </c>
      <c r="J19">
        <f>STDEV(J6:J17)</f>
        <v>4.575130400526108</v>
      </c>
      <c r="K19">
        <f>STDEV(K6:K17)</f>
        <v>6.9472275107570365</v>
      </c>
      <c r="M19" t="e">
        <f ca="1">STDEV(M6:M17)</f>
        <v>#NAME?</v>
      </c>
    </row>
    <row r="20" spans="1:15">
      <c r="A20" s="19" t="s">
        <v>3341</v>
      </c>
      <c r="B20">
        <f>CORREL(B6:B17,C6:C17)</f>
        <v>0.84586408258493195</v>
      </c>
      <c r="E20" s="19" t="s">
        <v>3341</v>
      </c>
      <c r="F20">
        <f>CORREL(F6:F17,G6:G17)</f>
        <v>0.76917084121957169</v>
      </c>
      <c r="I20" s="19" t="s">
        <v>3341</v>
      </c>
      <c r="K20">
        <f>CORREL(J6:J17,K6:K17)</f>
        <v>0.85946989448042677</v>
      </c>
      <c r="M20" t="e">
        <f ca="1">CORREL(J6:J17,M6:M17)</f>
        <v>#NAME?</v>
      </c>
    </row>
    <row r="21" spans="1:15">
      <c r="I21" s="43" t="s">
        <v>826</v>
      </c>
      <c r="K21" t="e">
        <f ca="1">'Miss 1'!R9</f>
        <v>#NAME?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sheetPr codeName="Sheet304"/>
  <dimension ref="A1:L25"/>
  <sheetViews>
    <sheetView topLeftCell="A3" workbookViewId="0">
      <selection activeCell="J27" sqref="J27"/>
    </sheetView>
  </sheetViews>
  <sheetFormatPr defaultRowHeight="14.4"/>
  <sheetData>
    <row r="1" spans="1:12">
      <c r="A1" s="1" t="s">
        <v>3348</v>
      </c>
    </row>
    <row r="3" spans="1:12">
      <c r="A3" s="1240" t="s">
        <v>3354</v>
      </c>
      <c r="B3" s="1240" t="s">
        <v>3352</v>
      </c>
      <c r="C3" s="1240" t="s">
        <v>3333</v>
      </c>
      <c r="D3" s="1240" t="s">
        <v>3332</v>
      </c>
      <c r="E3" s="1240" t="s">
        <v>3353</v>
      </c>
      <c r="G3" t="s">
        <v>3355</v>
      </c>
    </row>
    <row r="4" spans="1:12">
      <c r="A4" s="1240">
        <v>1</v>
      </c>
      <c r="B4" s="1242">
        <v>12</v>
      </c>
      <c r="C4" s="1248">
        <v>27</v>
      </c>
      <c r="D4" s="1248">
        <v>19</v>
      </c>
      <c r="E4" s="1243">
        <v>44</v>
      </c>
    </row>
    <row r="5" spans="1:12">
      <c r="A5" s="1240">
        <f>A4+1</f>
        <v>2</v>
      </c>
      <c r="B5" s="750">
        <v>11</v>
      </c>
      <c r="C5" s="42" t="s">
        <v>28</v>
      </c>
      <c r="D5" s="42">
        <v>13</v>
      </c>
      <c r="E5" s="838">
        <v>43</v>
      </c>
      <c r="G5" s="1240" t="e">
        <f t="array" aca="1" ref="G5:L7" ca="1">[1]!MissingFreq(B3:E23,TRUE)</f>
        <v>#NAME?</v>
      </c>
      <c r="H5" s="1240" t="e">
        <f ca="1"/>
        <v>#NAME?</v>
      </c>
      <c r="I5" s="1240" t="e">
        <f ca="1"/>
        <v>#NAME?</v>
      </c>
      <c r="J5" s="1240" t="e">
        <f ca="1"/>
        <v>#NAME?</v>
      </c>
      <c r="K5" s="1240" t="e">
        <f ca="1"/>
        <v>#NAME?</v>
      </c>
      <c r="L5" s="1240" t="e">
        <f ca="1"/>
        <v>#NAME?</v>
      </c>
    </row>
    <row r="6" spans="1:12">
      <c r="A6" s="1240">
        <f t="shared" ref="A6:A23" si="0">A5+1</f>
        <v>3</v>
      </c>
      <c r="B6" s="750" t="s">
        <v>28</v>
      </c>
      <c r="C6" s="42">
        <v>56</v>
      </c>
      <c r="D6" s="42">
        <v>23</v>
      </c>
      <c r="E6" s="838">
        <v>60</v>
      </c>
      <c r="G6" s="1236" t="e">
        <f ca="1"/>
        <v>#NAME?</v>
      </c>
      <c r="H6" s="1152" t="e">
        <f ca="1"/>
        <v>#NAME?</v>
      </c>
      <c r="I6" s="1152" t="e">
        <f ca="1"/>
        <v>#NAME?</v>
      </c>
      <c r="J6" s="1152" t="e">
        <f ca="1"/>
        <v>#NAME?</v>
      </c>
      <c r="K6" s="1152" t="e">
        <f ca="1"/>
        <v>#NAME?</v>
      </c>
      <c r="L6" s="1237" t="e">
        <f ca="1"/>
        <v>#NAME?</v>
      </c>
    </row>
    <row r="7" spans="1:12">
      <c r="A7" s="1240">
        <f t="shared" si="0"/>
        <v>4</v>
      </c>
      <c r="B7" s="750">
        <v>15</v>
      </c>
      <c r="C7" s="42">
        <v>37</v>
      </c>
      <c r="D7" s="42">
        <v>19</v>
      </c>
      <c r="E7" s="838">
        <v>52</v>
      </c>
      <c r="G7" s="1209" t="e">
        <f ca="1"/>
        <v>#NAME?</v>
      </c>
      <c r="H7" s="1252" t="e">
        <f ca="1"/>
        <v>#NAME?</v>
      </c>
      <c r="I7" s="1252" t="e">
        <f ca="1"/>
        <v>#NAME?</v>
      </c>
      <c r="J7" s="1252" t="e">
        <f ca="1"/>
        <v>#NAME?</v>
      </c>
      <c r="K7" s="1252" t="e">
        <f ca="1"/>
        <v>#NAME?</v>
      </c>
      <c r="L7" s="1210" t="e">
        <f ca="1"/>
        <v>#NAME?</v>
      </c>
    </row>
    <row r="8" spans="1:12">
      <c r="A8" s="1240">
        <f t="shared" si="0"/>
        <v>5</v>
      </c>
      <c r="B8" s="750">
        <v>10</v>
      </c>
      <c r="C8" s="42">
        <v>31</v>
      </c>
      <c r="D8" s="42">
        <v>21</v>
      </c>
      <c r="E8" s="838" t="s">
        <v>28</v>
      </c>
    </row>
    <row r="9" spans="1:12">
      <c r="A9" s="1240">
        <f t="shared" si="0"/>
        <v>6</v>
      </c>
      <c r="B9" s="750">
        <v>18</v>
      </c>
      <c r="C9" s="42">
        <v>40</v>
      </c>
      <c r="D9" s="42">
        <v>22</v>
      </c>
      <c r="E9" s="838">
        <v>43</v>
      </c>
      <c r="G9" t="s">
        <v>3356</v>
      </c>
    </row>
    <row r="10" spans="1:12">
      <c r="A10" s="1240">
        <f t="shared" si="0"/>
        <v>7</v>
      </c>
      <c r="B10" s="750">
        <v>15</v>
      </c>
      <c r="C10" s="42">
        <v>50</v>
      </c>
      <c r="D10" s="42">
        <v>28</v>
      </c>
      <c r="E10" s="838">
        <v>56</v>
      </c>
    </row>
    <row r="11" spans="1:12">
      <c r="A11" s="1240">
        <f t="shared" si="0"/>
        <v>8</v>
      </c>
      <c r="B11" s="750">
        <v>21</v>
      </c>
      <c r="C11" s="42" t="s">
        <v>28</v>
      </c>
      <c r="D11" s="42" t="s">
        <v>28</v>
      </c>
      <c r="E11" s="838">
        <v>46</v>
      </c>
      <c r="G11" s="1240" t="e">
        <f t="array" aca="1" ref="G11:L19" ca="1">[1]!MissingPatterns(B3:E23,TRUE)</f>
        <v>#NAME?</v>
      </c>
      <c r="H11" s="1240" t="e">
        <f ca="1"/>
        <v>#NAME?</v>
      </c>
      <c r="I11" s="1240" t="e">
        <f ca="1"/>
        <v>#NAME?</v>
      </c>
      <c r="J11" s="1240" t="e">
        <f ca="1"/>
        <v>#NAME?</v>
      </c>
      <c r="K11" s="1240" t="e">
        <f ca="1"/>
        <v>#NAME?</v>
      </c>
      <c r="L11" s="1240" t="e">
        <f ca="1"/>
        <v>#NAME?</v>
      </c>
    </row>
    <row r="12" spans="1:12">
      <c r="A12" s="1240">
        <f t="shared" si="0"/>
        <v>9</v>
      </c>
      <c r="B12" s="750">
        <v>20</v>
      </c>
      <c r="C12" s="42">
        <v>39</v>
      </c>
      <c r="D12" s="42">
        <v>25</v>
      </c>
      <c r="E12" s="838">
        <v>51</v>
      </c>
      <c r="G12" s="1236" t="e">
        <f ca="1"/>
        <v>#NAME?</v>
      </c>
      <c r="H12" s="1152" t="e">
        <f ca="1"/>
        <v>#NAME?</v>
      </c>
      <c r="I12" s="1152" t="e">
        <f ca="1"/>
        <v>#NAME?</v>
      </c>
      <c r="J12" s="1152" t="e">
        <f ca="1"/>
        <v>#NAME?</v>
      </c>
      <c r="K12" s="1152" t="e">
        <f ca="1"/>
        <v>#NAME?</v>
      </c>
      <c r="L12" s="1253" t="e">
        <f ca="1"/>
        <v>#NAME?</v>
      </c>
    </row>
    <row r="13" spans="1:12">
      <c r="A13" s="1240">
        <f t="shared" si="0"/>
        <v>10</v>
      </c>
      <c r="B13" s="750" t="s">
        <v>28</v>
      </c>
      <c r="C13" s="42">
        <v>36</v>
      </c>
      <c r="D13" s="42">
        <v>23</v>
      </c>
      <c r="E13" s="838">
        <v>56</v>
      </c>
      <c r="G13" s="656" t="e">
        <f ca="1"/>
        <v>#NAME?</v>
      </c>
      <c r="H13" s="8" t="e">
        <f ca="1"/>
        <v>#NAME?</v>
      </c>
      <c r="I13" s="8" t="e">
        <f ca="1"/>
        <v>#NAME?</v>
      </c>
      <c r="J13" s="8" t="e">
        <f ca="1"/>
        <v>#NAME?</v>
      </c>
      <c r="K13" s="8" t="e">
        <f ca="1"/>
        <v>#NAME?</v>
      </c>
      <c r="L13" s="1208" t="e">
        <f ca="1"/>
        <v>#NAME?</v>
      </c>
    </row>
    <row r="14" spans="1:12">
      <c r="A14" s="1240">
        <f t="shared" si="0"/>
        <v>11</v>
      </c>
      <c r="B14" s="750" t="s">
        <v>28</v>
      </c>
      <c r="C14" s="42">
        <v>27</v>
      </c>
      <c r="D14" s="42">
        <v>21</v>
      </c>
      <c r="E14" s="838">
        <v>39</v>
      </c>
      <c r="G14" s="656" t="e">
        <f ca="1"/>
        <v>#NAME?</v>
      </c>
      <c r="H14" s="8" t="e">
        <f ca="1"/>
        <v>#NAME?</v>
      </c>
      <c r="I14" s="8" t="e">
        <f ca="1"/>
        <v>#NAME?</v>
      </c>
      <c r="J14" s="8" t="e">
        <f ca="1"/>
        <v>#NAME?</v>
      </c>
      <c r="K14" s="8" t="e">
        <f ca="1"/>
        <v>#NAME?</v>
      </c>
      <c r="L14" s="1208" t="e">
        <f ca="1"/>
        <v>#NAME?</v>
      </c>
    </row>
    <row r="15" spans="1:12">
      <c r="A15" s="1240">
        <f t="shared" si="0"/>
        <v>12</v>
      </c>
      <c r="B15" s="750">
        <v>14</v>
      </c>
      <c r="C15" s="42">
        <v>32</v>
      </c>
      <c r="D15" s="42">
        <v>20</v>
      </c>
      <c r="E15" s="838">
        <v>46</v>
      </c>
      <c r="G15" s="656" t="e">
        <f ca="1"/>
        <v>#NAME?</v>
      </c>
      <c r="H15" s="8" t="e">
        <f ca="1"/>
        <v>#NAME?</v>
      </c>
      <c r="I15" s="8" t="e">
        <f ca="1"/>
        <v>#NAME?</v>
      </c>
      <c r="J15" s="8" t="e">
        <f ca="1"/>
        <v>#NAME?</v>
      </c>
      <c r="K15" s="8" t="e">
        <f ca="1"/>
        <v>#NAME?</v>
      </c>
      <c r="L15" s="1208" t="e">
        <f ca="1"/>
        <v>#NAME?</v>
      </c>
    </row>
    <row r="16" spans="1:12">
      <c r="A16" s="1240">
        <f t="shared" si="0"/>
        <v>13</v>
      </c>
      <c r="B16" s="750">
        <v>22</v>
      </c>
      <c r="C16" s="42">
        <v>40</v>
      </c>
      <c r="D16" s="42" t="s">
        <v>28</v>
      </c>
      <c r="E16" s="838">
        <v>49</v>
      </c>
      <c r="G16" s="656" t="e">
        <f ca="1"/>
        <v>#NAME?</v>
      </c>
      <c r="H16" s="8" t="e">
        <f ca="1"/>
        <v>#NAME?</v>
      </c>
      <c r="I16" s="8" t="e">
        <f ca="1"/>
        <v>#NAME?</v>
      </c>
      <c r="J16" s="8" t="e">
        <f ca="1"/>
        <v>#NAME?</v>
      </c>
      <c r="K16" s="8" t="e">
        <f ca="1"/>
        <v>#NAME?</v>
      </c>
      <c r="L16" s="1208" t="e">
        <f ca="1"/>
        <v>#NAME?</v>
      </c>
    </row>
    <row r="17" spans="1:12">
      <c r="A17" s="1240">
        <f t="shared" si="0"/>
        <v>14</v>
      </c>
      <c r="B17" s="750" t="s">
        <v>28</v>
      </c>
      <c r="C17" s="42">
        <v>31</v>
      </c>
      <c r="D17" s="42" t="s">
        <v>28</v>
      </c>
      <c r="E17" s="838">
        <v>44</v>
      </c>
      <c r="G17" s="656" t="e">
        <f ca="1"/>
        <v>#NAME?</v>
      </c>
      <c r="H17" s="8" t="e">
        <f ca="1"/>
        <v>#NAME?</v>
      </c>
      <c r="I17" s="8" t="e">
        <f ca="1"/>
        <v>#NAME?</v>
      </c>
      <c r="J17" s="8" t="e">
        <f ca="1"/>
        <v>#NAME?</v>
      </c>
      <c r="K17" s="8" t="e">
        <f ca="1"/>
        <v>#NAME?</v>
      </c>
      <c r="L17" s="1208" t="e">
        <f ca="1"/>
        <v>#NAME?</v>
      </c>
    </row>
    <row r="18" spans="1:12">
      <c r="A18" s="1240">
        <f t="shared" si="0"/>
        <v>15</v>
      </c>
      <c r="B18" s="750" t="s">
        <v>28</v>
      </c>
      <c r="C18" s="42">
        <v>18</v>
      </c>
      <c r="D18" s="42">
        <v>21</v>
      </c>
      <c r="E18" s="838" t="s">
        <v>28</v>
      </c>
      <c r="G18" s="656" t="e">
        <f ca="1"/>
        <v>#NAME?</v>
      </c>
      <c r="H18" s="8" t="e">
        <f ca="1"/>
        <v>#NAME?</v>
      </c>
      <c r="I18" s="8" t="e">
        <f ca="1"/>
        <v>#NAME?</v>
      </c>
      <c r="J18" s="8" t="e">
        <f ca="1"/>
        <v>#NAME?</v>
      </c>
      <c r="K18" s="8" t="e">
        <f ca="1"/>
        <v>#NAME?</v>
      </c>
      <c r="L18" s="1208" t="e">
        <f ca="1"/>
        <v>#NAME?</v>
      </c>
    </row>
    <row r="19" spans="1:12">
      <c r="A19" s="1240">
        <f t="shared" si="0"/>
        <v>16</v>
      </c>
      <c r="B19" s="750">
        <v>16</v>
      </c>
      <c r="C19" s="42">
        <v>23</v>
      </c>
      <c r="D19" s="42">
        <v>21</v>
      </c>
      <c r="E19" s="838">
        <v>34</v>
      </c>
      <c r="G19" s="533" t="e">
        <f ca="1"/>
        <v>#NAME?</v>
      </c>
      <c r="H19" s="1078" t="e">
        <f ca="1"/>
        <v>#NAME?</v>
      </c>
      <c r="I19" s="1078" t="e">
        <f ca="1"/>
        <v>#NAME?</v>
      </c>
      <c r="J19" s="1078" t="e">
        <f ca="1"/>
        <v>#NAME?</v>
      </c>
      <c r="K19" s="1078" t="e">
        <f ca="1"/>
        <v>#NAME?</v>
      </c>
      <c r="L19" s="1210" t="e">
        <f ca="1"/>
        <v>#NAME?</v>
      </c>
    </row>
    <row r="20" spans="1:12">
      <c r="A20" s="1240">
        <f t="shared" si="0"/>
        <v>17</v>
      </c>
      <c r="B20" s="750">
        <v>27</v>
      </c>
      <c r="C20" s="42">
        <v>26</v>
      </c>
      <c r="D20" s="42">
        <v>23</v>
      </c>
      <c r="E20" s="838">
        <v>59</v>
      </c>
      <c r="K20" t="e">
        <f ca="1">SUM(K12:K19)</f>
        <v>#NAME?</v>
      </c>
    </row>
    <row r="21" spans="1:12">
      <c r="A21" s="1240">
        <f t="shared" si="0"/>
        <v>18</v>
      </c>
      <c r="B21" s="750">
        <v>17</v>
      </c>
      <c r="C21" s="42" t="s">
        <v>28</v>
      </c>
      <c r="D21" s="42" t="s">
        <v>28</v>
      </c>
      <c r="E21" s="838">
        <v>35</v>
      </c>
    </row>
    <row r="22" spans="1:12">
      <c r="A22" s="1240">
        <f t="shared" si="0"/>
        <v>19</v>
      </c>
      <c r="B22" s="750">
        <v>13</v>
      </c>
      <c r="C22" s="42">
        <v>21</v>
      </c>
      <c r="D22" s="42">
        <v>20</v>
      </c>
      <c r="E22" s="838">
        <v>48</v>
      </c>
    </row>
    <row r="23" spans="1:12">
      <c r="A23" s="1240">
        <f t="shared" si="0"/>
        <v>20</v>
      </c>
      <c r="B23" s="1244">
        <v>11</v>
      </c>
      <c r="C23" s="1247">
        <v>51</v>
      </c>
      <c r="D23" s="1247">
        <v>18</v>
      </c>
      <c r="E23" s="1245">
        <v>54</v>
      </c>
    </row>
    <row r="24" spans="1:12">
      <c r="A24" s="1240" t="s">
        <v>63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</row>
    <row r="25" spans="1:12">
      <c r="A25" s="1240" t="s">
        <v>67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sheetPr codeName="Sheet305"/>
  <dimension ref="A1:V25"/>
  <sheetViews>
    <sheetView workbookViewId="0">
      <selection sqref="A1:XFD1048576"/>
    </sheetView>
  </sheetViews>
  <sheetFormatPr defaultRowHeight="14.4"/>
  <sheetData>
    <row r="1" spans="1:22">
      <c r="A1" s="1" t="s">
        <v>3447</v>
      </c>
      <c r="G1" t="s">
        <v>3357</v>
      </c>
      <c r="M1" t="s">
        <v>3361</v>
      </c>
    </row>
    <row r="2" spans="1:22">
      <c r="T2" s="1288" t="s">
        <v>3358</v>
      </c>
      <c r="U2" s="1288" t="s">
        <v>3359</v>
      </c>
      <c r="V2" s="1288" t="s">
        <v>3360</v>
      </c>
    </row>
    <row r="3" spans="1:22">
      <c r="A3" s="1240" t="s">
        <v>3354</v>
      </c>
      <c r="B3" s="1240" t="s">
        <v>3352</v>
      </c>
      <c r="C3" s="1240" t="s">
        <v>3333</v>
      </c>
      <c r="D3" s="1240" t="s">
        <v>3332</v>
      </c>
      <c r="E3" s="1240" t="s">
        <v>3353</v>
      </c>
      <c r="G3" s="1240" t="s">
        <v>3354</v>
      </c>
      <c r="H3" s="1241" t="e">
        <f t="array" aca="1" ref="H3:K23" ca="1">[1]!ImputeSimple(B3:E23)</f>
        <v>#NAME?</v>
      </c>
      <c r="I3" s="1241" t="e">
        <f ca="1"/>
        <v>#NAME?</v>
      </c>
      <c r="J3" s="1241" t="e">
        <f ca="1"/>
        <v>#NAME?</v>
      </c>
      <c r="K3" s="1241" t="e">
        <f ca="1"/>
        <v>#NAME?</v>
      </c>
      <c r="M3" s="1240" t="s">
        <v>3354</v>
      </c>
      <c r="N3" s="1241" t="e">
        <f t="array" aca="1" ref="N3:Q23" ca="1">[1]!ImputeSimple(B3:E23,TRUE,S3:V4)</f>
        <v>#NAME?</v>
      </c>
      <c r="O3" s="1241" t="e">
        <f ca="1"/>
        <v>#NAME?</v>
      </c>
      <c r="P3" s="1241" t="e">
        <f ca="1"/>
        <v>#NAME?</v>
      </c>
      <c r="Q3" s="1241" t="e">
        <f ca="1"/>
        <v>#NAME?</v>
      </c>
      <c r="S3" t="s">
        <v>3333</v>
      </c>
      <c r="T3" s="1236">
        <v>20</v>
      </c>
      <c r="U3" s="1152">
        <v>50.4</v>
      </c>
      <c r="V3" s="1237" t="b">
        <v>1</v>
      </c>
    </row>
    <row r="4" spans="1:22">
      <c r="A4" s="1240">
        <v>1</v>
      </c>
      <c r="B4" s="1242">
        <v>12</v>
      </c>
      <c r="C4" s="1248">
        <v>27</v>
      </c>
      <c r="D4" s="1248">
        <v>19</v>
      </c>
      <c r="E4" s="1243">
        <v>44</v>
      </c>
      <c r="G4" s="1240">
        <v>1</v>
      </c>
      <c r="H4" s="1236" t="e">
        <f ca="1"/>
        <v>#NAME?</v>
      </c>
      <c r="I4" s="1152" t="e">
        <f ca="1"/>
        <v>#NAME?</v>
      </c>
      <c r="J4" s="1152" t="e">
        <f ca="1"/>
        <v>#NAME?</v>
      </c>
      <c r="K4" s="1237" t="e">
        <f ca="1"/>
        <v>#NAME?</v>
      </c>
      <c r="M4" s="1240">
        <v>1</v>
      </c>
      <c r="N4" s="1236" t="e">
        <f ca="1"/>
        <v>#NAME?</v>
      </c>
      <c r="O4" s="1152" t="e">
        <f ca="1"/>
        <v>#NAME?</v>
      </c>
      <c r="P4" s="1152" t="e">
        <f ca="1"/>
        <v>#NAME?</v>
      </c>
      <c r="Q4" s="1237" t="e">
        <f ca="1"/>
        <v>#NAME?</v>
      </c>
      <c r="S4" t="s">
        <v>3332</v>
      </c>
      <c r="T4" s="533"/>
      <c r="U4" s="1078">
        <v>28.5</v>
      </c>
      <c r="V4" s="541"/>
    </row>
    <row r="5" spans="1:22">
      <c r="A5" s="1240">
        <f>A4+1</f>
        <v>2</v>
      </c>
      <c r="B5" s="750">
        <v>11</v>
      </c>
      <c r="C5" s="42" t="s">
        <v>28</v>
      </c>
      <c r="D5" s="42">
        <v>13</v>
      </c>
      <c r="E5" s="838">
        <v>43</v>
      </c>
      <c r="G5" s="1240">
        <f>G4+1</f>
        <v>2</v>
      </c>
      <c r="H5" s="656" t="e">
        <f ca="1"/>
        <v>#NAME?</v>
      </c>
      <c r="I5" s="8" t="e">
        <f ca="1"/>
        <v>#NAME?</v>
      </c>
      <c r="J5" s="8" t="e">
        <f ca="1"/>
        <v>#NAME?</v>
      </c>
      <c r="K5" s="657" t="e">
        <f ca="1"/>
        <v>#NAME?</v>
      </c>
      <c r="M5" s="1240">
        <f>M4+1</f>
        <v>2</v>
      </c>
      <c r="N5" s="656" t="e">
        <f ca="1"/>
        <v>#NAME?</v>
      </c>
      <c r="O5" s="8" t="e">
        <f ca="1"/>
        <v>#NAME?</v>
      </c>
      <c r="P5" s="8" t="e">
        <f ca="1"/>
        <v>#NAME?</v>
      </c>
      <c r="Q5" s="657" t="e">
        <f ca="1"/>
        <v>#NAME?</v>
      </c>
    </row>
    <row r="6" spans="1:22">
      <c r="A6" s="1240">
        <f t="shared" ref="A6:A23" si="0">A5+1</f>
        <v>3</v>
      </c>
      <c r="B6" s="750" t="s">
        <v>28</v>
      </c>
      <c r="C6" s="42">
        <v>56</v>
      </c>
      <c r="D6" s="42">
        <v>23</v>
      </c>
      <c r="E6" s="838">
        <v>60</v>
      </c>
      <c r="G6" s="1240">
        <f t="shared" ref="G6:G23" si="1">G5+1</f>
        <v>3</v>
      </c>
      <c r="H6" s="656" t="e">
        <f ca="1"/>
        <v>#NAME?</v>
      </c>
      <c r="I6" s="8" t="e">
        <f ca="1"/>
        <v>#NAME?</v>
      </c>
      <c r="J6" s="8" t="e">
        <f ca="1"/>
        <v>#NAME?</v>
      </c>
      <c r="K6" s="657" t="e">
        <f ca="1"/>
        <v>#NAME?</v>
      </c>
      <c r="M6" s="1240">
        <f t="shared" ref="M6:M23" si="2">M5+1</f>
        <v>3</v>
      </c>
      <c r="N6" s="656" t="e">
        <f ca="1"/>
        <v>#NAME?</v>
      </c>
      <c r="O6" s="8" t="e">
        <f ca="1"/>
        <v>#NAME?</v>
      </c>
      <c r="P6" s="8" t="e">
        <f ca="1"/>
        <v>#NAME?</v>
      </c>
      <c r="Q6" s="657" t="e">
        <f ca="1"/>
        <v>#NAME?</v>
      </c>
    </row>
    <row r="7" spans="1:22">
      <c r="A7" s="1240">
        <f t="shared" si="0"/>
        <v>4</v>
      </c>
      <c r="B7" s="750">
        <v>15</v>
      </c>
      <c r="C7" s="42">
        <v>37</v>
      </c>
      <c r="D7" s="42">
        <v>19</v>
      </c>
      <c r="E7" s="838">
        <v>52</v>
      </c>
      <c r="G7" s="1240">
        <f t="shared" si="1"/>
        <v>4</v>
      </c>
      <c r="H7" s="656" t="e">
        <f ca="1"/>
        <v>#NAME?</v>
      </c>
      <c r="I7" s="8" t="e">
        <f ca="1"/>
        <v>#NAME?</v>
      </c>
      <c r="J7" s="8" t="e">
        <f ca="1"/>
        <v>#NAME?</v>
      </c>
      <c r="K7" s="657" t="e">
        <f ca="1"/>
        <v>#NAME?</v>
      </c>
      <c r="M7" s="1240">
        <f t="shared" si="2"/>
        <v>4</v>
      </c>
      <c r="N7" s="656" t="e">
        <f ca="1"/>
        <v>#NAME?</v>
      </c>
      <c r="O7" s="8" t="e">
        <f ca="1"/>
        <v>#NAME?</v>
      </c>
      <c r="P7" s="8" t="e">
        <f ca="1"/>
        <v>#NAME?</v>
      </c>
      <c r="Q7" s="657" t="e">
        <f ca="1"/>
        <v>#NAME?</v>
      </c>
    </row>
    <row r="8" spans="1:22">
      <c r="A8" s="1240">
        <f t="shared" si="0"/>
        <v>5</v>
      </c>
      <c r="B8" s="750">
        <v>10</v>
      </c>
      <c r="C8" s="42">
        <v>31</v>
      </c>
      <c r="D8" s="42">
        <v>21</v>
      </c>
      <c r="E8" s="838" t="s">
        <v>28</v>
      </c>
      <c r="G8" s="1240">
        <f t="shared" si="1"/>
        <v>5</v>
      </c>
      <c r="H8" s="656" t="e">
        <f ca="1"/>
        <v>#NAME?</v>
      </c>
      <c r="I8" s="8" t="e">
        <f ca="1"/>
        <v>#NAME?</v>
      </c>
      <c r="J8" s="8" t="e">
        <f ca="1"/>
        <v>#NAME?</v>
      </c>
      <c r="K8" s="657" t="e">
        <f ca="1"/>
        <v>#NAME?</v>
      </c>
      <c r="M8" s="1240">
        <f t="shared" si="2"/>
        <v>5</v>
      </c>
      <c r="N8" s="656" t="e">
        <f ca="1"/>
        <v>#NAME?</v>
      </c>
      <c r="O8" s="8" t="e">
        <f ca="1"/>
        <v>#NAME?</v>
      </c>
      <c r="P8" s="8" t="e">
        <f ca="1"/>
        <v>#NAME?</v>
      </c>
      <c r="Q8" s="657" t="e">
        <f ca="1"/>
        <v>#NAME?</v>
      </c>
    </row>
    <row r="9" spans="1:22">
      <c r="A9" s="1240">
        <f t="shared" si="0"/>
        <v>6</v>
      </c>
      <c r="B9" s="750">
        <v>18</v>
      </c>
      <c r="C9" s="42">
        <v>40</v>
      </c>
      <c r="D9" s="42">
        <v>22</v>
      </c>
      <c r="E9" s="838">
        <v>43</v>
      </c>
      <c r="G9" s="1240">
        <f t="shared" si="1"/>
        <v>6</v>
      </c>
      <c r="H9" s="656" t="e">
        <f ca="1"/>
        <v>#NAME?</v>
      </c>
      <c r="I9" s="8" t="e">
        <f ca="1"/>
        <v>#NAME?</v>
      </c>
      <c r="J9" s="8" t="e">
        <f ca="1"/>
        <v>#NAME?</v>
      </c>
      <c r="K9" s="657" t="e">
        <f ca="1"/>
        <v>#NAME?</v>
      </c>
      <c r="M9" s="1240">
        <f t="shared" si="2"/>
        <v>6</v>
      </c>
      <c r="N9" s="656" t="e">
        <f ca="1"/>
        <v>#NAME?</v>
      </c>
      <c r="O9" s="8" t="e">
        <f ca="1"/>
        <v>#NAME?</v>
      </c>
      <c r="P9" s="8" t="e">
        <f ca="1"/>
        <v>#NAME?</v>
      </c>
      <c r="Q9" s="657" t="e">
        <f ca="1"/>
        <v>#NAME?</v>
      </c>
    </row>
    <row r="10" spans="1:22">
      <c r="A10" s="1240">
        <f t="shared" si="0"/>
        <v>7</v>
      </c>
      <c r="B10" s="750">
        <v>15</v>
      </c>
      <c r="C10" s="42">
        <v>50</v>
      </c>
      <c r="D10" s="42">
        <v>28</v>
      </c>
      <c r="E10" s="838">
        <v>56</v>
      </c>
      <c r="G10" s="1240">
        <f t="shared" si="1"/>
        <v>7</v>
      </c>
      <c r="H10" s="656" t="e">
        <f ca="1"/>
        <v>#NAME?</v>
      </c>
      <c r="I10" s="8" t="e">
        <f ca="1"/>
        <v>#NAME?</v>
      </c>
      <c r="J10" s="8" t="e">
        <f ca="1"/>
        <v>#NAME?</v>
      </c>
      <c r="K10" s="657" t="e">
        <f ca="1"/>
        <v>#NAME?</v>
      </c>
      <c r="M10" s="1240">
        <f t="shared" si="2"/>
        <v>7</v>
      </c>
      <c r="N10" s="656" t="e">
        <f ca="1"/>
        <v>#NAME?</v>
      </c>
      <c r="O10" s="8" t="e">
        <f ca="1"/>
        <v>#NAME?</v>
      </c>
      <c r="P10" s="8" t="e">
        <f ca="1"/>
        <v>#NAME?</v>
      </c>
      <c r="Q10" s="657" t="e">
        <f ca="1"/>
        <v>#NAME?</v>
      </c>
    </row>
    <row r="11" spans="1:22">
      <c r="A11" s="1240">
        <f t="shared" si="0"/>
        <v>8</v>
      </c>
      <c r="B11" s="750">
        <v>21</v>
      </c>
      <c r="C11" s="42" t="s">
        <v>28</v>
      </c>
      <c r="D11" s="42" t="s">
        <v>28</v>
      </c>
      <c r="E11" s="838">
        <v>46</v>
      </c>
      <c r="G11" s="1240">
        <f t="shared" si="1"/>
        <v>8</v>
      </c>
      <c r="H11" s="656" t="e">
        <f ca="1"/>
        <v>#NAME?</v>
      </c>
      <c r="I11" s="8" t="e">
        <f ca="1"/>
        <v>#NAME?</v>
      </c>
      <c r="J11" s="8" t="e">
        <f ca="1"/>
        <v>#NAME?</v>
      </c>
      <c r="K11" s="657" t="e">
        <f ca="1"/>
        <v>#NAME?</v>
      </c>
      <c r="M11" s="1240">
        <f t="shared" si="2"/>
        <v>8</v>
      </c>
      <c r="N11" s="656" t="e">
        <f ca="1"/>
        <v>#NAME?</v>
      </c>
      <c r="O11" s="8" t="e">
        <f ca="1"/>
        <v>#NAME?</v>
      </c>
      <c r="P11" s="8" t="e">
        <f ca="1"/>
        <v>#NAME?</v>
      </c>
      <c r="Q11" s="657" t="e">
        <f ca="1"/>
        <v>#NAME?</v>
      </c>
    </row>
    <row r="12" spans="1:22">
      <c r="A12" s="1240">
        <f t="shared" si="0"/>
        <v>9</v>
      </c>
      <c r="B12" s="750">
        <v>20</v>
      </c>
      <c r="C12" s="42">
        <v>39</v>
      </c>
      <c r="D12" s="42">
        <v>25</v>
      </c>
      <c r="E12" s="838">
        <v>51</v>
      </c>
      <c r="G12" s="1240">
        <f t="shared" si="1"/>
        <v>9</v>
      </c>
      <c r="H12" s="656" t="e">
        <f ca="1"/>
        <v>#NAME?</v>
      </c>
      <c r="I12" s="8" t="e">
        <f ca="1"/>
        <v>#NAME?</v>
      </c>
      <c r="J12" s="8" t="e">
        <f ca="1"/>
        <v>#NAME?</v>
      </c>
      <c r="K12" s="657" t="e">
        <f ca="1"/>
        <v>#NAME?</v>
      </c>
      <c r="M12" s="1240">
        <f t="shared" si="2"/>
        <v>9</v>
      </c>
      <c r="N12" s="656" t="e">
        <f ca="1"/>
        <v>#NAME?</v>
      </c>
      <c r="O12" s="8" t="e">
        <f ca="1"/>
        <v>#NAME?</v>
      </c>
      <c r="P12" s="8" t="e">
        <f ca="1"/>
        <v>#NAME?</v>
      </c>
      <c r="Q12" s="657" t="e">
        <f ca="1"/>
        <v>#NAME?</v>
      </c>
    </row>
    <row r="13" spans="1:22">
      <c r="A13" s="1240">
        <f t="shared" si="0"/>
        <v>10</v>
      </c>
      <c r="B13" s="750" t="s">
        <v>28</v>
      </c>
      <c r="C13" s="42">
        <v>36</v>
      </c>
      <c r="D13" s="42">
        <v>23</v>
      </c>
      <c r="E13" s="838">
        <v>56</v>
      </c>
      <c r="G13" s="1240">
        <f t="shared" si="1"/>
        <v>10</v>
      </c>
      <c r="H13" s="656" t="e">
        <f ca="1"/>
        <v>#NAME?</v>
      </c>
      <c r="I13" s="8" t="e">
        <f ca="1"/>
        <v>#NAME?</v>
      </c>
      <c r="J13" s="8" t="e">
        <f ca="1"/>
        <v>#NAME?</v>
      </c>
      <c r="K13" s="657" t="e">
        <f ca="1"/>
        <v>#NAME?</v>
      </c>
      <c r="M13" s="1240">
        <f t="shared" si="2"/>
        <v>10</v>
      </c>
      <c r="N13" s="656" t="e">
        <f ca="1"/>
        <v>#NAME?</v>
      </c>
      <c r="O13" s="8" t="e">
        <f ca="1"/>
        <v>#NAME?</v>
      </c>
      <c r="P13" s="8" t="e">
        <f ca="1"/>
        <v>#NAME?</v>
      </c>
      <c r="Q13" s="657" t="e">
        <f ca="1"/>
        <v>#NAME?</v>
      </c>
    </row>
    <row r="14" spans="1:22">
      <c r="A14" s="1240">
        <f t="shared" si="0"/>
        <v>11</v>
      </c>
      <c r="B14" s="750" t="s">
        <v>28</v>
      </c>
      <c r="C14" s="42">
        <v>27</v>
      </c>
      <c r="D14" s="42">
        <v>21</v>
      </c>
      <c r="E14" s="838">
        <v>39</v>
      </c>
      <c r="G14" s="1240">
        <f t="shared" si="1"/>
        <v>11</v>
      </c>
      <c r="H14" s="656" t="e">
        <f ca="1"/>
        <v>#NAME?</v>
      </c>
      <c r="I14" s="8" t="e">
        <f ca="1"/>
        <v>#NAME?</v>
      </c>
      <c r="J14" s="8" t="e">
        <f ca="1"/>
        <v>#NAME?</v>
      </c>
      <c r="K14" s="657" t="e">
        <f ca="1"/>
        <v>#NAME?</v>
      </c>
      <c r="M14" s="1240">
        <f t="shared" si="2"/>
        <v>11</v>
      </c>
      <c r="N14" s="656" t="e">
        <f ca="1"/>
        <v>#NAME?</v>
      </c>
      <c r="O14" s="8" t="e">
        <f ca="1"/>
        <v>#NAME?</v>
      </c>
      <c r="P14" s="8" t="e">
        <f ca="1"/>
        <v>#NAME?</v>
      </c>
      <c r="Q14" s="657" t="e">
        <f ca="1"/>
        <v>#NAME?</v>
      </c>
    </row>
    <row r="15" spans="1:22">
      <c r="A15" s="1240">
        <f t="shared" si="0"/>
        <v>12</v>
      </c>
      <c r="B15" s="750">
        <v>14</v>
      </c>
      <c r="C15" s="42">
        <v>32</v>
      </c>
      <c r="D15" s="42">
        <v>20</v>
      </c>
      <c r="E15" s="838">
        <v>46</v>
      </c>
      <c r="G15" s="1240">
        <f t="shared" si="1"/>
        <v>12</v>
      </c>
      <c r="H15" s="656" t="e">
        <f ca="1"/>
        <v>#NAME?</v>
      </c>
      <c r="I15" s="8" t="e">
        <f ca="1"/>
        <v>#NAME?</v>
      </c>
      <c r="J15" s="8" t="e">
        <f ca="1"/>
        <v>#NAME?</v>
      </c>
      <c r="K15" s="657" t="e">
        <f ca="1"/>
        <v>#NAME?</v>
      </c>
      <c r="M15" s="1240">
        <f t="shared" si="2"/>
        <v>12</v>
      </c>
      <c r="N15" s="656" t="e">
        <f ca="1"/>
        <v>#NAME?</v>
      </c>
      <c r="O15" s="8" t="e">
        <f ca="1"/>
        <v>#NAME?</v>
      </c>
      <c r="P15" s="8" t="e">
        <f ca="1"/>
        <v>#NAME?</v>
      </c>
      <c r="Q15" s="657" t="e">
        <f ca="1"/>
        <v>#NAME?</v>
      </c>
    </row>
    <row r="16" spans="1:22">
      <c r="A16" s="1240">
        <f t="shared" si="0"/>
        <v>13</v>
      </c>
      <c r="B16" s="750">
        <v>22</v>
      </c>
      <c r="C16" s="42">
        <v>40</v>
      </c>
      <c r="D16" s="42" t="s">
        <v>28</v>
      </c>
      <c r="E16" s="838">
        <v>49</v>
      </c>
      <c r="G16" s="1240">
        <f t="shared" si="1"/>
        <v>13</v>
      </c>
      <c r="H16" s="656" t="e">
        <f ca="1"/>
        <v>#NAME?</v>
      </c>
      <c r="I16" s="8" t="e">
        <f ca="1"/>
        <v>#NAME?</v>
      </c>
      <c r="J16" s="8" t="e">
        <f ca="1"/>
        <v>#NAME?</v>
      </c>
      <c r="K16" s="657" t="e">
        <f ca="1"/>
        <v>#NAME?</v>
      </c>
      <c r="M16" s="1240">
        <f t="shared" si="2"/>
        <v>13</v>
      </c>
      <c r="N16" s="656" t="e">
        <f ca="1"/>
        <v>#NAME?</v>
      </c>
      <c r="O16" s="8" t="e">
        <f ca="1"/>
        <v>#NAME?</v>
      </c>
      <c r="P16" s="1254" t="e">
        <f ca="1"/>
        <v>#NAME?</v>
      </c>
      <c r="Q16" s="657" t="e">
        <f ca="1"/>
        <v>#NAME?</v>
      </c>
    </row>
    <row r="17" spans="1:17">
      <c r="A17" s="1240">
        <f t="shared" si="0"/>
        <v>14</v>
      </c>
      <c r="B17" s="750" t="s">
        <v>28</v>
      </c>
      <c r="C17" s="42">
        <v>31</v>
      </c>
      <c r="D17" s="42" t="s">
        <v>28</v>
      </c>
      <c r="E17" s="838">
        <v>44</v>
      </c>
      <c r="G17" s="1240">
        <f t="shared" si="1"/>
        <v>14</v>
      </c>
      <c r="H17" s="656" t="e">
        <f ca="1"/>
        <v>#NAME?</v>
      </c>
      <c r="I17" s="8" t="e">
        <f ca="1"/>
        <v>#NAME?</v>
      </c>
      <c r="J17" s="8" t="e">
        <f ca="1"/>
        <v>#NAME?</v>
      </c>
      <c r="K17" s="657" t="e">
        <f ca="1"/>
        <v>#NAME?</v>
      </c>
      <c r="M17" s="1240">
        <f t="shared" si="2"/>
        <v>14</v>
      </c>
      <c r="N17" s="656" t="e">
        <f ca="1"/>
        <v>#NAME?</v>
      </c>
      <c r="O17" s="8" t="e">
        <f ca="1"/>
        <v>#NAME?</v>
      </c>
      <c r="P17" s="8" t="e">
        <f ca="1"/>
        <v>#NAME?</v>
      </c>
      <c r="Q17" s="657" t="e">
        <f ca="1"/>
        <v>#NAME?</v>
      </c>
    </row>
    <row r="18" spans="1:17">
      <c r="A18" s="1240">
        <f t="shared" si="0"/>
        <v>15</v>
      </c>
      <c r="B18" s="750" t="s">
        <v>28</v>
      </c>
      <c r="C18" s="42">
        <v>18</v>
      </c>
      <c r="D18" s="42">
        <v>21</v>
      </c>
      <c r="E18" s="838" t="s">
        <v>28</v>
      </c>
      <c r="G18" s="1240">
        <f t="shared" si="1"/>
        <v>15</v>
      </c>
      <c r="H18" s="656" t="e">
        <f ca="1"/>
        <v>#NAME?</v>
      </c>
      <c r="I18" s="8" t="e">
        <f ca="1"/>
        <v>#NAME?</v>
      </c>
      <c r="J18" s="8" t="e">
        <f ca="1"/>
        <v>#NAME?</v>
      </c>
      <c r="K18" s="657" t="e">
        <f ca="1"/>
        <v>#NAME?</v>
      </c>
      <c r="M18" s="1240">
        <f t="shared" si="2"/>
        <v>15</v>
      </c>
      <c r="N18" s="656" t="e">
        <f ca="1"/>
        <v>#NAME?</v>
      </c>
      <c r="O18" s="8" t="e">
        <f ca="1"/>
        <v>#NAME?</v>
      </c>
      <c r="P18" s="8" t="e">
        <f ca="1"/>
        <v>#NAME?</v>
      </c>
      <c r="Q18" s="657" t="e">
        <f ca="1"/>
        <v>#NAME?</v>
      </c>
    </row>
    <row r="19" spans="1:17">
      <c r="A19" s="1240">
        <f t="shared" si="0"/>
        <v>16</v>
      </c>
      <c r="B19" s="750">
        <v>16</v>
      </c>
      <c r="C19" s="42">
        <v>23</v>
      </c>
      <c r="D19" s="42">
        <v>21</v>
      </c>
      <c r="E19" s="838">
        <v>34</v>
      </c>
      <c r="G19" s="1240">
        <f t="shared" si="1"/>
        <v>16</v>
      </c>
      <c r="H19" s="656" t="e">
        <f ca="1"/>
        <v>#NAME?</v>
      </c>
      <c r="I19" s="8" t="e">
        <f ca="1"/>
        <v>#NAME?</v>
      </c>
      <c r="J19" s="8" t="e">
        <f ca="1"/>
        <v>#NAME?</v>
      </c>
      <c r="K19" s="657" t="e">
        <f ca="1"/>
        <v>#NAME?</v>
      </c>
      <c r="M19" s="1240">
        <f t="shared" si="2"/>
        <v>16</v>
      </c>
      <c r="N19" s="656" t="e">
        <f ca="1"/>
        <v>#NAME?</v>
      </c>
      <c r="O19" s="8" t="e">
        <f ca="1"/>
        <v>#NAME?</v>
      </c>
      <c r="P19" s="8" t="e">
        <f ca="1"/>
        <v>#NAME?</v>
      </c>
      <c r="Q19" s="657" t="e">
        <f ca="1"/>
        <v>#NAME?</v>
      </c>
    </row>
    <row r="20" spans="1:17">
      <c r="A20" s="1240">
        <f t="shared" si="0"/>
        <v>17</v>
      </c>
      <c r="B20" s="750">
        <v>27</v>
      </c>
      <c r="C20" s="42">
        <v>26</v>
      </c>
      <c r="D20" s="42">
        <v>23</v>
      </c>
      <c r="E20" s="838">
        <v>59</v>
      </c>
      <c r="G20" s="1240">
        <f t="shared" si="1"/>
        <v>17</v>
      </c>
      <c r="H20" s="656" t="e">
        <f ca="1"/>
        <v>#NAME?</v>
      </c>
      <c r="I20" s="8" t="e">
        <f ca="1"/>
        <v>#NAME?</v>
      </c>
      <c r="J20" s="8" t="e">
        <f ca="1"/>
        <v>#NAME?</v>
      </c>
      <c r="K20" s="657" t="e">
        <f ca="1"/>
        <v>#NAME?</v>
      </c>
      <c r="M20" s="1240">
        <f t="shared" si="2"/>
        <v>17</v>
      </c>
      <c r="N20" s="656" t="e">
        <f ca="1"/>
        <v>#NAME?</v>
      </c>
      <c r="O20" s="8" t="e">
        <f ca="1"/>
        <v>#NAME?</v>
      </c>
      <c r="P20" s="8" t="e">
        <f ca="1"/>
        <v>#NAME?</v>
      </c>
      <c r="Q20" s="657" t="e">
        <f ca="1"/>
        <v>#NAME?</v>
      </c>
    </row>
    <row r="21" spans="1:17">
      <c r="A21" s="1240">
        <f t="shared" si="0"/>
        <v>18</v>
      </c>
      <c r="B21" s="750">
        <v>17</v>
      </c>
      <c r="C21" s="42" t="s">
        <v>28</v>
      </c>
      <c r="D21" s="42" t="s">
        <v>28</v>
      </c>
      <c r="E21" s="838">
        <v>35</v>
      </c>
      <c r="G21" s="1240">
        <f t="shared" si="1"/>
        <v>18</v>
      </c>
      <c r="H21" s="656" t="e">
        <f ca="1"/>
        <v>#NAME?</v>
      </c>
      <c r="I21" s="8" t="e">
        <f ca="1"/>
        <v>#NAME?</v>
      </c>
      <c r="J21" s="8" t="e">
        <f ca="1"/>
        <v>#NAME?</v>
      </c>
      <c r="K21" s="657" t="e">
        <f ca="1"/>
        <v>#NAME?</v>
      </c>
      <c r="M21" s="1240">
        <f t="shared" si="2"/>
        <v>18</v>
      </c>
      <c r="N21" s="656" t="e">
        <f ca="1"/>
        <v>#NAME?</v>
      </c>
      <c r="O21" s="8" t="e">
        <f ca="1"/>
        <v>#NAME?</v>
      </c>
      <c r="P21" s="8" t="e">
        <f ca="1"/>
        <v>#NAME?</v>
      </c>
      <c r="Q21" s="657" t="e">
        <f ca="1"/>
        <v>#NAME?</v>
      </c>
    </row>
    <row r="22" spans="1:17">
      <c r="A22" s="1240">
        <f t="shared" si="0"/>
        <v>19</v>
      </c>
      <c r="B22" s="750">
        <v>13</v>
      </c>
      <c r="C22" s="42">
        <v>21</v>
      </c>
      <c r="D22" s="42">
        <v>20</v>
      </c>
      <c r="E22" s="838">
        <v>48</v>
      </c>
      <c r="G22" s="1240">
        <f t="shared" si="1"/>
        <v>19</v>
      </c>
      <c r="H22" s="656" t="e">
        <f ca="1"/>
        <v>#NAME?</v>
      </c>
      <c r="I22" s="8" t="e">
        <f ca="1"/>
        <v>#NAME?</v>
      </c>
      <c r="J22" s="8" t="e">
        <f ca="1"/>
        <v>#NAME?</v>
      </c>
      <c r="K22" s="657" t="e">
        <f ca="1"/>
        <v>#NAME?</v>
      </c>
      <c r="M22" s="1240">
        <f t="shared" si="2"/>
        <v>19</v>
      </c>
      <c r="N22" s="656" t="e">
        <f ca="1"/>
        <v>#NAME?</v>
      </c>
      <c r="O22" s="8" t="e">
        <f ca="1"/>
        <v>#NAME?</v>
      </c>
      <c r="P22" s="8" t="e">
        <f ca="1"/>
        <v>#NAME?</v>
      </c>
      <c r="Q22" s="657" t="e">
        <f ca="1"/>
        <v>#NAME?</v>
      </c>
    </row>
    <row r="23" spans="1:17">
      <c r="A23" s="1240">
        <f t="shared" si="0"/>
        <v>20</v>
      </c>
      <c r="B23" s="1244">
        <v>11</v>
      </c>
      <c r="C23" s="1247">
        <v>51</v>
      </c>
      <c r="D23" s="1247">
        <v>18</v>
      </c>
      <c r="E23" s="1245">
        <v>54</v>
      </c>
      <c r="G23" s="1240">
        <f t="shared" si="1"/>
        <v>20</v>
      </c>
      <c r="H23" s="533" t="e">
        <f ca="1"/>
        <v>#NAME?</v>
      </c>
      <c r="I23" s="1078" t="e">
        <f ca="1"/>
        <v>#NAME?</v>
      </c>
      <c r="J23" s="1078" t="e">
        <f ca="1"/>
        <v>#NAME?</v>
      </c>
      <c r="K23" s="541" t="e">
        <f ca="1"/>
        <v>#NAME?</v>
      </c>
      <c r="M23" s="1240">
        <f t="shared" si="2"/>
        <v>20</v>
      </c>
      <c r="N23" s="533" t="e">
        <f ca="1"/>
        <v>#NAME?</v>
      </c>
      <c r="O23" s="1078" t="e">
        <f ca="1"/>
        <v>#NAME?</v>
      </c>
      <c r="P23" s="1078" t="e">
        <f ca="1"/>
        <v>#NAME?</v>
      </c>
      <c r="Q23" s="541" t="e">
        <f ca="1"/>
        <v>#NAME?</v>
      </c>
    </row>
    <row r="24" spans="1:17">
      <c r="A24" s="1240" t="s">
        <v>63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1240" t="s">
        <v>63</v>
      </c>
      <c r="H24" t="e">
        <f ca="1">AVERAGE(H4:H23)</f>
        <v>#NAME?</v>
      </c>
      <c r="I24" t="e">
        <f ca="1">AVERAGE(I4:I23)</f>
        <v>#NAME?</v>
      </c>
      <c r="J24" t="e">
        <f ca="1">AVERAGE(J4:J23)</f>
        <v>#NAME?</v>
      </c>
      <c r="K24" t="e">
        <f ca="1">AVERAGE(K4:K23)</f>
        <v>#NAME?</v>
      </c>
      <c r="M24" s="1240" t="s">
        <v>63</v>
      </c>
      <c r="N24" t="e">
        <f ca="1">AVERAGE(N4:N23)</f>
        <v>#NAME?</v>
      </c>
      <c r="O24" t="e">
        <f ca="1">AVERAGE(O4:O23)</f>
        <v>#NAME?</v>
      </c>
      <c r="P24" t="e">
        <f ca="1">AVERAGE(P4:P23)</f>
        <v>#NAME?</v>
      </c>
      <c r="Q24" t="e">
        <f ca="1">AVERAGE(Q4:Q23)</f>
        <v>#NAME?</v>
      </c>
    </row>
    <row r="25" spans="1:17">
      <c r="A25" s="1240" t="s">
        <v>67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1240" t="s">
        <v>67</v>
      </c>
      <c r="H25" t="e">
        <f ca="1">STDEV(H4:H23)</f>
        <v>#NAME?</v>
      </c>
      <c r="I25" t="e">
        <f ca="1">STDEV(I4:I23)</f>
        <v>#NAME?</v>
      </c>
      <c r="J25" t="e">
        <f ca="1">STDEV(J4:J23)</f>
        <v>#NAME?</v>
      </c>
      <c r="K25" t="e">
        <f ca="1">STDEV(K4:K23)</f>
        <v>#NAME?</v>
      </c>
      <c r="M25" s="1240" t="s">
        <v>67</v>
      </c>
      <c r="N25" t="e">
        <f ca="1">STDEV(N4:N23)</f>
        <v>#NAME?</v>
      </c>
      <c r="O25" t="e">
        <f ca="1">STDEV(O4:O23)</f>
        <v>#NAME?</v>
      </c>
      <c r="P25" t="e">
        <f ca="1">STDEV(P4:P23)</f>
        <v>#NAME?</v>
      </c>
      <c r="Q25" t="e">
        <f ca="1">STDEV(Q4:Q23)</f>
        <v>#NAME?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sheetPr codeName="Sheet314"/>
  <dimension ref="A1:AH25"/>
  <sheetViews>
    <sheetView topLeftCell="N1" workbookViewId="0">
      <selection activeCell="AE6" sqref="AE6"/>
    </sheetView>
  </sheetViews>
  <sheetFormatPr defaultRowHeight="14.4"/>
  <cols>
    <col min="6" max="6" width="5.109375" customWidth="1"/>
    <col min="7" max="7" width="9.109375" style="1240"/>
    <col min="12" max="12" width="4.88671875" customWidth="1"/>
    <col min="13" max="13" width="17.109375" customWidth="1"/>
    <col min="16" max="16" width="9.33203125" bestFit="1" customWidth="1"/>
    <col min="17" max="18" width="9.109375" customWidth="1"/>
    <col min="19" max="19" width="9.33203125" bestFit="1" customWidth="1"/>
    <col min="20" max="20" width="5.5546875" customWidth="1"/>
    <col min="25" max="25" width="5.6640625" customWidth="1"/>
    <col min="29" max="29" width="6.44140625" customWidth="1"/>
    <col min="30" max="30" width="9.109375" style="1240"/>
  </cols>
  <sheetData>
    <row r="1" spans="1:34">
      <c r="A1" s="1" t="s">
        <v>3391</v>
      </c>
      <c r="G1" s="126" t="s">
        <v>3357</v>
      </c>
      <c r="AD1" s="126" t="s">
        <v>3390</v>
      </c>
    </row>
    <row r="3" spans="1:34">
      <c r="A3" s="1240" t="s">
        <v>3354</v>
      </c>
      <c r="B3" s="1240" t="s">
        <v>3352</v>
      </c>
      <c r="C3" s="1240" t="s">
        <v>3333</v>
      </c>
      <c r="D3" s="1240" t="s">
        <v>3332</v>
      </c>
      <c r="E3" s="1240" t="s">
        <v>3353</v>
      </c>
      <c r="G3" s="1240" t="str">
        <f>'MI 3'!G3</f>
        <v>id</v>
      </c>
      <c r="H3" s="1240" t="str">
        <f>'MI 3'!H3</f>
        <v>read</v>
      </c>
      <c r="I3" s="1240" t="str">
        <f>'MI 3'!I3</f>
        <v>science</v>
      </c>
      <c r="J3" s="1240" t="str">
        <f>'MI 3'!J3</f>
        <v>math</v>
      </c>
      <c r="K3" s="1240" t="str">
        <f>'MI 3'!K3</f>
        <v>medicine</v>
      </c>
      <c r="M3" t="s">
        <v>2744</v>
      </c>
      <c r="U3" t="s">
        <v>3385</v>
      </c>
      <c r="AD3" s="1240" t="str">
        <f>G3</f>
        <v>id</v>
      </c>
      <c r="AE3" s="1240" t="str">
        <f>H3</f>
        <v>read</v>
      </c>
      <c r="AF3" s="1240" t="str">
        <f>I3</f>
        <v>science</v>
      </c>
      <c r="AG3" s="1240" t="str">
        <f>J3</f>
        <v>math</v>
      </c>
      <c r="AH3" s="1240" t="str">
        <f>K3</f>
        <v>medicine</v>
      </c>
    </row>
    <row r="4" spans="1:34">
      <c r="A4" s="1240">
        <v>1</v>
      </c>
      <c r="B4" s="1242">
        <v>12</v>
      </c>
      <c r="C4" s="1248">
        <v>27</v>
      </c>
      <c r="D4" s="1248">
        <v>19</v>
      </c>
      <c r="E4" s="1243">
        <v>44</v>
      </c>
      <c r="G4" s="1240">
        <f>'MI 3'!G4</f>
        <v>1</v>
      </c>
      <c r="H4" s="1236" t="e">
        <f ca="1">'MI 3'!H4</f>
        <v>#NAME?</v>
      </c>
      <c r="I4" s="1234" t="e">
        <f ca="1">'MI 3'!I4</f>
        <v>#NAME?</v>
      </c>
      <c r="J4" s="1234" t="e">
        <f ca="1">'MI 3'!J4</f>
        <v>#NAME?</v>
      </c>
      <c r="K4" s="1237" t="e">
        <f ca="1">'MI 3'!K4</f>
        <v>#NAME?</v>
      </c>
      <c r="U4" s="1236" t="e">
        <f t="array" aca="1" ref="U4:X7" ca="1">[1]!core(I4:K23)</f>
        <v>#NAME?</v>
      </c>
      <c r="V4" s="1234" t="e">
        <f ca="1"/>
        <v>#NAME?</v>
      </c>
      <c r="W4" s="1234" t="e">
        <f ca="1"/>
        <v>#NAME?</v>
      </c>
      <c r="X4" s="1237" t="e">
        <f ca="1"/>
        <v>#NAME?</v>
      </c>
      <c r="Z4" t="s">
        <v>3349</v>
      </c>
      <c r="AA4" s="1235" t="e">
        <f ca="1">O15</f>
        <v>#NAME?</v>
      </c>
      <c r="AD4" s="1240">
        <f t="shared" ref="AD4:AD18" si="0">G4</f>
        <v>1</v>
      </c>
      <c r="AE4" s="1236" t="e">
        <f t="shared" ref="AE4:AE16" ca="1" si="1">H4</f>
        <v>#NAME?</v>
      </c>
      <c r="AF4" s="1234" t="e">
        <f t="shared" ref="AF4:AF18" ca="1" si="2">I4</f>
        <v>#NAME?</v>
      </c>
      <c r="AG4" s="1234" t="e">
        <f t="shared" ref="AG4:AG18" ca="1" si="3">J4</f>
        <v>#NAME?</v>
      </c>
      <c r="AH4" s="1237" t="e">
        <f t="shared" ref="AH4:AH18" ca="1" si="4">K4</f>
        <v>#NAME?</v>
      </c>
    </row>
    <row r="5" spans="1:34" ht="15" thickBot="1">
      <c r="A5" s="1240">
        <f>A4+1</f>
        <v>2</v>
      </c>
      <c r="B5" s="750">
        <v>11</v>
      </c>
      <c r="C5" s="42" t="s">
        <v>28</v>
      </c>
      <c r="D5" s="42">
        <v>13</v>
      </c>
      <c r="E5" s="838">
        <v>43</v>
      </c>
      <c r="G5" s="1240">
        <f>'MI 3'!G5</f>
        <v>2</v>
      </c>
      <c r="H5" s="656" t="e">
        <f ca="1">'MI 3'!H5</f>
        <v>#NAME?</v>
      </c>
      <c r="I5" s="8" t="e">
        <f ca="1">'MI 3'!I5</f>
        <v>#NAME?</v>
      </c>
      <c r="J5" s="8" t="e">
        <f ca="1">'MI 3'!J5</f>
        <v>#NAME?</v>
      </c>
      <c r="K5" s="657" t="e">
        <f ca="1">'MI 3'!K5</f>
        <v>#NAME?</v>
      </c>
      <c r="M5" s="1059" t="s">
        <v>2750</v>
      </c>
      <c r="N5" s="1059"/>
      <c r="U5" s="656" t="e">
        <f ca="1"/>
        <v>#NAME?</v>
      </c>
      <c r="V5" s="8" t="e">
        <f ca="1"/>
        <v>#NAME?</v>
      </c>
      <c r="W5" s="8" t="e">
        <f ca="1"/>
        <v>#NAME?</v>
      </c>
      <c r="X5" s="657" t="e">
        <f ca="1"/>
        <v>#NAME?</v>
      </c>
      <c r="Z5" t="s">
        <v>2684</v>
      </c>
      <c r="AA5" s="627" t="e">
        <f ca="1">CHIINV(RAND(),N15)</f>
        <v>#NUM!</v>
      </c>
      <c r="AD5" s="1240">
        <f t="shared" si="0"/>
        <v>2</v>
      </c>
      <c r="AE5" s="656" t="e">
        <f ca="1">H5</f>
        <v>#NAME?</v>
      </c>
      <c r="AF5" s="8" t="e">
        <f t="shared" ca="1" si="2"/>
        <v>#NAME?</v>
      </c>
      <c r="AG5" s="8" t="e">
        <f t="shared" ca="1" si="3"/>
        <v>#NAME?</v>
      </c>
      <c r="AH5" s="657" t="e">
        <f t="shared" ca="1" si="4"/>
        <v>#NAME?</v>
      </c>
    </row>
    <row r="6" spans="1:34" ht="15" thickTop="1">
      <c r="A6" s="1240">
        <f t="shared" ref="A6:A23" si="5">A5+1</f>
        <v>3</v>
      </c>
      <c r="B6" s="750" t="s">
        <v>28</v>
      </c>
      <c r="C6" s="42">
        <v>56</v>
      </c>
      <c r="D6" s="42">
        <v>23</v>
      </c>
      <c r="E6" s="838">
        <v>60</v>
      </c>
      <c r="G6" s="1240">
        <f>'MI 3'!G6</f>
        <v>3</v>
      </c>
      <c r="H6" s="656" t="e">
        <f ca="1">'MI 3'!H6</f>
        <v>#NAME?</v>
      </c>
      <c r="I6" s="8" t="e">
        <f ca="1">'MI 3'!I6</f>
        <v>#NAME?</v>
      </c>
      <c r="J6" s="8" t="e">
        <f ca="1">'MI 3'!J6</f>
        <v>#NAME?</v>
      </c>
      <c r="K6" s="657" t="e">
        <f ca="1">'MI 3'!K6</f>
        <v>#NAME?</v>
      </c>
      <c r="M6" t="s">
        <v>693</v>
      </c>
      <c r="N6" t="e">
        <f ca="1">SQRT(N7)</f>
        <v>#NAME?</v>
      </c>
      <c r="U6" s="656" t="e">
        <f ca="1"/>
        <v>#NAME?</v>
      </c>
      <c r="V6" s="8" t="e">
        <f ca="1"/>
        <v>#NAME?</v>
      </c>
      <c r="W6" s="8" t="e">
        <f ca="1"/>
        <v>#NAME?</v>
      </c>
      <c r="X6" s="657" t="e">
        <f ca="1"/>
        <v>#NAME?</v>
      </c>
      <c r="Z6" s="492" t="s">
        <v>3386</v>
      </c>
      <c r="AA6" s="627" t="e">
        <f ca="1">AA4/AA5</f>
        <v>#NAME?</v>
      </c>
      <c r="AD6" s="1240">
        <f t="shared" si="0"/>
        <v>3</v>
      </c>
      <c r="AE6" s="656" t="e">
        <f ca="1">AB$10+MMULT(AF6:AH6,AB$11:AB$13)+NORMSINV(RAND())</f>
        <v>#NAME?</v>
      </c>
      <c r="AF6" s="8" t="e">
        <f t="shared" ca="1" si="2"/>
        <v>#NAME?</v>
      </c>
      <c r="AG6" s="8" t="e">
        <f t="shared" ca="1" si="3"/>
        <v>#NAME?</v>
      </c>
      <c r="AH6" s="657" t="e">
        <f t="shared" ca="1" si="4"/>
        <v>#NAME?</v>
      </c>
    </row>
    <row r="7" spans="1:34">
      <c r="A7" s="1240">
        <f t="shared" si="5"/>
        <v>4</v>
      </c>
      <c r="B7" s="750">
        <v>15</v>
      </c>
      <c r="C7" s="42">
        <v>37</v>
      </c>
      <c r="D7" s="42">
        <v>19</v>
      </c>
      <c r="E7" s="838">
        <v>52</v>
      </c>
      <c r="G7" s="1240">
        <f>'MI 3'!G7</f>
        <v>4</v>
      </c>
      <c r="H7" s="656" t="e">
        <f ca="1">'MI 3'!H7</f>
        <v>#NAME?</v>
      </c>
      <c r="I7" s="8" t="e">
        <f ca="1">'MI 3'!I7</f>
        <v>#NAME?</v>
      </c>
      <c r="J7" s="8" t="e">
        <f ca="1">'MI 3'!J7</f>
        <v>#NAME?</v>
      </c>
      <c r="K7" s="657" t="e">
        <f ca="1">'MI 3'!K7</f>
        <v>#NAME?</v>
      </c>
      <c r="M7" t="s">
        <v>686</v>
      </c>
      <c r="N7" t="e">
        <f ca="1">O14/O16</f>
        <v>#NAME?</v>
      </c>
      <c r="U7" s="533" t="e">
        <f ca="1"/>
        <v>#NAME?</v>
      </c>
      <c r="V7" s="1078" t="e">
        <f ca="1"/>
        <v>#NAME?</v>
      </c>
      <c r="W7" s="1078" t="e">
        <f ca="1"/>
        <v>#NAME?</v>
      </c>
      <c r="X7" s="541" t="e">
        <f ca="1"/>
        <v>#NAME?</v>
      </c>
      <c r="Z7" t="s">
        <v>3389</v>
      </c>
      <c r="AA7" s="544" t="e">
        <f ca="1">SQRT(AA6)</f>
        <v>#NAME?</v>
      </c>
      <c r="AD7" s="1240">
        <f t="shared" si="0"/>
        <v>4</v>
      </c>
      <c r="AE7" s="656" t="e">
        <f t="shared" ca="1" si="1"/>
        <v>#NAME?</v>
      </c>
      <c r="AF7" s="8" t="e">
        <f t="shared" ca="1" si="2"/>
        <v>#NAME?</v>
      </c>
      <c r="AG7" s="8" t="e">
        <f t="shared" ca="1" si="3"/>
        <v>#NAME?</v>
      </c>
      <c r="AH7" s="657" t="e">
        <f t="shared" ca="1" si="4"/>
        <v>#NAME?</v>
      </c>
    </row>
    <row r="8" spans="1:34">
      <c r="A8" s="1240">
        <f t="shared" si="5"/>
        <v>5</v>
      </c>
      <c r="B8" s="750">
        <v>10</v>
      </c>
      <c r="C8" s="42">
        <v>31</v>
      </c>
      <c r="D8" s="42">
        <v>21</v>
      </c>
      <c r="E8" s="838" t="s">
        <v>28</v>
      </c>
      <c r="G8" s="1240">
        <f>'MI 3'!G8</f>
        <v>5</v>
      </c>
      <c r="H8" s="656" t="e">
        <f ca="1">'MI 3'!H8</f>
        <v>#NAME?</v>
      </c>
      <c r="I8" s="8" t="e">
        <f ca="1">'MI 3'!I8</f>
        <v>#NAME?</v>
      </c>
      <c r="J8" s="8" t="e">
        <f ca="1">'MI 3'!J8</f>
        <v>#NAME?</v>
      </c>
      <c r="K8" s="657" t="e">
        <f ca="1">'MI 3'!K8</f>
        <v>#NAME?</v>
      </c>
      <c r="M8" t="s">
        <v>694</v>
      </c>
      <c r="N8" t="e">
        <f ca="1">1-(1-N7)*(N10-1)/(N10-N14-1)</f>
        <v>#NAME?</v>
      </c>
      <c r="AD8" s="1240">
        <f t="shared" si="0"/>
        <v>5</v>
      </c>
      <c r="AE8" s="656" t="e">
        <f t="shared" ca="1" si="1"/>
        <v>#NAME?</v>
      </c>
      <c r="AF8" s="8" t="e">
        <f t="shared" ca="1" si="2"/>
        <v>#NAME?</v>
      </c>
      <c r="AG8" s="8" t="e">
        <f t="shared" ca="1" si="3"/>
        <v>#NAME?</v>
      </c>
      <c r="AH8" s="657" t="e">
        <f t="shared" ca="1" si="4"/>
        <v>#NAME?</v>
      </c>
    </row>
    <row r="9" spans="1:34">
      <c r="A9" s="1240">
        <f t="shared" si="5"/>
        <v>6</v>
      </c>
      <c r="B9" s="750">
        <v>18</v>
      </c>
      <c r="C9" s="42">
        <v>40</v>
      </c>
      <c r="D9" s="42">
        <v>22</v>
      </c>
      <c r="E9" s="838">
        <v>43</v>
      </c>
      <c r="G9" s="1240">
        <f>'MI 3'!G9</f>
        <v>6</v>
      </c>
      <c r="H9" s="656" t="e">
        <f ca="1">'MI 3'!H9</f>
        <v>#NAME?</v>
      </c>
      <c r="I9" s="8" t="e">
        <f ca="1">'MI 3'!I9</f>
        <v>#NAME?</v>
      </c>
      <c r="J9" s="8" t="e">
        <f ca="1">'MI 3'!J9</f>
        <v>#NAME?</v>
      </c>
      <c r="K9" s="657" t="e">
        <f ca="1">'MI 3'!K9</f>
        <v>#NAME?</v>
      </c>
      <c r="M9" t="s">
        <v>77</v>
      </c>
      <c r="N9" t="e">
        <f ca="1">SQRT(P15)</f>
        <v>#NAME?</v>
      </c>
      <c r="U9" t="s">
        <v>3387</v>
      </c>
      <c r="Z9" s="1240" t="s">
        <v>3388</v>
      </c>
      <c r="AA9" s="1240" t="s">
        <v>1516</v>
      </c>
      <c r="AB9" s="1240" t="s">
        <v>3350</v>
      </c>
      <c r="AD9" s="1240">
        <f t="shared" si="0"/>
        <v>6</v>
      </c>
      <c r="AE9" s="656" t="e">
        <f t="shared" ca="1" si="1"/>
        <v>#NAME?</v>
      </c>
      <c r="AF9" s="8" t="e">
        <f t="shared" ca="1" si="2"/>
        <v>#NAME?</v>
      </c>
      <c r="AG9" s="8" t="e">
        <f t="shared" ca="1" si="3"/>
        <v>#NAME?</v>
      </c>
      <c r="AH9" s="657" t="e">
        <f t="shared" ca="1" si="4"/>
        <v>#NAME?</v>
      </c>
    </row>
    <row r="10" spans="1:34">
      <c r="A10" s="1240">
        <f t="shared" si="5"/>
        <v>7</v>
      </c>
      <c r="B10" s="750">
        <v>15</v>
      </c>
      <c r="C10" s="42">
        <v>50</v>
      </c>
      <c r="D10" s="42">
        <v>28</v>
      </c>
      <c r="E10" s="838">
        <v>56</v>
      </c>
      <c r="G10" s="1240">
        <f>'MI 3'!G10</f>
        <v>7</v>
      </c>
      <c r="H10" s="656" t="e">
        <f ca="1">'MI 3'!H10</f>
        <v>#NAME?</v>
      </c>
      <c r="I10" s="8" t="e">
        <f ca="1">'MI 3'!I10</f>
        <v>#NAME?</v>
      </c>
      <c r="J10" s="8" t="e">
        <f ca="1">'MI 3'!J10</f>
        <v>#NAME?</v>
      </c>
      <c r="K10" s="657" t="e">
        <f ca="1">'MI 3'!K10</f>
        <v>#NAME?</v>
      </c>
      <c r="M10" s="1078" t="s">
        <v>224</v>
      </c>
      <c r="N10" s="1078">
        <f ca="1">COUNT(H4:H23)</f>
        <v>0</v>
      </c>
      <c r="U10" s="1236" t="e">
        <f t="array" aca="1" ref="U10:X13" ca="1">[1]!CHOL(U4:X7)</f>
        <v>#NAME?</v>
      </c>
      <c r="V10" s="1234" t="e">
        <f ca="1"/>
        <v>#NAME?</v>
      </c>
      <c r="W10" s="1234" t="e">
        <f ca="1"/>
        <v>#NAME?</v>
      </c>
      <c r="X10" s="1237" t="e">
        <f ca="1"/>
        <v>#NAME?</v>
      </c>
      <c r="Z10" s="1236" t="e">
        <f ca="1">N19</f>
        <v>#NAME?</v>
      </c>
      <c r="AA10" s="1234">
        <f ca="1">NORMSINV(RAND())</f>
        <v>0.95790736384152497</v>
      </c>
      <c r="AB10" s="1237" t="e">
        <f t="array" aca="1" ref="AB10:AB13" ca="1">Z10:Z13+AA7*MMULT(U10:X13,AA10:AA13)</f>
        <v>#NAME?</v>
      </c>
      <c r="AD10" s="1240">
        <f t="shared" si="0"/>
        <v>7</v>
      </c>
      <c r="AE10" s="656" t="e">
        <f t="shared" ca="1" si="1"/>
        <v>#NAME?</v>
      </c>
      <c r="AF10" s="8" t="e">
        <f t="shared" ca="1" si="2"/>
        <v>#NAME?</v>
      </c>
      <c r="AG10" s="8" t="e">
        <f t="shared" ca="1" si="3"/>
        <v>#NAME?</v>
      </c>
      <c r="AH10" s="657" t="e">
        <f t="shared" ca="1" si="4"/>
        <v>#NAME?</v>
      </c>
    </row>
    <row r="11" spans="1:34">
      <c r="A11" s="1240">
        <f t="shared" si="5"/>
        <v>8</v>
      </c>
      <c r="B11" s="750">
        <v>21</v>
      </c>
      <c r="C11" s="42" t="s">
        <v>28</v>
      </c>
      <c r="D11" s="42" t="s">
        <v>28</v>
      </c>
      <c r="E11" s="838">
        <v>46</v>
      </c>
      <c r="G11" s="1240">
        <f>'MI 3'!G11</f>
        <v>8</v>
      </c>
      <c r="H11" s="656" t="e">
        <f ca="1">'MI 3'!H11</f>
        <v>#NAME?</v>
      </c>
      <c r="I11" s="8" t="e">
        <f ca="1">'MI 3'!I11</f>
        <v>#NAME?</v>
      </c>
      <c r="J11" s="8" t="e">
        <f ca="1">'MI 3'!J11</f>
        <v>#NAME?</v>
      </c>
      <c r="K11" s="657" t="e">
        <f ca="1">'MI 3'!K11</f>
        <v>#NAME?</v>
      </c>
      <c r="U11" s="656" t="e">
        <f ca="1"/>
        <v>#NAME?</v>
      </c>
      <c r="V11" s="8" t="e">
        <f ca="1"/>
        <v>#NAME?</v>
      </c>
      <c r="W11" s="8" t="e">
        <f ca="1"/>
        <v>#NAME?</v>
      </c>
      <c r="X11" s="657" t="e">
        <f ca="1"/>
        <v>#NAME?</v>
      </c>
      <c r="Z11" s="656" t="e">
        <f ca="1">N20</f>
        <v>#NAME?</v>
      </c>
      <c r="AA11" s="8">
        <f t="array" aca="1" ref="AA11" ca="1">NORMSINV(RAND())</f>
        <v>-1.8839329421451681E-2</v>
      </c>
      <c r="AB11" s="657" t="e">
        <f ca="1"/>
        <v>#NAME?</v>
      </c>
      <c r="AD11" s="1240">
        <f t="shared" si="0"/>
        <v>8</v>
      </c>
      <c r="AE11" s="656" t="e">
        <f t="shared" ca="1" si="1"/>
        <v>#NAME?</v>
      </c>
      <c r="AF11" s="8" t="e">
        <f t="shared" ca="1" si="2"/>
        <v>#NAME?</v>
      </c>
      <c r="AG11" s="8" t="e">
        <f t="shared" ca="1" si="3"/>
        <v>#NAME?</v>
      </c>
      <c r="AH11" s="657" t="e">
        <f t="shared" ca="1" si="4"/>
        <v>#NAME?</v>
      </c>
    </row>
    <row r="12" spans="1:34" ht="15" thickBot="1">
      <c r="A12" s="1240">
        <f t="shared" si="5"/>
        <v>9</v>
      </c>
      <c r="B12" s="750">
        <v>20</v>
      </c>
      <c r="C12" s="42">
        <v>39</v>
      </c>
      <c r="D12" s="42">
        <v>25</v>
      </c>
      <c r="E12" s="838">
        <v>51</v>
      </c>
      <c r="G12" s="1240">
        <f>'MI 3'!G12</f>
        <v>9</v>
      </c>
      <c r="H12" s="656" t="e">
        <f ca="1">'MI 3'!H12</f>
        <v>#NAME?</v>
      </c>
      <c r="I12" s="8" t="e">
        <f ca="1">'MI 3'!I12</f>
        <v>#NAME?</v>
      </c>
      <c r="J12" s="8" t="e">
        <f ca="1">'MI 3'!J12</f>
        <v>#NAME?</v>
      </c>
      <c r="K12" s="657" t="e">
        <f ca="1">'MI 3'!K12</f>
        <v>#NAME?</v>
      </c>
      <c r="M12" t="s">
        <v>695</v>
      </c>
      <c r="Q12" s="1240" t="s">
        <v>116</v>
      </c>
      <c r="R12" s="1240">
        <v>0.05</v>
      </c>
      <c r="U12" s="656" t="e">
        <f ca="1"/>
        <v>#NAME?</v>
      </c>
      <c r="V12" s="8" t="e">
        <f ca="1"/>
        <v>#NAME?</v>
      </c>
      <c r="W12" s="8" t="e">
        <f ca="1"/>
        <v>#NAME?</v>
      </c>
      <c r="X12" s="657" t="e">
        <f ca="1"/>
        <v>#NAME?</v>
      </c>
      <c r="Z12" s="656" t="e">
        <f ca="1">N21</f>
        <v>#NAME?</v>
      </c>
      <c r="AA12" s="8">
        <f t="array" aca="1" ref="AA12" ca="1">NORMSINV(RAND())</f>
        <v>-1.2770345866084075E-2</v>
      </c>
      <c r="AB12" s="657" t="e">
        <f ca="1"/>
        <v>#NAME?</v>
      </c>
      <c r="AD12" s="1240">
        <f t="shared" si="0"/>
        <v>9</v>
      </c>
      <c r="AE12" s="656" t="e">
        <f t="shared" ca="1" si="1"/>
        <v>#NAME?</v>
      </c>
      <c r="AF12" s="8" t="e">
        <f t="shared" ca="1" si="2"/>
        <v>#NAME?</v>
      </c>
      <c r="AG12" s="8" t="e">
        <f t="shared" ca="1" si="3"/>
        <v>#NAME?</v>
      </c>
      <c r="AH12" s="657" t="e">
        <f t="shared" ca="1" si="4"/>
        <v>#NAME?</v>
      </c>
    </row>
    <row r="13" spans="1:34" ht="15" thickTop="1">
      <c r="A13" s="1240">
        <f t="shared" si="5"/>
        <v>10</v>
      </c>
      <c r="B13" s="750" t="s">
        <v>28</v>
      </c>
      <c r="C13" s="42">
        <v>36</v>
      </c>
      <c r="D13" s="42">
        <v>23</v>
      </c>
      <c r="E13" s="838">
        <v>56</v>
      </c>
      <c r="G13" s="1240">
        <f>'MI 3'!G13</f>
        <v>10</v>
      </c>
      <c r="H13" s="656" t="e">
        <f ca="1">'MI 3'!H13</f>
        <v>#NAME?</v>
      </c>
      <c r="I13" s="8" t="e">
        <f ca="1">'MI 3'!I13</f>
        <v>#NAME?</v>
      </c>
      <c r="J13" s="8" t="e">
        <f ca="1">'MI 3'!J13</f>
        <v>#NAME?</v>
      </c>
      <c r="K13" s="657" t="e">
        <f ca="1">'MI 3'!K13</f>
        <v>#NAME?</v>
      </c>
      <c r="M13" s="1151"/>
      <c r="N13" s="1151" t="s">
        <v>186</v>
      </c>
      <c r="O13" s="1151" t="s">
        <v>578</v>
      </c>
      <c r="P13" s="1151" t="s">
        <v>641</v>
      </c>
      <c r="Q13" s="1151" t="s">
        <v>388</v>
      </c>
      <c r="R13" s="1151" t="s">
        <v>200</v>
      </c>
      <c r="S13" s="1151" t="s">
        <v>948</v>
      </c>
      <c r="U13" s="533" t="e">
        <f ca="1"/>
        <v>#NAME?</v>
      </c>
      <c r="V13" s="1078" t="e">
        <f ca="1"/>
        <v>#NAME?</v>
      </c>
      <c r="W13" s="1078" t="e">
        <f ca="1"/>
        <v>#NAME?</v>
      </c>
      <c r="X13" s="541" t="e">
        <f ca="1"/>
        <v>#NAME?</v>
      </c>
      <c r="Z13" s="533" t="e">
        <f ca="1">N22</f>
        <v>#NAME?</v>
      </c>
      <c r="AA13" s="1078">
        <f t="array" aca="1" ref="AA13" ca="1">NORMSINV(RAND())</f>
        <v>1.3946466434203399</v>
      </c>
      <c r="AB13" s="541" t="e">
        <f ca="1"/>
        <v>#NAME?</v>
      </c>
      <c r="AD13" s="1240">
        <f t="shared" si="0"/>
        <v>10</v>
      </c>
      <c r="AE13" s="656" t="e">
        <f ca="1">AB$10+MMULT(AF13:AH13,AB$11:AB$13)+NORMSINV(RAND())</f>
        <v>#NAME?</v>
      </c>
      <c r="AF13" s="8" t="e">
        <f t="shared" ca="1" si="2"/>
        <v>#NAME?</v>
      </c>
      <c r="AG13" s="8" t="e">
        <f t="shared" ca="1" si="3"/>
        <v>#NAME?</v>
      </c>
      <c r="AH13" s="657" t="e">
        <f t="shared" ca="1" si="4"/>
        <v>#NAME?</v>
      </c>
    </row>
    <row r="14" spans="1:34">
      <c r="A14" s="1240">
        <f t="shared" si="5"/>
        <v>11</v>
      </c>
      <c r="B14" s="750" t="s">
        <v>28</v>
      </c>
      <c r="C14" s="42">
        <v>27</v>
      </c>
      <c r="D14" s="42">
        <v>21</v>
      </c>
      <c r="E14" s="838">
        <v>39</v>
      </c>
      <c r="G14" s="1240">
        <f>'MI 3'!G14</f>
        <v>11</v>
      </c>
      <c r="H14" s="656" t="e">
        <f ca="1">'MI 3'!H14</f>
        <v>#NAME?</v>
      </c>
      <c r="I14" s="8" t="e">
        <f ca="1">'MI 3'!I14</f>
        <v>#NAME?</v>
      </c>
      <c r="J14" s="8" t="e">
        <f ca="1">'MI 3'!J14</f>
        <v>#NAME?</v>
      </c>
      <c r="K14" s="657" t="e">
        <f ca="1">'MI 3'!K14</f>
        <v>#NAME?</v>
      </c>
      <c r="M14" t="s">
        <v>623</v>
      </c>
      <c r="N14">
        <f ca="1">COUNT(I4:K4)</f>
        <v>0</v>
      </c>
      <c r="O14" t="e">
        <f ca="1">DEVSQ(MMULT([1]!DESIGN(I4:K23),N19:N22))</f>
        <v>#NAME?</v>
      </c>
      <c r="P14" t="e">
        <f ca="1">O14/N14</f>
        <v>#NAME?</v>
      </c>
      <c r="Q14" t="e">
        <f ca="1">P14/P15</f>
        <v>#NAME?</v>
      </c>
      <c r="R14" t="e">
        <f ca="1">FDIST(Q14,N14,N15)</f>
        <v>#NAME?</v>
      </c>
      <c r="S14" s="1240" t="e">
        <f ca="1">IF(R14&lt;R12,"yes","no")</f>
        <v>#NAME?</v>
      </c>
      <c r="AD14" s="1240">
        <f t="shared" si="0"/>
        <v>11</v>
      </c>
      <c r="AE14" s="656" t="e">
        <f ca="1">AB$10+MMULT(AF14:AH14,AB$11:AB$13)+NORMSINV(RAND())</f>
        <v>#NAME?</v>
      </c>
      <c r="AF14" s="8" t="e">
        <f t="shared" ca="1" si="2"/>
        <v>#NAME?</v>
      </c>
      <c r="AG14" s="8" t="e">
        <f t="shared" ca="1" si="3"/>
        <v>#NAME?</v>
      </c>
      <c r="AH14" s="657" t="e">
        <f t="shared" ca="1" si="4"/>
        <v>#NAME?</v>
      </c>
    </row>
    <row r="15" spans="1:34">
      <c r="A15" s="1240">
        <f t="shared" si="5"/>
        <v>12</v>
      </c>
      <c r="B15" s="750">
        <v>14</v>
      </c>
      <c r="C15" s="42">
        <v>32</v>
      </c>
      <c r="D15" s="42">
        <v>20</v>
      </c>
      <c r="E15" s="838">
        <v>46</v>
      </c>
      <c r="G15" s="1240">
        <f>'MI 3'!G15</f>
        <v>12</v>
      </c>
      <c r="H15" s="656" t="e">
        <f ca="1">'MI 3'!H15</f>
        <v>#NAME?</v>
      </c>
      <c r="I15" s="8" t="e">
        <f ca="1">'MI 3'!I15</f>
        <v>#NAME?</v>
      </c>
      <c r="J15" s="8" t="e">
        <f ca="1">'MI 3'!J15</f>
        <v>#NAME?</v>
      </c>
      <c r="K15" s="657" t="e">
        <f ca="1">'MI 3'!K15</f>
        <v>#NAME?</v>
      </c>
      <c r="M15" t="s">
        <v>696</v>
      </c>
      <c r="N15">
        <f ca="1">N16-N14</f>
        <v>-1</v>
      </c>
      <c r="O15" t="e">
        <f ca="1">O16-O14</f>
        <v>#NAME?</v>
      </c>
      <c r="P15" t="e">
        <f ca="1">O15/N15</f>
        <v>#NAME?</v>
      </c>
      <c r="AD15" s="1240">
        <f t="shared" si="0"/>
        <v>12</v>
      </c>
      <c r="AE15" s="656" t="e">
        <f t="shared" ca="1" si="1"/>
        <v>#NAME?</v>
      </c>
      <c r="AF15" s="8" t="e">
        <f t="shared" ca="1" si="2"/>
        <v>#NAME?</v>
      </c>
      <c r="AG15" s="8" t="e">
        <f t="shared" ca="1" si="3"/>
        <v>#NAME?</v>
      </c>
      <c r="AH15" s="657" t="e">
        <f t="shared" ca="1" si="4"/>
        <v>#NAME?</v>
      </c>
    </row>
    <row r="16" spans="1:34">
      <c r="A16" s="1240">
        <f t="shared" si="5"/>
        <v>13</v>
      </c>
      <c r="B16" s="750">
        <v>22</v>
      </c>
      <c r="C16" s="42">
        <v>40</v>
      </c>
      <c r="D16" s="42" t="s">
        <v>28</v>
      </c>
      <c r="E16" s="838">
        <v>49</v>
      </c>
      <c r="G16" s="1240">
        <f>'MI 3'!G16</f>
        <v>13</v>
      </c>
      <c r="H16" s="656" t="e">
        <f ca="1">'MI 3'!H16</f>
        <v>#NAME?</v>
      </c>
      <c r="I16" s="8" t="e">
        <f ca="1">'MI 3'!I16</f>
        <v>#NAME?</v>
      </c>
      <c r="J16" s="8" t="e">
        <f ca="1">'MI 3'!J16</f>
        <v>#NAME?</v>
      </c>
      <c r="K16" s="657" t="e">
        <f ca="1">'MI 3'!K16</f>
        <v>#NAME?</v>
      </c>
      <c r="M16" s="1078" t="s">
        <v>12</v>
      </c>
      <c r="N16" s="1078">
        <f ca="1">N10-1</f>
        <v>-1</v>
      </c>
      <c r="O16" s="1078" t="e">
        <f ca="1">DEVSQ(H4:H23)</f>
        <v>#NAME?</v>
      </c>
      <c r="P16" s="1078"/>
      <c r="Q16" s="1078"/>
      <c r="R16" s="1078"/>
      <c r="S16" s="1078"/>
      <c r="AD16" s="1240">
        <f t="shared" si="0"/>
        <v>13</v>
      </c>
      <c r="AE16" s="656" t="e">
        <f t="shared" ca="1" si="1"/>
        <v>#NAME?</v>
      </c>
      <c r="AF16" s="8" t="e">
        <f t="shared" ca="1" si="2"/>
        <v>#NAME?</v>
      </c>
      <c r="AG16" s="8" t="e">
        <f t="shared" ca="1" si="3"/>
        <v>#NAME?</v>
      </c>
      <c r="AH16" s="657" t="e">
        <f t="shared" ca="1" si="4"/>
        <v>#NAME?</v>
      </c>
    </row>
    <row r="17" spans="1:34" ht="15" thickBot="1">
      <c r="A17" s="1240">
        <f t="shared" si="5"/>
        <v>14</v>
      </c>
      <c r="B17" s="750" t="s">
        <v>28</v>
      </c>
      <c r="C17" s="42">
        <v>31</v>
      </c>
      <c r="D17" s="42" t="s">
        <v>28</v>
      </c>
      <c r="E17" s="838">
        <v>44</v>
      </c>
      <c r="G17" s="1240">
        <f>'MI 3'!G17</f>
        <v>14</v>
      </c>
      <c r="H17" s="656" t="e">
        <f ca="1">'MI 3'!H17</f>
        <v>#NAME?</v>
      </c>
      <c r="I17" s="8" t="e">
        <f ca="1">'MI 3'!I17</f>
        <v>#NAME?</v>
      </c>
      <c r="J17" s="8" t="e">
        <f ca="1">'MI 3'!J17</f>
        <v>#NAME?</v>
      </c>
      <c r="K17" s="657" t="e">
        <f ca="1">'MI 3'!K17</f>
        <v>#NAME?</v>
      </c>
      <c r="AD17" s="1240">
        <f t="shared" si="0"/>
        <v>14</v>
      </c>
      <c r="AE17" s="656" t="e">
        <f ca="1">AB$10+MMULT(AF17:AH17,AB$11:AB$13)+NORMSINV(RAND())</f>
        <v>#NAME?</v>
      </c>
      <c r="AF17" s="8" t="e">
        <f t="shared" ca="1" si="2"/>
        <v>#NAME?</v>
      </c>
      <c r="AG17" s="8" t="e">
        <f t="shared" ca="1" si="3"/>
        <v>#NAME?</v>
      </c>
      <c r="AH17" s="657" t="e">
        <f t="shared" ca="1" si="4"/>
        <v>#NAME?</v>
      </c>
    </row>
    <row r="18" spans="1:34" ht="15" thickTop="1">
      <c r="A18" s="1240">
        <f t="shared" si="5"/>
        <v>15</v>
      </c>
      <c r="B18" s="750" t="s">
        <v>28</v>
      </c>
      <c r="C18" s="42">
        <v>18</v>
      </c>
      <c r="D18" s="42">
        <v>21</v>
      </c>
      <c r="E18" s="838" t="s">
        <v>28</v>
      </c>
      <c r="G18" s="1240">
        <f>'MI 3'!G18</f>
        <v>15</v>
      </c>
      <c r="H18" s="656" t="e">
        <f ca="1">'MI 3'!H18</f>
        <v>#NAME?</v>
      </c>
      <c r="I18" s="8" t="e">
        <f ca="1">'MI 3'!I18</f>
        <v>#NAME?</v>
      </c>
      <c r="J18" s="8" t="e">
        <f ca="1">'MI 3'!J18</f>
        <v>#NAME?</v>
      </c>
      <c r="K18" s="657" t="e">
        <f ca="1">'MI 3'!K18</f>
        <v>#NAME?</v>
      </c>
      <c r="M18" s="1151"/>
      <c r="N18" s="1151" t="s">
        <v>2743</v>
      </c>
      <c r="O18" s="1151" t="s">
        <v>1469</v>
      </c>
      <c r="P18" s="1151" t="s">
        <v>188</v>
      </c>
      <c r="Q18" s="1151" t="s">
        <v>200</v>
      </c>
      <c r="R18" s="1151" t="s">
        <v>103</v>
      </c>
      <c r="S18" s="1151" t="s">
        <v>104</v>
      </c>
      <c r="AD18" s="1240">
        <f t="shared" si="0"/>
        <v>15</v>
      </c>
      <c r="AE18" s="656" t="e">
        <f ca="1">AB$10+MMULT(AF18:AH18,AB$11:AB$13)+NORMSINV(RAND())</f>
        <v>#NAME?</v>
      </c>
      <c r="AF18" s="8" t="e">
        <f t="shared" ca="1" si="2"/>
        <v>#NAME?</v>
      </c>
      <c r="AG18" s="8" t="e">
        <f t="shared" ca="1" si="3"/>
        <v>#NAME?</v>
      </c>
      <c r="AH18" s="657" t="e">
        <f t="shared" ca="1" si="4"/>
        <v>#NAME?</v>
      </c>
    </row>
    <row r="19" spans="1:34">
      <c r="A19" s="1240">
        <f t="shared" si="5"/>
        <v>16</v>
      </c>
      <c r="B19" s="750">
        <v>16</v>
      </c>
      <c r="C19" s="42">
        <v>23</v>
      </c>
      <c r="D19" s="42">
        <v>21</v>
      </c>
      <c r="E19" s="838">
        <v>34</v>
      </c>
      <c r="G19" s="1240">
        <f>'MI 3'!G19</f>
        <v>16</v>
      </c>
      <c r="H19" s="656" t="e">
        <f ca="1">'MI 3'!H19</f>
        <v>#NAME?</v>
      </c>
      <c r="I19" s="8" t="e">
        <f ca="1">'MI 3'!I19</f>
        <v>#NAME?</v>
      </c>
      <c r="J19" s="8" t="e">
        <f ca="1">'MI 3'!J19</f>
        <v>#NAME?</v>
      </c>
      <c r="K19" s="657" t="e">
        <f ca="1">'MI 3'!K19</f>
        <v>#NAME?</v>
      </c>
      <c r="M19" t="s">
        <v>697</v>
      </c>
      <c r="N19" t="e">
        <f t="array" aca="1" ref="N19:N22" ca="1">[1]!RegCoeff(I4:K23,H4:H23)</f>
        <v>#NAME?</v>
      </c>
      <c r="O19" t="e">
        <f t="array" aca="1" ref="O19:O22" ca="1">[1]!RegCoeffSE(I4:K23,H4:H23)</f>
        <v>#NAME?</v>
      </c>
      <c r="P19" t="e">
        <f ca="1">N19/O19</f>
        <v>#NAME?</v>
      </c>
      <c r="Q19" t="e">
        <f ca="1">TDIST(ABS(P19),$N$15,2)</f>
        <v>#NAME?</v>
      </c>
      <c r="R19" t="e">
        <f ca="1">N19-TINV(R$12,$N$15)*O19</f>
        <v>#NAME?</v>
      </c>
      <c r="S19" t="e">
        <f ca="1">N19+TINV(R$12,$N$15)*O19</f>
        <v>#NAME?</v>
      </c>
      <c r="AD19" s="1240">
        <f t="shared" ref="AD19:AH23" si="6">G19</f>
        <v>16</v>
      </c>
      <c r="AE19" s="656" t="e">
        <f t="shared" ca="1" si="6"/>
        <v>#NAME?</v>
      </c>
      <c r="AF19" s="8" t="e">
        <f t="shared" ca="1" si="6"/>
        <v>#NAME?</v>
      </c>
      <c r="AG19" s="8" t="e">
        <f t="shared" ca="1" si="6"/>
        <v>#NAME?</v>
      </c>
      <c r="AH19" s="657" t="e">
        <f t="shared" ca="1" si="6"/>
        <v>#NAME?</v>
      </c>
    </row>
    <row r="20" spans="1:34">
      <c r="A20" s="1240">
        <f t="shared" si="5"/>
        <v>17</v>
      </c>
      <c r="B20" s="750">
        <v>27</v>
      </c>
      <c r="C20" s="42">
        <v>26</v>
      </c>
      <c r="D20" s="42">
        <v>23</v>
      </c>
      <c r="E20" s="838">
        <v>59</v>
      </c>
      <c r="G20" s="1240">
        <f>'MI 3'!G20</f>
        <v>17</v>
      </c>
      <c r="H20" s="656" t="e">
        <f ca="1">'MI 3'!H20</f>
        <v>#NAME?</v>
      </c>
      <c r="I20" s="8" t="e">
        <f ca="1">'MI 3'!I20</f>
        <v>#NAME?</v>
      </c>
      <c r="J20" s="8" t="e">
        <f ca="1">'MI 3'!J20</f>
        <v>#NAME?</v>
      </c>
      <c r="K20" s="657" t="e">
        <f ca="1">'MI 3'!K20</f>
        <v>#NAME?</v>
      </c>
      <c r="M20" t="str">
        <f t="array" ref="M20:M22">TRANSPOSE(I3:K3)</f>
        <v>science</v>
      </c>
      <c r="N20" t="e">
        <f ca="1"/>
        <v>#NAME?</v>
      </c>
      <c r="O20" t="e">
        <f ca="1"/>
        <v>#NAME?</v>
      </c>
      <c r="P20" t="e">
        <f ca="1">N20/O20</f>
        <v>#NAME?</v>
      </c>
      <c r="Q20" t="e">
        <f ca="1">TDIST(ABS(P20),$N$15,2)</f>
        <v>#NAME?</v>
      </c>
      <c r="R20" t="e">
        <f ca="1">N20-TINV(R$12,$N$15)*O20</f>
        <v>#NAME?</v>
      </c>
      <c r="S20" t="e">
        <f ca="1">N20+TINV(R$12,$N$15)*O20</f>
        <v>#NAME?</v>
      </c>
      <c r="AD20" s="1240">
        <f t="shared" si="6"/>
        <v>17</v>
      </c>
      <c r="AE20" s="656" t="e">
        <f t="shared" ca="1" si="6"/>
        <v>#NAME?</v>
      </c>
      <c r="AF20" s="8" t="e">
        <f t="shared" ca="1" si="6"/>
        <v>#NAME?</v>
      </c>
      <c r="AG20" s="8" t="e">
        <f t="shared" ca="1" si="6"/>
        <v>#NAME?</v>
      </c>
      <c r="AH20" s="657" t="e">
        <f t="shared" ca="1" si="6"/>
        <v>#NAME?</v>
      </c>
    </row>
    <row r="21" spans="1:34">
      <c r="A21" s="1240">
        <f t="shared" si="5"/>
        <v>18</v>
      </c>
      <c r="B21" s="750">
        <v>17</v>
      </c>
      <c r="C21" s="42" t="s">
        <v>28</v>
      </c>
      <c r="D21" s="42" t="s">
        <v>28</v>
      </c>
      <c r="E21" s="838">
        <v>35</v>
      </c>
      <c r="G21" s="1240">
        <f>'MI 3'!G21</f>
        <v>18</v>
      </c>
      <c r="H21" s="656" t="e">
        <f ca="1">'MI 3'!H21</f>
        <v>#NAME?</v>
      </c>
      <c r="I21" s="8" t="e">
        <f ca="1">'MI 3'!I21</f>
        <v>#NAME?</v>
      </c>
      <c r="J21" s="8" t="e">
        <f ca="1">'MI 3'!J21</f>
        <v>#NAME?</v>
      </c>
      <c r="K21" s="657" t="e">
        <f ca="1">'MI 3'!K21</f>
        <v>#NAME?</v>
      </c>
      <c r="M21" t="str">
        <v>math</v>
      </c>
      <c r="N21" t="e">
        <f ca="1"/>
        <v>#NAME?</v>
      </c>
      <c r="O21" t="e">
        <f ca="1"/>
        <v>#NAME?</v>
      </c>
      <c r="P21" t="e">
        <f ca="1">N21/O21</f>
        <v>#NAME?</v>
      </c>
      <c r="Q21" t="e">
        <f ca="1">TDIST(ABS(P21),$N$15,2)</f>
        <v>#NAME?</v>
      </c>
      <c r="R21" t="e">
        <f ca="1">N21-TINV(R$12,$N$15)*O21</f>
        <v>#NAME?</v>
      </c>
      <c r="S21" t="e">
        <f ca="1">N21+TINV(R$12,$N$15)*O21</f>
        <v>#NAME?</v>
      </c>
      <c r="AD21" s="1240">
        <f t="shared" si="6"/>
        <v>18</v>
      </c>
      <c r="AE21" s="656" t="e">
        <f t="shared" ca="1" si="6"/>
        <v>#NAME?</v>
      </c>
      <c r="AF21" s="8" t="e">
        <f t="shared" ca="1" si="6"/>
        <v>#NAME?</v>
      </c>
      <c r="AG21" s="8" t="e">
        <f t="shared" ca="1" si="6"/>
        <v>#NAME?</v>
      </c>
      <c r="AH21" s="657" t="e">
        <f t="shared" ca="1" si="6"/>
        <v>#NAME?</v>
      </c>
    </row>
    <row r="22" spans="1:34">
      <c r="A22" s="1240">
        <f t="shared" si="5"/>
        <v>19</v>
      </c>
      <c r="B22" s="750">
        <v>13</v>
      </c>
      <c r="C22" s="42">
        <v>21</v>
      </c>
      <c r="D22" s="42">
        <v>20</v>
      </c>
      <c r="E22" s="838">
        <v>48</v>
      </c>
      <c r="G22" s="1240">
        <f>'MI 3'!G22</f>
        <v>19</v>
      </c>
      <c r="H22" s="656" t="e">
        <f ca="1">'MI 3'!H22</f>
        <v>#NAME?</v>
      </c>
      <c r="I22" s="8" t="e">
        <f ca="1">'MI 3'!I22</f>
        <v>#NAME?</v>
      </c>
      <c r="J22" s="8" t="e">
        <f ca="1">'MI 3'!J22</f>
        <v>#NAME?</v>
      </c>
      <c r="K22" s="657" t="e">
        <f ca="1">'MI 3'!K22</f>
        <v>#NAME?</v>
      </c>
      <c r="M22" s="1078" t="str">
        <v>medicine</v>
      </c>
      <c r="N22" s="1078" t="e">
        <f ca="1"/>
        <v>#NAME?</v>
      </c>
      <c r="O22" s="1078" t="e">
        <f ca="1"/>
        <v>#NAME?</v>
      </c>
      <c r="P22" s="1078" t="e">
        <f ca="1">N22/O22</f>
        <v>#NAME?</v>
      </c>
      <c r="Q22" s="1078" t="e">
        <f ca="1">TDIST(ABS(P22),$N$15,2)</f>
        <v>#NAME?</v>
      </c>
      <c r="R22" s="1078" t="e">
        <f ca="1">N22-TINV(R$12,$N$15)*O22</f>
        <v>#NAME?</v>
      </c>
      <c r="S22" s="1078" t="e">
        <f ca="1">N22+TINV(R$12,$N$15)*O22</f>
        <v>#NAME?</v>
      </c>
      <c r="AD22" s="1240">
        <f t="shared" si="6"/>
        <v>19</v>
      </c>
      <c r="AE22" s="656" t="e">
        <f t="shared" ca="1" si="6"/>
        <v>#NAME?</v>
      </c>
      <c r="AF22" s="8" t="e">
        <f t="shared" ca="1" si="6"/>
        <v>#NAME?</v>
      </c>
      <c r="AG22" s="8" t="e">
        <f t="shared" ca="1" si="6"/>
        <v>#NAME?</v>
      </c>
      <c r="AH22" s="657" t="e">
        <f t="shared" ca="1" si="6"/>
        <v>#NAME?</v>
      </c>
    </row>
    <row r="23" spans="1:34">
      <c r="A23" s="1240">
        <f t="shared" si="5"/>
        <v>20</v>
      </c>
      <c r="B23" s="1244">
        <v>11</v>
      </c>
      <c r="C23" s="1247">
        <v>51</v>
      </c>
      <c r="D23" s="1247">
        <v>18</v>
      </c>
      <c r="E23" s="1245">
        <v>54</v>
      </c>
      <c r="G23" s="1240">
        <f>'MI 3'!G23</f>
        <v>20</v>
      </c>
      <c r="H23" s="533" t="e">
        <f ca="1">'MI 3'!H23</f>
        <v>#NAME?</v>
      </c>
      <c r="I23" s="1078" t="e">
        <f ca="1">'MI 3'!I23</f>
        <v>#NAME?</v>
      </c>
      <c r="J23" s="1078" t="e">
        <f ca="1">'MI 3'!J23</f>
        <v>#NAME?</v>
      </c>
      <c r="K23" s="541" t="e">
        <f ca="1">'MI 3'!K23</f>
        <v>#NAME?</v>
      </c>
      <c r="AD23" s="1240">
        <f t="shared" si="6"/>
        <v>20</v>
      </c>
      <c r="AE23" s="533" t="e">
        <f t="shared" ca="1" si="6"/>
        <v>#NAME?</v>
      </c>
      <c r="AF23" s="1078" t="e">
        <f t="shared" ca="1" si="6"/>
        <v>#NAME?</v>
      </c>
      <c r="AG23" s="1078" t="e">
        <f t="shared" ca="1" si="6"/>
        <v>#NAME?</v>
      </c>
      <c r="AH23" s="541" t="e">
        <f t="shared" ca="1" si="6"/>
        <v>#NAME?</v>
      </c>
    </row>
    <row r="24" spans="1:34">
      <c r="A24" s="1240" t="s">
        <v>63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1240" t="s">
        <v>63</v>
      </c>
      <c r="H24" t="e">
        <f ca="1">AVERAGE(H4:H23)</f>
        <v>#NAME?</v>
      </c>
      <c r="I24" t="e">
        <f ca="1">AVERAGE(I4:I23)</f>
        <v>#NAME?</v>
      </c>
      <c r="J24" t="e">
        <f ca="1">AVERAGE(J4:J23)</f>
        <v>#NAME?</v>
      </c>
      <c r="K24" t="e">
        <f ca="1">AVERAGE(K4:K23)</f>
        <v>#NAME?</v>
      </c>
      <c r="AD24" s="1240" t="s">
        <v>63</v>
      </c>
      <c r="AE24" t="e">
        <f ca="1">AVERAGE(AE4:AE23)</f>
        <v>#NAME?</v>
      </c>
      <c r="AF24" t="e">
        <f ca="1">AVERAGE(AF4:AF23)</f>
        <v>#NAME?</v>
      </c>
      <c r="AG24" t="e">
        <f ca="1">AVERAGE(AG4:AG23)</f>
        <v>#NAME?</v>
      </c>
      <c r="AH24" t="e">
        <f ca="1">AVERAGE(AH4:AH23)</f>
        <v>#NAME?</v>
      </c>
    </row>
    <row r="25" spans="1:34">
      <c r="A25" s="1240" t="s">
        <v>67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1240" t="s">
        <v>67</v>
      </c>
      <c r="H25" t="e">
        <f ca="1">STDEV(H4:H23)</f>
        <v>#NAME?</v>
      </c>
      <c r="I25" t="e">
        <f ca="1">STDEV(I4:I23)</f>
        <v>#NAME?</v>
      </c>
      <c r="J25" t="e">
        <f ca="1">STDEV(J4:J23)</f>
        <v>#NAME?</v>
      </c>
      <c r="K25" t="e">
        <f ca="1">STDEV(K4:K23)</f>
        <v>#NAME?</v>
      </c>
      <c r="AD25" s="1240" t="s">
        <v>67</v>
      </c>
      <c r="AE25" t="e">
        <f ca="1">STDEV(AE4:AE23)</f>
        <v>#NAME?</v>
      </c>
      <c r="AF25" t="e">
        <f ca="1">STDEV(AF4:AF23)</f>
        <v>#NAME?</v>
      </c>
      <c r="AG25" t="e">
        <f ca="1">STDEV(AG4:AG23)</f>
        <v>#NAME?</v>
      </c>
      <c r="AH25" t="e">
        <f ca="1">STDEV(AH4:AH23)</f>
        <v>#NAME?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sheetPr codeName="Sheet306"/>
  <dimension ref="A1:U25"/>
  <sheetViews>
    <sheetView workbookViewId="0">
      <selection activeCell="H10" sqref="H10"/>
    </sheetView>
  </sheetViews>
  <sheetFormatPr defaultRowHeight="14.4"/>
  <cols>
    <col min="6" max="6" width="5.6640625" customWidth="1"/>
    <col min="12" max="12" width="5.5546875" customWidth="1"/>
    <col min="18" max="18" width="5.44140625" customWidth="1"/>
  </cols>
  <sheetData>
    <row r="1" spans="1:21">
      <c r="A1" s="1" t="s">
        <v>3448</v>
      </c>
      <c r="G1" t="s">
        <v>3362</v>
      </c>
      <c r="M1" t="s">
        <v>3363</v>
      </c>
    </row>
    <row r="2" spans="1:21">
      <c r="S2" s="1240" t="s">
        <v>3358</v>
      </c>
      <c r="T2" s="1240" t="s">
        <v>3359</v>
      </c>
      <c r="U2" s="1240" t="s">
        <v>3360</v>
      </c>
    </row>
    <row r="3" spans="1:21">
      <c r="A3" s="1240" t="s">
        <v>3354</v>
      </c>
      <c r="B3" s="1241" t="s">
        <v>3352</v>
      </c>
      <c r="C3" s="1241" t="s">
        <v>3333</v>
      </c>
      <c r="D3" s="1241" t="s">
        <v>3332</v>
      </c>
      <c r="E3" s="1241" t="s">
        <v>3353</v>
      </c>
      <c r="G3" s="1240" t="s">
        <v>3354</v>
      </c>
      <c r="H3" s="1241" t="s">
        <v>3352</v>
      </c>
      <c r="I3" s="1241" t="s">
        <v>3333</v>
      </c>
      <c r="J3" s="1241" t="s">
        <v>3332</v>
      </c>
      <c r="K3" s="1241" t="s">
        <v>3353</v>
      </c>
      <c r="M3" s="1240" t="s">
        <v>3354</v>
      </c>
      <c r="N3" s="1241" t="e">
        <f t="array" aca="1" ref="N3:Q23" ca="1">[1]!ImputeReg(B3:E23,1,TRUE,S3:U3)</f>
        <v>#NAME?</v>
      </c>
      <c r="O3" s="1241" t="e">
        <f ca="1"/>
        <v>#NAME?</v>
      </c>
      <c r="P3" s="1241" t="e">
        <f ca="1"/>
        <v>#NAME?</v>
      </c>
      <c r="Q3" s="1241" t="e">
        <f ca="1"/>
        <v>#NAME?</v>
      </c>
      <c r="S3" s="848">
        <v>10</v>
      </c>
      <c r="T3" s="821">
        <v>30</v>
      </c>
      <c r="U3" s="849" t="b">
        <v>1</v>
      </c>
    </row>
    <row r="4" spans="1:21">
      <c r="A4" s="1240">
        <v>1</v>
      </c>
      <c r="B4" s="1242">
        <v>12</v>
      </c>
      <c r="C4" s="1152">
        <v>27</v>
      </c>
      <c r="D4" s="1152">
        <v>19</v>
      </c>
      <c r="E4" s="1237">
        <v>44</v>
      </c>
      <c r="G4" s="1240">
        <v>1</v>
      </c>
      <c r="H4" s="1236" t="e">
        <f t="array" aca="1" ref="H4:K23" ca="1">[1]!ImputeReg(B4:E23,1,FALSE)</f>
        <v>#NAME?</v>
      </c>
      <c r="I4" s="1152" t="e">
        <f ca="1"/>
        <v>#NAME?</v>
      </c>
      <c r="J4" s="1152" t="e">
        <f ca="1"/>
        <v>#NAME?</v>
      </c>
      <c r="K4" s="1237" t="e">
        <f ca="1"/>
        <v>#NAME?</v>
      </c>
      <c r="M4" s="1240">
        <v>1</v>
      </c>
      <c r="N4" s="1236" t="e">
        <f ca="1"/>
        <v>#NAME?</v>
      </c>
      <c r="O4" s="1152" t="e">
        <f ca="1"/>
        <v>#NAME?</v>
      </c>
      <c r="P4" s="1152" t="e">
        <f ca="1"/>
        <v>#NAME?</v>
      </c>
      <c r="Q4" s="1237" t="e">
        <f ca="1"/>
        <v>#NAME?</v>
      </c>
    </row>
    <row r="5" spans="1:21">
      <c r="A5" s="1240">
        <v>2</v>
      </c>
      <c r="B5" s="750">
        <v>11</v>
      </c>
      <c r="C5" s="8">
        <v>43</v>
      </c>
      <c r="D5" s="8">
        <v>13</v>
      </c>
      <c r="E5" s="657">
        <v>43</v>
      </c>
      <c r="G5" s="1240">
        <v>2</v>
      </c>
      <c r="H5" s="656" t="e">
        <f ca="1"/>
        <v>#NAME?</v>
      </c>
      <c r="I5" s="8" t="e">
        <f ca="1"/>
        <v>#NAME?</v>
      </c>
      <c r="J5" s="8" t="e">
        <f ca="1"/>
        <v>#NAME?</v>
      </c>
      <c r="K5" s="657" t="e">
        <f ca="1"/>
        <v>#NAME?</v>
      </c>
      <c r="M5" s="1240">
        <v>2</v>
      </c>
      <c r="N5" s="656" t="e">
        <f ca="1"/>
        <v>#NAME?</v>
      </c>
      <c r="O5" s="8" t="e">
        <f ca="1"/>
        <v>#NAME?</v>
      </c>
      <c r="P5" s="8" t="e">
        <f ca="1"/>
        <v>#NAME?</v>
      </c>
      <c r="Q5" s="657" t="e">
        <f ca="1"/>
        <v>#NAME?</v>
      </c>
    </row>
    <row r="6" spans="1:21">
      <c r="A6" s="1240">
        <v>3</v>
      </c>
      <c r="B6" s="750" t="s">
        <v>28</v>
      </c>
      <c r="C6" s="8">
        <v>56</v>
      </c>
      <c r="D6" s="8">
        <v>23</v>
      </c>
      <c r="E6" s="657">
        <v>60</v>
      </c>
      <c r="G6" s="1240">
        <v>3</v>
      </c>
      <c r="H6" s="656" t="e">
        <f ca="1"/>
        <v>#NAME?</v>
      </c>
      <c r="I6" s="8" t="e">
        <f ca="1"/>
        <v>#NAME?</v>
      </c>
      <c r="J6" s="8" t="e">
        <f ca="1"/>
        <v>#NAME?</v>
      </c>
      <c r="K6" s="657" t="e">
        <f ca="1"/>
        <v>#NAME?</v>
      </c>
      <c r="M6" s="1240">
        <v>3</v>
      </c>
      <c r="N6" s="656" t="e">
        <f ca="1"/>
        <v>#NAME?</v>
      </c>
      <c r="O6" s="8" t="e">
        <f ca="1"/>
        <v>#NAME?</v>
      </c>
      <c r="P6" s="8" t="e">
        <f ca="1"/>
        <v>#NAME?</v>
      </c>
      <c r="Q6" s="657" t="e">
        <f ca="1"/>
        <v>#NAME?</v>
      </c>
    </row>
    <row r="7" spans="1:21">
      <c r="A7" s="1240">
        <v>4</v>
      </c>
      <c r="B7" s="750">
        <v>15</v>
      </c>
      <c r="C7" s="8">
        <v>37</v>
      </c>
      <c r="D7" s="8">
        <v>19</v>
      </c>
      <c r="E7" s="657">
        <v>52</v>
      </c>
      <c r="G7" s="1240">
        <v>4</v>
      </c>
      <c r="H7" s="656" t="e">
        <f ca="1"/>
        <v>#NAME?</v>
      </c>
      <c r="I7" s="8" t="e">
        <f ca="1"/>
        <v>#NAME?</v>
      </c>
      <c r="J7" s="8" t="e">
        <f ca="1"/>
        <v>#NAME?</v>
      </c>
      <c r="K7" s="657" t="e">
        <f ca="1"/>
        <v>#NAME?</v>
      </c>
      <c r="M7" s="1240">
        <v>4</v>
      </c>
      <c r="N7" s="656" t="e">
        <f ca="1"/>
        <v>#NAME?</v>
      </c>
      <c r="O7" s="8" t="e">
        <f ca="1"/>
        <v>#NAME?</v>
      </c>
      <c r="P7" s="8" t="e">
        <f ca="1"/>
        <v>#NAME?</v>
      </c>
      <c r="Q7" s="657" t="e">
        <f ca="1"/>
        <v>#NAME?</v>
      </c>
    </row>
    <row r="8" spans="1:21">
      <c r="A8" s="1240">
        <v>5</v>
      </c>
      <c r="B8" s="750">
        <v>10</v>
      </c>
      <c r="C8" s="8">
        <v>31</v>
      </c>
      <c r="D8" s="8">
        <v>21</v>
      </c>
      <c r="E8" s="657">
        <v>56.055107634636713</v>
      </c>
      <c r="G8" s="1240">
        <v>5</v>
      </c>
      <c r="H8" s="656" t="e">
        <f ca="1"/>
        <v>#NAME?</v>
      </c>
      <c r="I8" s="8" t="e">
        <f ca="1"/>
        <v>#NAME?</v>
      </c>
      <c r="J8" s="8" t="e">
        <f ca="1"/>
        <v>#NAME?</v>
      </c>
      <c r="K8" s="657" t="e">
        <f ca="1"/>
        <v>#NAME?</v>
      </c>
      <c r="M8" s="1240">
        <v>5</v>
      </c>
      <c r="N8" s="656" t="e">
        <f ca="1"/>
        <v>#NAME?</v>
      </c>
      <c r="O8" s="8" t="e">
        <f ca="1"/>
        <v>#NAME?</v>
      </c>
      <c r="P8" s="8" t="e">
        <f ca="1"/>
        <v>#NAME?</v>
      </c>
      <c r="Q8" s="657" t="e">
        <f ca="1"/>
        <v>#NAME?</v>
      </c>
    </row>
    <row r="9" spans="1:21">
      <c r="A9" s="1240">
        <v>6</v>
      </c>
      <c r="B9" s="750">
        <v>18</v>
      </c>
      <c r="C9" s="8">
        <v>40</v>
      </c>
      <c r="D9" s="8">
        <v>22</v>
      </c>
      <c r="E9" s="657">
        <v>43</v>
      </c>
      <c r="G9" s="1240">
        <v>6</v>
      </c>
      <c r="H9" s="656" t="e">
        <f ca="1"/>
        <v>#NAME?</v>
      </c>
      <c r="I9" s="8" t="e">
        <f ca="1"/>
        <v>#NAME?</v>
      </c>
      <c r="J9" s="8" t="e">
        <f ca="1"/>
        <v>#NAME?</v>
      </c>
      <c r="K9" s="657" t="e">
        <f ca="1"/>
        <v>#NAME?</v>
      </c>
      <c r="M9" s="1240">
        <v>6</v>
      </c>
      <c r="N9" s="656" t="e">
        <f ca="1"/>
        <v>#NAME?</v>
      </c>
      <c r="O9" s="8" t="e">
        <f ca="1"/>
        <v>#NAME?</v>
      </c>
      <c r="P9" s="8" t="e">
        <f ca="1"/>
        <v>#NAME?</v>
      </c>
      <c r="Q9" s="657" t="e">
        <f ca="1"/>
        <v>#NAME?</v>
      </c>
    </row>
    <row r="10" spans="1:21">
      <c r="A10" s="1240">
        <v>7</v>
      </c>
      <c r="B10" s="750">
        <v>15</v>
      </c>
      <c r="C10" s="8">
        <v>50</v>
      </c>
      <c r="D10" s="8">
        <v>28</v>
      </c>
      <c r="E10" s="657">
        <v>56</v>
      </c>
      <c r="G10" s="1240">
        <v>7</v>
      </c>
      <c r="H10" s="656" t="e">
        <f ca="1"/>
        <v>#NAME?</v>
      </c>
      <c r="I10" s="8" t="e">
        <f ca="1"/>
        <v>#NAME?</v>
      </c>
      <c r="J10" s="8" t="e">
        <f ca="1"/>
        <v>#NAME?</v>
      </c>
      <c r="K10" s="657" t="e">
        <f ca="1"/>
        <v>#NAME?</v>
      </c>
      <c r="M10" s="1240">
        <v>7</v>
      </c>
      <c r="N10" s="656" t="e">
        <f ca="1"/>
        <v>#NAME?</v>
      </c>
      <c r="O10" s="8" t="e">
        <f ca="1"/>
        <v>#NAME?</v>
      </c>
      <c r="P10" s="8" t="e">
        <f ca="1"/>
        <v>#NAME?</v>
      </c>
      <c r="Q10" s="657" t="e">
        <f ca="1"/>
        <v>#NAME?</v>
      </c>
    </row>
    <row r="11" spans="1:21">
      <c r="A11" s="1240">
        <v>8</v>
      </c>
      <c r="B11" s="750">
        <v>21</v>
      </c>
      <c r="C11" s="8">
        <v>20</v>
      </c>
      <c r="D11" s="8">
        <v>23.992682255872598</v>
      </c>
      <c r="E11" s="657">
        <v>46</v>
      </c>
      <c r="G11" s="1240">
        <v>8</v>
      </c>
      <c r="H11" s="656" t="e">
        <f ca="1"/>
        <v>#NAME?</v>
      </c>
      <c r="I11" s="8" t="e">
        <f ca="1"/>
        <v>#NAME?</v>
      </c>
      <c r="J11" s="8" t="e">
        <f ca="1"/>
        <v>#NAME?</v>
      </c>
      <c r="K11" s="657" t="e">
        <f ca="1"/>
        <v>#NAME?</v>
      </c>
      <c r="M11" s="1240">
        <v>8</v>
      </c>
      <c r="N11" s="656" t="e">
        <f ca="1"/>
        <v>#NAME?</v>
      </c>
      <c r="O11" s="8" t="e">
        <f ca="1"/>
        <v>#NAME?</v>
      </c>
      <c r="P11" s="8" t="e">
        <f ca="1"/>
        <v>#NAME?</v>
      </c>
      <c r="Q11" s="657" t="e">
        <f ca="1"/>
        <v>#NAME?</v>
      </c>
    </row>
    <row r="12" spans="1:21">
      <c r="A12" s="1240">
        <v>9</v>
      </c>
      <c r="B12" s="750">
        <v>20</v>
      </c>
      <c r="C12" s="8">
        <v>39</v>
      </c>
      <c r="D12" s="8">
        <v>25</v>
      </c>
      <c r="E12" s="657">
        <v>51</v>
      </c>
      <c r="G12" s="1240">
        <v>9</v>
      </c>
      <c r="H12" s="656" t="e">
        <f ca="1"/>
        <v>#NAME?</v>
      </c>
      <c r="I12" s="8" t="e">
        <f ca="1"/>
        <v>#NAME?</v>
      </c>
      <c r="J12" s="8" t="e">
        <f ca="1"/>
        <v>#NAME?</v>
      </c>
      <c r="K12" s="657" t="e">
        <f ca="1"/>
        <v>#NAME?</v>
      </c>
      <c r="M12" s="1240">
        <v>9</v>
      </c>
      <c r="N12" s="656" t="e">
        <f ca="1"/>
        <v>#NAME?</v>
      </c>
      <c r="O12" s="8" t="e">
        <f ca="1"/>
        <v>#NAME?</v>
      </c>
      <c r="P12" s="8" t="e">
        <f ca="1"/>
        <v>#NAME?</v>
      </c>
      <c r="Q12" s="657" t="e">
        <f ca="1"/>
        <v>#NAME?</v>
      </c>
    </row>
    <row r="13" spans="1:21">
      <c r="A13" s="1240">
        <v>10</v>
      </c>
      <c r="B13" s="750" t="s">
        <v>28</v>
      </c>
      <c r="C13" s="8">
        <v>36</v>
      </c>
      <c r="D13" s="8">
        <v>23</v>
      </c>
      <c r="E13" s="657">
        <v>56</v>
      </c>
      <c r="G13" s="1240">
        <v>10</v>
      </c>
      <c r="H13" s="656" t="e">
        <f ca="1"/>
        <v>#NAME?</v>
      </c>
      <c r="I13" s="8" t="e">
        <f ca="1"/>
        <v>#NAME?</v>
      </c>
      <c r="J13" s="8" t="e">
        <f ca="1"/>
        <v>#NAME?</v>
      </c>
      <c r="K13" s="657" t="e">
        <f ca="1"/>
        <v>#NAME?</v>
      </c>
      <c r="M13" s="1240">
        <v>10</v>
      </c>
      <c r="N13" s="656" t="e">
        <f ca="1"/>
        <v>#NAME?</v>
      </c>
      <c r="O13" s="8" t="e">
        <f ca="1"/>
        <v>#NAME?</v>
      </c>
      <c r="P13" s="8" t="e">
        <f ca="1"/>
        <v>#NAME?</v>
      </c>
      <c r="Q13" s="657" t="e">
        <f ca="1"/>
        <v>#NAME?</v>
      </c>
    </row>
    <row r="14" spans="1:21">
      <c r="A14" s="1240">
        <v>11</v>
      </c>
      <c r="B14" s="750" t="s">
        <v>28</v>
      </c>
      <c r="C14" s="8">
        <v>27</v>
      </c>
      <c r="D14" s="8">
        <v>21</v>
      </c>
      <c r="E14" s="657">
        <v>39</v>
      </c>
      <c r="G14" s="1240">
        <v>11</v>
      </c>
      <c r="H14" s="656" t="e">
        <f ca="1"/>
        <v>#NAME?</v>
      </c>
      <c r="I14" s="8" t="e">
        <f ca="1"/>
        <v>#NAME?</v>
      </c>
      <c r="J14" s="8" t="e">
        <f ca="1"/>
        <v>#NAME?</v>
      </c>
      <c r="K14" s="657" t="e">
        <f ca="1"/>
        <v>#NAME?</v>
      </c>
      <c r="M14" s="1240">
        <v>11</v>
      </c>
      <c r="N14" s="656" t="e">
        <f ca="1"/>
        <v>#NAME?</v>
      </c>
      <c r="O14" s="8" t="e">
        <f ca="1"/>
        <v>#NAME?</v>
      </c>
      <c r="P14" s="8" t="e">
        <f ca="1"/>
        <v>#NAME?</v>
      </c>
      <c r="Q14" s="657" t="e">
        <f ca="1"/>
        <v>#NAME?</v>
      </c>
    </row>
    <row r="15" spans="1:21">
      <c r="A15" s="1240">
        <v>12</v>
      </c>
      <c r="B15" s="750">
        <v>14</v>
      </c>
      <c r="C15" s="8">
        <v>32</v>
      </c>
      <c r="D15" s="8">
        <v>20</v>
      </c>
      <c r="E15" s="657">
        <v>46</v>
      </c>
      <c r="G15" s="1240">
        <v>12</v>
      </c>
      <c r="H15" s="656" t="e">
        <f ca="1"/>
        <v>#NAME?</v>
      </c>
      <c r="I15" s="8" t="e">
        <f ca="1"/>
        <v>#NAME?</v>
      </c>
      <c r="J15" s="8" t="e">
        <f ca="1"/>
        <v>#NAME?</v>
      </c>
      <c r="K15" s="657" t="e">
        <f ca="1"/>
        <v>#NAME?</v>
      </c>
      <c r="M15" s="1240">
        <v>12</v>
      </c>
      <c r="N15" s="656" t="e">
        <f ca="1"/>
        <v>#NAME?</v>
      </c>
      <c r="O15" s="8" t="e">
        <f ca="1"/>
        <v>#NAME?</v>
      </c>
      <c r="P15" s="8" t="e">
        <f ca="1"/>
        <v>#NAME?</v>
      </c>
      <c r="Q15" s="657" t="e">
        <f ca="1"/>
        <v>#NAME?</v>
      </c>
    </row>
    <row r="16" spans="1:21">
      <c r="A16" s="1240">
        <v>13</v>
      </c>
      <c r="B16" s="750">
        <v>22</v>
      </c>
      <c r="C16" s="8">
        <v>40</v>
      </c>
      <c r="D16" s="1254">
        <v>22.865934865971205</v>
      </c>
      <c r="E16" s="657">
        <v>49</v>
      </c>
      <c r="G16" s="1240">
        <v>13</v>
      </c>
      <c r="H16" s="656" t="e">
        <f ca="1"/>
        <v>#NAME?</v>
      </c>
      <c r="I16" s="8" t="e">
        <f ca="1"/>
        <v>#NAME?</v>
      </c>
      <c r="J16" s="8" t="e">
        <f ca="1"/>
        <v>#NAME?</v>
      </c>
      <c r="K16" s="657" t="e">
        <f ca="1"/>
        <v>#NAME?</v>
      </c>
      <c r="M16" s="1240">
        <v>13</v>
      </c>
      <c r="N16" s="656" t="e">
        <f ca="1"/>
        <v>#NAME?</v>
      </c>
      <c r="O16" s="8" t="e">
        <f ca="1"/>
        <v>#NAME?</v>
      </c>
      <c r="P16" s="8" t="e">
        <f ca="1"/>
        <v>#NAME?</v>
      </c>
      <c r="Q16" s="657" t="e">
        <f ca="1"/>
        <v>#NAME?</v>
      </c>
    </row>
    <row r="17" spans="1:17">
      <c r="A17" s="1240">
        <v>14</v>
      </c>
      <c r="B17" s="750" t="s">
        <v>28</v>
      </c>
      <c r="C17" s="8">
        <v>31</v>
      </c>
      <c r="D17" s="8">
        <v>15.521307782236867</v>
      </c>
      <c r="E17" s="657">
        <v>44</v>
      </c>
      <c r="G17" s="1240">
        <v>14</v>
      </c>
      <c r="H17" s="656" t="e">
        <f ca="1"/>
        <v>#NAME?</v>
      </c>
      <c r="I17" s="8" t="e">
        <f ca="1"/>
        <v>#NAME?</v>
      </c>
      <c r="J17" s="8" t="e">
        <f ca="1"/>
        <v>#NAME?</v>
      </c>
      <c r="K17" s="657" t="e">
        <f ca="1"/>
        <v>#NAME?</v>
      </c>
      <c r="M17" s="1240">
        <v>14</v>
      </c>
      <c r="N17" s="656" t="e">
        <f ca="1"/>
        <v>#NAME?</v>
      </c>
      <c r="O17" s="8" t="e">
        <f ca="1"/>
        <v>#NAME?</v>
      </c>
      <c r="P17" s="8" t="e">
        <f ca="1"/>
        <v>#NAME?</v>
      </c>
      <c r="Q17" s="657" t="e">
        <f ca="1"/>
        <v>#NAME?</v>
      </c>
    </row>
    <row r="18" spans="1:17">
      <c r="A18" s="1240">
        <v>15</v>
      </c>
      <c r="B18" s="750" t="s">
        <v>28</v>
      </c>
      <c r="C18" s="8">
        <v>18</v>
      </c>
      <c r="D18" s="8">
        <v>21</v>
      </c>
      <c r="E18" s="657">
        <v>53.887695806493305</v>
      </c>
      <c r="G18" s="1240">
        <v>15</v>
      </c>
      <c r="H18" s="656" t="e">
        <f ca="1"/>
        <v>#NAME?</v>
      </c>
      <c r="I18" s="8" t="e">
        <f ca="1"/>
        <v>#NAME?</v>
      </c>
      <c r="J18" s="8" t="e">
        <f ca="1"/>
        <v>#NAME?</v>
      </c>
      <c r="K18" s="657" t="e">
        <f ca="1"/>
        <v>#NAME?</v>
      </c>
      <c r="M18" s="1240">
        <v>15</v>
      </c>
      <c r="N18" s="656" t="e">
        <f ca="1"/>
        <v>#NAME?</v>
      </c>
      <c r="O18" s="8" t="e">
        <f ca="1"/>
        <v>#NAME?</v>
      </c>
      <c r="P18" s="8" t="e">
        <f ca="1"/>
        <v>#NAME?</v>
      </c>
      <c r="Q18" s="657" t="e">
        <f ca="1"/>
        <v>#NAME?</v>
      </c>
    </row>
    <row r="19" spans="1:17">
      <c r="A19" s="1240">
        <v>16</v>
      </c>
      <c r="B19" s="750">
        <v>16</v>
      </c>
      <c r="C19" s="8">
        <v>23</v>
      </c>
      <c r="D19" s="8">
        <v>21</v>
      </c>
      <c r="E19" s="657">
        <v>34</v>
      </c>
      <c r="G19" s="1240">
        <v>16</v>
      </c>
      <c r="H19" s="656" t="e">
        <f ca="1"/>
        <v>#NAME?</v>
      </c>
      <c r="I19" s="8" t="e">
        <f ca="1"/>
        <v>#NAME?</v>
      </c>
      <c r="J19" s="8" t="e">
        <f ca="1"/>
        <v>#NAME?</v>
      </c>
      <c r="K19" s="657" t="e">
        <f ca="1"/>
        <v>#NAME?</v>
      </c>
      <c r="M19" s="1240">
        <v>16</v>
      </c>
      <c r="N19" s="656" t="e">
        <f ca="1"/>
        <v>#NAME?</v>
      </c>
      <c r="O19" s="8" t="e">
        <f ca="1"/>
        <v>#NAME?</v>
      </c>
      <c r="P19" s="8" t="e">
        <f ca="1"/>
        <v>#NAME?</v>
      </c>
      <c r="Q19" s="657" t="e">
        <f ca="1"/>
        <v>#NAME?</v>
      </c>
    </row>
    <row r="20" spans="1:17">
      <c r="A20" s="1240">
        <v>17</v>
      </c>
      <c r="B20" s="750">
        <v>27</v>
      </c>
      <c r="C20" s="8">
        <v>26</v>
      </c>
      <c r="D20" s="8">
        <v>23</v>
      </c>
      <c r="E20" s="657">
        <v>59</v>
      </c>
      <c r="G20" s="1240">
        <v>17</v>
      </c>
      <c r="H20" s="656" t="e">
        <f ca="1"/>
        <v>#NAME?</v>
      </c>
      <c r="I20" s="8" t="e">
        <f ca="1"/>
        <v>#NAME?</v>
      </c>
      <c r="J20" s="8" t="e">
        <f ca="1"/>
        <v>#NAME?</v>
      </c>
      <c r="K20" s="657" t="e">
        <f ca="1"/>
        <v>#NAME?</v>
      </c>
      <c r="M20" s="1240">
        <v>17</v>
      </c>
      <c r="N20" s="656" t="e">
        <f ca="1"/>
        <v>#NAME?</v>
      </c>
      <c r="O20" s="8" t="e">
        <f ca="1"/>
        <v>#NAME?</v>
      </c>
      <c r="P20" s="8" t="e">
        <f ca="1"/>
        <v>#NAME?</v>
      </c>
      <c r="Q20" s="657" t="e">
        <f ca="1"/>
        <v>#NAME?</v>
      </c>
    </row>
    <row r="21" spans="1:17">
      <c r="A21" s="1240">
        <v>18</v>
      </c>
      <c r="B21" s="750">
        <v>17</v>
      </c>
      <c r="C21" s="8">
        <v>42</v>
      </c>
      <c r="D21" s="8">
        <v>20.351106833854086</v>
      </c>
      <c r="E21" s="657">
        <v>35</v>
      </c>
      <c r="G21" s="1240">
        <v>18</v>
      </c>
      <c r="H21" s="656" t="e">
        <f ca="1"/>
        <v>#NAME?</v>
      </c>
      <c r="I21" s="8" t="e">
        <f ca="1"/>
        <v>#NAME?</v>
      </c>
      <c r="J21" s="8" t="e">
        <f ca="1"/>
        <v>#NAME?</v>
      </c>
      <c r="K21" s="657" t="e">
        <f ca="1"/>
        <v>#NAME?</v>
      </c>
      <c r="M21" s="1240">
        <v>18</v>
      </c>
      <c r="N21" s="656" t="e">
        <f ca="1"/>
        <v>#NAME?</v>
      </c>
      <c r="O21" s="8" t="e">
        <f ca="1"/>
        <v>#NAME?</v>
      </c>
      <c r="P21" s="8" t="e">
        <f ca="1"/>
        <v>#NAME?</v>
      </c>
      <c r="Q21" s="657" t="e">
        <f ca="1"/>
        <v>#NAME?</v>
      </c>
    </row>
    <row r="22" spans="1:17">
      <c r="A22" s="1240">
        <v>19</v>
      </c>
      <c r="B22" s="750">
        <v>13</v>
      </c>
      <c r="C22" s="8">
        <v>21</v>
      </c>
      <c r="D22" s="8">
        <v>20</v>
      </c>
      <c r="E22" s="657">
        <v>48</v>
      </c>
      <c r="G22" s="1240">
        <v>19</v>
      </c>
      <c r="H22" s="656" t="e">
        <f ca="1"/>
        <v>#NAME?</v>
      </c>
      <c r="I22" s="8" t="e">
        <f ca="1"/>
        <v>#NAME?</v>
      </c>
      <c r="J22" s="8" t="e">
        <f ca="1"/>
        <v>#NAME?</v>
      </c>
      <c r="K22" s="657" t="e">
        <f ca="1"/>
        <v>#NAME?</v>
      </c>
      <c r="M22" s="1240">
        <v>19</v>
      </c>
      <c r="N22" s="656" t="e">
        <f ca="1"/>
        <v>#NAME?</v>
      </c>
      <c r="O22" s="8" t="e">
        <f ca="1"/>
        <v>#NAME?</v>
      </c>
      <c r="P22" s="8" t="e">
        <f ca="1"/>
        <v>#NAME?</v>
      </c>
      <c r="Q22" s="657" t="e">
        <f ca="1"/>
        <v>#NAME?</v>
      </c>
    </row>
    <row r="23" spans="1:17">
      <c r="A23" s="1240">
        <v>20</v>
      </c>
      <c r="B23" s="1244">
        <v>11</v>
      </c>
      <c r="C23" s="1078">
        <v>51</v>
      </c>
      <c r="D23" s="1078">
        <v>18</v>
      </c>
      <c r="E23" s="541">
        <v>54</v>
      </c>
      <c r="G23" s="1240">
        <v>20</v>
      </c>
      <c r="H23" s="533" t="e">
        <f ca="1"/>
        <v>#NAME?</v>
      </c>
      <c r="I23" s="1078" t="e">
        <f ca="1"/>
        <v>#NAME?</v>
      </c>
      <c r="J23" s="1078" t="e">
        <f ca="1"/>
        <v>#NAME?</v>
      </c>
      <c r="K23" s="541" t="e">
        <f ca="1"/>
        <v>#NAME?</v>
      </c>
      <c r="M23" s="1240">
        <v>20</v>
      </c>
      <c r="N23" s="533" t="e">
        <f ca="1"/>
        <v>#NAME?</v>
      </c>
      <c r="O23" s="1078" t="e">
        <f ca="1"/>
        <v>#NAME?</v>
      </c>
      <c r="P23" s="1078" t="e">
        <f ca="1"/>
        <v>#NAME?</v>
      </c>
      <c r="Q23" s="541" t="e">
        <f ca="1"/>
        <v>#NAME?</v>
      </c>
    </row>
    <row r="24" spans="1:17">
      <c r="A24" s="1240" t="s">
        <v>63</v>
      </c>
      <c r="B24">
        <f>AVERAGE(B4:B23)</f>
        <v>16.133333333333333</v>
      </c>
      <c r="C24">
        <f>AVERAGE(C4:C23)</f>
        <v>34.5</v>
      </c>
      <c r="D24">
        <f>AVERAGE(D4:D23)</f>
        <v>20.986551586896741</v>
      </c>
      <c r="E24">
        <f>AVERAGE(E4:E23)</f>
        <v>48.4471401720565</v>
      </c>
      <c r="G24" s="1240" t="s">
        <v>63</v>
      </c>
      <c r="H24" t="e">
        <f ca="1">AVERAGE(H4:H23)</f>
        <v>#NAME?</v>
      </c>
      <c r="I24" t="e">
        <f ca="1">AVERAGE(I4:I23)</f>
        <v>#NAME?</v>
      </c>
      <c r="J24" t="e">
        <f ca="1">AVERAGE(J4:J23)</f>
        <v>#NAME?</v>
      </c>
      <c r="K24" t="e">
        <f ca="1">AVERAGE(K4:K23)</f>
        <v>#NAME?</v>
      </c>
      <c r="M24" s="1240" t="s">
        <v>63</v>
      </c>
      <c r="N24" t="e">
        <f ca="1">AVERAGE(N4:N23)</f>
        <v>#NAME?</v>
      </c>
      <c r="O24" t="e">
        <f ca="1">AVERAGE(O4:O23)</f>
        <v>#NAME?</v>
      </c>
      <c r="P24" t="e">
        <f ca="1">AVERAGE(P4:P23)</f>
        <v>#NAME?</v>
      </c>
      <c r="Q24" t="e">
        <f ca="1">AVERAGE(Q4:Q23)</f>
        <v>#NAME?</v>
      </c>
    </row>
    <row r="25" spans="1:17">
      <c r="A25" s="1240" t="s">
        <v>67</v>
      </c>
      <c r="B25">
        <f>STDEV(B4:B23)</f>
        <v>4.7789219744724045</v>
      </c>
      <c r="C25">
        <f>STDEV(C4:C23)</f>
        <v>10.772772696894117</v>
      </c>
      <c r="D25">
        <f>STDEV(D4:D23)</f>
        <v>3.2756789056895297</v>
      </c>
      <c r="E25">
        <f>STDEV(E4:E23)</f>
        <v>7.5622018314288626</v>
      </c>
      <c r="G25" s="1240" t="s">
        <v>67</v>
      </c>
      <c r="H25" t="e">
        <f ca="1">STDEV(H4:H23)</f>
        <v>#NAME?</v>
      </c>
      <c r="I25" t="e">
        <f ca="1">STDEV(I4:I23)</f>
        <v>#NAME?</v>
      </c>
      <c r="J25" t="e">
        <f ca="1">STDEV(J4:J23)</f>
        <v>#NAME?</v>
      </c>
      <c r="K25" t="e">
        <f ca="1">STDEV(K4:K23)</f>
        <v>#NAME?</v>
      </c>
      <c r="M25" s="1240" t="s">
        <v>67</v>
      </c>
      <c r="N25" t="e">
        <f ca="1">STDEV(N4:N23)</f>
        <v>#NAME?</v>
      </c>
      <c r="O25" t="e">
        <f ca="1">STDEV(O4:O23)</f>
        <v>#NAME?</v>
      </c>
      <c r="P25" t="e">
        <f ca="1">STDEV(P4:P23)</f>
        <v>#NAME?</v>
      </c>
      <c r="Q25" t="e">
        <f ca="1">STDEV(Q4:Q23)</f>
        <v>#NAME?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sheetPr codeName="Sheet307"/>
  <dimension ref="A1:V25"/>
  <sheetViews>
    <sheetView topLeftCell="M1" workbookViewId="0">
      <selection activeCell="AG50" sqref="AG50"/>
    </sheetView>
  </sheetViews>
  <sheetFormatPr defaultRowHeight="14.4"/>
  <sheetData>
    <row r="1" spans="1:22">
      <c r="A1" s="1" t="s">
        <v>3366</v>
      </c>
      <c r="G1" t="s">
        <v>3364</v>
      </c>
      <c r="M1" t="s">
        <v>3365</v>
      </c>
    </row>
    <row r="2" spans="1:22">
      <c r="T2" t="s">
        <v>3358</v>
      </c>
      <c r="U2" t="s">
        <v>3359</v>
      </c>
      <c r="V2" t="s">
        <v>3360</v>
      </c>
    </row>
    <row r="3" spans="1:22">
      <c r="A3" s="1240" t="s">
        <v>3354</v>
      </c>
      <c r="B3" s="1240" t="s">
        <v>3352</v>
      </c>
      <c r="C3" s="1240" t="s">
        <v>3333</v>
      </c>
      <c r="D3" s="1240" t="s">
        <v>3332</v>
      </c>
      <c r="E3" s="1240" t="s">
        <v>3353</v>
      </c>
      <c r="G3" s="1240" t="s">
        <v>3354</v>
      </c>
      <c r="H3" s="1240" t="s">
        <v>3352</v>
      </c>
      <c r="I3" s="1240" t="s">
        <v>3333</v>
      </c>
      <c r="J3" s="1240" t="s">
        <v>3332</v>
      </c>
      <c r="K3" s="1240" t="s">
        <v>3353</v>
      </c>
      <c r="M3" s="1240" t="s">
        <v>3354</v>
      </c>
      <c r="N3" s="1240" t="e">
        <f t="array" aca="1" ref="N3:Q23" ca="1">[1]!ImputeFCS(B3:E23,TRUE,,S3:V4)</f>
        <v>#NAME?</v>
      </c>
      <c r="O3" s="1240" t="e">
        <f ca="1"/>
        <v>#NAME?</v>
      </c>
      <c r="P3" s="1240" t="e">
        <f ca="1"/>
        <v>#NAME?</v>
      </c>
      <c r="Q3" s="1240" t="e">
        <f ca="1"/>
        <v>#NAME?</v>
      </c>
      <c r="S3" t="s">
        <v>3333</v>
      </c>
      <c r="T3" s="1236">
        <v>20</v>
      </c>
      <c r="U3" s="1152">
        <v>50.4</v>
      </c>
      <c r="V3" s="1237" t="b">
        <v>1</v>
      </c>
    </row>
    <row r="4" spans="1:22">
      <c r="A4" s="1240">
        <v>1</v>
      </c>
      <c r="B4" s="1242">
        <v>12</v>
      </c>
      <c r="C4" s="1248">
        <v>27</v>
      </c>
      <c r="D4" s="1248">
        <v>19</v>
      </c>
      <c r="E4" s="1243">
        <v>44</v>
      </c>
      <c r="G4" s="1240">
        <v>1</v>
      </c>
      <c r="H4" s="1236" t="e">
        <f t="array" aca="1" ref="H4:K23" ca="1">[1]!ImputeFCS(B4:E23,FALSE)</f>
        <v>#NAME?</v>
      </c>
      <c r="I4" s="1152" t="e">
        <f ca="1"/>
        <v>#NAME?</v>
      </c>
      <c r="J4" s="1152" t="e">
        <f ca="1"/>
        <v>#NAME?</v>
      </c>
      <c r="K4" s="1237" t="e">
        <f ca="1"/>
        <v>#NAME?</v>
      </c>
      <c r="M4" s="1240">
        <v>1</v>
      </c>
      <c r="N4" s="1236" t="e">
        <f ca="1"/>
        <v>#NAME?</v>
      </c>
      <c r="O4" s="1152" t="e">
        <f ca="1"/>
        <v>#NAME?</v>
      </c>
      <c r="P4" s="1152" t="e">
        <f ca="1"/>
        <v>#NAME?</v>
      </c>
      <c r="Q4" s="1237" t="e">
        <f ca="1"/>
        <v>#NAME?</v>
      </c>
      <c r="S4" t="s">
        <v>3332</v>
      </c>
      <c r="T4" s="533"/>
      <c r="U4" s="1078">
        <v>28.5</v>
      </c>
      <c r="V4" s="541"/>
    </row>
    <row r="5" spans="1:22">
      <c r="A5" s="1240">
        <f>A4+1</f>
        <v>2</v>
      </c>
      <c r="B5" s="750">
        <v>11</v>
      </c>
      <c r="C5" s="42" t="s">
        <v>28</v>
      </c>
      <c r="D5" s="42">
        <v>13</v>
      </c>
      <c r="E5" s="838">
        <v>43</v>
      </c>
      <c r="G5" s="1240">
        <f>G4+1</f>
        <v>2</v>
      </c>
      <c r="H5" s="656" t="e">
        <f ca="1"/>
        <v>#NAME?</v>
      </c>
      <c r="I5" s="8" t="e">
        <f ca="1"/>
        <v>#NAME?</v>
      </c>
      <c r="J5" s="8" t="e">
        <f ca="1"/>
        <v>#NAME?</v>
      </c>
      <c r="K5" s="657" t="e">
        <f ca="1"/>
        <v>#NAME?</v>
      </c>
      <c r="M5" s="1240">
        <f>M4+1</f>
        <v>2</v>
      </c>
      <c r="N5" s="656" t="e">
        <f ca="1"/>
        <v>#NAME?</v>
      </c>
      <c r="O5" s="8" t="e">
        <f ca="1"/>
        <v>#NAME?</v>
      </c>
      <c r="P5" s="8" t="e">
        <f ca="1"/>
        <v>#NAME?</v>
      </c>
      <c r="Q5" s="657" t="e">
        <f ca="1"/>
        <v>#NAME?</v>
      </c>
    </row>
    <row r="6" spans="1:22">
      <c r="A6" s="1240">
        <f t="shared" ref="A6:A23" si="0">A5+1</f>
        <v>3</v>
      </c>
      <c r="B6" s="750" t="s">
        <v>28</v>
      </c>
      <c r="C6" s="42">
        <v>56</v>
      </c>
      <c r="D6" s="42">
        <v>23</v>
      </c>
      <c r="E6" s="838">
        <v>60</v>
      </c>
      <c r="G6" s="1240">
        <f t="shared" ref="G6:G23" si="1">G5+1</f>
        <v>3</v>
      </c>
      <c r="H6" s="656" t="e">
        <f ca="1"/>
        <v>#NAME?</v>
      </c>
      <c r="I6" s="8" t="e">
        <f ca="1"/>
        <v>#NAME?</v>
      </c>
      <c r="J6" s="8" t="e">
        <f ca="1"/>
        <v>#NAME?</v>
      </c>
      <c r="K6" s="657" t="e">
        <f ca="1"/>
        <v>#NAME?</v>
      </c>
      <c r="M6" s="1240">
        <f t="shared" ref="M6:M23" si="2">M5+1</f>
        <v>3</v>
      </c>
      <c r="N6" s="656" t="e">
        <f ca="1"/>
        <v>#NAME?</v>
      </c>
      <c r="O6" s="8" t="e">
        <f ca="1"/>
        <v>#NAME?</v>
      </c>
      <c r="P6" s="8" t="e">
        <f ca="1"/>
        <v>#NAME?</v>
      </c>
      <c r="Q6" s="657" t="e">
        <f ca="1"/>
        <v>#NAME?</v>
      </c>
    </row>
    <row r="7" spans="1:22">
      <c r="A7" s="1240">
        <f t="shared" si="0"/>
        <v>4</v>
      </c>
      <c r="B7" s="750">
        <v>15</v>
      </c>
      <c r="C7" s="42">
        <v>37</v>
      </c>
      <c r="D7" s="42">
        <v>19</v>
      </c>
      <c r="E7" s="838">
        <v>52</v>
      </c>
      <c r="G7" s="1240">
        <f t="shared" si="1"/>
        <v>4</v>
      </c>
      <c r="H7" s="656" t="e">
        <f ca="1"/>
        <v>#NAME?</v>
      </c>
      <c r="I7" s="8" t="e">
        <f ca="1"/>
        <v>#NAME?</v>
      </c>
      <c r="J7" s="8" t="e">
        <f ca="1"/>
        <v>#NAME?</v>
      </c>
      <c r="K7" s="657" t="e">
        <f ca="1"/>
        <v>#NAME?</v>
      </c>
      <c r="M7" s="1240">
        <f t="shared" si="2"/>
        <v>4</v>
      </c>
      <c r="N7" s="656" t="e">
        <f ca="1"/>
        <v>#NAME?</v>
      </c>
      <c r="O7" s="8" t="e">
        <f ca="1"/>
        <v>#NAME?</v>
      </c>
      <c r="P7" s="8" t="e">
        <f ca="1"/>
        <v>#NAME?</v>
      </c>
      <c r="Q7" s="657" t="e">
        <f ca="1"/>
        <v>#NAME?</v>
      </c>
    </row>
    <row r="8" spans="1:22">
      <c r="A8" s="1240">
        <f t="shared" si="0"/>
        <v>5</v>
      </c>
      <c r="B8" s="750">
        <v>10</v>
      </c>
      <c r="C8" s="42">
        <v>31</v>
      </c>
      <c r="D8" s="42">
        <v>21</v>
      </c>
      <c r="E8" s="838" t="s">
        <v>28</v>
      </c>
      <c r="G8" s="1240">
        <f t="shared" si="1"/>
        <v>5</v>
      </c>
      <c r="H8" s="656" t="e">
        <f ca="1"/>
        <v>#NAME?</v>
      </c>
      <c r="I8" s="8" t="e">
        <f ca="1"/>
        <v>#NAME?</v>
      </c>
      <c r="J8" s="8" t="e">
        <f ca="1"/>
        <v>#NAME?</v>
      </c>
      <c r="K8" s="657" t="e">
        <f ca="1"/>
        <v>#NAME?</v>
      </c>
      <c r="M8" s="1240">
        <f t="shared" si="2"/>
        <v>5</v>
      </c>
      <c r="N8" s="656" t="e">
        <f ca="1"/>
        <v>#NAME?</v>
      </c>
      <c r="O8" s="8" t="e">
        <f ca="1"/>
        <v>#NAME?</v>
      </c>
      <c r="P8" s="8" t="e">
        <f ca="1"/>
        <v>#NAME?</v>
      </c>
      <c r="Q8" s="657" t="e">
        <f ca="1"/>
        <v>#NAME?</v>
      </c>
    </row>
    <row r="9" spans="1:22">
      <c r="A9" s="1240">
        <f t="shared" si="0"/>
        <v>6</v>
      </c>
      <c r="B9" s="750">
        <v>18</v>
      </c>
      <c r="C9" s="42">
        <v>40</v>
      </c>
      <c r="D9" s="42">
        <v>22</v>
      </c>
      <c r="E9" s="838">
        <v>43</v>
      </c>
      <c r="G9" s="1240">
        <f t="shared" si="1"/>
        <v>6</v>
      </c>
      <c r="H9" s="656" t="e">
        <f ca="1"/>
        <v>#NAME?</v>
      </c>
      <c r="I9" s="8" t="e">
        <f ca="1"/>
        <v>#NAME?</v>
      </c>
      <c r="J9" s="8" t="e">
        <f ca="1"/>
        <v>#NAME?</v>
      </c>
      <c r="K9" s="657" t="e">
        <f ca="1"/>
        <v>#NAME?</v>
      </c>
      <c r="M9" s="1240">
        <f t="shared" si="2"/>
        <v>6</v>
      </c>
      <c r="N9" s="656" t="e">
        <f ca="1"/>
        <v>#NAME?</v>
      </c>
      <c r="O9" s="8" t="e">
        <f ca="1"/>
        <v>#NAME?</v>
      </c>
      <c r="P9" s="8" t="e">
        <f ca="1"/>
        <v>#NAME?</v>
      </c>
      <c r="Q9" s="657" t="e">
        <f ca="1"/>
        <v>#NAME?</v>
      </c>
    </row>
    <row r="10" spans="1:22">
      <c r="A10" s="1240">
        <f t="shared" si="0"/>
        <v>7</v>
      </c>
      <c r="B10" s="750">
        <v>15</v>
      </c>
      <c r="C10" s="42">
        <v>50</v>
      </c>
      <c r="D10" s="42">
        <v>28</v>
      </c>
      <c r="E10" s="838">
        <v>56</v>
      </c>
      <c r="G10" s="1240">
        <f t="shared" si="1"/>
        <v>7</v>
      </c>
      <c r="H10" s="656" t="e">
        <f ca="1"/>
        <v>#NAME?</v>
      </c>
      <c r="I10" s="8" t="e">
        <f ca="1"/>
        <v>#NAME?</v>
      </c>
      <c r="J10" s="8" t="e">
        <f ca="1"/>
        <v>#NAME?</v>
      </c>
      <c r="K10" s="657" t="e">
        <f ca="1"/>
        <v>#NAME?</v>
      </c>
      <c r="M10" s="1240">
        <f t="shared" si="2"/>
        <v>7</v>
      </c>
      <c r="N10" s="656" t="e">
        <f ca="1"/>
        <v>#NAME?</v>
      </c>
      <c r="O10" s="8" t="e">
        <f ca="1"/>
        <v>#NAME?</v>
      </c>
      <c r="P10" s="8" t="e">
        <f ca="1"/>
        <v>#NAME?</v>
      </c>
      <c r="Q10" s="657" t="e">
        <f ca="1"/>
        <v>#NAME?</v>
      </c>
    </row>
    <row r="11" spans="1:22">
      <c r="A11" s="1240">
        <f t="shared" si="0"/>
        <v>8</v>
      </c>
      <c r="B11" s="750">
        <v>21</v>
      </c>
      <c r="C11" s="42" t="s">
        <v>28</v>
      </c>
      <c r="D11" s="42" t="s">
        <v>28</v>
      </c>
      <c r="E11" s="838">
        <v>46</v>
      </c>
      <c r="G11" s="1240">
        <f t="shared" si="1"/>
        <v>8</v>
      </c>
      <c r="H11" s="656" t="e">
        <f ca="1"/>
        <v>#NAME?</v>
      </c>
      <c r="I11" s="8" t="e">
        <f ca="1"/>
        <v>#NAME?</v>
      </c>
      <c r="J11" s="8" t="e">
        <f ca="1"/>
        <v>#NAME?</v>
      </c>
      <c r="K11" s="657" t="e">
        <f ca="1"/>
        <v>#NAME?</v>
      </c>
      <c r="M11" s="1240">
        <f t="shared" si="2"/>
        <v>8</v>
      </c>
      <c r="N11" s="656" t="e">
        <f ca="1"/>
        <v>#NAME?</v>
      </c>
      <c r="O11" s="8" t="e">
        <f ca="1"/>
        <v>#NAME?</v>
      </c>
      <c r="P11" s="8" t="e">
        <f ca="1"/>
        <v>#NAME?</v>
      </c>
      <c r="Q11" s="657" t="e">
        <f ca="1"/>
        <v>#NAME?</v>
      </c>
    </row>
    <row r="12" spans="1:22">
      <c r="A12" s="1240">
        <f t="shared" si="0"/>
        <v>9</v>
      </c>
      <c r="B12" s="750">
        <v>20</v>
      </c>
      <c r="C12" s="42">
        <v>39</v>
      </c>
      <c r="D12" s="42">
        <v>25</v>
      </c>
      <c r="E12" s="838">
        <v>51</v>
      </c>
      <c r="G12" s="1240">
        <f t="shared" si="1"/>
        <v>9</v>
      </c>
      <c r="H12" s="656" t="e">
        <f ca="1"/>
        <v>#NAME?</v>
      </c>
      <c r="I12" s="8" t="e">
        <f ca="1"/>
        <v>#NAME?</v>
      </c>
      <c r="J12" s="8" t="e">
        <f ca="1"/>
        <v>#NAME?</v>
      </c>
      <c r="K12" s="657" t="e">
        <f ca="1"/>
        <v>#NAME?</v>
      </c>
      <c r="M12" s="1240">
        <f t="shared" si="2"/>
        <v>9</v>
      </c>
      <c r="N12" s="656" t="e">
        <f ca="1"/>
        <v>#NAME?</v>
      </c>
      <c r="O12" s="8" t="e">
        <f ca="1"/>
        <v>#NAME?</v>
      </c>
      <c r="P12" s="8" t="e">
        <f ca="1"/>
        <v>#NAME?</v>
      </c>
      <c r="Q12" s="657" t="e">
        <f ca="1"/>
        <v>#NAME?</v>
      </c>
    </row>
    <row r="13" spans="1:22">
      <c r="A13" s="1240">
        <f t="shared" si="0"/>
        <v>10</v>
      </c>
      <c r="B13" s="750" t="s">
        <v>28</v>
      </c>
      <c r="C13" s="42">
        <v>36</v>
      </c>
      <c r="D13" s="42">
        <v>23</v>
      </c>
      <c r="E13" s="838">
        <v>56</v>
      </c>
      <c r="G13" s="1240">
        <f t="shared" si="1"/>
        <v>10</v>
      </c>
      <c r="H13" s="656" t="e">
        <f ca="1"/>
        <v>#NAME?</v>
      </c>
      <c r="I13" s="8" t="e">
        <f ca="1"/>
        <v>#NAME?</v>
      </c>
      <c r="J13" s="8" t="e">
        <f ca="1"/>
        <v>#NAME?</v>
      </c>
      <c r="K13" s="657" t="e">
        <f ca="1"/>
        <v>#NAME?</v>
      </c>
      <c r="M13" s="1240">
        <f t="shared" si="2"/>
        <v>10</v>
      </c>
      <c r="N13" s="656" t="e">
        <f ca="1"/>
        <v>#NAME?</v>
      </c>
      <c r="O13" s="8" t="e">
        <f ca="1"/>
        <v>#NAME?</v>
      </c>
      <c r="P13" s="8" t="e">
        <f ca="1"/>
        <v>#NAME?</v>
      </c>
      <c r="Q13" s="657" t="e">
        <f ca="1"/>
        <v>#NAME?</v>
      </c>
    </row>
    <row r="14" spans="1:22">
      <c r="A14" s="1240">
        <f t="shared" si="0"/>
        <v>11</v>
      </c>
      <c r="B14" s="750" t="s">
        <v>28</v>
      </c>
      <c r="C14" s="42">
        <v>27</v>
      </c>
      <c r="D14" s="42">
        <v>21</v>
      </c>
      <c r="E14" s="838">
        <v>39</v>
      </c>
      <c r="G14" s="1240">
        <f t="shared" si="1"/>
        <v>11</v>
      </c>
      <c r="H14" s="656" t="e">
        <f ca="1"/>
        <v>#NAME?</v>
      </c>
      <c r="I14" s="8" t="e">
        <f ca="1"/>
        <v>#NAME?</v>
      </c>
      <c r="J14" s="8" t="e">
        <f ca="1"/>
        <v>#NAME?</v>
      </c>
      <c r="K14" s="657" t="e">
        <f ca="1"/>
        <v>#NAME?</v>
      </c>
      <c r="M14" s="1240">
        <f t="shared" si="2"/>
        <v>11</v>
      </c>
      <c r="N14" s="656" t="e">
        <f ca="1"/>
        <v>#NAME?</v>
      </c>
      <c r="O14" s="8" t="e">
        <f ca="1"/>
        <v>#NAME?</v>
      </c>
      <c r="P14" s="8" t="e">
        <f ca="1"/>
        <v>#NAME?</v>
      </c>
      <c r="Q14" s="657" t="e">
        <f ca="1"/>
        <v>#NAME?</v>
      </c>
    </row>
    <row r="15" spans="1:22">
      <c r="A15" s="1240">
        <f t="shared" si="0"/>
        <v>12</v>
      </c>
      <c r="B15" s="750">
        <v>14</v>
      </c>
      <c r="C15" s="42">
        <v>32</v>
      </c>
      <c r="D15" s="42">
        <v>20</v>
      </c>
      <c r="E15" s="838">
        <v>46</v>
      </c>
      <c r="G15" s="1240">
        <f t="shared" si="1"/>
        <v>12</v>
      </c>
      <c r="H15" s="656" t="e">
        <f ca="1"/>
        <v>#NAME?</v>
      </c>
      <c r="I15" s="8" t="e">
        <f ca="1"/>
        <v>#NAME?</v>
      </c>
      <c r="J15" s="8" t="e">
        <f ca="1"/>
        <v>#NAME?</v>
      </c>
      <c r="K15" s="657" t="e">
        <f ca="1"/>
        <v>#NAME?</v>
      </c>
      <c r="M15" s="1240">
        <f t="shared" si="2"/>
        <v>12</v>
      </c>
      <c r="N15" s="656" t="e">
        <f ca="1"/>
        <v>#NAME?</v>
      </c>
      <c r="O15" s="8" t="e">
        <f ca="1"/>
        <v>#NAME?</v>
      </c>
      <c r="P15" s="8" t="e">
        <f ca="1"/>
        <v>#NAME?</v>
      </c>
      <c r="Q15" s="657" t="e">
        <f ca="1"/>
        <v>#NAME?</v>
      </c>
    </row>
    <row r="16" spans="1:22">
      <c r="A16" s="1240">
        <f t="shared" si="0"/>
        <v>13</v>
      </c>
      <c r="B16" s="750">
        <v>22</v>
      </c>
      <c r="C16" s="42">
        <v>40</v>
      </c>
      <c r="D16" s="42" t="s">
        <v>28</v>
      </c>
      <c r="E16" s="838">
        <v>49</v>
      </c>
      <c r="G16" s="1240">
        <f t="shared" si="1"/>
        <v>13</v>
      </c>
      <c r="H16" s="656" t="e">
        <f ca="1"/>
        <v>#NAME?</v>
      </c>
      <c r="I16" s="8" t="e">
        <f ca="1"/>
        <v>#NAME?</v>
      </c>
      <c r="J16" s="8" t="e">
        <f ca="1"/>
        <v>#NAME?</v>
      </c>
      <c r="K16" s="657" t="e">
        <f ca="1"/>
        <v>#NAME?</v>
      </c>
      <c r="M16" s="1240">
        <f t="shared" si="2"/>
        <v>13</v>
      </c>
      <c r="N16" s="656" t="e">
        <f ca="1"/>
        <v>#NAME?</v>
      </c>
      <c r="O16" s="8" t="e">
        <f ca="1"/>
        <v>#NAME?</v>
      </c>
      <c r="P16" s="8" t="e">
        <f ca="1"/>
        <v>#NAME?</v>
      </c>
      <c r="Q16" s="657" t="e">
        <f ca="1"/>
        <v>#NAME?</v>
      </c>
    </row>
    <row r="17" spans="1:17">
      <c r="A17" s="1240">
        <f t="shared" si="0"/>
        <v>14</v>
      </c>
      <c r="B17" s="750" t="s">
        <v>28</v>
      </c>
      <c r="C17" s="42">
        <v>31</v>
      </c>
      <c r="D17" s="42" t="s">
        <v>28</v>
      </c>
      <c r="E17" s="838">
        <v>44</v>
      </c>
      <c r="G17" s="1240">
        <f t="shared" si="1"/>
        <v>14</v>
      </c>
      <c r="H17" s="656" t="e">
        <f ca="1"/>
        <v>#NAME?</v>
      </c>
      <c r="I17" s="8" t="e">
        <f ca="1"/>
        <v>#NAME?</v>
      </c>
      <c r="J17" s="8" t="e">
        <f ca="1"/>
        <v>#NAME?</v>
      </c>
      <c r="K17" s="657" t="e">
        <f ca="1"/>
        <v>#NAME?</v>
      </c>
      <c r="M17" s="1240">
        <f t="shared" si="2"/>
        <v>14</v>
      </c>
      <c r="N17" s="656" t="e">
        <f ca="1"/>
        <v>#NAME?</v>
      </c>
      <c r="O17" s="8" t="e">
        <f ca="1"/>
        <v>#NAME?</v>
      </c>
      <c r="P17" s="8" t="e">
        <f ca="1"/>
        <v>#NAME?</v>
      </c>
      <c r="Q17" s="657" t="e">
        <f ca="1"/>
        <v>#NAME?</v>
      </c>
    </row>
    <row r="18" spans="1:17">
      <c r="A18" s="1240">
        <f t="shared" si="0"/>
        <v>15</v>
      </c>
      <c r="B18" s="750" t="s">
        <v>28</v>
      </c>
      <c r="C18" s="42">
        <v>18</v>
      </c>
      <c r="D18" s="42">
        <v>21</v>
      </c>
      <c r="E18" s="838" t="s">
        <v>28</v>
      </c>
      <c r="G18" s="1240">
        <f t="shared" si="1"/>
        <v>15</v>
      </c>
      <c r="H18" s="656" t="e">
        <f ca="1"/>
        <v>#NAME?</v>
      </c>
      <c r="I18" s="8" t="e">
        <f ca="1"/>
        <v>#NAME?</v>
      </c>
      <c r="J18" s="8" t="e">
        <f ca="1"/>
        <v>#NAME?</v>
      </c>
      <c r="K18" s="657" t="e">
        <f ca="1"/>
        <v>#NAME?</v>
      </c>
      <c r="M18" s="1240">
        <f t="shared" si="2"/>
        <v>15</v>
      </c>
      <c r="N18" s="656" t="e">
        <f ca="1"/>
        <v>#NAME?</v>
      </c>
      <c r="O18" s="8" t="e">
        <f ca="1"/>
        <v>#NAME?</v>
      </c>
      <c r="P18" s="8" t="e">
        <f ca="1"/>
        <v>#NAME?</v>
      </c>
      <c r="Q18" s="657" t="e">
        <f ca="1"/>
        <v>#NAME?</v>
      </c>
    </row>
    <row r="19" spans="1:17">
      <c r="A19" s="1240">
        <f t="shared" si="0"/>
        <v>16</v>
      </c>
      <c r="B19" s="750">
        <v>16</v>
      </c>
      <c r="C19" s="42">
        <v>23</v>
      </c>
      <c r="D19" s="42">
        <v>21</v>
      </c>
      <c r="E19" s="838">
        <v>34</v>
      </c>
      <c r="G19" s="1240">
        <f t="shared" si="1"/>
        <v>16</v>
      </c>
      <c r="H19" s="656" t="e">
        <f ca="1"/>
        <v>#NAME?</v>
      </c>
      <c r="I19" s="8" t="e">
        <f ca="1"/>
        <v>#NAME?</v>
      </c>
      <c r="J19" s="8" t="e">
        <f ca="1"/>
        <v>#NAME?</v>
      </c>
      <c r="K19" s="657" t="e">
        <f ca="1"/>
        <v>#NAME?</v>
      </c>
      <c r="M19" s="1240">
        <f t="shared" si="2"/>
        <v>16</v>
      </c>
      <c r="N19" s="656" t="e">
        <f ca="1"/>
        <v>#NAME?</v>
      </c>
      <c r="O19" s="8" t="e">
        <f ca="1"/>
        <v>#NAME?</v>
      </c>
      <c r="P19" s="8" t="e">
        <f ca="1"/>
        <v>#NAME?</v>
      </c>
      <c r="Q19" s="657" t="e">
        <f ca="1"/>
        <v>#NAME?</v>
      </c>
    </row>
    <row r="20" spans="1:17">
      <c r="A20" s="1240">
        <f t="shared" si="0"/>
        <v>17</v>
      </c>
      <c r="B20" s="750">
        <v>27</v>
      </c>
      <c r="C20" s="42">
        <v>26</v>
      </c>
      <c r="D20" s="42">
        <v>23</v>
      </c>
      <c r="E20" s="838">
        <v>59</v>
      </c>
      <c r="G20" s="1240">
        <f t="shared" si="1"/>
        <v>17</v>
      </c>
      <c r="H20" s="656" t="e">
        <f ca="1"/>
        <v>#NAME?</v>
      </c>
      <c r="I20" s="8" t="e">
        <f ca="1"/>
        <v>#NAME?</v>
      </c>
      <c r="J20" s="8" t="e">
        <f ca="1"/>
        <v>#NAME?</v>
      </c>
      <c r="K20" s="657" t="e">
        <f ca="1"/>
        <v>#NAME?</v>
      </c>
      <c r="M20" s="1240">
        <f t="shared" si="2"/>
        <v>17</v>
      </c>
      <c r="N20" s="656" t="e">
        <f ca="1"/>
        <v>#NAME?</v>
      </c>
      <c r="O20" s="8" t="e">
        <f ca="1"/>
        <v>#NAME?</v>
      </c>
      <c r="P20" s="8" t="e">
        <f ca="1"/>
        <v>#NAME?</v>
      </c>
      <c r="Q20" s="657" t="e">
        <f ca="1"/>
        <v>#NAME?</v>
      </c>
    </row>
    <row r="21" spans="1:17">
      <c r="A21" s="1240">
        <f t="shared" si="0"/>
        <v>18</v>
      </c>
      <c r="B21" s="750">
        <v>17</v>
      </c>
      <c r="C21" s="42" t="s">
        <v>28</v>
      </c>
      <c r="D21" s="42" t="s">
        <v>28</v>
      </c>
      <c r="E21" s="838">
        <v>35</v>
      </c>
      <c r="G21" s="1240">
        <f t="shared" si="1"/>
        <v>18</v>
      </c>
      <c r="H21" s="656" t="e">
        <f ca="1"/>
        <v>#NAME?</v>
      </c>
      <c r="I21" s="8" t="e">
        <f ca="1"/>
        <v>#NAME?</v>
      </c>
      <c r="J21" s="8" t="e">
        <f ca="1"/>
        <v>#NAME?</v>
      </c>
      <c r="K21" s="657" t="e">
        <f ca="1"/>
        <v>#NAME?</v>
      </c>
      <c r="M21" s="1240">
        <f t="shared" si="2"/>
        <v>18</v>
      </c>
      <c r="N21" s="656" t="e">
        <f ca="1"/>
        <v>#NAME?</v>
      </c>
      <c r="O21" s="8" t="e">
        <f ca="1"/>
        <v>#NAME?</v>
      </c>
      <c r="P21" s="8" t="e">
        <f ca="1"/>
        <v>#NAME?</v>
      </c>
      <c r="Q21" s="657" t="e">
        <f ca="1"/>
        <v>#NAME?</v>
      </c>
    </row>
    <row r="22" spans="1:17">
      <c r="A22" s="1240">
        <f t="shared" si="0"/>
        <v>19</v>
      </c>
      <c r="B22" s="750">
        <v>13</v>
      </c>
      <c r="C22" s="42">
        <v>21</v>
      </c>
      <c r="D22" s="42">
        <v>20</v>
      </c>
      <c r="E22" s="838">
        <v>48</v>
      </c>
      <c r="G22" s="1240">
        <f t="shared" si="1"/>
        <v>19</v>
      </c>
      <c r="H22" s="656" t="e">
        <f ca="1"/>
        <v>#NAME?</v>
      </c>
      <c r="I22" s="8" t="e">
        <f ca="1"/>
        <v>#NAME?</v>
      </c>
      <c r="J22" s="8" t="e">
        <f ca="1"/>
        <v>#NAME?</v>
      </c>
      <c r="K22" s="657" t="e">
        <f ca="1"/>
        <v>#NAME?</v>
      </c>
      <c r="M22" s="1240">
        <f t="shared" si="2"/>
        <v>19</v>
      </c>
      <c r="N22" s="656" t="e">
        <f ca="1"/>
        <v>#NAME?</v>
      </c>
      <c r="O22" s="8" t="e">
        <f ca="1"/>
        <v>#NAME?</v>
      </c>
      <c r="P22" s="8" t="e">
        <f ca="1"/>
        <v>#NAME?</v>
      </c>
      <c r="Q22" s="657" t="e">
        <f ca="1"/>
        <v>#NAME?</v>
      </c>
    </row>
    <row r="23" spans="1:17">
      <c r="A23" s="1240">
        <f t="shared" si="0"/>
        <v>20</v>
      </c>
      <c r="B23" s="1244">
        <v>11</v>
      </c>
      <c r="C23" s="1247">
        <v>51</v>
      </c>
      <c r="D23" s="1247">
        <v>18</v>
      </c>
      <c r="E23" s="1245">
        <v>54</v>
      </c>
      <c r="G23" s="1240">
        <f t="shared" si="1"/>
        <v>20</v>
      </c>
      <c r="H23" s="533" t="e">
        <f ca="1"/>
        <v>#NAME?</v>
      </c>
      <c r="I23" s="1078" t="e">
        <f ca="1"/>
        <v>#NAME?</v>
      </c>
      <c r="J23" s="1078" t="e">
        <f ca="1"/>
        <v>#NAME?</v>
      </c>
      <c r="K23" s="541" t="e">
        <f ca="1"/>
        <v>#NAME?</v>
      </c>
      <c r="M23" s="1240">
        <f t="shared" si="2"/>
        <v>20</v>
      </c>
      <c r="N23" s="533" t="e">
        <f ca="1"/>
        <v>#NAME?</v>
      </c>
      <c r="O23" s="1078" t="e">
        <f ca="1"/>
        <v>#NAME?</v>
      </c>
      <c r="P23" s="1078" t="e">
        <f ca="1"/>
        <v>#NAME?</v>
      </c>
      <c r="Q23" s="541" t="e">
        <f ca="1"/>
        <v>#NAME?</v>
      </c>
    </row>
    <row r="24" spans="1:17">
      <c r="A24" s="1240" t="s">
        <v>63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1240" t="s">
        <v>63</v>
      </c>
      <c r="H24" t="e">
        <f ca="1">AVERAGE(H4:H23)</f>
        <v>#NAME?</v>
      </c>
      <c r="I24" t="e">
        <f ca="1">AVERAGE(I4:I23)</f>
        <v>#NAME?</v>
      </c>
      <c r="J24" t="e">
        <f ca="1">AVERAGE(J4:J23)</f>
        <v>#NAME?</v>
      </c>
      <c r="K24" t="e">
        <f ca="1">AVERAGE(K4:K23)</f>
        <v>#NAME?</v>
      </c>
      <c r="M24" s="1240" t="s">
        <v>63</v>
      </c>
      <c r="N24" t="e">
        <f ca="1">AVERAGE(N4:N23)</f>
        <v>#NAME?</v>
      </c>
      <c r="O24" t="e">
        <f ca="1">AVERAGE(O4:O23)</f>
        <v>#NAME?</v>
      </c>
      <c r="P24" t="e">
        <f ca="1">AVERAGE(P4:P23)</f>
        <v>#NAME?</v>
      </c>
      <c r="Q24" t="e">
        <f ca="1">AVERAGE(Q4:Q23)</f>
        <v>#NAME?</v>
      </c>
    </row>
    <row r="25" spans="1:17">
      <c r="A25" s="1240" t="s">
        <v>67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1240" t="s">
        <v>67</v>
      </c>
      <c r="H25" t="e">
        <f ca="1">STDEV(H4:H23)</f>
        <v>#NAME?</v>
      </c>
      <c r="I25" t="e">
        <f ca="1">STDEV(I4:I23)</f>
        <v>#NAME?</v>
      </c>
      <c r="J25" t="e">
        <f ca="1">STDEV(J4:J23)</f>
        <v>#NAME?</v>
      </c>
      <c r="K25" t="e">
        <f ca="1">STDEV(K4:K23)</f>
        <v>#NAME?</v>
      </c>
      <c r="M25" s="1240" t="s">
        <v>67</v>
      </c>
      <c r="N25" t="e">
        <f ca="1">STDEV(N4:N23)</f>
        <v>#NAME?</v>
      </c>
      <c r="O25" t="e">
        <f ca="1">STDEV(O4:O23)</f>
        <v>#NAME?</v>
      </c>
      <c r="P25" t="e">
        <f ca="1">STDEV(P4:P23)</f>
        <v>#NAME?</v>
      </c>
      <c r="Q25" t="e">
        <f ca="1">STDEV(Q4:Q23)</f>
        <v>#NAME?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sheetPr codeName="Sheet309"/>
  <dimension ref="A1:V35"/>
  <sheetViews>
    <sheetView topLeftCell="M1" zoomScale="95" zoomScaleNormal="95" workbookViewId="0">
      <selection activeCell="N22" sqref="N22"/>
    </sheetView>
  </sheetViews>
  <sheetFormatPr defaultRowHeight="14.4"/>
  <sheetData>
    <row r="1" spans="1:22">
      <c r="A1" s="1" t="s">
        <v>3372</v>
      </c>
      <c r="G1" t="s">
        <v>3374</v>
      </c>
      <c r="M1" t="s">
        <v>3381</v>
      </c>
      <c r="S1" t="s">
        <v>3373</v>
      </c>
    </row>
    <row r="3" spans="1:22">
      <c r="A3" s="1240" t="str">
        <f>'MI 4'!A3</f>
        <v>id</v>
      </c>
      <c r="B3" s="1240" t="str">
        <f>'MI 4'!B3</f>
        <v>read</v>
      </c>
      <c r="C3" s="1240" t="str">
        <f>'MI 4'!C3</f>
        <v>science</v>
      </c>
      <c r="D3" s="1240" t="str">
        <f>'MI 4'!D3</f>
        <v>math</v>
      </c>
      <c r="E3" s="1240" t="str">
        <f>'MI 4'!E3</f>
        <v>medicine</v>
      </c>
      <c r="G3" s="1240" t="s">
        <v>3354</v>
      </c>
      <c r="H3" s="1240" t="s">
        <v>3352</v>
      </c>
      <c r="I3" s="1240" t="s">
        <v>3333</v>
      </c>
      <c r="J3" s="1240" t="s">
        <v>3332</v>
      </c>
      <c r="K3" s="1240" t="s">
        <v>3353</v>
      </c>
      <c r="N3" s="1240" t="e">
        <f t="array" aca="1" ref="N3:Q8" ca="1">[1]!MISummary(H3:K23,TRUE)</f>
        <v>#NAME?</v>
      </c>
      <c r="O3" s="1240" t="e">
        <f ca="1"/>
        <v>#NAME?</v>
      </c>
      <c r="P3" s="1240" t="e">
        <f ca="1"/>
        <v>#NAME?</v>
      </c>
      <c r="Q3" s="1240" t="e">
        <f ca="1"/>
        <v>#NAME?</v>
      </c>
      <c r="S3" s="1240" t="e">
        <f t="array" aca="1" ref="S3:V23" ca="1">[1]!ImputedData(B3:E23,H3:K23,TRUE)</f>
        <v>#NAME?</v>
      </c>
      <c r="T3" s="1240" t="e">
        <f ca="1"/>
        <v>#NAME?</v>
      </c>
      <c r="U3" s="1240" t="e">
        <f ca="1"/>
        <v>#NAME?</v>
      </c>
      <c r="V3" s="1240" t="e">
        <f ca="1"/>
        <v>#NAME?</v>
      </c>
    </row>
    <row r="4" spans="1:22">
      <c r="A4" s="1240">
        <f>'MI 4'!A4</f>
        <v>1</v>
      </c>
      <c r="B4" s="1242">
        <f>'MI 4'!B4</f>
        <v>12</v>
      </c>
      <c r="C4" s="1248">
        <f>'MI 4'!C4</f>
        <v>27</v>
      </c>
      <c r="D4" s="1248">
        <f>'MI 4'!D4</f>
        <v>19</v>
      </c>
      <c r="E4" s="1243">
        <f>'MI 4'!E4</f>
        <v>44</v>
      </c>
      <c r="G4" s="1240">
        <v>1</v>
      </c>
      <c r="H4" s="1236" t="e">
        <f t="array" ref="H4:K23" ca="1">'MI 4'!H4:K23</f>
        <v>#NAME?</v>
      </c>
      <c r="I4" s="1152" t="e">
        <f ca="1"/>
        <v>#NAME?</v>
      </c>
      <c r="J4" s="1152" t="e">
        <f ca="1"/>
        <v>#NAME?</v>
      </c>
      <c r="K4" s="1237" t="e">
        <f ca="1"/>
        <v>#NAME?</v>
      </c>
      <c r="M4" t="s">
        <v>2743</v>
      </c>
      <c r="N4" s="1236" t="e">
        <f ca="1"/>
        <v>#NAME?</v>
      </c>
      <c r="O4" s="1234" t="e">
        <f ca="1"/>
        <v>#NAME?</v>
      </c>
      <c r="P4" s="1234" t="e">
        <f ca="1"/>
        <v>#NAME?</v>
      </c>
      <c r="Q4" s="1237" t="e">
        <f ca="1"/>
        <v>#NAME?</v>
      </c>
      <c r="S4" s="1236" t="e">
        <f ca="1"/>
        <v>#NAME?</v>
      </c>
      <c r="T4" s="1152" t="e">
        <f ca="1"/>
        <v>#NAME?</v>
      </c>
      <c r="U4" s="1152" t="e">
        <f ca="1"/>
        <v>#NAME?</v>
      </c>
      <c r="V4" s="1237" t="e">
        <f ca="1"/>
        <v>#NAME?</v>
      </c>
    </row>
    <row r="5" spans="1:22">
      <c r="A5" s="1240">
        <f>'MI 4'!A5</f>
        <v>2</v>
      </c>
      <c r="B5" s="750">
        <f>'MI 4'!B5</f>
        <v>11</v>
      </c>
      <c r="C5" s="42" t="str">
        <f>'MI 4'!C5</f>
        <v>x</v>
      </c>
      <c r="D5" s="42">
        <f>'MI 4'!D5</f>
        <v>13</v>
      </c>
      <c r="E5" s="838">
        <f>'MI 4'!E5</f>
        <v>43</v>
      </c>
      <c r="G5" s="1240">
        <f>G4+1</f>
        <v>2</v>
      </c>
      <c r="H5" s="656" t="e">
        <f ca="1"/>
        <v>#NAME?</v>
      </c>
      <c r="I5" s="8" t="e">
        <f ca="1"/>
        <v>#NAME?</v>
      </c>
      <c r="J5" s="8" t="e">
        <f ca="1"/>
        <v>#NAME?</v>
      </c>
      <c r="K5" s="657" t="e">
        <f ca="1"/>
        <v>#NAME?</v>
      </c>
      <c r="M5" t="s">
        <v>3182</v>
      </c>
      <c r="N5" s="656" t="e">
        <f ca="1"/>
        <v>#NAME?</v>
      </c>
      <c r="O5" s="8" t="e">
        <f ca="1"/>
        <v>#NAME?</v>
      </c>
      <c r="P5" s="8" t="e">
        <f ca="1"/>
        <v>#NAME?</v>
      </c>
      <c r="Q5" s="657" t="e">
        <f ca="1"/>
        <v>#NAME?</v>
      </c>
      <c r="S5" s="656" t="e">
        <f ca="1"/>
        <v>#NAME?</v>
      </c>
      <c r="T5" s="8" t="e">
        <f ca="1"/>
        <v>#NAME?</v>
      </c>
      <c r="U5" s="8" t="e">
        <f ca="1"/>
        <v>#NAME?</v>
      </c>
      <c r="V5" s="657" t="e">
        <f ca="1"/>
        <v>#NAME?</v>
      </c>
    </row>
    <row r="6" spans="1:22">
      <c r="A6" s="1240">
        <f>'MI 4'!A6</f>
        <v>3</v>
      </c>
      <c r="B6" s="750" t="str">
        <f>'MI 4'!B6</f>
        <v>x</v>
      </c>
      <c r="C6" s="42">
        <f>'MI 4'!C6</f>
        <v>56</v>
      </c>
      <c r="D6" s="42">
        <f>'MI 4'!D6</f>
        <v>23</v>
      </c>
      <c r="E6" s="838">
        <f>'MI 4'!E6</f>
        <v>60</v>
      </c>
      <c r="G6" s="1240">
        <f t="shared" ref="G6:G23" si="0">G5+1</f>
        <v>3</v>
      </c>
      <c r="H6" s="656" t="e">
        <f ca="1"/>
        <v>#NAME?</v>
      </c>
      <c r="I6" s="8" t="e">
        <f ca="1"/>
        <v>#NAME?</v>
      </c>
      <c r="J6" s="8" t="e">
        <f ca="1"/>
        <v>#NAME?</v>
      </c>
      <c r="K6" s="657" t="e">
        <f ca="1"/>
        <v>#NAME?</v>
      </c>
      <c r="M6" t="s">
        <v>63</v>
      </c>
      <c r="N6" s="656" t="e">
        <f ca="1"/>
        <v>#NAME?</v>
      </c>
      <c r="O6" s="8" t="e">
        <f ca="1"/>
        <v>#NAME?</v>
      </c>
      <c r="P6" s="8" t="e">
        <f ca="1"/>
        <v>#NAME?</v>
      </c>
      <c r="Q6" s="657" t="e">
        <f ca="1"/>
        <v>#NAME?</v>
      </c>
      <c r="S6" s="656" t="e">
        <f ca="1"/>
        <v>#NAME?</v>
      </c>
      <c r="T6" s="8" t="e">
        <f ca="1"/>
        <v>#NAME?</v>
      </c>
      <c r="U6" s="8" t="e">
        <f ca="1"/>
        <v>#NAME?</v>
      </c>
      <c r="V6" s="657" t="e">
        <f ca="1"/>
        <v>#NAME?</v>
      </c>
    </row>
    <row r="7" spans="1:22">
      <c r="A7" s="1240">
        <f>'MI 4'!A7</f>
        <v>4</v>
      </c>
      <c r="B7" s="750">
        <f>'MI 4'!B7</f>
        <v>15</v>
      </c>
      <c r="C7" s="42">
        <f>'MI 4'!C7</f>
        <v>37</v>
      </c>
      <c r="D7" s="42">
        <f>'MI 4'!D7</f>
        <v>19</v>
      </c>
      <c r="E7" s="838">
        <f>'MI 4'!E7</f>
        <v>52</v>
      </c>
      <c r="G7" s="1240">
        <f t="shared" si="0"/>
        <v>4</v>
      </c>
      <c r="H7" s="656" t="e">
        <f ca="1"/>
        <v>#NAME?</v>
      </c>
      <c r="I7" s="8" t="e">
        <f ca="1"/>
        <v>#NAME?</v>
      </c>
      <c r="J7" s="8" t="e">
        <f ca="1"/>
        <v>#NAME?</v>
      </c>
      <c r="K7" s="657" t="e">
        <f ca="1"/>
        <v>#NAME?</v>
      </c>
      <c r="M7" t="s">
        <v>67</v>
      </c>
      <c r="N7" s="656" t="e">
        <f ca="1"/>
        <v>#NAME?</v>
      </c>
      <c r="O7" s="8" t="e">
        <f ca="1"/>
        <v>#NAME?</v>
      </c>
      <c r="P7" s="8" t="e">
        <f ca="1"/>
        <v>#NAME?</v>
      </c>
      <c r="Q7" s="657" t="e">
        <f ca="1"/>
        <v>#NAME?</v>
      </c>
      <c r="S7" s="656" t="e">
        <f ca="1"/>
        <v>#NAME?</v>
      </c>
      <c r="T7" s="8" t="e">
        <f ca="1"/>
        <v>#NAME?</v>
      </c>
      <c r="U7" s="8" t="e">
        <f ca="1"/>
        <v>#NAME?</v>
      </c>
      <c r="V7" s="657" t="e">
        <f ca="1"/>
        <v>#NAME?</v>
      </c>
    </row>
    <row r="8" spans="1:22">
      <c r="A8" s="1240">
        <f>'MI 4'!A8</f>
        <v>5</v>
      </c>
      <c r="B8" s="750">
        <f>'MI 4'!B8</f>
        <v>10</v>
      </c>
      <c r="C8" s="42">
        <f>'MI 4'!C8</f>
        <v>31</v>
      </c>
      <c r="D8" s="42">
        <f>'MI 4'!D8</f>
        <v>21</v>
      </c>
      <c r="E8" s="838" t="str">
        <f>'MI 4'!E8</f>
        <v>x</v>
      </c>
      <c r="G8" s="1240">
        <f t="shared" si="0"/>
        <v>5</v>
      </c>
      <c r="H8" s="656" t="e">
        <f ca="1"/>
        <v>#NAME?</v>
      </c>
      <c r="I8" s="8" t="e">
        <f ca="1"/>
        <v>#NAME?</v>
      </c>
      <c r="J8" s="8" t="e">
        <f ca="1"/>
        <v>#NAME?</v>
      </c>
      <c r="K8" s="657" t="e">
        <f ca="1"/>
        <v>#NAME?</v>
      </c>
      <c r="M8" t="s">
        <v>3371</v>
      </c>
      <c r="N8" s="533" t="e">
        <f ca="1"/>
        <v>#NAME?</v>
      </c>
      <c r="O8" s="1078" t="e">
        <f ca="1"/>
        <v>#NAME?</v>
      </c>
      <c r="P8" s="1078" t="e">
        <f ca="1"/>
        <v>#NAME?</v>
      </c>
      <c r="Q8" s="541" t="e">
        <f ca="1"/>
        <v>#NAME?</v>
      </c>
      <c r="S8" s="656" t="e">
        <f ca="1"/>
        <v>#NAME?</v>
      </c>
      <c r="T8" s="8" t="e">
        <f ca="1"/>
        <v>#NAME?</v>
      </c>
      <c r="U8" s="8" t="e">
        <f ca="1"/>
        <v>#NAME?</v>
      </c>
      <c r="V8" s="657" t="e">
        <f ca="1"/>
        <v>#NAME?</v>
      </c>
    </row>
    <row r="9" spans="1:22">
      <c r="A9" s="1240">
        <f>'MI 4'!A9</f>
        <v>6</v>
      </c>
      <c r="B9" s="750">
        <f>'MI 4'!B9</f>
        <v>18</v>
      </c>
      <c r="C9" s="42">
        <f>'MI 4'!C9</f>
        <v>40</v>
      </c>
      <c r="D9" s="42">
        <f>'MI 4'!D9</f>
        <v>22</v>
      </c>
      <c r="E9" s="838">
        <f>'MI 4'!E9</f>
        <v>43</v>
      </c>
      <c r="G9" s="1240">
        <f t="shared" si="0"/>
        <v>6</v>
      </c>
      <c r="H9" s="656" t="e">
        <f ca="1"/>
        <v>#NAME?</v>
      </c>
      <c r="I9" s="8" t="e">
        <f ca="1"/>
        <v>#NAME?</v>
      </c>
      <c r="J9" s="8" t="e">
        <f ca="1"/>
        <v>#NAME?</v>
      </c>
      <c r="K9" s="657" t="e">
        <f ca="1"/>
        <v>#NAME?</v>
      </c>
      <c r="S9" s="656" t="e">
        <f ca="1"/>
        <v>#NAME?</v>
      </c>
      <c r="T9" s="8" t="e">
        <f ca="1"/>
        <v>#NAME?</v>
      </c>
      <c r="U9" s="8" t="e">
        <f ca="1"/>
        <v>#NAME?</v>
      </c>
      <c r="V9" s="657" t="e">
        <f ca="1"/>
        <v>#NAME?</v>
      </c>
    </row>
    <row r="10" spans="1:22">
      <c r="A10" s="1240">
        <f>'MI 4'!A10</f>
        <v>7</v>
      </c>
      <c r="B10" s="750">
        <f>'MI 4'!B10</f>
        <v>15</v>
      </c>
      <c r="C10" s="42">
        <f>'MI 4'!C10</f>
        <v>50</v>
      </c>
      <c r="D10" s="42">
        <f>'MI 4'!D10</f>
        <v>28</v>
      </c>
      <c r="E10" s="838">
        <f>'MI 4'!E10</f>
        <v>56</v>
      </c>
      <c r="G10" s="1240">
        <f t="shared" si="0"/>
        <v>7</v>
      </c>
      <c r="H10" s="656" t="e">
        <f ca="1"/>
        <v>#NAME?</v>
      </c>
      <c r="I10" s="8" t="e">
        <f ca="1"/>
        <v>#NAME?</v>
      </c>
      <c r="J10" s="8" t="e">
        <f ca="1"/>
        <v>#NAME?</v>
      </c>
      <c r="K10" s="657" t="e">
        <f ca="1"/>
        <v>#NAME?</v>
      </c>
      <c r="M10" t="s">
        <v>3376</v>
      </c>
      <c r="S10" s="656" t="e">
        <f ca="1"/>
        <v>#NAME?</v>
      </c>
      <c r="T10" s="8" t="e">
        <f ca="1"/>
        <v>#NAME?</v>
      </c>
      <c r="U10" s="8" t="e">
        <f ca="1"/>
        <v>#NAME?</v>
      </c>
      <c r="V10" s="657" t="e">
        <f ca="1"/>
        <v>#NAME?</v>
      </c>
    </row>
    <row r="11" spans="1:22">
      <c r="A11" s="1240">
        <f>'MI 4'!A11</f>
        <v>8</v>
      </c>
      <c r="B11" s="750">
        <f>'MI 4'!B11</f>
        <v>21</v>
      </c>
      <c r="C11" s="42" t="str">
        <f>'MI 4'!C11</f>
        <v>x</v>
      </c>
      <c r="D11" s="42" t="str">
        <f>'MI 4'!D11</f>
        <v>x</v>
      </c>
      <c r="E11" s="838">
        <f>'MI 4'!E11</f>
        <v>46</v>
      </c>
      <c r="G11" s="1240">
        <f t="shared" si="0"/>
        <v>8</v>
      </c>
      <c r="H11" s="656" t="e">
        <f ca="1"/>
        <v>#NAME?</v>
      </c>
      <c r="I11" s="8" t="e">
        <f ca="1"/>
        <v>#NAME?</v>
      </c>
      <c r="J11" s="8" t="e">
        <f ca="1"/>
        <v>#NAME?</v>
      </c>
      <c r="K11" s="657" t="e">
        <f ca="1"/>
        <v>#NAME?</v>
      </c>
      <c r="S11" s="656" t="e">
        <f ca="1"/>
        <v>#NAME?</v>
      </c>
      <c r="T11" s="8" t="e">
        <f ca="1"/>
        <v>#NAME?</v>
      </c>
      <c r="U11" s="8" t="e">
        <f ca="1"/>
        <v>#NAME?</v>
      </c>
      <c r="V11" s="657" t="e">
        <f ca="1"/>
        <v>#NAME?</v>
      </c>
    </row>
    <row r="12" spans="1:22">
      <c r="A12" s="1240">
        <f>'MI 4'!A12</f>
        <v>9</v>
      </c>
      <c r="B12" s="750">
        <f>'MI 4'!B12</f>
        <v>20</v>
      </c>
      <c r="C12" s="42">
        <f>'MI 4'!C12</f>
        <v>39</v>
      </c>
      <c r="D12" s="42">
        <f>'MI 4'!D12</f>
        <v>25</v>
      </c>
      <c r="E12" s="838">
        <f>'MI 4'!E12</f>
        <v>51</v>
      </c>
      <c r="G12" s="1240">
        <f t="shared" si="0"/>
        <v>9</v>
      </c>
      <c r="H12" s="656" t="e">
        <f ca="1"/>
        <v>#NAME?</v>
      </c>
      <c r="I12" s="8" t="e">
        <f ca="1"/>
        <v>#NAME?</v>
      </c>
      <c r="J12" s="8" t="e">
        <f ca="1"/>
        <v>#NAME?</v>
      </c>
      <c r="K12" s="657" t="e">
        <f ca="1"/>
        <v>#NAME?</v>
      </c>
      <c r="M12" t="e">
        <f t="array" aca="1" ref="M12:Q17" ca="1">[1]!DescStats(H3:K23,TRUE,TRUE)</f>
        <v>#NAME?</v>
      </c>
      <c r="N12" t="e">
        <f ca="1"/>
        <v>#NAME?</v>
      </c>
      <c r="O12" t="e">
        <f ca="1"/>
        <v>#NAME?</v>
      </c>
      <c r="P12" t="e">
        <f ca="1"/>
        <v>#NAME?</v>
      </c>
      <c r="Q12" t="e">
        <f ca="1"/>
        <v>#NAME?</v>
      </c>
      <c r="S12" s="656" t="e">
        <f ca="1"/>
        <v>#NAME?</v>
      </c>
      <c r="T12" s="8" t="e">
        <f ca="1"/>
        <v>#NAME?</v>
      </c>
      <c r="U12" s="8" t="e">
        <f ca="1"/>
        <v>#NAME?</v>
      </c>
      <c r="V12" s="657" t="e">
        <f ca="1"/>
        <v>#NAME?</v>
      </c>
    </row>
    <row r="13" spans="1:22">
      <c r="A13" s="1240">
        <f>'MI 4'!A13</f>
        <v>10</v>
      </c>
      <c r="B13" s="750" t="str">
        <f>'MI 4'!B13</f>
        <v>x</v>
      </c>
      <c r="C13" s="42">
        <f>'MI 4'!C13</f>
        <v>36</v>
      </c>
      <c r="D13" s="42">
        <f>'MI 4'!D13</f>
        <v>23</v>
      </c>
      <c r="E13" s="838">
        <f>'MI 4'!E13</f>
        <v>56</v>
      </c>
      <c r="G13" s="1240">
        <f t="shared" si="0"/>
        <v>10</v>
      </c>
      <c r="H13" s="656" t="e">
        <f ca="1"/>
        <v>#NAME?</v>
      </c>
      <c r="I13" s="8" t="e">
        <f ca="1"/>
        <v>#NAME?</v>
      </c>
      <c r="J13" s="8" t="e">
        <f ca="1"/>
        <v>#NAME?</v>
      </c>
      <c r="K13" s="657" t="e">
        <f ca="1"/>
        <v>#NAME?</v>
      </c>
      <c r="M13" t="e">
        <f ca="1"/>
        <v>#NAME?</v>
      </c>
      <c r="N13" s="1236" t="e">
        <f ca="1"/>
        <v>#NAME?</v>
      </c>
      <c r="O13" s="1152" t="e">
        <f ca="1"/>
        <v>#NAME?</v>
      </c>
      <c r="P13" s="1152" t="e">
        <f ca="1"/>
        <v>#NAME?</v>
      </c>
      <c r="Q13" s="1237" t="e">
        <f ca="1"/>
        <v>#NAME?</v>
      </c>
      <c r="S13" s="656" t="e">
        <f ca="1"/>
        <v>#NAME?</v>
      </c>
      <c r="T13" s="8" t="e">
        <f ca="1"/>
        <v>#NAME?</v>
      </c>
      <c r="U13" s="8" t="e">
        <f ca="1"/>
        <v>#NAME?</v>
      </c>
      <c r="V13" s="657" t="e">
        <f ca="1"/>
        <v>#NAME?</v>
      </c>
    </row>
    <row r="14" spans="1:22">
      <c r="A14" s="1240">
        <f>'MI 4'!A14</f>
        <v>11</v>
      </c>
      <c r="B14" s="750" t="str">
        <f>'MI 4'!B14</f>
        <v>x</v>
      </c>
      <c r="C14" s="42">
        <f>'MI 4'!C14</f>
        <v>27</v>
      </c>
      <c r="D14" s="42">
        <f>'MI 4'!D14</f>
        <v>21</v>
      </c>
      <c r="E14" s="838">
        <f>'MI 4'!E14</f>
        <v>39</v>
      </c>
      <c r="G14" s="1240">
        <f t="shared" si="0"/>
        <v>11</v>
      </c>
      <c r="H14" s="656" t="e">
        <f ca="1"/>
        <v>#NAME?</v>
      </c>
      <c r="I14" s="8" t="e">
        <f ca="1"/>
        <v>#NAME?</v>
      </c>
      <c r="J14" s="8" t="e">
        <f ca="1"/>
        <v>#NAME?</v>
      </c>
      <c r="K14" s="657" t="e">
        <f ca="1"/>
        <v>#NAME?</v>
      </c>
      <c r="M14" t="e">
        <f ca="1"/>
        <v>#NAME?</v>
      </c>
      <c r="N14" s="656" t="e">
        <f ca="1"/>
        <v>#NAME?</v>
      </c>
      <c r="O14" s="8" t="e">
        <f ca="1"/>
        <v>#NAME?</v>
      </c>
      <c r="P14" s="8" t="e">
        <f ca="1"/>
        <v>#NAME?</v>
      </c>
      <c r="Q14" s="657" t="e">
        <f ca="1"/>
        <v>#NAME?</v>
      </c>
      <c r="S14" s="656" t="e">
        <f ca="1"/>
        <v>#NAME?</v>
      </c>
      <c r="T14" s="8" t="e">
        <f ca="1"/>
        <v>#NAME?</v>
      </c>
      <c r="U14" s="8" t="e">
        <f ca="1"/>
        <v>#NAME?</v>
      </c>
      <c r="V14" s="657" t="e">
        <f ca="1"/>
        <v>#NAME?</v>
      </c>
    </row>
    <row r="15" spans="1:22">
      <c r="A15" s="1240">
        <f>'MI 4'!A15</f>
        <v>12</v>
      </c>
      <c r="B15" s="750">
        <f>'MI 4'!B15</f>
        <v>14</v>
      </c>
      <c r="C15" s="42">
        <f>'MI 4'!C15</f>
        <v>32</v>
      </c>
      <c r="D15" s="42">
        <f>'MI 4'!D15</f>
        <v>20</v>
      </c>
      <c r="E15" s="838">
        <f>'MI 4'!E15</f>
        <v>46</v>
      </c>
      <c r="G15" s="1240">
        <f t="shared" si="0"/>
        <v>12</v>
      </c>
      <c r="H15" s="656" t="e">
        <f ca="1"/>
        <v>#NAME?</v>
      </c>
      <c r="I15" s="8" t="e">
        <f ca="1"/>
        <v>#NAME?</v>
      </c>
      <c r="J15" s="8" t="e">
        <f ca="1"/>
        <v>#NAME?</v>
      </c>
      <c r="K15" s="657" t="e">
        <f ca="1"/>
        <v>#NAME?</v>
      </c>
      <c r="M15" t="e">
        <f ca="1"/>
        <v>#NAME?</v>
      </c>
      <c r="N15" s="656" t="e">
        <f ca="1"/>
        <v>#NAME?</v>
      </c>
      <c r="O15" s="8" t="e">
        <f ca="1"/>
        <v>#NAME?</v>
      </c>
      <c r="P15" s="8" t="e">
        <f ca="1"/>
        <v>#NAME?</v>
      </c>
      <c r="Q15" s="657" t="e">
        <f ca="1"/>
        <v>#NAME?</v>
      </c>
      <c r="S15" s="656" t="e">
        <f ca="1"/>
        <v>#NAME?</v>
      </c>
      <c r="T15" s="8" t="e">
        <f ca="1"/>
        <v>#NAME?</v>
      </c>
      <c r="U15" s="8" t="e">
        <f ca="1"/>
        <v>#NAME?</v>
      </c>
      <c r="V15" s="657" t="e">
        <f ca="1"/>
        <v>#NAME?</v>
      </c>
    </row>
    <row r="16" spans="1:22">
      <c r="A16" s="1240">
        <f>'MI 4'!A16</f>
        <v>13</v>
      </c>
      <c r="B16" s="750">
        <f>'MI 4'!B16</f>
        <v>22</v>
      </c>
      <c r="C16" s="42">
        <f>'MI 4'!C16</f>
        <v>40</v>
      </c>
      <c r="D16" s="42" t="str">
        <f>'MI 4'!D16</f>
        <v>x</v>
      </c>
      <c r="E16" s="838">
        <f>'MI 4'!E16</f>
        <v>49</v>
      </c>
      <c r="G16" s="1240">
        <f t="shared" si="0"/>
        <v>13</v>
      </c>
      <c r="H16" s="656" t="e">
        <f ca="1"/>
        <v>#NAME?</v>
      </c>
      <c r="I16" s="8" t="e">
        <f ca="1"/>
        <v>#NAME?</v>
      </c>
      <c r="J16" s="8" t="e">
        <f ca="1"/>
        <v>#NAME?</v>
      </c>
      <c r="K16" s="657" t="e">
        <f ca="1"/>
        <v>#NAME?</v>
      </c>
      <c r="M16" t="e">
        <f ca="1"/>
        <v>#NAME?</v>
      </c>
      <c r="N16" s="656" t="e">
        <f ca="1"/>
        <v>#NAME?</v>
      </c>
      <c r="O16" s="8" t="e">
        <f ca="1"/>
        <v>#NAME?</v>
      </c>
      <c r="P16" s="8" t="e">
        <f ca="1"/>
        <v>#NAME?</v>
      </c>
      <c r="Q16" s="657" t="e">
        <f ca="1"/>
        <v>#NAME?</v>
      </c>
      <c r="S16" s="656" t="e">
        <f ca="1"/>
        <v>#NAME?</v>
      </c>
      <c r="T16" s="8" t="e">
        <f ca="1"/>
        <v>#NAME?</v>
      </c>
      <c r="U16" s="8" t="e">
        <f ca="1"/>
        <v>#NAME?</v>
      </c>
      <c r="V16" s="657" t="e">
        <f ca="1"/>
        <v>#NAME?</v>
      </c>
    </row>
    <row r="17" spans="1:22">
      <c r="A17" s="1240">
        <f>'MI 4'!A17</f>
        <v>14</v>
      </c>
      <c r="B17" s="750" t="str">
        <f>'MI 4'!B17</f>
        <v>x</v>
      </c>
      <c r="C17" s="42">
        <f>'MI 4'!C17</f>
        <v>31</v>
      </c>
      <c r="D17" s="42" t="str">
        <f>'MI 4'!D17</f>
        <v>x</v>
      </c>
      <c r="E17" s="838">
        <f>'MI 4'!E17</f>
        <v>44</v>
      </c>
      <c r="G17" s="1240">
        <f t="shared" si="0"/>
        <v>14</v>
      </c>
      <c r="H17" s="656" t="e">
        <f ca="1"/>
        <v>#NAME?</v>
      </c>
      <c r="I17" s="8" t="e">
        <f ca="1"/>
        <v>#NAME?</v>
      </c>
      <c r="J17" s="8" t="e">
        <f ca="1"/>
        <v>#NAME?</v>
      </c>
      <c r="K17" s="657" t="e">
        <f ca="1"/>
        <v>#NAME?</v>
      </c>
      <c r="M17" t="e">
        <f ca="1"/>
        <v>#NAME?</v>
      </c>
      <c r="N17" s="533" t="e">
        <f ca="1"/>
        <v>#NAME?</v>
      </c>
      <c r="O17" s="1078" t="e">
        <f ca="1"/>
        <v>#NAME?</v>
      </c>
      <c r="P17" s="1078" t="e">
        <f ca="1"/>
        <v>#NAME?</v>
      </c>
      <c r="Q17" s="541" t="e">
        <f ca="1"/>
        <v>#NAME?</v>
      </c>
      <c r="S17" s="656" t="e">
        <f ca="1"/>
        <v>#NAME?</v>
      </c>
      <c r="T17" s="8" t="e">
        <f ca="1"/>
        <v>#NAME?</v>
      </c>
      <c r="U17" s="8" t="e">
        <f ca="1"/>
        <v>#NAME?</v>
      </c>
      <c r="V17" s="657" t="e">
        <f ca="1"/>
        <v>#NAME?</v>
      </c>
    </row>
    <row r="18" spans="1:22">
      <c r="A18" s="1240">
        <f>'MI 4'!A18</f>
        <v>15</v>
      </c>
      <c r="B18" s="750" t="str">
        <f>'MI 4'!B18</f>
        <v>x</v>
      </c>
      <c r="C18" s="42">
        <f>'MI 4'!C18</f>
        <v>18</v>
      </c>
      <c r="D18" s="42">
        <f>'MI 4'!D18</f>
        <v>21</v>
      </c>
      <c r="E18" s="838" t="str">
        <f>'MI 4'!E18</f>
        <v>x</v>
      </c>
      <c r="G18" s="1240">
        <f t="shared" si="0"/>
        <v>15</v>
      </c>
      <c r="H18" s="656" t="e">
        <f ca="1"/>
        <v>#NAME?</v>
      </c>
      <c r="I18" s="8" t="e">
        <f ca="1"/>
        <v>#NAME?</v>
      </c>
      <c r="J18" s="8" t="e">
        <f ca="1"/>
        <v>#NAME?</v>
      </c>
      <c r="K18" s="657" t="e">
        <f ca="1"/>
        <v>#NAME?</v>
      </c>
      <c r="S18" s="656" t="e">
        <f ca="1"/>
        <v>#NAME?</v>
      </c>
      <c r="T18" s="8" t="e">
        <f ca="1"/>
        <v>#NAME?</v>
      </c>
      <c r="U18" s="8" t="e">
        <f ca="1"/>
        <v>#NAME?</v>
      </c>
      <c r="V18" s="657" t="e">
        <f ca="1"/>
        <v>#NAME?</v>
      </c>
    </row>
    <row r="19" spans="1:22">
      <c r="A19" s="1240">
        <f>'MI 4'!A19</f>
        <v>16</v>
      </c>
      <c r="B19" s="750">
        <f>'MI 4'!B19</f>
        <v>16</v>
      </c>
      <c r="C19" s="42">
        <f>'MI 4'!C19</f>
        <v>23</v>
      </c>
      <c r="D19" s="42">
        <f>'MI 4'!D19</f>
        <v>21</v>
      </c>
      <c r="E19" s="838">
        <f>'MI 4'!E19</f>
        <v>34</v>
      </c>
      <c r="G19" s="1240">
        <f t="shared" si="0"/>
        <v>16</v>
      </c>
      <c r="H19" s="656" t="e">
        <f ca="1"/>
        <v>#NAME?</v>
      </c>
      <c r="I19" s="8" t="e">
        <f ca="1"/>
        <v>#NAME?</v>
      </c>
      <c r="J19" s="8" t="e">
        <f ca="1"/>
        <v>#NAME?</v>
      </c>
      <c r="K19" s="657" t="e">
        <f ca="1"/>
        <v>#NAME?</v>
      </c>
      <c r="M19" t="s">
        <v>3377</v>
      </c>
      <c r="S19" s="656" t="e">
        <f ca="1"/>
        <v>#NAME?</v>
      </c>
      <c r="T19" s="8" t="e">
        <f ca="1"/>
        <v>#NAME?</v>
      </c>
      <c r="U19" s="8" t="e">
        <f ca="1"/>
        <v>#NAME?</v>
      </c>
      <c r="V19" s="657" t="e">
        <f ca="1"/>
        <v>#NAME?</v>
      </c>
    </row>
    <row r="20" spans="1:22">
      <c r="A20" s="1240">
        <f>'MI 4'!A20</f>
        <v>17</v>
      </c>
      <c r="B20" s="750">
        <f>'MI 4'!B20</f>
        <v>27</v>
      </c>
      <c r="C20" s="42">
        <f>'MI 4'!C20</f>
        <v>26</v>
      </c>
      <c r="D20" s="42">
        <f>'MI 4'!D20</f>
        <v>23</v>
      </c>
      <c r="E20" s="838">
        <f>'MI 4'!E20</f>
        <v>59</v>
      </c>
      <c r="G20" s="1240">
        <f t="shared" si="0"/>
        <v>17</v>
      </c>
      <c r="H20" s="656" t="e">
        <f ca="1"/>
        <v>#NAME?</v>
      </c>
      <c r="I20" s="8" t="e">
        <f ca="1"/>
        <v>#NAME?</v>
      </c>
      <c r="J20" s="8" t="e">
        <f ca="1"/>
        <v>#NAME?</v>
      </c>
      <c r="K20" s="657" t="e">
        <f ca="1"/>
        <v>#NAME?</v>
      </c>
      <c r="S20" s="656" t="e">
        <f ca="1"/>
        <v>#NAME?</v>
      </c>
      <c r="T20" s="8" t="e">
        <f ca="1"/>
        <v>#NAME?</v>
      </c>
      <c r="U20" s="8" t="e">
        <f ca="1"/>
        <v>#NAME?</v>
      </c>
      <c r="V20" s="657" t="e">
        <f ca="1"/>
        <v>#NAME?</v>
      </c>
    </row>
    <row r="21" spans="1:22">
      <c r="A21" s="1240">
        <f>'MI 4'!A21</f>
        <v>18</v>
      </c>
      <c r="B21" s="750">
        <f>'MI 4'!B21</f>
        <v>17</v>
      </c>
      <c r="C21" s="42" t="str">
        <f>'MI 4'!C21</f>
        <v>x</v>
      </c>
      <c r="D21" s="42" t="str">
        <f>'MI 4'!D21</f>
        <v>x</v>
      </c>
      <c r="E21" s="838">
        <f>'MI 4'!E21</f>
        <v>35</v>
      </c>
      <c r="G21" s="1240">
        <f t="shared" si="0"/>
        <v>18</v>
      </c>
      <c r="H21" s="656" t="e">
        <f ca="1"/>
        <v>#NAME?</v>
      </c>
      <c r="I21" s="8" t="e">
        <f ca="1"/>
        <v>#NAME?</v>
      </c>
      <c r="J21" s="8" t="e">
        <f ca="1"/>
        <v>#NAME?</v>
      </c>
      <c r="K21" s="657" t="e">
        <f ca="1"/>
        <v>#NAME?</v>
      </c>
      <c r="M21" t="e">
        <f t="array" aca="1" ref="M21:Q26" ca="1">[1]!DescStats(H3:K23,TRUE,TRUE,B3:E23)</f>
        <v>#NAME?</v>
      </c>
      <c r="N21" t="e">
        <f ca="1"/>
        <v>#NAME?</v>
      </c>
      <c r="O21" t="e">
        <f ca="1"/>
        <v>#NAME?</v>
      </c>
      <c r="P21" t="e">
        <f ca="1"/>
        <v>#NAME?</v>
      </c>
      <c r="Q21" t="e">
        <f ca="1"/>
        <v>#NAME?</v>
      </c>
      <c r="S21" s="656" t="e">
        <f ca="1"/>
        <v>#NAME?</v>
      </c>
      <c r="T21" s="8" t="e">
        <f ca="1"/>
        <v>#NAME?</v>
      </c>
      <c r="U21" s="8" t="e">
        <f ca="1"/>
        <v>#NAME?</v>
      </c>
      <c r="V21" s="657" t="e">
        <f ca="1"/>
        <v>#NAME?</v>
      </c>
    </row>
    <row r="22" spans="1:22">
      <c r="A22" s="1240">
        <f>'MI 4'!A22</f>
        <v>19</v>
      </c>
      <c r="B22" s="750">
        <f>'MI 4'!B22</f>
        <v>13</v>
      </c>
      <c r="C22" s="42">
        <f>'MI 4'!C22</f>
        <v>21</v>
      </c>
      <c r="D22" s="42">
        <f>'MI 4'!D22</f>
        <v>20</v>
      </c>
      <c r="E22" s="838">
        <f>'MI 4'!E22</f>
        <v>48</v>
      </c>
      <c r="G22" s="1240">
        <f t="shared" si="0"/>
        <v>19</v>
      </c>
      <c r="H22" s="656" t="e">
        <f ca="1"/>
        <v>#NAME?</v>
      </c>
      <c r="I22" s="8" t="e">
        <f ca="1"/>
        <v>#NAME?</v>
      </c>
      <c r="J22" s="8" t="e">
        <f ca="1"/>
        <v>#NAME?</v>
      </c>
      <c r="K22" s="657" t="e">
        <f ca="1"/>
        <v>#NAME?</v>
      </c>
      <c r="M22" t="e">
        <f ca="1"/>
        <v>#NAME?</v>
      </c>
      <c r="N22" s="1236" t="e">
        <f ca="1"/>
        <v>#NAME?</v>
      </c>
      <c r="O22" s="1234" t="e">
        <f ca="1"/>
        <v>#NAME?</v>
      </c>
      <c r="P22" s="1234" t="e">
        <f ca="1"/>
        <v>#NAME?</v>
      </c>
      <c r="Q22" s="1237" t="e">
        <f ca="1"/>
        <v>#NAME?</v>
      </c>
      <c r="S22" s="656" t="e">
        <f ca="1"/>
        <v>#NAME?</v>
      </c>
      <c r="T22" s="8" t="e">
        <f ca="1"/>
        <v>#NAME?</v>
      </c>
      <c r="U22" s="8" t="e">
        <f ca="1"/>
        <v>#NAME?</v>
      </c>
      <c r="V22" s="657" t="e">
        <f ca="1"/>
        <v>#NAME?</v>
      </c>
    </row>
    <row r="23" spans="1:22">
      <c r="A23" s="1240">
        <f>'MI 4'!A23</f>
        <v>20</v>
      </c>
      <c r="B23" s="1244">
        <f>'MI 4'!B23</f>
        <v>11</v>
      </c>
      <c r="C23" s="1247">
        <f>'MI 4'!C23</f>
        <v>51</v>
      </c>
      <c r="D23" s="1247">
        <f>'MI 4'!D23</f>
        <v>18</v>
      </c>
      <c r="E23" s="1245">
        <f>'MI 4'!E23</f>
        <v>54</v>
      </c>
      <c r="G23" s="1240">
        <f t="shared" si="0"/>
        <v>20</v>
      </c>
      <c r="H23" s="533" t="e">
        <f ca="1"/>
        <v>#NAME?</v>
      </c>
      <c r="I23" s="1078" t="e">
        <f ca="1"/>
        <v>#NAME?</v>
      </c>
      <c r="J23" s="1078" t="e">
        <f ca="1"/>
        <v>#NAME?</v>
      </c>
      <c r="K23" s="541" t="e">
        <f ca="1"/>
        <v>#NAME?</v>
      </c>
      <c r="M23" t="e">
        <f ca="1"/>
        <v>#NAME?</v>
      </c>
      <c r="N23" s="656" t="e">
        <f ca="1"/>
        <v>#NAME?</v>
      </c>
      <c r="O23" s="8" t="e">
        <f ca="1"/>
        <v>#NAME?</v>
      </c>
      <c r="P23" s="8" t="e">
        <f ca="1"/>
        <v>#NAME?</v>
      </c>
      <c r="Q23" s="657" t="e">
        <f ca="1"/>
        <v>#NAME?</v>
      </c>
      <c r="S23" s="533" t="e">
        <f ca="1"/>
        <v>#NAME?</v>
      </c>
      <c r="T23" s="1078" t="e">
        <f ca="1"/>
        <v>#NAME?</v>
      </c>
      <c r="U23" s="1078" t="e">
        <f ca="1"/>
        <v>#NAME?</v>
      </c>
      <c r="V23" s="541" t="e">
        <f ca="1"/>
        <v>#NAME?</v>
      </c>
    </row>
    <row r="24" spans="1:22">
      <c r="A24" s="1240" t="s">
        <v>63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1240" t="s">
        <v>63</v>
      </c>
      <c r="H24" t="e">
        <f ca="1">AVERAGE(H4:H23)</f>
        <v>#NAME?</v>
      </c>
      <c r="I24" t="e">
        <f ca="1">AVERAGE(I4:I23)</f>
        <v>#NAME?</v>
      </c>
      <c r="J24" t="e">
        <f ca="1">AVERAGE(J4:J23)</f>
        <v>#NAME?</v>
      </c>
      <c r="K24" t="e">
        <f ca="1">AVERAGE(K4:K23)</f>
        <v>#NAME?</v>
      </c>
      <c r="M24" t="e">
        <f ca="1"/>
        <v>#NAME?</v>
      </c>
      <c r="N24" s="656" t="e">
        <f ca="1"/>
        <v>#NAME?</v>
      </c>
      <c r="O24" s="8" t="e">
        <f ca="1"/>
        <v>#NAME?</v>
      </c>
      <c r="P24" s="8" t="e">
        <f ca="1"/>
        <v>#NAME?</v>
      </c>
      <c r="Q24" s="657" t="e">
        <f ca="1"/>
        <v>#NAME?</v>
      </c>
    </row>
    <row r="25" spans="1:22">
      <c r="A25" s="1240" t="s">
        <v>67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1240" t="s">
        <v>67</v>
      </c>
      <c r="H25" t="e">
        <f ca="1">STDEV(H4:H23)</f>
        <v>#NAME?</v>
      </c>
      <c r="I25" t="e">
        <f ca="1">STDEV(I4:I23)</f>
        <v>#NAME?</v>
      </c>
      <c r="J25" t="e">
        <f ca="1">STDEV(J4:J23)</f>
        <v>#NAME?</v>
      </c>
      <c r="K25" t="e">
        <f ca="1">STDEV(K4:K23)</f>
        <v>#NAME?</v>
      </c>
      <c r="M25" t="e">
        <f ca="1"/>
        <v>#NAME?</v>
      </c>
      <c r="N25" s="656" t="e">
        <f ca="1"/>
        <v>#NAME?</v>
      </c>
      <c r="O25" s="8" t="e">
        <f ca="1"/>
        <v>#NAME?</v>
      </c>
      <c r="P25" s="8" t="e">
        <f ca="1"/>
        <v>#NAME?</v>
      </c>
      <c r="Q25" s="657" t="e">
        <f ca="1"/>
        <v>#NAME?</v>
      </c>
    </row>
    <row r="26" spans="1:22">
      <c r="M26" t="e">
        <f ca="1"/>
        <v>#NAME?</v>
      </c>
      <c r="N26" s="533" t="e">
        <f ca="1"/>
        <v>#NAME?</v>
      </c>
      <c r="O26" s="1078" t="e">
        <f ca="1"/>
        <v>#NAME?</v>
      </c>
      <c r="P26" s="1078" t="e">
        <f ca="1"/>
        <v>#NAME?</v>
      </c>
      <c r="Q26" s="541" t="e">
        <f ca="1"/>
        <v>#NAME?</v>
      </c>
    </row>
    <row r="28" spans="1:22">
      <c r="M28" t="s">
        <v>3377</v>
      </c>
    </row>
    <row r="30" spans="1:22">
      <c r="M30" t="e">
        <f t="array" aca="1" ref="M30:Q35" ca="1">[1]!DescStats(S3:V23,TRUE,TRUE)</f>
        <v>#NAME?</v>
      </c>
      <c r="N30" t="e">
        <f ca="1"/>
        <v>#NAME?</v>
      </c>
      <c r="O30" t="e">
        <f ca="1"/>
        <v>#NAME?</v>
      </c>
      <c r="P30" t="e">
        <f ca="1"/>
        <v>#NAME?</v>
      </c>
      <c r="Q30" t="e">
        <f ca="1"/>
        <v>#NAME?</v>
      </c>
    </row>
    <row r="31" spans="1:22">
      <c r="M31" t="e">
        <f ca="1"/>
        <v>#NAME?</v>
      </c>
      <c r="N31" s="1236" t="e">
        <f ca="1"/>
        <v>#NAME?</v>
      </c>
      <c r="O31" s="1234" t="e">
        <f ca="1"/>
        <v>#NAME?</v>
      </c>
      <c r="P31" s="1234" t="e">
        <f ca="1"/>
        <v>#NAME?</v>
      </c>
      <c r="Q31" s="1237" t="e">
        <f ca="1"/>
        <v>#NAME?</v>
      </c>
    </row>
    <row r="32" spans="1:22">
      <c r="M32" t="e">
        <f ca="1"/>
        <v>#NAME?</v>
      </c>
      <c r="N32" s="656" t="e">
        <f ca="1"/>
        <v>#NAME?</v>
      </c>
      <c r="O32" s="8" t="e">
        <f ca="1"/>
        <v>#NAME?</v>
      </c>
      <c r="P32" s="8" t="e">
        <f ca="1"/>
        <v>#NAME?</v>
      </c>
      <c r="Q32" s="657" t="e">
        <f ca="1"/>
        <v>#NAME?</v>
      </c>
    </row>
    <row r="33" spans="13:17">
      <c r="M33" t="e">
        <f ca="1"/>
        <v>#NAME?</v>
      </c>
      <c r="N33" s="656" t="e">
        <f ca="1"/>
        <v>#NAME?</v>
      </c>
      <c r="O33" s="8" t="e">
        <f ca="1"/>
        <v>#NAME?</v>
      </c>
      <c r="P33" s="8" t="e">
        <f ca="1"/>
        <v>#NAME?</v>
      </c>
      <c r="Q33" s="657" t="e">
        <f ca="1"/>
        <v>#NAME?</v>
      </c>
    </row>
    <row r="34" spans="13:17">
      <c r="M34" t="e">
        <f ca="1"/>
        <v>#NAME?</v>
      </c>
      <c r="N34" s="656" t="e">
        <f ca="1"/>
        <v>#NAME?</v>
      </c>
      <c r="O34" s="8" t="e">
        <f ca="1"/>
        <v>#NAME?</v>
      </c>
      <c r="P34" s="8" t="e">
        <f ca="1"/>
        <v>#NAME?</v>
      </c>
      <c r="Q34" s="657" t="e">
        <f ca="1"/>
        <v>#NAME?</v>
      </c>
    </row>
    <row r="35" spans="13:17">
      <c r="M35" t="e">
        <f ca="1"/>
        <v>#NAME?</v>
      </c>
      <c r="N35" s="533" t="e">
        <f ca="1"/>
        <v>#NAME?</v>
      </c>
      <c r="O35" s="1078" t="e">
        <f ca="1"/>
        <v>#NAME?</v>
      </c>
      <c r="P35" s="1078" t="e">
        <f ca="1"/>
        <v>#NAME?</v>
      </c>
      <c r="Q35" s="541" t="e">
        <f ca="1"/>
        <v>#NAME?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sheetPr codeName="Sheet310"/>
  <dimension ref="A1:AO29"/>
  <sheetViews>
    <sheetView zoomScaleNormal="100" workbookViewId="0"/>
  </sheetViews>
  <sheetFormatPr defaultRowHeight="14.4"/>
  <cols>
    <col min="6" max="6" width="6.6640625" customWidth="1"/>
    <col min="12" max="12" width="6.6640625" customWidth="1"/>
    <col min="18" max="18" width="6.6640625" customWidth="1"/>
    <col min="24" max="24" width="6.6640625" customWidth="1"/>
  </cols>
  <sheetData>
    <row r="1" spans="1:41">
      <c r="A1" s="1" t="s">
        <v>3366</v>
      </c>
      <c r="G1" t="s">
        <v>3367</v>
      </c>
      <c r="M1" t="s">
        <v>3368</v>
      </c>
      <c r="S1" t="s">
        <v>3369</v>
      </c>
      <c r="Y1" t="s">
        <v>3370</v>
      </c>
      <c r="AE1" t="s">
        <v>3449</v>
      </c>
    </row>
    <row r="3" spans="1:41">
      <c r="A3" s="1240" t="s">
        <v>3354</v>
      </c>
      <c r="B3" s="1240" t="s">
        <v>3352</v>
      </c>
      <c r="C3" s="1240" t="s">
        <v>3333</v>
      </c>
      <c r="D3" s="1240" t="s">
        <v>3332</v>
      </c>
      <c r="E3" s="1240" t="s">
        <v>3353</v>
      </c>
      <c r="G3" s="1240" t="s">
        <v>3354</v>
      </c>
      <c r="H3" s="1240" t="s">
        <v>3352</v>
      </c>
      <c r="I3" s="1240" t="s">
        <v>3333</v>
      </c>
      <c r="J3" s="1240" t="s">
        <v>3332</v>
      </c>
      <c r="K3" s="1240" t="s">
        <v>3353</v>
      </c>
      <c r="M3" s="1240" t="s">
        <v>3354</v>
      </c>
      <c r="N3" s="1240" t="s">
        <v>3352</v>
      </c>
      <c r="O3" s="1240" t="s">
        <v>3333</v>
      </c>
      <c r="P3" s="1240" t="s">
        <v>3332</v>
      </c>
      <c r="Q3" s="1240" t="s">
        <v>3353</v>
      </c>
      <c r="S3" s="1240" t="s">
        <v>3354</v>
      </c>
      <c r="T3" s="1240" t="s">
        <v>3352</v>
      </c>
      <c r="U3" s="1240" t="s">
        <v>3333</v>
      </c>
      <c r="V3" s="1240" t="s">
        <v>3332</v>
      </c>
      <c r="W3" s="1240" t="s">
        <v>3353</v>
      </c>
      <c r="Y3" s="1240" t="s">
        <v>3354</v>
      </c>
      <c r="Z3" s="1240" t="s">
        <v>3352</v>
      </c>
      <c r="AA3" s="1240" t="s">
        <v>3333</v>
      </c>
      <c r="AB3" s="1240" t="s">
        <v>3332</v>
      </c>
      <c r="AC3" s="1240" t="s">
        <v>3353</v>
      </c>
      <c r="AF3" s="1240">
        <v>1</v>
      </c>
      <c r="AG3" s="1240">
        <v>2</v>
      </c>
      <c r="AH3" s="1240">
        <v>3</v>
      </c>
      <c r="AI3" s="1240">
        <v>4</v>
      </c>
    </row>
    <row r="4" spans="1:41">
      <c r="A4" s="1240">
        <v>1</v>
      </c>
      <c r="B4" s="1242">
        <v>12</v>
      </c>
      <c r="C4" s="1248">
        <v>27</v>
      </c>
      <c r="D4" s="1248">
        <v>19</v>
      </c>
      <c r="E4" s="1243">
        <v>44</v>
      </c>
      <c r="G4" s="1240">
        <v>1</v>
      </c>
      <c r="H4" s="1236" t="e">
        <f t="array" aca="1" ref="H4:K23" ca="1">[1]!ImputeFCS($B$4:$E$23,FALSE)</f>
        <v>#NAME?</v>
      </c>
      <c r="I4" s="1152" t="e">
        <f ca="1"/>
        <v>#NAME?</v>
      </c>
      <c r="J4" s="1152" t="e">
        <f ca="1"/>
        <v>#NAME?</v>
      </c>
      <c r="K4" s="1237" t="e">
        <f ca="1"/>
        <v>#NAME?</v>
      </c>
      <c r="M4" s="1240">
        <v>1</v>
      </c>
      <c r="N4" s="1236" t="e">
        <f t="array" aca="1" ref="N4:Q23" ca="1">[1]!ImputeFCS($B$4:$E$23,FALSE)</f>
        <v>#NAME?</v>
      </c>
      <c r="O4" s="1152" t="e">
        <f ca="1"/>
        <v>#NAME?</v>
      </c>
      <c r="P4" s="1152" t="e">
        <f ca="1"/>
        <v>#NAME?</v>
      </c>
      <c r="Q4" s="1237" t="e">
        <f ca="1"/>
        <v>#NAME?</v>
      </c>
      <c r="S4" s="1240">
        <v>1</v>
      </c>
      <c r="T4" s="1236" t="e">
        <f t="array" aca="1" ref="T4:W23" ca="1">[1]!ImputeFCS($B$4:$E$23,FALSE)</f>
        <v>#NAME?</v>
      </c>
      <c r="U4" s="1152" t="e">
        <f ca="1"/>
        <v>#NAME?</v>
      </c>
      <c r="V4" s="1152" t="e">
        <f ca="1"/>
        <v>#NAME?</v>
      </c>
      <c r="W4" s="1237" t="e">
        <f ca="1"/>
        <v>#NAME?</v>
      </c>
      <c r="Y4" s="1240">
        <v>1</v>
      </c>
      <c r="Z4" s="1236" t="e">
        <f t="array" aca="1" ref="Z4:AC23" ca="1">[1]!ImputeFCS($B$4:$E$23,FALSE)</f>
        <v>#NAME?</v>
      </c>
      <c r="AA4" s="1152" t="e">
        <f ca="1"/>
        <v>#NAME?</v>
      </c>
      <c r="AB4" s="1152" t="e">
        <f ca="1"/>
        <v>#NAME?</v>
      </c>
      <c r="AC4" s="1237" t="e">
        <f ca="1"/>
        <v>#NAME?</v>
      </c>
      <c r="AE4" t="s">
        <v>3352</v>
      </c>
      <c r="AF4" s="1236">
        <v>16.133333333333333</v>
      </c>
      <c r="AG4" s="1152">
        <v>15.997640649054858</v>
      </c>
      <c r="AH4" s="1152">
        <v>16.320781196305198</v>
      </c>
      <c r="AI4" s="1237">
        <v>16.688484761863826</v>
      </c>
    </row>
    <row r="5" spans="1:41">
      <c r="A5" s="1240">
        <f>A4+1</f>
        <v>2</v>
      </c>
      <c r="B5" s="750">
        <v>11</v>
      </c>
      <c r="C5" s="42" t="s">
        <v>28</v>
      </c>
      <c r="D5" s="42">
        <v>13</v>
      </c>
      <c r="E5" s="838">
        <v>43</v>
      </c>
      <c r="G5" s="1240">
        <f>G4+1</f>
        <v>2</v>
      </c>
      <c r="H5" s="656" t="e">
        <f ca="1"/>
        <v>#NAME?</v>
      </c>
      <c r="I5" s="8" t="e">
        <f ca="1"/>
        <v>#NAME?</v>
      </c>
      <c r="J5" s="8" t="e">
        <f ca="1"/>
        <v>#NAME?</v>
      </c>
      <c r="K5" s="657" t="e">
        <f ca="1"/>
        <v>#NAME?</v>
      </c>
      <c r="M5" s="1240">
        <f>M4+1</f>
        <v>2</v>
      </c>
      <c r="N5" s="656" t="e">
        <f ca="1"/>
        <v>#NAME?</v>
      </c>
      <c r="O5" s="8" t="e">
        <f ca="1"/>
        <v>#NAME?</v>
      </c>
      <c r="P5" s="8" t="e">
        <f ca="1"/>
        <v>#NAME?</v>
      </c>
      <c r="Q5" s="657" t="e">
        <f ca="1"/>
        <v>#NAME?</v>
      </c>
      <c r="S5" s="1240">
        <f>S4+1</f>
        <v>2</v>
      </c>
      <c r="T5" s="656" t="e">
        <f ca="1"/>
        <v>#NAME?</v>
      </c>
      <c r="U5" s="8" t="e">
        <f ca="1"/>
        <v>#NAME?</v>
      </c>
      <c r="V5" s="8" t="e">
        <f ca="1"/>
        <v>#NAME?</v>
      </c>
      <c r="W5" s="657" t="e">
        <f ca="1"/>
        <v>#NAME?</v>
      </c>
      <c r="Y5" s="1240">
        <f>Y4+1</f>
        <v>2</v>
      </c>
      <c r="Z5" s="656" t="e">
        <f ca="1"/>
        <v>#NAME?</v>
      </c>
      <c r="AA5" s="8" t="e">
        <f ca="1"/>
        <v>#NAME?</v>
      </c>
      <c r="AB5" s="8" t="e">
        <f ca="1"/>
        <v>#NAME?</v>
      </c>
      <c r="AC5" s="657" t="e">
        <f ca="1"/>
        <v>#NAME?</v>
      </c>
      <c r="AE5" t="s">
        <v>3333</v>
      </c>
      <c r="AF5" s="656">
        <v>34.411764705882355</v>
      </c>
      <c r="AG5" s="8">
        <v>32.976957834614097</v>
      </c>
      <c r="AH5" s="8">
        <v>32.321278230945552</v>
      </c>
      <c r="AI5" s="657">
        <v>32.868927770244753</v>
      </c>
    </row>
    <row r="6" spans="1:41">
      <c r="A6" s="1240">
        <f t="shared" ref="A6:A23" si="0">A5+1</f>
        <v>3</v>
      </c>
      <c r="B6" s="750" t="s">
        <v>28</v>
      </c>
      <c r="C6" s="42">
        <v>56</v>
      </c>
      <c r="D6" s="42">
        <v>23</v>
      </c>
      <c r="E6" s="838">
        <v>60</v>
      </c>
      <c r="G6" s="1240">
        <f t="shared" ref="G6:G23" si="1">G5+1</f>
        <v>3</v>
      </c>
      <c r="H6" s="656" t="e">
        <f ca="1"/>
        <v>#NAME?</v>
      </c>
      <c r="I6" s="8" t="e">
        <f ca="1"/>
        <v>#NAME?</v>
      </c>
      <c r="J6" s="8" t="e">
        <f ca="1"/>
        <v>#NAME?</v>
      </c>
      <c r="K6" s="657" t="e">
        <f ca="1"/>
        <v>#NAME?</v>
      </c>
      <c r="M6" s="1240">
        <f t="shared" ref="M6:M23" si="2">M5+1</f>
        <v>3</v>
      </c>
      <c r="N6" s="656" t="e">
        <f ca="1"/>
        <v>#NAME?</v>
      </c>
      <c r="O6" s="8" t="e">
        <f ca="1"/>
        <v>#NAME?</v>
      </c>
      <c r="P6" s="8" t="e">
        <f ca="1"/>
        <v>#NAME?</v>
      </c>
      <c r="Q6" s="657" t="e">
        <f ca="1"/>
        <v>#NAME?</v>
      </c>
      <c r="S6" s="1240">
        <f t="shared" ref="S6:S23" si="3">S5+1</f>
        <v>3</v>
      </c>
      <c r="T6" s="656" t="e">
        <f ca="1"/>
        <v>#NAME?</v>
      </c>
      <c r="U6" s="8" t="e">
        <f ca="1"/>
        <v>#NAME?</v>
      </c>
      <c r="V6" s="8" t="e">
        <f ca="1"/>
        <v>#NAME?</v>
      </c>
      <c r="W6" s="657" t="e">
        <f ca="1"/>
        <v>#NAME?</v>
      </c>
      <c r="Y6" s="1240">
        <f t="shared" ref="Y6:Y23" si="4">Y5+1</f>
        <v>3</v>
      </c>
      <c r="Z6" s="656" t="e">
        <f ca="1"/>
        <v>#NAME?</v>
      </c>
      <c r="AA6" s="8" t="e">
        <f ca="1"/>
        <v>#NAME?</v>
      </c>
      <c r="AB6" s="8" t="e">
        <f ca="1"/>
        <v>#NAME?</v>
      </c>
      <c r="AC6" s="657" t="e">
        <f ca="1"/>
        <v>#NAME?</v>
      </c>
      <c r="AE6" t="s">
        <v>3332</v>
      </c>
      <c r="AF6" s="656">
        <v>21.0625</v>
      </c>
      <c r="AG6" s="8">
        <v>21.454243790287023</v>
      </c>
      <c r="AH6" s="8">
        <v>21.133421896796548</v>
      </c>
      <c r="AI6" s="657">
        <v>21.215629585079949</v>
      </c>
    </row>
    <row r="7" spans="1:41">
      <c r="A7" s="1240">
        <f t="shared" si="0"/>
        <v>4</v>
      </c>
      <c r="B7" s="750">
        <v>15</v>
      </c>
      <c r="C7" s="42">
        <v>37</v>
      </c>
      <c r="D7" s="42">
        <v>19</v>
      </c>
      <c r="E7" s="838">
        <v>52</v>
      </c>
      <c r="G7" s="1240">
        <f t="shared" si="1"/>
        <v>4</v>
      </c>
      <c r="H7" s="656" t="e">
        <f ca="1"/>
        <v>#NAME?</v>
      </c>
      <c r="I7" s="8" t="e">
        <f ca="1"/>
        <v>#NAME?</v>
      </c>
      <c r="J7" s="8" t="e">
        <f ca="1"/>
        <v>#NAME?</v>
      </c>
      <c r="K7" s="657" t="e">
        <f ca="1"/>
        <v>#NAME?</v>
      </c>
      <c r="M7" s="1240">
        <f t="shared" si="2"/>
        <v>4</v>
      </c>
      <c r="N7" s="656" t="e">
        <f ca="1"/>
        <v>#NAME?</v>
      </c>
      <c r="O7" s="8" t="e">
        <f ca="1"/>
        <v>#NAME?</v>
      </c>
      <c r="P7" s="8" t="e">
        <f ca="1"/>
        <v>#NAME?</v>
      </c>
      <c r="Q7" s="657" t="e">
        <f ca="1"/>
        <v>#NAME?</v>
      </c>
      <c r="S7" s="1240">
        <f t="shared" si="3"/>
        <v>4</v>
      </c>
      <c r="T7" s="656" t="e">
        <f ca="1"/>
        <v>#NAME?</v>
      </c>
      <c r="U7" s="8" t="e">
        <f ca="1"/>
        <v>#NAME?</v>
      </c>
      <c r="V7" s="8" t="e">
        <f ca="1"/>
        <v>#NAME?</v>
      </c>
      <c r="W7" s="657" t="e">
        <f ca="1"/>
        <v>#NAME?</v>
      </c>
      <c r="Y7" s="1240">
        <f t="shared" si="4"/>
        <v>4</v>
      </c>
      <c r="Z7" s="656" t="e">
        <f ca="1"/>
        <v>#NAME?</v>
      </c>
      <c r="AA7" s="8" t="e">
        <f ca="1"/>
        <v>#NAME?</v>
      </c>
      <c r="AB7" s="8" t="e">
        <f ca="1"/>
        <v>#NAME?</v>
      </c>
      <c r="AC7" s="657" t="e">
        <f ca="1"/>
        <v>#NAME?</v>
      </c>
      <c r="AE7" t="s">
        <v>3353</v>
      </c>
      <c r="AF7" s="656">
        <v>47.722222222222221</v>
      </c>
      <c r="AG7" s="8">
        <v>46.847376285936392</v>
      </c>
      <c r="AH7" s="8">
        <v>47.28341653710811</v>
      </c>
      <c r="AI7" s="657">
        <v>47.127129371373812</v>
      </c>
    </row>
    <row r="8" spans="1:41">
      <c r="A8" s="1240">
        <f t="shared" si="0"/>
        <v>5</v>
      </c>
      <c r="B8" s="750">
        <v>10</v>
      </c>
      <c r="C8" s="42">
        <v>31</v>
      </c>
      <c r="D8" s="42">
        <v>21</v>
      </c>
      <c r="E8" s="838" t="s">
        <v>28</v>
      </c>
      <c r="G8" s="1240">
        <f t="shared" si="1"/>
        <v>5</v>
      </c>
      <c r="H8" s="656" t="e">
        <f ca="1"/>
        <v>#NAME?</v>
      </c>
      <c r="I8" s="8" t="e">
        <f ca="1"/>
        <v>#NAME?</v>
      </c>
      <c r="J8" s="8" t="e">
        <f ca="1"/>
        <v>#NAME?</v>
      </c>
      <c r="K8" s="657" t="e">
        <f ca="1"/>
        <v>#NAME?</v>
      </c>
      <c r="M8" s="1240">
        <f t="shared" si="2"/>
        <v>5</v>
      </c>
      <c r="N8" s="656" t="e">
        <f ca="1"/>
        <v>#NAME?</v>
      </c>
      <c r="O8" s="8" t="e">
        <f ca="1"/>
        <v>#NAME?</v>
      </c>
      <c r="P8" s="8" t="e">
        <f ca="1"/>
        <v>#NAME?</v>
      </c>
      <c r="Q8" s="657" t="e">
        <f ca="1"/>
        <v>#NAME?</v>
      </c>
      <c r="S8" s="1240">
        <f t="shared" si="3"/>
        <v>5</v>
      </c>
      <c r="T8" s="656" t="e">
        <f ca="1"/>
        <v>#NAME?</v>
      </c>
      <c r="U8" s="8" t="e">
        <f ca="1"/>
        <v>#NAME?</v>
      </c>
      <c r="V8" s="8" t="e">
        <f ca="1"/>
        <v>#NAME?</v>
      </c>
      <c r="W8" s="657" t="e">
        <f ca="1"/>
        <v>#NAME?</v>
      </c>
      <c r="Y8" s="1240">
        <f t="shared" si="4"/>
        <v>5</v>
      </c>
      <c r="Z8" s="656" t="e">
        <f ca="1"/>
        <v>#NAME?</v>
      </c>
      <c r="AA8" s="8" t="e">
        <f ca="1"/>
        <v>#NAME?</v>
      </c>
      <c r="AB8" s="8" t="e">
        <f ca="1"/>
        <v>#NAME?</v>
      </c>
      <c r="AC8" s="657" t="e">
        <f ca="1"/>
        <v>#NAME?</v>
      </c>
      <c r="AE8" t="s">
        <v>3352</v>
      </c>
      <c r="AF8" s="1236">
        <v>4.7789219744724045</v>
      </c>
      <c r="AG8" s="1152">
        <v>4.3472416851914204</v>
      </c>
      <c r="AH8" s="1152">
        <v>4.3056843931223581</v>
      </c>
      <c r="AI8" s="1237">
        <v>4.2375486357951972</v>
      </c>
    </row>
    <row r="9" spans="1:41">
      <c r="A9" s="1240">
        <f t="shared" si="0"/>
        <v>6</v>
      </c>
      <c r="B9" s="750">
        <v>18</v>
      </c>
      <c r="C9" s="42">
        <v>40</v>
      </c>
      <c r="D9" s="42">
        <v>22</v>
      </c>
      <c r="E9" s="838">
        <v>43</v>
      </c>
      <c r="G9" s="1240">
        <f t="shared" si="1"/>
        <v>6</v>
      </c>
      <c r="H9" s="656" t="e">
        <f ca="1"/>
        <v>#NAME?</v>
      </c>
      <c r="I9" s="8" t="e">
        <f ca="1"/>
        <v>#NAME?</v>
      </c>
      <c r="J9" s="8" t="e">
        <f ca="1"/>
        <v>#NAME?</v>
      </c>
      <c r="K9" s="657" t="e">
        <f ca="1"/>
        <v>#NAME?</v>
      </c>
      <c r="M9" s="1240">
        <f t="shared" si="2"/>
        <v>6</v>
      </c>
      <c r="N9" s="656" t="e">
        <f ca="1"/>
        <v>#NAME?</v>
      </c>
      <c r="O9" s="8" t="e">
        <f ca="1"/>
        <v>#NAME?</v>
      </c>
      <c r="P9" s="8" t="e">
        <f ca="1"/>
        <v>#NAME?</v>
      </c>
      <c r="Q9" s="657" t="e">
        <f ca="1"/>
        <v>#NAME?</v>
      </c>
      <c r="S9" s="1240">
        <f t="shared" si="3"/>
        <v>6</v>
      </c>
      <c r="T9" s="656" t="e">
        <f ca="1"/>
        <v>#NAME?</v>
      </c>
      <c r="U9" s="8" t="e">
        <f ca="1"/>
        <v>#NAME?</v>
      </c>
      <c r="V9" s="8" t="e">
        <f ca="1"/>
        <v>#NAME?</v>
      </c>
      <c r="W9" s="657" t="e">
        <f ca="1"/>
        <v>#NAME?</v>
      </c>
      <c r="Y9" s="1240">
        <f t="shared" si="4"/>
        <v>6</v>
      </c>
      <c r="Z9" s="656" t="e">
        <f ca="1"/>
        <v>#NAME?</v>
      </c>
      <c r="AA9" s="8" t="e">
        <f ca="1"/>
        <v>#NAME?</v>
      </c>
      <c r="AB9" s="8" t="e">
        <f ca="1"/>
        <v>#NAME?</v>
      </c>
      <c r="AC9" s="657" t="e">
        <f ca="1"/>
        <v>#NAME?</v>
      </c>
      <c r="AE9" t="s">
        <v>3333</v>
      </c>
      <c r="AF9" s="656">
        <v>10.79964596369606</v>
      </c>
      <c r="AG9" s="8">
        <v>10.903674618067848</v>
      </c>
      <c r="AH9" s="8">
        <v>11.568321126873629</v>
      </c>
      <c r="AI9" s="657">
        <v>10.712799484477767</v>
      </c>
    </row>
    <row r="10" spans="1:41">
      <c r="A10" s="1240">
        <f t="shared" si="0"/>
        <v>7</v>
      </c>
      <c r="B10" s="750">
        <v>15</v>
      </c>
      <c r="C10" s="42">
        <v>50</v>
      </c>
      <c r="D10" s="42">
        <v>28</v>
      </c>
      <c r="E10" s="838">
        <v>56</v>
      </c>
      <c r="G10" s="1240">
        <f t="shared" si="1"/>
        <v>7</v>
      </c>
      <c r="H10" s="656" t="e">
        <f ca="1"/>
        <v>#NAME?</v>
      </c>
      <c r="I10" s="8" t="e">
        <f ca="1"/>
        <v>#NAME?</v>
      </c>
      <c r="J10" s="8" t="e">
        <f ca="1"/>
        <v>#NAME?</v>
      </c>
      <c r="K10" s="657" t="e">
        <f ca="1"/>
        <v>#NAME?</v>
      </c>
      <c r="M10" s="1240">
        <f t="shared" si="2"/>
        <v>7</v>
      </c>
      <c r="N10" s="656" t="e">
        <f ca="1"/>
        <v>#NAME?</v>
      </c>
      <c r="O10" s="8" t="e">
        <f ca="1"/>
        <v>#NAME?</v>
      </c>
      <c r="P10" s="8" t="e">
        <f ca="1"/>
        <v>#NAME?</v>
      </c>
      <c r="Q10" s="657" t="e">
        <f ca="1"/>
        <v>#NAME?</v>
      </c>
      <c r="S10" s="1240">
        <f t="shared" si="3"/>
        <v>7</v>
      </c>
      <c r="T10" s="656" t="e">
        <f ca="1"/>
        <v>#NAME?</v>
      </c>
      <c r="U10" s="8" t="e">
        <f ca="1"/>
        <v>#NAME?</v>
      </c>
      <c r="V10" s="8" t="e">
        <f ca="1"/>
        <v>#NAME?</v>
      </c>
      <c r="W10" s="657" t="e">
        <f ca="1"/>
        <v>#NAME?</v>
      </c>
      <c r="Y10" s="1240">
        <f t="shared" si="4"/>
        <v>7</v>
      </c>
      <c r="Z10" s="656" t="e">
        <f ca="1"/>
        <v>#NAME?</v>
      </c>
      <c r="AA10" s="8" t="e">
        <f ca="1"/>
        <v>#NAME?</v>
      </c>
      <c r="AB10" s="8" t="e">
        <f ca="1"/>
        <v>#NAME?</v>
      </c>
      <c r="AC10" s="657" t="e">
        <f ca="1"/>
        <v>#NAME?</v>
      </c>
      <c r="AE10" t="s">
        <v>3332</v>
      </c>
      <c r="AF10" s="656">
        <v>3.2755406678389241</v>
      </c>
      <c r="AG10" s="8">
        <v>3.1058808736308059</v>
      </c>
      <c r="AH10" s="8">
        <v>3.5806999172823515</v>
      </c>
      <c r="AI10" s="657">
        <v>3.0563814299547247</v>
      </c>
    </row>
    <row r="11" spans="1:41">
      <c r="A11" s="1240">
        <f t="shared" si="0"/>
        <v>8</v>
      </c>
      <c r="B11" s="750">
        <v>21</v>
      </c>
      <c r="C11" s="42" t="s">
        <v>28</v>
      </c>
      <c r="D11" s="42" t="s">
        <v>28</v>
      </c>
      <c r="E11" s="838">
        <v>46</v>
      </c>
      <c r="G11" s="1240">
        <f t="shared" si="1"/>
        <v>8</v>
      </c>
      <c r="H11" s="656" t="e">
        <f ca="1"/>
        <v>#NAME?</v>
      </c>
      <c r="I11" s="8" t="e">
        <f ca="1"/>
        <v>#NAME?</v>
      </c>
      <c r="J11" s="8" t="e">
        <f ca="1"/>
        <v>#NAME?</v>
      </c>
      <c r="K11" s="657" t="e">
        <f ca="1"/>
        <v>#NAME?</v>
      </c>
      <c r="M11" s="1240">
        <f t="shared" si="2"/>
        <v>8</v>
      </c>
      <c r="N11" s="656" t="e">
        <f ca="1"/>
        <v>#NAME?</v>
      </c>
      <c r="O11" s="8" t="e">
        <f ca="1"/>
        <v>#NAME?</v>
      </c>
      <c r="P11" s="8" t="e">
        <f ca="1"/>
        <v>#NAME?</v>
      </c>
      <c r="Q11" s="657" t="e">
        <f ca="1"/>
        <v>#NAME?</v>
      </c>
      <c r="S11" s="1240">
        <f t="shared" si="3"/>
        <v>8</v>
      </c>
      <c r="T11" s="656" t="e">
        <f ca="1"/>
        <v>#NAME?</v>
      </c>
      <c r="U11" s="8" t="e">
        <f ca="1"/>
        <v>#NAME?</v>
      </c>
      <c r="V11" s="8" t="e">
        <f ca="1"/>
        <v>#NAME?</v>
      </c>
      <c r="W11" s="657" t="e">
        <f ca="1"/>
        <v>#NAME?</v>
      </c>
      <c r="Y11" s="1240">
        <f t="shared" si="4"/>
        <v>8</v>
      </c>
      <c r="Z11" s="656" t="e">
        <f ca="1"/>
        <v>#NAME?</v>
      </c>
      <c r="AA11" s="8" t="e">
        <f ca="1"/>
        <v>#NAME?</v>
      </c>
      <c r="AB11" s="8" t="e">
        <f ca="1"/>
        <v>#NAME?</v>
      </c>
      <c r="AC11" s="657" t="e">
        <f ca="1"/>
        <v>#NAME?</v>
      </c>
      <c r="AE11" t="s">
        <v>3353</v>
      </c>
      <c r="AF11" s="533">
        <v>7.6297063050063398</v>
      </c>
      <c r="AG11" s="1078">
        <v>7.7030074550478851</v>
      </c>
      <c r="AH11" s="1078">
        <v>7.3622212897393089</v>
      </c>
      <c r="AI11" s="541">
        <v>7.4761378115790551</v>
      </c>
    </row>
    <row r="12" spans="1:41">
      <c r="A12" s="1240">
        <f t="shared" si="0"/>
        <v>9</v>
      </c>
      <c r="B12" s="750">
        <v>20</v>
      </c>
      <c r="C12" s="42">
        <v>39</v>
      </c>
      <c r="D12" s="42">
        <v>25</v>
      </c>
      <c r="E12" s="838">
        <v>51</v>
      </c>
      <c r="G12" s="1240">
        <f t="shared" si="1"/>
        <v>9</v>
      </c>
      <c r="H12" s="656" t="e">
        <f ca="1"/>
        <v>#NAME?</v>
      </c>
      <c r="I12" s="8" t="e">
        <f ca="1"/>
        <v>#NAME?</v>
      </c>
      <c r="J12" s="8" t="e">
        <f ca="1"/>
        <v>#NAME?</v>
      </c>
      <c r="K12" s="657" t="e">
        <f ca="1"/>
        <v>#NAME?</v>
      </c>
      <c r="M12" s="1240">
        <f t="shared" si="2"/>
        <v>9</v>
      </c>
      <c r="N12" s="656" t="e">
        <f ca="1"/>
        <v>#NAME?</v>
      </c>
      <c r="O12" s="8" t="e">
        <f ca="1"/>
        <v>#NAME?</v>
      </c>
      <c r="P12" s="8" t="e">
        <f ca="1"/>
        <v>#NAME?</v>
      </c>
      <c r="Q12" s="657" t="e">
        <f ca="1"/>
        <v>#NAME?</v>
      </c>
      <c r="S12" s="1240">
        <f t="shared" si="3"/>
        <v>9</v>
      </c>
      <c r="T12" s="656" t="e">
        <f ca="1"/>
        <v>#NAME?</v>
      </c>
      <c r="U12" s="8" t="e">
        <f ca="1"/>
        <v>#NAME?</v>
      </c>
      <c r="V12" s="8" t="e">
        <f ca="1"/>
        <v>#NAME?</v>
      </c>
      <c r="W12" s="657" t="e">
        <f ca="1"/>
        <v>#NAME?</v>
      </c>
      <c r="Y12" s="1240">
        <f t="shared" si="4"/>
        <v>9</v>
      </c>
      <c r="Z12" s="656" t="e">
        <f ca="1"/>
        <v>#NAME?</v>
      </c>
      <c r="AA12" s="8" t="e">
        <f ca="1"/>
        <v>#NAME?</v>
      </c>
      <c r="AB12" s="8" t="e">
        <f ca="1"/>
        <v>#NAME?</v>
      </c>
      <c r="AC12" s="657" t="e">
        <f ca="1"/>
        <v>#NAME?</v>
      </c>
    </row>
    <row r="13" spans="1:41">
      <c r="A13" s="1240">
        <f t="shared" si="0"/>
        <v>10</v>
      </c>
      <c r="B13" s="750" t="s">
        <v>28</v>
      </c>
      <c r="C13" s="42">
        <v>36</v>
      </c>
      <c r="D13" s="42">
        <v>23</v>
      </c>
      <c r="E13" s="838">
        <v>56</v>
      </c>
      <c r="G13" s="1240">
        <f t="shared" si="1"/>
        <v>10</v>
      </c>
      <c r="H13" s="656" t="e">
        <f ca="1"/>
        <v>#NAME?</v>
      </c>
      <c r="I13" s="8" t="e">
        <f ca="1"/>
        <v>#NAME?</v>
      </c>
      <c r="J13" s="8" t="e">
        <f ca="1"/>
        <v>#NAME?</v>
      </c>
      <c r="K13" s="657" t="e">
        <f ca="1"/>
        <v>#NAME?</v>
      </c>
      <c r="M13" s="1240">
        <f t="shared" si="2"/>
        <v>10</v>
      </c>
      <c r="N13" s="656" t="e">
        <f ca="1"/>
        <v>#NAME?</v>
      </c>
      <c r="O13" s="8" t="e">
        <f ca="1"/>
        <v>#NAME?</v>
      </c>
      <c r="P13" s="8" t="e">
        <f ca="1"/>
        <v>#NAME?</v>
      </c>
      <c r="Q13" s="657" t="e">
        <f ca="1"/>
        <v>#NAME?</v>
      </c>
      <c r="S13" s="1240">
        <f t="shared" si="3"/>
        <v>10</v>
      </c>
      <c r="T13" s="656" t="e">
        <f ca="1"/>
        <v>#NAME?</v>
      </c>
      <c r="U13" s="8" t="e">
        <f ca="1"/>
        <v>#NAME?</v>
      </c>
      <c r="V13" s="8" t="e">
        <f ca="1"/>
        <v>#NAME?</v>
      </c>
      <c r="W13" s="657" t="e">
        <f ca="1"/>
        <v>#NAME?</v>
      </c>
      <c r="Y13" s="1240">
        <f t="shared" si="4"/>
        <v>10</v>
      </c>
      <c r="Z13" s="656" t="e">
        <f ca="1"/>
        <v>#NAME?</v>
      </c>
      <c r="AA13" s="8" t="e">
        <f ca="1"/>
        <v>#NAME?</v>
      </c>
      <c r="AB13" s="8" t="e">
        <f ca="1"/>
        <v>#NAME?</v>
      </c>
      <c r="AC13" s="657" t="e">
        <f ca="1"/>
        <v>#NAME?</v>
      </c>
      <c r="AE13" t="s">
        <v>3379</v>
      </c>
    </row>
    <row r="14" spans="1:41">
      <c r="A14" s="1240">
        <f t="shared" si="0"/>
        <v>11</v>
      </c>
      <c r="B14" s="750" t="s">
        <v>28</v>
      </c>
      <c r="C14" s="42">
        <v>27</v>
      </c>
      <c r="D14" s="42">
        <v>21</v>
      </c>
      <c r="E14" s="838">
        <v>39</v>
      </c>
      <c r="G14" s="1240">
        <f t="shared" si="1"/>
        <v>11</v>
      </c>
      <c r="H14" s="656" t="e">
        <f ca="1"/>
        <v>#NAME?</v>
      </c>
      <c r="I14" s="8" t="e">
        <f ca="1"/>
        <v>#NAME?</v>
      </c>
      <c r="J14" s="8" t="e">
        <f ca="1"/>
        <v>#NAME?</v>
      </c>
      <c r="K14" s="657" t="e">
        <f ca="1"/>
        <v>#NAME?</v>
      </c>
      <c r="M14" s="1240">
        <f t="shared" si="2"/>
        <v>11</v>
      </c>
      <c r="N14" s="656" t="e">
        <f ca="1"/>
        <v>#NAME?</v>
      </c>
      <c r="O14" s="8" t="e">
        <f ca="1"/>
        <v>#NAME?</v>
      </c>
      <c r="P14" s="8" t="e">
        <f ca="1"/>
        <v>#NAME?</v>
      </c>
      <c r="Q14" s="657" t="e">
        <f ca="1"/>
        <v>#NAME?</v>
      </c>
      <c r="S14" s="1240">
        <f t="shared" si="3"/>
        <v>11</v>
      </c>
      <c r="T14" s="656" t="e">
        <f ca="1"/>
        <v>#NAME?</v>
      </c>
      <c r="U14" s="8" t="e">
        <f ca="1"/>
        <v>#NAME?</v>
      </c>
      <c r="V14" s="8" t="e">
        <f ca="1"/>
        <v>#NAME?</v>
      </c>
      <c r="W14" s="657" t="e">
        <f ca="1"/>
        <v>#NAME?</v>
      </c>
      <c r="Y14" s="1240">
        <f t="shared" si="4"/>
        <v>11</v>
      </c>
      <c r="Z14" s="656" t="e">
        <f ca="1"/>
        <v>#NAME?</v>
      </c>
      <c r="AA14" s="8" t="e">
        <f ca="1"/>
        <v>#NAME?</v>
      </c>
      <c r="AB14" s="8" t="e">
        <f ca="1"/>
        <v>#NAME?</v>
      </c>
      <c r="AC14" s="657" t="e">
        <f ca="1"/>
        <v>#NAME?</v>
      </c>
    </row>
    <row r="15" spans="1:41">
      <c r="A15" s="1240">
        <f t="shared" si="0"/>
        <v>12</v>
      </c>
      <c r="B15" s="750">
        <v>14</v>
      </c>
      <c r="C15" s="42">
        <v>32</v>
      </c>
      <c r="D15" s="42">
        <v>20</v>
      </c>
      <c r="E15" s="838">
        <v>46</v>
      </c>
      <c r="G15" s="1240">
        <f t="shared" si="1"/>
        <v>12</v>
      </c>
      <c r="H15" s="656" t="e">
        <f ca="1"/>
        <v>#NAME?</v>
      </c>
      <c r="I15" s="8" t="e">
        <f ca="1"/>
        <v>#NAME?</v>
      </c>
      <c r="J15" s="8" t="e">
        <f ca="1"/>
        <v>#NAME?</v>
      </c>
      <c r="K15" s="657" t="e">
        <f ca="1"/>
        <v>#NAME?</v>
      </c>
      <c r="M15" s="1240">
        <f t="shared" si="2"/>
        <v>12</v>
      </c>
      <c r="N15" s="656" t="e">
        <f ca="1"/>
        <v>#NAME?</v>
      </c>
      <c r="O15" s="8" t="e">
        <f ca="1"/>
        <v>#NAME?</v>
      </c>
      <c r="P15" s="8" t="e">
        <f ca="1"/>
        <v>#NAME?</v>
      </c>
      <c r="Q15" s="657" t="e">
        <f ca="1"/>
        <v>#NAME?</v>
      </c>
      <c r="S15" s="1240">
        <f t="shared" si="3"/>
        <v>12</v>
      </c>
      <c r="T15" s="656" t="e">
        <f ca="1"/>
        <v>#NAME?</v>
      </c>
      <c r="U15" s="8" t="e">
        <f ca="1"/>
        <v>#NAME?</v>
      </c>
      <c r="V15" s="8" t="e">
        <f ca="1"/>
        <v>#NAME?</v>
      </c>
      <c r="W15" s="657" t="e">
        <f ca="1"/>
        <v>#NAME?</v>
      </c>
      <c r="Y15" s="1240">
        <f t="shared" si="4"/>
        <v>12</v>
      </c>
      <c r="Z15" s="656" t="e">
        <f ca="1"/>
        <v>#NAME?</v>
      </c>
      <c r="AA15" s="8" t="e">
        <f ca="1"/>
        <v>#NAME?</v>
      </c>
      <c r="AB15" s="8" t="e">
        <f ca="1"/>
        <v>#NAME?</v>
      </c>
      <c r="AC15" s="657" t="e">
        <f ca="1"/>
        <v>#NAME?</v>
      </c>
      <c r="AE15" t="e">
        <f t="array" aca="1" ref="AE15:AO19" ca="1">[1]!ImputeVar(AE4:AI11,20,TRUE)</f>
        <v>#NAME?</v>
      </c>
      <c r="AF15" s="1240" t="e">
        <f ca="1"/>
        <v>#NAME?</v>
      </c>
      <c r="AG15" s="1240" t="e">
        <f ca="1"/>
        <v>#NAME?</v>
      </c>
      <c r="AH15" s="1240" t="e">
        <f ca="1"/>
        <v>#NAME?</v>
      </c>
      <c r="AI15" s="1240" t="e">
        <f ca="1"/>
        <v>#NAME?</v>
      </c>
      <c r="AJ15" s="1240" t="e">
        <f ca="1"/>
        <v>#NAME?</v>
      </c>
      <c r="AK15" s="1240" t="e">
        <f ca="1"/>
        <v>#NAME?</v>
      </c>
      <c r="AL15" s="1240" t="e">
        <f ca="1"/>
        <v>#NAME?</v>
      </c>
      <c r="AM15" s="1240" t="e">
        <f ca="1"/>
        <v>#NAME?</v>
      </c>
      <c r="AN15" s="1240" t="e">
        <f ca="1"/>
        <v>#NAME?</v>
      </c>
      <c r="AO15" s="1240" t="e">
        <f ca="1"/>
        <v>#NAME?</v>
      </c>
    </row>
    <row r="16" spans="1:41">
      <c r="A16" s="1240">
        <f t="shared" si="0"/>
        <v>13</v>
      </c>
      <c r="B16" s="750">
        <v>22</v>
      </c>
      <c r="C16" s="42">
        <v>40</v>
      </c>
      <c r="D16" s="42" t="s">
        <v>28</v>
      </c>
      <c r="E16" s="838">
        <v>49</v>
      </c>
      <c r="G16" s="1240">
        <f t="shared" si="1"/>
        <v>13</v>
      </c>
      <c r="H16" s="656" t="e">
        <f ca="1"/>
        <v>#NAME?</v>
      </c>
      <c r="I16" s="8" t="e">
        <f ca="1"/>
        <v>#NAME?</v>
      </c>
      <c r="J16" s="8" t="e">
        <f ca="1"/>
        <v>#NAME?</v>
      </c>
      <c r="K16" s="657" t="e">
        <f ca="1"/>
        <v>#NAME?</v>
      </c>
      <c r="M16" s="1240">
        <f t="shared" si="2"/>
        <v>13</v>
      </c>
      <c r="N16" s="656" t="e">
        <f ca="1"/>
        <v>#NAME?</v>
      </c>
      <c r="O16" s="8" t="e">
        <f ca="1"/>
        <v>#NAME?</v>
      </c>
      <c r="P16" s="8" t="e">
        <f ca="1"/>
        <v>#NAME?</v>
      </c>
      <c r="Q16" s="657" t="e">
        <f ca="1"/>
        <v>#NAME?</v>
      </c>
      <c r="S16" s="1240">
        <f t="shared" si="3"/>
        <v>13</v>
      </c>
      <c r="T16" s="656" t="e">
        <f ca="1"/>
        <v>#NAME?</v>
      </c>
      <c r="U16" s="8" t="e">
        <f ca="1"/>
        <v>#NAME?</v>
      </c>
      <c r="V16" s="8" t="e">
        <f ca="1"/>
        <v>#NAME?</v>
      </c>
      <c r="W16" s="657" t="e">
        <f ca="1"/>
        <v>#NAME?</v>
      </c>
      <c r="Y16" s="1240">
        <f t="shared" si="4"/>
        <v>13</v>
      </c>
      <c r="Z16" s="656" t="e">
        <f ca="1"/>
        <v>#NAME?</v>
      </c>
      <c r="AA16" s="8" t="e">
        <f ca="1"/>
        <v>#NAME?</v>
      </c>
      <c r="AB16" s="8" t="e">
        <f ca="1"/>
        <v>#NAME?</v>
      </c>
      <c r="AC16" s="657" t="e">
        <f ca="1"/>
        <v>#NAME?</v>
      </c>
      <c r="AE16" t="e">
        <f ca="1"/>
        <v>#NAME?</v>
      </c>
      <c r="AF16" s="1236" t="e">
        <f ca="1"/>
        <v>#NAME?</v>
      </c>
      <c r="AG16" s="1152" t="e">
        <f ca="1"/>
        <v>#NAME?</v>
      </c>
      <c r="AH16" s="1152" t="e">
        <f ca="1"/>
        <v>#NAME?</v>
      </c>
      <c r="AI16" s="1152" t="e">
        <f ca="1"/>
        <v>#NAME?</v>
      </c>
      <c r="AJ16" s="1152" t="e">
        <f ca="1"/>
        <v>#NAME?</v>
      </c>
      <c r="AK16" s="1152" t="e">
        <f ca="1"/>
        <v>#NAME?</v>
      </c>
      <c r="AL16" s="1152" t="e">
        <f ca="1"/>
        <v>#NAME?</v>
      </c>
      <c r="AM16" s="1152" t="e">
        <f ca="1"/>
        <v>#NAME?</v>
      </c>
      <c r="AN16" s="1152" t="e">
        <f ca="1"/>
        <v>#NAME?</v>
      </c>
      <c r="AO16" s="1237" t="e">
        <f ca="1"/>
        <v>#NAME?</v>
      </c>
    </row>
    <row r="17" spans="1:41">
      <c r="A17" s="1240">
        <f t="shared" si="0"/>
        <v>14</v>
      </c>
      <c r="B17" s="750" t="s">
        <v>28</v>
      </c>
      <c r="C17" s="42">
        <v>31</v>
      </c>
      <c r="D17" s="42" t="s">
        <v>28</v>
      </c>
      <c r="E17" s="838">
        <v>44</v>
      </c>
      <c r="G17" s="1240">
        <f t="shared" si="1"/>
        <v>14</v>
      </c>
      <c r="H17" s="656" t="e">
        <f ca="1"/>
        <v>#NAME?</v>
      </c>
      <c r="I17" s="8" t="e">
        <f ca="1"/>
        <v>#NAME?</v>
      </c>
      <c r="J17" s="8" t="e">
        <f ca="1"/>
        <v>#NAME?</v>
      </c>
      <c r="K17" s="657" t="e">
        <f ca="1"/>
        <v>#NAME?</v>
      </c>
      <c r="M17" s="1240">
        <f t="shared" si="2"/>
        <v>14</v>
      </c>
      <c r="N17" s="656" t="e">
        <f ca="1"/>
        <v>#NAME?</v>
      </c>
      <c r="O17" s="8" t="e">
        <f ca="1"/>
        <v>#NAME?</v>
      </c>
      <c r="P17" s="8" t="e">
        <f ca="1"/>
        <v>#NAME?</v>
      </c>
      <c r="Q17" s="657" t="e">
        <f ca="1"/>
        <v>#NAME?</v>
      </c>
      <c r="S17" s="1240">
        <f t="shared" si="3"/>
        <v>14</v>
      </c>
      <c r="T17" s="656" t="e">
        <f ca="1"/>
        <v>#NAME?</v>
      </c>
      <c r="U17" s="8" t="e">
        <f ca="1"/>
        <v>#NAME?</v>
      </c>
      <c r="V17" s="8" t="e">
        <f ca="1"/>
        <v>#NAME?</v>
      </c>
      <c r="W17" s="657" t="e">
        <f ca="1"/>
        <v>#NAME?</v>
      </c>
      <c r="Y17" s="1240">
        <f t="shared" si="4"/>
        <v>14</v>
      </c>
      <c r="Z17" s="656" t="e">
        <f ca="1"/>
        <v>#NAME?</v>
      </c>
      <c r="AA17" s="8" t="e">
        <f ca="1"/>
        <v>#NAME?</v>
      </c>
      <c r="AB17" s="8" t="e">
        <f ca="1"/>
        <v>#NAME?</v>
      </c>
      <c r="AC17" s="657" t="e">
        <f ca="1"/>
        <v>#NAME?</v>
      </c>
      <c r="AE17" t="e">
        <f ca="1"/>
        <v>#NAME?</v>
      </c>
      <c r="AF17" s="656" t="e">
        <f ca="1"/>
        <v>#NAME?</v>
      </c>
      <c r="AG17" s="8" t="e">
        <f ca="1"/>
        <v>#NAME?</v>
      </c>
      <c r="AH17" s="8" t="e">
        <f ca="1"/>
        <v>#NAME?</v>
      </c>
      <c r="AI17" s="8" t="e">
        <f ca="1"/>
        <v>#NAME?</v>
      </c>
      <c r="AJ17" s="8" t="e">
        <f ca="1"/>
        <v>#NAME?</v>
      </c>
      <c r="AK17" s="8" t="e">
        <f ca="1"/>
        <v>#NAME?</v>
      </c>
      <c r="AL17" s="8" t="e">
        <f ca="1"/>
        <v>#NAME?</v>
      </c>
      <c r="AM17" s="8" t="e">
        <f ca="1"/>
        <v>#NAME?</v>
      </c>
      <c r="AN17" s="8" t="e">
        <f ca="1"/>
        <v>#NAME?</v>
      </c>
      <c r="AO17" s="657" t="e">
        <f ca="1"/>
        <v>#NAME?</v>
      </c>
    </row>
    <row r="18" spans="1:41">
      <c r="A18" s="1240">
        <f t="shared" si="0"/>
        <v>15</v>
      </c>
      <c r="B18" s="750" t="s">
        <v>28</v>
      </c>
      <c r="C18" s="42">
        <v>18</v>
      </c>
      <c r="D18" s="42">
        <v>21</v>
      </c>
      <c r="E18" s="838" t="s">
        <v>28</v>
      </c>
      <c r="G18" s="1240">
        <f t="shared" si="1"/>
        <v>15</v>
      </c>
      <c r="H18" s="656" t="e">
        <f ca="1"/>
        <v>#NAME?</v>
      </c>
      <c r="I18" s="8" t="e">
        <f ca="1"/>
        <v>#NAME?</v>
      </c>
      <c r="J18" s="8" t="e">
        <f ca="1"/>
        <v>#NAME?</v>
      </c>
      <c r="K18" s="657" t="e">
        <f ca="1"/>
        <v>#NAME?</v>
      </c>
      <c r="M18" s="1240">
        <f t="shared" si="2"/>
        <v>15</v>
      </c>
      <c r="N18" s="656" t="e">
        <f ca="1"/>
        <v>#NAME?</v>
      </c>
      <c r="O18" s="8" t="e">
        <f ca="1"/>
        <v>#NAME?</v>
      </c>
      <c r="P18" s="8" t="e">
        <f ca="1"/>
        <v>#NAME?</v>
      </c>
      <c r="Q18" s="657" t="e">
        <f ca="1"/>
        <v>#NAME?</v>
      </c>
      <c r="S18" s="1240">
        <f t="shared" si="3"/>
        <v>15</v>
      </c>
      <c r="T18" s="656" t="e">
        <f ca="1"/>
        <v>#NAME?</v>
      </c>
      <c r="U18" s="8" t="e">
        <f ca="1"/>
        <v>#NAME?</v>
      </c>
      <c r="V18" s="8" t="e">
        <f ca="1"/>
        <v>#NAME?</v>
      </c>
      <c r="W18" s="657" t="e">
        <f ca="1"/>
        <v>#NAME?</v>
      </c>
      <c r="Y18" s="1240">
        <f t="shared" si="4"/>
        <v>15</v>
      </c>
      <c r="Z18" s="656" t="e">
        <f ca="1"/>
        <v>#NAME?</v>
      </c>
      <c r="AA18" s="8" t="e">
        <f ca="1"/>
        <v>#NAME?</v>
      </c>
      <c r="AB18" s="8" t="e">
        <f ca="1"/>
        <v>#NAME?</v>
      </c>
      <c r="AC18" s="657" t="e">
        <f ca="1"/>
        <v>#NAME?</v>
      </c>
      <c r="AE18" t="e">
        <f ca="1"/>
        <v>#NAME?</v>
      </c>
      <c r="AF18" s="656" t="e">
        <f ca="1"/>
        <v>#NAME?</v>
      </c>
      <c r="AG18" s="8" t="e">
        <f ca="1"/>
        <v>#NAME?</v>
      </c>
      <c r="AH18" s="8" t="e">
        <f ca="1"/>
        <v>#NAME?</v>
      </c>
      <c r="AI18" s="8" t="e">
        <f ca="1"/>
        <v>#NAME?</v>
      </c>
      <c r="AJ18" s="8" t="e">
        <f ca="1"/>
        <v>#NAME?</v>
      </c>
      <c r="AK18" s="8" t="e">
        <f ca="1"/>
        <v>#NAME?</v>
      </c>
      <c r="AL18" s="8" t="e">
        <f ca="1"/>
        <v>#NAME?</v>
      </c>
      <c r="AM18" s="8" t="e">
        <f ca="1"/>
        <v>#NAME?</v>
      </c>
      <c r="AN18" s="8" t="e">
        <f ca="1"/>
        <v>#NAME?</v>
      </c>
      <c r="AO18" s="657" t="e">
        <f ca="1"/>
        <v>#NAME?</v>
      </c>
    </row>
    <row r="19" spans="1:41">
      <c r="A19" s="1240">
        <f t="shared" si="0"/>
        <v>16</v>
      </c>
      <c r="B19" s="750">
        <v>16</v>
      </c>
      <c r="C19" s="42">
        <v>23</v>
      </c>
      <c r="D19" s="42">
        <v>21</v>
      </c>
      <c r="E19" s="838">
        <v>34</v>
      </c>
      <c r="G19" s="1240">
        <f t="shared" si="1"/>
        <v>16</v>
      </c>
      <c r="H19" s="656" t="e">
        <f ca="1"/>
        <v>#NAME?</v>
      </c>
      <c r="I19" s="8" t="e">
        <f ca="1"/>
        <v>#NAME?</v>
      </c>
      <c r="J19" s="8" t="e">
        <f ca="1"/>
        <v>#NAME?</v>
      </c>
      <c r="K19" s="657" t="e">
        <f ca="1"/>
        <v>#NAME?</v>
      </c>
      <c r="M19" s="1240">
        <f t="shared" si="2"/>
        <v>16</v>
      </c>
      <c r="N19" s="656" t="e">
        <f ca="1"/>
        <v>#NAME?</v>
      </c>
      <c r="O19" s="8" t="e">
        <f ca="1"/>
        <v>#NAME?</v>
      </c>
      <c r="P19" s="8" t="e">
        <f ca="1"/>
        <v>#NAME?</v>
      </c>
      <c r="Q19" s="657" t="e">
        <f ca="1"/>
        <v>#NAME?</v>
      </c>
      <c r="S19" s="1240">
        <f t="shared" si="3"/>
        <v>16</v>
      </c>
      <c r="T19" s="656" t="e">
        <f ca="1"/>
        <v>#NAME?</v>
      </c>
      <c r="U19" s="8" t="e">
        <f ca="1"/>
        <v>#NAME?</v>
      </c>
      <c r="V19" s="8" t="e">
        <f ca="1"/>
        <v>#NAME?</v>
      </c>
      <c r="W19" s="657" t="e">
        <f ca="1"/>
        <v>#NAME?</v>
      </c>
      <c r="Y19" s="1240">
        <f t="shared" si="4"/>
        <v>16</v>
      </c>
      <c r="Z19" s="656" t="e">
        <f ca="1"/>
        <v>#NAME?</v>
      </c>
      <c r="AA19" s="8" t="e">
        <f ca="1"/>
        <v>#NAME?</v>
      </c>
      <c r="AB19" s="8" t="e">
        <f ca="1"/>
        <v>#NAME?</v>
      </c>
      <c r="AC19" s="657" t="e">
        <f ca="1"/>
        <v>#NAME?</v>
      </c>
      <c r="AE19" t="e">
        <f ca="1"/>
        <v>#NAME?</v>
      </c>
      <c r="AF19" s="533" t="e">
        <f ca="1"/>
        <v>#NAME?</v>
      </c>
      <c r="AG19" s="1078" t="e">
        <f ca="1"/>
        <v>#NAME?</v>
      </c>
      <c r="AH19" s="1078" t="e">
        <f ca="1"/>
        <v>#NAME?</v>
      </c>
      <c r="AI19" s="1078" t="e">
        <f ca="1"/>
        <v>#NAME?</v>
      </c>
      <c r="AJ19" s="1078" t="e">
        <f ca="1"/>
        <v>#NAME?</v>
      </c>
      <c r="AK19" s="1078" t="e">
        <f ca="1"/>
        <v>#NAME?</v>
      </c>
      <c r="AL19" s="1078" t="e">
        <f ca="1"/>
        <v>#NAME?</v>
      </c>
      <c r="AM19" s="1078" t="e">
        <f ca="1"/>
        <v>#NAME?</v>
      </c>
      <c r="AN19" s="1078" t="e">
        <f ca="1"/>
        <v>#NAME?</v>
      </c>
      <c r="AO19" s="541" t="e">
        <f ca="1"/>
        <v>#NAME?</v>
      </c>
    </row>
    <row r="20" spans="1:41">
      <c r="A20" s="1240">
        <f t="shared" si="0"/>
        <v>17</v>
      </c>
      <c r="B20" s="750">
        <v>27</v>
      </c>
      <c r="C20" s="42">
        <v>26</v>
      </c>
      <c r="D20" s="42">
        <v>23</v>
      </c>
      <c r="E20" s="838">
        <v>59</v>
      </c>
      <c r="G20" s="1240">
        <f t="shared" si="1"/>
        <v>17</v>
      </c>
      <c r="H20" s="656" t="e">
        <f ca="1"/>
        <v>#NAME?</v>
      </c>
      <c r="I20" s="8" t="e">
        <f ca="1"/>
        <v>#NAME?</v>
      </c>
      <c r="J20" s="8" t="e">
        <f ca="1"/>
        <v>#NAME?</v>
      </c>
      <c r="K20" s="657" t="e">
        <f ca="1"/>
        <v>#NAME?</v>
      </c>
      <c r="M20" s="1240">
        <f t="shared" si="2"/>
        <v>17</v>
      </c>
      <c r="N20" s="656" t="e">
        <f ca="1"/>
        <v>#NAME?</v>
      </c>
      <c r="O20" s="8" t="e">
        <f ca="1"/>
        <v>#NAME?</v>
      </c>
      <c r="P20" s="8" t="e">
        <f ca="1"/>
        <v>#NAME?</v>
      </c>
      <c r="Q20" s="657" t="e">
        <f ca="1"/>
        <v>#NAME?</v>
      </c>
      <c r="S20" s="1240">
        <f t="shared" si="3"/>
        <v>17</v>
      </c>
      <c r="T20" s="656" t="e">
        <f ca="1"/>
        <v>#NAME?</v>
      </c>
      <c r="U20" s="8" t="e">
        <f ca="1"/>
        <v>#NAME?</v>
      </c>
      <c r="V20" s="8" t="e">
        <f ca="1"/>
        <v>#NAME?</v>
      </c>
      <c r="W20" s="657" t="e">
        <f ca="1"/>
        <v>#NAME?</v>
      </c>
      <c r="Y20" s="1240">
        <f t="shared" si="4"/>
        <v>17</v>
      </c>
      <c r="Z20" s="656" t="e">
        <f ca="1"/>
        <v>#NAME?</v>
      </c>
      <c r="AA20" s="8" t="e">
        <f ca="1"/>
        <v>#NAME?</v>
      </c>
      <c r="AB20" s="8" t="e">
        <f ca="1"/>
        <v>#NAME?</v>
      </c>
      <c r="AC20" s="657" t="e">
        <f ca="1"/>
        <v>#NAME?</v>
      </c>
    </row>
    <row r="21" spans="1:41">
      <c r="A21" s="1240">
        <f t="shared" si="0"/>
        <v>18</v>
      </c>
      <c r="B21" s="750">
        <v>17</v>
      </c>
      <c r="C21" s="42" t="s">
        <v>28</v>
      </c>
      <c r="D21" s="42" t="s">
        <v>28</v>
      </c>
      <c r="E21" s="838">
        <v>35</v>
      </c>
      <c r="G21" s="1240">
        <f t="shared" si="1"/>
        <v>18</v>
      </c>
      <c r="H21" s="656" t="e">
        <f ca="1"/>
        <v>#NAME?</v>
      </c>
      <c r="I21" s="8" t="e">
        <f ca="1"/>
        <v>#NAME?</v>
      </c>
      <c r="J21" s="8" t="e">
        <f ca="1"/>
        <v>#NAME?</v>
      </c>
      <c r="K21" s="657" t="e">
        <f ca="1"/>
        <v>#NAME?</v>
      </c>
      <c r="M21" s="1240">
        <f t="shared" si="2"/>
        <v>18</v>
      </c>
      <c r="N21" s="656" t="e">
        <f ca="1"/>
        <v>#NAME?</v>
      </c>
      <c r="O21" s="8" t="e">
        <f ca="1"/>
        <v>#NAME?</v>
      </c>
      <c r="P21" s="8" t="e">
        <f ca="1"/>
        <v>#NAME?</v>
      </c>
      <c r="Q21" s="657" t="e">
        <f ca="1"/>
        <v>#NAME?</v>
      </c>
      <c r="S21" s="1240">
        <f t="shared" si="3"/>
        <v>18</v>
      </c>
      <c r="T21" s="656" t="e">
        <f ca="1"/>
        <v>#NAME?</v>
      </c>
      <c r="U21" s="8" t="e">
        <f ca="1"/>
        <v>#NAME?</v>
      </c>
      <c r="V21" s="8" t="e">
        <f ca="1"/>
        <v>#NAME?</v>
      </c>
      <c r="W21" s="657" t="e">
        <f ca="1"/>
        <v>#NAME?</v>
      </c>
      <c r="Y21" s="1240">
        <f t="shared" si="4"/>
        <v>18</v>
      </c>
      <c r="Z21" s="656" t="e">
        <f ca="1"/>
        <v>#NAME?</v>
      </c>
      <c r="AA21" s="8" t="e">
        <f ca="1"/>
        <v>#NAME?</v>
      </c>
      <c r="AB21" s="8" t="e">
        <f ca="1"/>
        <v>#NAME?</v>
      </c>
      <c r="AC21" s="657" t="e">
        <f ca="1"/>
        <v>#NAME?</v>
      </c>
      <c r="AE21" t="s">
        <v>3380</v>
      </c>
    </row>
    <row r="22" spans="1:41">
      <c r="A22" s="1240">
        <f t="shared" si="0"/>
        <v>19</v>
      </c>
      <c r="B22" s="750">
        <v>13</v>
      </c>
      <c r="C22" s="42">
        <v>21</v>
      </c>
      <c r="D22" s="42">
        <v>20</v>
      </c>
      <c r="E22" s="838">
        <v>48</v>
      </c>
      <c r="G22" s="1240">
        <f t="shared" si="1"/>
        <v>19</v>
      </c>
      <c r="H22" s="656" t="e">
        <f ca="1"/>
        <v>#NAME?</v>
      </c>
      <c r="I22" s="8" t="e">
        <f ca="1"/>
        <v>#NAME?</v>
      </c>
      <c r="J22" s="8" t="e">
        <f ca="1"/>
        <v>#NAME?</v>
      </c>
      <c r="K22" s="657" t="e">
        <f ca="1"/>
        <v>#NAME?</v>
      </c>
      <c r="M22" s="1240">
        <f t="shared" si="2"/>
        <v>19</v>
      </c>
      <c r="N22" s="656" t="e">
        <f ca="1"/>
        <v>#NAME?</v>
      </c>
      <c r="O22" s="8" t="e">
        <f ca="1"/>
        <v>#NAME?</v>
      </c>
      <c r="P22" s="8" t="e">
        <f ca="1"/>
        <v>#NAME?</v>
      </c>
      <c r="Q22" s="657" t="e">
        <f ca="1"/>
        <v>#NAME?</v>
      </c>
      <c r="S22" s="1240">
        <f t="shared" si="3"/>
        <v>19</v>
      </c>
      <c r="T22" s="656" t="e">
        <f ca="1"/>
        <v>#NAME?</v>
      </c>
      <c r="U22" s="8" t="e">
        <f ca="1"/>
        <v>#NAME?</v>
      </c>
      <c r="V22" s="8" t="e">
        <f ca="1"/>
        <v>#NAME?</v>
      </c>
      <c r="W22" s="657" t="e">
        <f ca="1"/>
        <v>#NAME?</v>
      </c>
      <c r="Y22" s="1240">
        <f t="shared" si="4"/>
        <v>19</v>
      </c>
      <c r="Z22" s="656" t="e">
        <f ca="1"/>
        <v>#NAME?</v>
      </c>
      <c r="AA22" s="8" t="e">
        <f ca="1"/>
        <v>#NAME?</v>
      </c>
      <c r="AB22" s="8" t="e">
        <f ca="1"/>
        <v>#NAME?</v>
      </c>
      <c r="AC22" s="657" t="e">
        <f ca="1"/>
        <v>#NAME?</v>
      </c>
    </row>
    <row r="23" spans="1:41">
      <c r="A23" s="1240">
        <f t="shared" si="0"/>
        <v>20</v>
      </c>
      <c r="B23" s="1244">
        <v>11</v>
      </c>
      <c r="C23" s="1247">
        <v>51</v>
      </c>
      <c r="D23" s="1247">
        <v>18</v>
      </c>
      <c r="E23" s="1245">
        <v>54</v>
      </c>
      <c r="G23" s="1240">
        <f t="shared" si="1"/>
        <v>20</v>
      </c>
      <c r="H23" s="533" t="e">
        <f ca="1"/>
        <v>#NAME?</v>
      </c>
      <c r="I23" s="1078" t="e">
        <f ca="1"/>
        <v>#NAME?</v>
      </c>
      <c r="J23" s="1078" t="e">
        <f ca="1"/>
        <v>#NAME?</v>
      </c>
      <c r="K23" s="541" t="e">
        <f ca="1"/>
        <v>#NAME?</v>
      </c>
      <c r="M23" s="1240">
        <f t="shared" si="2"/>
        <v>20</v>
      </c>
      <c r="N23" s="533" t="e">
        <f ca="1"/>
        <v>#NAME?</v>
      </c>
      <c r="O23" s="1078" t="e">
        <f ca="1"/>
        <v>#NAME?</v>
      </c>
      <c r="P23" s="1078" t="e">
        <f ca="1"/>
        <v>#NAME?</v>
      </c>
      <c r="Q23" s="541" t="e">
        <f ca="1"/>
        <v>#NAME?</v>
      </c>
      <c r="S23" s="1240">
        <f t="shared" si="3"/>
        <v>20</v>
      </c>
      <c r="T23" s="533" t="e">
        <f ca="1"/>
        <v>#NAME?</v>
      </c>
      <c r="U23" s="1078" t="e">
        <f ca="1"/>
        <v>#NAME?</v>
      </c>
      <c r="V23" s="1078" t="e">
        <f ca="1"/>
        <v>#NAME?</v>
      </c>
      <c r="W23" s="541" t="e">
        <f ca="1"/>
        <v>#NAME?</v>
      </c>
      <c r="Y23" s="1240">
        <f t="shared" si="4"/>
        <v>20</v>
      </c>
      <c r="Z23" s="533" t="e">
        <f ca="1"/>
        <v>#NAME?</v>
      </c>
      <c r="AA23" s="1078" t="e">
        <f ca="1"/>
        <v>#NAME?</v>
      </c>
      <c r="AB23" s="1078" t="e">
        <f ca="1"/>
        <v>#NAME?</v>
      </c>
      <c r="AC23" s="541" t="e">
        <f ca="1"/>
        <v>#NAME?</v>
      </c>
      <c r="AE23" t="e">
        <f t="array" aca="1" ref="AE23:AL27" ca="1">[1]!ImputeParam(AE4:AI11,20,TRUE)</f>
        <v>#NAME?</v>
      </c>
      <c r="AF23" s="1288" t="e">
        <f ca="1"/>
        <v>#NAME?</v>
      </c>
      <c r="AG23" s="1288" t="e">
        <f ca="1"/>
        <v>#NAME?</v>
      </c>
      <c r="AH23" s="1288" t="e">
        <f ca="1"/>
        <v>#NAME?</v>
      </c>
      <c r="AI23" s="1288" t="e">
        <f ca="1"/>
        <v>#NAME?</v>
      </c>
      <c r="AJ23" s="1288" t="e">
        <f ca="1"/>
        <v>#NAME?</v>
      </c>
      <c r="AK23" s="1288" t="e">
        <f ca="1"/>
        <v>#NAME?</v>
      </c>
      <c r="AL23" s="1288" t="e">
        <f ca="1"/>
        <v>#NAME?</v>
      </c>
    </row>
    <row r="24" spans="1:41">
      <c r="AE24" t="e">
        <f ca="1"/>
        <v>#NAME?</v>
      </c>
      <c r="AF24" s="1236" t="e">
        <f ca="1"/>
        <v>#NAME?</v>
      </c>
      <c r="AG24" s="1152" t="e">
        <f ca="1"/>
        <v>#NAME?</v>
      </c>
      <c r="AH24" s="1152" t="e">
        <f ca="1"/>
        <v>#NAME?</v>
      </c>
      <c r="AI24" s="1152" t="e">
        <f ca="1"/>
        <v>#NAME?</v>
      </c>
      <c r="AJ24" s="1152" t="e">
        <f ca="1"/>
        <v>#NAME?</v>
      </c>
      <c r="AK24" s="1152" t="e">
        <f ca="1"/>
        <v>#NAME?</v>
      </c>
      <c r="AL24" s="1237" t="e">
        <f ca="1"/>
        <v>#NAME?</v>
      </c>
    </row>
    <row r="25" spans="1:41">
      <c r="A25" s="1240" t="s">
        <v>63</v>
      </c>
      <c r="B25">
        <f>AVERAGE(B4:B23)</f>
        <v>16.133333333333333</v>
      </c>
      <c r="C25">
        <f>AVERAGE(C4:C23)</f>
        <v>34.411764705882355</v>
      </c>
      <c r="D25">
        <f>AVERAGE(D4:D23)</f>
        <v>21.0625</v>
      </c>
      <c r="E25">
        <f>AVERAGE(E4:E23)</f>
        <v>47.722222222222221</v>
      </c>
      <c r="G25" t="s">
        <v>63</v>
      </c>
      <c r="H25" s="1236" t="e">
        <f t="array" aca="1" ref="H25:K29" ca="1">[1]!MISummary(H4:K23,FALSE)</f>
        <v>#NAME?</v>
      </c>
      <c r="I25" s="1234" t="e">
        <f ca="1"/>
        <v>#NAME?</v>
      </c>
      <c r="J25" s="1234" t="e">
        <f ca="1"/>
        <v>#NAME?</v>
      </c>
      <c r="K25" s="1237" t="e">
        <f ca="1"/>
        <v>#NAME?</v>
      </c>
      <c r="M25" t="s">
        <v>63</v>
      </c>
      <c r="N25" s="1236" t="e">
        <f t="array" aca="1" ref="N25:Q29" ca="1">[1]!MISummary(N4:Q23,FALSE)</f>
        <v>#NAME?</v>
      </c>
      <c r="O25" s="1234" t="e">
        <f ca="1"/>
        <v>#NAME?</v>
      </c>
      <c r="P25" s="1234" t="e">
        <f ca="1"/>
        <v>#NAME?</v>
      </c>
      <c r="Q25" s="1237" t="e">
        <f ca="1"/>
        <v>#NAME?</v>
      </c>
      <c r="S25" t="s">
        <v>63</v>
      </c>
      <c r="T25" s="1236" t="e">
        <f t="array" aca="1" ref="T25:W29" ca="1">[1]!MISummary(T4:W23,FALSE)</f>
        <v>#NAME?</v>
      </c>
      <c r="U25" s="1234" t="e">
        <f ca="1"/>
        <v>#NAME?</v>
      </c>
      <c r="V25" s="1234" t="e">
        <f ca="1"/>
        <v>#NAME?</v>
      </c>
      <c r="W25" s="1237" t="e">
        <f ca="1"/>
        <v>#NAME?</v>
      </c>
      <c r="Y25" t="s">
        <v>63</v>
      </c>
      <c r="Z25" s="1236" t="e">
        <f t="array" aca="1" ref="Z25:AC29" ca="1">[1]!MISummary(Z4:AC23,FALSE)</f>
        <v>#NAME?</v>
      </c>
      <c r="AA25" s="1234" t="e">
        <f ca="1"/>
        <v>#NAME?</v>
      </c>
      <c r="AB25" s="1234" t="e">
        <f ca="1"/>
        <v>#NAME?</v>
      </c>
      <c r="AC25" s="1237" t="e">
        <f ca="1"/>
        <v>#NAME?</v>
      </c>
      <c r="AE25" t="e">
        <f ca="1"/>
        <v>#NAME?</v>
      </c>
      <c r="AF25" s="656" t="e">
        <f ca="1"/>
        <v>#NAME?</v>
      </c>
      <c r="AG25" s="8" t="e">
        <f ca="1"/>
        <v>#NAME?</v>
      </c>
      <c r="AH25" s="8" t="e">
        <f ca="1"/>
        <v>#NAME?</v>
      </c>
      <c r="AI25" s="8" t="e">
        <f ca="1"/>
        <v>#NAME?</v>
      </c>
      <c r="AJ25" s="8" t="e">
        <f ca="1"/>
        <v>#NAME?</v>
      </c>
      <c r="AK25" s="8" t="e">
        <f ca="1"/>
        <v>#NAME?</v>
      </c>
      <c r="AL25" s="657" t="e">
        <f ca="1"/>
        <v>#NAME?</v>
      </c>
    </row>
    <row r="26" spans="1:41">
      <c r="A26" s="1240" t="s">
        <v>67</v>
      </c>
      <c r="B26">
        <f>STDEV(B4:B23)</f>
        <v>4.7789219744724045</v>
      </c>
      <c r="C26">
        <f>STDEV(C4:C23)</f>
        <v>10.79964596369606</v>
      </c>
      <c r="D26">
        <f>STDEV(D4:D23)</f>
        <v>3.2755406678389241</v>
      </c>
      <c r="E26">
        <f>STDEV(E4:E23)</f>
        <v>7.6297063050063398</v>
      </c>
      <c r="G26" t="s">
        <v>67</v>
      </c>
      <c r="H26" s="656" t="e">
        <f ca="1"/>
        <v>#NAME?</v>
      </c>
      <c r="I26" s="8" t="e">
        <f ca="1"/>
        <v>#NAME?</v>
      </c>
      <c r="J26" s="8" t="e">
        <f ca="1"/>
        <v>#NAME?</v>
      </c>
      <c r="K26" s="657" t="e">
        <f ca="1"/>
        <v>#NAME?</v>
      </c>
      <c r="M26" t="s">
        <v>67</v>
      </c>
      <c r="N26" s="656" t="e">
        <f ca="1"/>
        <v>#NAME?</v>
      </c>
      <c r="O26" s="8" t="e">
        <f ca="1"/>
        <v>#NAME?</v>
      </c>
      <c r="P26" s="8" t="e">
        <f ca="1"/>
        <v>#NAME?</v>
      </c>
      <c r="Q26" s="657" t="e">
        <f ca="1"/>
        <v>#NAME?</v>
      </c>
      <c r="S26" t="s">
        <v>67</v>
      </c>
      <c r="T26" s="656" t="e">
        <f ca="1"/>
        <v>#NAME?</v>
      </c>
      <c r="U26" s="8" t="e">
        <f ca="1"/>
        <v>#NAME?</v>
      </c>
      <c r="V26" s="8" t="e">
        <f ca="1"/>
        <v>#NAME?</v>
      </c>
      <c r="W26" s="657" t="e">
        <f ca="1"/>
        <v>#NAME?</v>
      </c>
      <c r="Y26" t="s">
        <v>67</v>
      </c>
      <c r="Z26" s="656" t="e">
        <f ca="1"/>
        <v>#NAME?</v>
      </c>
      <c r="AA26" s="8" t="e">
        <f ca="1"/>
        <v>#NAME?</v>
      </c>
      <c r="AB26" s="8" t="e">
        <f ca="1"/>
        <v>#NAME?</v>
      </c>
      <c r="AC26" s="657" t="e">
        <f ca="1"/>
        <v>#NAME?</v>
      </c>
      <c r="AE26" t="e">
        <f ca="1"/>
        <v>#NAME?</v>
      </c>
      <c r="AF26" s="656" t="e">
        <f ca="1"/>
        <v>#NAME?</v>
      </c>
      <c r="AG26" s="8" t="e">
        <f ca="1"/>
        <v>#NAME?</v>
      </c>
      <c r="AH26" s="8" t="e">
        <f ca="1"/>
        <v>#NAME?</v>
      </c>
      <c r="AI26" s="8" t="e">
        <f ca="1"/>
        <v>#NAME?</v>
      </c>
      <c r="AJ26" s="8" t="e">
        <f ca="1"/>
        <v>#NAME?</v>
      </c>
      <c r="AK26" s="8" t="e">
        <f ca="1"/>
        <v>#NAME?</v>
      </c>
      <c r="AL26" s="657" t="e">
        <f ca="1"/>
        <v>#NAME?</v>
      </c>
    </row>
    <row r="27" spans="1:41">
      <c r="G27" t="s">
        <v>2743</v>
      </c>
      <c r="H27" s="656" t="e">
        <f ca="1"/>
        <v>#NAME?</v>
      </c>
      <c r="I27" s="8" t="e">
        <f ca="1"/>
        <v>#NAME?</v>
      </c>
      <c r="J27" s="8" t="e">
        <f ca="1"/>
        <v>#NAME?</v>
      </c>
      <c r="K27" s="657" t="e">
        <f ca="1"/>
        <v>#NAME?</v>
      </c>
      <c r="M27" t="s">
        <v>2743</v>
      </c>
      <c r="N27" s="656" t="e">
        <f ca="1"/>
        <v>#NAME?</v>
      </c>
      <c r="O27" s="8" t="e">
        <f ca="1"/>
        <v>#NAME?</v>
      </c>
      <c r="P27" s="8" t="e">
        <f ca="1"/>
        <v>#NAME?</v>
      </c>
      <c r="Q27" s="657" t="e">
        <f ca="1"/>
        <v>#NAME?</v>
      </c>
      <c r="S27" t="s">
        <v>2743</v>
      </c>
      <c r="T27" s="656" t="e">
        <f ca="1"/>
        <v>#NAME?</v>
      </c>
      <c r="U27" s="8" t="e">
        <f ca="1"/>
        <v>#NAME?</v>
      </c>
      <c r="V27" s="8" t="e">
        <f ca="1"/>
        <v>#NAME?</v>
      </c>
      <c r="W27" s="657" t="e">
        <f ca="1"/>
        <v>#NAME?</v>
      </c>
      <c r="Y27" t="s">
        <v>2743</v>
      </c>
      <c r="Z27" s="656" t="e">
        <f ca="1"/>
        <v>#NAME?</v>
      </c>
      <c r="AA27" s="8" t="e">
        <f ca="1"/>
        <v>#NAME?</v>
      </c>
      <c r="AB27" s="8" t="e">
        <f ca="1"/>
        <v>#NAME?</v>
      </c>
      <c r="AC27" s="657" t="e">
        <f ca="1"/>
        <v>#NAME?</v>
      </c>
      <c r="AE27" t="e">
        <f ca="1"/>
        <v>#NAME?</v>
      </c>
      <c r="AF27" s="533" t="e">
        <f ca="1"/>
        <v>#NAME?</v>
      </c>
      <c r="AG27" s="1078" t="e">
        <f ca="1"/>
        <v>#NAME?</v>
      </c>
      <c r="AH27" s="1078" t="e">
        <f ca="1"/>
        <v>#NAME?</v>
      </c>
      <c r="AI27" s="1078" t="e">
        <f ca="1"/>
        <v>#NAME?</v>
      </c>
      <c r="AJ27" s="1078" t="e">
        <f ca="1"/>
        <v>#NAME?</v>
      </c>
      <c r="AK27" s="1078" t="e">
        <f ca="1"/>
        <v>#NAME?</v>
      </c>
      <c r="AL27" s="541" t="e">
        <f ca="1"/>
        <v>#NAME?</v>
      </c>
    </row>
    <row r="28" spans="1:41">
      <c r="G28" t="s">
        <v>3182</v>
      </c>
      <c r="H28" s="656" t="e">
        <f ca="1"/>
        <v>#NAME?</v>
      </c>
      <c r="I28" s="8" t="e">
        <f ca="1"/>
        <v>#NAME?</v>
      </c>
      <c r="J28" s="8" t="e">
        <f ca="1"/>
        <v>#NAME?</v>
      </c>
      <c r="K28" s="657" t="e">
        <f ca="1"/>
        <v>#NAME?</v>
      </c>
      <c r="M28" t="s">
        <v>3182</v>
      </c>
      <c r="N28" s="656" t="e">
        <f ca="1"/>
        <v>#NAME?</v>
      </c>
      <c r="O28" s="8" t="e">
        <f ca="1"/>
        <v>#NAME?</v>
      </c>
      <c r="P28" s="8" t="e">
        <f ca="1"/>
        <v>#NAME?</v>
      </c>
      <c r="Q28" s="657" t="e">
        <f ca="1"/>
        <v>#NAME?</v>
      </c>
      <c r="S28" t="s">
        <v>3182</v>
      </c>
      <c r="T28" s="656" t="e">
        <f ca="1"/>
        <v>#NAME?</v>
      </c>
      <c r="U28" s="8" t="e">
        <f ca="1"/>
        <v>#NAME?</v>
      </c>
      <c r="V28" s="8" t="e">
        <f ca="1"/>
        <v>#NAME?</v>
      </c>
      <c r="W28" s="657" t="e">
        <f ca="1"/>
        <v>#NAME?</v>
      </c>
      <c r="Y28" t="s">
        <v>3182</v>
      </c>
      <c r="Z28" s="656" t="e">
        <f ca="1"/>
        <v>#NAME?</v>
      </c>
      <c r="AA28" s="8" t="e">
        <f ca="1"/>
        <v>#NAME?</v>
      </c>
      <c r="AB28" s="8" t="e">
        <f ca="1"/>
        <v>#NAME?</v>
      </c>
      <c r="AC28" s="657" t="e">
        <f ca="1"/>
        <v>#NAME?</v>
      </c>
    </row>
    <row r="29" spans="1:41">
      <c r="G29" t="s">
        <v>3371</v>
      </c>
      <c r="H29" s="533" t="e">
        <f ca="1"/>
        <v>#NAME?</v>
      </c>
      <c r="I29" s="1078" t="e">
        <f ca="1"/>
        <v>#NAME?</v>
      </c>
      <c r="J29" s="1078" t="e">
        <f ca="1"/>
        <v>#NAME?</v>
      </c>
      <c r="K29" s="541" t="e">
        <f ca="1"/>
        <v>#NAME?</v>
      </c>
      <c r="M29" t="s">
        <v>3371</v>
      </c>
      <c r="N29" s="533" t="e">
        <f ca="1"/>
        <v>#NAME?</v>
      </c>
      <c r="O29" s="1078" t="e">
        <f ca="1"/>
        <v>#NAME?</v>
      </c>
      <c r="P29" s="1078" t="e">
        <f ca="1"/>
        <v>#NAME?</v>
      </c>
      <c r="Q29" s="541" t="e">
        <f ca="1"/>
        <v>#NAME?</v>
      </c>
      <c r="S29" t="s">
        <v>3371</v>
      </c>
      <c r="T29" s="533" t="e">
        <f ca="1"/>
        <v>#NAME?</v>
      </c>
      <c r="U29" s="1078" t="e">
        <f ca="1"/>
        <v>#NAME?</v>
      </c>
      <c r="V29" s="1078" t="e">
        <f ca="1"/>
        <v>#NAME?</v>
      </c>
      <c r="W29" s="541" t="e">
        <f ca="1"/>
        <v>#NAME?</v>
      </c>
      <c r="Y29" t="s">
        <v>3371</v>
      </c>
      <c r="Z29" s="533" t="e">
        <f ca="1"/>
        <v>#NAME?</v>
      </c>
      <c r="AA29" s="1078" t="e">
        <f ca="1"/>
        <v>#NAME?</v>
      </c>
      <c r="AB29" s="1078" t="e">
        <f ca="1"/>
        <v>#NAME?</v>
      </c>
      <c r="AC29" s="541" t="e">
        <f ca="1"/>
        <v>#NAME?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sheetPr codeName="Sheet308"/>
  <dimension ref="A1:AQ41"/>
  <sheetViews>
    <sheetView topLeftCell="AE22" zoomScaleNormal="100" workbookViewId="0">
      <selection activeCell="AH28" sqref="AH28"/>
    </sheetView>
  </sheetViews>
  <sheetFormatPr defaultRowHeight="14.4"/>
  <cols>
    <col min="6" max="6" width="6.6640625" customWidth="1"/>
    <col min="12" max="12" width="6.6640625" customWidth="1"/>
    <col min="18" max="18" width="6.6640625" customWidth="1"/>
    <col min="24" max="24" width="6.6640625" customWidth="1"/>
    <col min="37" max="37" width="17" customWidth="1"/>
  </cols>
  <sheetData>
    <row r="1" spans="1:35">
      <c r="A1" s="1" t="s">
        <v>3366</v>
      </c>
      <c r="G1" t="s">
        <v>3367</v>
      </c>
      <c r="M1" t="s">
        <v>3368</v>
      </c>
      <c r="S1" t="s">
        <v>3369</v>
      </c>
      <c r="Y1" t="s">
        <v>3370</v>
      </c>
    </row>
    <row r="3" spans="1:35">
      <c r="A3" s="1240" t="s">
        <v>3354</v>
      </c>
      <c r="B3" s="1240" t="s">
        <v>3352</v>
      </c>
      <c r="C3" s="1240" t="s">
        <v>3333</v>
      </c>
      <c r="D3" s="1240" t="s">
        <v>3332</v>
      </c>
      <c r="E3" s="1240" t="s">
        <v>3353</v>
      </c>
      <c r="G3" s="1240" t="s">
        <v>3354</v>
      </c>
      <c r="H3" s="1240" t="s">
        <v>3352</v>
      </c>
      <c r="I3" s="1240" t="s">
        <v>3333</v>
      </c>
      <c r="J3" s="1240" t="s">
        <v>3332</v>
      </c>
      <c r="K3" s="1240" t="s">
        <v>3353</v>
      </c>
      <c r="M3" s="1240" t="s">
        <v>3354</v>
      </c>
      <c r="N3" s="1240" t="s">
        <v>3352</v>
      </c>
      <c r="O3" s="1240" t="s">
        <v>3333</v>
      </c>
      <c r="P3" s="1240" t="s">
        <v>3332</v>
      </c>
      <c r="Q3" s="1240" t="s">
        <v>3353</v>
      </c>
      <c r="S3" s="1240" t="s">
        <v>3354</v>
      </c>
      <c r="T3" s="1240" t="s">
        <v>3352</v>
      </c>
      <c r="U3" s="1240" t="s">
        <v>3333</v>
      </c>
      <c r="V3" s="1240" t="s">
        <v>3332</v>
      </c>
      <c r="W3" s="1240" t="s">
        <v>3353</v>
      </c>
      <c r="Y3" s="1240" t="s">
        <v>3354</v>
      </c>
      <c r="Z3" s="1240" t="s">
        <v>3352</v>
      </c>
      <c r="AA3" s="1240" t="s">
        <v>3333</v>
      </c>
      <c r="AB3" s="1240" t="s">
        <v>3332</v>
      </c>
      <c r="AC3" s="1240" t="s">
        <v>3353</v>
      </c>
    </row>
    <row r="4" spans="1:35">
      <c r="A4" s="1240">
        <v>1</v>
      </c>
      <c r="B4" s="1242">
        <v>12</v>
      </c>
      <c r="C4" s="1248">
        <v>27</v>
      </c>
      <c r="D4" s="1248">
        <v>19</v>
      </c>
      <c r="E4" s="1243">
        <v>44</v>
      </c>
      <c r="G4" s="1240">
        <v>1</v>
      </c>
      <c r="H4" s="1236" t="e">
        <f ca="1">'MI 6'!H4</f>
        <v>#NAME?</v>
      </c>
      <c r="I4" s="1152" t="e">
        <f ca="1">'MI 6'!I4</f>
        <v>#NAME?</v>
      </c>
      <c r="J4" s="1152" t="e">
        <f ca="1">'MI 6'!J4</f>
        <v>#NAME?</v>
      </c>
      <c r="K4" s="1237" t="e">
        <f ca="1">'MI 6'!K4</f>
        <v>#NAME?</v>
      </c>
      <c r="M4" s="1240">
        <v>1</v>
      </c>
      <c r="N4" s="1236" t="e">
        <f ca="1">'MI 6'!N4</f>
        <v>#NAME?</v>
      </c>
      <c r="O4" s="1152" t="e">
        <f ca="1">'MI 6'!O4</f>
        <v>#NAME?</v>
      </c>
      <c r="P4" s="1152" t="e">
        <f ca="1">'MI 6'!P4</f>
        <v>#NAME?</v>
      </c>
      <c r="Q4" s="1237" t="e">
        <f ca="1">'MI 6'!Q4</f>
        <v>#NAME?</v>
      </c>
      <c r="S4" s="1240">
        <v>1</v>
      </c>
      <c r="T4" s="1236" t="e">
        <f ca="1">'MI 6'!T4</f>
        <v>#NAME?</v>
      </c>
      <c r="U4" s="1152" t="e">
        <f ca="1">'MI 6'!U4</f>
        <v>#NAME?</v>
      </c>
      <c r="V4" s="1152" t="e">
        <f ca="1">'MI 6'!V4</f>
        <v>#NAME?</v>
      </c>
      <c r="W4" s="1237" t="e">
        <f ca="1">'MI 6'!W4</f>
        <v>#NAME?</v>
      </c>
      <c r="Y4" s="1240">
        <v>1</v>
      </c>
      <c r="Z4" s="1236" t="e">
        <f ca="1">'MI 6'!Z4</f>
        <v>#NAME?</v>
      </c>
      <c r="AA4" s="1152" t="e">
        <f ca="1">'MI 6'!AA4</f>
        <v>#NAME?</v>
      </c>
      <c r="AB4" s="1152" t="e">
        <f ca="1">'MI 6'!AB4</f>
        <v>#NAME?</v>
      </c>
      <c r="AC4" s="1237" t="e">
        <f ca="1">'MI 6'!AC4</f>
        <v>#NAME?</v>
      </c>
    </row>
    <row r="5" spans="1:35">
      <c r="A5" s="1240">
        <f>A4+1</f>
        <v>2</v>
      </c>
      <c r="B5" s="750">
        <v>11</v>
      </c>
      <c r="C5" s="42" t="s">
        <v>28</v>
      </c>
      <c r="D5" s="42">
        <v>13</v>
      </c>
      <c r="E5" s="838">
        <v>43</v>
      </c>
      <c r="G5" s="1240">
        <f>G4+1</f>
        <v>2</v>
      </c>
      <c r="H5" s="656" t="e">
        <f ca="1">'MI 6'!H5</f>
        <v>#NAME?</v>
      </c>
      <c r="I5" s="8" t="e">
        <f ca="1">'MI 6'!I5</f>
        <v>#NAME?</v>
      </c>
      <c r="J5" s="8" t="e">
        <f ca="1">'MI 6'!J5</f>
        <v>#NAME?</v>
      </c>
      <c r="K5" s="657" t="e">
        <f ca="1">'MI 6'!K5</f>
        <v>#NAME?</v>
      </c>
      <c r="M5" s="1240">
        <f>M4+1</f>
        <v>2</v>
      </c>
      <c r="N5" s="656" t="e">
        <f ca="1">'MI 6'!N5</f>
        <v>#NAME?</v>
      </c>
      <c r="O5" s="8" t="e">
        <f ca="1">'MI 6'!O5</f>
        <v>#NAME?</v>
      </c>
      <c r="P5" s="8" t="e">
        <f ca="1">'MI 6'!P5</f>
        <v>#NAME?</v>
      </c>
      <c r="Q5" s="657" t="e">
        <f ca="1">'MI 6'!Q5</f>
        <v>#NAME?</v>
      </c>
      <c r="S5" s="1240">
        <f>S4+1</f>
        <v>2</v>
      </c>
      <c r="T5" s="656" t="e">
        <f ca="1">'MI 6'!T5</f>
        <v>#NAME?</v>
      </c>
      <c r="U5" s="8" t="e">
        <f ca="1">'MI 6'!U5</f>
        <v>#NAME?</v>
      </c>
      <c r="V5" s="8" t="e">
        <f ca="1">'MI 6'!V5</f>
        <v>#NAME?</v>
      </c>
      <c r="W5" s="657" t="e">
        <f ca="1">'MI 6'!W5</f>
        <v>#NAME?</v>
      </c>
      <c r="Y5" s="1240">
        <f>Y4+1</f>
        <v>2</v>
      </c>
      <c r="Z5" s="656" t="e">
        <f ca="1">'MI 6'!Z5</f>
        <v>#NAME?</v>
      </c>
      <c r="AA5" s="8" t="e">
        <f ca="1">'MI 6'!AA5</f>
        <v>#NAME?</v>
      </c>
      <c r="AB5" s="8" t="e">
        <f ca="1">'MI 6'!AB5</f>
        <v>#NAME?</v>
      </c>
      <c r="AC5" s="657" t="e">
        <f ca="1">'MI 6'!AC5</f>
        <v>#NAME?</v>
      </c>
    </row>
    <row r="6" spans="1:35">
      <c r="A6" s="1240">
        <f t="shared" ref="A6:A23" si="0">A5+1</f>
        <v>3</v>
      </c>
      <c r="B6" s="750" t="s">
        <v>28</v>
      </c>
      <c r="C6" s="42">
        <v>56</v>
      </c>
      <c r="D6" s="42">
        <v>23</v>
      </c>
      <c r="E6" s="838">
        <v>60</v>
      </c>
      <c r="G6" s="1240">
        <f t="shared" ref="G6:G23" si="1">G5+1</f>
        <v>3</v>
      </c>
      <c r="H6" s="656" t="e">
        <f ca="1">'MI 6'!H6</f>
        <v>#NAME?</v>
      </c>
      <c r="I6" s="8" t="e">
        <f ca="1">'MI 6'!I6</f>
        <v>#NAME?</v>
      </c>
      <c r="J6" s="8" t="e">
        <f ca="1">'MI 6'!J6</f>
        <v>#NAME?</v>
      </c>
      <c r="K6" s="657" t="e">
        <f ca="1">'MI 6'!K6</f>
        <v>#NAME?</v>
      </c>
      <c r="M6" s="1240">
        <f t="shared" ref="M6:M23" si="2">M5+1</f>
        <v>3</v>
      </c>
      <c r="N6" s="656" t="e">
        <f ca="1">'MI 6'!N6</f>
        <v>#NAME?</v>
      </c>
      <c r="O6" s="8" t="e">
        <f ca="1">'MI 6'!O6</f>
        <v>#NAME?</v>
      </c>
      <c r="P6" s="8" t="e">
        <f ca="1">'MI 6'!P6</f>
        <v>#NAME?</v>
      </c>
      <c r="Q6" s="657" t="e">
        <f ca="1">'MI 6'!Q6</f>
        <v>#NAME?</v>
      </c>
      <c r="S6" s="1240">
        <f t="shared" ref="S6:S23" si="3">S5+1</f>
        <v>3</v>
      </c>
      <c r="T6" s="656" t="e">
        <f ca="1">'MI 6'!T6</f>
        <v>#NAME?</v>
      </c>
      <c r="U6" s="8" t="e">
        <f ca="1">'MI 6'!U6</f>
        <v>#NAME?</v>
      </c>
      <c r="V6" s="8" t="e">
        <f ca="1">'MI 6'!V6</f>
        <v>#NAME?</v>
      </c>
      <c r="W6" s="657" t="e">
        <f ca="1">'MI 6'!W6</f>
        <v>#NAME?</v>
      </c>
      <c r="Y6" s="1240">
        <f t="shared" ref="Y6:Y23" si="4">Y5+1</f>
        <v>3</v>
      </c>
      <c r="Z6" s="656" t="e">
        <f ca="1">'MI 6'!Z6</f>
        <v>#NAME?</v>
      </c>
      <c r="AA6" s="8" t="e">
        <f ca="1">'MI 6'!AA6</f>
        <v>#NAME?</v>
      </c>
      <c r="AB6" s="8" t="e">
        <f ca="1">'MI 6'!AB6</f>
        <v>#NAME?</v>
      </c>
      <c r="AC6" s="657" t="e">
        <f ca="1">'MI 6'!AC6</f>
        <v>#NAME?</v>
      </c>
    </row>
    <row r="7" spans="1:35">
      <c r="A7" s="1240">
        <f t="shared" si="0"/>
        <v>4</v>
      </c>
      <c r="B7" s="750">
        <v>15</v>
      </c>
      <c r="C7" s="42">
        <v>37</v>
      </c>
      <c r="D7" s="42">
        <v>19</v>
      </c>
      <c r="E7" s="838">
        <v>52</v>
      </c>
      <c r="G7" s="1240">
        <f t="shared" si="1"/>
        <v>4</v>
      </c>
      <c r="H7" s="656" t="e">
        <f ca="1">'MI 6'!H7</f>
        <v>#NAME?</v>
      </c>
      <c r="I7" s="8" t="e">
        <f ca="1">'MI 6'!I7</f>
        <v>#NAME?</v>
      </c>
      <c r="J7" s="8" t="e">
        <f ca="1">'MI 6'!J7</f>
        <v>#NAME?</v>
      </c>
      <c r="K7" s="657" t="e">
        <f ca="1">'MI 6'!K7</f>
        <v>#NAME?</v>
      </c>
      <c r="M7" s="1240">
        <f t="shared" si="2"/>
        <v>4</v>
      </c>
      <c r="N7" s="656" t="e">
        <f ca="1">'MI 6'!N7</f>
        <v>#NAME?</v>
      </c>
      <c r="O7" s="8" t="e">
        <f ca="1">'MI 6'!O7</f>
        <v>#NAME?</v>
      </c>
      <c r="P7" s="8" t="e">
        <f ca="1">'MI 6'!P7</f>
        <v>#NAME?</v>
      </c>
      <c r="Q7" s="657" t="e">
        <f ca="1">'MI 6'!Q7</f>
        <v>#NAME?</v>
      </c>
      <c r="S7" s="1240">
        <f t="shared" si="3"/>
        <v>4</v>
      </c>
      <c r="T7" s="656" t="e">
        <f ca="1">'MI 6'!T7</f>
        <v>#NAME?</v>
      </c>
      <c r="U7" s="8" t="e">
        <f ca="1">'MI 6'!U7</f>
        <v>#NAME?</v>
      </c>
      <c r="V7" s="8" t="e">
        <f ca="1">'MI 6'!V7</f>
        <v>#NAME?</v>
      </c>
      <c r="W7" s="657" t="e">
        <f ca="1">'MI 6'!W7</f>
        <v>#NAME?</v>
      </c>
      <c r="Y7" s="1240">
        <f t="shared" si="4"/>
        <v>4</v>
      </c>
      <c r="Z7" s="656" t="e">
        <f ca="1">'MI 6'!Z7</f>
        <v>#NAME?</v>
      </c>
      <c r="AA7" s="8" t="e">
        <f ca="1">'MI 6'!AA7</f>
        <v>#NAME?</v>
      </c>
      <c r="AB7" s="8" t="e">
        <f ca="1">'MI 6'!AB7</f>
        <v>#NAME?</v>
      </c>
      <c r="AC7" s="657" t="e">
        <f ca="1">'MI 6'!AC7</f>
        <v>#NAME?</v>
      </c>
    </row>
    <row r="8" spans="1:35">
      <c r="A8" s="1240">
        <f t="shared" si="0"/>
        <v>5</v>
      </c>
      <c r="B8" s="750">
        <v>10</v>
      </c>
      <c r="C8" s="42">
        <v>31</v>
      </c>
      <c r="D8" s="42">
        <v>21</v>
      </c>
      <c r="E8" s="838" t="s">
        <v>28</v>
      </c>
      <c r="G8" s="1240">
        <f t="shared" si="1"/>
        <v>5</v>
      </c>
      <c r="H8" s="656" t="e">
        <f ca="1">'MI 6'!H8</f>
        <v>#NAME?</v>
      </c>
      <c r="I8" s="8" t="e">
        <f ca="1">'MI 6'!I8</f>
        <v>#NAME?</v>
      </c>
      <c r="J8" s="8" t="e">
        <f ca="1">'MI 6'!J8</f>
        <v>#NAME?</v>
      </c>
      <c r="K8" s="657" t="e">
        <f ca="1">'MI 6'!K8</f>
        <v>#NAME?</v>
      </c>
      <c r="M8" s="1240">
        <f t="shared" si="2"/>
        <v>5</v>
      </c>
      <c r="N8" s="656" t="e">
        <f ca="1">'MI 6'!N8</f>
        <v>#NAME?</v>
      </c>
      <c r="O8" s="8" t="e">
        <f ca="1">'MI 6'!O8</f>
        <v>#NAME?</v>
      </c>
      <c r="P8" s="8" t="e">
        <f ca="1">'MI 6'!P8</f>
        <v>#NAME?</v>
      </c>
      <c r="Q8" s="657" t="e">
        <f ca="1">'MI 6'!Q8</f>
        <v>#NAME?</v>
      </c>
      <c r="S8" s="1240">
        <f t="shared" si="3"/>
        <v>5</v>
      </c>
      <c r="T8" s="656" t="e">
        <f ca="1">'MI 6'!T8</f>
        <v>#NAME?</v>
      </c>
      <c r="U8" s="8" t="e">
        <f ca="1">'MI 6'!U8</f>
        <v>#NAME?</v>
      </c>
      <c r="V8" s="8" t="e">
        <f ca="1">'MI 6'!V8</f>
        <v>#NAME?</v>
      </c>
      <c r="W8" s="657" t="e">
        <f ca="1">'MI 6'!W8</f>
        <v>#NAME?</v>
      </c>
      <c r="Y8" s="1240">
        <f t="shared" si="4"/>
        <v>5</v>
      </c>
      <c r="Z8" s="656" t="e">
        <f ca="1">'MI 6'!Z8</f>
        <v>#NAME?</v>
      </c>
      <c r="AA8" s="8" t="e">
        <f ca="1">'MI 6'!AA8</f>
        <v>#NAME?</v>
      </c>
      <c r="AB8" s="8" t="e">
        <f ca="1">'MI 6'!AB8</f>
        <v>#NAME?</v>
      </c>
      <c r="AC8" s="657" t="e">
        <f ca="1">'MI 6'!AC8</f>
        <v>#NAME?</v>
      </c>
    </row>
    <row r="9" spans="1:35">
      <c r="A9" s="1240">
        <f t="shared" si="0"/>
        <v>6</v>
      </c>
      <c r="B9" s="750">
        <v>18</v>
      </c>
      <c r="C9" s="42">
        <v>40</v>
      </c>
      <c r="D9" s="42">
        <v>22</v>
      </c>
      <c r="E9" s="838">
        <v>43</v>
      </c>
      <c r="G9" s="1240">
        <f t="shared" si="1"/>
        <v>6</v>
      </c>
      <c r="H9" s="656" t="e">
        <f ca="1">'MI 6'!H9</f>
        <v>#NAME?</v>
      </c>
      <c r="I9" s="8" t="e">
        <f ca="1">'MI 6'!I9</f>
        <v>#NAME?</v>
      </c>
      <c r="J9" s="8" t="e">
        <f ca="1">'MI 6'!J9</f>
        <v>#NAME?</v>
      </c>
      <c r="K9" s="657" t="e">
        <f ca="1">'MI 6'!K9</f>
        <v>#NAME?</v>
      </c>
      <c r="M9" s="1240">
        <f t="shared" si="2"/>
        <v>6</v>
      </c>
      <c r="N9" s="656" t="e">
        <f ca="1">'MI 6'!N9</f>
        <v>#NAME?</v>
      </c>
      <c r="O9" s="8" t="e">
        <f ca="1">'MI 6'!O9</f>
        <v>#NAME?</v>
      </c>
      <c r="P9" s="8" t="e">
        <f ca="1">'MI 6'!P9</f>
        <v>#NAME?</v>
      </c>
      <c r="Q9" s="657" t="e">
        <f ca="1">'MI 6'!Q9</f>
        <v>#NAME?</v>
      </c>
      <c r="S9" s="1240">
        <f t="shared" si="3"/>
        <v>6</v>
      </c>
      <c r="T9" s="656" t="e">
        <f ca="1">'MI 6'!T9</f>
        <v>#NAME?</v>
      </c>
      <c r="U9" s="8" t="e">
        <f ca="1">'MI 6'!U9</f>
        <v>#NAME?</v>
      </c>
      <c r="V9" s="8" t="e">
        <f ca="1">'MI 6'!V9</f>
        <v>#NAME?</v>
      </c>
      <c r="W9" s="657" t="e">
        <f ca="1">'MI 6'!W9</f>
        <v>#NAME?</v>
      </c>
      <c r="Y9" s="1240">
        <f t="shared" si="4"/>
        <v>6</v>
      </c>
      <c r="Z9" s="656" t="e">
        <f ca="1">'MI 6'!Z9</f>
        <v>#NAME?</v>
      </c>
      <c r="AA9" s="8" t="e">
        <f ca="1">'MI 6'!AA9</f>
        <v>#NAME?</v>
      </c>
      <c r="AB9" s="8" t="e">
        <f ca="1">'MI 6'!AB9</f>
        <v>#NAME?</v>
      </c>
      <c r="AC9" s="657" t="e">
        <f ca="1">'MI 6'!AC9</f>
        <v>#NAME?</v>
      </c>
    </row>
    <row r="10" spans="1:35">
      <c r="A10" s="1240">
        <f t="shared" si="0"/>
        <v>7</v>
      </c>
      <c r="B10" s="750">
        <v>15</v>
      </c>
      <c r="C10" s="42">
        <v>50</v>
      </c>
      <c r="D10" s="42">
        <v>28</v>
      </c>
      <c r="E10" s="838">
        <v>56</v>
      </c>
      <c r="G10" s="1240">
        <f t="shared" si="1"/>
        <v>7</v>
      </c>
      <c r="H10" s="656" t="e">
        <f ca="1">'MI 6'!H10</f>
        <v>#NAME?</v>
      </c>
      <c r="I10" s="8" t="e">
        <f ca="1">'MI 6'!I10</f>
        <v>#NAME?</v>
      </c>
      <c r="J10" s="8" t="e">
        <f ca="1">'MI 6'!J10</f>
        <v>#NAME?</v>
      </c>
      <c r="K10" s="657" t="e">
        <f ca="1">'MI 6'!K10</f>
        <v>#NAME?</v>
      </c>
      <c r="M10" s="1240">
        <f t="shared" si="2"/>
        <v>7</v>
      </c>
      <c r="N10" s="656" t="e">
        <f ca="1">'MI 6'!N10</f>
        <v>#NAME?</v>
      </c>
      <c r="O10" s="8" t="e">
        <f ca="1">'MI 6'!O10</f>
        <v>#NAME?</v>
      </c>
      <c r="P10" s="8" t="e">
        <f ca="1">'MI 6'!P10</f>
        <v>#NAME?</v>
      </c>
      <c r="Q10" s="657" t="e">
        <f ca="1">'MI 6'!Q10</f>
        <v>#NAME?</v>
      </c>
      <c r="S10" s="1240">
        <f t="shared" si="3"/>
        <v>7</v>
      </c>
      <c r="T10" s="656" t="e">
        <f ca="1">'MI 6'!T10</f>
        <v>#NAME?</v>
      </c>
      <c r="U10" s="8" t="e">
        <f ca="1">'MI 6'!U10</f>
        <v>#NAME?</v>
      </c>
      <c r="V10" s="8" t="e">
        <f ca="1">'MI 6'!V10</f>
        <v>#NAME?</v>
      </c>
      <c r="W10" s="657" t="e">
        <f ca="1">'MI 6'!W10</f>
        <v>#NAME?</v>
      </c>
      <c r="Y10" s="1240">
        <f t="shared" si="4"/>
        <v>7</v>
      </c>
      <c r="Z10" s="656" t="e">
        <f ca="1">'MI 6'!Z10</f>
        <v>#NAME?</v>
      </c>
      <c r="AA10" s="8" t="e">
        <f ca="1">'MI 6'!AA10</f>
        <v>#NAME?</v>
      </c>
      <c r="AB10" s="8" t="e">
        <f ca="1">'MI 6'!AB10</f>
        <v>#NAME?</v>
      </c>
      <c r="AC10" s="657" t="e">
        <f ca="1">'MI 6'!AC10</f>
        <v>#NAME?</v>
      </c>
    </row>
    <row r="11" spans="1:35">
      <c r="A11" s="1240">
        <f t="shared" si="0"/>
        <v>8</v>
      </c>
      <c r="B11" s="750">
        <v>21</v>
      </c>
      <c r="C11" s="42" t="s">
        <v>28</v>
      </c>
      <c r="D11" s="42" t="s">
        <v>28</v>
      </c>
      <c r="E11" s="838">
        <v>46</v>
      </c>
      <c r="G11" s="1240">
        <f t="shared" si="1"/>
        <v>8</v>
      </c>
      <c r="H11" s="656" t="e">
        <f ca="1">'MI 6'!H11</f>
        <v>#NAME?</v>
      </c>
      <c r="I11" s="8" t="e">
        <f ca="1">'MI 6'!I11</f>
        <v>#NAME?</v>
      </c>
      <c r="J11" s="8" t="e">
        <f ca="1">'MI 6'!J11</f>
        <v>#NAME?</v>
      </c>
      <c r="K11" s="657" t="e">
        <f ca="1">'MI 6'!K11</f>
        <v>#NAME?</v>
      </c>
      <c r="M11" s="1240">
        <f t="shared" si="2"/>
        <v>8</v>
      </c>
      <c r="N11" s="656" t="e">
        <f ca="1">'MI 6'!N11</f>
        <v>#NAME?</v>
      </c>
      <c r="O11" s="8" t="e">
        <f ca="1">'MI 6'!O11</f>
        <v>#NAME?</v>
      </c>
      <c r="P11" s="8" t="e">
        <f ca="1">'MI 6'!P11</f>
        <v>#NAME?</v>
      </c>
      <c r="Q11" s="657" t="e">
        <f ca="1">'MI 6'!Q11</f>
        <v>#NAME?</v>
      </c>
      <c r="S11" s="1240">
        <f t="shared" si="3"/>
        <v>8</v>
      </c>
      <c r="T11" s="656" t="e">
        <f ca="1">'MI 6'!T11</f>
        <v>#NAME?</v>
      </c>
      <c r="U11" s="8" t="e">
        <f ca="1">'MI 6'!U11</f>
        <v>#NAME?</v>
      </c>
      <c r="V11" s="8" t="e">
        <f ca="1">'MI 6'!V11</f>
        <v>#NAME?</v>
      </c>
      <c r="W11" s="657" t="e">
        <f ca="1">'MI 6'!W11</f>
        <v>#NAME?</v>
      </c>
      <c r="Y11" s="1240">
        <f t="shared" si="4"/>
        <v>8</v>
      </c>
      <c r="Z11" s="656" t="e">
        <f ca="1">'MI 6'!Z11</f>
        <v>#NAME?</v>
      </c>
      <c r="AA11" s="8" t="e">
        <f ca="1">'MI 6'!AA11</f>
        <v>#NAME?</v>
      </c>
      <c r="AB11" s="8" t="e">
        <f ca="1">'MI 6'!AB11</f>
        <v>#NAME?</v>
      </c>
      <c r="AC11" s="657" t="e">
        <f ca="1">'MI 6'!AC11</f>
        <v>#NAME?</v>
      </c>
    </row>
    <row r="12" spans="1:35">
      <c r="A12" s="1240">
        <f t="shared" si="0"/>
        <v>9</v>
      </c>
      <c r="B12" s="750">
        <v>20</v>
      </c>
      <c r="C12" s="42">
        <v>39</v>
      </c>
      <c r="D12" s="42">
        <v>25</v>
      </c>
      <c r="E12" s="838">
        <v>51</v>
      </c>
      <c r="G12" s="1240">
        <f t="shared" si="1"/>
        <v>9</v>
      </c>
      <c r="H12" s="656" t="e">
        <f ca="1">'MI 6'!H12</f>
        <v>#NAME?</v>
      </c>
      <c r="I12" s="8" t="e">
        <f ca="1">'MI 6'!I12</f>
        <v>#NAME?</v>
      </c>
      <c r="J12" s="8" t="e">
        <f ca="1">'MI 6'!J12</f>
        <v>#NAME?</v>
      </c>
      <c r="K12" s="657" t="e">
        <f ca="1">'MI 6'!K12</f>
        <v>#NAME?</v>
      </c>
      <c r="M12" s="1240">
        <f t="shared" si="2"/>
        <v>9</v>
      </c>
      <c r="N12" s="656" t="e">
        <f ca="1">'MI 6'!N12</f>
        <v>#NAME?</v>
      </c>
      <c r="O12" s="8" t="e">
        <f ca="1">'MI 6'!O12</f>
        <v>#NAME?</v>
      </c>
      <c r="P12" s="8" t="e">
        <f ca="1">'MI 6'!P12</f>
        <v>#NAME?</v>
      </c>
      <c r="Q12" s="657" t="e">
        <f ca="1">'MI 6'!Q12</f>
        <v>#NAME?</v>
      </c>
      <c r="S12" s="1240">
        <f t="shared" si="3"/>
        <v>9</v>
      </c>
      <c r="T12" s="656" t="e">
        <f ca="1">'MI 6'!T12</f>
        <v>#NAME?</v>
      </c>
      <c r="U12" s="8" t="e">
        <f ca="1">'MI 6'!U12</f>
        <v>#NAME?</v>
      </c>
      <c r="V12" s="8" t="e">
        <f ca="1">'MI 6'!V12</f>
        <v>#NAME?</v>
      </c>
      <c r="W12" s="657" t="e">
        <f ca="1">'MI 6'!W12</f>
        <v>#NAME?</v>
      </c>
      <c r="Y12" s="1240">
        <f t="shared" si="4"/>
        <v>9</v>
      </c>
      <c r="Z12" s="656" t="e">
        <f ca="1">'MI 6'!Z12</f>
        <v>#NAME?</v>
      </c>
      <c r="AA12" s="8" t="e">
        <f ca="1">'MI 6'!AA12</f>
        <v>#NAME?</v>
      </c>
      <c r="AB12" s="8" t="e">
        <f ca="1">'MI 6'!AB12</f>
        <v>#NAME?</v>
      </c>
      <c r="AC12" s="657" t="e">
        <f ca="1">'MI 6'!AC12</f>
        <v>#NAME?</v>
      </c>
    </row>
    <row r="13" spans="1:35">
      <c r="A13" s="1240">
        <f t="shared" si="0"/>
        <v>10</v>
      </c>
      <c r="B13" s="750" t="s">
        <v>28</v>
      </c>
      <c r="C13" s="42">
        <v>36</v>
      </c>
      <c r="D13" s="42">
        <v>23</v>
      </c>
      <c r="E13" s="838">
        <v>56</v>
      </c>
      <c r="G13" s="1240">
        <f t="shared" si="1"/>
        <v>10</v>
      </c>
      <c r="H13" s="656" t="e">
        <f ca="1">'MI 6'!H13</f>
        <v>#NAME?</v>
      </c>
      <c r="I13" s="8" t="e">
        <f ca="1">'MI 6'!I13</f>
        <v>#NAME?</v>
      </c>
      <c r="J13" s="8" t="e">
        <f ca="1">'MI 6'!J13</f>
        <v>#NAME?</v>
      </c>
      <c r="K13" s="657" t="e">
        <f ca="1">'MI 6'!K13</f>
        <v>#NAME?</v>
      </c>
      <c r="M13" s="1240">
        <f t="shared" si="2"/>
        <v>10</v>
      </c>
      <c r="N13" s="656" t="e">
        <f ca="1">'MI 6'!N13</f>
        <v>#NAME?</v>
      </c>
      <c r="O13" s="8" t="e">
        <f ca="1">'MI 6'!O13</f>
        <v>#NAME?</v>
      </c>
      <c r="P13" s="8" t="e">
        <f ca="1">'MI 6'!P13</f>
        <v>#NAME?</v>
      </c>
      <c r="Q13" s="657" t="e">
        <f ca="1">'MI 6'!Q13</f>
        <v>#NAME?</v>
      </c>
      <c r="S13" s="1240">
        <f t="shared" si="3"/>
        <v>10</v>
      </c>
      <c r="T13" s="656" t="e">
        <f ca="1">'MI 6'!T13</f>
        <v>#NAME?</v>
      </c>
      <c r="U13" s="8" t="e">
        <f ca="1">'MI 6'!U13</f>
        <v>#NAME?</v>
      </c>
      <c r="V13" s="8" t="e">
        <f ca="1">'MI 6'!V13</f>
        <v>#NAME?</v>
      </c>
      <c r="W13" s="657" t="e">
        <f ca="1">'MI 6'!W13</f>
        <v>#NAME?</v>
      </c>
      <c r="Y13" s="1240">
        <f t="shared" si="4"/>
        <v>10</v>
      </c>
      <c r="Z13" s="656" t="e">
        <f ca="1">'MI 6'!Z13</f>
        <v>#NAME?</v>
      </c>
      <c r="AA13" s="8" t="e">
        <f ca="1">'MI 6'!AA13</f>
        <v>#NAME?</v>
      </c>
      <c r="AB13" s="8" t="e">
        <f ca="1">'MI 6'!AB13</f>
        <v>#NAME?</v>
      </c>
      <c r="AC13" s="657" t="e">
        <f ca="1">'MI 6'!AC13</f>
        <v>#NAME?</v>
      </c>
      <c r="AE13" t="s">
        <v>3378</v>
      </c>
    </row>
    <row r="14" spans="1:35">
      <c r="A14" s="1240">
        <f t="shared" si="0"/>
        <v>11</v>
      </c>
      <c r="B14" s="750" t="s">
        <v>28</v>
      </c>
      <c r="C14" s="42">
        <v>27</v>
      </c>
      <c r="D14" s="42">
        <v>21</v>
      </c>
      <c r="E14" s="838">
        <v>39</v>
      </c>
      <c r="G14" s="1240">
        <f t="shared" si="1"/>
        <v>11</v>
      </c>
      <c r="H14" s="656" t="e">
        <f ca="1">'MI 6'!H14</f>
        <v>#NAME?</v>
      </c>
      <c r="I14" s="8" t="e">
        <f ca="1">'MI 6'!I14</f>
        <v>#NAME?</v>
      </c>
      <c r="J14" s="8" t="e">
        <f ca="1">'MI 6'!J14</f>
        <v>#NAME?</v>
      </c>
      <c r="K14" s="657" t="e">
        <f ca="1">'MI 6'!K14</f>
        <v>#NAME?</v>
      </c>
      <c r="M14" s="1240">
        <f t="shared" si="2"/>
        <v>11</v>
      </c>
      <c r="N14" s="656" t="e">
        <f ca="1">'MI 6'!N14</f>
        <v>#NAME?</v>
      </c>
      <c r="O14" s="8" t="e">
        <f ca="1">'MI 6'!O14</f>
        <v>#NAME?</v>
      </c>
      <c r="P14" s="8" t="e">
        <f ca="1">'MI 6'!P14</f>
        <v>#NAME?</v>
      </c>
      <c r="Q14" s="657" t="e">
        <f ca="1">'MI 6'!Q14</f>
        <v>#NAME?</v>
      </c>
      <c r="S14" s="1240">
        <f t="shared" si="3"/>
        <v>11</v>
      </c>
      <c r="T14" s="656" t="e">
        <f ca="1">'MI 6'!T14</f>
        <v>#NAME?</v>
      </c>
      <c r="U14" s="8" t="e">
        <f ca="1">'MI 6'!U14</f>
        <v>#NAME?</v>
      </c>
      <c r="V14" s="8" t="e">
        <f ca="1">'MI 6'!V14</f>
        <v>#NAME?</v>
      </c>
      <c r="W14" s="657" t="e">
        <f ca="1">'MI 6'!W14</f>
        <v>#NAME?</v>
      </c>
      <c r="Y14" s="1240">
        <f t="shared" si="4"/>
        <v>11</v>
      </c>
      <c r="Z14" s="656" t="e">
        <f ca="1">'MI 6'!Z14</f>
        <v>#NAME?</v>
      </c>
      <c r="AA14" s="8" t="e">
        <f ca="1">'MI 6'!AA14</f>
        <v>#NAME?</v>
      </c>
      <c r="AB14" s="8" t="e">
        <f ca="1">'MI 6'!AB14</f>
        <v>#NAME?</v>
      </c>
      <c r="AC14" s="657" t="e">
        <f ca="1">'MI 6'!AC14</f>
        <v>#NAME?</v>
      </c>
    </row>
    <row r="15" spans="1:35">
      <c r="A15" s="1240">
        <f t="shared" si="0"/>
        <v>12</v>
      </c>
      <c r="B15" s="750">
        <v>14</v>
      </c>
      <c r="C15" s="42">
        <v>32</v>
      </c>
      <c r="D15" s="42">
        <v>20</v>
      </c>
      <c r="E15" s="838">
        <v>46</v>
      </c>
      <c r="G15" s="1240">
        <f t="shared" si="1"/>
        <v>12</v>
      </c>
      <c r="H15" s="656" t="e">
        <f ca="1">'MI 6'!H15</f>
        <v>#NAME?</v>
      </c>
      <c r="I15" s="8" t="e">
        <f ca="1">'MI 6'!I15</f>
        <v>#NAME?</v>
      </c>
      <c r="J15" s="8" t="e">
        <f ca="1">'MI 6'!J15</f>
        <v>#NAME?</v>
      </c>
      <c r="K15" s="657" t="e">
        <f ca="1">'MI 6'!K15</f>
        <v>#NAME?</v>
      </c>
      <c r="M15" s="1240">
        <f t="shared" si="2"/>
        <v>12</v>
      </c>
      <c r="N15" s="656" t="e">
        <f ca="1">'MI 6'!N15</f>
        <v>#NAME?</v>
      </c>
      <c r="O15" s="8" t="e">
        <f ca="1">'MI 6'!O15</f>
        <v>#NAME?</v>
      </c>
      <c r="P15" s="8" t="e">
        <f ca="1">'MI 6'!P15</f>
        <v>#NAME?</v>
      </c>
      <c r="Q15" s="657" t="e">
        <f ca="1">'MI 6'!Q15</f>
        <v>#NAME?</v>
      </c>
      <c r="S15" s="1240">
        <f t="shared" si="3"/>
        <v>12</v>
      </c>
      <c r="T15" s="656" t="e">
        <f ca="1">'MI 6'!T15</f>
        <v>#NAME?</v>
      </c>
      <c r="U15" s="8" t="e">
        <f ca="1">'MI 6'!U15</f>
        <v>#NAME?</v>
      </c>
      <c r="V15" s="8" t="e">
        <f ca="1">'MI 6'!V15</f>
        <v>#NAME?</v>
      </c>
      <c r="W15" s="657" t="e">
        <f ca="1">'MI 6'!W15</f>
        <v>#NAME?</v>
      </c>
      <c r="Y15" s="1240">
        <f t="shared" si="4"/>
        <v>12</v>
      </c>
      <c r="Z15" s="656" t="e">
        <f ca="1">'MI 6'!Z15</f>
        <v>#NAME?</v>
      </c>
      <c r="AA15" s="8" t="e">
        <f ca="1">'MI 6'!AA15</f>
        <v>#NAME?</v>
      </c>
      <c r="AB15" s="8" t="e">
        <f ca="1">'MI 6'!AB15</f>
        <v>#NAME?</v>
      </c>
      <c r="AC15" s="657" t="e">
        <f ca="1">'MI 6'!AC15</f>
        <v>#NAME?</v>
      </c>
      <c r="AF15" s="1241" t="e">
        <f t="array" aca="1" ref="AF15:AI20" ca="1">[1]!MICombine(H3:K23,4,2,TRUE,TRUE)</f>
        <v>#NAME?</v>
      </c>
      <c r="AG15" s="1241" t="e">
        <f ca="1"/>
        <v>#NAME?</v>
      </c>
      <c r="AH15" s="1241" t="e">
        <f ca="1"/>
        <v>#NAME?</v>
      </c>
      <c r="AI15" s="1241" t="e">
        <f ca="1"/>
        <v>#NAME?</v>
      </c>
    </row>
    <row r="16" spans="1:35">
      <c r="A16" s="1240">
        <f t="shared" si="0"/>
        <v>13</v>
      </c>
      <c r="B16" s="750">
        <v>22</v>
      </c>
      <c r="C16" s="42">
        <v>40</v>
      </c>
      <c r="D16" s="42" t="s">
        <v>28</v>
      </c>
      <c r="E16" s="838">
        <v>49</v>
      </c>
      <c r="G16" s="1240">
        <f t="shared" si="1"/>
        <v>13</v>
      </c>
      <c r="H16" s="656" t="e">
        <f ca="1">'MI 6'!H16</f>
        <v>#NAME?</v>
      </c>
      <c r="I16" s="8" t="e">
        <f ca="1">'MI 6'!I16</f>
        <v>#NAME?</v>
      </c>
      <c r="J16" s="8" t="e">
        <f ca="1">'MI 6'!J16</f>
        <v>#NAME?</v>
      </c>
      <c r="K16" s="657" t="e">
        <f ca="1">'MI 6'!K16</f>
        <v>#NAME?</v>
      </c>
      <c r="M16" s="1240">
        <f t="shared" si="2"/>
        <v>13</v>
      </c>
      <c r="N16" s="656" t="e">
        <f ca="1">'MI 6'!N16</f>
        <v>#NAME?</v>
      </c>
      <c r="O16" s="8" t="e">
        <f ca="1">'MI 6'!O16</f>
        <v>#NAME?</v>
      </c>
      <c r="P16" s="8" t="e">
        <f ca="1">'MI 6'!P16</f>
        <v>#NAME?</v>
      </c>
      <c r="Q16" s="657" t="e">
        <f ca="1">'MI 6'!Q16</f>
        <v>#NAME?</v>
      </c>
      <c r="S16" s="1240">
        <f t="shared" si="3"/>
        <v>13</v>
      </c>
      <c r="T16" s="656" t="e">
        <f ca="1">'MI 6'!T16</f>
        <v>#NAME?</v>
      </c>
      <c r="U16" s="8" t="e">
        <f ca="1">'MI 6'!U16</f>
        <v>#NAME?</v>
      </c>
      <c r="V16" s="8" t="e">
        <f ca="1">'MI 6'!V16</f>
        <v>#NAME?</v>
      </c>
      <c r="W16" s="657" t="e">
        <f ca="1">'MI 6'!W16</f>
        <v>#NAME?</v>
      </c>
      <c r="Y16" s="1240">
        <f t="shared" si="4"/>
        <v>13</v>
      </c>
      <c r="Z16" s="656" t="e">
        <f ca="1">'MI 6'!Z16</f>
        <v>#NAME?</v>
      </c>
      <c r="AA16" s="8" t="e">
        <f ca="1">'MI 6'!AA16</f>
        <v>#NAME?</v>
      </c>
      <c r="AB16" s="8" t="e">
        <f ca="1">'MI 6'!AB16</f>
        <v>#NAME?</v>
      </c>
      <c r="AC16" s="657" t="e">
        <f ca="1">'MI 6'!AC16</f>
        <v>#NAME?</v>
      </c>
      <c r="AE16" t="s">
        <v>63</v>
      </c>
      <c r="AF16" s="1236" t="e">
        <f ca="1"/>
        <v>#NAME?</v>
      </c>
      <c r="AG16" s="1234" t="e">
        <f ca="1"/>
        <v>#NAME?</v>
      </c>
      <c r="AH16" s="1234" t="e">
        <f ca="1"/>
        <v>#NAME?</v>
      </c>
      <c r="AI16" s="1237" t="e">
        <f ca="1"/>
        <v>#NAME?</v>
      </c>
    </row>
    <row r="17" spans="1:43">
      <c r="A17" s="1240">
        <f t="shared" si="0"/>
        <v>14</v>
      </c>
      <c r="B17" s="750" t="s">
        <v>28</v>
      </c>
      <c r="C17" s="42">
        <v>31</v>
      </c>
      <c r="D17" s="42" t="s">
        <v>28</v>
      </c>
      <c r="E17" s="838">
        <v>44</v>
      </c>
      <c r="G17" s="1240">
        <f t="shared" si="1"/>
        <v>14</v>
      </c>
      <c r="H17" s="656" t="e">
        <f ca="1">'MI 6'!H17</f>
        <v>#NAME?</v>
      </c>
      <c r="I17" s="8" t="e">
        <f ca="1">'MI 6'!I17</f>
        <v>#NAME?</v>
      </c>
      <c r="J17" s="8" t="e">
        <f ca="1">'MI 6'!J17</f>
        <v>#NAME?</v>
      </c>
      <c r="K17" s="657" t="e">
        <f ca="1">'MI 6'!K17</f>
        <v>#NAME?</v>
      </c>
      <c r="M17" s="1240">
        <f t="shared" si="2"/>
        <v>14</v>
      </c>
      <c r="N17" s="656" t="e">
        <f ca="1">'MI 6'!N17</f>
        <v>#NAME?</v>
      </c>
      <c r="O17" s="8" t="e">
        <f ca="1">'MI 6'!O17</f>
        <v>#NAME?</v>
      </c>
      <c r="P17" s="8" t="e">
        <f ca="1">'MI 6'!P17</f>
        <v>#NAME?</v>
      </c>
      <c r="Q17" s="657" t="e">
        <f ca="1">'MI 6'!Q17</f>
        <v>#NAME?</v>
      </c>
      <c r="S17" s="1240">
        <f t="shared" si="3"/>
        <v>14</v>
      </c>
      <c r="T17" s="656" t="e">
        <f ca="1">'MI 6'!T17</f>
        <v>#NAME?</v>
      </c>
      <c r="U17" s="8" t="e">
        <f ca="1">'MI 6'!U17</f>
        <v>#NAME?</v>
      </c>
      <c r="V17" s="8" t="e">
        <f ca="1">'MI 6'!V17</f>
        <v>#NAME?</v>
      </c>
      <c r="W17" s="657" t="e">
        <f ca="1">'MI 6'!W17</f>
        <v>#NAME?</v>
      </c>
      <c r="Y17" s="1240">
        <f t="shared" si="4"/>
        <v>14</v>
      </c>
      <c r="Z17" s="656" t="e">
        <f ca="1">'MI 6'!Z17</f>
        <v>#NAME?</v>
      </c>
      <c r="AA17" s="8" t="e">
        <f ca="1">'MI 6'!AA17</f>
        <v>#NAME?</v>
      </c>
      <c r="AB17" s="8" t="e">
        <f ca="1">'MI 6'!AB17</f>
        <v>#NAME?</v>
      </c>
      <c r="AC17" s="657" t="e">
        <f ca="1">'MI 6'!AC17</f>
        <v>#NAME?</v>
      </c>
      <c r="AE17" t="s">
        <v>67</v>
      </c>
      <c r="AF17" s="656" t="e">
        <f ca="1"/>
        <v>#NAME?</v>
      </c>
      <c r="AG17" s="8" t="e">
        <f ca="1"/>
        <v>#NAME?</v>
      </c>
      <c r="AH17" s="8" t="e">
        <f ca="1"/>
        <v>#NAME?</v>
      </c>
      <c r="AI17" s="657" t="e">
        <f ca="1"/>
        <v>#NAME?</v>
      </c>
    </row>
    <row r="18" spans="1:43">
      <c r="A18" s="1240">
        <f t="shared" si="0"/>
        <v>15</v>
      </c>
      <c r="B18" s="750" t="s">
        <v>28</v>
      </c>
      <c r="C18" s="42">
        <v>18</v>
      </c>
      <c r="D18" s="42">
        <v>21</v>
      </c>
      <c r="E18" s="838" t="s">
        <v>28</v>
      </c>
      <c r="G18" s="1240">
        <f t="shared" si="1"/>
        <v>15</v>
      </c>
      <c r="H18" s="656" t="e">
        <f ca="1">'MI 6'!H18</f>
        <v>#NAME?</v>
      </c>
      <c r="I18" s="8" t="e">
        <f ca="1">'MI 6'!I18</f>
        <v>#NAME?</v>
      </c>
      <c r="J18" s="8" t="e">
        <f ca="1">'MI 6'!J18</f>
        <v>#NAME?</v>
      </c>
      <c r="K18" s="657" t="e">
        <f ca="1">'MI 6'!K18</f>
        <v>#NAME?</v>
      </c>
      <c r="M18" s="1240">
        <f t="shared" si="2"/>
        <v>15</v>
      </c>
      <c r="N18" s="656" t="e">
        <f ca="1">'MI 6'!N18</f>
        <v>#NAME?</v>
      </c>
      <c r="O18" s="8" t="e">
        <f ca="1">'MI 6'!O18</f>
        <v>#NAME?</v>
      </c>
      <c r="P18" s="8" t="e">
        <f ca="1">'MI 6'!P18</f>
        <v>#NAME?</v>
      </c>
      <c r="Q18" s="657" t="e">
        <f ca="1">'MI 6'!Q18</f>
        <v>#NAME?</v>
      </c>
      <c r="S18" s="1240">
        <f t="shared" si="3"/>
        <v>15</v>
      </c>
      <c r="T18" s="656" t="e">
        <f ca="1">'MI 6'!T18</f>
        <v>#NAME?</v>
      </c>
      <c r="U18" s="8" t="e">
        <f ca="1">'MI 6'!U18</f>
        <v>#NAME?</v>
      </c>
      <c r="V18" s="8" t="e">
        <f ca="1">'MI 6'!V18</f>
        <v>#NAME?</v>
      </c>
      <c r="W18" s="657" t="e">
        <f ca="1">'MI 6'!W18</f>
        <v>#NAME?</v>
      </c>
      <c r="Y18" s="1240">
        <f t="shared" si="4"/>
        <v>15</v>
      </c>
      <c r="Z18" s="656" t="e">
        <f ca="1">'MI 6'!Z18</f>
        <v>#NAME?</v>
      </c>
      <c r="AA18" s="8" t="e">
        <f ca="1">'MI 6'!AA18</f>
        <v>#NAME?</v>
      </c>
      <c r="AB18" s="8" t="e">
        <f ca="1">'MI 6'!AB18</f>
        <v>#NAME?</v>
      </c>
      <c r="AC18" s="657" t="e">
        <f ca="1">'MI 6'!AC18</f>
        <v>#NAME?</v>
      </c>
      <c r="AE18" t="s">
        <v>2743</v>
      </c>
      <c r="AF18" s="656" t="e">
        <f ca="1"/>
        <v>#NAME?</v>
      </c>
      <c r="AG18" s="8" t="e">
        <f ca="1"/>
        <v>#NAME?</v>
      </c>
      <c r="AH18" s="8" t="e">
        <f ca="1"/>
        <v>#NAME?</v>
      </c>
      <c r="AI18" s="657" t="e">
        <f ca="1"/>
        <v>#NAME?</v>
      </c>
    </row>
    <row r="19" spans="1:43">
      <c r="A19" s="1240">
        <f t="shared" si="0"/>
        <v>16</v>
      </c>
      <c r="B19" s="750">
        <v>16</v>
      </c>
      <c r="C19" s="42">
        <v>23</v>
      </c>
      <c r="D19" s="42">
        <v>21</v>
      </c>
      <c r="E19" s="838">
        <v>34</v>
      </c>
      <c r="G19" s="1240">
        <f t="shared" si="1"/>
        <v>16</v>
      </c>
      <c r="H19" s="656" t="e">
        <f ca="1">'MI 6'!H19</f>
        <v>#NAME?</v>
      </c>
      <c r="I19" s="8" t="e">
        <f ca="1">'MI 6'!I19</f>
        <v>#NAME?</v>
      </c>
      <c r="J19" s="8" t="e">
        <f ca="1">'MI 6'!J19</f>
        <v>#NAME?</v>
      </c>
      <c r="K19" s="657" t="e">
        <f ca="1">'MI 6'!K19</f>
        <v>#NAME?</v>
      </c>
      <c r="M19" s="1240">
        <f t="shared" si="2"/>
        <v>16</v>
      </c>
      <c r="N19" s="656" t="e">
        <f ca="1">'MI 6'!N19</f>
        <v>#NAME?</v>
      </c>
      <c r="O19" s="8" t="e">
        <f ca="1">'MI 6'!O19</f>
        <v>#NAME?</v>
      </c>
      <c r="P19" s="8" t="e">
        <f ca="1">'MI 6'!P19</f>
        <v>#NAME?</v>
      </c>
      <c r="Q19" s="657" t="e">
        <f ca="1">'MI 6'!Q19</f>
        <v>#NAME?</v>
      </c>
      <c r="S19" s="1240">
        <f t="shared" si="3"/>
        <v>16</v>
      </c>
      <c r="T19" s="656" t="e">
        <f ca="1">'MI 6'!T19</f>
        <v>#NAME?</v>
      </c>
      <c r="U19" s="8" t="e">
        <f ca="1">'MI 6'!U19</f>
        <v>#NAME?</v>
      </c>
      <c r="V19" s="8" t="e">
        <f ca="1">'MI 6'!V19</f>
        <v>#NAME?</v>
      </c>
      <c r="W19" s="657" t="e">
        <f ca="1">'MI 6'!W19</f>
        <v>#NAME?</v>
      </c>
      <c r="Y19" s="1240">
        <f t="shared" si="4"/>
        <v>16</v>
      </c>
      <c r="Z19" s="656" t="e">
        <f ca="1">'MI 6'!Z19</f>
        <v>#NAME?</v>
      </c>
      <c r="AA19" s="8" t="e">
        <f ca="1">'MI 6'!AA19</f>
        <v>#NAME?</v>
      </c>
      <c r="AB19" s="8" t="e">
        <f ca="1">'MI 6'!AB19</f>
        <v>#NAME?</v>
      </c>
      <c r="AC19" s="657" t="e">
        <f ca="1">'MI 6'!AC19</f>
        <v>#NAME?</v>
      </c>
      <c r="AE19" t="s">
        <v>3182</v>
      </c>
      <c r="AF19" s="656" t="e">
        <f ca="1"/>
        <v>#NAME?</v>
      </c>
      <c r="AG19" s="8" t="e">
        <f ca="1"/>
        <v>#NAME?</v>
      </c>
      <c r="AH19" s="8" t="e">
        <f ca="1"/>
        <v>#NAME?</v>
      </c>
      <c r="AI19" s="657" t="e">
        <f ca="1"/>
        <v>#NAME?</v>
      </c>
    </row>
    <row r="20" spans="1:43">
      <c r="A20" s="1240">
        <f t="shared" si="0"/>
        <v>17</v>
      </c>
      <c r="B20" s="750">
        <v>27</v>
      </c>
      <c r="C20" s="42">
        <v>26</v>
      </c>
      <c r="D20" s="42">
        <v>23</v>
      </c>
      <c r="E20" s="838">
        <v>59</v>
      </c>
      <c r="G20" s="1240">
        <f t="shared" si="1"/>
        <v>17</v>
      </c>
      <c r="H20" s="656" t="e">
        <f ca="1">'MI 6'!H20</f>
        <v>#NAME?</v>
      </c>
      <c r="I20" s="8" t="e">
        <f ca="1">'MI 6'!I20</f>
        <v>#NAME?</v>
      </c>
      <c r="J20" s="8" t="e">
        <f ca="1">'MI 6'!J20</f>
        <v>#NAME?</v>
      </c>
      <c r="K20" s="657" t="e">
        <f ca="1">'MI 6'!K20</f>
        <v>#NAME?</v>
      </c>
      <c r="M20" s="1240">
        <f t="shared" si="2"/>
        <v>17</v>
      </c>
      <c r="N20" s="656" t="e">
        <f ca="1">'MI 6'!N20</f>
        <v>#NAME?</v>
      </c>
      <c r="O20" s="8" t="e">
        <f ca="1">'MI 6'!O20</f>
        <v>#NAME?</v>
      </c>
      <c r="P20" s="8" t="e">
        <f ca="1">'MI 6'!P20</f>
        <v>#NAME?</v>
      </c>
      <c r="Q20" s="657" t="e">
        <f ca="1">'MI 6'!Q20</f>
        <v>#NAME?</v>
      </c>
      <c r="S20" s="1240">
        <f t="shared" si="3"/>
        <v>17</v>
      </c>
      <c r="T20" s="656" t="e">
        <f ca="1">'MI 6'!T20</f>
        <v>#NAME?</v>
      </c>
      <c r="U20" s="8" t="e">
        <f ca="1">'MI 6'!U20</f>
        <v>#NAME?</v>
      </c>
      <c r="V20" s="8" t="e">
        <f ca="1">'MI 6'!V20</f>
        <v>#NAME?</v>
      </c>
      <c r="W20" s="657" t="e">
        <f ca="1">'MI 6'!W20</f>
        <v>#NAME?</v>
      </c>
      <c r="Y20" s="1240">
        <f t="shared" si="4"/>
        <v>17</v>
      </c>
      <c r="Z20" s="656" t="e">
        <f ca="1">'MI 6'!Z20</f>
        <v>#NAME?</v>
      </c>
      <c r="AA20" s="8" t="e">
        <f ca="1">'MI 6'!AA20</f>
        <v>#NAME?</v>
      </c>
      <c r="AB20" s="8" t="e">
        <f ca="1">'MI 6'!AB20</f>
        <v>#NAME?</v>
      </c>
      <c r="AC20" s="657" t="e">
        <f ca="1">'MI 6'!AC20</f>
        <v>#NAME?</v>
      </c>
      <c r="AE20" t="s">
        <v>3371</v>
      </c>
      <c r="AF20" s="533" t="e">
        <f ca="1"/>
        <v>#NAME?</v>
      </c>
      <c r="AG20" s="1078" t="e">
        <f ca="1"/>
        <v>#NAME?</v>
      </c>
      <c r="AH20" s="1078" t="e">
        <f ca="1"/>
        <v>#NAME?</v>
      </c>
      <c r="AI20" s="541" t="e">
        <f ca="1"/>
        <v>#NAME?</v>
      </c>
    </row>
    <row r="21" spans="1:43">
      <c r="A21" s="1240">
        <f t="shared" si="0"/>
        <v>18</v>
      </c>
      <c r="B21" s="750">
        <v>17</v>
      </c>
      <c r="C21" s="42" t="s">
        <v>28</v>
      </c>
      <c r="D21" s="42" t="s">
        <v>28</v>
      </c>
      <c r="E21" s="838">
        <v>35</v>
      </c>
      <c r="G21" s="1240">
        <f t="shared" si="1"/>
        <v>18</v>
      </c>
      <c r="H21" s="656" t="e">
        <f ca="1">'MI 6'!H21</f>
        <v>#NAME?</v>
      </c>
      <c r="I21" s="8" t="e">
        <f ca="1">'MI 6'!I21</f>
        <v>#NAME?</v>
      </c>
      <c r="J21" s="8" t="e">
        <f ca="1">'MI 6'!J21</f>
        <v>#NAME?</v>
      </c>
      <c r="K21" s="657" t="e">
        <f ca="1">'MI 6'!K21</f>
        <v>#NAME?</v>
      </c>
      <c r="M21" s="1240">
        <f t="shared" si="2"/>
        <v>18</v>
      </c>
      <c r="N21" s="656" t="e">
        <f ca="1">'MI 6'!N21</f>
        <v>#NAME?</v>
      </c>
      <c r="O21" s="8" t="e">
        <f ca="1">'MI 6'!O21</f>
        <v>#NAME?</v>
      </c>
      <c r="P21" s="8" t="e">
        <f ca="1">'MI 6'!P21</f>
        <v>#NAME?</v>
      </c>
      <c r="Q21" s="657" t="e">
        <f ca="1">'MI 6'!Q21</f>
        <v>#NAME?</v>
      </c>
      <c r="S21" s="1240">
        <f t="shared" si="3"/>
        <v>18</v>
      </c>
      <c r="T21" s="656" t="e">
        <f ca="1">'MI 6'!T21</f>
        <v>#NAME?</v>
      </c>
      <c r="U21" s="8" t="e">
        <f ca="1">'MI 6'!U21</f>
        <v>#NAME?</v>
      </c>
      <c r="V21" s="8" t="e">
        <f ca="1">'MI 6'!V21</f>
        <v>#NAME?</v>
      </c>
      <c r="W21" s="657" t="e">
        <f ca="1">'MI 6'!W21</f>
        <v>#NAME?</v>
      </c>
      <c r="Y21" s="1240">
        <f t="shared" si="4"/>
        <v>18</v>
      </c>
      <c r="Z21" s="656" t="e">
        <f ca="1">'MI 6'!Z21</f>
        <v>#NAME?</v>
      </c>
      <c r="AA21" s="8" t="e">
        <f ca="1">'MI 6'!AA21</f>
        <v>#NAME?</v>
      </c>
      <c r="AB21" s="8" t="e">
        <f ca="1">'MI 6'!AB21</f>
        <v>#NAME?</v>
      </c>
      <c r="AC21" s="657" t="e">
        <f ca="1">'MI 6'!AC21</f>
        <v>#NAME?</v>
      </c>
    </row>
    <row r="22" spans="1:43">
      <c r="A22" s="1240">
        <f t="shared" si="0"/>
        <v>19</v>
      </c>
      <c r="B22" s="750">
        <v>13</v>
      </c>
      <c r="C22" s="42">
        <v>21</v>
      </c>
      <c r="D22" s="42">
        <v>20</v>
      </c>
      <c r="E22" s="838">
        <v>48</v>
      </c>
      <c r="G22" s="1240">
        <f t="shared" si="1"/>
        <v>19</v>
      </c>
      <c r="H22" s="656" t="e">
        <f ca="1">'MI 6'!H22</f>
        <v>#NAME?</v>
      </c>
      <c r="I22" s="8" t="e">
        <f ca="1">'MI 6'!I22</f>
        <v>#NAME?</v>
      </c>
      <c r="J22" s="8" t="e">
        <f ca="1">'MI 6'!J22</f>
        <v>#NAME?</v>
      </c>
      <c r="K22" s="657" t="e">
        <f ca="1">'MI 6'!K22</f>
        <v>#NAME?</v>
      </c>
      <c r="M22" s="1240">
        <f t="shared" si="2"/>
        <v>19</v>
      </c>
      <c r="N22" s="656" t="e">
        <f ca="1">'MI 6'!N22</f>
        <v>#NAME?</v>
      </c>
      <c r="O22" s="8" t="e">
        <f ca="1">'MI 6'!O22</f>
        <v>#NAME?</v>
      </c>
      <c r="P22" s="8" t="e">
        <f ca="1">'MI 6'!P22</f>
        <v>#NAME?</v>
      </c>
      <c r="Q22" s="657" t="e">
        <f ca="1">'MI 6'!Q22</f>
        <v>#NAME?</v>
      </c>
      <c r="S22" s="1240">
        <f t="shared" si="3"/>
        <v>19</v>
      </c>
      <c r="T22" s="656" t="e">
        <f ca="1">'MI 6'!T22</f>
        <v>#NAME?</v>
      </c>
      <c r="U22" s="8" t="e">
        <f ca="1">'MI 6'!U22</f>
        <v>#NAME?</v>
      </c>
      <c r="V22" s="8" t="e">
        <f ca="1">'MI 6'!V22</f>
        <v>#NAME?</v>
      </c>
      <c r="W22" s="657" t="e">
        <f ca="1">'MI 6'!W22</f>
        <v>#NAME?</v>
      </c>
      <c r="Y22" s="1240">
        <f t="shared" si="4"/>
        <v>19</v>
      </c>
      <c r="Z22" s="656" t="e">
        <f ca="1">'MI 6'!Z22</f>
        <v>#NAME?</v>
      </c>
      <c r="AA22" s="8" t="e">
        <f ca="1">'MI 6'!AA22</f>
        <v>#NAME?</v>
      </c>
      <c r="AB22" s="8" t="e">
        <f ca="1">'MI 6'!AB22</f>
        <v>#NAME?</v>
      </c>
      <c r="AC22" s="657" t="e">
        <f ca="1">'MI 6'!AC22</f>
        <v>#NAME?</v>
      </c>
      <c r="AE22" t="s">
        <v>3378</v>
      </c>
      <c r="AK22" t="s">
        <v>2744</v>
      </c>
    </row>
    <row r="23" spans="1:43">
      <c r="A23" s="1240">
        <f t="shared" si="0"/>
        <v>20</v>
      </c>
      <c r="B23" s="1244">
        <v>11</v>
      </c>
      <c r="C23" s="1247">
        <v>51</v>
      </c>
      <c r="D23" s="1247">
        <v>18</v>
      </c>
      <c r="E23" s="1245">
        <v>54</v>
      </c>
      <c r="G23" s="1240">
        <f t="shared" si="1"/>
        <v>20</v>
      </c>
      <c r="H23" s="533" t="e">
        <f ca="1">'MI 6'!H23</f>
        <v>#NAME?</v>
      </c>
      <c r="I23" s="1078" t="e">
        <f ca="1">'MI 6'!I23</f>
        <v>#NAME?</v>
      </c>
      <c r="J23" s="1078" t="e">
        <f ca="1">'MI 6'!J23</f>
        <v>#NAME?</v>
      </c>
      <c r="K23" s="541" t="e">
        <f ca="1">'MI 6'!K23</f>
        <v>#NAME?</v>
      </c>
      <c r="M23" s="1240">
        <f t="shared" si="2"/>
        <v>20</v>
      </c>
      <c r="N23" s="533" t="e">
        <f ca="1">'MI 6'!N23</f>
        <v>#NAME?</v>
      </c>
      <c r="O23" s="1078" t="e">
        <f ca="1">'MI 6'!O23</f>
        <v>#NAME?</v>
      </c>
      <c r="P23" s="1078" t="e">
        <f ca="1">'MI 6'!P23</f>
        <v>#NAME?</v>
      </c>
      <c r="Q23" s="541" t="e">
        <f ca="1">'MI 6'!Q23</f>
        <v>#NAME?</v>
      </c>
      <c r="S23" s="1240">
        <f t="shared" si="3"/>
        <v>20</v>
      </c>
      <c r="T23" s="533" t="e">
        <f ca="1">'MI 6'!T23</f>
        <v>#NAME?</v>
      </c>
      <c r="U23" s="1078" t="e">
        <f ca="1">'MI 6'!U23</f>
        <v>#NAME?</v>
      </c>
      <c r="V23" s="1078" t="e">
        <f ca="1">'MI 6'!V23</f>
        <v>#NAME?</v>
      </c>
      <c r="W23" s="541" t="e">
        <f ca="1">'MI 6'!W23</f>
        <v>#NAME?</v>
      </c>
      <c r="Y23" s="1240">
        <f t="shared" si="4"/>
        <v>20</v>
      </c>
      <c r="Z23" s="533" t="e">
        <f ca="1">'MI 6'!Z23</f>
        <v>#NAME?</v>
      </c>
      <c r="AA23" s="1078" t="e">
        <f ca="1">'MI 6'!AA23</f>
        <v>#NAME?</v>
      </c>
      <c r="AB23" s="1078" t="e">
        <f ca="1">'MI 6'!AB23</f>
        <v>#NAME?</v>
      </c>
      <c r="AC23" s="541" t="e">
        <f ca="1">'MI 6'!AC23</f>
        <v>#NAME?</v>
      </c>
    </row>
    <row r="24" spans="1:43" ht="15" thickBot="1">
      <c r="AF24" s="1240" t="s">
        <v>3352</v>
      </c>
      <c r="AG24" s="1240" t="s">
        <v>3333</v>
      </c>
      <c r="AH24" s="1240" t="s">
        <v>3332</v>
      </c>
      <c r="AI24" s="1240" t="s">
        <v>3353</v>
      </c>
      <c r="AK24" s="1059" t="s">
        <v>2750</v>
      </c>
      <c r="AL24" s="1059"/>
    </row>
    <row r="25" spans="1:43" ht="15" thickTop="1">
      <c r="A25" s="1240" t="s">
        <v>63</v>
      </c>
      <c r="B25">
        <f>AVERAGE(B4:B23)</f>
        <v>16.133333333333333</v>
      </c>
      <c r="C25">
        <f>AVERAGE(C4:C23)</f>
        <v>34.411764705882355</v>
      </c>
      <c r="D25">
        <f>AVERAGE(D4:D23)</f>
        <v>21.0625</v>
      </c>
      <c r="E25">
        <f>AVERAGE(E4:E23)</f>
        <v>47.722222222222221</v>
      </c>
      <c r="G25" t="s">
        <v>63</v>
      </c>
      <c r="H25" s="1236" t="e">
        <f t="array" aca="1" ref="H25:K29" ca="1">[1]!MISummary(H4:K23,FALSE)</f>
        <v>#NAME?</v>
      </c>
      <c r="I25" s="1234" t="e">
        <f ca="1"/>
        <v>#NAME?</v>
      </c>
      <c r="J25" s="1234" t="e">
        <f ca="1"/>
        <v>#NAME?</v>
      </c>
      <c r="K25" s="1237" t="e">
        <f ca="1"/>
        <v>#NAME?</v>
      </c>
      <c r="M25" t="s">
        <v>63</v>
      </c>
      <c r="N25" s="1236" t="e">
        <f t="array" aca="1" ref="N25:Q29" ca="1">[1]!MISummary(N4:Q23,FALSE)</f>
        <v>#NAME?</v>
      </c>
      <c r="O25" s="1234" t="e">
        <f ca="1"/>
        <v>#NAME?</v>
      </c>
      <c r="P25" s="1234" t="e">
        <f ca="1"/>
        <v>#NAME?</v>
      </c>
      <c r="Q25" s="1237" t="e">
        <f ca="1"/>
        <v>#NAME?</v>
      </c>
      <c r="S25" t="s">
        <v>63</v>
      </c>
      <c r="T25" s="1236" t="e">
        <f t="array" aca="1" ref="T25:W29" ca="1">[1]!MISummary(T4:W23,FALSE)</f>
        <v>#NAME?</v>
      </c>
      <c r="U25" s="1234" t="e">
        <f ca="1"/>
        <v>#NAME?</v>
      </c>
      <c r="V25" s="1234" t="e">
        <f ca="1"/>
        <v>#NAME?</v>
      </c>
      <c r="W25" s="1237" t="e">
        <f ca="1"/>
        <v>#NAME?</v>
      </c>
      <c r="Y25" t="s">
        <v>63</v>
      </c>
      <c r="Z25" s="1236" t="e">
        <f t="array" aca="1" ref="Z25:AC29" ca="1">[1]!MISummary(Z4:AC23,FALSE)</f>
        <v>#NAME?</v>
      </c>
      <c r="AA25" s="1234" t="e">
        <f ca="1"/>
        <v>#NAME?</v>
      </c>
      <c r="AB25" s="1234" t="e">
        <f ca="1"/>
        <v>#NAME?</v>
      </c>
      <c r="AC25" s="1237" t="e">
        <f ca="1"/>
        <v>#NAME?</v>
      </c>
      <c r="AE25" t="s">
        <v>63</v>
      </c>
      <c r="AF25" s="1236" t="e">
        <f t="array" aca="1" ref="AF25:AI29" ca="1">[1]!MICombine(H25:K27,4,2,FALSE,FALSE)</f>
        <v>#NAME?</v>
      </c>
      <c r="AG25" s="1234" t="e">
        <f ca="1"/>
        <v>#NAME?</v>
      </c>
      <c r="AH25" s="1234" t="e">
        <f ca="1"/>
        <v>#NAME?</v>
      </c>
      <c r="AI25" s="1237" t="e">
        <f ca="1"/>
        <v>#NAME?</v>
      </c>
      <c r="AK25" t="s">
        <v>693</v>
      </c>
      <c r="AL25" t="e">
        <f ca="1">SQRT(AL26)</f>
        <v>#NAME?</v>
      </c>
    </row>
    <row r="26" spans="1:43">
      <c r="A26" s="1240" t="s">
        <v>67</v>
      </c>
      <c r="B26">
        <f>STDEV(B4:B23)</f>
        <v>4.7789219744724045</v>
      </c>
      <c r="C26">
        <f>STDEV(C4:C23)</f>
        <v>10.79964596369606</v>
      </c>
      <c r="D26">
        <f>STDEV(D4:D23)</f>
        <v>3.2755406678389241</v>
      </c>
      <c r="E26">
        <f>STDEV(E4:E23)</f>
        <v>7.6297063050063398</v>
      </c>
      <c r="G26" t="s">
        <v>67</v>
      </c>
      <c r="H26" s="656" t="e">
        <f ca="1"/>
        <v>#NAME?</v>
      </c>
      <c r="I26" s="8" t="e">
        <f ca="1"/>
        <v>#NAME?</v>
      </c>
      <c r="J26" s="8" t="e">
        <f ca="1"/>
        <v>#NAME?</v>
      </c>
      <c r="K26" s="657" t="e">
        <f ca="1"/>
        <v>#NAME?</v>
      </c>
      <c r="M26" t="s">
        <v>67</v>
      </c>
      <c r="N26" s="656" t="e">
        <f ca="1"/>
        <v>#NAME?</v>
      </c>
      <c r="O26" s="8" t="e">
        <f ca="1"/>
        <v>#NAME?</v>
      </c>
      <c r="P26" s="8" t="e">
        <f ca="1"/>
        <v>#NAME?</v>
      </c>
      <c r="Q26" s="657" t="e">
        <f ca="1"/>
        <v>#NAME?</v>
      </c>
      <c r="S26" t="s">
        <v>67</v>
      </c>
      <c r="T26" s="656" t="e">
        <f ca="1"/>
        <v>#NAME?</v>
      </c>
      <c r="U26" s="8" t="e">
        <f ca="1"/>
        <v>#NAME?</v>
      </c>
      <c r="V26" s="8" t="e">
        <f ca="1"/>
        <v>#NAME?</v>
      </c>
      <c r="W26" s="657" t="e">
        <f ca="1"/>
        <v>#NAME?</v>
      </c>
      <c r="Y26" t="s">
        <v>67</v>
      </c>
      <c r="Z26" s="656" t="e">
        <f ca="1"/>
        <v>#NAME?</v>
      </c>
      <c r="AA26" s="8" t="e">
        <f ca="1"/>
        <v>#NAME?</v>
      </c>
      <c r="AB26" s="8" t="e">
        <f ca="1"/>
        <v>#NAME?</v>
      </c>
      <c r="AC26" s="657" t="e">
        <f ca="1"/>
        <v>#NAME?</v>
      </c>
      <c r="AE26" t="s">
        <v>67</v>
      </c>
      <c r="AF26" s="656" t="e">
        <f ca="1"/>
        <v>#NAME?</v>
      </c>
      <c r="AG26" s="8" t="e">
        <f ca="1"/>
        <v>#NAME?</v>
      </c>
      <c r="AH26" s="8" t="e">
        <f ca="1"/>
        <v>#NAME?</v>
      </c>
      <c r="AI26" s="657" t="e">
        <f ca="1"/>
        <v>#NAME?</v>
      </c>
      <c r="AK26" t="s">
        <v>686</v>
      </c>
      <c r="AL26" t="e">
        <f ca="1">AF29</f>
        <v>#NAME?</v>
      </c>
    </row>
    <row r="27" spans="1:43">
      <c r="G27" t="s">
        <v>2743</v>
      </c>
      <c r="H27" s="656" t="e">
        <f ca="1"/>
        <v>#NAME?</v>
      </c>
      <c r="I27" s="8" t="e">
        <f ca="1"/>
        <v>#NAME?</v>
      </c>
      <c r="J27" s="8" t="e">
        <f ca="1"/>
        <v>#NAME?</v>
      </c>
      <c r="K27" s="657" t="e">
        <f ca="1"/>
        <v>#NAME?</v>
      </c>
      <c r="M27" t="s">
        <v>2743</v>
      </c>
      <c r="N27" s="656" t="e">
        <f ca="1"/>
        <v>#NAME?</v>
      </c>
      <c r="O27" s="8" t="e">
        <f ca="1"/>
        <v>#NAME?</v>
      </c>
      <c r="P27" s="8" t="e">
        <f ca="1"/>
        <v>#NAME?</v>
      </c>
      <c r="Q27" s="657" t="e">
        <f ca="1"/>
        <v>#NAME?</v>
      </c>
      <c r="S27" t="s">
        <v>2743</v>
      </c>
      <c r="T27" s="656" t="e">
        <f ca="1"/>
        <v>#NAME?</v>
      </c>
      <c r="U27" s="8" t="e">
        <f ca="1"/>
        <v>#NAME?</v>
      </c>
      <c r="V27" s="8" t="e">
        <f ca="1"/>
        <v>#NAME?</v>
      </c>
      <c r="W27" s="657" t="e">
        <f ca="1"/>
        <v>#NAME?</v>
      </c>
      <c r="Y27" t="s">
        <v>2743</v>
      </c>
      <c r="Z27" s="656" t="e">
        <f ca="1"/>
        <v>#NAME?</v>
      </c>
      <c r="AA27" s="8" t="e">
        <f ca="1"/>
        <v>#NAME?</v>
      </c>
      <c r="AB27" s="8" t="e">
        <f ca="1"/>
        <v>#NAME?</v>
      </c>
      <c r="AC27" s="657" t="e">
        <f ca="1"/>
        <v>#NAME?</v>
      </c>
      <c r="AE27" t="s">
        <v>2743</v>
      </c>
      <c r="AF27" s="656" t="e">
        <f ca="1"/>
        <v>#NAME?</v>
      </c>
      <c r="AG27" s="8" t="e">
        <f ca="1"/>
        <v>#NAME?</v>
      </c>
      <c r="AH27" s="8" t="e">
        <f ca="1"/>
        <v>#NAME?</v>
      </c>
      <c r="AI27" s="657" t="e">
        <f ca="1"/>
        <v>#NAME?</v>
      </c>
      <c r="AK27" t="s">
        <v>694</v>
      </c>
      <c r="AL27" t="e">
        <f ca="1">1-(1-AL26)*(AL29-1)/(AL29-AL33-1)</f>
        <v>#NAME?</v>
      </c>
    </row>
    <row r="28" spans="1:43">
      <c r="G28" t="s">
        <v>3182</v>
      </c>
      <c r="H28" s="656" t="e">
        <f ca="1"/>
        <v>#NAME?</v>
      </c>
      <c r="I28" s="8" t="e">
        <f ca="1"/>
        <v>#NAME?</v>
      </c>
      <c r="J28" s="8" t="e">
        <f ca="1"/>
        <v>#NAME?</v>
      </c>
      <c r="K28" s="657" t="e">
        <f ca="1"/>
        <v>#NAME?</v>
      </c>
      <c r="M28" t="s">
        <v>3182</v>
      </c>
      <c r="N28" s="656" t="e">
        <f ca="1"/>
        <v>#NAME?</v>
      </c>
      <c r="O28" s="8" t="e">
        <f ca="1"/>
        <v>#NAME?</v>
      </c>
      <c r="P28" s="8" t="e">
        <f ca="1"/>
        <v>#NAME?</v>
      </c>
      <c r="Q28" s="657" t="e">
        <f ca="1"/>
        <v>#NAME?</v>
      </c>
      <c r="S28" t="s">
        <v>3182</v>
      </c>
      <c r="T28" s="656" t="e">
        <f ca="1"/>
        <v>#NAME?</v>
      </c>
      <c r="U28" s="8" t="e">
        <f ca="1"/>
        <v>#NAME?</v>
      </c>
      <c r="V28" s="8" t="e">
        <f ca="1"/>
        <v>#NAME?</v>
      </c>
      <c r="W28" s="657" t="e">
        <f ca="1"/>
        <v>#NAME?</v>
      </c>
      <c r="Y28" t="s">
        <v>3182</v>
      </c>
      <c r="Z28" s="656" t="e">
        <f ca="1"/>
        <v>#NAME?</v>
      </c>
      <c r="AA28" s="8" t="e">
        <f ca="1"/>
        <v>#NAME?</v>
      </c>
      <c r="AB28" s="8" t="e">
        <f ca="1"/>
        <v>#NAME?</v>
      </c>
      <c r="AC28" s="657" t="e">
        <f ca="1"/>
        <v>#NAME?</v>
      </c>
      <c r="AE28" t="s">
        <v>3182</v>
      </c>
      <c r="AF28" s="656" t="e">
        <f ca="1"/>
        <v>#NAME?</v>
      </c>
      <c r="AG28" s="8" t="e">
        <f ca="1"/>
        <v>#NAME?</v>
      </c>
      <c r="AH28" s="8" t="e">
        <f ca="1"/>
        <v>#NAME?</v>
      </c>
      <c r="AI28" s="657" t="e">
        <f ca="1"/>
        <v>#NAME?</v>
      </c>
      <c r="AK28" t="s">
        <v>77</v>
      </c>
      <c r="AL28" t="e">
        <f ca="1">SQRT(AN34)</f>
        <v>#NAME?</v>
      </c>
    </row>
    <row r="29" spans="1:43">
      <c r="G29" t="s">
        <v>3371</v>
      </c>
      <c r="H29" s="533" t="e">
        <f ca="1"/>
        <v>#NAME?</v>
      </c>
      <c r="I29" s="1078" t="e">
        <f ca="1"/>
        <v>#NAME?</v>
      </c>
      <c r="J29" s="1078" t="e">
        <f ca="1"/>
        <v>#NAME?</v>
      </c>
      <c r="K29" s="541" t="e">
        <f ca="1"/>
        <v>#NAME?</v>
      </c>
      <c r="M29" t="s">
        <v>3371</v>
      </c>
      <c r="N29" s="533" t="e">
        <f ca="1"/>
        <v>#NAME?</v>
      </c>
      <c r="O29" s="1078" t="e">
        <f ca="1"/>
        <v>#NAME?</v>
      </c>
      <c r="P29" s="1078" t="e">
        <f ca="1"/>
        <v>#NAME?</v>
      </c>
      <c r="Q29" s="541" t="e">
        <f ca="1"/>
        <v>#NAME?</v>
      </c>
      <c r="S29" t="s">
        <v>3371</v>
      </c>
      <c r="T29" s="533" t="e">
        <f ca="1"/>
        <v>#NAME?</v>
      </c>
      <c r="U29" s="1078" t="e">
        <f ca="1"/>
        <v>#NAME?</v>
      </c>
      <c r="V29" s="1078" t="e">
        <f ca="1"/>
        <v>#NAME?</v>
      </c>
      <c r="W29" s="541" t="e">
        <f ca="1"/>
        <v>#NAME?</v>
      </c>
      <c r="Y29" t="s">
        <v>3371</v>
      </c>
      <c r="Z29" s="533" t="e">
        <f ca="1"/>
        <v>#NAME?</v>
      </c>
      <c r="AA29" s="1078" t="e">
        <f ca="1"/>
        <v>#NAME?</v>
      </c>
      <c r="AB29" s="1078" t="e">
        <f ca="1"/>
        <v>#NAME?</v>
      </c>
      <c r="AC29" s="541" t="e">
        <f ca="1"/>
        <v>#NAME?</v>
      </c>
      <c r="AE29" t="s">
        <v>3371</v>
      </c>
      <c r="AF29" s="533" t="e">
        <f ca="1"/>
        <v>#NAME?</v>
      </c>
      <c r="AG29" s="1078" t="e">
        <f ca="1"/>
        <v>#NAME?</v>
      </c>
      <c r="AH29" s="1078" t="e">
        <f ca="1"/>
        <v>#NAME?</v>
      </c>
      <c r="AI29" s="541" t="e">
        <f ca="1"/>
        <v>#NAME?</v>
      </c>
      <c r="AK29" s="1078" t="s">
        <v>224</v>
      </c>
      <c r="AL29" s="1078" t="e">
        <f ca="1">AG29</f>
        <v>#NAME?</v>
      </c>
    </row>
    <row r="31" spans="1:43" ht="15" thickBot="1">
      <c r="AK31" t="s">
        <v>695</v>
      </c>
      <c r="AO31" s="1288" t="s">
        <v>116</v>
      </c>
      <c r="AP31" s="1288">
        <v>0.05</v>
      </c>
    </row>
    <row r="32" spans="1:43" ht="15" thickTop="1">
      <c r="AK32" s="1151"/>
      <c r="AL32" s="1151" t="s">
        <v>186</v>
      </c>
      <c r="AM32" s="1151" t="s">
        <v>578</v>
      </c>
      <c r="AN32" s="1151" t="s">
        <v>641</v>
      </c>
      <c r="AO32" s="1151" t="s">
        <v>388</v>
      </c>
      <c r="AP32" s="1151" t="s">
        <v>200</v>
      </c>
      <c r="AQ32" s="1151" t="s">
        <v>948</v>
      </c>
    </row>
    <row r="33" spans="37:43">
      <c r="AK33" t="s">
        <v>623</v>
      </c>
      <c r="AL33">
        <f ca="1">COUNT(AF25:AI25)-1</f>
        <v>-1</v>
      </c>
      <c r="AM33" t="e">
        <f ca="1">AL26*AM35</f>
        <v>#NAME?</v>
      </c>
      <c r="AN33" t="e">
        <f ca="1">AM33/AL33</f>
        <v>#NAME?</v>
      </c>
      <c r="AO33" t="e">
        <f ca="1">AN33/AN34</f>
        <v>#NAME?</v>
      </c>
      <c r="AP33" t="e">
        <f ca="1">FDIST(AO33,AL33,AL34)</f>
        <v>#NAME?</v>
      </c>
      <c r="AQ33" s="1288" t="e">
        <f ca="1">IF(AP33&lt;AP31,"yes","no")</f>
        <v>#NAME?</v>
      </c>
    </row>
    <row r="34" spans="37:43">
      <c r="AK34" t="s">
        <v>696</v>
      </c>
      <c r="AL34" t="e">
        <f ca="1">AL35-AL33</f>
        <v>#NAME?</v>
      </c>
      <c r="AM34" t="e">
        <f ca="1">AM35-AM33</f>
        <v>#NAME?</v>
      </c>
      <c r="AN34" t="e">
        <f ca="1">AM34/AL34</f>
        <v>#NAME?</v>
      </c>
    </row>
    <row r="35" spans="37:43">
      <c r="AK35" s="1078" t="s">
        <v>12</v>
      </c>
      <c r="AL35" s="1078" t="e">
        <f ca="1">AL29-1</f>
        <v>#NAME?</v>
      </c>
      <c r="AM35" s="1078" t="e">
        <f ca="1">AI26^2*AL35</f>
        <v>#NAME?</v>
      </c>
      <c r="AN35" s="1078"/>
      <c r="AO35" s="1078"/>
      <c r="AP35" s="1078"/>
      <c r="AQ35" s="1078"/>
    </row>
    <row r="36" spans="37:43" ht="15" thickBot="1"/>
    <row r="37" spans="37:43" ht="15" thickTop="1">
      <c r="AK37" s="1151"/>
      <c r="AL37" s="1151" t="s">
        <v>2743</v>
      </c>
      <c r="AM37" s="1151" t="s">
        <v>1469</v>
      </c>
      <c r="AN37" s="1151" t="s">
        <v>188</v>
      </c>
      <c r="AO37" s="1151" t="s">
        <v>200</v>
      </c>
      <c r="AP37" s="1151" t="s">
        <v>103</v>
      </c>
      <c r="AQ37" s="1151" t="s">
        <v>104</v>
      </c>
    </row>
    <row r="38" spans="37:43">
      <c r="AK38" t="s">
        <v>697</v>
      </c>
      <c r="AL38" t="e">
        <f ca="1">AI27</f>
        <v>#NAME?</v>
      </c>
      <c r="AM38" t="e">
        <f ca="1">AI28</f>
        <v>#NAME?</v>
      </c>
      <c r="AN38" t="e">
        <f ca="1">AL38/AM38</f>
        <v>#NAME?</v>
      </c>
      <c r="AO38" t="e">
        <f ca="1">TDIST(ABS(AN38),$U$13,2)</f>
        <v>#NAME?</v>
      </c>
      <c r="AP38" t="e">
        <f ca="1">AL38-TINV(AP$31,$AL$34)*AM38</f>
        <v>#NAME?</v>
      </c>
      <c r="AQ38" t="e">
        <f ca="1">AL38+TINV(AP$31,$AL$34)*AM38</f>
        <v>#NAME?</v>
      </c>
    </row>
    <row r="39" spans="37:43">
      <c r="AK39" t="str">
        <f t="array" ref="AK39:AK41">TRANSPOSE(AF24:AH24)</f>
        <v>read</v>
      </c>
      <c r="AL39" t="e">
        <f t="array" aca="1" ref="AL39:AL41" ca="1">TRANSPOSE(AF27:AH27)</f>
        <v>#NAME?</v>
      </c>
      <c r="AM39" t="e">
        <f t="array" aca="1" ref="AM39:AM41" ca="1">TRANSPOSE(AF28:AH28)</f>
        <v>#NAME?</v>
      </c>
      <c r="AN39" t="e">
        <f ca="1">AL39/AM39</f>
        <v>#NAME?</v>
      </c>
      <c r="AO39" t="e">
        <f ca="1">TDIST(ABS(AN39),$U$13,2)</f>
        <v>#NAME?</v>
      </c>
      <c r="AP39" t="e">
        <f ca="1">AL39-TINV(AP$31,$AL$34)*AM39</f>
        <v>#NAME?</v>
      </c>
      <c r="AQ39" t="e">
        <f ca="1">AL39+TINV(AP$31,$AL$34)*AM39</f>
        <v>#NAME?</v>
      </c>
    </row>
    <row r="40" spans="37:43">
      <c r="AK40" t="str">
        <v>science</v>
      </c>
      <c r="AL40" t="e">
        <f ca="1"/>
        <v>#NAME?</v>
      </c>
      <c r="AM40" t="e">
        <f ca="1"/>
        <v>#NAME?</v>
      </c>
      <c r="AN40" t="e">
        <f ca="1">AL40/AM40</f>
        <v>#NAME?</v>
      </c>
      <c r="AO40" t="e">
        <f ca="1">TDIST(ABS(AN40),$U$13,2)</f>
        <v>#NAME?</v>
      </c>
      <c r="AP40" t="e">
        <f ca="1">AL40-TINV(AP$31,$AL$34)*AM40</f>
        <v>#NAME?</v>
      </c>
      <c r="AQ40" t="e">
        <f ca="1">AL40+TINV(AP$31,$AL$34)*AM40</f>
        <v>#NAME?</v>
      </c>
    </row>
    <row r="41" spans="37:43">
      <c r="AK41" s="1078" t="str">
        <v>math</v>
      </c>
      <c r="AL41" s="1078" t="e">
        <f ca="1"/>
        <v>#NAME?</v>
      </c>
      <c r="AM41" s="1078" t="e">
        <f ca="1"/>
        <v>#NAME?</v>
      </c>
      <c r="AN41" s="1078" t="e">
        <f ca="1">AL41/AM41</f>
        <v>#NAME?</v>
      </c>
      <c r="AO41" s="1078" t="e">
        <f ca="1">TDIST(ABS(AN41),$U$13,2)</f>
        <v>#NAME?</v>
      </c>
      <c r="AP41" s="1078" t="e">
        <f ca="1">AL41-TINV(AP$31,$AL$34)*AM41</f>
        <v>#NAME?</v>
      </c>
      <c r="AQ41" s="1078" t="e">
        <f ca="1">AL41+TINV(AP$31,$AL$34)*AM41</f>
        <v>#NAME?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sheetPr codeName="Sheet311"/>
  <dimension ref="A1:Z27"/>
  <sheetViews>
    <sheetView workbookViewId="0"/>
  </sheetViews>
  <sheetFormatPr defaultRowHeight="14.4"/>
  <cols>
    <col min="20" max="20" width="17.88671875" customWidth="1"/>
  </cols>
  <sheetData>
    <row r="1" spans="1:26">
      <c r="A1" s="1" t="s">
        <v>3348</v>
      </c>
      <c r="G1" t="s">
        <v>3375</v>
      </c>
      <c r="N1" t="s">
        <v>3383</v>
      </c>
      <c r="T1" t="s">
        <v>2744</v>
      </c>
    </row>
    <row r="3" spans="1:26" ht="15" thickBot="1">
      <c r="A3" s="1240" t="s">
        <v>3354</v>
      </c>
      <c r="B3" s="1240" t="s">
        <v>3352</v>
      </c>
      <c r="C3" s="1240" t="s">
        <v>3333</v>
      </c>
      <c r="D3" s="1240" t="s">
        <v>3332</v>
      </c>
      <c r="E3" s="1240" t="s">
        <v>3353</v>
      </c>
      <c r="G3" t="e">
        <f t="array" aca="1" ref="G3:K8" ca="1">[1]!DescStats(B3:E23,TRUE,TRUE)</f>
        <v>#NAME?</v>
      </c>
      <c r="H3" s="1270" t="e">
        <f ca="1"/>
        <v>#NAME?</v>
      </c>
      <c r="I3" s="1270" t="e">
        <f ca="1"/>
        <v>#NAME?</v>
      </c>
      <c r="J3" s="1270" t="e">
        <f ca="1"/>
        <v>#NAME?</v>
      </c>
      <c r="K3" s="1270" t="e">
        <f ca="1"/>
        <v>#NAME?</v>
      </c>
      <c r="O3" s="1270" t="str">
        <f>B3</f>
        <v>read</v>
      </c>
      <c r="P3" s="1270" t="str">
        <f>C3</f>
        <v>science</v>
      </c>
      <c r="Q3" s="1270" t="str">
        <f>D3</f>
        <v>math</v>
      </c>
      <c r="R3" s="1270" t="str">
        <f>E3</f>
        <v>medicine</v>
      </c>
      <c r="T3" s="1059" t="s">
        <v>2750</v>
      </c>
      <c r="U3" s="1059"/>
    </row>
    <row r="4" spans="1:26" ht="15" thickTop="1">
      <c r="A4" s="1240">
        <v>1</v>
      </c>
      <c r="B4" s="1242">
        <v>12</v>
      </c>
      <c r="C4" s="1248">
        <v>27</v>
      </c>
      <c r="D4" s="1248">
        <v>19</v>
      </c>
      <c r="E4" s="1243">
        <v>44</v>
      </c>
      <c r="G4" t="e">
        <f ca="1"/>
        <v>#NAME?</v>
      </c>
      <c r="H4" s="1232" t="e">
        <f ca="1"/>
        <v>#NAME?</v>
      </c>
      <c r="I4" s="1114" t="e">
        <f ca="1"/>
        <v>#NAME?</v>
      </c>
      <c r="J4" s="1114" t="e">
        <f ca="1"/>
        <v>#NAME?</v>
      </c>
      <c r="K4" s="1233" t="e">
        <f ca="1"/>
        <v>#NAME?</v>
      </c>
      <c r="N4" t="s">
        <v>63</v>
      </c>
      <c r="O4" s="1232" t="e">
        <f t="array" aca="1" ref="O4:R8" ca="1">[1]!MICombine('MI 8a'!A25:D29,10,1,FALSE,FALSE)</f>
        <v>#NAME?</v>
      </c>
      <c r="P4" s="1114" t="e">
        <f ca="1"/>
        <v>#NAME?</v>
      </c>
      <c r="Q4" s="1114" t="e">
        <f ca="1"/>
        <v>#NAME?</v>
      </c>
      <c r="R4" s="1233" t="e">
        <f ca="1"/>
        <v>#NAME?</v>
      </c>
      <c r="T4" t="s">
        <v>693</v>
      </c>
      <c r="U4" t="e">
        <f ca="1">SQRT(U5)</f>
        <v>#NAME?</v>
      </c>
    </row>
    <row r="5" spans="1:26">
      <c r="A5" s="1240">
        <f>A4+1</f>
        <v>2</v>
      </c>
      <c r="B5" s="750">
        <v>11</v>
      </c>
      <c r="C5" s="42" t="s">
        <v>28</v>
      </c>
      <c r="D5" s="42">
        <v>13</v>
      </c>
      <c r="E5" s="838">
        <v>43</v>
      </c>
      <c r="G5" t="e">
        <f ca="1"/>
        <v>#NAME?</v>
      </c>
      <c r="H5" s="625" t="e">
        <f ca="1"/>
        <v>#NAME?</v>
      </c>
      <c r="I5" s="8" t="e">
        <f ca="1"/>
        <v>#NAME?</v>
      </c>
      <c r="J5" s="8" t="e">
        <f ca="1"/>
        <v>#NAME?</v>
      </c>
      <c r="K5" s="132" t="e">
        <f ca="1"/>
        <v>#NAME?</v>
      </c>
      <c r="N5" t="s">
        <v>67</v>
      </c>
      <c r="O5" s="625" t="e">
        <f ca="1"/>
        <v>#NAME?</v>
      </c>
      <c r="P5" s="8" t="e">
        <f ca="1"/>
        <v>#NAME?</v>
      </c>
      <c r="Q5" s="8" t="e">
        <f ca="1"/>
        <v>#NAME?</v>
      </c>
      <c r="R5" s="132" t="e">
        <f ca="1"/>
        <v>#NAME?</v>
      </c>
      <c r="T5" t="s">
        <v>686</v>
      </c>
      <c r="U5" t="e">
        <f ca="1">O8</f>
        <v>#NAME?</v>
      </c>
    </row>
    <row r="6" spans="1:26">
      <c r="A6" s="1240">
        <f t="shared" ref="A6:A23" si="0">A5+1</f>
        <v>3</v>
      </c>
      <c r="B6" s="750" t="s">
        <v>28</v>
      </c>
      <c r="C6" s="42">
        <v>56</v>
      </c>
      <c r="D6" s="42">
        <v>23</v>
      </c>
      <c r="E6" s="838">
        <v>60</v>
      </c>
      <c r="G6" t="e">
        <f ca="1"/>
        <v>#NAME?</v>
      </c>
      <c r="H6" s="625" t="e">
        <f ca="1"/>
        <v>#NAME?</v>
      </c>
      <c r="I6" s="8" t="e">
        <f ca="1"/>
        <v>#NAME?</v>
      </c>
      <c r="J6" s="8" t="e">
        <f ca="1"/>
        <v>#NAME?</v>
      </c>
      <c r="K6" s="132" t="e">
        <f ca="1"/>
        <v>#NAME?</v>
      </c>
      <c r="N6" t="s">
        <v>2743</v>
      </c>
      <c r="O6" s="625" t="e">
        <f ca="1"/>
        <v>#NAME?</v>
      </c>
      <c r="P6" s="8" t="e">
        <f ca="1"/>
        <v>#NAME?</v>
      </c>
      <c r="Q6" s="8" t="e">
        <f ca="1"/>
        <v>#NAME?</v>
      </c>
      <c r="R6" s="132" t="e">
        <f ca="1"/>
        <v>#NAME?</v>
      </c>
      <c r="T6" t="s">
        <v>694</v>
      </c>
      <c r="U6" t="e">
        <f ca="1">1-(1-U5)*(U8-1)/(U8-U12-1)</f>
        <v>#NAME?</v>
      </c>
    </row>
    <row r="7" spans="1:26">
      <c r="A7" s="1240">
        <f t="shared" si="0"/>
        <v>4</v>
      </c>
      <c r="B7" s="750">
        <v>15</v>
      </c>
      <c r="C7" s="42">
        <v>37</v>
      </c>
      <c r="D7" s="42">
        <v>19</v>
      </c>
      <c r="E7" s="838">
        <v>52</v>
      </c>
      <c r="G7" t="e">
        <f ca="1"/>
        <v>#NAME?</v>
      </c>
      <c r="H7" s="625" t="e">
        <f ca="1"/>
        <v>#NAME?</v>
      </c>
      <c r="I7" s="8" t="e">
        <f ca="1"/>
        <v>#NAME?</v>
      </c>
      <c r="J7" s="8" t="e">
        <f ca="1"/>
        <v>#NAME?</v>
      </c>
      <c r="K7" s="132" t="e">
        <f ca="1"/>
        <v>#NAME?</v>
      </c>
      <c r="N7" t="s">
        <v>826</v>
      </c>
      <c r="O7" s="625" t="e">
        <f ca="1"/>
        <v>#NAME?</v>
      </c>
      <c r="P7" s="8" t="e">
        <f ca="1"/>
        <v>#NAME?</v>
      </c>
      <c r="Q7" s="8" t="e">
        <f ca="1"/>
        <v>#NAME?</v>
      </c>
      <c r="R7" s="132" t="e">
        <f ca="1"/>
        <v>#NAME?</v>
      </c>
      <c r="T7" t="s">
        <v>77</v>
      </c>
      <c r="U7" t="e">
        <f ca="1">SQRT(W13)</f>
        <v>#NAME?</v>
      </c>
    </row>
    <row r="8" spans="1:26">
      <c r="A8" s="1240">
        <f t="shared" si="0"/>
        <v>5</v>
      </c>
      <c r="B8" s="750">
        <v>10</v>
      </c>
      <c r="C8" s="42">
        <v>31</v>
      </c>
      <c r="D8" s="42">
        <v>21</v>
      </c>
      <c r="E8" s="838" t="s">
        <v>28</v>
      </c>
      <c r="G8" t="e">
        <f ca="1"/>
        <v>#NAME?</v>
      </c>
      <c r="H8" s="1075" t="e">
        <f ca="1"/>
        <v>#NAME?</v>
      </c>
      <c r="I8" s="1076" t="e">
        <f ca="1"/>
        <v>#NAME?</v>
      </c>
      <c r="J8" s="1076" t="e">
        <f ca="1"/>
        <v>#NAME?</v>
      </c>
      <c r="K8" s="1077" t="e">
        <f ca="1"/>
        <v>#NAME?</v>
      </c>
      <c r="N8" t="s">
        <v>3384</v>
      </c>
      <c r="O8" s="1075" t="e">
        <f ca="1"/>
        <v>#NAME?</v>
      </c>
      <c r="P8" s="1076" t="e">
        <f ca="1"/>
        <v>#NAME?</v>
      </c>
      <c r="Q8" s="1076" t="e">
        <f ca="1"/>
        <v>#NAME?</v>
      </c>
      <c r="R8" s="1077" t="e">
        <f ca="1"/>
        <v>#NAME?</v>
      </c>
      <c r="T8" s="1078" t="s">
        <v>224</v>
      </c>
      <c r="U8" s="1078" t="e">
        <f ca="1">P8</f>
        <v>#NAME?</v>
      </c>
    </row>
    <row r="9" spans="1:26">
      <c r="A9" s="1240">
        <f t="shared" si="0"/>
        <v>6</v>
      </c>
      <c r="B9" s="750">
        <v>18</v>
      </c>
      <c r="C9" s="42">
        <v>40</v>
      </c>
      <c r="D9" s="42">
        <v>22</v>
      </c>
      <c r="E9" s="838">
        <v>43</v>
      </c>
    </row>
    <row r="10" spans="1:26" ht="15" thickBot="1">
      <c r="A10" s="1240">
        <f t="shared" si="0"/>
        <v>7</v>
      </c>
      <c r="B10" s="750">
        <v>15</v>
      </c>
      <c r="C10" s="42">
        <v>50</v>
      </c>
      <c r="D10" s="42">
        <v>28</v>
      </c>
      <c r="E10" s="838">
        <v>56</v>
      </c>
      <c r="G10" t="s">
        <v>3355</v>
      </c>
      <c r="T10" t="s">
        <v>695</v>
      </c>
      <c r="X10" s="1270" t="s">
        <v>116</v>
      </c>
      <c r="Y10" s="1270">
        <v>0.05</v>
      </c>
    </row>
    <row r="11" spans="1:26" ht="15" thickTop="1">
      <c r="A11" s="1240">
        <f t="shared" si="0"/>
        <v>8</v>
      </c>
      <c r="B11" s="750">
        <v>21</v>
      </c>
      <c r="C11" s="42" t="s">
        <v>28</v>
      </c>
      <c r="D11" s="42" t="s">
        <v>28</v>
      </c>
      <c r="E11" s="838">
        <v>46</v>
      </c>
      <c r="T11" s="1151"/>
      <c r="U11" s="1151" t="s">
        <v>186</v>
      </c>
      <c r="V11" s="1151" t="s">
        <v>578</v>
      </c>
      <c r="W11" s="1151" t="s">
        <v>641</v>
      </c>
      <c r="X11" s="1151" t="s">
        <v>388</v>
      </c>
      <c r="Y11" s="1151" t="s">
        <v>200</v>
      </c>
      <c r="Z11" s="1151" t="s">
        <v>948</v>
      </c>
    </row>
    <row r="12" spans="1:26">
      <c r="A12" s="1240">
        <f t="shared" si="0"/>
        <v>9</v>
      </c>
      <c r="B12" s="750">
        <v>20</v>
      </c>
      <c r="C12" s="42">
        <v>39</v>
      </c>
      <c r="D12" s="42">
        <v>25</v>
      </c>
      <c r="E12" s="838">
        <v>51</v>
      </c>
      <c r="G12" s="1270" t="e">
        <f t="array" aca="1" ref="G12:L14" ca="1">[1]!MissingFreq(B3:E23)</f>
        <v>#NAME?</v>
      </c>
      <c r="H12" s="1270" t="e">
        <f ca="1"/>
        <v>#NAME?</v>
      </c>
      <c r="I12" s="1270" t="e">
        <f ca="1"/>
        <v>#NAME?</v>
      </c>
      <c r="J12" s="1270" t="e">
        <f ca="1"/>
        <v>#NAME?</v>
      </c>
      <c r="K12" s="1270" t="e">
        <f ca="1"/>
        <v>#NAME?</v>
      </c>
      <c r="L12" s="1270" t="e">
        <f ca="1"/>
        <v>#NAME?</v>
      </c>
      <c r="T12" t="s">
        <v>623</v>
      </c>
      <c r="U12">
        <f ca="1">COUNT(O4:R4)-1</f>
        <v>-1</v>
      </c>
      <c r="V12" t="e">
        <f ca="1">U5*V14</f>
        <v>#NAME?</v>
      </c>
      <c r="W12" t="e">
        <f ca="1">V12/U12</f>
        <v>#NAME?</v>
      </c>
      <c r="X12" t="e">
        <f ca="1">W12/W13</f>
        <v>#NAME?</v>
      </c>
      <c r="Y12" t="e">
        <f ca="1">FDIST(X12,U12,U13)</f>
        <v>#NAME?</v>
      </c>
      <c r="Z12" s="1270" t="e">
        <f ca="1">IF(Y12&lt;Y10,"yes","no")</f>
        <v>#NAME?</v>
      </c>
    </row>
    <row r="13" spans="1:26">
      <c r="A13" s="1240">
        <f t="shared" si="0"/>
        <v>10</v>
      </c>
      <c r="B13" s="750" t="s">
        <v>28</v>
      </c>
      <c r="C13" s="42">
        <v>36</v>
      </c>
      <c r="D13" s="42">
        <v>23</v>
      </c>
      <c r="E13" s="838">
        <v>56</v>
      </c>
      <c r="G13" s="1232" t="e">
        <f ca="1"/>
        <v>#NAME?</v>
      </c>
      <c r="H13" s="1114" t="e">
        <f ca="1"/>
        <v>#NAME?</v>
      </c>
      <c r="I13" s="1114" t="e">
        <f ca="1"/>
        <v>#NAME?</v>
      </c>
      <c r="J13" s="1114" t="e">
        <f ca="1"/>
        <v>#NAME?</v>
      </c>
      <c r="K13" s="1114" t="e">
        <f ca="1"/>
        <v>#NAME?</v>
      </c>
      <c r="L13" s="1233" t="e">
        <f ca="1"/>
        <v>#NAME?</v>
      </c>
      <c r="T13" t="s">
        <v>696</v>
      </c>
      <c r="U13" t="e">
        <f ca="1">U14-U12</f>
        <v>#NAME?</v>
      </c>
      <c r="V13" t="e">
        <f ca="1">V14-V12</f>
        <v>#NAME?</v>
      </c>
      <c r="W13" t="e">
        <f ca="1">V13/U13</f>
        <v>#NAME?</v>
      </c>
    </row>
    <row r="14" spans="1:26">
      <c r="A14" s="1240">
        <f t="shared" si="0"/>
        <v>11</v>
      </c>
      <c r="B14" s="750" t="s">
        <v>28</v>
      </c>
      <c r="C14" s="42">
        <v>27</v>
      </c>
      <c r="D14" s="42">
        <v>21</v>
      </c>
      <c r="E14" s="838">
        <v>39</v>
      </c>
      <c r="G14" s="1261" t="e">
        <f ca="1"/>
        <v>#NAME?</v>
      </c>
      <c r="H14" s="1262" t="e">
        <f ca="1"/>
        <v>#NAME?</v>
      </c>
      <c r="I14" s="1262" t="e">
        <f ca="1"/>
        <v>#NAME?</v>
      </c>
      <c r="J14" s="1262" t="e">
        <f ca="1"/>
        <v>#NAME?</v>
      </c>
      <c r="K14" s="1262" t="e">
        <f ca="1"/>
        <v>#NAME?</v>
      </c>
      <c r="L14" s="1260" t="e">
        <f ca="1"/>
        <v>#NAME?</v>
      </c>
      <c r="T14" s="1078" t="s">
        <v>12</v>
      </c>
      <c r="U14" s="1078" t="e">
        <f ca="1">U8-1</f>
        <v>#NAME?</v>
      </c>
      <c r="V14" s="1078" t="e">
        <f ca="1">R5^2*U14</f>
        <v>#NAME?</v>
      </c>
      <c r="W14" s="1078"/>
      <c r="X14" s="1078"/>
      <c r="Y14" s="1078"/>
      <c r="Z14" s="1078"/>
    </row>
    <row r="15" spans="1:26" ht="15" thickBot="1">
      <c r="A15" s="1240">
        <f t="shared" si="0"/>
        <v>12</v>
      </c>
      <c r="B15" s="750">
        <v>14</v>
      </c>
      <c r="C15" s="42">
        <v>32</v>
      </c>
      <c r="D15" s="42">
        <v>20</v>
      </c>
      <c r="E15" s="838">
        <v>46</v>
      </c>
    </row>
    <row r="16" spans="1:26" ht="15" thickTop="1">
      <c r="A16" s="1240">
        <f t="shared" si="0"/>
        <v>13</v>
      </c>
      <c r="B16" s="750">
        <v>22</v>
      </c>
      <c r="C16" s="42">
        <v>40</v>
      </c>
      <c r="D16" s="42" t="s">
        <v>28</v>
      </c>
      <c r="E16" s="838">
        <v>49</v>
      </c>
      <c r="G16" t="s">
        <v>3356</v>
      </c>
      <c r="T16" s="1151"/>
      <c r="U16" s="1151" t="s">
        <v>2743</v>
      </c>
      <c r="V16" s="1151" t="s">
        <v>1469</v>
      </c>
      <c r="W16" s="1151" t="s">
        <v>188</v>
      </c>
      <c r="X16" s="1151" t="s">
        <v>200</v>
      </c>
      <c r="Y16" s="1151" t="s">
        <v>103</v>
      </c>
      <c r="Z16" s="1151" t="s">
        <v>104</v>
      </c>
    </row>
    <row r="17" spans="1:26">
      <c r="A17" s="1240">
        <f t="shared" si="0"/>
        <v>14</v>
      </c>
      <c r="B17" s="750" t="s">
        <v>28</v>
      </c>
      <c r="C17" s="42">
        <v>31</v>
      </c>
      <c r="D17" s="42" t="s">
        <v>28</v>
      </c>
      <c r="E17" s="838">
        <v>44</v>
      </c>
      <c r="T17" t="s">
        <v>697</v>
      </c>
      <c r="U17" t="e">
        <f ca="1">R6</f>
        <v>#NAME?</v>
      </c>
      <c r="V17" t="e">
        <f ca="1">R7</f>
        <v>#NAME?</v>
      </c>
      <c r="W17" t="e">
        <f ca="1">U17/V17</f>
        <v>#NAME?</v>
      </c>
      <c r="X17" t="e">
        <f ca="1">TDIST(ABS(W17),$U$13,2)</f>
        <v>#NAME?</v>
      </c>
      <c r="Y17" t="e">
        <f ca="1">U17-TINV(Y$10,$U$13)*V17</f>
        <v>#NAME?</v>
      </c>
      <c r="Z17" t="e">
        <f ca="1">U17+TINV(Y$10,$U$13)*V17</f>
        <v>#NAME?</v>
      </c>
    </row>
    <row r="18" spans="1:26">
      <c r="A18" s="1240">
        <f t="shared" si="0"/>
        <v>15</v>
      </c>
      <c r="B18" s="750" t="s">
        <v>28</v>
      </c>
      <c r="C18" s="42">
        <v>18</v>
      </c>
      <c r="D18" s="42">
        <v>21</v>
      </c>
      <c r="E18" s="838" t="s">
        <v>28</v>
      </c>
      <c r="G18" s="1270" t="e">
        <f t="array" aca="1" ref="G18:L26" ca="1">[1]!MissingPatterns(B3:E23)</f>
        <v>#NAME?</v>
      </c>
      <c r="H18" s="1270" t="e">
        <f ca="1"/>
        <v>#NAME?</v>
      </c>
      <c r="I18" s="1270" t="e">
        <f ca="1"/>
        <v>#NAME?</v>
      </c>
      <c r="J18" s="1270" t="e">
        <f ca="1"/>
        <v>#NAME?</v>
      </c>
      <c r="K18" s="1270" t="e">
        <f ca="1"/>
        <v>#NAME?</v>
      </c>
      <c r="L18" s="1270" t="e">
        <f ca="1"/>
        <v>#NAME?</v>
      </c>
      <c r="T18" t="str">
        <f t="array" ref="T18:T20">TRANSPOSE(O3:Q3)</f>
        <v>read</v>
      </c>
      <c r="U18" t="e">
        <f t="array" aca="1" ref="U18:U20" ca="1">TRANSPOSE(O6:Q6)</f>
        <v>#NAME?</v>
      </c>
      <c r="V18" t="e">
        <f t="array" aca="1" ref="V18:V20" ca="1">TRANSPOSE(O7:Q7)</f>
        <v>#NAME?</v>
      </c>
      <c r="W18" t="e">
        <f ca="1">U18/V18</f>
        <v>#NAME?</v>
      </c>
      <c r="X18" t="e">
        <f ca="1">TDIST(ABS(W18),$U$13,2)</f>
        <v>#NAME?</v>
      </c>
      <c r="Y18" t="e">
        <f ca="1">U18-TINV(Y$10,$U$13)*V18</f>
        <v>#NAME?</v>
      </c>
      <c r="Z18" t="e">
        <f ca="1">U18+TINV(Y$10,$U$13)*V18</f>
        <v>#NAME?</v>
      </c>
    </row>
    <row r="19" spans="1:26">
      <c r="A19" s="1240">
        <f t="shared" si="0"/>
        <v>16</v>
      </c>
      <c r="B19" s="750">
        <v>16</v>
      </c>
      <c r="C19" s="42">
        <v>23</v>
      </c>
      <c r="D19" s="42">
        <v>21</v>
      </c>
      <c r="E19" s="838">
        <v>34</v>
      </c>
      <c r="G19" s="1255" t="e">
        <f ca="1"/>
        <v>#NAME?</v>
      </c>
      <c r="H19" s="1256" t="e">
        <f ca="1"/>
        <v>#NAME?</v>
      </c>
      <c r="I19" s="1256" t="e">
        <f ca="1"/>
        <v>#NAME?</v>
      </c>
      <c r="J19" s="1256" t="e">
        <f ca="1"/>
        <v>#NAME?</v>
      </c>
      <c r="K19" s="1114" t="e">
        <f ca="1"/>
        <v>#NAME?</v>
      </c>
      <c r="L19" s="1257" t="e">
        <f ca="1"/>
        <v>#NAME?</v>
      </c>
      <c r="T19" t="str">
        <v>science</v>
      </c>
      <c r="U19" t="e">
        <f ca="1"/>
        <v>#NAME?</v>
      </c>
      <c r="V19" t="e">
        <f ca="1"/>
        <v>#NAME?</v>
      </c>
      <c r="W19" t="e">
        <f ca="1">U19/V19</f>
        <v>#NAME?</v>
      </c>
      <c r="X19" t="e">
        <f ca="1">TDIST(ABS(W19),$U$13,2)</f>
        <v>#NAME?</v>
      </c>
      <c r="Y19" t="e">
        <f ca="1">U19-TINV(Y$10,$U$13)*V19</f>
        <v>#NAME?</v>
      </c>
      <c r="Z19" t="e">
        <f ca="1">U19+TINV(Y$10,$U$13)*V19</f>
        <v>#NAME?</v>
      </c>
    </row>
    <row r="20" spans="1:26">
      <c r="A20" s="1240">
        <f t="shared" si="0"/>
        <v>17</v>
      </c>
      <c r="B20" s="750">
        <v>27</v>
      </c>
      <c r="C20" s="42">
        <v>26</v>
      </c>
      <c r="D20" s="42">
        <v>23</v>
      </c>
      <c r="E20" s="838">
        <v>59</v>
      </c>
      <c r="G20" s="624" t="e">
        <f ca="1"/>
        <v>#NAME?</v>
      </c>
      <c r="H20" s="1271" t="e">
        <f ca="1"/>
        <v>#NAME?</v>
      </c>
      <c r="I20" s="1271" t="e">
        <f ca="1"/>
        <v>#NAME?</v>
      </c>
      <c r="J20" s="1271" t="e">
        <f ca="1"/>
        <v>#NAME?</v>
      </c>
      <c r="K20" s="8" t="e">
        <f ca="1"/>
        <v>#NAME?</v>
      </c>
      <c r="L20" s="1258" t="e">
        <f ca="1"/>
        <v>#NAME?</v>
      </c>
      <c r="T20" s="1078" t="str">
        <v>math</v>
      </c>
      <c r="U20" s="1078" t="e">
        <f ca="1"/>
        <v>#NAME?</v>
      </c>
      <c r="V20" s="1078" t="e">
        <f ca="1"/>
        <v>#NAME?</v>
      </c>
      <c r="W20" s="1078" t="e">
        <f ca="1">U20/V20</f>
        <v>#NAME?</v>
      </c>
      <c r="X20" s="1078" t="e">
        <f ca="1">TDIST(ABS(W20),$U$13,2)</f>
        <v>#NAME?</v>
      </c>
      <c r="Y20" s="1078" t="e">
        <f ca="1">U20-TINV(Y$10,$U$13)*V20</f>
        <v>#NAME?</v>
      </c>
      <c r="Z20" s="1078" t="e">
        <f ca="1">U20+TINV(Y$10,$U$13)*V20</f>
        <v>#NAME?</v>
      </c>
    </row>
    <row r="21" spans="1:26">
      <c r="A21" s="1240">
        <f t="shared" si="0"/>
        <v>18</v>
      </c>
      <c r="B21" s="750">
        <v>17</v>
      </c>
      <c r="C21" s="42" t="s">
        <v>28</v>
      </c>
      <c r="D21" s="42" t="s">
        <v>28</v>
      </c>
      <c r="E21" s="838">
        <v>35</v>
      </c>
      <c r="G21" s="624" t="e">
        <f ca="1"/>
        <v>#NAME?</v>
      </c>
      <c r="H21" s="1271" t="e">
        <f ca="1"/>
        <v>#NAME?</v>
      </c>
      <c r="I21" s="1271" t="e">
        <f ca="1"/>
        <v>#NAME?</v>
      </c>
      <c r="J21" s="1271" t="e">
        <f ca="1"/>
        <v>#NAME?</v>
      </c>
      <c r="K21" s="8" t="e">
        <f ca="1"/>
        <v>#NAME?</v>
      </c>
      <c r="L21" s="1258" t="e">
        <f ca="1"/>
        <v>#NAME?</v>
      </c>
    </row>
    <row r="22" spans="1:26">
      <c r="A22" s="1240">
        <f t="shared" si="0"/>
        <v>19</v>
      </c>
      <c r="B22" s="750">
        <v>13</v>
      </c>
      <c r="C22" s="42">
        <v>21</v>
      </c>
      <c r="D22" s="42">
        <v>20</v>
      </c>
      <c r="E22" s="838">
        <v>48</v>
      </c>
      <c r="G22" s="624" t="e">
        <f ca="1"/>
        <v>#NAME?</v>
      </c>
      <c r="H22" s="1271" t="e">
        <f ca="1"/>
        <v>#NAME?</v>
      </c>
      <c r="I22" s="1271" t="e">
        <f ca="1"/>
        <v>#NAME?</v>
      </c>
      <c r="J22" s="1271" t="e">
        <f ca="1"/>
        <v>#NAME?</v>
      </c>
      <c r="K22" s="8" t="e">
        <f ca="1"/>
        <v>#NAME?</v>
      </c>
      <c r="L22" s="1258" t="e">
        <f ca="1"/>
        <v>#NAME?</v>
      </c>
    </row>
    <row r="23" spans="1:26">
      <c r="A23" s="1240">
        <f t="shared" si="0"/>
        <v>20</v>
      </c>
      <c r="B23" s="1244">
        <v>11</v>
      </c>
      <c r="C23" s="1247">
        <v>51</v>
      </c>
      <c r="D23" s="1247">
        <v>18</v>
      </c>
      <c r="E23" s="1245">
        <v>54</v>
      </c>
      <c r="G23" s="624" t="e">
        <f ca="1"/>
        <v>#NAME?</v>
      </c>
      <c r="H23" s="1271" t="e">
        <f ca="1"/>
        <v>#NAME?</v>
      </c>
      <c r="I23" s="1271" t="e">
        <f ca="1"/>
        <v>#NAME?</v>
      </c>
      <c r="J23" s="1271" t="e">
        <f ca="1"/>
        <v>#NAME?</v>
      </c>
      <c r="K23" s="8" t="e">
        <f ca="1"/>
        <v>#NAME?</v>
      </c>
      <c r="L23" s="1258" t="e">
        <f ca="1"/>
        <v>#NAME?</v>
      </c>
    </row>
    <row r="24" spans="1:26">
      <c r="A24" s="1240" t="s">
        <v>63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G24" s="624" t="e">
        <f ca="1"/>
        <v>#NAME?</v>
      </c>
      <c r="H24" s="1271" t="e">
        <f ca="1"/>
        <v>#NAME?</v>
      </c>
      <c r="I24" s="1271" t="e">
        <f ca="1"/>
        <v>#NAME?</v>
      </c>
      <c r="J24" s="1271" t="e">
        <f ca="1"/>
        <v>#NAME?</v>
      </c>
      <c r="K24" s="8" t="e">
        <f ca="1"/>
        <v>#NAME?</v>
      </c>
      <c r="L24" s="1258" t="e">
        <f ca="1"/>
        <v>#NAME?</v>
      </c>
    </row>
    <row r="25" spans="1:26">
      <c r="A25" s="1240" t="s">
        <v>67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G25" s="624" t="e">
        <f ca="1"/>
        <v>#NAME?</v>
      </c>
      <c r="H25" s="1271" t="e">
        <f ca="1"/>
        <v>#NAME?</v>
      </c>
      <c r="I25" s="1271" t="e">
        <f ca="1"/>
        <v>#NAME?</v>
      </c>
      <c r="J25" s="1271" t="e">
        <f ca="1"/>
        <v>#NAME?</v>
      </c>
      <c r="K25" s="8" t="e">
        <f ca="1"/>
        <v>#NAME?</v>
      </c>
      <c r="L25" s="1258" t="e">
        <f ca="1"/>
        <v>#NAME?</v>
      </c>
    </row>
    <row r="26" spans="1:26">
      <c r="G26" s="1133" t="e">
        <f ca="1"/>
        <v>#NAME?</v>
      </c>
      <c r="H26" s="1259" t="e">
        <f ca="1"/>
        <v>#NAME?</v>
      </c>
      <c r="I26" s="1259" t="e">
        <f ca="1"/>
        <v>#NAME?</v>
      </c>
      <c r="J26" s="1259" t="e">
        <f ca="1"/>
        <v>#NAME?</v>
      </c>
      <c r="K26" s="1076" t="e">
        <f ca="1"/>
        <v>#NAME?</v>
      </c>
      <c r="L26" s="1260" t="e">
        <f ca="1"/>
        <v>#NAME?</v>
      </c>
    </row>
    <row r="27" spans="1:26">
      <c r="K27" t="e">
        <f ca="1">SUM(K19:K26)</f>
        <v>#NAME?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sheetPr codeName="Sheet313"/>
  <dimension ref="A1:AW29"/>
  <sheetViews>
    <sheetView workbookViewId="0"/>
  </sheetViews>
  <sheetFormatPr defaultRowHeight="14.4"/>
  <sheetData>
    <row r="1" spans="1:49">
      <c r="A1" t="s">
        <v>3382</v>
      </c>
      <c r="B1">
        <v>1</v>
      </c>
      <c r="F1" t="s">
        <v>3382</v>
      </c>
      <c r="G1">
        <v>2</v>
      </c>
      <c r="K1" t="s">
        <v>3382</v>
      </c>
      <c r="L1">
        <v>3</v>
      </c>
      <c r="P1" t="s">
        <v>3382</v>
      </c>
      <c r="Q1">
        <v>4</v>
      </c>
      <c r="U1" t="s">
        <v>3382</v>
      </c>
      <c r="V1">
        <v>5</v>
      </c>
      <c r="Z1" t="s">
        <v>3382</v>
      </c>
      <c r="AA1">
        <v>6</v>
      </c>
      <c r="AE1" t="s">
        <v>3382</v>
      </c>
      <c r="AF1">
        <v>7</v>
      </c>
      <c r="AJ1" t="s">
        <v>3382</v>
      </c>
      <c r="AK1">
        <v>8</v>
      </c>
      <c r="AO1" t="s">
        <v>3382</v>
      </c>
      <c r="AP1">
        <v>9</v>
      </c>
      <c r="AT1" t="s">
        <v>3382</v>
      </c>
      <c r="AU1">
        <v>10</v>
      </c>
    </row>
    <row r="3" spans="1:49">
      <c r="A3" s="1270" t="e">
        <f t="array" aca="1" ref="A3:D23" ca="1">[1]!ImputeFCS('MI 8'!B3:E23,TRUE,20)</f>
        <v>#NAME?</v>
      </c>
      <c r="B3" s="1270" t="e">
        <f ca="1"/>
        <v>#NAME?</v>
      </c>
      <c r="C3" s="1270" t="e">
        <f ca="1"/>
        <v>#NAME?</v>
      </c>
      <c r="D3" s="1270" t="e">
        <f ca="1"/>
        <v>#NAME?</v>
      </c>
      <c r="F3" s="1270" t="e">
        <f t="array" aca="1" ref="F3:I23" ca="1">[1]!ImputeFCS('MI 8'!B3:E23,TRUE,20)</f>
        <v>#NAME?</v>
      </c>
      <c r="G3" s="1270" t="e">
        <f ca="1"/>
        <v>#NAME?</v>
      </c>
      <c r="H3" s="1270" t="e">
        <f ca="1"/>
        <v>#NAME?</v>
      </c>
      <c r="I3" s="1270" t="e">
        <f ca="1"/>
        <v>#NAME?</v>
      </c>
      <c r="K3" s="1270" t="e">
        <f t="array" aca="1" ref="K3:N23" ca="1">[1]!ImputeFCS('MI 8'!B3:E23,TRUE,20)</f>
        <v>#NAME?</v>
      </c>
      <c r="L3" s="1270" t="e">
        <f ca="1"/>
        <v>#NAME?</v>
      </c>
      <c r="M3" s="1270" t="e">
        <f ca="1"/>
        <v>#NAME?</v>
      </c>
      <c r="N3" s="1270" t="e">
        <f ca="1"/>
        <v>#NAME?</v>
      </c>
      <c r="P3" s="1270" t="e">
        <f t="array" aca="1" ref="P3:S23" ca="1">[1]!ImputeFCS('MI 8'!B3:E23,TRUE,20)</f>
        <v>#NAME?</v>
      </c>
      <c r="Q3" s="1270" t="e">
        <f ca="1"/>
        <v>#NAME?</v>
      </c>
      <c r="R3" s="1270" t="e">
        <f ca="1"/>
        <v>#NAME?</v>
      </c>
      <c r="S3" s="1270" t="e">
        <f ca="1"/>
        <v>#NAME?</v>
      </c>
      <c r="U3" s="1270" t="e">
        <f t="array" aca="1" ref="U3:X23" ca="1">[1]!ImputeFCS('MI 8'!B3:E23,TRUE,20)</f>
        <v>#NAME?</v>
      </c>
      <c r="V3" s="1270" t="e">
        <f ca="1"/>
        <v>#NAME?</v>
      </c>
      <c r="W3" s="1270" t="e">
        <f ca="1"/>
        <v>#NAME?</v>
      </c>
      <c r="X3" s="1270" t="e">
        <f ca="1"/>
        <v>#NAME?</v>
      </c>
      <c r="Z3" s="1270" t="e">
        <f t="array" aca="1" ref="Z3:AC23" ca="1">[1]!ImputeFCS('MI 8'!B3:E23,TRUE,20)</f>
        <v>#NAME?</v>
      </c>
      <c r="AA3" s="1270" t="e">
        <f ca="1"/>
        <v>#NAME?</v>
      </c>
      <c r="AB3" s="1270" t="e">
        <f ca="1"/>
        <v>#NAME?</v>
      </c>
      <c r="AC3" s="1270" t="e">
        <f ca="1"/>
        <v>#NAME?</v>
      </c>
      <c r="AE3" s="1270" t="e">
        <f t="array" aca="1" ref="AE3:AH23" ca="1">[1]!ImputeFCS('MI 8'!B3:E23,TRUE,20)</f>
        <v>#NAME?</v>
      </c>
      <c r="AF3" s="1270" t="e">
        <f ca="1"/>
        <v>#NAME?</v>
      </c>
      <c r="AG3" s="1270" t="e">
        <f ca="1"/>
        <v>#NAME?</v>
      </c>
      <c r="AH3" s="1270" t="e">
        <f ca="1"/>
        <v>#NAME?</v>
      </c>
      <c r="AJ3" s="1270" t="e">
        <f t="array" aca="1" ref="AJ3:AM23" ca="1">[1]!ImputeFCS('MI 8'!B3:E23,TRUE,20)</f>
        <v>#NAME?</v>
      </c>
      <c r="AK3" s="1270" t="e">
        <f ca="1"/>
        <v>#NAME?</v>
      </c>
      <c r="AL3" s="1270" t="e">
        <f ca="1"/>
        <v>#NAME?</v>
      </c>
      <c r="AM3" s="1270" t="e">
        <f ca="1"/>
        <v>#NAME?</v>
      </c>
      <c r="AO3" s="1270" t="e">
        <f t="array" aca="1" ref="AO3:AR23" ca="1">[1]!ImputeFCS('MI 8'!B3:E23,TRUE,20)</f>
        <v>#NAME?</v>
      </c>
      <c r="AP3" s="1270" t="e">
        <f ca="1"/>
        <v>#NAME?</v>
      </c>
      <c r="AQ3" s="1270" t="e">
        <f ca="1"/>
        <v>#NAME?</v>
      </c>
      <c r="AR3" s="1270" t="e">
        <f ca="1"/>
        <v>#NAME?</v>
      </c>
      <c r="AT3" s="1270" t="e">
        <f t="array" aca="1" ref="AT3:AW23" ca="1">[1]!ImputeFCS('MI 8'!B3:E23,TRUE,20)</f>
        <v>#NAME?</v>
      </c>
      <c r="AU3" s="1270" t="e">
        <f ca="1"/>
        <v>#NAME?</v>
      </c>
      <c r="AV3" s="1270" t="e">
        <f ca="1"/>
        <v>#NAME?</v>
      </c>
      <c r="AW3" s="1270" t="e">
        <f ca="1"/>
        <v>#NAME?</v>
      </c>
    </row>
    <row r="4" spans="1:49">
      <c r="A4" s="1232" t="e">
        <f ca="1"/>
        <v>#NAME?</v>
      </c>
      <c r="B4" s="1114" t="e">
        <f ca="1"/>
        <v>#NAME?</v>
      </c>
      <c r="C4" s="1114" t="e">
        <f ca="1"/>
        <v>#NAME?</v>
      </c>
      <c r="D4" s="1233" t="e">
        <f ca="1"/>
        <v>#NAME?</v>
      </c>
      <c r="F4" s="1232" t="e">
        <f ca="1"/>
        <v>#NAME?</v>
      </c>
      <c r="G4" s="1114" t="e">
        <f ca="1"/>
        <v>#NAME?</v>
      </c>
      <c r="H4" s="1114" t="e">
        <f ca="1"/>
        <v>#NAME?</v>
      </c>
      <c r="I4" s="1233" t="e">
        <f ca="1"/>
        <v>#NAME?</v>
      </c>
      <c r="K4" s="1232" t="e">
        <f ca="1"/>
        <v>#NAME?</v>
      </c>
      <c r="L4" s="1114" t="e">
        <f ca="1"/>
        <v>#NAME?</v>
      </c>
      <c r="M4" s="1114" t="e">
        <f ca="1"/>
        <v>#NAME?</v>
      </c>
      <c r="N4" s="1233" t="e">
        <f ca="1"/>
        <v>#NAME?</v>
      </c>
      <c r="P4" s="1232" t="e">
        <f ca="1"/>
        <v>#NAME?</v>
      </c>
      <c r="Q4" s="1114" t="e">
        <f ca="1"/>
        <v>#NAME?</v>
      </c>
      <c r="R4" s="1114" t="e">
        <f ca="1"/>
        <v>#NAME?</v>
      </c>
      <c r="S4" s="1233" t="e">
        <f ca="1"/>
        <v>#NAME?</v>
      </c>
      <c r="U4" s="1232" t="e">
        <f ca="1"/>
        <v>#NAME?</v>
      </c>
      <c r="V4" s="1114" t="e">
        <f ca="1"/>
        <v>#NAME?</v>
      </c>
      <c r="W4" s="1114" t="e">
        <f ca="1"/>
        <v>#NAME?</v>
      </c>
      <c r="X4" s="1233" t="e">
        <f ca="1"/>
        <v>#NAME?</v>
      </c>
      <c r="Z4" s="1232" t="e">
        <f ca="1"/>
        <v>#NAME?</v>
      </c>
      <c r="AA4" s="1114" t="e">
        <f ca="1"/>
        <v>#NAME?</v>
      </c>
      <c r="AB4" s="1114" t="e">
        <f ca="1"/>
        <v>#NAME?</v>
      </c>
      <c r="AC4" s="1233" t="e">
        <f ca="1"/>
        <v>#NAME?</v>
      </c>
      <c r="AE4" s="1232" t="e">
        <f ca="1"/>
        <v>#NAME?</v>
      </c>
      <c r="AF4" s="1114" t="e">
        <f ca="1"/>
        <v>#NAME?</v>
      </c>
      <c r="AG4" s="1114" t="e">
        <f ca="1"/>
        <v>#NAME?</v>
      </c>
      <c r="AH4" s="1233" t="e">
        <f ca="1"/>
        <v>#NAME?</v>
      </c>
      <c r="AJ4" s="1232" t="e">
        <f ca="1"/>
        <v>#NAME?</v>
      </c>
      <c r="AK4" s="1114" t="e">
        <f ca="1"/>
        <v>#NAME?</v>
      </c>
      <c r="AL4" s="1114" t="e">
        <f ca="1"/>
        <v>#NAME?</v>
      </c>
      <c r="AM4" s="1233" t="e">
        <f ca="1"/>
        <v>#NAME?</v>
      </c>
      <c r="AO4" s="1232" t="e">
        <f ca="1"/>
        <v>#NAME?</v>
      </c>
      <c r="AP4" s="1114" t="e">
        <f ca="1"/>
        <v>#NAME?</v>
      </c>
      <c r="AQ4" s="1114" t="e">
        <f ca="1"/>
        <v>#NAME?</v>
      </c>
      <c r="AR4" s="1233" t="e">
        <f ca="1"/>
        <v>#NAME?</v>
      </c>
      <c r="AT4" s="1232" t="e">
        <f ca="1"/>
        <v>#NAME?</v>
      </c>
      <c r="AU4" s="1114" t="e">
        <f ca="1"/>
        <v>#NAME?</v>
      </c>
      <c r="AV4" s="1114" t="e">
        <f ca="1"/>
        <v>#NAME?</v>
      </c>
      <c r="AW4" s="1233" t="e">
        <f ca="1"/>
        <v>#NAME?</v>
      </c>
    </row>
    <row r="5" spans="1:49">
      <c r="A5" s="625" t="e">
        <f ca="1"/>
        <v>#NAME?</v>
      </c>
      <c r="B5" s="8" t="e">
        <f ca="1"/>
        <v>#NAME?</v>
      </c>
      <c r="C5" s="8" t="e">
        <f ca="1"/>
        <v>#NAME?</v>
      </c>
      <c r="D5" s="132" t="e">
        <f ca="1"/>
        <v>#NAME?</v>
      </c>
      <c r="F5" s="625" t="e">
        <f ca="1"/>
        <v>#NAME?</v>
      </c>
      <c r="G5" s="8" t="e">
        <f ca="1"/>
        <v>#NAME?</v>
      </c>
      <c r="H5" s="8" t="e">
        <f ca="1"/>
        <v>#NAME?</v>
      </c>
      <c r="I5" s="132" t="e">
        <f ca="1"/>
        <v>#NAME?</v>
      </c>
      <c r="K5" s="625" t="e">
        <f ca="1"/>
        <v>#NAME?</v>
      </c>
      <c r="L5" s="8" t="e">
        <f ca="1"/>
        <v>#NAME?</v>
      </c>
      <c r="M5" s="8" t="e">
        <f ca="1"/>
        <v>#NAME?</v>
      </c>
      <c r="N5" s="132" t="e">
        <f ca="1"/>
        <v>#NAME?</v>
      </c>
      <c r="P5" s="625" t="e">
        <f ca="1"/>
        <v>#NAME?</v>
      </c>
      <c r="Q5" s="8" t="e">
        <f ca="1"/>
        <v>#NAME?</v>
      </c>
      <c r="R5" s="8" t="e">
        <f ca="1"/>
        <v>#NAME?</v>
      </c>
      <c r="S5" s="132" t="e">
        <f ca="1"/>
        <v>#NAME?</v>
      </c>
      <c r="U5" s="625" t="e">
        <f ca="1"/>
        <v>#NAME?</v>
      </c>
      <c r="V5" s="8" t="e">
        <f ca="1"/>
        <v>#NAME?</v>
      </c>
      <c r="W5" s="8" t="e">
        <f ca="1"/>
        <v>#NAME?</v>
      </c>
      <c r="X5" s="132" t="e">
        <f ca="1"/>
        <v>#NAME?</v>
      </c>
      <c r="Z5" s="625" t="e">
        <f ca="1"/>
        <v>#NAME?</v>
      </c>
      <c r="AA5" s="8" t="e">
        <f ca="1"/>
        <v>#NAME?</v>
      </c>
      <c r="AB5" s="8" t="e">
        <f ca="1"/>
        <v>#NAME?</v>
      </c>
      <c r="AC5" s="132" t="e">
        <f ca="1"/>
        <v>#NAME?</v>
      </c>
      <c r="AE5" s="625" t="e">
        <f ca="1"/>
        <v>#NAME?</v>
      </c>
      <c r="AF5" s="8" t="e">
        <f ca="1"/>
        <v>#NAME?</v>
      </c>
      <c r="AG5" s="8" t="e">
        <f ca="1"/>
        <v>#NAME?</v>
      </c>
      <c r="AH5" s="132" t="e">
        <f ca="1"/>
        <v>#NAME?</v>
      </c>
      <c r="AJ5" s="625" t="e">
        <f ca="1"/>
        <v>#NAME?</v>
      </c>
      <c r="AK5" s="8" t="e">
        <f ca="1"/>
        <v>#NAME?</v>
      </c>
      <c r="AL5" s="8" t="e">
        <f ca="1"/>
        <v>#NAME?</v>
      </c>
      <c r="AM5" s="132" t="e">
        <f ca="1"/>
        <v>#NAME?</v>
      </c>
      <c r="AO5" s="625" t="e">
        <f ca="1"/>
        <v>#NAME?</v>
      </c>
      <c r="AP5" s="8" t="e">
        <f ca="1"/>
        <v>#NAME?</v>
      </c>
      <c r="AQ5" s="8" t="e">
        <f ca="1"/>
        <v>#NAME?</v>
      </c>
      <c r="AR5" s="132" t="e">
        <f ca="1"/>
        <v>#NAME?</v>
      </c>
      <c r="AT5" s="625" t="e">
        <f ca="1"/>
        <v>#NAME?</v>
      </c>
      <c r="AU5" s="8" t="e">
        <f ca="1"/>
        <v>#NAME?</v>
      </c>
      <c r="AV5" s="8" t="e">
        <f ca="1"/>
        <v>#NAME?</v>
      </c>
      <c r="AW5" s="132" t="e">
        <f ca="1"/>
        <v>#NAME?</v>
      </c>
    </row>
    <row r="6" spans="1:49">
      <c r="A6" s="625" t="e">
        <f ca="1"/>
        <v>#NAME?</v>
      </c>
      <c r="B6" s="8" t="e">
        <f ca="1"/>
        <v>#NAME?</v>
      </c>
      <c r="C6" s="8" t="e">
        <f ca="1"/>
        <v>#NAME?</v>
      </c>
      <c r="D6" s="132" t="e">
        <f ca="1"/>
        <v>#NAME?</v>
      </c>
      <c r="F6" s="625" t="e">
        <f ca="1"/>
        <v>#NAME?</v>
      </c>
      <c r="G6" s="8" t="e">
        <f ca="1"/>
        <v>#NAME?</v>
      </c>
      <c r="H6" s="8" t="e">
        <f ca="1"/>
        <v>#NAME?</v>
      </c>
      <c r="I6" s="132" t="e">
        <f ca="1"/>
        <v>#NAME?</v>
      </c>
      <c r="K6" s="625" t="e">
        <f ca="1"/>
        <v>#NAME?</v>
      </c>
      <c r="L6" s="8" t="e">
        <f ca="1"/>
        <v>#NAME?</v>
      </c>
      <c r="M6" s="8" t="e">
        <f ca="1"/>
        <v>#NAME?</v>
      </c>
      <c r="N6" s="132" t="e">
        <f ca="1"/>
        <v>#NAME?</v>
      </c>
      <c r="P6" s="625" t="e">
        <f ca="1"/>
        <v>#NAME?</v>
      </c>
      <c r="Q6" s="8" t="e">
        <f ca="1"/>
        <v>#NAME?</v>
      </c>
      <c r="R6" s="8" t="e">
        <f ca="1"/>
        <v>#NAME?</v>
      </c>
      <c r="S6" s="132" t="e">
        <f ca="1"/>
        <v>#NAME?</v>
      </c>
      <c r="U6" s="625" t="e">
        <f ca="1"/>
        <v>#NAME?</v>
      </c>
      <c r="V6" s="8" t="e">
        <f ca="1"/>
        <v>#NAME?</v>
      </c>
      <c r="W6" s="8" t="e">
        <f ca="1"/>
        <v>#NAME?</v>
      </c>
      <c r="X6" s="132" t="e">
        <f ca="1"/>
        <v>#NAME?</v>
      </c>
      <c r="Z6" s="625" t="e">
        <f ca="1"/>
        <v>#NAME?</v>
      </c>
      <c r="AA6" s="8" t="e">
        <f ca="1"/>
        <v>#NAME?</v>
      </c>
      <c r="AB6" s="8" t="e">
        <f ca="1"/>
        <v>#NAME?</v>
      </c>
      <c r="AC6" s="132" t="e">
        <f ca="1"/>
        <v>#NAME?</v>
      </c>
      <c r="AE6" s="625" t="e">
        <f ca="1"/>
        <v>#NAME?</v>
      </c>
      <c r="AF6" s="8" t="e">
        <f ca="1"/>
        <v>#NAME?</v>
      </c>
      <c r="AG6" s="8" t="e">
        <f ca="1"/>
        <v>#NAME?</v>
      </c>
      <c r="AH6" s="132" t="e">
        <f ca="1"/>
        <v>#NAME?</v>
      </c>
      <c r="AJ6" s="625" t="e">
        <f ca="1"/>
        <v>#NAME?</v>
      </c>
      <c r="AK6" s="8" t="e">
        <f ca="1"/>
        <v>#NAME?</v>
      </c>
      <c r="AL6" s="8" t="e">
        <f ca="1"/>
        <v>#NAME?</v>
      </c>
      <c r="AM6" s="132" t="e">
        <f ca="1"/>
        <v>#NAME?</v>
      </c>
      <c r="AO6" s="625" t="e">
        <f ca="1"/>
        <v>#NAME?</v>
      </c>
      <c r="AP6" s="8" t="e">
        <f ca="1"/>
        <v>#NAME?</v>
      </c>
      <c r="AQ6" s="8" t="e">
        <f ca="1"/>
        <v>#NAME?</v>
      </c>
      <c r="AR6" s="132" t="e">
        <f ca="1"/>
        <v>#NAME?</v>
      </c>
      <c r="AT6" s="625" t="e">
        <f ca="1"/>
        <v>#NAME?</v>
      </c>
      <c r="AU6" s="8" t="e">
        <f ca="1"/>
        <v>#NAME?</v>
      </c>
      <c r="AV6" s="8" t="e">
        <f ca="1"/>
        <v>#NAME?</v>
      </c>
      <c r="AW6" s="132" t="e">
        <f ca="1"/>
        <v>#NAME?</v>
      </c>
    </row>
    <row r="7" spans="1:49">
      <c r="A7" s="625" t="e">
        <f ca="1"/>
        <v>#NAME?</v>
      </c>
      <c r="B7" s="8" t="e">
        <f ca="1"/>
        <v>#NAME?</v>
      </c>
      <c r="C7" s="8" t="e">
        <f ca="1"/>
        <v>#NAME?</v>
      </c>
      <c r="D7" s="132" t="e">
        <f ca="1"/>
        <v>#NAME?</v>
      </c>
      <c r="F7" s="625" t="e">
        <f ca="1"/>
        <v>#NAME?</v>
      </c>
      <c r="G7" s="8" t="e">
        <f ca="1"/>
        <v>#NAME?</v>
      </c>
      <c r="H7" s="8" t="e">
        <f ca="1"/>
        <v>#NAME?</v>
      </c>
      <c r="I7" s="132" t="e">
        <f ca="1"/>
        <v>#NAME?</v>
      </c>
      <c r="K7" s="625" t="e">
        <f ca="1"/>
        <v>#NAME?</v>
      </c>
      <c r="L7" s="8" t="e">
        <f ca="1"/>
        <v>#NAME?</v>
      </c>
      <c r="M7" s="8" t="e">
        <f ca="1"/>
        <v>#NAME?</v>
      </c>
      <c r="N7" s="132" t="e">
        <f ca="1"/>
        <v>#NAME?</v>
      </c>
      <c r="P7" s="625" t="e">
        <f ca="1"/>
        <v>#NAME?</v>
      </c>
      <c r="Q7" s="8" t="e">
        <f ca="1"/>
        <v>#NAME?</v>
      </c>
      <c r="R7" s="8" t="e">
        <f ca="1"/>
        <v>#NAME?</v>
      </c>
      <c r="S7" s="132" t="e">
        <f ca="1"/>
        <v>#NAME?</v>
      </c>
      <c r="U7" s="625" t="e">
        <f ca="1"/>
        <v>#NAME?</v>
      </c>
      <c r="V7" s="8" t="e">
        <f ca="1"/>
        <v>#NAME?</v>
      </c>
      <c r="W7" s="8" t="e">
        <f ca="1"/>
        <v>#NAME?</v>
      </c>
      <c r="X7" s="132" t="e">
        <f ca="1"/>
        <v>#NAME?</v>
      </c>
      <c r="Z7" s="625" t="e">
        <f ca="1"/>
        <v>#NAME?</v>
      </c>
      <c r="AA7" s="8" t="e">
        <f ca="1"/>
        <v>#NAME?</v>
      </c>
      <c r="AB7" s="8" t="e">
        <f ca="1"/>
        <v>#NAME?</v>
      </c>
      <c r="AC7" s="132" t="e">
        <f ca="1"/>
        <v>#NAME?</v>
      </c>
      <c r="AE7" s="625" t="e">
        <f ca="1"/>
        <v>#NAME?</v>
      </c>
      <c r="AF7" s="8" t="e">
        <f ca="1"/>
        <v>#NAME?</v>
      </c>
      <c r="AG7" s="8" t="e">
        <f ca="1"/>
        <v>#NAME?</v>
      </c>
      <c r="AH7" s="132" t="e">
        <f ca="1"/>
        <v>#NAME?</v>
      </c>
      <c r="AJ7" s="625" t="e">
        <f ca="1"/>
        <v>#NAME?</v>
      </c>
      <c r="AK7" s="8" t="e">
        <f ca="1"/>
        <v>#NAME?</v>
      </c>
      <c r="AL7" s="8" t="e">
        <f ca="1"/>
        <v>#NAME?</v>
      </c>
      <c r="AM7" s="132" t="e">
        <f ca="1"/>
        <v>#NAME?</v>
      </c>
      <c r="AO7" s="625" t="e">
        <f ca="1"/>
        <v>#NAME?</v>
      </c>
      <c r="AP7" s="8" t="e">
        <f ca="1"/>
        <v>#NAME?</v>
      </c>
      <c r="AQ7" s="8" t="e">
        <f ca="1"/>
        <v>#NAME?</v>
      </c>
      <c r="AR7" s="132" t="e">
        <f ca="1"/>
        <v>#NAME?</v>
      </c>
      <c r="AT7" s="625" t="e">
        <f ca="1"/>
        <v>#NAME?</v>
      </c>
      <c r="AU7" s="8" t="e">
        <f ca="1"/>
        <v>#NAME?</v>
      </c>
      <c r="AV7" s="8" t="e">
        <f ca="1"/>
        <v>#NAME?</v>
      </c>
      <c r="AW7" s="132" t="e">
        <f ca="1"/>
        <v>#NAME?</v>
      </c>
    </row>
    <row r="8" spans="1:49">
      <c r="A8" s="625" t="e">
        <f ca="1"/>
        <v>#NAME?</v>
      </c>
      <c r="B8" s="8" t="e">
        <f ca="1"/>
        <v>#NAME?</v>
      </c>
      <c r="C8" s="8" t="e">
        <f ca="1"/>
        <v>#NAME?</v>
      </c>
      <c r="D8" s="132" t="e">
        <f ca="1"/>
        <v>#NAME?</v>
      </c>
      <c r="F8" s="625" t="e">
        <f ca="1"/>
        <v>#NAME?</v>
      </c>
      <c r="G8" s="8" t="e">
        <f ca="1"/>
        <v>#NAME?</v>
      </c>
      <c r="H8" s="8" t="e">
        <f ca="1"/>
        <v>#NAME?</v>
      </c>
      <c r="I8" s="132" t="e">
        <f ca="1"/>
        <v>#NAME?</v>
      </c>
      <c r="K8" s="625" t="e">
        <f ca="1"/>
        <v>#NAME?</v>
      </c>
      <c r="L8" s="8" t="e">
        <f ca="1"/>
        <v>#NAME?</v>
      </c>
      <c r="M8" s="8" t="e">
        <f ca="1"/>
        <v>#NAME?</v>
      </c>
      <c r="N8" s="132" t="e">
        <f ca="1"/>
        <v>#NAME?</v>
      </c>
      <c r="P8" s="625" t="e">
        <f ca="1"/>
        <v>#NAME?</v>
      </c>
      <c r="Q8" s="8" t="e">
        <f ca="1"/>
        <v>#NAME?</v>
      </c>
      <c r="R8" s="8" t="e">
        <f ca="1"/>
        <v>#NAME?</v>
      </c>
      <c r="S8" s="132" t="e">
        <f ca="1"/>
        <v>#NAME?</v>
      </c>
      <c r="U8" s="625" t="e">
        <f ca="1"/>
        <v>#NAME?</v>
      </c>
      <c r="V8" s="8" t="e">
        <f ca="1"/>
        <v>#NAME?</v>
      </c>
      <c r="W8" s="8" t="e">
        <f ca="1"/>
        <v>#NAME?</v>
      </c>
      <c r="X8" s="132" t="e">
        <f ca="1"/>
        <v>#NAME?</v>
      </c>
      <c r="Z8" s="625" t="e">
        <f ca="1"/>
        <v>#NAME?</v>
      </c>
      <c r="AA8" s="8" t="e">
        <f ca="1"/>
        <v>#NAME?</v>
      </c>
      <c r="AB8" s="8" t="e">
        <f ca="1"/>
        <v>#NAME?</v>
      </c>
      <c r="AC8" s="132" t="e">
        <f ca="1"/>
        <v>#NAME?</v>
      </c>
      <c r="AE8" s="625" t="e">
        <f ca="1"/>
        <v>#NAME?</v>
      </c>
      <c r="AF8" s="8" t="e">
        <f ca="1"/>
        <v>#NAME?</v>
      </c>
      <c r="AG8" s="8" t="e">
        <f ca="1"/>
        <v>#NAME?</v>
      </c>
      <c r="AH8" s="132" t="e">
        <f ca="1"/>
        <v>#NAME?</v>
      </c>
      <c r="AJ8" s="625" t="e">
        <f ca="1"/>
        <v>#NAME?</v>
      </c>
      <c r="AK8" s="8" t="e">
        <f ca="1"/>
        <v>#NAME?</v>
      </c>
      <c r="AL8" s="8" t="e">
        <f ca="1"/>
        <v>#NAME?</v>
      </c>
      <c r="AM8" s="132" t="e">
        <f ca="1"/>
        <v>#NAME?</v>
      </c>
      <c r="AO8" s="625" t="e">
        <f ca="1"/>
        <v>#NAME?</v>
      </c>
      <c r="AP8" s="8" t="e">
        <f ca="1"/>
        <v>#NAME?</v>
      </c>
      <c r="AQ8" s="8" t="e">
        <f ca="1"/>
        <v>#NAME?</v>
      </c>
      <c r="AR8" s="132" t="e">
        <f ca="1"/>
        <v>#NAME?</v>
      </c>
      <c r="AT8" s="625" t="e">
        <f ca="1"/>
        <v>#NAME?</v>
      </c>
      <c r="AU8" s="8" t="e">
        <f ca="1"/>
        <v>#NAME?</v>
      </c>
      <c r="AV8" s="8" t="e">
        <f ca="1"/>
        <v>#NAME?</v>
      </c>
      <c r="AW8" s="132" t="e">
        <f ca="1"/>
        <v>#NAME?</v>
      </c>
    </row>
    <row r="9" spans="1:49">
      <c r="A9" s="625" t="e">
        <f ca="1"/>
        <v>#NAME?</v>
      </c>
      <c r="B9" s="8" t="e">
        <f ca="1"/>
        <v>#NAME?</v>
      </c>
      <c r="C9" s="8" t="e">
        <f ca="1"/>
        <v>#NAME?</v>
      </c>
      <c r="D9" s="132" t="e">
        <f ca="1"/>
        <v>#NAME?</v>
      </c>
      <c r="F9" s="625" t="e">
        <f ca="1"/>
        <v>#NAME?</v>
      </c>
      <c r="G9" s="8" t="e">
        <f ca="1"/>
        <v>#NAME?</v>
      </c>
      <c r="H9" s="8" t="e">
        <f ca="1"/>
        <v>#NAME?</v>
      </c>
      <c r="I9" s="132" t="e">
        <f ca="1"/>
        <v>#NAME?</v>
      </c>
      <c r="K9" s="625" t="e">
        <f ca="1"/>
        <v>#NAME?</v>
      </c>
      <c r="L9" s="8" t="e">
        <f ca="1"/>
        <v>#NAME?</v>
      </c>
      <c r="M9" s="8" t="e">
        <f ca="1"/>
        <v>#NAME?</v>
      </c>
      <c r="N9" s="132" t="e">
        <f ca="1"/>
        <v>#NAME?</v>
      </c>
      <c r="P9" s="625" t="e">
        <f ca="1"/>
        <v>#NAME?</v>
      </c>
      <c r="Q9" s="8" t="e">
        <f ca="1"/>
        <v>#NAME?</v>
      </c>
      <c r="R9" s="8" t="e">
        <f ca="1"/>
        <v>#NAME?</v>
      </c>
      <c r="S9" s="132" t="e">
        <f ca="1"/>
        <v>#NAME?</v>
      </c>
      <c r="U9" s="625" t="e">
        <f ca="1"/>
        <v>#NAME?</v>
      </c>
      <c r="V9" s="8" t="e">
        <f ca="1"/>
        <v>#NAME?</v>
      </c>
      <c r="W9" s="8" t="e">
        <f ca="1"/>
        <v>#NAME?</v>
      </c>
      <c r="X9" s="132" t="e">
        <f ca="1"/>
        <v>#NAME?</v>
      </c>
      <c r="Z9" s="625" t="e">
        <f ca="1"/>
        <v>#NAME?</v>
      </c>
      <c r="AA9" s="8" t="e">
        <f ca="1"/>
        <v>#NAME?</v>
      </c>
      <c r="AB9" s="8" t="e">
        <f ca="1"/>
        <v>#NAME?</v>
      </c>
      <c r="AC9" s="132" t="e">
        <f ca="1"/>
        <v>#NAME?</v>
      </c>
      <c r="AE9" s="625" t="e">
        <f ca="1"/>
        <v>#NAME?</v>
      </c>
      <c r="AF9" s="8" t="e">
        <f ca="1"/>
        <v>#NAME?</v>
      </c>
      <c r="AG9" s="8" t="e">
        <f ca="1"/>
        <v>#NAME?</v>
      </c>
      <c r="AH9" s="132" t="e">
        <f ca="1"/>
        <v>#NAME?</v>
      </c>
      <c r="AJ9" s="625" t="e">
        <f ca="1"/>
        <v>#NAME?</v>
      </c>
      <c r="AK9" s="8" t="e">
        <f ca="1"/>
        <v>#NAME?</v>
      </c>
      <c r="AL9" s="8" t="e">
        <f ca="1"/>
        <v>#NAME?</v>
      </c>
      <c r="AM9" s="132" t="e">
        <f ca="1"/>
        <v>#NAME?</v>
      </c>
      <c r="AO9" s="625" t="e">
        <f ca="1"/>
        <v>#NAME?</v>
      </c>
      <c r="AP9" s="8" t="e">
        <f ca="1"/>
        <v>#NAME?</v>
      </c>
      <c r="AQ9" s="8" t="e">
        <f ca="1"/>
        <v>#NAME?</v>
      </c>
      <c r="AR9" s="132" t="e">
        <f ca="1"/>
        <v>#NAME?</v>
      </c>
      <c r="AT9" s="625" t="e">
        <f ca="1"/>
        <v>#NAME?</v>
      </c>
      <c r="AU9" s="8" t="e">
        <f ca="1"/>
        <v>#NAME?</v>
      </c>
      <c r="AV9" s="8" t="e">
        <f ca="1"/>
        <v>#NAME?</v>
      </c>
      <c r="AW9" s="132" t="e">
        <f ca="1"/>
        <v>#NAME?</v>
      </c>
    </row>
    <row r="10" spans="1:49">
      <c r="A10" s="625" t="e">
        <f ca="1"/>
        <v>#NAME?</v>
      </c>
      <c r="B10" s="8" t="e">
        <f ca="1"/>
        <v>#NAME?</v>
      </c>
      <c r="C10" s="8" t="e">
        <f ca="1"/>
        <v>#NAME?</v>
      </c>
      <c r="D10" s="132" t="e">
        <f ca="1"/>
        <v>#NAME?</v>
      </c>
      <c r="F10" s="625" t="e">
        <f ca="1"/>
        <v>#NAME?</v>
      </c>
      <c r="G10" s="8" t="e">
        <f ca="1"/>
        <v>#NAME?</v>
      </c>
      <c r="H10" s="8" t="e">
        <f ca="1"/>
        <v>#NAME?</v>
      </c>
      <c r="I10" s="132" t="e">
        <f ca="1"/>
        <v>#NAME?</v>
      </c>
      <c r="K10" s="625" t="e">
        <f ca="1"/>
        <v>#NAME?</v>
      </c>
      <c r="L10" s="8" t="e">
        <f ca="1"/>
        <v>#NAME?</v>
      </c>
      <c r="M10" s="8" t="e">
        <f ca="1"/>
        <v>#NAME?</v>
      </c>
      <c r="N10" s="132" t="e">
        <f ca="1"/>
        <v>#NAME?</v>
      </c>
      <c r="P10" s="625" t="e">
        <f ca="1"/>
        <v>#NAME?</v>
      </c>
      <c r="Q10" s="8" t="e">
        <f ca="1"/>
        <v>#NAME?</v>
      </c>
      <c r="R10" s="8" t="e">
        <f ca="1"/>
        <v>#NAME?</v>
      </c>
      <c r="S10" s="132" t="e">
        <f ca="1"/>
        <v>#NAME?</v>
      </c>
      <c r="U10" s="625" t="e">
        <f ca="1"/>
        <v>#NAME?</v>
      </c>
      <c r="V10" s="8" t="e">
        <f ca="1"/>
        <v>#NAME?</v>
      </c>
      <c r="W10" s="8" t="e">
        <f ca="1"/>
        <v>#NAME?</v>
      </c>
      <c r="X10" s="132" t="e">
        <f ca="1"/>
        <v>#NAME?</v>
      </c>
      <c r="Z10" s="625" t="e">
        <f ca="1"/>
        <v>#NAME?</v>
      </c>
      <c r="AA10" s="8" t="e">
        <f ca="1"/>
        <v>#NAME?</v>
      </c>
      <c r="AB10" s="8" t="e">
        <f ca="1"/>
        <v>#NAME?</v>
      </c>
      <c r="AC10" s="132" t="e">
        <f ca="1"/>
        <v>#NAME?</v>
      </c>
      <c r="AE10" s="625" t="e">
        <f ca="1"/>
        <v>#NAME?</v>
      </c>
      <c r="AF10" s="8" t="e">
        <f ca="1"/>
        <v>#NAME?</v>
      </c>
      <c r="AG10" s="8" t="e">
        <f ca="1"/>
        <v>#NAME?</v>
      </c>
      <c r="AH10" s="132" t="e">
        <f ca="1"/>
        <v>#NAME?</v>
      </c>
      <c r="AJ10" s="625" t="e">
        <f ca="1"/>
        <v>#NAME?</v>
      </c>
      <c r="AK10" s="8" t="e">
        <f ca="1"/>
        <v>#NAME?</v>
      </c>
      <c r="AL10" s="8" t="e">
        <f ca="1"/>
        <v>#NAME?</v>
      </c>
      <c r="AM10" s="132" t="e">
        <f ca="1"/>
        <v>#NAME?</v>
      </c>
      <c r="AO10" s="625" t="e">
        <f ca="1"/>
        <v>#NAME?</v>
      </c>
      <c r="AP10" s="8" t="e">
        <f ca="1"/>
        <v>#NAME?</v>
      </c>
      <c r="AQ10" s="8" t="e">
        <f ca="1"/>
        <v>#NAME?</v>
      </c>
      <c r="AR10" s="132" t="e">
        <f ca="1"/>
        <v>#NAME?</v>
      </c>
      <c r="AT10" s="625" t="e">
        <f ca="1"/>
        <v>#NAME?</v>
      </c>
      <c r="AU10" s="8" t="e">
        <f ca="1"/>
        <v>#NAME?</v>
      </c>
      <c r="AV10" s="8" t="e">
        <f ca="1"/>
        <v>#NAME?</v>
      </c>
      <c r="AW10" s="132" t="e">
        <f ca="1"/>
        <v>#NAME?</v>
      </c>
    </row>
    <row r="11" spans="1:49">
      <c r="A11" s="625" t="e">
        <f ca="1"/>
        <v>#NAME?</v>
      </c>
      <c r="B11" s="8" t="e">
        <f ca="1"/>
        <v>#NAME?</v>
      </c>
      <c r="C11" s="8" t="e">
        <f ca="1"/>
        <v>#NAME?</v>
      </c>
      <c r="D11" s="132" t="e">
        <f ca="1"/>
        <v>#NAME?</v>
      </c>
      <c r="F11" s="625" t="e">
        <f ca="1"/>
        <v>#NAME?</v>
      </c>
      <c r="G11" s="8" t="e">
        <f ca="1"/>
        <v>#NAME?</v>
      </c>
      <c r="H11" s="8" t="e">
        <f ca="1"/>
        <v>#NAME?</v>
      </c>
      <c r="I11" s="132" t="e">
        <f ca="1"/>
        <v>#NAME?</v>
      </c>
      <c r="K11" s="625" t="e">
        <f ca="1"/>
        <v>#NAME?</v>
      </c>
      <c r="L11" s="8" t="e">
        <f ca="1"/>
        <v>#NAME?</v>
      </c>
      <c r="M11" s="8" t="e">
        <f ca="1"/>
        <v>#NAME?</v>
      </c>
      <c r="N11" s="132" t="e">
        <f ca="1"/>
        <v>#NAME?</v>
      </c>
      <c r="P11" s="625" t="e">
        <f ca="1"/>
        <v>#NAME?</v>
      </c>
      <c r="Q11" s="8" t="e">
        <f ca="1"/>
        <v>#NAME?</v>
      </c>
      <c r="R11" s="8" t="e">
        <f ca="1"/>
        <v>#NAME?</v>
      </c>
      <c r="S11" s="132" t="e">
        <f ca="1"/>
        <v>#NAME?</v>
      </c>
      <c r="U11" s="625" t="e">
        <f ca="1"/>
        <v>#NAME?</v>
      </c>
      <c r="V11" s="8" t="e">
        <f ca="1"/>
        <v>#NAME?</v>
      </c>
      <c r="W11" s="8" t="e">
        <f ca="1"/>
        <v>#NAME?</v>
      </c>
      <c r="X11" s="132" t="e">
        <f ca="1"/>
        <v>#NAME?</v>
      </c>
      <c r="Z11" s="625" t="e">
        <f ca="1"/>
        <v>#NAME?</v>
      </c>
      <c r="AA11" s="8" t="e">
        <f ca="1"/>
        <v>#NAME?</v>
      </c>
      <c r="AB11" s="8" t="e">
        <f ca="1"/>
        <v>#NAME?</v>
      </c>
      <c r="AC11" s="132" t="e">
        <f ca="1"/>
        <v>#NAME?</v>
      </c>
      <c r="AE11" s="625" t="e">
        <f ca="1"/>
        <v>#NAME?</v>
      </c>
      <c r="AF11" s="8" t="e">
        <f ca="1"/>
        <v>#NAME?</v>
      </c>
      <c r="AG11" s="8" t="e">
        <f ca="1"/>
        <v>#NAME?</v>
      </c>
      <c r="AH11" s="132" t="e">
        <f ca="1"/>
        <v>#NAME?</v>
      </c>
      <c r="AJ11" s="625" t="e">
        <f ca="1"/>
        <v>#NAME?</v>
      </c>
      <c r="AK11" s="8" t="e">
        <f ca="1"/>
        <v>#NAME?</v>
      </c>
      <c r="AL11" s="8" t="e">
        <f ca="1"/>
        <v>#NAME?</v>
      </c>
      <c r="AM11" s="132" t="e">
        <f ca="1"/>
        <v>#NAME?</v>
      </c>
      <c r="AO11" s="625" t="e">
        <f ca="1"/>
        <v>#NAME?</v>
      </c>
      <c r="AP11" s="8" t="e">
        <f ca="1"/>
        <v>#NAME?</v>
      </c>
      <c r="AQ11" s="8" t="e">
        <f ca="1"/>
        <v>#NAME?</v>
      </c>
      <c r="AR11" s="132" t="e">
        <f ca="1"/>
        <v>#NAME?</v>
      </c>
      <c r="AT11" s="625" t="e">
        <f ca="1"/>
        <v>#NAME?</v>
      </c>
      <c r="AU11" s="8" t="e">
        <f ca="1"/>
        <v>#NAME?</v>
      </c>
      <c r="AV11" s="8" t="e">
        <f ca="1"/>
        <v>#NAME?</v>
      </c>
      <c r="AW11" s="132" t="e">
        <f ca="1"/>
        <v>#NAME?</v>
      </c>
    </row>
    <row r="12" spans="1:49">
      <c r="A12" s="625" t="e">
        <f ca="1"/>
        <v>#NAME?</v>
      </c>
      <c r="B12" s="8" t="e">
        <f ca="1"/>
        <v>#NAME?</v>
      </c>
      <c r="C12" s="8" t="e">
        <f ca="1"/>
        <v>#NAME?</v>
      </c>
      <c r="D12" s="132" t="e">
        <f ca="1"/>
        <v>#NAME?</v>
      </c>
      <c r="F12" s="625" t="e">
        <f ca="1"/>
        <v>#NAME?</v>
      </c>
      <c r="G12" s="8" t="e">
        <f ca="1"/>
        <v>#NAME?</v>
      </c>
      <c r="H12" s="8" t="e">
        <f ca="1"/>
        <v>#NAME?</v>
      </c>
      <c r="I12" s="132" t="e">
        <f ca="1"/>
        <v>#NAME?</v>
      </c>
      <c r="K12" s="625" t="e">
        <f ca="1"/>
        <v>#NAME?</v>
      </c>
      <c r="L12" s="8" t="e">
        <f ca="1"/>
        <v>#NAME?</v>
      </c>
      <c r="M12" s="8" t="e">
        <f ca="1"/>
        <v>#NAME?</v>
      </c>
      <c r="N12" s="132" t="e">
        <f ca="1"/>
        <v>#NAME?</v>
      </c>
      <c r="P12" s="625" t="e">
        <f ca="1"/>
        <v>#NAME?</v>
      </c>
      <c r="Q12" s="8" t="e">
        <f ca="1"/>
        <v>#NAME?</v>
      </c>
      <c r="R12" s="8" t="e">
        <f ca="1"/>
        <v>#NAME?</v>
      </c>
      <c r="S12" s="132" t="e">
        <f ca="1"/>
        <v>#NAME?</v>
      </c>
      <c r="U12" s="625" t="e">
        <f ca="1"/>
        <v>#NAME?</v>
      </c>
      <c r="V12" s="8" t="e">
        <f ca="1"/>
        <v>#NAME?</v>
      </c>
      <c r="W12" s="8" t="e">
        <f ca="1"/>
        <v>#NAME?</v>
      </c>
      <c r="X12" s="132" t="e">
        <f ca="1"/>
        <v>#NAME?</v>
      </c>
      <c r="Z12" s="625" t="e">
        <f ca="1"/>
        <v>#NAME?</v>
      </c>
      <c r="AA12" s="8" t="e">
        <f ca="1"/>
        <v>#NAME?</v>
      </c>
      <c r="AB12" s="8" t="e">
        <f ca="1"/>
        <v>#NAME?</v>
      </c>
      <c r="AC12" s="132" t="e">
        <f ca="1"/>
        <v>#NAME?</v>
      </c>
      <c r="AE12" s="625" t="e">
        <f ca="1"/>
        <v>#NAME?</v>
      </c>
      <c r="AF12" s="8" t="e">
        <f ca="1"/>
        <v>#NAME?</v>
      </c>
      <c r="AG12" s="8" t="e">
        <f ca="1"/>
        <v>#NAME?</v>
      </c>
      <c r="AH12" s="132" t="e">
        <f ca="1"/>
        <v>#NAME?</v>
      </c>
      <c r="AJ12" s="625" t="e">
        <f ca="1"/>
        <v>#NAME?</v>
      </c>
      <c r="AK12" s="8" t="e">
        <f ca="1"/>
        <v>#NAME?</v>
      </c>
      <c r="AL12" s="8" t="e">
        <f ca="1"/>
        <v>#NAME?</v>
      </c>
      <c r="AM12" s="132" t="e">
        <f ca="1"/>
        <v>#NAME?</v>
      </c>
      <c r="AO12" s="625" t="e">
        <f ca="1"/>
        <v>#NAME?</v>
      </c>
      <c r="AP12" s="8" t="e">
        <f ca="1"/>
        <v>#NAME?</v>
      </c>
      <c r="AQ12" s="8" t="e">
        <f ca="1"/>
        <v>#NAME?</v>
      </c>
      <c r="AR12" s="132" t="e">
        <f ca="1"/>
        <v>#NAME?</v>
      </c>
      <c r="AT12" s="625" t="e">
        <f ca="1"/>
        <v>#NAME?</v>
      </c>
      <c r="AU12" s="8" t="e">
        <f ca="1"/>
        <v>#NAME?</v>
      </c>
      <c r="AV12" s="8" t="e">
        <f ca="1"/>
        <v>#NAME?</v>
      </c>
      <c r="AW12" s="132" t="e">
        <f ca="1"/>
        <v>#NAME?</v>
      </c>
    </row>
    <row r="13" spans="1:49">
      <c r="A13" s="625" t="e">
        <f ca="1"/>
        <v>#NAME?</v>
      </c>
      <c r="B13" s="8" t="e">
        <f ca="1"/>
        <v>#NAME?</v>
      </c>
      <c r="C13" s="8" t="e">
        <f ca="1"/>
        <v>#NAME?</v>
      </c>
      <c r="D13" s="132" t="e">
        <f ca="1"/>
        <v>#NAME?</v>
      </c>
      <c r="F13" s="625" t="e">
        <f ca="1"/>
        <v>#NAME?</v>
      </c>
      <c r="G13" s="8" t="e">
        <f ca="1"/>
        <v>#NAME?</v>
      </c>
      <c r="H13" s="8" t="e">
        <f ca="1"/>
        <v>#NAME?</v>
      </c>
      <c r="I13" s="132" t="e">
        <f ca="1"/>
        <v>#NAME?</v>
      </c>
      <c r="K13" s="625" t="e">
        <f ca="1"/>
        <v>#NAME?</v>
      </c>
      <c r="L13" s="8" t="e">
        <f ca="1"/>
        <v>#NAME?</v>
      </c>
      <c r="M13" s="8" t="e">
        <f ca="1"/>
        <v>#NAME?</v>
      </c>
      <c r="N13" s="132" t="e">
        <f ca="1"/>
        <v>#NAME?</v>
      </c>
      <c r="P13" s="625" t="e">
        <f ca="1"/>
        <v>#NAME?</v>
      </c>
      <c r="Q13" s="8" t="e">
        <f ca="1"/>
        <v>#NAME?</v>
      </c>
      <c r="R13" s="8" t="e">
        <f ca="1"/>
        <v>#NAME?</v>
      </c>
      <c r="S13" s="132" t="e">
        <f ca="1"/>
        <v>#NAME?</v>
      </c>
      <c r="U13" s="625" t="e">
        <f ca="1"/>
        <v>#NAME?</v>
      </c>
      <c r="V13" s="8" t="e">
        <f ca="1"/>
        <v>#NAME?</v>
      </c>
      <c r="W13" s="8" t="e">
        <f ca="1"/>
        <v>#NAME?</v>
      </c>
      <c r="X13" s="132" t="e">
        <f ca="1"/>
        <v>#NAME?</v>
      </c>
      <c r="Z13" s="625" t="e">
        <f ca="1"/>
        <v>#NAME?</v>
      </c>
      <c r="AA13" s="8" t="e">
        <f ca="1"/>
        <v>#NAME?</v>
      </c>
      <c r="AB13" s="8" t="e">
        <f ca="1"/>
        <v>#NAME?</v>
      </c>
      <c r="AC13" s="132" t="e">
        <f ca="1"/>
        <v>#NAME?</v>
      </c>
      <c r="AE13" s="625" t="e">
        <f ca="1"/>
        <v>#NAME?</v>
      </c>
      <c r="AF13" s="8" t="e">
        <f ca="1"/>
        <v>#NAME?</v>
      </c>
      <c r="AG13" s="8" t="e">
        <f ca="1"/>
        <v>#NAME?</v>
      </c>
      <c r="AH13" s="132" t="e">
        <f ca="1"/>
        <v>#NAME?</v>
      </c>
      <c r="AJ13" s="625" t="e">
        <f ca="1"/>
        <v>#NAME?</v>
      </c>
      <c r="AK13" s="8" t="e">
        <f ca="1"/>
        <v>#NAME?</v>
      </c>
      <c r="AL13" s="8" t="e">
        <f ca="1"/>
        <v>#NAME?</v>
      </c>
      <c r="AM13" s="132" t="e">
        <f ca="1"/>
        <v>#NAME?</v>
      </c>
      <c r="AO13" s="625" t="e">
        <f ca="1"/>
        <v>#NAME?</v>
      </c>
      <c r="AP13" s="8" t="e">
        <f ca="1"/>
        <v>#NAME?</v>
      </c>
      <c r="AQ13" s="8" t="e">
        <f ca="1"/>
        <v>#NAME?</v>
      </c>
      <c r="AR13" s="132" t="e">
        <f ca="1"/>
        <v>#NAME?</v>
      </c>
      <c r="AT13" s="625" t="e">
        <f ca="1"/>
        <v>#NAME?</v>
      </c>
      <c r="AU13" s="8" t="e">
        <f ca="1"/>
        <v>#NAME?</v>
      </c>
      <c r="AV13" s="8" t="e">
        <f ca="1"/>
        <v>#NAME?</v>
      </c>
      <c r="AW13" s="132" t="e">
        <f ca="1"/>
        <v>#NAME?</v>
      </c>
    </row>
    <row r="14" spans="1:49">
      <c r="A14" s="625" t="e">
        <f ca="1"/>
        <v>#NAME?</v>
      </c>
      <c r="B14" s="8" t="e">
        <f ca="1"/>
        <v>#NAME?</v>
      </c>
      <c r="C14" s="8" t="e">
        <f ca="1"/>
        <v>#NAME?</v>
      </c>
      <c r="D14" s="132" t="e">
        <f ca="1"/>
        <v>#NAME?</v>
      </c>
      <c r="F14" s="625" t="e">
        <f ca="1"/>
        <v>#NAME?</v>
      </c>
      <c r="G14" s="8" t="e">
        <f ca="1"/>
        <v>#NAME?</v>
      </c>
      <c r="H14" s="8" t="e">
        <f ca="1"/>
        <v>#NAME?</v>
      </c>
      <c r="I14" s="132" t="e">
        <f ca="1"/>
        <v>#NAME?</v>
      </c>
      <c r="K14" s="625" t="e">
        <f ca="1"/>
        <v>#NAME?</v>
      </c>
      <c r="L14" s="8" t="e">
        <f ca="1"/>
        <v>#NAME?</v>
      </c>
      <c r="M14" s="8" t="e">
        <f ca="1"/>
        <v>#NAME?</v>
      </c>
      <c r="N14" s="132" t="e">
        <f ca="1"/>
        <v>#NAME?</v>
      </c>
      <c r="P14" s="625" t="e">
        <f ca="1"/>
        <v>#NAME?</v>
      </c>
      <c r="Q14" s="8" t="e">
        <f ca="1"/>
        <v>#NAME?</v>
      </c>
      <c r="R14" s="8" t="e">
        <f ca="1"/>
        <v>#NAME?</v>
      </c>
      <c r="S14" s="132" t="e">
        <f ca="1"/>
        <v>#NAME?</v>
      </c>
      <c r="U14" s="625" t="e">
        <f ca="1"/>
        <v>#NAME?</v>
      </c>
      <c r="V14" s="8" t="e">
        <f ca="1"/>
        <v>#NAME?</v>
      </c>
      <c r="W14" s="8" t="e">
        <f ca="1"/>
        <v>#NAME?</v>
      </c>
      <c r="X14" s="132" t="e">
        <f ca="1"/>
        <v>#NAME?</v>
      </c>
      <c r="Z14" s="625" t="e">
        <f ca="1"/>
        <v>#NAME?</v>
      </c>
      <c r="AA14" s="8" t="e">
        <f ca="1"/>
        <v>#NAME?</v>
      </c>
      <c r="AB14" s="8" t="e">
        <f ca="1"/>
        <v>#NAME?</v>
      </c>
      <c r="AC14" s="132" t="e">
        <f ca="1"/>
        <v>#NAME?</v>
      </c>
      <c r="AE14" s="625" t="e">
        <f ca="1"/>
        <v>#NAME?</v>
      </c>
      <c r="AF14" s="8" t="e">
        <f ca="1"/>
        <v>#NAME?</v>
      </c>
      <c r="AG14" s="8" t="e">
        <f ca="1"/>
        <v>#NAME?</v>
      </c>
      <c r="AH14" s="132" t="e">
        <f ca="1"/>
        <v>#NAME?</v>
      </c>
      <c r="AJ14" s="625" t="e">
        <f ca="1"/>
        <v>#NAME?</v>
      </c>
      <c r="AK14" s="8" t="e">
        <f ca="1"/>
        <v>#NAME?</v>
      </c>
      <c r="AL14" s="8" t="e">
        <f ca="1"/>
        <v>#NAME?</v>
      </c>
      <c r="AM14" s="132" t="e">
        <f ca="1"/>
        <v>#NAME?</v>
      </c>
      <c r="AO14" s="625" t="e">
        <f ca="1"/>
        <v>#NAME?</v>
      </c>
      <c r="AP14" s="8" t="e">
        <f ca="1"/>
        <v>#NAME?</v>
      </c>
      <c r="AQ14" s="8" t="e">
        <f ca="1"/>
        <v>#NAME?</v>
      </c>
      <c r="AR14" s="132" t="e">
        <f ca="1"/>
        <v>#NAME?</v>
      </c>
      <c r="AT14" s="625" t="e">
        <f ca="1"/>
        <v>#NAME?</v>
      </c>
      <c r="AU14" s="8" t="e">
        <f ca="1"/>
        <v>#NAME?</v>
      </c>
      <c r="AV14" s="8" t="e">
        <f ca="1"/>
        <v>#NAME?</v>
      </c>
      <c r="AW14" s="132" t="e">
        <f ca="1"/>
        <v>#NAME?</v>
      </c>
    </row>
    <row r="15" spans="1:49">
      <c r="A15" s="625" t="e">
        <f ca="1"/>
        <v>#NAME?</v>
      </c>
      <c r="B15" s="8" t="e">
        <f ca="1"/>
        <v>#NAME?</v>
      </c>
      <c r="C15" s="8" t="e">
        <f ca="1"/>
        <v>#NAME?</v>
      </c>
      <c r="D15" s="132" t="e">
        <f ca="1"/>
        <v>#NAME?</v>
      </c>
      <c r="F15" s="625" t="e">
        <f ca="1"/>
        <v>#NAME?</v>
      </c>
      <c r="G15" s="8" t="e">
        <f ca="1"/>
        <v>#NAME?</v>
      </c>
      <c r="H15" s="8" t="e">
        <f ca="1"/>
        <v>#NAME?</v>
      </c>
      <c r="I15" s="132" t="e">
        <f ca="1"/>
        <v>#NAME?</v>
      </c>
      <c r="K15" s="625" t="e">
        <f ca="1"/>
        <v>#NAME?</v>
      </c>
      <c r="L15" s="8" t="e">
        <f ca="1"/>
        <v>#NAME?</v>
      </c>
      <c r="M15" s="8" t="e">
        <f ca="1"/>
        <v>#NAME?</v>
      </c>
      <c r="N15" s="132" t="e">
        <f ca="1"/>
        <v>#NAME?</v>
      </c>
      <c r="P15" s="625" t="e">
        <f ca="1"/>
        <v>#NAME?</v>
      </c>
      <c r="Q15" s="8" t="e">
        <f ca="1"/>
        <v>#NAME?</v>
      </c>
      <c r="R15" s="8" t="e">
        <f ca="1"/>
        <v>#NAME?</v>
      </c>
      <c r="S15" s="132" t="e">
        <f ca="1"/>
        <v>#NAME?</v>
      </c>
      <c r="U15" s="625" t="e">
        <f ca="1"/>
        <v>#NAME?</v>
      </c>
      <c r="V15" s="8" t="e">
        <f ca="1"/>
        <v>#NAME?</v>
      </c>
      <c r="W15" s="8" t="e">
        <f ca="1"/>
        <v>#NAME?</v>
      </c>
      <c r="X15" s="132" t="e">
        <f ca="1"/>
        <v>#NAME?</v>
      </c>
      <c r="Z15" s="625" t="e">
        <f ca="1"/>
        <v>#NAME?</v>
      </c>
      <c r="AA15" s="8" t="e">
        <f ca="1"/>
        <v>#NAME?</v>
      </c>
      <c r="AB15" s="8" t="e">
        <f ca="1"/>
        <v>#NAME?</v>
      </c>
      <c r="AC15" s="132" t="e">
        <f ca="1"/>
        <v>#NAME?</v>
      </c>
      <c r="AE15" s="625" t="e">
        <f ca="1"/>
        <v>#NAME?</v>
      </c>
      <c r="AF15" s="8" t="e">
        <f ca="1"/>
        <v>#NAME?</v>
      </c>
      <c r="AG15" s="8" t="e">
        <f ca="1"/>
        <v>#NAME?</v>
      </c>
      <c r="AH15" s="132" t="e">
        <f ca="1"/>
        <v>#NAME?</v>
      </c>
      <c r="AJ15" s="625" t="e">
        <f ca="1"/>
        <v>#NAME?</v>
      </c>
      <c r="AK15" s="8" t="e">
        <f ca="1"/>
        <v>#NAME?</v>
      </c>
      <c r="AL15" s="8" t="e">
        <f ca="1"/>
        <v>#NAME?</v>
      </c>
      <c r="AM15" s="132" t="e">
        <f ca="1"/>
        <v>#NAME?</v>
      </c>
      <c r="AO15" s="625" t="e">
        <f ca="1"/>
        <v>#NAME?</v>
      </c>
      <c r="AP15" s="8" t="e">
        <f ca="1"/>
        <v>#NAME?</v>
      </c>
      <c r="AQ15" s="8" t="e">
        <f ca="1"/>
        <v>#NAME?</v>
      </c>
      <c r="AR15" s="132" t="e">
        <f ca="1"/>
        <v>#NAME?</v>
      </c>
      <c r="AT15" s="625" t="e">
        <f ca="1"/>
        <v>#NAME?</v>
      </c>
      <c r="AU15" s="8" t="e">
        <f ca="1"/>
        <v>#NAME?</v>
      </c>
      <c r="AV15" s="8" t="e">
        <f ca="1"/>
        <v>#NAME?</v>
      </c>
      <c r="AW15" s="132" t="e">
        <f ca="1"/>
        <v>#NAME?</v>
      </c>
    </row>
    <row r="16" spans="1:49">
      <c r="A16" s="625" t="e">
        <f ca="1"/>
        <v>#NAME?</v>
      </c>
      <c r="B16" s="8" t="e">
        <f ca="1"/>
        <v>#NAME?</v>
      </c>
      <c r="C16" s="8" t="e">
        <f ca="1"/>
        <v>#NAME?</v>
      </c>
      <c r="D16" s="132" t="e">
        <f ca="1"/>
        <v>#NAME?</v>
      </c>
      <c r="F16" s="625" t="e">
        <f ca="1"/>
        <v>#NAME?</v>
      </c>
      <c r="G16" s="8" t="e">
        <f ca="1"/>
        <v>#NAME?</v>
      </c>
      <c r="H16" s="8" t="e">
        <f ca="1"/>
        <v>#NAME?</v>
      </c>
      <c r="I16" s="132" t="e">
        <f ca="1"/>
        <v>#NAME?</v>
      </c>
      <c r="K16" s="625" t="e">
        <f ca="1"/>
        <v>#NAME?</v>
      </c>
      <c r="L16" s="8" t="e">
        <f ca="1"/>
        <v>#NAME?</v>
      </c>
      <c r="M16" s="8" t="e">
        <f ca="1"/>
        <v>#NAME?</v>
      </c>
      <c r="N16" s="132" t="e">
        <f ca="1"/>
        <v>#NAME?</v>
      </c>
      <c r="P16" s="625" t="e">
        <f ca="1"/>
        <v>#NAME?</v>
      </c>
      <c r="Q16" s="8" t="e">
        <f ca="1"/>
        <v>#NAME?</v>
      </c>
      <c r="R16" s="8" t="e">
        <f ca="1"/>
        <v>#NAME?</v>
      </c>
      <c r="S16" s="132" t="e">
        <f ca="1"/>
        <v>#NAME?</v>
      </c>
      <c r="U16" s="625" t="e">
        <f ca="1"/>
        <v>#NAME?</v>
      </c>
      <c r="V16" s="8" t="e">
        <f ca="1"/>
        <v>#NAME?</v>
      </c>
      <c r="W16" s="8" t="e">
        <f ca="1"/>
        <v>#NAME?</v>
      </c>
      <c r="X16" s="132" t="e">
        <f ca="1"/>
        <v>#NAME?</v>
      </c>
      <c r="Z16" s="625" t="e">
        <f ca="1"/>
        <v>#NAME?</v>
      </c>
      <c r="AA16" s="8" t="e">
        <f ca="1"/>
        <v>#NAME?</v>
      </c>
      <c r="AB16" s="8" t="e">
        <f ca="1"/>
        <v>#NAME?</v>
      </c>
      <c r="AC16" s="132" t="e">
        <f ca="1"/>
        <v>#NAME?</v>
      </c>
      <c r="AE16" s="625" t="e">
        <f ca="1"/>
        <v>#NAME?</v>
      </c>
      <c r="AF16" s="8" t="e">
        <f ca="1"/>
        <v>#NAME?</v>
      </c>
      <c r="AG16" s="8" t="e">
        <f ca="1"/>
        <v>#NAME?</v>
      </c>
      <c r="AH16" s="132" t="e">
        <f ca="1"/>
        <v>#NAME?</v>
      </c>
      <c r="AJ16" s="625" t="e">
        <f ca="1"/>
        <v>#NAME?</v>
      </c>
      <c r="AK16" s="8" t="e">
        <f ca="1"/>
        <v>#NAME?</v>
      </c>
      <c r="AL16" s="8" t="e">
        <f ca="1"/>
        <v>#NAME?</v>
      </c>
      <c r="AM16" s="132" t="e">
        <f ca="1"/>
        <v>#NAME?</v>
      </c>
      <c r="AO16" s="625" t="e">
        <f ca="1"/>
        <v>#NAME?</v>
      </c>
      <c r="AP16" s="8" t="e">
        <f ca="1"/>
        <v>#NAME?</v>
      </c>
      <c r="AQ16" s="8" t="e">
        <f ca="1"/>
        <v>#NAME?</v>
      </c>
      <c r="AR16" s="132" t="e">
        <f ca="1"/>
        <v>#NAME?</v>
      </c>
      <c r="AT16" s="625" t="e">
        <f ca="1"/>
        <v>#NAME?</v>
      </c>
      <c r="AU16" s="8" t="e">
        <f ca="1"/>
        <v>#NAME?</v>
      </c>
      <c r="AV16" s="8" t="e">
        <f ca="1"/>
        <v>#NAME?</v>
      </c>
      <c r="AW16" s="132" t="e">
        <f ca="1"/>
        <v>#NAME?</v>
      </c>
    </row>
    <row r="17" spans="1:49">
      <c r="A17" s="625" t="e">
        <f ca="1"/>
        <v>#NAME?</v>
      </c>
      <c r="B17" s="8" t="e">
        <f ca="1"/>
        <v>#NAME?</v>
      </c>
      <c r="C17" s="8" t="e">
        <f ca="1"/>
        <v>#NAME?</v>
      </c>
      <c r="D17" s="132" t="e">
        <f ca="1"/>
        <v>#NAME?</v>
      </c>
      <c r="F17" s="625" t="e">
        <f ca="1"/>
        <v>#NAME?</v>
      </c>
      <c r="G17" s="8" t="e">
        <f ca="1"/>
        <v>#NAME?</v>
      </c>
      <c r="H17" s="8" t="e">
        <f ca="1"/>
        <v>#NAME?</v>
      </c>
      <c r="I17" s="132" t="e">
        <f ca="1"/>
        <v>#NAME?</v>
      </c>
      <c r="K17" s="625" t="e">
        <f ca="1"/>
        <v>#NAME?</v>
      </c>
      <c r="L17" s="8" t="e">
        <f ca="1"/>
        <v>#NAME?</v>
      </c>
      <c r="M17" s="8" t="e">
        <f ca="1"/>
        <v>#NAME?</v>
      </c>
      <c r="N17" s="132" t="e">
        <f ca="1"/>
        <v>#NAME?</v>
      </c>
      <c r="P17" s="625" t="e">
        <f ca="1"/>
        <v>#NAME?</v>
      </c>
      <c r="Q17" s="8" t="e">
        <f ca="1"/>
        <v>#NAME?</v>
      </c>
      <c r="R17" s="8" t="e">
        <f ca="1"/>
        <v>#NAME?</v>
      </c>
      <c r="S17" s="132" t="e">
        <f ca="1"/>
        <v>#NAME?</v>
      </c>
      <c r="U17" s="625" t="e">
        <f ca="1"/>
        <v>#NAME?</v>
      </c>
      <c r="V17" s="8" t="e">
        <f ca="1"/>
        <v>#NAME?</v>
      </c>
      <c r="W17" s="8" t="e">
        <f ca="1"/>
        <v>#NAME?</v>
      </c>
      <c r="X17" s="132" t="e">
        <f ca="1"/>
        <v>#NAME?</v>
      </c>
      <c r="Z17" s="625" t="e">
        <f ca="1"/>
        <v>#NAME?</v>
      </c>
      <c r="AA17" s="8" t="e">
        <f ca="1"/>
        <v>#NAME?</v>
      </c>
      <c r="AB17" s="8" t="e">
        <f ca="1"/>
        <v>#NAME?</v>
      </c>
      <c r="AC17" s="132" t="e">
        <f ca="1"/>
        <v>#NAME?</v>
      </c>
      <c r="AE17" s="625" t="e">
        <f ca="1"/>
        <v>#NAME?</v>
      </c>
      <c r="AF17" s="8" t="e">
        <f ca="1"/>
        <v>#NAME?</v>
      </c>
      <c r="AG17" s="8" t="e">
        <f ca="1"/>
        <v>#NAME?</v>
      </c>
      <c r="AH17" s="132" t="e">
        <f ca="1"/>
        <v>#NAME?</v>
      </c>
      <c r="AJ17" s="625" t="e">
        <f ca="1"/>
        <v>#NAME?</v>
      </c>
      <c r="AK17" s="8" t="e">
        <f ca="1"/>
        <v>#NAME?</v>
      </c>
      <c r="AL17" s="8" t="e">
        <f ca="1"/>
        <v>#NAME?</v>
      </c>
      <c r="AM17" s="132" t="e">
        <f ca="1"/>
        <v>#NAME?</v>
      </c>
      <c r="AO17" s="625" t="e">
        <f ca="1"/>
        <v>#NAME?</v>
      </c>
      <c r="AP17" s="8" t="e">
        <f ca="1"/>
        <v>#NAME?</v>
      </c>
      <c r="AQ17" s="8" t="e">
        <f ca="1"/>
        <v>#NAME?</v>
      </c>
      <c r="AR17" s="132" t="e">
        <f ca="1"/>
        <v>#NAME?</v>
      </c>
      <c r="AT17" s="625" t="e">
        <f ca="1"/>
        <v>#NAME?</v>
      </c>
      <c r="AU17" s="8" t="e">
        <f ca="1"/>
        <v>#NAME?</v>
      </c>
      <c r="AV17" s="8" t="e">
        <f ca="1"/>
        <v>#NAME?</v>
      </c>
      <c r="AW17" s="132" t="e">
        <f ca="1"/>
        <v>#NAME?</v>
      </c>
    </row>
    <row r="18" spans="1:49">
      <c r="A18" s="625" t="e">
        <f ca="1"/>
        <v>#NAME?</v>
      </c>
      <c r="B18" s="8" t="e">
        <f ca="1"/>
        <v>#NAME?</v>
      </c>
      <c r="C18" s="8" t="e">
        <f ca="1"/>
        <v>#NAME?</v>
      </c>
      <c r="D18" s="132" t="e">
        <f ca="1"/>
        <v>#NAME?</v>
      </c>
      <c r="F18" s="625" t="e">
        <f ca="1"/>
        <v>#NAME?</v>
      </c>
      <c r="G18" s="8" t="e">
        <f ca="1"/>
        <v>#NAME?</v>
      </c>
      <c r="H18" s="8" t="e">
        <f ca="1"/>
        <v>#NAME?</v>
      </c>
      <c r="I18" s="132" t="e">
        <f ca="1"/>
        <v>#NAME?</v>
      </c>
      <c r="K18" s="625" t="e">
        <f ca="1"/>
        <v>#NAME?</v>
      </c>
      <c r="L18" s="8" t="e">
        <f ca="1"/>
        <v>#NAME?</v>
      </c>
      <c r="M18" s="8" t="e">
        <f ca="1"/>
        <v>#NAME?</v>
      </c>
      <c r="N18" s="132" t="e">
        <f ca="1"/>
        <v>#NAME?</v>
      </c>
      <c r="P18" s="625" t="e">
        <f ca="1"/>
        <v>#NAME?</v>
      </c>
      <c r="Q18" s="8" t="e">
        <f ca="1"/>
        <v>#NAME?</v>
      </c>
      <c r="R18" s="8" t="e">
        <f ca="1"/>
        <v>#NAME?</v>
      </c>
      <c r="S18" s="132" t="e">
        <f ca="1"/>
        <v>#NAME?</v>
      </c>
      <c r="U18" s="625" t="e">
        <f ca="1"/>
        <v>#NAME?</v>
      </c>
      <c r="V18" s="8" t="e">
        <f ca="1"/>
        <v>#NAME?</v>
      </c>
      <c r="W18" s="8" t="e">
        <f ca="1"/>
        <v>#NAME?</v>
      </c>
      <c r="X18" s="132" t="e">
        <f ca="1"/>
        <v>#NAME?</v>
      </c>
      <c r="Z18" s="625" t="e">
        <f ca="1"/>
        <v>#NAME?</v>
      </c>
      <c r="AA18" s="8" t="e">
        <f ca="1"/>
        <v>#NAME?</v>
      </c>
      <c r="AB18" s="8" t="e">
        <f ca="1"/>
        <v>#NAME?</v>
      </c>
      <c r="AC18" s="132" t="e">
        <f ca="1"/>
        <v>#NAME?</v>
      </c>
      <c r="AE18" s="625" t="e">
        <f ca="1"/>
        <v>#NAME?</v>
      </c>
      <c r="AF18" s="8" t="e">
        <f ca="1"/>
        <v>#NAME?</v>
      </c>
      <c r="AG18" s="8" t="e">
        <f ca="1"/>
        <v>#NAME?</v>
      </c>
      <c r="AH18" s="132" t="e">
        <f ca="1"/>
        <v>#NAME?</v>
      </c>
      <c r="AJ18" s="625" t="e">
        <f ca="1"/>
        <v>#NAME?</v>
      </c>
      <c r="AK18" s="8" t="e">
        <f ca="1"/>
        <v>#NAME?</v>
      </c>
      <c r="AL18" s="8" t="e">
        <f ca="1"/>
        <v>#NAME?</v>
      </c>
      <c r="AM18" s="132" t="e">
        <f ca="1"/>
        <v>#NAME?</v>
      </c>
      <c r="AO18" s="625" t="e">
        <f ca="1"/>
        <v>#NAME?</v>
      </c>
      <c r="AP18" s="8" t="e">
        <f ca="1"/>
        <v>#NAME?</v>
      </c>
      <c r="AQ18" s="8" t="e">
        <f ca="1"/>
        <v>#NAME?</v>
      </c>
      <c r="AR18" s="132" t="e">
        <f ca="1"/>
        <v>#NAME?</v>
      </c>
      <c r="AT18" s="625" t="e">
        <f ca="1"/>
        <v>#NAME?</v>
      </c>
      <c r="AU18" s="8" t="e">
        <f ca="1"/>
        <v>#NAME?</v>
      </c>
      <c r="AV18" s="8" t="e">
        <f ca="1"/>
        <v>#NAME?</v>
      </c>
      <c r="AW18" s="132" t="e">
        <f ca="1"/>
        <v>#NAME?</v>
      </c>
    </row>
    <row r="19" spans="1:49">
      <c r="A19" s="625" t="e">
        <f ca="1"/>
        <v>#NAME?</v>
      </c>
      <c r="B19" s="8" t="e">
        <f ca="1"/>
        <v>#NAME?</v>
      </c>
      <c r="C19" s="8" t="e">
        <f ca="1"/>
        <v>#NAME?</v>
      </c>
      <c r="D19" s="132" t="e">
        <f ca="1"/>
        <v>#NAME?</v>
      </c>
      <c r="F19" s="625" t="e">
        <f ca="1"/>
        <v>#NAME?</v>
      </c>
      <c r="G19" s="8" t="e">
        <f ca="1"/>
        <v>#NAME?</v>
      </c>
      <c r="H19" s="8" t="e">
        <f ca="1"/>
        <v>#NAME?</v>
      </c>
      <c r="I19" s="132" t="e">
        <f ca="1"/>
        <v>#NAME?</v>
      </c>
      <c r="K19" s="625" t="e">
        <f ca="1"/>
        <v>#NAME?</v>
      </c>
      <c r="L19" s="8" t="e">
        <f ca="1"/>
        <v>#NAME?</v>
      </c>
      <c r="M19" s="8" t="e">
        <f ca="1"/>
        <v>#NAME?</v>
      </c>
      <c r="N19" s="132" t="e">
        <f ca="1"/>
        <v>#NAME?</v>
      </c>
      <c r="P19" s="625" t="e">
        <f ca="1"/>
        <v>#NAME?</v>
      </c>
      <c r="Q19" s="8" t="e">
        <f ca="1"/>
        <v>#NAME?</v>
      </c>
      <c r="R19" s="8" t="e">
        <f ca="1"/>
        <v>#NAME?</v>
      </c>
      <c r="S19" s="132" t="e">
        <f ca="1"/>
        <v>#NAME?</v>
      </c>
      <c r="U19" s="625" t="e">
        <f ca="1"/>
        <v>#NAME?</v>
      </c>
      <c r="V19" s="8" t="e">
        <f ca="1"/>
        <v>#NAME?</v>
      </c>
      <c r="W19" s="8" t="e">
        <f ca="1"/>
        <v>#NAME?</v>
      </c>
      <c r="X19" s="132" t="e">
        <f ca="1"/>
        <v>#NAME?</v>
      </c>
      <c r="Z19" s="625" t="e">
        <f ca="1"/>
        <v>#NAME?</v>
      </c>
      <c r="AA19" s="8" t="e">
        <f ca="1"/>
        <v>#NAME?</v>
      </c>
      <c r="AB19" s="8" t="e">
        <f ca="1"/>
        <v>#NAME?</v>
      </c>
      <c r="AC19" s="132" t="e">
        <f ca="1"/>
        <v>#NAME?</v>
      </c>
      <c r="AE19" s="625" t="e">
        <f ca="1"/>
        <v>#NAME?</v>
      </c>
      <c r="AF19" s="8" t="e">
        <f ca="1"/>
        <v>#NAME?</v>
      </c>
      <c r="AG19" s="8" t="e">
        <f ca="1"/>
        <v>#NAME?</v>
      </c>
      <c r="AH19" s="132" t="e">
        <f ca="1"/>
        <v>#NAME?</v>
      </c>
      <c r="AJ19" s="625" t="e">
        <f ca="1"/>
        <v>#NAME?</v>
      </c>
      <c r="AK19" s="8" t="e">
        <f ca="1"/>
        <v>#NAME?</v>
      </c>
      <c r="AL19" s="8" t="e">
        <f ca="1"/>
        <v>#NAME?</v>
      </c>
      <c r="AM19" s="132" t="e">
        <f ca="1"/>
        <v>#NAME?</v>
      </c>
      <c r="AO19" s="625" t="e">
        <f ca="1"/>
        <v>#NAME?</v>
      </c>
      <c r="AP19" s="8" t="e">
        <f ca="1"/>
        <v>#NAME?</v>
      </c>
      <c r="AQ19" s="8" t="e">
        <f ca="1"/>
        <v>#NAME?</v>
      </c>
      <c r="AR19" s="132" t="e">
        <f ca="1"/>
        <v>#NAME?</v>
      </c>
      <c r="AT19" s="625" t="e">
        <f ca="1"/>
        <v>#NAME?</v>
      </c>
      <c r="AU19" s="8" t="e">
        <f ca="1"/>
        <v>#NAME?</v>
      </c>
      <c r="AV19" s="8" t="e">
        <f ca="1"/>
        <v>#NAME?</v>
      </c>
      <c r="AW19" s="132" t="e">
        <f ca="1"/>
        <v>#NAME?</v>
      </c>
    </row>
    <row r="20" spans="1:49">
      <c r="A20" s="625" t="e">
        <f ca="1"/>
        <v>#NAME?</v>
      </c>
      <c r="B20" s="8" t="e">
        <f ca="1"/>
        <v>#NAME?</v>
      </c>
      <c r="C20" s="8" t="e">
        <f ca="1"/>
        <v>#NAME?</v>
      </c>
      <c r="D20" s="132" t="e">
        <f ca="1"/>
        <v>#NAME?</v>
      </c>
      <c r="F20" s="625" t="e">
        <f ca="1"/>
        <v>#NAME?</v>
      </c>
      <c r="G20" s="8" t="e">
        <f ca="1"/>
        <v>#NAME?</v>
      </c>
      <c r="H20" s="8" t="e">
        <f ca="1"/>
        <v>#NAME?</v>
      </c>
      <c r="I20" s="132" t="e">
        <f ca="1"/>
        <v>#NAME?</v>
      </c>
      <c r="K20" s="625" t="e">
        <f ca="1"/>
        <v>#NAME?</v>
      </c>
      <c r="L20" s="8" t="e">
        <f ca="1"/>
        <v>#NAME?</v>
      </c>
      <c r="M20" s="8" t="e">
        <f ca="1"/>
        <v>#NAME?</v>
      </c>
      <c r="N20" s="132" t="e">
        <f ca="1"/>
        <v>#NAME?</v>
      </c>
      <c r="P20" s="625" t="e">
        <f ca="1"/>
        <v>#NAME?</v>
      </c>
      <c r="Q20" s="8" t="e">
        <f ca="1"/>
        <v>#NAME?</v>
      </c>
      <c r="R20" s="8" t="e">
        <f ca="1"/>
        <v>#NAME?</v>
      </c>
      <c r="S20" s="132" t="e">
        <f ca="1"/>
        <v>#NAME?</v>
      </c>
      <c r="U20" s="625" t="e">
        <f ca="1"/>
        <v>#NAME?</v>
      </c>
      <c r="V20" s="8" t="e">
        <f ca="1"/>
        <v>#NAME?</v>
      </c>
      <c r="W20" s="8" t="e">
        <f ca="1"/>
        <v>#NAME?</v>
      </c>
      <c r="X20" s="132" t="e">
        <f ca="1"/>
        <v>#NAME?</v>
      </c>
      <c r="Z20" s="625" t="e">
        <f ca="1"/>
        <v>#NAME?</v>
      </c>
      <c r="AA20" s="8" t="e">
        <f ca="1"/>
        <v>#NAME?</v>
      </c>
      <c r="AB20" s="8" t="e">
        <f ca="1"/>
        <v>#NAME?</v>
      </c>
      <c r="AC20" s="132" t="e">
        <f ca="1"/>
        <v>#NAME?</v>
      </c>
      <c r="AE20" s="625" t="e">
        <f ca="1"/>
        <v>#NAME?</v>
      </c>
      <c r="AF20" s="8" t="e">
        <f ca="1"/>
        <v>#NAME?</v>
      </c>
      <c r="AG20" s="8" t="e">
        <f ca="1"/>
        <v>#NAME?</v>
      </c>
      <c r="AH20" s="132" t="e">
        <f ca="1"/>
        <v>#NAME?</v>
      </c>
      <c r="AJ20" s="625" t="e">
        <f ca="1"/>
        <v>#NAME?</v>
      </c>
      <c r="AK20" s="8" t="e">
        <f ca="1"/>
        <v>#NAME?</v>
      </c>
      <c r="AL20" s="8" t="e">
        <f ca="1"/>
        <v>#NAME?</v>
      </c>
      <c r="AM20" s="132" t="e">
        <f ca="1"/>
        <v>#NAME?</v>
      </c>
      <c r="AO20" s="625" t="e">
        <f ca="1"/>
        <v>#NAME?</v>
      </c>
      <c r="AP20" s="8" t="e">
        <f ca="1"/>
        <v>#NAME?</v>
      </c>
      <c r="AQ20" s="8" t="e">
        <f ca="1"/>
        <v>#NAME?</v>
      </c>
      <c r="AR20" s="132" t="e">
        <f ca="1"/>
        <v>#NAME?</v>
      </c>
      <c r="AT20" s="625" t="e">
        <f ca="1"/>
        <v>#NAME?</v>
      </c>
      <c r="AU20" s="8" t="e">
        <f ca="1"/>
        <v>#NAME?</v>
      </c>
      <c r="AV20" s="8" t="e">
        <f ca="1"/>
        <v>#NAME?</v>
      </c>
      <c r="AW20" s="132" t="e">
        <f ca="1"/>
        <v>#NAME?</v>
      </c>
    </row>
    <row r="21" spans="1:49">
      <c r="A21" s="625" t="e">
        <f ca="1"/>
        <v>#NAME?</v>
      </c>
      <c r="B21" s="8" t="e">
        <f ca="1"/>
        <v>#NAME?</v>
      </c>
      <c r="C21" s="8" t="e">
        <f ca="1"/>
        <v>#NAME?</v>
      </c>
      <c r="D21" s="132" t="e">
        <f ca="1"/>
        <v>#NAME?</v>
      </c>
      <c r="F21" s="625" t="e">
        <f ca="1"/>
        <v>#NAME?</v>
      </c>
      <c r="G21" s="8" t="e">
        <f ca="1"/>
        <v>#NAME?</v>
      </c>
      <c r="H21" s="8" t="e">
        <f ca="1"/>
        <v>#NAME?</v>
      </c>
      <c r="I21" s="132" t="e">
        <f ca="1"/>
        <v>#NAME?</v>
      </c>
      <c r="K21" s="625" t="e">
        <f ca="1"/>
        <v>#NAME?</v>
      </c>
      <c r="L21" s="8" t="e">
        <f ca="1"/>
        <v>#NAME?</v>
      </c>
      <c r="M21" s="8" t="e">
        <f ca="1"/>
        <v>#NAME?</v>
      </c>
      <c r="N21" s="132" t="e">
        <f ca="1"/>
        <v>#NAME?</v>
      </c>
      <c r="P21" s="625" t="e">
        <f ca="1"/>
        <v>#NAME?</v>
      </c>
      <c r="Q21" s="8" t="e">
        <f ca="1"/>
        <v>#NAME?</v>
      </c>
      <c r="R21" s="8" t="e">
        <f ca="1"/>
        <v>#NAME?</v>
      </c>
      <c r="S21" s="132" t="e">
        <f ca="1"/>
        <v>#NAME?</v>
      </c>
      <c r="U21" s="625" t="e">
        <f ca="1"/>
        <v>#NAME?</v>
      </c>
      <c r="V21" s="8" t="e">
        <f ca="1"/>
        <v>#NAME?</v>
      </c>
      <c r="W21" s="8" t="e">
        <f ca="1"/>
        <v>#NAME?</v>
      </c>
      <c r="X21" s="132" t="e">
        <f ca="1"/>
        <v>#NAME?</v>
      </c>
      <c r="Z21" s="625" t="e">
        <f ca="1"/>
        <v>#NAME?</v>
      </c>
      <c r="AA21" s="8" t="e">
        <f ca="1"/>
        <v>#NAME?</v>
      </c>
      <c r="AB21" s="8" t="e">
        <f ca="1"/>
        <v>#NAME?</v>
      </c>
      <c r="AC21" s="132" t="e">
        <f ca="1"/>
        <v>#NAME?</v>
      </c>
      <c r="AE21" s="625" t="e">
        <f ca="1"/>
        <v>#NAME?</v>
      </c>
      <c r="AF21" s="8" t="e">
        <f ca="1"/>
        <v>#NAME?</v>
      </c>
      <c r="AG21" s="8" t="e">
        <f ca="1"/>
        <v>#NAME?</v>
      </c>
      <c r="AH21" s="132" t="e">
        <f ca="1"/>
        <v>#NAME?</v>
      </c>
      <c r="AJ21" s="625" t="e">
        <f ca="1"/>
        <v>#NAME?</v>
      </c>
      <c r="AK21" s="8" t="e">
        <f ca="1"/>
        <v>#NAME?</v>
      </c>
      <c r="AL21" s="8" t="e">
        <f ca="1"/>
        <v>#NAME?</v>
      </c>
      <c r="AM21" s="132" t="e">
        <f ca="1"/>
        <v>#NAME?</v>
      </c>
      <c r="AO21" s="625" t="e">
        <f ca="1"/>
        <v>#NAME?</v>
      </c>
      <c r="AP21" s="8" t="e">
        <f ca="1"/>
        <v>#NAME?</v>
      </c>
      <c r="AQ21" s="8" t="e">
        <f ca="1"/>
        <v>#NAME?</v>
      </c>
      <c r="AR21" s="132" t="e">
        <f ca="1"/>
        <v>#NAME?</v>
      </c>
      <c r="AT21" s="625" t="e">
        <f ca="1"/>
        <v>#NAME?</v>
      </c>
      <c r="AU21" s="8" t="e">
        <f ca="1"/>
        <v>#NAME?</v>
      </c>
      <c r="AV21" s="8" t="e">
        <f ca="1"/>
        <v>#NAME?</v>
      </c>
      <c r="AW21" s="132" t="e">
        <f ca="1"/>
        <v>#NAME?</v>
      </c>
    </row>
    <row r="22" spans="1:49">
      <c r="A22" s="625" t="e">
        <f ca="1"/>
        <v>#NAME?</v>
      </c>
      <c r="B22" s="8" t="e">
        <f ca="1"/>
        <v>#NAME?</v>
      </c>
      <c r="C22" s="8" t="e">
        <f ca="1"/>
        <v>#NAME?</v>
      </c>
      <c r="D22" s="132" t="e">
        <f ca="1"/>
        <v>#NAME?</v>
      </c>
      <c r="F22" s="625" t="e">
        <f ca="1"/>
        <v>#NAME?</v>
      </c>
      <c r="G22" s="8" t="e">
        <f ca="1"/>
        <v>#NAME?</v>
      </c>
      <c r="H22" s="8" t="e">
        <f ca="1"/>
        <v>#NAME?</v>
      </c>
      <c r="I22" s="132" t="e">
        <f ca="1"/>
        <v>#NAME?</v>
      </c>
      <c r="K22" s="625" t="e">
        <f ca="1"/>
        <v>#NAME?</v>
      </c>
      <c r="L22" s="8" t="e">
        <f ca="1"/>
        <v>#NAME?</v>
      </c>
      <c r="M22" s="8" t="e">
        <f ca="1"/>
        <v>#NAME?</v>
      </c>
      <c r="N22" s="132" t="e">
        <f ca="1"/>
        <v>#NAME?</v>
      </c>
      <c r="P22" s="625" t="e">
        <f ca="1"/>
        <v>#NAME?</v>
      </c>
      <c r="Q22" s="8" t="e">
        <f ca="1"/>
        <v>#NAME?</v>
      </c>
      <c r="R22" s="8" t="e">
        <f ca="1"/>
        <v>#NAME?</v>
      </c>
      <c r="S22" s="132" t="e">
        <f ca="1"/>
        <v>#NAME?</v>
      </c>
      <c r="U22" s="625" t="e">
        <f ca="1"/>
        <v>#NAME?</v>
      </c>
      <c r="V22" s="8" t="e">
        <f ca="1"/>
        <v>#NAME?</v>
      </c>
      <c r="W22" s="8" t="e">
        <f ca="1"/>
        <v>#NAME?</v>
      </c>
      <c r="X22" s="132" t="e">
        <f ca="1"/>
        <v>#NAME?</v>
      </c>
      <c r="Z22" s="625" t="e">
        <f ca="1"/>
        <v>#NAME?</v>
      </c>
      <c r="AA22" s="8" t="e">
        <f ca="1"/>
        <v>#NAME?</v>
      </c>
      <c r="AB22" s="8" t="e">
        <f ca="1"/>
        <v>#NAME?</v>
      </c>
      <c r="AC22" s="132" t="e">
        <f ca="1"/>
        <v>#NAME?</v>
      </c>
      <c r="AE22" s="625" t="e">
        <f ca="1"/>
        <v>#NAME?</v>
      </c>
      <c r="AF22" s="8" t="e">
        <f ca="1"/>
        <v>#NAME?</v>
      </c>
      <c r="AG22" s="8" t="e">
        <f ca="1"/>
        <v>#NAME?</v>
      </c>
      <c r="AH22" s="132" t="e">
        <f ca="1"/>
        <v>#NAME?</v>
      </c>
      <c r="AJ22" s="625" t="e">
        <f ca="1"/>
        <v>#NAME?</v>
      </c>
      <c r="AK22" s="8" t="e">
        <f ca="1"/>
        <v>#NAME?</v>
      </c>
      <c r="AL22" s="8" t="e">
        <f ca="1"/>
        <v>#NAME?</v>
      </c>
      <c r="AM22" s="132" t="e">
        <f ca="1"/>
        <v>#NAME?</v>
      </c>
      <c r="AO22" s="625" t="e">
        <f ca="1"/>
        <v>#NAME?</v>
      </c>
      <c r="AP22" s="8" t="e">
        <f ca="1"/>
        <v>#NAME?</v>
      </c>
      <c r="AQ22" s="8" t="e">
        <f ca="1"/>
        <v>#NAME?</v>
      </c>
      <c r="AR22" s="132" t="e">
        <f ca="1"/>
        <v>#NAME?</v>
      </c>
      <c r="AT22" s="625" t="e">
        <f ca="1"/>
        <v>#NAME?</v>
      </c>
      <c r="AU22" s="8" t="e">
        <f ca="1"/>
        <v>#NAME?</v>
      </c>
      <c r="AV22" s="8" t="e">
        <f ca="1"/>
        <v>#NAME?</v>
      </c>
      <c r="AW22" s="132" t="e">
        <f ca="1"/>
        <v>#NAME?</v>
      </c>
    </row>
    <row r="23" spans="1:49">
      <c r="A23" s="1075" t="e">
        <f ca="1"/>
        <v>#NAME?</v>
      </c>
      <c r="B23" s="1076" t="e">
        <f ca="1"/>
        <v>#NAME?</v>
      </c>
      <c r="C23" s="1076" t="e">
        <f ca="1"/>
        <v>#NAME?</v>
      </c>
      <c r="D23" s="1077" t="e">
        <f ca="1"/>
        <v>#NAME?</v>
      </c>
      <c r="F23" s="1075" t="e">
        <f ca="1"/>
        <v>#NAME?</v>
      </c>
      <c r="G23" s="1076" t="e">
        <f ca="1"/>
        <v>#NAME?</v>
      </c>
      <c r="H23" s="1076" t="e">
        <f ca="1"/>
        <v>#NAME?</v>
      </c>
      <c r="I23" s="1077" t="e">
        <f ca="1"/>
        <v>#NAME?</v>
      </c>
      <c r="K23" s="1075" t="e">
        <f ca="1"/>
        <v>#NAME?</v>
      </c>
      <c r="L23" s="1076" t="e">
        <f ca="1"/>
        <v>#NAME?</v>
      </c>
      <c r="M23" s="1076" t="e">
        <f ca="1"/>
        <v>#NAME?</v>
      </c>
      <c r="N23" s="1077" t="e">
        <f ca="1"/>
        <v>#NAME?</v>
      </c>
      <c r="P23" s="1075" t="e">
        <f ca="1"/>
        <v>#NAME?</v>
      </c>
      <c r="Q23" s="1076" t="e">
        <f ca="1"/>
        <v>#NAME?</v>
      </c>
      <c r="R23" s="1076" t="e">
        <f ca="1"/>
        <v>#NAME?</v>
      </c>
      <c r="S23" s="1077" t="e">
        <f ca="1"/>
        <v>#NAME?</v>
      </c>
      <c r="U23" s="1075" t="e">
        <f ca="1"/>
        <v>#NAME?</v>
      </c>
      <c r="V23" s="1076" t="e">
        <f ca="1"/>
        <v>#NAME?</v>
      </c>
      <c r="W23" s="1076" t="e">
        <f ca="1"/>
        <v>#NAME?</v>
      </c>
      <c r="X23" s="1077" t="e">
        <f ca="1"/>
        <v>#NAME?</v>
      </c>
      <c r="Z23" s="1075" t="e">
        <f ca="1"/>
        <v>#NAME?</v>
      </c>
      <c r="AA23" s="1076" t="e">
        <f ca="1"/>
        <v>#NAME?</v>
      </c>
      <c r="AB23" s="1076" t="e">
        <f ca="1"/>
        <v>#NAME?</v>
      </c>
      <c r="AC23" s="1077" t="e">
        <f ca="1"/>
        <v>#NAME?</v>
      </c>
      <c r="AE23" s="1075" t="e">
        <f ca="1"/>
        <v>#NAME?</v>
      </c>
      <c r="AF23" s="1076" t="e">
        <f ca="1"/>
        <v>#NAME?</v>
      </c>
      <c r="AG23" s="1076" t="e">
        <f ca="1"/>
        <v>#NAME?</v>
      </c>
      <c r="AH23" s="1077" t="e">
        <f ca="1"/>
        <v>#NAME?</v>
      </c>
      <c r="AJ23" s="1075" t="e">
        <f ca="1"/>
        <v>#NAME?</v>
      </c>
      <c r="AK23" s="1076" t="e">
        <f ca="1"/>
        <v>#NAME?</v>
      </c>
      <c r="AL23" s="1076" t="e">
        <f ca="1"/>
        <v>#NAME?</v>
      </c>
      <c r="AM23" s="1077" t="e">
        <f ca="1"/>
        <v>#NAME?</v>
      </c>
      <c r="AO23" s="1075" t="e">
        <f ca="1"/>
        <v>#NAME?</v>
      </c>
      <c r="AP23" s="1076" t="e">
        <f ca="1"/>
        <v>#NAME?</v>
      </c>
      <c r="AQ23" s="1076" t="e">
        <f ca="1"/>
        <v>#NAME?</v>
      </c>
      <c r="AR23" s="1077" t="e">
        <f ca="1"/>
        <v>#NAME?</v>
      </c>
      <c r="AT23" s="1075" t="e">
        <f ca="1"/>
        <v>#NAME?</v>
      </c>
      <c r="AU23" s="1076" t="e">
        <f ca="1"/>
        <v>#NAME?</v>
      </c>
      <c r="AV23" s="1076" t="e">
        <f ca="1"/>
        <v>#NAME?</v>
      </c>
      <c r="AW23" s="1077" t="e">
        <f ca="1"/>
        <v>#NAME?</v>
      </c>
    </row>
    <row r="25" spans="1:49">
      <c r="A25" s="1232" t="e">
        <f t="array" aca="1" ref="A25:D29" ca="1">[1]!MISummary(A4:D23)</f>
        <v>#NAME?</v>
      </c>
      <c r="B25" s="1114" t="e">
        <f ca="1"/>
        <v>#NAME?</v>
      </c>
      <c r="C25" s="1114" t="e">
        <f ca="1"/>
        <v>#NAME?</v>
      </c>
      <c r="D25" s="1233" t="e">
        <f ca="1"/>
        <v>#NAME?</v>
      </c>
      <c r="F25" s="1232" t="e">
        <f t="array" aca="1" ref="F25:I29" ca="1">[1]!MISummary(F4:I23)</f>
        <v>#NAME?</v>
      </c>
      <c r="G25" s="1114" t="e">
        <f ca="1"/>
        <v>#NAME?</v>
      </c>
      <c r="H25" s="1114" t="e">
        <f ca="1"/>
        <v>#NAME?</v>
      </c>
      <c r="I25" s="1233" t="e">
        <f ca="1"/>
        <v>#NAME?</v>
      </c>
      <c r="K25" s="1232" t="e">
        <f t="array" aca="1" ref="K25:N29" ca="1">[1]!MISummary(K4:N23)</f>
        <v>#NAME?</v>
      </c>
      <c r="L25" s="1114" t="e">
        <f ca="1"/>
        <v>#NAME?</v>
      </c>
      <c r="M25" s="1114" t="e">
        <f ca="1"/>
        <v>#NAME?</v>
      </c>
      <c r="N25" s="1233" t="e">
        <f ca="1"/>
        <v>#NAME?</v>
      </c>
      <c r="P25" s="1232" t="e">
        <f t="array" aca="1" ref="P25:S29" ca="1">[1]!MISummary(P4:S23)</f>
        <v>#NAME?</v>
      </c>
      <c r="Q25" s="1114" t="e">
        <f ca="1"/>
        <v>#NAME?</v>
      </c>
      <c r="R25" s="1114" t="e">
        <f ca="1"/>
        <v>#NAME?</v>
      </c>
      <c r="S25" s="1233" t="e">
        <f ca="1"/>
        <v>#NAME?</v>
      </c>
      <c r="U25" s="1232" t="e">
        <f t="array" aca="1" ref="U25:X29" ca="1">[1]!MISummary(U4:X23)</f>
        <v>#NAME?</v>
      </c>
      <c r="V25" s="1114" t="e">
        <f ca="1"/>
        <v>#NAME?</v>
      </c>
      <c r="W25" s="1114" t="e">
        <f ca="1"/>
        <v>#NAME?</v>
      </c>
      <c r="X25" s="1233" t="e">
        <f ca="1"/>
        <v>#NAME?</v>
      </c>
      <c r="Z25" s="1232" t="e">
        <f t="array" aca="1" ref="Z25:AC29" ca="1">[1]!MISummary(Z4:AC23)</f>
        <v>#NAME?</v>
      </c>
      <c r="AA25" s="1114" t="e">
        <f ca="1"/>
        <v>#NAME?</v>
      </c>
      <c r="AB25" s="1114" t="e">
        <f ca="1"/>
        <v>#NAME?</v>
      </c>
      <c r="AC25" s="1233" t="e">
        <f ca="1"/>
        <v>#NAME?</v>
      </c>
      <c r="AE25" s="1232" t="e">
        <f t="array" aca="1" ref="AE25:AH29" ca="1">[1]!MISummary(AE4:AH23)</f>
        <v>#NAME?</v>
      </c>
      <c r="AF25" s="1114" t="e">
        <f ca="1"/>
        <v>#NAME?</v>
      </c>
      <c r="AG25" s="1114" t="e">
        <f ca="1"/>
        <v>#NAME?</v>
      </c>
      <c r="AH25" s="1233" t="e">
        <f ca="1"/>
        <v>#NAME?</v>
      </c>
      <c r="AJ25" s="1232" t="e">
        <f t="array" aca="1" ref="AJ25:AM29" ca="1">[1]!MISummary(AJ4:AM23)</f>
        <v>#NAME?</v>
      </c>
      <c r="AK25" s="1114" t="e">
        <f ca="1"/>
        <v>#NAME?</v>
      </c>
      <c r="AL25" s="1114" t="e">
        <f ca="1"/>
        <v>#NAME?</v>
      </c>
      <c r="AM25" s="1233" t="e">
        <f ca="1"/>
        <v>#NAME?</v>
      </c>
      <c r="AO25" s="1232" t="e">
        <f t="array" aca="1" ref="AO25:AR29" ca="1">[1]!MISummary(AO4:AR23)</f>
        <v>#NAME?</v>
      </c>
      <c r="AP25" s="1114" t="e">
        <f ca="1"/>
        <v>#NAME?</v>
      </c>
      <c r="AQ25" s="1114" t="e">
        <f ca="1"/>
        <v>#NAME?</v>
      </c>
      <c r="AR25" s="1233" t="e">
        <f ca="1"/>
        <v>#NAME?</v>
      </c>
      <c r="AT25" s="1232" t="e">
        <f t="array" aca="1" ref="AT25:AW29" ca="1">[1]!MISummary(AT4:AW23)</f>
        <v>#NAME?</v>
      </c>
      <c r="AU25" s="1114" t="e">
        <f ca="1"/>
        <v>#NAME?</v>
      </c>
      <c r="AV25" s="1114" t="e">
        <f ca="1"/>
        <v>#NAME?</v>
      </c>
      <c r="AW25" s="1233" t="e">
        <f ca="1"/>
        <v>#NAME?</v>
      </c>
    </row>
    <row r="26" spans="1:49">
      <c r="A26" s="625" t="e">
        <f ca="1"/>
        <v>#NAME?</v>
      </c>
      <c r="B26" s="8" t="e">
        <f ca="1"/>
        <v>#NAME?</v>
      </c>
      <c r="C26" s="8" t="e">
        <f ca="1"/>
        <v>#NAME?</v>
      </c>
      <c r="D26" s="132" t="e">
        <f ca="1"/>
        <v>#NAME?</v>
      </c>
      <c r="F26" s="625" t="e">
        <f ca="1"/>
        <v>#NAME?</v>
      </c>
      <c r="G26" s="8" t="e">
        <f ca="1"/>
        <v>#NAME?</v>
      </c>
      <c r="H26" s="8" t="e">
        <f ca="1"/>
        <v>#NAME?</v>
      </c>
      <c r="I26" s="132" t="e">
        <f ca="1"/>
        <v>#NAME?</v>
      </c>
      <c r="K26" s="625" t="e">
        <f ca="1"/>
        <v>#NAME?</v>
      </c>
      <c r="L26" s="8" t="e">
        <f ca="1"/>
        <v>#NAME?</v>
      </c>
      <c r="M26" s="8" t="e">
        <f ca="1"/>
        <v>#NAME?</v>
      </c>
      <c r="N26" s="132" t="e">
        <f ca="1"/>
        <v>#NAME?</v>
      </c>
      <c r="P26" s="625" t="e">
        <f ca="1"/>
        <v>#NAME?</v>
      </c>
      <c r="Q26" s="8" t="e">
        <f ca="1"/>
        <v>#NAME?</v>
      </c>
      <c r="R26" s="8" t="e">
        <f ca="1"/>
        <v>#NAME?</v>
      </c>
      <c r="S26" s="132" t="e">
        <f ca="1"/>
        <v>#NAME?</v>
      </c>
      <c r="U26" s="625" t="e">
        <f ca="1"/>
        <v>#NAME?</v>
      </c>
      <c r="V26" s="8" t="e">
        <f ca="1"/>
        <v>#NAME?</v>
      </c>
      <c r="W26" s="8" t="e">
        <f ca="1"/>
        <v>#NAME?</v>
      </c>
      <c r="X26" s="132" t="e">
        <f ca="1"/>
        <v>#NAME?</v>
      </c>
      <c r="Z26" s="625" t="e">
        <f ca="1"/>
        <v>#NAME?</v>
      </c>
      <c r="AA26" s="8" t="e">
        <f ca="1"/>
        <v>#NAME?</v>
      </c>
      <c r="AB26" s="8" t="e">
        <f ca="1"/>
        <v>#NAME?</v>
      </c>
      <c r="AC26" s="132" t="e">
        <f ca="1"/>
        <v>#NAME?</v>
      </c>
      <c r="AE26" s="625" t="e">
        <f ca="1"/>
        <v>#NAME?</v>
      </c>
      <c r="AF26" s="8" t="e">
        <f ca="1"/>
        <v>#NAME?</v>
      </c>
      <c r="AG26" s="8" t="e">
        <f ca="1"/>
        <v>#NAME?</v>
      </c>
      <c r="AH26" s="132" t="e">
        <f ca="1"/>
        <v>#NAME?</v>
      </c>
      <c r="AJ26" s="625" t="e">
        <f ca="1"/>
        <v>#NAME?</v>
      </c>
      <c r="AK26" s="8" t="e">
        <f ca="1"/>
        <v>#NAME?</v>
      </c>
      <c r="AL26" s="8" t="e">
        <f ca="1"/>
        <v>#NAME?</v>
      </c>
      <c r="AM26" s="132" t="e">
        <f ca="1"/>
        <v>#NAME?</v>
      </c>
      <c r="AO26" s="625" t="e">
        <f ca="1"/>
        <v>#NAME?</v>
      </c>
      <c r="AP26" s="8" t="e">
        <f ca="1"/>
        <v>#NAME?</v>
      </c>
      <c r="AQ26" s="8" t="e">
        <f ca="1"/>
        <v>#NAME?</v>
      </c>
      <c r="AR26" s="132" t="e">
        <f ca="1"/>
        <v>#NAME?</v>
      </c>
      <c r="AT26" s="625" t="e">
        <f ca="1"/>
        <v>#NAME?</v>
      </c>
      <c r="AU26" s="8" t="e">
        <f ca="1"/>
        <v>#NAME?</v>
      </c>
      <c r="AV26" s="8" t="e">
        <f ca="1"/>
        <v>#NAME?</v>
      </c>
      <c r="AW26" s="132" t="e">
        <f ca="1"/>
        <v>#NAME?</v>
      </c>
    </row>
    <row r="27" spans="1:49">
      <c r="A27" s="625" t="e">
        <f ca="1"/>
        <v>#NAME?</v>
      </c>
      <c r="B27" s="8" t="e">
        <f ca="1"/>
        <v>#NAME?</v>
      </c>
      <c r="C27" s="8" t="e">
        <f ca="1"/>
        <v>#NAME?</v>
      </c>
      <c r="D27" s="132" t="e">
        <f ca="1"/>
        <v>#NAME?</v>
      </c>
      <c r="F27" s="625" t="e">
        <f ca="1"/>
        <v>#NAME?</v>
      </c>
      <c r="G27" s="8" t="e">
        <f ca="1"/>
        <v>#NAME?</v>
      </c>
      <c r="H27" s="8" t="e">
        <f ca="1"/>
        <v>#NAME?</v>
      </c>
      <c r="I27" s="132" t="e">
        <f ca="1"/>
        <v>#NAME?</v>
      </c>
      <c r="K27" s="625" t="e">
        <f ca="1"/>
        <v>#NAME?</v>
      </c>
      <c r="L27" s="8" t="e">
        <f ca="1"/>
        <v>#NAME?</v>
      </c>
      <c r="M27" s="8" t="e">
        <f ca="1"/>
        <v>#NAME?</v>
      </c>
      <c r="N27" s="132" t="e">
        <f ca="1"/>
        <v>#NAME?</v>
      </c>
      <c r="P27" s="625" t="e">
        <f ca="1"/>
        <v>#NAME?</v>
      </c>
      <c r="Q27" s="8" t="e">
        <f ca="1"/>
        <v>#NAME?</v>
      </c>
      <c r="R27" s="8" t="e">
        <f ca="1"/>
        <v>#NAME?</v>
      </c>
      <c r="S27" s="132" t="e">
        <f ca="1"/>
        <v>#NAME?</v>
      </c>
      <c r="U27" s="625" t="e">
        <f ca="1"/>
        <v>#NAME?</v>
      </c>
      <c r="V27" s="8" t="e">
        <f ca="1"/>
        <v>#NAME?</v>
      </c>
      <c r="W27" s="8" t="e">
        <f ca="1"/>
        <v>#NAME?</v>
      </c>
      <c r="X27" s="132" t="e">
        <f ca="1"/>
        <v>#NAME?</v>
      </c>
      <c r="Z27" s="625" t="e">
        <f ca="1"/>
        <v>#NAME?</v>
      </c>
      <c r="AA27" s="8" t="e">
        <f ca="1"/>
        <v>#NAME?</v>
      </c>
      <c r="AB27" s="8" t="e">
        <f ca="1"/>
        <v>#NAME?</v>
      </c>
      <c r="AC27" s="132" t="e">
        <f ca="1"/>
        <v>#NAME?</v>
      </c>
      <c r="AE27" s="625" t="e">
        <f ca="1"/>
        <v>#NAME?</v>
      </c>
      <c r="AF27" s="8" t="e">
        <f ca="1"/>
        <v>#NAME?</v>
      </c>
      <c r="AG27" s="8" t="e">
        <f ca="1"/>
        <v>#NAME?</v>
      </c>
      <c r="AH27" s="132" t="e">
        <f ca="1"/>
        <v>#NAME?</v>
      </c>
      <c r="AJ27" s="625" t="e">
        <f ca="1"/>
        <v>#NAME?</v>
      </c>
      <c r="AK27" s="8" t="e">
        <f ca="1"/>
        <v>#NAME?</v>
      </c>
      <c r="AL27" s="8" t="e">
        <f ca="1"/>
        <v>#NAME?</v>
      </c>
      <c r="AM27" s="132" t="e">
        <f ca="1"/>
        <v>#NAME?</v>
      </c>
      <c r="AO27" s="625" t="e">
        <f ca="1"/>
        <v>#NAME?</v>
      </c>
      <c r="AP27" s="8" t="e">
        <f ca="1"/>
        <v>#NAME?</v>
      </c>
      <c r="AQ27" s="8" t="e">
        <f ca="1"/>
        <v>#NAME?</v>
      </c>
      <c r="AR27" s="132" t="e">
        <f ca="1"/>
        <v>#NAME?</v>
      </c>
      <c r="AT27" s="625" t="e">
        <f ca="1"/>
        <v>#NAME?</v>
      </c>
      <c r="AU27" s="8" t="e">
        <f ca="1"/>
        <v>#NAME?</v>
      </c>
      <c r="AV27" s="8" t="e">
        <f ca="1"/>
        <v>#NAME?</v>
      </c>
      <c r="AW27" s="132" t="e">
        <f ca="1"/>
        <v>#NAME?</v>
      </c>
    </row>
    <row r="28" spans="1:49">
      <c r="A28" s="625" t="e">
        <f ca="1"/>
        <v>#NAME?</v>
      </c>
      <c r="B28" s="8" t="e">
        <f ca="1"/>
        <v>#NAME?</v>
      </c>
      <c r="C28" s="8" t="e">
        <f ca="1"/>
        <v>#NAME?</v>
      </c>
      <c r="D28" s="132" t="e">
        <f ca="1"/>
        <v>#NAME?</v>
      </c>
      <c r="F28" s="625" t="e">
        <f ca="1"/>
        <v>#NAME?</v>
      </c>
      <c r="G28" s="8" t="e">
        <f ca="1"/>
        <v>#NAME?</v>
      </c>
      <c r="H28" s="8" t="e">
        <f ca="1"/>
        <v>#NAME?</v>
      </c>
      <c r="I28" s="132" t="e">
        <f ca="1"/>
        <v>#NAME?</v>
      </c>
      <c r="K28" s="625" t="e">
        <f ca="1"/>
        <v>#NAME?</v>
      </c>
      <c r="L28" s="8" t="e">
        <f ca="1"/>
        <v>#NAME?</v>
      </c>
      <c r="M28" s="8" t="e">
        <f ca="1"/>
        <v>#NAME?</v>
      </c>
      <c r="N28" s="132" t="e">
        <f ca="1"/>
        <v>#NAME?</v>
      </c>
      <c r="P28" s="625" t="e">
        <f ca="1"/>
        <v>#NAME?</v>
      </c>
      <c r="Q28" s="8" t="e">
        <f ca="1"/>
        <v>#NAME?</v>
      </c>
      <c r="R28" s="8" t="e">
        <f ca="1"/>
        <v>#NAME?</v>
      </c>
      <c r="S28" s="132" t="e">
        <f ca="1"/>
        <v>#NAME?</v>
      </c>
      <c r="U28" s="625" t="e">
        <f ca="1"/>
        <v>#NAME?</v>
      </c>
      <c r="V28" s="8" t="e">
        <f ca="1"/>
        <v>#NAME?</v>
      </c>
      <c r="W28" s="8" t="e">
        <f ca="1"/>
        <v>#NAME?</v>
      </c>
      <c r="X28" s="132" t="e">
        <f ca="1"/>
        <v>#NAME?</v>
      </c>
      <c r="Z28" s="625" t="e">
        <f ca="1"/>
        <v>#NAME?</v>
      </c>
      <c r="AA28" s="8" t="e">
        <f ca="1"/>
        <v>#NAME?</v>
      </c>
      <c r="AB28" s="8" t="e">
        <f ca="1"/>
        <v>#NAME?</v>
      </c>
      <c r="AC28" s="132" t="e">
        <f ca="1"/>
        <v>#NAME?</v>
      </c>
      <c r="AE28" s="625" t="e">
        <f ca="1"/>
        <v>#NAME?</v>
      </c>
      <c r="AF28" s="8" t="e">
        <f ca="1"/>
        <v>#NAME?</v>
      </c>
      <c r="AG28" s="8" t="e">
        <f ca="1"/>
        <v>#NAME?</v>
      </c>
      <c r="AH28" s="132" t="e">
        <f ca="1"/>
        <v>#NAME?</v>
      </c>
      <c r="AJ28" s="625" t="e">
        <f ca="1"/>
        <v>#NAME?</v>
      </c>
      <c r="AK28" s="8" t="e">
        <f ca="1"/>
        <v>#NAME?</v>
      </c>
      <c r="AL28" s="8" t="e">
        <f ca="1"/>
        <v>#NAME?</v>
      </c>
      <c r="AM28" s="132" t="e">
        <f ca="1"/>
        <v>#NAME?</v>
      </c>
      <c r="AO28" s="625" t="e">
        <f ca="1"/>
        <v>#NAME?</v>
      </c>
      <c r="AP28" s="8" t="e">
        <f ca="1"/>
        <v>#NAME?</v>
      </c>
      <c r="AQ28" s="8" t="e">
        <f ca="1"/>
        <v>#NAME?</v>
      </c>
      <c r="AR28" s="132" t="e">
        <f ca="1"/>
        <v>#NAME?</v>
      </c>
      <c r="AT28" s="625" t="e">
        <f ca="1"/>
        <v>#NAME?</v>
      </c>
      <c r="AU28" s="8" t="e">
        <f ca="1"/>
        <v>#NAME?</v>
      </c>
      <c r="AV28" s="8" t="e">
        <f ca="1"/>
        <v>#NAME?</v>
      </c>
      <c r="AW28" s="132" t="e">
        <f ca="1"/>
        <v>#NAME?</v>
      </c>
    </row>
    <row r="29" spans="1:49">
      <c r="A29" s="1075" t="e">
        <f ca="1"/>
        <v>#NAME?</v>
      </c>
      <c r="B29" s="1076" t="e">
        <f ca="1"/>
        <v>#NAME?</v>
      </c>
      <c r="C29" s="1076" t="e">
        <f ca="1"/>
        <v>#NAME?</v>
      </c>
      <c r="D29" s="1077" t="e">
        <f ca="1"/>
        <v>#NAME?</v>
      </c>
      <c r="F29" s="1075" t="e">
        <f ca="1"/>
        <v>#NAME?</v>
      </c>
      <c r="G29" s="1076" t="e">
        <f ca="1"/>
        <v>#NAME?</v>
      </c>
      <c r="H29" s="1076" t="e">
        <f ca="1"/>
        <v>#NAME?</v>
      </c>
      <c r="I29" s="1077" t="e">
        <f ca="1"/>
        <v>#NAME?</v>
      </c>
      <c r="K29" s="1075" t="e">
        <f ca="1"/>
        <v>#NAME?</v>
      </c>
      <c r="L29" s="1076" t="e">
        <f ca="1"/>
        <v>#NAME?</v>
      </c>
      <c r="M29" s="1076" t="e">
        <f ca="1"/>
        <v>#NAME?</v>
      </c>
      <c r="N29" s="1077" t="e">
        <f ca="1"/>
        <v>#NAME?</v>
      </c>
      <c r="P29" s="1075" t="e">
        <f ca="1"/>
        <v>#NAME?</v>
      </c>
      <c r="Q29" s="1076" t="e">
        <f ca="1"/>
        <v>#NAME?</v>
      </c>
      <c r="R29" s="1076" t="e">
        <f ca="1"/>
        <v>#NAME?</v>
      </c>
      <c r="S29" s="1077" t="e">
        <f ca="1"/>
        <v>#NAME?</v>
      </c>
      <c r="U29" s="1075" t="e">
        <f ca="1"/>
        <v>#NAME?</v>
      </c>
      <c r="V29" s="1076" t="e">
        <f ca="1"/>
        <v>#NAME?</v>
      </c>
      <c r="W29" s="1076" t="e">
        <f ca="1"/>
        <v>#NAME?</v>
      </c>
      <c r="X29" s="1077" t="e">
        <f ca="1"/>
        <v>#NAME?</v>
      </c>
      <c r="Z29" s="1075" t="e">
        <f ca="1"/>
        <v>#NAME?</v>
      </c>
      <c r="AA29" s="1076" t="e">
        <f ca="1"/>
        <v>#NAME?</v>
      </c>
      <c r="AB29" s="1076" t="e">
        <f ca="1"/>
        <v>#NAME?</v>
      </c>
      <c r="AC29" s="1077" t="e">
        <f ca="1"/>
        <v>#NAME?</v>
      </c>
      <c r="AE29" s="1075" t="e">
        <f ca="1"/>
        <v>#NAME?</v>
      </c>
      <c r="AF29" s="1076" t="e">
        <f ca="1"/>
        <v>#NAME?</v>
      </c>
      <c r="AG29" s="1076" t="e">
        <f ca="1"/>
        <v>#NAME?</v>
      </c>
      <c r="AH29" s="1077" t="e">
        <f ca="1"/>
        <v>#NAME?</v>
      </c>
      <c r="AJ29" s="1075" t="e">
        <f ca="1"/>
        <v>#NAME?</v>
      </c>
      <c r="AK29" s="1076" t="e">
        <f ca="1"/>
        <v>#NAME?</v>
      </c>
      <c r="AL29" s="1076" t="e">
        <f ca="1"/>
        <v>#NAME?</v>
      </c>
      <c r="AM29" s="1077" t="e">
        <f ca="1"/>
        <v>#NAME?</v>
      </c>
      <c r="AO29" s="1075" t="e">
        <f ca="1"/>
        <v>#NAME?</v>
      </c>
      <c r="AP29" s="1076" t="e">
        <f ca="1"/>
        <v>#NAME?</v>
      </c>
      <c r="AQ29" s="1076" t="e">
        <f ca="1"/>
        <v>#NAME?</v>
      </c>
      <c r="AR29" s="1077" t="e">
        <f ca="1"/>
        <v>#NAME?</v>
      </c>
      <c r="AT29" s="1075" t="e">
        <f ca="1"/>
        <v>#NAME?</v>
      </c>
      <c r="AU29" s="1076" t="e">
        <f ca="1"/>
        <v>#NAME?</v>
      </c>
      <c r="AV29" s="1076" t="e">
        <f ca="1"/>
        <v>#NAME?</v>
      </c>
      <c r="AW29" s="1077" t="e">
        <f ca="1"/>
        <v>#NAME?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sheetPr codeName="Sheet320"/>
  <dimension ref="A1:AE29"/>
  <sheetViews>
    <sheetView workbookViewId="0"/>
  </sheetViews>
  <sheetFormatPr defaultRowHeight="14.4"/>
  <cols>
    <col min="25" max="25" width="17" customWidth="1"/>
  </cols>
  <sheetData>
    <row r="1" spans="1:31">
      <c r="A1" s="1" t="s">
        <v>3366</v>
      </c>
    </row>
    <row r="3" spans="1:31">
      <c r="A3" s="1274" t="s">
        <v>3354</v>
      </c>
      <c r="B3" s="1274" t="s">
        <v>3352</v>
      </c>
      <c r="C3" s="1274" t="s">
        <v>3333</v>
      </c>
      <c r="D3" s="1274" t="s">
        <v>3332</v>
      </c>
      <c r="E3" s="1274" t="s">
        <v>3353</v>
      </c>
      <c r="H3" t="s">
        <v>3358</v>
      </c>
      <c r="I3" t="s">
        <v>3359</v>
      </c>
      <c r="J3" t="s">
        <v>3360</v>
      </c>
      <c r="L3" t="s">
        <v>3375</v>
      </c>
      <c r="S3" t="s">
        <v>3383</v>
      </c>
      <c r="Y3" t="s">
        <v>2744</v>
      </c>
    </row>
    <row r="4" spans="1:31">
      <c r="A4" s="1274">
        <v>1</v>
      </c>
      <c r="B4" s="1242">
        <v>12</v>
      </c>
      <c r="C4" s="1248">
        <v>27</v>
      </c>
      <c r="D4" s="1248">
        <v>19</v>
      </c>
      <c r="E4" s="1243">
        <v>44</v>
      </c>
      <c r="G4" t="s">
        <v>3333</v>
      </c>
      <c r="H4" s="1236">
        <v>20</v>
      </c>
      <c r="I4" s="1152">
        <v>50.4</v>
      </c>
      <c r="J4" s="1237" t="b">
        <v>1</v>
      </c>
    </row>
    <row r="5" spans="1:31" ht="15" thickBot="1">
      <c r="A5" s="1274">
        <f>A4+1</f>
        <v>2</v>
      </c>
      <c r="B5" s="750">
        <v>11</v>
      </c>
      <c r="C5" s="42" t="s">
        <v>28</v>
      </c>
      <c r="D5" s="42">
        <v>13</v>
      </c>
      <c r="E5" s="838">
        <v>43</v>
      </c>
      <c r="G5" t="s">
        <v>3332</v>
      </c>
      <c r="H5" s="533"/>
      <c r="I5" s="1078">
        <v>28.5</v>
      </c>
      <c r="J5" s="541"/>
      <c r="L5" t="e">
        <f t="array" aca="1" ref="L5:P10" ca="1">[1]!DescStats(B3:E23,TRUE,TRUE)</f>
        <v>#NAME?</v>
      </c>
      <c r="M5" s="1274" t="e">
        <f ca="1"/>
        <v>#NAME?</v>
      </c>
      <c r="N5" s="1274" t="e">
        <f ca="1"/>
        <v>#NAME?</v>
      </c>
      <c r="O5" s="1274" t="e">
        <f ca="1"/>
        <v>#NAME?</v>
      </c>
      <c r="P5" s="1274" t="e">
        <f ca="1"/>
        <v>#NAME?</v>
      </c>
      <c r="T5" s="1274" t="str">
        <f>B3</f>
        <v>read</v>
      </c>
      <c r="U5" s="1274" t="str">
        <f>C3</f>
        <v>science</v>
      </c>
      <c r="V5" s="1274" t="str">
        <f>D3</f>
        <v>math</v>
      </c>
      <c r="W5" s="1274" t="str">
        <f>E3</f>
        <v>medicine</v>
      </c>
      <c r="Y5" s="1059" t="s">
        <v>2750</v>
      </c>
      <c r="Z5" s="1059"/>
    </row>
    <row r="6" spans="1:31" ht="15" thickTop="1">
      <c r="A6" s="1274">
        <f t="shared" ref="A6:A23" si="0">A5+1</f>
        <v>3</v>
      </c>
      <c r="B6" s="750" t="s">
        <v>28</v>
      </c>
      <c r="C6" s="42">
        <v>56</v>
      </c>
      <c r="D6" s="42">
        <v>23</v>
      </c>
      <c r="E6" s="838">
        <v>60</v>
      </c>
      <c r="L6" t="e">
        <f ca="1"/>
        <v>#NAME?</v>
      </c>
      <c r="M6" s="1232" t="e">
        <f ca="1"/>
        <v>#NAME?</v>
      </c>
      <c r="N6" s="1114" t="e">
        <f ca="1"/>
        <v>#NAME?</v>
      </c>
      <c r="O6" s="1114" t="e">
        <f ca="1"/>
        <v>#NAME?</v>
      </c>
      <c r="P6" s="1233" t="e">
        <f ca="1"/>
        <v>#NAME?</v>
      </c>
      <c r="S6" t="s">
        <v>63</v>
      </c>
      <c r="T6" s="1232" t="e">
        <f t="array" aca="1" ref="T6:W10" ca="1">[1]!MICombine('MI 9a'!A25:D29,10,1,FALSE,FALSE)</f>
        <v>#NAME?</v>
      </c>
      <c r="U6" s="1114" t="e">
        <f ca="1"/>
        <v>#NAME?</v>
      </c>
      <c r="V6" s="1114" t="e">
        <f ca="1"/>
        <v>#NAME?</v>
      </c>
      <c r="W6" s="1233" t="e">
        <f ca="1"/>
        <v>#NAME?</v>
      </c>
      <c r="Y6" t="s">
        <v>693</v>
      </c>
      <c r="Z6" t="e">
        <f ca="1">SQRT(Z7)</f>
        <v>#NAME?</v>
      </c>
    </row>
    <row r="7" spans="1:31">
      <c r="A7" s="1274">
        <f t="shared" si="0"/>
        <v>4</v>
      </c>
      <c r="B7" s="750">
        <v>15</v>
      </c>
      <c r="C7" s="42">
        <v>37</v>
      </c>
      <c r="D7" s="42">
        <v>19</v>
      </c>
      <c r="E7" s="838">
        <v>52</v>
      </c>
      <c r="L7" t="e">
        <f ca="1"/>
        <v>#NAME?</v>
      </c>
      <c r="M7" s="625" t="e">
        <f ca="1"/>
        <v>#NAME?</v>
      </c>
      <c r="N7" s="8" t="e">
        <f ca="1"/>
        <v>#NAME?</v>
      </c>
      <c r="O7" s="8" t="e">
        <f ca="1"/>
        <v>#NAME?</v>
      </c>
      <c r="P7" s="132" t="e">
        <f ca="1"/>
        <v>#NAME?</v>
      </c>
      <c r="S7" t="s">
        <v>67</v>
      </c>
      <c r="T7" s="625" t="e">
        <f ca="1"/>
        <v>#NAME?</v>
      </c>
      <c r="U7" s="8" t="e">
        <f ca="1"/>
        <v>#NAME?</v>
      </c>
      <c r="V7" s="8" t="e">
        <f ca="1"/>
        <v>#NAME?</v>
      </c>
      <c r="W7" s="132" t="e">
        <f ca="1"/>
        <v>#NAME?</v>
      </c>
      <c r="Y7" t="s">
        <v>686</v>
      </c>
      <c r="Z7" t="e">
        <f ca="1">T10</f>
        <v>#NAME?</v>
      </c>
    </row>
    <row r="8" spans="1:31">
      <c r="A8" s="1274">
        <f t="shared" si="0"/>
        <v>5</v>
      </c>
      <c r="B8" s="750">
        <v>10</v>
      </c>
      <c r="C8" s="42">
        <v>31</v>
      </c>
      <c r="D8" s="42">
        <v>21</v>
      </c>
      <c r="E8" s="838" t="s">
        <v>28</v>
      </c>
      <c r="L8" t="e">
        <f ca="1"/>
        <v>#NAME?</v>
      </c>
      <c r="M8" s="625" t="e">
        <f ca="1"/>
        <v>#NAME?</v>
      </c>
      <c r="N8" s="8" t="e">
        <f ca="1"/>
        <v>#NAME?</v>
      </c>
      <c r="O8" s="8" t="e">
        <f ca="1"/>
        <v>#NAME?</v>
      </c>
      <c r="P8" s="132" t="e">
        <f ca="1"/>
        <v>#NAME?</v>
      </c>
      <c r="S8" t="s">
        <v>2743</v>
      </c>
      <c r="T8" s="625" t="e">
        <f ca="1"/>
        <v>#NAME?</v>
      </c>
      <c r="U8" s="8" t="e">
        <f ca="1"/>
        <v>#NAME?</v>
      </c>
      <c r="V8" s="8" t="e">
        <f ca="1"/>
        <v>#NAME?</v>
      </c>
      <c r="W8" s="132" t="e">
        <f ca="1"/>
        <v>#NAME?</v>
      </c>
      <c r="Y8" t="s">
        <v>694</v>
      </c>
      <c r="Z8" t="e">
        <f ca="1">1-(1-Z7)*(Z10-1)/(Z10-Z14-1)</f>
        <v>#NAME?</v>
      </c>
    </row>
    <row r="9" spans="1:31">
      <c r="A9" s="1274">
        <f t="shared" si="0"/>
        <v>6</v>
      </c>
      <c r="B9" s="750">
        <v>18</v>
      </c>
      <c r="C9" s="42">
        <v>40</v>
      </c>
      <c r="D9" s="42">
        <v>22</v>
      </c>
      <c r="E9" s="838">
        <v>43</v>
      </c>
      <c r="L9" t="e">
        <f ca="1"/>
        <v>#NAME?</v>
      </c>
      <c r="M9" s="625" t="e">
        <f ca="1"/>
        <v>#NAME?</v>
      </c>
      <c r="N9" s="8" t="e">
        <f ca="1"/>
        <v>#NAME?</v>
      </c>
      <c r="O9" s="8" t="e">
        <f ca="1"/>
        <v>#NAME?</v>
      </c>
      <c r="P9" s="132" t="e">
        <f ca="1"/>
        <v>#NAME?</v>
      </c>
      <c r="S9" t="s">
        <v>826</v>
      </c>
      <c r="T9" s="625" t="e">
        <f ca="1"/>
        <v>#NAME?</v>
      </c>
      <c r="U9" s="8" t="e">
        <f ca="1"/>
        <v>#NAME?</v>
      </c>
      <c r="V9" s="8" t="e">
        <f ca="1"/>
        <v>#NAME?</v>
      </c>
      <c r="W9" s="132" t="e">
        <f ca="1"/>
        <v>#NAME?</v>
      </c>
      <c r="Y9" t="s">
        <v>77</v>
      </c>
      <c r="Z9" t="e">
        <f ca="1">SQRT(AB15)</f>
        <v>#NAME?</v>
      </c>
    </row>
    <row r="10" spans="1:31">
      <c r="A10" s="1274">
        <f t="shared" si="0"/>
        <v>7</v>
      </c>
      <c r="B10" s="750">
        <v>15</v>
      </c>
      <c r="C10" s="42">
        <v>50</v>
      </c>
      <c r="D10" s="42">
        <v>28</v>
      </c>
      <c r="E10" s="838">
        <v>56</v>
      </c>
      <c r="L10" t="e">
        <f ca="1"/>
        <v>#NAME?</v>
      </c>
      <c r="M10" s="1075" t="e">
        <f ca="1"/>
        <v>#NAME?</v>
      </c>
      <c r="N10" s="1076" t="e">
        <f ca="1"/>
        <v>#NAME?</v>
      </c>
      <c r="O10" s="1076" t="e">
        <f ca="1"/>
        <v>#NAME?</v>
      </c>
      <c r="P10" s="1077" t="e">
        <f ca="1"/>
        <v>#NAME?</v>
      </c>
      <c r="S10" t="s">
        <v>3384</v>
      </c>
      <c r="T10" s="1075" t="e">
        <f ca="1"/>
        <v>#NAME?</v>
      </c>
      <c r="U10" s="1076" t="e">
        <f ca="1"/>
        <v>#NAME?</v>
      </c>
      <c r="V10" s="1076" t="e">
        <f ca="1"/>
        <v>#NAME?</v>
      </c>
      <c r="W10" s="1077" t="e">
        <f ca="1"/>
        <v>#NAME?</v>
      </c>
      <c r="Y10" s="1078" t="s">
        <v>224</v>
      </c>
      <c r="Z10" s="1078" t="e">
        <f ca="1">U10</f>
        <v>#NAME?</v>
      </c>
    </row>
    <row r="11" spans="1:31">
      <c r="A11" s="1274">
        <f t="shared" si="0"/>
        <v>8</v>
      </c>
      <c r="B11" s="750">
        <v>21</v>
      </c>
      <c r="C11" s="42" t="s">
        <v>28</v>
      </c>
      <c r="D11" s="42" t="s">
        <v>28</v>
      </c>
      <c r="E11" s="838">
        <v>46</v>
      </c>
    </row>
    <row r="12" spans="1:31" ht="15" thickBot="1">
      <c r="A12" s="1274">
        <f t="shared" si="0"/>
        <v>9</v>
      </c>
      <c r="B12" s="750">
        <v>20</v>
      </c>
      <c r="C12" s="42">
        <v>39</v>
      </c>
      <c r="D12" s="42">
        <v>25</v>
      </c>
      <c r="E12" s="838">
        <v>51</v>
      </c>
      <c r="L12" t="s">
        <v>3355</v>
      </c>
      <c r="Y12" t="s">
        <v>695</v>
      </c>
      <c r="AC12" s="1274" t="s">
        <v>116</v>
      </c>
      <c r="AD12" s="1274">
        <v>0.05</v>
      </c>
    </row>
    <row r="13" spans="1:31" ht="15" thickTop="1">
      <c r="A13" s="1274">
        <f t="shared" si="0"/>
        <v>10</v>
      </c>
      <c r="B13" s="750" t="s">
        <v>28</v>
      </c>
      <c r="C13" s="42">
        <v>36</v>
      </c>
      <c r="D13" s="42">
        <v>23</v>
      </c>
      <c r="E13" s="838">
        <v>56</v>
      </c>
      <c r="Y13" s="1151"/>
      <c r="Z13" s="1151" t="s">
        <v>186</v>
      </c>
      <c r="AA13" s="1151" t="s">
        <v>578</v>
      </c>
      <c r="AB13" s="1151" t="s">
        <v>641</v>
      </c>
      <c r="AC13" s="1151" t="s">
        <v>388</v>
      </c>
      <c r="AD13" s="1151" t="s">
        <v>200</v>
      </c>
      <c r="AE13" s="1151" t="s">
        <v>948</v>
      </c>
    </row>
    <row r="14" spans="1:31">
      <c r="A14" s="1274">
        <f t="shared" si="0"/>
        <v>11</v>
      </c>
      <c r="B14" s="750" t="s">
        <v>28</v>
      </c>
      <c r="C14" s="42">
        <v>27</v>
      </c>
      <c r="D14" s="42">
        <v>21</v>
      </c>
      <c r="E14" s="838">
        <v>39</v>
      </c>
      <c r="L14" s="1274" t="e">
        <f t="array" aca="1" ref="L14:Q16" ca="1">[1]!MissingFreq(B3:E23)</f>
        <v>#NAME?</v>
      </c>
      <c r="M14" s="1274" t="e">
        <f ca="1"/>
        <v>#NAME?</v>
      </c>
      <c r="N14" s="1274" t="e">
        <f ca="1"/>
        <v>#NAME?</v>
      </c>
      <c r="O14" s="1274" t="e">
        <f ca="1"/>
        <v>#NAME?</v>
      </c>
      <c r="P14" s="1274" t="e">
        <f ca="1"/>
        <v>#NAME?</v>
      </c>
      <c r="Q14" s="1274" t="e">
        <f ca="1"/>
        <v>#NAME?</v>
      </c>
      <c r="Y14" t="s">
        <v>623</v>
      </c>
      <c r="Z14">
        <f ca="1">COUNT(T6:W6)-1</f>
        <v>-1</v>
      </c>
      <c r="AA14" t="e">
        <f ca="1">Z7*AA16</f>
        <v>#NAME?</v>
      </c>
      <c r="AB14" t="e">
        <f ca="1">AA14/Z14</f>
        <v>#NAME?</v>
      </c>
      <c r="AC14" t="e">
        <f ca="1">AB14/AB15</f>
        <v>#NAME?</v>
      </c>
      <c r="AD14" t="e">
        <f ca="1">FDIST(AC14,Z14,Z15)</f>
        <v>#NAME?</v>
      </c>
      <c r="AE14" s="1274" t="e">
        <f ca="1">IF(AD14&lt;AD12,"yes","no")</f>
        <v>#NAME?</v>
      </c>
    </row>
    <row r="15" spans="1:31">
      <c r="A15" s="1274">
        <f t="shared" si="0"/>
        <v>12</v>
      </c>
      <c r="B15" s="750">
        <v>14</v>
      </c>
      <c r="C15" s="42">
        <v>32</v>
      </c>
      <c r="D15" s="42">
        <v>20</v>
      </c>
      <c r="E15" s="838">
        <v>46</v>
      </c>
      <c r="L15" s="1232" t="e">
        <f ca="1"/>
        <v>#NAME?</v>
      </c>
      <c r="M15" s="1114" t="e">
        <f ca="1"/>
        <v>#NAME?</v>
      </c>
      <c r="N15" s="1114" t="e">
        <f ca="1"/>
        <v>#NAME?</v>
      </c>
      <c r="O15" s="1114" t="e">
        <f ca="1"/>
        <v>#NAME?</v>
      </c>
      <c r="P15" s="1114" t="e">
        <f ca="1"/>
        <v>#NAME?</v>
      </c>
      <c r="Q15" s="1233" t="e">
        <f ca="1"/>
        <v>#NAME?</v>
      </c>
      <c r="Y15" t="s">
        <v>696</v>
      </c>
      <c r="Z15" t="e">
        <f ca="1">Z16-Z14</f>
        <v>#NAME?</v>
      </c>
      <c r="AA15" t="e">
        <f ca="1">AA16-AA14</f>
        <v>#NAME?</v>
      </c>
      <c r="AB15" t="e">
        <f ca="1">AA15/Z15</f>
        <v>#NAME?</v>
      </c>
    </row>
    <row r="16" spans="1:31">
      <c r="A16" s="1274">
        <f t="shared" si="0"/>
        <v>13</v>
      </c>
      <c r="B16" s="750">
        <v>22</v>
      </c>
      <c r="C16" s="42">
        <v>40</v>
      </c>
      <c r="D16" s="42" t="s">
        <v>28</v>
      </c>
      <c r="E16" s="838">
        <v>49</v>
      </c>
      <c r="L16" s="1261" t="e">
        <f ca="1"/>
        <v>#NAME?</v>
      </c>
      <c r="M16" s="1262" t="e">
        <f ca="1"/>
        <v>#NAME?</v>
      </c>
      <c r="N16" s="1262" t="e">
        <f ca="1"/>
        <v>#NAME?</v>
      </c>
      <c r="O16" s="1262" t="e">
        <f ca="1"/>
        <v>#NAME?</v>
      </c>
      <c r="P16" s="1262" t="e">
        <f ca="1"/>
        <v>#NAME?</v>
      </c>
      <c r="Q16" s="1260" t="e">
        <f ca="1"/>
        <v>#NAME?</v>
      </c>
      <c r="Y16" s="1078" t="s">
        <v>12</v>
      </c>
      <c r="Z16" s="1078" t="e">
        <f ca="1">Z10-1</f>
        <v>#NAME?</v>
      </c>
      <c r="AA16" s="1078" t="e">
        <f ca="1">W7^2*Z16</f>
        <v>#NAME?</v>
      </c>
      <c r="AB16" s="1078"/>
      <c r="AC16" s="1078"/>
      <c r="AD16" s="1078"/>
      <c r="AE16" s="1078"/>
    </row>
    <row r="17" spans="1:31" ht="15" thickBot="1">
      <c r="A17" s="1274">
        <f t="shared" si="0"/>
        <v>14</v>
      </c>
      <c r="B17" s="750" t="s">
        <v>28</v>
      </c>
      <c r="C17" s="42">
        <v>31</v>
      </c>
      <c r="D17" s="42" t="s">
        <v>28</v>
      </c>
      <c r="E17" s="838">
        <v>44</v>
      </c>
    </row>
    <row r="18" spans="1:31" ht="15" thickTop="1">
      <c r="A18" s="1274">
        <f t="shared" si="0"/>
        <v>15</v>
      </c>
      <c r="B18" s="750" t="s">
        <v>28</v>
      </c>
      <c r="C18" s="42">
        <v>18</v>
      </c>
      <c r="D18" s="42">
        <v>21</v>
      </c>
      <c r="E18" s="838" t="s">
        <v>28</v>
      </c>
      <c r="L18" t="s">
        <v>3356</v>
      </c>
      <c r="Y18" s="1151"/>
      <c r="Z18" s="1151" t="s">
        <v>2743</v>
      </c>
      <c r="AA18" s="1151" t="s">
        <v>1469</v>
      </c>
      <c r="AB18" s="1151" t="s">
        <v>188</v>
      </c>
      <c r="AC18" s="1151" t="s">
        <v>200</v>
      </c>
      <c r="AD18" s="1151" t="s">
        <v>103</v>
      </c>
      <c r="AE18" s="1151" t="s">
        <v>104</v>
      </c>
    </row>
    <row r="19" spans="1:31">
      <c r="A19" s="1274">
        <f t="shared" si="0"/>
        <v>16</v>
      </c>
      <c r="B19" s="750">
        <v>16</v>
      </c>
      <c r="C19" s="42">
        <v>23</v>
      </c>
      <c r="D19" s="42">
        <v>21</v>
      </c>
      <c r="E19" s="838">
        <v>34</v>
      </c>
      <c r="Y19" t="s">
        <v>697</v>
      </c>
      <c r="Z19" t="e">
        <f ca="1">W8</f>
        <v>#NAME?</v>
      </c>
      <c r="AA19" t="e">
        <f ca="1">W9</f>
        <v>#NAME?</v>
      </c>
      <c r="AB19" t="e">
        <f ca="1">Z19/AA19</f>
        <v>#NAME?</v>
      </c>
      <c r="AC19" t="e">
        <f ca="1">TDIST(ABS(AB19),$Z$15,2)</f>
        <v>#NAME?</v>
      </c>
      <c r="AD19" t="e">
        <f ca="1">Z19-TINV(AD$12,$Z$15)*AA19</f>
        <v>#NAME?</v>
      </c>
      <c r="AE19" t="e">
        <f ca="1">Z19+TINV(AD$12,$Z$15)*AA19</f>
        <v>#NAME?</v>
      </c>
    </row>
    <row r="20" spans="1:31">
      <c r="A20" s="1274">
        <f t="shared" si="0"/>
        <v>17</v>
      </c>
      <c r="B20" s="750">
        <v>27</v>
      </c>
      <c r="C20" s="42">
        <v>26</v>
      </c>
      <c r="D20" s="42">
        <v>23</v>
      </c>
      <c r="E20" s="838">
        <v>59</v>
      </c>
      <c r="L20" s="1274" t="e">
        <f t="array" aca="1" ref="L20:Q28" ca="1">[1]!MissingPatterns(B3:E23)</f>
        <v>#NAME?</v>
      </c>
      <c r="M20" s="1274" t="e">
        <f ca="1"/>
        <v>#NAME?</v>
      </c>
      <c r="N20" s="1274" t="e">
        <f ca="1"/>
        <v>#NAME?</v>
      </c>
      <c r="O20" s="1274" t="e">
        <f ca="1"/>
        <v>#NAME?</v>
      </c>
      <c r="P20" s="1274" t="e">
        <f ca="1"/>
        <v>#NAME?</v>
      </c>
      <c r="Q20" s="1274" t="e">
        <f ca="1"/>
        <v>#NAME?</v>
      </c>
      <c r="Y20" t="str">
        <f t="array" ref="Y20:Y22">TRANSPOSE(T5:V5)</f>
        <v>read</v>
      </c>
      <c r="Z20" t="e">
        <f t="array" aca="1" ref="Z20:Z22" ca="1">TRANSPOSE(T8:V8)</f>
        <v>#NAME?</v>
      </c>
      <c r="AA20" t="e">
        <f t="array" aca="1" ref="AA20:AA22" ca="1">TRANSPOSE(T9:V9)</f>
        <v>#NAME?</v>
      </c>
      <c r="AB20" t="e">
        <f ca="1">Z20/AA20</f>
        <v>#NAME?</v>
      </c>
      <c r="AC20" t="e">
        <f ca="1">TDIST(ABS(AB20),$Z$15,2)</f>
        <v>#NAME?</v>
      </c>
      <c r="AD20" t="e">
        <f ca="1">Z20-TINV(AD$12,$Z$15)*AA20</f>
        <v>#NAME?</v>
      </c>
      <c r="AE20" t="e">
        <f ca="1">Z20+TINV(AD$12,$Z$15)*AA20</f>
        <v>#NAME?</v>
      </c>
    </row>
    <row r="21" spans="1:31">
      <c r="A21" s="1274">
        <f t="shared" si="0"/>
        <v>18</v>
      </c>
      <c r="B21" s="750">
        <v>17</v>
      </c>
      <c r="C21" s="42" t="s">
        <v>28</v>
      </c>
      <c r="D21" s="42" t="s">
        <v>28</v>
      </c>
      <c r="E21" s="838">
        <v>35</v>
      </c>
      <c r="L21" s="1255" t="e">
        <f ca="1"/>
        <v>#NAME?</v>
      </c>
      <c r="M21" s="1256" t="e">
        <f ca="1"/>
        <v>#NAME?</v>
      </c>
      <c r="N21" s="1256" t="e">
        <f ca="1"/>
        <v>#NAME?</v>
      </c>
      <c r="O21" s="1256" t="e">
        <f ca="1"/>
        <v>#NAME?</v>
      </c>
      <c r="P21" s="1114" t="e">
        <f ca="1"/>
        <v>#NAME?</v>
      </c>
      <c r="Q21" s="1257" t="e">
        <f ca="1"/>
        <v>#NAME?</v>
      </c>
      <c r="Y21" t="str">
        <v>science</v>
      </c>
      <c r="Z21" t="e">
        <f ca="1"/>
        <v>#NAME?</v>
      </c>
      <c r="AA21" t="e">
        <f ca="1"/>
        <v>#NAME?</v>
      </c>
      <c r="AB21" t="e">
        <f ca="1">Z21/AA21</f>
        <v>#NAME?</v>
      </c>
      <c r="AC21" t="e">
        <f ca="1">TDIST(ABS(AB21),$Z$15,2)</f>
        <v>#NAME?</v>
      </c>
      <c r="AD21" t="e">
        <f ca="1">Z21-TINV(AD$12,$Z$15)*AA21</f>
        <v>#NAME?</v>
      </c>
      <c r="AE21" t="e">
        <f ca="1">Z21+TINV(AD$12,$Z$15)*AA21</f>
        <v>#NAME?</v>
      </c>
    </row>
    <row r="22" spans="1:31">
      <c r="A22" s="1274">
        <f t="shared" si="0"/>
        <v>19</v>
      </c>
      <c r="B22" s="750">
        <v>13</v>
      </c>
      <c r="C22" s="42">
        <v>21</v>
      </c>
      <c r="D22" s="42">
        <v>20</v>
      </c>
      <c r="E22" s="838">
        <v>48</v>
      </c>
      <c r="L22" s="624" t="e">
        <f ca="1"/>
        <v>#NAME?</v>
      </c>
      <c r="M22" s="1275" t="e">
        <f ca="1"/>
        <v>#NAME?</v>
      </c>
      <c r="N22" s="1275" t="e">
        <f ca="1"/>
        <v>#NAME?</v>
      </c>
      <c r="O22" s="1275" t="e">
        <f ca="1"/>
        <v>#NAME?</v>
      </c>
      <c r="P22" s="8" t="e">
        <f ca="1"/>
        <v>#NAME?</v>
      </c>
      <c r="Q22" s="1258" t="e">
        <f ca="1"/>
        <v>#NAME?</v>
      </c>
      <c r="Y22" s="1078" t="str">
        <v>math</v>
      </c>
      <c r="Z22" s="1078" t="e">
        <f ca="1"/>
        <v>#NAME?</v>
      </c>
      <c r="AA22" s="1078" t="e">
        <f ca="1"/>
        <v>#NAME?</v>
      </c>
      <c r="AB22" s="1078" t="e">
        <f ca="1">Z22/AA22</f>
        <v>#NAME?</v>
      </c>
      <c r="AC22" s="1078" t="e">
        <f ca="1">TDIST(ABS(AB22),$Z$15,2)</f>
        <v>#NAME?</v>
      </c>
      <c r="AD22" s="1078" t="e">
        <f ca="1">Z22-TINV(AD$12,$Z$15)*AA22</f>
        <v>#NAME?</v>
      </c>
      <c r="AE22" s="1078" t="e">
        <f ca="1">Z22+TINV(AD$12,$Z$15)*AA22</f>
        <v>#NAME?</v>
      </c>
    </row>
    <row r="23" spans="1:31">
      <c r="A23" s="1274">
        <f t="shared" si="0"/>
        <v>20</v>
      </c>
      <c r="B23" s="1244">
        <v>11</v>
      </c>
      <c r="C23" s="1247">
        <v>51</v>
      </c>
      <c r="D23" s="1247">
        <v>18</v>
      </c>
      <c r="E23" s="1245">
        <v>54</v>
      </c>
      <c r="L23" s="624" t="e">
        <f ca="1"/>
        <v>#NAME?</v>
      </c>
      <c r="M23" s="1275" t="e">
        <f ca="1"/>
        <v>#NAME?</v>
      </c>
      <c r="N23" s="1275" t="e">
        <f ca="1"/>
        <v>#NAME?</v>
      </c>
      <c r="O23" s="1275" t="e">
        <f ca="1"/>
        <v>#NAME?</v>
      </c>
      <c r="P23" s="8" t="e">
        <f ca="1"/>
        <v>#NAME?</v>
      </c>
      <c r="Q23" s="1258" t="e">
        <f ca="1"/>
        <v>#NAME?</v>
      </c>
    </row>
    <row r="24" spans="1:31">
      <c r="A24" s="1274" t="s">
        <v>63</v>
      </c>
      <c r="B24">
        <f>AVERAGE(B4:B23)</f>
        <v>16.133333333333333</v>
      </c>
      <c r="C24">
        <f>AVERAGE(C4:C23)</f>
        <v>34.411764705882355</v>
      </c>
      <c r="D24">
        <f>AVERAGE(D4:D23)</f>
        <v>21.0625</v>
      </c>
      <c r="E24">
        <f>AVERAGE(E4:E23)</f>
        <v>47.722222222222221</v>
      </c>
      <c r="L24" s="624" t="e">
        <f ca="1"/>
        <v>#NAME?</v>
      </c>
      <c r="M24" s="1275" t="e">
        <f ca="1"/>
        <v>#NAME?</v>
      </c>
      <c r="N24" s="1275" t="e">
        <f ca="1"/>
        <v>#NAME?</v>
      </c>
      <c r="O24" s="1275" t="e">
        <f ca="1"/>
        <v>#NAME?</v>
      </c>
      <c r="P24" s="8" t="e">
        <f ca="1"/>
        <v>#NAME?</v>
      </c>
      <c r="Q24" s="1258" t="e">
        <f ca="1"/>
        <v>#NAME?</v>
      </c>
    </row>
    <row r="25" spans="1:31">
      <c r="A25" s="1274" t="s">
        <v>67</v>
      </c>
      <c r="B25">
        <f>STDEV(B4:B23)</f>
        <v>4.7789219744724045</v>
      </c>
      <c r="C25">
        <f>STDEV(C4:C23)</f>
        <v>10.79964596369606</v>
      </c>
      <c r="D25">
        <f>STDEV(D4:D23)</f>
        <v>3.2755406678389241</v>
      </c>
      <c r="E25">
        <f>STDEV(E4:E23)</f>
        <v>7.6297063050063398</v>
      </c>
      <c r="L25" s="624" t="e">
        <f ca="1"/>
        <v>#NAME?</v>
      </c>
      <c r="M25" s="1275" t="e">
        <f ca="1"/>
        <v>#NAME?</v>
      </c>
      <c r="N25" s="1275" t="e">
        <f ca="1"/>
        <v>#NAME?</v>
      </c>
      <c r="O25" s="1275" t="e">
        <f ca="1"/>
        <v>#NAME?</v>
      </c>
      <c r="P25" s="8" t="e">
        <f ca="1"/>
        <v>#NAME?</v>
      </c>
      <c r="Q25" s="1258" t="e">
        <f ca="1"/>
        <v>#NAME?</v>
      </c>
    </row>
    <row r="26" spans="1:31">
      <c r="L26" s="624" t="e">
        <f ca="1"/>
        <v>#NAME?</v>
      </c>
      <c r="M26" s="1275" t="e">
        <f ca="1"/>
        <v>#NAME?</v>
      </c>
      <c r="N26" s="1275" t="e">
        <f ca="1"/>
        <v>#NAME?</v>
      </c>
      <c r="O26" s="1275" t="e">
        <f ca="1"/>
        <v>#NAME?</v>
      </c>
      <c r="P26" s="8" t="e">
        <f ca="1"/>
        <v>#NAME?</v>
      </c>
      <c r="Q26" s="1258" t="e">
        <f ca="1"/>
        <v>#NAME?</v>
      </c>
    </row>
    <row r="27" spans="1:31">
      <c r="L27" s="624" t="e">
        <f ca="1"/>
        <v>#NAME?</v>
      </c>
      <c r="M27" s="1275" t="e">
        <f ca="1"/>
        <v>#NAME?</v>
      </c>
      <c r="N27" s="1275" t="e">
        <f ca="1"/>
        <v>#NAME?</v>
      </c>
      <c r="O27" s="1275" t="e">
        <f ca="1"/>
        <v>#NAME?</v>
      </c>
      <c r="P27" s="8" t="e">
        <f ca="1"/>
        <v>#NAME?</v>
      </c>
      <c r="Q27" s="1258" t="e">
        <f ca="1"/>
        <v>#NAME?</v>
      </c>
    </row>
    <row r="28" spans="1:31">
      <c r="L28" s="1133" t="e">
        <f ca="1"/>
        <v>#NAME?</v>
      </c>
      <c r="M28" s="1259" t="e">
        <f ca="1"/>
        <v>#NAME?</v>
      </c>
      <c r="N28" s="1259" t="e">
        <f ca="1"/>
        <v>#NAME?</v>
      </c>
      <c r="O28" s="1259" t="e">
        <f ca="1"/>
        <v>#NAME?</v>
      </c>
      <c r="P28" s="1076" t="e">
        <f ca="1"/>
        <v>#NAME?</v>
      </c>
      <c r="Q28" s="1260" t="e">
        <f ca="1"/>
        <v>#NAME?</v>
      </c>
    </row>
    <row r="29" spans="1:31">
      <c r="P29" t="e">
        <f ca="1">SUM(P21:P28)</f>
        <v>#NAME?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sheetPr codeName="Sheet321"/>
  <dimension ref="A1:AW29"/>
  <sheetViews>
    <sheetView workbookViewId="0"/>
  </sheetViews>
  <sheetFormatPr defaultRowHeight="14.4"/>
  <sheetData>
    <row r="1" spans="1:49">
      <c r="A1" t="s">
        <v>3382</v>
      </c>
      <c r="B1">
        <v>1</v>
      </c>
      <c r="F1" t="s">
        <v>3382</v>
      </c>
      <c r="G1">
        <v>2</v>
      </c>
      <c r="K1" t="s">
        <v>3382</v>
      </c>
      <c r="L1">
        <v>3</v>
      </c>
      <c r="P1" t="s">
        <v>3382</v>
      </c>
      <c r="Q1">
        <v>4</v>
      </c>
      <c r="U1" t="s">
        <v>3382</v>
      </c>
      <c r="V1">
        <v>5</v>
      </c>
      <c r="Z1" t="s">
        <v>3382</v>
      </c>
      <c r="AA1">
        <v>6</v>
      </c>
      <c r="AE1" t="s">
        <v>3382</v>
      </c>
      <c r="AF1">
        <v>7</v>
      </c>
      <c r="AJ1" t="s">
        <v>3382</v>
      </c>
      <c r="AK1">
        <v>8</v>
      </c>
      <c r="AO1" t="s">
        <v>3382</v>
      </c>
      <c r="AP1">
        <v>9</v>
      </c>
      <c r="AT1" t="s">
        <v>3382</v>
      </c>
      <c r="AU1">
        <v>10</v>
      </c>
    </row>
    <row r="3" spans="1:49">
      <c r="A3" s="1274" t="e">
        <f t="array" aca="1" ref="A3:D23" ca="1">[1]!ImputeFCS('MI 9'!B3:E23,TRUE,20,'MI 9'!G4:J5)</f>
        <v>#NAME?</v>
      </c>
      <c r="B3" s="1274" t="e">
        <f ca="1"/>
        <v>#NAME?</v>
      </c>
      <c r="C3" s="1274" t="e">
        <f ca="1"/>
        <v>#NAME?</v>
      </c>
      <c r="D3" s="1274" t="e">
        <f ca="1"/>
        <v>#NAME?</v>
      </c>
      <c r="F3" s="1274" t="e">
        <f t="array" aca="1" ref="F3:I23" ca="1">[1]!ImputeFCS('MI 9'!B3:E23,TRUE,20,'MI 9'!G4:J5)</f>
        <v>#NAME?</v>
      </c>
      <c r="G3" s="1274" t="e">
        <f ca="1"/>
        <v>#NAME?</v>
      </c>
      <c r="H3" s="1274" t="e">
        <f ca="1"/>
        <v>#NAME?</v>
      </c>
      <c r="I3" s="1274" t="e">
        <f ca="1"/>
        <v>#NAME?</v>
      </c>
      <c r="K3" s="1274" t="e">
        <f t="array" aca="1" ref="K3:N23" ca="1">[1]!ImputeFCS('MI 9'!B3:E23,TRUE,20,'MI 9'!G4:J5)</f>
        <v>#NAME?</v>
      </c>
      <c r="L3" s="1274" t="e">
        <f ca="1"/>
        <v>#NAME?</v>
      </c>
      <c r="M3" s="1274" t="e">
        <f ca="1"/>
        <v>#NAME?</v>
      </c>
      <c r="N3" s="1274" t="e">
        <f ca="1"/>
        <v>#NAME?</v>
      </c>
      <c r="P3" s="1274" t="e">
        <f t="array" aca="1" ref="P3:S23" ca="1">[1]!ImputeFCS('MI 9'!B3:E23,TRUE,20,'MI 9'!G4:J5)</f>
        <v>#NAME?</v>
      </c>
      <c r="Q3" s="1274" t="e">
        <f ca="1"/>
        <v>#NAME?</v>
      </c>
      <c r="R3" s="1274" t="e">
        <f ca="1"/>
        <v>#NAME?</v>
      </c>
      <c r="S3" s="1274" t="e">
        <f ca="1"/>
        <v>#NAME?</v>
      </c>
      <c r="U3" s="1274" t="e">
        <f t="array" aca="1" ref="U3:X23" ca="1">[1]!ImputeFCS('MI 9'!B3:E23,TRUE,20,'MI 9'!G4:J5)</f>
        <v>#NAME?</v>
      </c>
      <c r="V3" s="1274" t="e">
        <f ca="1"/>
        <v>#NAME?</v>
      </c>
      <c r="W3" s="1274" t="e">
        <f ca="1"/>
        <v>#NAME?</v>
      </c>
      <c r="X3" s="1274" t="e">
        <f ca="1"/>
        <v>#NAME?</v>
      </c>
      <c r="Z3" s="1274" t="e">
        <f t="array" aca="1" ref="Z3:AC23" ca="1">[1]!ImputeFCS('MI 9'!B3:E23,TRUE,20,'MI 9'!G4:J5)</f>
        <v>#NAME?</v>
      </c>
      <c r="AA3" s="1274" t="e">
        <f ca="1"/>
        <v>#NAME?</v>
      </c>
      <c r="AB3" s="1274" t="e">
        <f ca="1"/>
        <v>#NAME?</v>
      </c>
      <c r="AC3" s="1274" t="e">
        <f ca="1"/>
        <v>#NAME?</v>
      </c>
      <c r="AE3" s="1274" t="e">
        <f t="array" aca="1" ref="AE3:AH23" ca="1">[1]!ImputeFCS('MI 9'!B3:E23,TRUE,20,'MI 9'!G4:J5)</f>
        <v>#NAME?</v>
      </c>
      <c r="AF3" s="1274" t="e">
        <f ca="1"/>
        <v>#NAME?</v>
      </c>
      <c r="AG3" s="1274" t="e">
        <f ca="1"/>
        <v>#NAME?</v>
      </c>
      <c r="AH3" s="1274" t="e">
        <f ca="1"/>
        <v>#NAME?</v>
      </c>
      <c r="AJ3" s="1274" t="e">
        <f t="array" aca="1" ref="AJ3:AM23" ca="1">[1]!ImputeFCS('MI 9'!B3:E23,TRUE,20,'MI 9'!G4:J5)</f>
        <v>#NAME?</v>
      </c>
      <c r="AK3" s="1274" t="e">
        <f ca="1"/>
        <v>#NAME?</v>
      </c>
      <c r="AL3" s="1274" t="e">
        <f ca="1"/>
        <v>#NAME?</v>
      </c>
      <c r="AM3" s="1274" t="e">
        <f ca="1"/>
        <v>#NAME?</v>
      </c>
      <c r="AO3" s="1274" t="e">
        <f t="array" aca="1" ref="AO3:AR23" ca="1">[1]!ImputeFCS('MI 9'!B3:E23,TRUE,20,'MI 9'!G4:J5)</f>
        <v>#NAME?</v>
      </c>
      <c r="AP3" s="1274" t="e">
        <f ca="1"/>
        <v>#NAME?</v>
      </c>
      <c r="AQ3" s="1274" t="e">
        <f ca="1"/>
        <v>#NAME?</v>
      </c>
      <c r="AR3" s="1274" t="e">
        <f ca="1"/>
        <v>#NAME?</v>
      </c>
      <c r="AT3" s="1274" t="e">
        <f t="array" aca="1" ref="AT3:AW23" ca="1">[1]!ImputeFCS('MI 9'!B3:E23,TRUE,20,'MI 9'!G4:J5)</f>
        <v>#NAME?</v>
      </c>
      <c r="AU3" s="1274" t="e">
        <f ca="1"/>
        <v>#NAME?</v>
      </c>
      <c r="AV3" s="1274" t="e">
        <f ca="1"/>
        <v>#NAME?</v>
      </c>
      <c r="AW3" s="1274" t="e">
        <f ca="1"/>
        <v>#NAME?</v>
      </c>
    </row>
    <row r="4" spans="1:49">
      <c r="A4" s="1232" t="e">
        <f ca="1"/>
        <v>#NAME?</v>
      </c>
      <c r="B4" s="1114" t="e">
        <f ca="1"/>
        <v>#NAME?</v>
      </c>
      <c r="C4" s="1114" t="e">
        <f ca="1"/>
        <v>#NAME?</v>
      </c>
      <c r="D4" s="1233" t="e">
        <f ca="1"/>
        <v>#NAME?</v>
      </c>
      <c r="F4" s="1232" t="e">
        <f ca="1"/>
        <v>#NAME?</v>
      </c>
      <c r="G4" s="1114" t="e">
        <f ca="1"/>
        <v>#NAME?</v>
      </c>
      <c r="H4" s="1114" t="e">
        <f ca="1"/>
        <v>#NAME?</v>
      </c>
      <c r="I4" s="1233" t="e">
        <f ca="1"/>
        <v>#NAME?</v>
      </c>
      <c r="K4" s="1232" t="e">
        <f ca="1"/>
        <v>#NAME?</v>
      </c>
      <c r="L4" s="1114" t="e">
        <f ca="1"/>
        <v>#NAME?</v>
      </c>
      <c r="M4" s="1114" t="e">
        <f ca="1"/>
        <v>#NAME?</v>
      </c>
      <c r="N4" s="1233" t="e">
        <f ca="1"/>
        <v>#NAME?</v>
      </c>
      <c r="P4" s="1232" t="e">
        <f ca="1"/>
        <v>#NAME?</v>
      </c>
      <c r="Q4" s="1114" t="e">
        <f ca="1"/>
        <v>#NAME?</v>
      </c>
      <c r="R4" s="1114" t="e">
        <f ca="1"/>
        <v>#NAME?</v>
      </c>
      <c r="S4" s="1233" t="e">
        <f ca="1"/>
        <v>#NAME?</v>
      </c>
      <c r="U4" s="1232" t="e">
        <f ca="1"/>
        <v>#NAME?</v>
      </c>
      <c r="V4" s="1114" t="e">
        <f ca="1"/>
        <v>#NAME?</v>
      </c>
      <c r="W4" s="1114" t="e">
        <f ca="1"/>
        <v>#NAME?</v>
      </c>
      <c r="X4" s="1233" t="e">
        <f ca="1"/>
        <v>#NAME?</v>
      </c>
      <c r="Z4" s="1232" t="e">
        <f ca="1"/>
        <v>#NAME?</v>
      </c>
      <c r="AA4" s="1114" t="e">
        <f ca="1"/>
        <v>#NAME?</v>
      </c>
      <c r="AB4" s="1114" t="e">
        <f ca="1"/>
        <v>#NAME?</v>
      </c>
      <c r="AC4" s="1233" t="e">
        <f ca="1"/>
        <v>#NAME?</v>
      </c>
      <c r="AE4" s="1232" t="e">
        <f ca="1"/>
        <v>#NAME?</v>
      </c>
      <c r="AF4" s="1114" t="e">
        <f ca="1"/>
        <v>#NAME?</v>
      </c>
      <c r="AG4" s="1114" t="e">
        <f ca="1"/>
        <v>#NAME?</v>
      </c>
      <c r="AH4" s="1233" t="e">
        <f ca="1"/>
        <v>#NAME?</v>
      </c>
      <c r="AJ4" s="1232" t="e">
        <f ca="1"/>
        <v>#NAME?</v>
      </c>
      <c r="AK4" s="1114" t="e">
        <f ca="1"/>
        <v>#NAME?</v>
      </c>
      <c r="AL4" s="1114" t="e">
        <f ca="1"/>
        <v>#NAME?</v>
      </c>
      <c r="AM4" s="1233" t="e">
        <f ca="1"/>
        <v>#NAME?</v>
      </c>
      <c r="AO4" s="1232" t="e">
        <f ca="1"/>
        <v>#NAME?</v>
      </c>
      <c r="AP4" s="1114" t="e">
        <f ca="1"/>
        <v>#NAME?</v>
      </c>
      <c r="AQ4" s="1114" t="e">
        <f ca="1"/>
        <v>#NAME?</v>
      </c>
      <c r="AR4" s="1233" t="e">
        <f ca="1"/>
        <v>#NAME?</v>
      </c>
      <c r="AT4" s="1232" t="e">
        <f ca="1"/>
        <v>#NAME?</v>
      </c>
      <c r="AU4" s="1114" t="e">
        <f ca="1"/>
        <v>#NAME?</v>
      </c>
      <c r="AV4" s="1114" t="e">
        <f ca="1"/>
        <v>#NAME?</v>
      </c>
      <c r="AW4" s="1233" t="e">
        <f ca="1"/>
        <v>#NAME?</v>
      </c>
    </row>
    <row r="5" spans="1:49">
      <c r="A5" s="625" t="e">
        <f ca="1"/>
        <v>#NAME?</v>
      </c>
      <c r="B5" s="8" t="e">
        <f ca="1"/>
        <v>#NAME?</v>
      </c>
      <c r="C5" s="8" t="e">
        <f ca="1"/>
        <v>#NAME?</v>
      </c>
      <c r="D5" s="132" t="e">
        <f ca="1"/>
        <v>#NAME?</v>
      </c>
      <c r="F5" s="625" t="e">
        <f ca="1"/>
        <v>#NAME?</v>
      </c>
      <c r="G5" s="8" t="e">
        <f ca="1"/>
        <v>#NAME?</v>
      </c>
      <c r="H5" s="8" t="e">
        <f ca="1"/>
        <v>#NAME?</v>
      </c>
      <c r="I5" s="132" t="e">
        <f ca="1"/>
        <v>#NAME?</v>
      </c>
      <c r="K5" s="625" t="e">
        <f ca="1"/>
        <v>#NAME?</v>
      </c>
      <c r="L5" s="8" t="e">
        <f ca="1"/>
        <v>#NAME?</v>
      </c>
      <c r="M5" s="8" t="e">
        <f ca="1"/>
        <v>#NAME?</v>
      </c>
      <c r="N5" s="132" t="e">
        <f ca="1"/>
        <v>#NAME?</v>
      </c>
      <c r="P5" s="625" t="e">
        <f ca="1"/>
        <v>#NAME?</v>
      </c>
      <c r="Q5" s="8" t="e">
        <f ca="1"/>
        <v>#NAME?</v>
      </c>
      <c r="R5" s="8" t="e">
        <f ca="1"/>
        <v>#NAME?</v>
      </c>
      <c r="S5" s="132" t="e">
        <f ca="1"/>
        <v>#NAME?</v>
      </c>
      <c r="U5" s="625" t="e">
        <f ca="1"/>
        <v>#NAME?</v>
      </c>
      <c r="V5" s="8" t="e">
        <f ca="1"/>
        <v>#NAME?</v>
      </c>
      <c r="W5" s="8" t="e">
        <f ca="1"/>
        <v>#NAME?</v>
      </c>
      <c r="X5" s="132" t="e">
        <f ca="1"/>
        <v>#NAME?</v>
      </c>
      <c r="Z5" s="625" t="e">
        <f ca="1"/>
        <v>#NAME?</v>
      </c>
      <c r="AA5" s="8" t="e">
        <f ca="1"/>
        <v>#NAME?</v>
      </c>
      <c r="AB5" s="8" t="e">
        <f ca="1"/>
        <v>#NAME?</v>
      </c>
      <c r="AC5" s="132" t="e">
        <f ca="1"/>
        <v>#NAME?</v>
      </c>
      <c r="AE5" s="625" t="e">
        <f ca="1"/>
        <v>#NAME?</v>
      </c>
      <c r="AF5" s="8" t="e">
        <f ca="1"/>
        <v>#NAME?</v>
      </c>
      <c r="AG5" s="8" t="e">
        <f ca="1"/>
        <v>#NAME?</v>
      </c>
      <c r="AH5" s="132" t="e">
        <f ca="1"/>
        <v>#NAME?</v>
      </c>
      <c r="AJ5" s="625" t="e">
        <f ca="1"/>
        <v>#NAME?</v>
      </c>
      <c r="AK5" s="8" t="e">
        <f ca="1"/>
        <v>#NAME?</v>
      </c>
      <c r="AL5" s="8" t="e">
        <f ca="1"/>
        <v>#NAME?</v>
      </c>
      <c r="AM5" s="132" t="e">
        <f ca="1"/>
        <v>#NAME?</v>
      </c>
      <c r="AO5" s="625" t="e">
        <f ca="1"/>
        <v>#NAME?</v>
      </c>
      <c r="AP5" s="8" t="e">
        <f ca="1"/>
        <v>#NAME?</v>
      </c>
      <c r="AQ5" s="8" t="e">
        <f ca="1"/>
        <v>#NAME?</v>
      </c>
      <c r="AR5" s="132" t="e">
        <f ca="1"/>
        <v>#NAME?</v>
      </c>
      <c r="AT5" s="625" t="e">
        <f ca="1"/>
        <v>#NAME?</v>
      </c>
      <c r="AU5" s="8" t="e">
        <f ca="1"/>
        <v>#NAME?</v>
      </c>
      <c r="AV5" s="8" t="e">
        <f ca="1"/>
        <v>#NAME?</v>
      </c>
      <c r="AW5" s="132" t="e">
        <f ca="1"/>
        <v>#NAME?</v>
      </c>
    </row>
    <row r="6" spans="1:49">
      <c r="A6" s="625" t="e">
        <f ca="1"/>
        <v>#NAME?</v>
      </c>
      <c r="B6" s="8" t="e">
        <f ca="1"/>
        <v>#NAME?</v>
      </c>
      <c r="C6" s="8" t="e">
        <f ca="1"/>
        <v>#NAME?</v>
      </c>
      <c r="D6" s="132" t="e">
        <f ca="1"/>
        <v>#NAME?</v>
      </c>
      <c r="F6" s="625" t="e">
        <f ca="1"/>
        <v>#NAME?</v>
      </c>
      <c r="G6" s="8" t="e">
        <f ca="1"/>
        <v>#NAME?</v>
      </c>
      <c r="H6" s="8" t="e">
        <f ca="1"/>
        <v>#NAME?</v>
      </c>
      <c r="I6" s="132" t="e">
        <f ca="1"/>
        <v>#NAME?</v>
      </c>
      <c r="K6" s="625" t="e">
        <f ca="1"/>
        <v>#NAME?</v>
      </c>
      <c r="L6" s="8" t="e">
        <f ca="1"/>
        <v>#NAME?</v>
      </c>
      <c r="M6" s="8" t="e">
        <f ca="1"/>
        <v>#NAME?</v>
      </c>
      <c r="N6" s="132" t="e">
        <f ca="1"/>
        <v>#NAME?</v>
      </c>
      <c r="P6" s="625" t="e">
        <f ca="1"/>
        <v>#NAME?</v>
      </c>
      <c r="Q6" s="8" t="e">
        <f ca="1"/>
        <v>#NAME?</v>
      </c>
      <c r="R6" s="8" t="e">
        <f ca="1"/>
        <v>#NAME?</v>
      </c>
      <c r="S6" s="132" t="e">
        <f ca="1"/>
        <v>#NAME?</v>
      </c>
      <c r="U6" s="625" t="e">
        <f ca="1"/>
        <v>#NAME?</v>
      </c>
      <c r="V6" s="8" t="e">
        <f ca="1"/>
        <v>#NAME?</v>
      </c>
      <c r="W6" s="8" t="e">
        <f ca="1"/>
        <v>#NAME?</v>
      </c>
      <c r="X6" s="132" t="e">
        <f ca="1"/>
        <v>#NAME?</v>
      </c>
      <c r="Z6" s="625" t="e">
        <f ca="1"/>
        <v>#NAME?</v>
      </c>
      <c r="AA6" s="8" t="e">
        <f ca="1"/>
        <v>#NAME?</v>
      </c>
      <c r="AB6" s="8" t="e">
        <f ca="1"/>
        <v>#NAME?</v>
      </c>
      <c r="AC6" s="132" t="e">
        <f ca="1"/>
        <v>#NAME?</v>
      </c>
      <c r="AE6" s="625" t="e">
        <f ca="1"/>
        <v>#NAME?</v>
      </c>
      <c r="AF6" s="8" t="e">
        <f ca="1"/>
        <v>#NAME?</v>
      </c>
      <c r="AG6" s="8" t="e">
        <f ca="1"/>
        <v>#NAME?</v>
      </c>
      <c r="AH6" s="132" t="e">
        <f ca="1"/>
        <v>#NAME?</v>
      </c>
      <c r="AJ6" s="625" t="e">
        <f ca="1"/>
        <v>#NAME?</v>
      </c>
      <c r="AK6" s="8" t="e">
        <f ca="1"/>
        <v>#NAME?</v>
      </c>
      <c r="AL6" s="8" t="e">
        <f ca="1"/>
        <v>#NAME?</v>
      </c>
      <c r="AM6" s="132" t="e">
        <f ca="1"/>
        <v>#NAME?</v>
      </c>
      <c r="AO6" s="625" t="e">
        <f ca="1"/>
        <v>#NAME?</v>
      </c>
      <c r="AP6" s="8" t="e">
        <f ca="1"/>
        <v>#NAME?</v>
      </c>
      <c r="AQ6" s="8" t="e">
        <f ca="1"/>
        <v>#NAME?</v>
      </c>
      <c r="AR6" s="132" t="e">
        <f ca="1"/>
        <v>#NAME?</v>
      </c>
      <c r="AT6" s="625" t="e">
        <f ca="1"/>
        <v>#NAME?</v>
      </c>
      <c r="AU6" s="8" t="e">
        <f ca="1"/>
        <v>#NAME?</v>
      </c>
      <c r="AV6" s="8" t="e">
        <f ca="1"/>
        <v>#NAME?</v>
      </c>
      <c r="AW6" s="132" t="e">
        <f ca="1"/>
        <v>#NAME?</v>
      </c>
    </row>
    <row r="7" spans="1:49">
      <c r="A7" s="625" t="e">
        <f ca="1"/>
        <v>#NAME?</v>
      </c>
      <c r="B7" s="8" t="e">
        <f ca="1"/>
        <v>#NAME?</v>
      </c>
      <c r="C7" s="8" t="e">
        <f ca="1"/>
        <v>#NAME?</v>
      </c>
      <c r="D7" s="132" t="e">
        <f ca="1"/>
        <v>#NAME?</v>
      </c>
      <c r="F7" s="625" t="e">
        <f ca="1"/>
        <v>#NAME?</v>
      </c>
      <c r="G7" s="8" t="e">
        <f ca="1"/>
        <v>#NAME?</v>
      </c>
      <c r="H7" s="8" t="e">
        <f ca="1"/>
        <v>#NAME?</v>
      </c>
      <c r="I7" s="132" t="e">
        <f ca="1"/>
        <v>#NAME?</v>
      </c>
      <c r="K7" s="625" t="e">
        <f ca="1"/>
        <v>#NAME?</v>
      </c>
      <c r="L7" s="8" t="e">
        <f ca="1"/>
        <v>#NAME?</v>
      </c>
      <c r="M7" s="8" t="e">
        <f ca="1"/>
        <v>#NAME?</v>
      </c>
      <c r="N7" s="132" t="e">
        <f ca="1"/>
        <v>#NAME?</v>
      </c>
      <c r="P7" s="625" t="e">
        <f ca="1"/>
        <v>#NAME?</v>
      </c>
      <c r="Q7" s="8" t="e">
        <f ca="1"/>
        <v>#NAME?</v>
      </c>
      <c r="R7" s="8" t="e">
        <f ca="1"/>
        <v>#NAME?</v>
      </c>
      <c r="S7" s="132" t="e">
        <f ca="1"/>
        <v>#NAME?</v>
      </c>
      <c r="U7" s="625" t="e">
        <f ca="1"/>
        <v>#NAME?</v>
      </c>
      <c r="V7" s="8" t="e">
        <f ca="1"/>
        <v>#NAME?</v>
      </c>
      <c r="W7" s="8" t="e">
        <f ca="1"/>
        <v>#NAME?</v>
      </c>
      <c r="X7" s="132" t="e">
        <f ca="1"/>
        <v>#NAME?</v>
      </c>
      <c r="Z7" s="625" t="e">
        <f ca="1"/>
        <v>#NAME?</v>
      </c>
      <c r="AA7" s="8" t="e">
        <f ca="1"/>
        <v>#NAME?</v>
      </c>
      <c r="AB7" s="8" t="e">
        <f ca="1"/>
        <v>#NAME?</v>
      </c>
      <c r="AC7" s="132" t="e">
        <f ca="1"/>
        <v>#NAME?</v>
      </c>
      <c r="AE7" s="625" t="e">
        <f ca="1"/>
        <v>#NAME?</v>
      </c>
      <c r="AF7" s="8" t="e">
        <f ca="1"/>
        <v>#NAME?</v>
      </c>
      <c r="AG7" s="8" t="e">
        <f ca="1"/>
        <v>#NAME?</v>
      </c>
      <c r="AH7" s="132" t="e">
        <f ca="1"/>
        <v>#NAME?</v>
      </c>
      <c r="AJ7" s="625" t="e">
        <f ca="1"/>
        <v>#NAME?</v>
      </c>
      <c r="AK7" s="8" t="e">
        <f ca="1"/>
        <v>#NAME?</v>
      </c>
      <c r="AL7" s="8" t="e">
        <f ca="1"/>
        <v>#NAME?</v>
      </c>
      <c r="AM7" s="132" t="e">
        <f ca="1"/>
        <v>#NAME?</v>
      </c>
      <c r="AO7" s="625" t="e">
        <f ca="1"/>
        <v>#NAME?</v>
      </c>
      <c r="AP7" s="8" t="e">
        <f ca="1"/>
        <v>#NAME?</v>
      </c>
      <c r="AQ7" s="8" t="e">
        <f ca="1"/>
        <v>#NAME?</v>
      </c>
      <c r="AR7" s="132" t="e">
        <f ca="1"/>
        <v>#NAME?</v>
      </c>
      <c r="AT7" s="625" t="e">
        <f ca="1"/>
        <v>#NAME?</v>
      </c>
      <c r="AU7" s="8" t="e">
        <f ca="1"/>
        <v>#NAME?</v>
      </c>
      <c r="AV7" s="8" t="e">
        <f ca="1"/>
        <v>#NAME?</v>
      </c>
      <c r="AW7" s="132" t="e">
        <f ca="1"/>
        <v>#NAME?</v>
      </c>
    </row>
    <row r="8" spans="1:49">
      <c r="A8" s="625" t="e">
        <f ca="1"/>
        <v>#NAME?</v>
      </c>
      <c r="B8" s="8" t="e">
        <f ca="1"/>
        <v>#NAME?</v>
      </c>
      <c r="C8" s="8" t="e">
        <f ca="1"/>
        <v>#NAME?</v>
      </c>
      <c r="D8" s="132" t="e">
        <f ca="1"/>
        <v>#NAME?</v>
      </c>
      <c r="F8" s="625" t="e">
        <f ca="1"/>
        <v>#NAME?</v>
      </c>
      <c r="G8" s="8" t="e">
        <f ca="1"/>
        <v>#NAME?</v>
      </c>
      <c r="H8" s="8" t="e">
        <f ca="1"/>
        <v>#NAME?</v>
      </c>
      <c r="I8" s="132" t="e">
        <f ca="1"/>
        <v>#NAME?</v>
      </c>
      <c r="K8" s="625" t="e">
        <f ca="1"/>
        <v>#NAME?</v>
      </c>
      <c r="L8" s="8" t="e">
        <f ca="1"/>
        <v>#NAME?</v>
      </c>
      <c r="M8" s="8" t="e">
        <f ca="1"/>
        <v>#NAME?</v>
      </c>
      <c r="N8" s="132" t="e">
        <f ca="1"/>
        <v>#NAME?</v>
      </c>
      <c r="P8" s="625" t="e">
        <f ca="1"/>
        <v>#NAME?</v>
      </c>
      <c r="Q8" s="8" t="e">
        <f ca="1"/>
        <v>#NAME?</v>
      </c>
      <c r="R8" s="8" t="e">
        <f ca="1"/>
        <v>#NAME?</v>
      </c>
      <c r="S8" s="132" t="e">
        <f ca="1"/>
        <v>#NAME?</v>
      </c>
      <c r="U8" s="625" t="e">
        <f ca="1"/>
        <v>#NAME?</v>
      </c>
      <c r="V8" s="8" t="e">
        <f ca="1"/>
        <v>#NAME?</v>
      </c>
      <c r="W8" s="8" t="e">
        <f ca="1"/>
        <v>#NAME?</v>
      </c>
      <c r="X8" s="132" t="e">
        <f ca="1"/>
        <v>#NAME?</v>
      </c>
      <c r="Z8" s="625" t="e">
        <f ca="1"/>
        <v>#NAME?</v>
      </c>
      <c r="AA8" s="8" t="e">
        <f ca="1"/>
        <v>#NAME?</v>
      </c>
      <c r="AB8" s="8" t="e">
        <f ca="1"/>
        <v>#NAME?</v>
      </c>
      <c r="AC8" s="132" t="e">
        <f ca="1"/>
        <v>#NAME?</v>
      </c>
      <c r="AE8" s="625" t="e">
        <f ca="1"/>
        <v>#NAME?</v>
      </c>
      <c r="AF8" s="8" t="e">
        <f ca="1"/>
        <v>#NAME?</v>
      </c>
      <c r="AG8" s="8" t="e">
        <f ca="1"/>
        <v>#NAME?</v>
      </c>
      <c r="AH8" s="132" t="e">
        <f ca="1"/>
        <v>#NAME?</v>
      </c>
      <c r="AJ8" s="625" t="e">
        <f ca="1"/>
        <v>#NAME?</v>
      </c>
      <c r="AK8" s="8" t="e">
        <f ca="1"/>
        <v>#NAME?</v>
      </c>
      <c r="AL8" s="8" t="e">
        <f ca="1"/>
        <v>#NAME?</v>
      </c>
      <c r="AM8" s="132" t="e">
        <f ca="1"/>
        <v>#NAME?</v>
      </c>
      <c r="AO8" s="625" t="e">
        <f ca="1"/>
        <v>#NAME?</v>
      </c>
      <c r="AP8" s="8" t="e">
        <f ca="1"/>
        <v>#NAME?</v>
      </c>
      <c r="AQ8" s="8" t="e">
        <f ca="1"/>
        <v>#NAME?</v>
      </c>
      <c r="AR8" s="132" t="e">
        <f ca="1"/>
        <v>#NAME?</v>
      </c>
      <c r="AT8" s="625" t="e">
        <f ca="1"/>
        <v>#NAME?</v>
      </c>
      <c r="AU8" s="8" t="e">
        <f ca="1"/>
        <v>#NAME?</v>
      </c>
      <c r="AV8" s="8" t="e">
        <f ca="1"/>
        <v>#NAME?</v>
      </c>
      <c r="AW8" s="132" t="e">
        <f ca="1"/>
        <v>#NAME?</v>
      </c>
    </row>
    <row r="9" spans="1:49">
      <c r="A9" s="625" t="e">
        <f ca="1"/>
        <v>#NAME?</v>
      </c>
      <c r="B9" s="8" t="e">
        <f ca="1"/>
        <v>#NAME?</v>
      </c>
      <c r="C9" s="8" t="e">
        <f ca="1"/>
        <v>#NAME?</v>
      </c>
      <c r="D9" s="132" t="e">
        <f ca="1"/>
        <v>#NAME?</v>
      </c>
      <c r="F9" s="625" t="e">
        <f ca="1"/>
        <v>#NAME?</v>
      </c>
      <c r="G9" s="8" t="e">
        <f ca="1"/>
        <v>#NAME?</v>
      </c>
      <c r="H9" s="8" t="e">
        <f ca="1"/>
        <v>#NAME?</v>
      </c>
      <c r="I9" s="132" t="e">
        <f ca="1"/>
        <v>#NAME?</v>
      </c>
      <c r="K9" s="625" t="e">
        <f ca="1"/>
        <v>#NAME?</v>
      </c>
      <c r="L9" s="8" t="e">
        <f ca="1"/>
        <v>#NAME?</v>
      </c>
      <c r="M9" s="8" t="e">
        <f ca="1"/>
        <v>#NAME?</v>
      </c>
      <c r="N9" s="132" t="e">
        <f ca="1"/>
        <v>#NAME?</v>
      </c>
      <c r="P9" s="625" t="e">
        <f ca="1"/>
        <v>#NAME?</v>
      </c>
      <c r="Q9" s="8" t="e">
        <f ca="1"/>
        <v>#NAME?</v>
      </c>
      <c r="R9" s="8" t="e">
        <f ca="1"/>
        <v>#NAME?</v>
      </c>
      <c r="S9" s="132" t="e">
        <f ca="1"/>
        <v>#NAME?</v>
      </c>
      <c r="U9" s="625" t="e">
        <f ca="1"/>
        <v>#NAME?</v>
      </c>
      <c r="V9" s="8" t="e">
        <f ca="1"/>
        <v>#NAME?</v>
      </c>
      <c r="W9" s="8" t="e">
        <f ca="1"/>
        <v>#NAME?</v>
      </c>
      <c r="X9" s="132" t="e">
        <f ca="1"/>
        <v>#NAME?</v>
      </c>
      <c r="Z9" s="625" t="e">
        <f ca="1"/>
        <v>#NAME?</v>
      </c>
      <c r="AA9" s="8" t="e">
        <f ca="1"/>
        <v>#NAME?</v>
      </c>
      <c r="AB9" s="8" t="e">
        <f ca="1"/>
        <v>#NAME?</v>
      </c>
      <c r="AC9" s="132" t="e">
        <f ca="1"/>
        <v>#NAME?</v>
      </c>
      <c r="AE9" s="625" t="e">
        <f ca="1"/>
        <v>#NAME?</v>
      </c>
      <c r="AF9" s="8" t="e">
        <f ca="1"/>
        <v>#NAME?</v>
      </c>
      <c r="AG9" s="8" t="e">
        <f ca="1"/>
        <v>#NAME?</v>
      </c>
      <c r="AH9" s="132" t="e">
        <f ca="1"/>
        <v>#NAME?</v>
      </c>
      <c r="AJ9" s="625" t="e">
        <f ca="1"/>
        <v>#NAME?</v>
      </c>
      <c r="AK9" s="8" t="e">
        <f ca="1"/>
        <v>#NAME?</v>
      </c>
      <c r="AL9" s="8" t="e">
        <f ca="1"/>
        <v>#NAME?</v>
      </c>
      <c r="AM9" s="132" t="e">
        <f ca="1"/>
        <v>#NAME?</v>
      </c>
      <c r="AO9" s="625" t="e">
        <f ca="1"/>
        <v>#NAME?</v>
      </c>
      <c r="AP9" s="8" t="e">
        <f ca="1"/>
        <v>#NAME?</v>
      </c>
      <c r="AQ9" s="8" t="e">
        <f ca="1"/>
        <v>#NAME?</v>
      </c>
      <c r="AR9" s="132" t="e">
        <f ca="1"/>
        <v>#NAME?</v>
      </c>
      <c r="AT9" s="625" t="e">
        <f ca="1"/>
        <v>#NAME?</v>
      </c>
      <c r="AU9" s="8" t="e">
        <f ca="1"/>
        <v>#NAME?</v>
      </c>
      <c r="AV9" s="8" t="e">
        <f ca="1"/>
        <v>#NAME?</v>
      </c>
      <c r="AW9" s="132" t="e">
        <f ca="1"/>
        <v>#NAME?</v>
      </c>
    </row>
    <row r="10" spans="1:49">
      <c r="A10" s="625" t="e">
        <f ca="1"/>
        <v>#NAME?</v>
      </c>
      <c r="B10" s="8" t="e">
        <f ca="1"/>
        <v>#NAME?</v>
      </c>
      <c r="C10" s="8" t="e">
        <f ca="1"/>
        <v>#NAME?</v>
      </c>
      <c r="D10" s="132" t="e">
        <f ca="1"/>
        <v>#NAME?</v>
      </c>
      <c r="F10" s="625" t="e">
        <f ca="1"/>
        <v>#NAME?</v>
      </c>
      <c r="G10" s="8" t="e">
        <f ca="1"/>
        <v>#NAME?</v>
      </c>
      <c r="H10" s="8" t="e">
        <f ca="1"/>
        <v>#NAME?</v>
      </c>
      <c r="I10" s="132" t="e">
        <f ca="1"/>
        <v>#NAME?</v>
      </c>
      <c r="K10" s="625" t="e">
        <f ca="1"/>
        <v>#NAME?</v>
      </c>
      <c r="L10" s="8" t="e">
        <f ca="1"/>
        <v>#NAME?</v>
      </c>
      <c r="M10" s="8" t="e">
        <f ca="1"/>
        <v>#NAME?</v>
      </c>
      <c r="N10" s="132" t="e">
        <f ca="1"/>
        <v>#NAME?</v>
      </c>
      <c r="P10" s="625" t="e">
        <f ca="1"/>
        <v>#NAME?</v>
      </c>
      <c r="Q10" s="8" t="e">
        <f ca="1"/>
        <v>#NAME?</v>
      </c>
      <c r="R10" s="8" t="e">
        <f ca="1"/>
        <v>#NAME?</v>
      </c>
      <c r="S10" s="132" t="e">
        <f ca="1"/>
        <v>#NAME?</v>
      </c>
      <c r="U10" s="625" t="e">
        <f ca="1"/>
        <v>#NAME?</v>
      </c>
      <c r="V10" s="8" t="e">
        <f ca="1"/>
        <v>#NAME?</v>
      </c>
      <c r="W10" s="8" t="e">
        <f ca="1"/>
        <v>#NAME?</v>
      </c>
      <c r="X10" s="132" t="e">
        <f ca="1"/>
        <v>#NAME?</v>
      </c>
      <c r="Z10" s="625" t="e">
        <f ca="1"/>
        <v>#NAME?</v>
      </c>
      <c r="AA10" s="8" t="e">
        <f ca="1"/>
        <v>#NAME?</v>
      </c>
      <c r="AB10" s="8" t="e">
        <f ca="1"/>
        <v>#NAME?</v>
      </c>
      <c r="AC10" s="132" t="e">
        <f ca="1"/>
        <v>#NAME?</v>
      </c>
      <c r="AE10" s="625" t="e">
        <f ca="1"/>
        <v>#NAME?</v>
      </c>
      <c r="AF10" s="8" t="e">
        <f ca="1"/>
        <v>#NAME?</v>
      </c>
      <c r="AG10" s="8" t="e">
        <f ca="1"/>
        <v>#NAME?</v>
      </c>
      <c r="AH10" s="132" t="e">
        <f ca="1"/>
        <v>#NAME?</v>
      </c>
      <c r="AJ10" s="625" t="e">
        <f ca="1"/>
        <v>#NAME?</v>
      </c>
      <c r="AK10" s="8" t="e">
        <f ca="1"/>
        <v>#NAME?</v>
      </c>
      <c r="AL10" s="8" t="e">
        <f ca="1"/>
        <v>#NAME?</v>
      </c>
      <c r="AM10" s="132" t="e">
        <f ca="1"/>
        <v>#NAME?</v>
      </c>
      <c r="AO10" s="625" t="e">
        <f ca="1"/>
        <v>#NAME?</v>
      </c>
      <c r="AP10" s="8" t="e">
        <f ca="1"/>
        <v>#NAME?</v>
      </c>
      <c r="AQ10" s="8" t="e">
        <f ca="1"/>
        <v>#NAME?</v>
      </c>
      <c r="AR10" s="132" t="e">
        <f ca="1"/>
        <v>#NAME?</v>
      </c>
      <c r="AT10" s="625" t="e">
        <f ca="1"/>
        <v>#NAME?</v>
      </c>
      <c r="AU10" s="8" t="e">
        <f ca="1"/>
        <v>#NAME?</v>
      </c>
      <c r="AV10" s="8" t="e">
        <f ca="1"/>
        <v>#NAME?</v>
      </c>
      <c r="AW10" s="132" t="e">
        <f ca="1"/>
        <v>#NAME?</v>
      </c>
    </row>
    <row r="11" spans="1:49">
      <c r="A11" s="625" t="e">
        <f ca="1"/>
        <v>#NAME?</v>
      </c>
      <c r="B11" s="8" t="e">
        <f ca="1"/>
        <v>#NAME?</v>
      </c>
      <c r="C11" s="8" t="e">
        <f ca="1"/>
        <v>#NAME?</v>
      </c>
      <c r="D11" s="132" t="e">
        <f ca="1"/>
        <v>#NAME?</v>
      </c>
      <c r="F11" s="625" t="e">
        <f ca="1"/>
        <v>#NAME?</v>
      </c>
      <c r="G11" s="8" t="e">
        <f ca="1"/>
        <v>#NAME?</v>
      </c>
      <c r="H11" s="8" t="e">
        <f ca="1"/>
        <v>#NAME?</v>
      </c>
      <c r="I11" s="132" t="e">
        <f ca="1"/>
        <v>#NAME?</v>
      </c>
      <c r="K11" s="625" t="e">
        <f ca="1"/>
        <v>#NAME?</v>
      </c>
      <c r="L11" s="8" t="e">
        <f ca="1"/>
        <v>#NAME?</v>
      </c>
      <c r="M11" s="8" t="e">
        <f ca="1"/>
        <v>#NAME?</v>
      </c>
      <c r="N11" s="132" t="e">
        <f ca="1"/>
        <v>#NAME?</v>
      </c>
      <c r="P11" s="625" t="e">
        <f ca="1"/>
        <v>#NAME?</v>
      </c>
      <c r="Q11" s="8" t="e">
        <f ca="1"/>
        <v>#NAME?</v>
      </c>
      <c r="R11" s="8" t="e">
        <f ca="1"/>
        <v>#NAME?</v>
      </c>
      <c r="S11" s="132" t="e">
        <f ca="1"/>
        <v>#NAME?</v>
      </c>
      <c r="U11" s="625" t="e">
        <f ca="1"/>
        <v>#NAME?</v>
      </c>
      <c r="V11" s="8" t="e">
        <f ca="1"/>
        <v>#NAME?</v>
      </c>
      <c r="W11" s="8" t="e">
        <f ca="1"/>
        <v>#NAME?</v>
      </c>
      <c r="X11" s="132" t="e">
        <f ca="1"/>
        <v>#NAME?</v>
      </c>
      <c r="Z11" s="625" t="e">
        <f ca="1"/>
        <v>#NAME?</v>
      </c>
      <c r="AA11" s="8" t="e">
        <f ca="1"/>
        <v>#NAME?</v>
      </c>
      <c r="AB11" s="8" t="e">
        <f ca="1"/>
        <v>#NAME?</v>
      </c>
      <c r="AC11" s="132" t="e">
        <f ca="1"/>
        <v>#NAME?</v>
      </c>
      <c r="AE11" s="625" t="e">
        <f ca="1"/>
        <v>#NAME?</v>
      </c>
      <c r="AF11" s="8" t="e">
        <f ca="1"/>
        <v>#NAME?</v>
      </c>
      <c r="AG11" s="8" t="e">
        <f ca="1"/>
        <v>#NAME?</v>
      </c>
      <c r="AH11" s="132" t="e">
        <f ca="1"/>
        <v>#NAME?</v>
      </c>
      <c r="AJ11" s="625" t="e">
        <f ca="1"/>
        <v>#NAME?</v>
      </c>
      <c r="AK11" s="8" t="e">
        <f ca="1"/>
        <v>#NAME?</v>
      </c>
      <c r="AL11" s="8" t="e">
        <f ca="1"/>
        <v>#NAME?</v>
      </c>
      <c r="AM11" s="132" t="e">
        <f ca="1"/>
        <v>#NAME?</v>
      </c>
      <c r="AO11" s="625" t="e">
        <f ca="1"/>
        <v>#NAME?</v>
      </c>
      <c r="AP11" s="8" t="e">
        <f ca="1"/>
        <v>#NAME?</v>
      </c>
      <c r="AQ11" s="8" t="e">
        <f ca="1"/>
        <v>#NAME?</v>
      </c>
      <c r="AR11" s="132" t="e">
        <f ca="1"/>
        <v>#NAME?</v>
      </c>
      <c r="AT11" s="625" t="e">
        <f ca="1"/>
        <v>#NAME?</v>
      </c>
      <c r="AU11" s="8" t="e">
        <f ca="1"/>
        <v>#NAME?</v>
      </c>
      <c r="AV11" s="8" t="e">
        <f ca="1"/>
        <v>#NAME?</v>
      </c>
      <c r="AW11" s="132" t="e">
        <f ca="1"/>
        <v>#NAME?</v>
      </c>
    </row>
    <row r="12" spans="1:49">
      <c r="A12" s="625" t="e">
        <f ca="1"/>
        <v>#NAME?</v>
      </c>
      <c r="B12" s="8" t="e">
        <f ca="1"/>
        <v>#NAME?</v>
      </c>
      <c r="C12" s="8" t="e">
        <f ca="1"/>
        <v>#NAME?</v>
      </c>
      <c r="D12" s="132" t="e">
        <f ca="1"/>
        <v>#NAME?</v>
      </c>
      <c r="F12" s="625" t="e">
        <f ca="1"/>
        <v>#NAME?</v>
      </c>
      <c r="G12" s="8" t="e">
        <f ca="1"/>
        <v>#NAME?</v>
      </c>
      <c r="H12" s="8" t="e">
        <f ca="1"/>
        <v>#NAME?</v>
      </c>
      <c r="I12" s="132" t="e">
        <f ca="1"/>
        <v>#NAME?</v>
      </c>
      <c r="K12" s="625" t="e">
        <f ca="1"/>
        <v>#NAME?</v>
      </c>
      <c r="L12" s="8" t="e">
        <f ca="1"/>
        <v>#NAME?</v>
      </c>
      <c r="M12" s="8" t="e">
        <f ca="1"/>
        <v>#NAME?</v>
      </c>
      <c r="N12" s="132" t="e">
        <f ca="1"/>
        <v>#NAME?</v>
      </c>
      <c r="P12" s="625" t="e">
        <f ca="1"/>
        <v>#NAME?</v>
      </c>
      <c r="Q12" s="8" t="e">
        <f ca="1"/>
        <v>#NAME?</v>
      </c>
      <c r="R12" s="8" t="e">
        <f ca="1"/>
        <v>#NAME?</v>
      </c>
      <c r="S12" s="132" t="e">
        <f ca="1"/>
        <v>#NAME?</v>
      </c>
      <c r="U12" s="625" t="e">
        <f ca="1"/>
        <v>#NAME?</v>
      </c>
      <c r="V12" s="8" t="e">
        <f ca="1"/>
        <v>#NAME?</v>
      </c>
      <c r="W12" s="8" t="e">
        <f ca="1"/>
        <v>#NAME?</v>
      </c>
      <c r="X12" s="132" t="e">
        <f ca="1"/>
        <v>#NAME?</v>
      </c>
      <c r="Z12" s="625" t="e">
        <f ca="1"/>
        <v>#NAME?</v>
      </c>
      <c r="AA12" s="8" t="e">
        <f ca="1"/>
        <v>#NAME?</v>
      </c>
      <c r="AB12" s="8" t="e">
        <f ca="1"/>
        <v>#NAME?</v>
      </c>
      <c r="AC12" s="132" t="e">
        <f ca="1"/>
        <v>#NAME?</v>
      </c>
      <c r="AE12" s="625" t="e">
        <f ca="1"/>
        <v>#NAME?</v>
      </c>
      <c r="AF12" s="8" t="e">
        <f ca="1"/>
        <v>#NAME?</v>
      </c>
      <c r="AG12" s="8" t="e">
        <f ca="1"/>
        <v>#NAME?</v>
      </c>
      <c r="AH12" s="132" t="e">
        <f ca="1"/>
        <v>#NAME?</v>
      </c>
      <c r="AJ12" s="625" t="e">
        <f ca="1"/>
        <v>#NAME?</v>
      </c>
      <c r="AK12" s="8" t="e">
        <f ca="1"/>
        <v>#NAME?</v>
      </c>
      <c r="AL12" s="8" t="e">
        <f ca="1"/>
        <v>#NAME?</v>
      </c>
      <c r="AM12" s="132" t="e">
        <f ca="1"/>
        <v>#NAME?</v>
      </c>
      <c r="AO12" s="625" t="e">
        <f ca="1"/>
        <v>#NAME?</v>
      </c>
      <c r="AP12" s="8" t="e">
        <f ca="1"/>
        <v>#NAME?</v>
      </c>
      <c r="AQ12" s="8" t="e">
        <f ca="1"/>
        <v>#NAME?</v>
      </c>
      <c r="AR12" s="132" t="e">
        <f ca="1"/>
        <v>#NAME?</v>
      </c>
      <c r="AT12" s="625" t="e">
        <f ca="1"/>
        <v>#NAME?</v>
      </c>
      <c r="AU12" s="8" t="e">
        <f ca="1"/>
        <v>#NAME?</v>
      </c>
      <c r="AV12" s="8" t="e">
        <f ca="1"/>
        <v>#NAME?</v>
      </c>
      <c r="AW12" s="132" t="e">
        <f ca="1"/>
        <v>#NAME?</v>
      </c>
    </row>
    <row r="13" spans="1:49">
      <c r="A13" s="625" t="e">
        <f ca="1"/>
        <v>#NAME?</v>
      </c>
      <c r="B13" s="8" t="e">
        <f ca="1"/>
        <v>#NAME?</v>
      </c>
      <c r="C13" s="8" t="e">
        <f ca="1"/>
        <v>#NAME?</v>
      </c>
      <c r="D13" s="132" t="e">
        <f ca="1"/>
        <v>#NAME?</v>
      </c>
      <c r="F13" s="625" t="e">
        <f ca="1"/>
        <v>#NAME?</v>
      </c>
      <c r="G13" s="8" t="e">
        <f ca="1"/>
        <v>#NAME?</v>
      </c>
      <c r="H13" s="8" t="e">
        <f ca="1"/>
        <v>#NAME?</v>
      </c>
      <c r="I13" s="132" t="e">
        <f ca="1"/>
        <v>#NAME?</v>
      </c>
      <c r="K13" s="625" t="e">
        <f ca="1"/>
        <v>#NAME?</v>
      </c>
      <c r="L13" s="8" t="e">
        <f ca="1"/>
        <v>#NAME?</v>
      </c>
      <c r="M13" s="8" t="e">
        <f ca="1"/>
        <v>#NAME?</v>
      </c>
      <c r="N13" s="132" t="e">
        <f ca="1"/>
        <v>#NAME?</v>
      </c>
      <c r="P13" s="625" t="e">
        <f ca="1"/>
        <v>#NAME?</v>
      </c>
      <c r="Q13" s="8" t="e">
        <f ca="1"/>
        <v>#NAME?</v>
      </c>
      <c r="R13" s="8" t="e">
        <f ca="1"/>
        <v>#NAME?</v>
      </c>
      <c r="S13" s="132" t="e">
        <f ca="1"/>
        <v>#NAME?</v>
      </c>
      <c r="U13" s="625" t="e">
        <f ca="1"/>
        <v>#NAME?</v>
      </c>
      <c r="V13" s="8" t="e">
        <f ca="1"/>
        <v>#NAME?</v>
      </c>
      <c r="W13" s="8" t="e">
        <f ca="1"/>
        <v>#NAME?</v>
      </c>
      <c r="X13" s="132" t="e">
        <f ca="1"/>
        <v>#NAME?</v>
      </c>
      <c r="Z13" s="625" t="e">
        <f ca="1"/>
        <v>#NAME?</v>
      </c>
      <c r="AA13" s="8" t="e">
        <f ca="1"/>
        <v>#NAME?</v>
      </c>
      <c r="AB13" s="8" t="e">
        <f ca="1"/>
        <v>#NAME?</v>
      </c>
      <c r="AC13" s="132" t="e">
        <f ca="1"/>
        <v>#NAME?</v>
      </c>
      <c r="AE13" s="625" t="e">
        <f ca="1"/>
        <v>#NAME?</v>
      </c>
      <c r="AF13" s="8" t="e">
        <f ca="1"/>
        <v>#NAME?</v>
      </c>
      <c r="AG13" s="8" t="e">
        <f ca="1"/>
        <v>#NAME?</v>
      </c>
      <c r="AH13" s="132" t="e">
        <f ca="1"/>
        <v>#NAME?</v>
      </c>
      <c r="AJ13" s="625" t="e">
        <f ca="1"/>
        <v>#NAME?</v>
      </c>
      <c r="AK13" s="8" t="e">
        <f ca="1"/>
        <v>#NAME?</v>
      </c>
      <c r="AL13" s="8" t="e">
        <f ca="1"/>
        <v>#NAME?</v>
      </c>
      <c r="AM13" s="132" t="e">
        <f ca="1"/>
        <v>#NAME?</v>
      </c>
      <c r="AO13" s="625" t="e">
        <f ca="1"/>
        <v>#NAME?</v>
      </c>
      <c r="AP13" s="8" t="e">
        <f ca="1"/>
        <v>#NAME?</v>
      </c>
      <c r="AQ13" s="8" t="e">
        <f ca="1"/>
        <v>#NAME?</v>
      </c>
      <c r="AR13" s="132" t="e">
        <f ca="1"/>
        <v>#NAME?</v>
      </c>
      <c r="AT13" s="625" t="e">
        <f ca="1"/>
        <v>#NAME?</v>
      </c>
      <c r="AU13" s="8" t="e">
        <f ca="1"/>
        <v>#NAME?</v>
      </c>
      <c r="AV13" s="8" t="e">
        <f ca="1"/>
        <v>#NAME?</v>
      </c>
      <c r="AW13" s="132" t="e">
        <f ca="1"/>
        <v>#NAME?</v>
      </c>
    </row>
    <row r="14" spans="1:49">
      <c r="A14" s="625" t="e">
        <f ca="1"/>
        <v>#NAME?</v>
      </c>
      <c r="B14" s="8" t="e">
        <f ca="1"/>
        <v>#NAME?</v>
      </c>
      <c r="C14" s="8" t="e">
        <f ca="1"/>
        <v>#NAME?</v>
      </c>
      <c r="D14" s="132" t="e">
        <f ca="1"/>
        <v>#NAME?</v>
      </c>
      <c r="F14" s="625" t="e">
        <f ca="1"/>
        <v>#NAME?</v>
      </c>
      <c r="G14" s="8" t="e">
        <f ca="1"/>
        <v>#NAME?</v>
      </c>
      <c r="H14" s="8" t="e">
        <f ca="1"/>
        <v>#NAME?</v>
      </c>
      <c r="I14" s="132" t="e">
        <f ca="1"/>
        <v>#NAME?</v>
      </c>
      <c r="K14" s="625" t="e">
        <f ca="1"/>
        <v>#NAME?</v>
      </c>
      <c r="L14" s="8" t="e">
        <f ca="1"/>
        <v>#NAME?</v>
      </c>
      <c r="M14" s="8" t="e">
        <f ca="1"/>
        <v>#NAME?</v>
      </c>
      <c r="N14" s="132" t="e">
        <f ca="1"/>
        <v>#NAME?</v>
      </c>
      <c r="P14" s="625" t="e">
        <f ca="1"/>
        <v>#NAME?</v>
      </c>
      <c r="Q14" s="8" t="e">
        <f ca="1"/>
        <v>#NAME?</v>
      </c>
      <c r="R14" s="8" t="e">
        <f ca="1"/>
        <v>#NAME?</v>
      </c>
      <c r="S14" s="132" t="e">
        <f ca="1"/>
        <v>#NAME?</v>
      </c>
      <c r="U14" s="625" t="e">
        <f ca="1"/>
        <v>#NAME?</v>
      </c>
      <c r="V14" s="8" t="e">
        <f ca="1"/>
        <v>#NAME?</v>
      </c>
      <c r="W14" s="8" t="e">
        <f ca="1"/>
        <v>#NAME?</v>
      </c>
      <c r="X14" s="132" t="e">
        <f ca="1"/>
        <v>#NAME?</v>
      </c>
      <c r="Z14" s="625" t="e">
        <f ca="1"/>
        <v>#NAME?</v>
      </c>
      <c r="AA14" s="8" t="e">
        <f ca="1"/>
        <v>#NAME?</v>
      </c>
      <c r="AB14" s="8" t="e">
        <f ca="1"/>
        <v>#NAME?</v>
      </c>
      <c r="AC14" s="132" t="e">
        <f ca="1"/>
        <v>#NAME?</v>
      </c>
      <c r="AE14" s="625" t="e">
        <f ca="1"/>
        <v>#NAME?</v>
      </c>
      <c r="AF14" s="8" t="e">
        <f ca="1"/>
        <v>#NAME?</v>
      </c>
      <c r="AG14" s="8" t="e">
        <f ca="1"/>
        <v>#NAME?</v>
      </c>
      <c r="AH14" s="132" t="e">
        <f ca="1"/>
        <v>#NAME?</v>
      </c>
      <c r="AJ14" s="625" t="e">
        <f ca="1"/>
        <v>#NAME?</v>
      </c>
      <c r="AK14" s="8" t="e">
        <f ca="1"/>
        <v>#NAME?</v>
      </c>
      <c r="AL14" s="8" t="e">
        <f ca="1"/>
        <v>#NAME?</v>
      </c>
      <c r="AM14" s="132" t="e">
        <f ca="1"/>
        <v>#NAME?</v>
      </c>
      <c r="AO14" s="625" t="e">
        <f ca="1"/>
        <v>#NAME?</v>
      </c>
      <c r="AP14" s="8" t="e">
        <f ca="1"/>
        <v>#NAME?</v>
      </c>
      <c r="AQ14" s="8" t="e">
        <f ca="1"/>
        <v>#NAME?</v>
      </c>
      <c r="AR14" s="132" t="e">
        <f ca="1"/>
        <v>#NAME?</v>
      </c>
      <c r="AT14" s="625" t="e">
        <f ca="1"/>
        <v>#NAME?</v>
      </c>
      <c r="AU14" s="8" t="e">
        <f ca="1"/>
        <v>#NAME?</v>
      </c>
      <c r="AV14" s="8" t="e">
        <f ca="1"/>
        <v>#NAME?</v>
      </c>
      <c r="AW14" s="132" t="e">
        <f ca="1"/>
        <v>#NAME?</v>
      </c>
    </row>
    <row r="15" spans="1:49">
      <c r="A15" s="625" t="e">
        <f ca="1"/>
        <v>#NAME?</v>
      </c>
      <c r="B15" s="8" t="e">
        <f ca="1"/>
        <v>#NAME?</v>
      </c>
      <c r="C15" s="8" t="e">
        <f ca="1"/>
        <v>#NAME?</v>
      </c>
      <c r="D15" s="132" t="e">
        <f ca="1"/>
        <v>#NAME?</v>
      </c>
      <c r="F15" s="625" t="e">
        <f ca="1"/>
        <v>#NAME?</v>
      </c>
      <c r="G15" s="8" t="e">
        <f ca="1"/>
        <v>#NAME?</v>
      </c>
      <c r="H15" s="8" t="e">
        <f ca="1"/>
        <v>#NAME?</v>
      </c>
      <c r="I15" s="132" t="e">
        <f ca="1"/>
        <v>#NAME?</v>
      </c>
      <c r="K15" s="625" t="e">
        <f ca="1"/>
        <v>#NAME?</v>
      </c>
      <c r="L15" s="8" t="e">
        <f ca="1"/>
        <v>#NAME?</v>
      </c>
      <c r="M15" s="8" t="e">
        <f ca="1"/>
        <v>#NAME?</v>
      </c>
      <c r="N15" s="132" t="e">
        <f ca="1"/>
        <v>#NAME?</v>
      </c>
      <c r="P15" s="625" t="e">
        <f ca="1"/>
        <v>#NAME?</v>
      </c>
      <c r="Q15" s="8" t="e">
        <f ca="1"/>
        <v>#NAME?</v>
      </c>
      <c r="R15" s="8" t="e">
        <f ca="1"/>
        <v>#NAME?</v>
      </c>
      <c r="S15" s="132" t="e">
        <f ca="1"/>
        <v>#NAME?</v>
      </c>
      <c r="U15" s="625" t="e">
        <f ca="1"/>
        <v>#NAME?</v>
      </c>
      <c r="V15" s="8" t="e">
        <f ca="1"/>
        <v>#NAME?</v>
      </c>
      <c r="W15" s="8" t="e">
        <f ca="1"/>
        <v>#NAME?</v>
      </c>
      <c r="X15" s="132" t="e">
        <f ca="1"/>
        <v>#NAME?</v>
      </c>
      <c r="Z15" s="625" t="e">
        <f ca="1"/>
        <v>#NAME?</v>
      </c>
      <c r="AA15" s="8" t="e">
        <f ca="1"/>
        <v>#NAME?</v>
      </c>
      <c r="AB15" s="8" t="e">
        <f ca="1"/>
        <v>#NAME?</v>
      </c>
      <c r="AC15" s="132" t="e">
        <f ca="1"/>
        <v>#NAME?</v>
      </c>
      <c r="AE15" s="625" t="e">
        <f ca="1"/>
        <v>#NAME?</v>
      </c>
      <c r="AF15" s="8" t="e">
        <f ca="1"/>
        <v>#NAME?</v>
      </c>
      <c r="AG15" s="8" t="e">
        <f ca="1"/>
        <v>#NAME?</v>
      </c>
      <c r="AH15" s="132" t="e">
        <f ca="1"/>
        <v>#NAME?</v>
      </c>
      <c r="AJ15" s="625" t="e">
        <f ca="1"/>
        <v>#NAME?</v>
      </c>
      <c r="AK15" s="8" t="e">
        <f ca="1"/>
        <v>#NAME?</v>
      </c>
      <c r="AL15" s="8" t="e">
        <f ca="1"/>
        <v>#NAME?</v>
      </c>
      <c r="AM15" s="132" t="e">
        <f ca="1"/>
        <v>#NAME?</v>
      </c>
      <c r="AO15" s="625" t="e">
        <f ca="1"/>
        <v>#NAME?</v>
      </c>
      <c r="AP15" s="8" t="e">
        <f ca="1"/>
        <v>#NAME?</v>
      </c>
      <c r="AQ15" s="8" t="e">
        <f ca="1"/>
        <v>#NAME?</v>
      </c>
      <c r="AR15" s="132" t="e">
        <f ca="1"/>
        <v>#NAME?</v>
      </c>
      <c r="AT15" s="625" t="e">
        <f ca="1"/>
        <v>#NAME?</v>
      </c>
      <c r="AU15" s="8" t="e">
        <f ca="1"/>
        <v>#NAME?</v>
      </c>
      <c r="AV15" s="8" t="e">
        <f ca="1"/>
        <v>#NAME?</v>
      </c>
      <c r="AW15" s="132" t="e">
        <f ca="1"/>
        <v>#NAME?</v>
      </c>
    </row>
    <row r="16" spans="1:49">
      <c r="A16" s="625" t="e">
        <f ca="1"/>
        <v>#NAME?</v>
      </c>
      <c r="B16" s="8" t="e">
        <f ca="1"/>
        <v>#NAME?</v>
      </c>
      <c r="C16" s="8" t="e">
        <f ca="1"/>
        <v>#NAME?</v>
      </c>
      <c r="D16" s="132" t="e">
        <f ca="1"/>
        <v>#NAME?</v>
      </c>
      <c r="F16" s="625" t="e">
        <f ca="1"/>
        <v>#NAME?</v>
      </c>
      <c r="G16" s="8" t="e">
        <f ca="1"/>
        <v>#NAME?</v>
      </c>
      <c r="H16" s="8" t="e">
        <f ca="1"/>
        <v>#NAME?</v>
      </c>
      <c r="I16" s="132" t="e">
        <f ca="1"/>
        <v>#NAME?</v>
      </c>
      <c r="K16" s="625" t="e">
        <f ca="1"/>
        <v>#NAME?</v>
      </c>
      <c r="L16" s="8" t="e">
        <f ca="1"/>
        <v>#NAME?</v>
      </c>
      <c r="M16" s="8" t="e">
        <f ca="1"/>
        <v>#NAME?</v>
      </c>
      <c r="N16" s="132" t="e">
        <f ca="1"/>
        <v>#NAME?</v>
      </c>
      <c r="P16" s="625" t="e">
        <f ca="1"/>
        <v>#NAME?</v>
      </c>
      <c r="Q16" s="8" t="e">
        <f ca="1"/>
        <v>#NAME?</v>
      </c>
      <c r="R16" s="8" t="e">
        <f ca="1"/>
        <v>#NAME?</v>
      </c>
      <c r="S16" s="132" t="e">
        <f ca="1"/>
        <v>#NAME?</v>
      </c>
      <c r="U16" s="625" t="e">
        <f ca="1"/>
        <v>#NAME?</v>
      </c>
      <c r="V16" s="8" t="e">
        <f ca="1"/>
        <v>#NAME?</v>
      </c>
      <c r="W16" s="8" t="e">
        <f ca="1"/>
        <v>#NAME?</v>
      </c>
      <c r="X16" s="132" t="e">
        <f ca="1"/>
        <v>#NAME?</v>
      </c>
      <c r="Z16" s="625" t="e">
        <f ca="1"/>
        <v>#NAME?</v>
      </c>
      <c r="AA16" s="8" t="e">
        <f ca="1"/>
        <v>#NAME?</v>
      </c>
      <c r="AB16" s="8" t="e">
        <f ca="1"/>
        <v>#NAME?</v>
      </c>
      <c r="AC16" s="132" t="e">
        <f ca="1"/>
        <v>#NAME?</v>
      </c>
      <c r="AE16" s="625" t="e">
        <f ca="1"/>
        <v>#NAME?</v>
      </c>
      <c r="AF16" s="8" t="e">
        <f ca="1"/>
        <v>#NAME?</v>
      </c>
      <c r="AG16" s="8" t="e">
        <f ca="1"/>
        <v>#NAME?</v>
      </c>
      <c r="AH16" s="132" t="e">
        <f ca="1"/>
        <v>#NAME?</v>
      </c>
      <c r="AJ16" s="625" t="e">
        <f ca="1"/>
        <v>#NAME?</v>
      </c>
      <c r="AK16" s="8" t="e">
        <f ca="1"/>
        <v>#NAME?</v>
      </c>
      <c r="AL16" s="8" t="e">
        <f ca="1"/>
        <v>#NAME?</v>
      </c>
      <c r="AM16" s="132" t="e">
        <f ca="1"/>
        <v>#NAME?</v>
      </c>
      <c r="AO16" s="625" t="e">
        <f ca="1"/>
        <v>#NAME?</v>
      </c>
      <c r="AP16" s="8" t="e">
        <f ca="1"/>
        <v>#NAME?</v>
      </c>
      <c r="AQ16" s="8" t="e">
        <f ca="1"/>
        <v>#NAME?</v>
      </c>
      <c r="AR16" s="132" t="e">
        <f ca="1"/>
        <v>#NAME?</v>
      </c>
      <c r="AT16" s="625" t="e">
        <f ca="1"/>
        <v>#NAME?</v>
      </c>
      <c r="AU16" s="8" t="e">
        <f ca="1"/>
        <v>#NAME?</v>
      </c>
      <c r="AV16" s="8" t="e">
        <f ca="1"/>
        <v>#NAME?</v>
      </c>
      <c r="AW16" s="132" t="e">
        <f ca="1"/>
        <v>#NAME?</v>
      </c>
    </row>
    <row r="17" spans="1:49">
      <c r="A17" s="625" t="e">
        <f ca="1"/>
        <v>#NAME?</v>
      </c>
      <c r="B17" s="8" t="e">
        <f ca="1"/>
        <v>#NAME?</v>
      </c>
      <c r="C17" s="8" t="e">
        <f ca="1"/>
        <v>#NAME?</v>
      </c>
      <c r="D17" s="132" t="e">
        <f ca="1"/>
        <v>#NAME?</v>
      </c>
      <c r="F17" s="625" t="e">
        <f ca="1"/>
        <v>#NAME?</v>
      </c>
      <c r="G17" s="8" t="e">
        <f ca="1"/>
        <v>#NAME?</v>
      </c>
      <c r="H17" s="8" t="e">
        <f ca="1"/>
        <v>#NAME?</v>
      </c>
      <c r="I17" s="132" t="e">
        <f ca="1"/>
        <v>#NAME?</v>
      </c>
      <c r="K17" s="625" t="e">
        <f ca="1"/>
        <v>#NAME?</v>
      </c>
      <c r="L17" s="8" t="e">
        <f ca="1"/>
        <v>#NAME?</v>
      </c>
      <c r="M17" s="8" t="e">
        <f ca="1"/>
        <v>#NAME?</v>
      </c>
      <c r="N17" s="132" t="e">
        <f ca="1"/>
        <v>#NAME?</v>
      </c>
      <c r="P17" s="625" t="e">
        <f ca="1"/>
        <v>#NAME?</v>
      </c>
      <c r="Q17" s="8" t="e">
        <f ca="1"/>
        <v>#NAME?</v>
      </c>
      <c r="R17" s="8" t="e">
        <f ca="1"/>
        <v>#NAME?</v>
      </c>
      <c r="S17" s="132" t="e">
        <f ca="1"/>
        <v>#NAME?</v>
      </c>
      <c r="U17" s="625" t="e">
        <f ca="1"/>
        <v>#NAME?</v>
      </c>
      <c r="V17" s="8" t="e">
        <f ca="1"/>
        <v>#NAME?</v>
      </c>
      <c r="W17" s="8" t="e">
        <f ca="1"/>
        <v>#NAME?</v>
      </c>
      <c r="X17" s="132" t="e">
        <f ca="1"/>
        <v>#NAME?</v>
      </c>
      <c r="Z17" s="625" t="e">
        <f ca="1"/>
        <v>#NAME?</v>
      </c>
      <c r="AA17" s="8" t="e">
        <f ca="1"/>
        <v>#NAME?</v>
      </c>
      <c r="AB17" s="8" t="e">
        <f ca="1"/>
        <v>#NAME?</v>
      </c>
      <c r="AC17" s="132" t="e">
        <f ca="1"/>
        <v>#NAME?</v>
      </c>
      <c r="AE17" s="625" t="e">
        <f ca="1"/>
        <v>#NAME?</v>
      </c>
      <c r="AF17" s="8" t="e">
        <f ca="1"/>
        <v>#NAME?</v>
      </c>
      <c r="AG17" s="8" t="e">
        <f ca="1"/>
        <v>#NAME?</v>
      </c>
      <c r="AH17" s="132" t="e">
        <f ca="1"/>
        <v>#NAME?</v>
      </c>
      <c r="AJ17" s="625" t="e">
        <f ca="1"/>
        <v>#NAME?</v>
      </c>
      <c r="AK17" s="8" t="e">
        <f ca="1"/>
        <v>#NAME?</v>
      </c>
      <c r="AL17" s="8" t="e">
        <f ca="1"/>
        <v>#NAME?</v>
      </c>
      <c r="AM17" s="132" t="e">
        <f ca="1"/>
        <v>#NAME?</v>
      </c>
      <c r="AO17" s="625" t="e">
        <f ca="1"/>
        <v>#NAME?</v>
      </c>
      <c r="AP17" s="8" t="e">
        <f ca="1"/>
        <v>#NAME?</v>
      </c>
      <c r="AQ17" s="8" t="e">
        <f ca="1"/>
        <v>#NAME?</v>
      </c>
      <c r="AR17" s="132" t="e">
        <f ca="1"/>
        <v>#NAME?</v>
      </c>
      <c r="AT17" s="625" t="e">
        <f ca="1"/>
        <v>#NAME?</v>
      </c>
      <c r="AU17" s="8" t="e">
        <f ca="1"/>
        <v>#NAME?</v>
      </c>
      <c r="AV17" s="8" t="e">
        <f ca="1"/>
        <v>#NAME?</v>
      </c>
      <c r="AW17" s="132" t="e">
        <f ca="1"/>
        <v>#NAME?</v>
      </c>
    </row>
    <row r="18" spans="1:49">
      <c r="A18" s="625" t="e">
        <f ca="1"/>
        <v>#NAME?</v>
      </c>
      <c r="B18" s="8" t="e">
        <f ca="1"/>
        <v>#NAME?</v>
      </c>
      <c r="C18" s="8" t="e">
        <f ca="1"/>
        <v>#NAME?</v>
      </c>
      <c r="D18" s="132" t="e">
        <f ca="1"/>
        <v>#NAME?</v>
      </c>
      <c r="F18" s="625" t="e">
        <f ca="1"/>
        <v>#NAME?</v>
      </c>
      <c r="G18" s="8" t="e">
        <f ca="1"/>
        <v>#NAME?</v>
      </c>
      <c r="H18" s="8" t="e">
        <f ca="1"/>
        <v>#NAME?</v>
      </c>
      <c r="I18" s="132" t="e">
        <f ca="1"/>
        <v>#NAME?</v>
      </c>
      <c r="K18" s="625" t="e">
        <f ca="1"/>
        <v>#NAME?</v>
      </c>
      <c r="L18" s="8" t="e">
        <f ca="1"/>
        <v>#NAME?</v>
      </c>
      <c r="M18" s="8" t="e">
        <f ca="1"/>
        <v>#NAME?</v>
      </c>
      <c r="N18" s="132" t="e">
        <f ca="1"/>
        <v>#NAME?</v>
      </c>
      <c r="P18" s="625" t="e">
        <f ca="1"/>
        <v>#NAME?</v>
      </c>
      <c r="Q18" s="8" t="e">
        <f ca="1"/>
        <v>#NAME?</v>
      </c>
      <c r="R18" s="8" t="e">
        <f ca="1"/>
        <v>#NAME?</v>
      </c>
      <c r="S18" s="132" t="e">
        <f ca="1"/>
        <v>#NAME?</v>
      </c>
      <c r="U18" s="625" t="e">
        <f ca="1"/>
        <v>#NAME?</v>
      </c>
      <c r="V18" s="8" t="e">
        <f ca="1"/>
        <v>#NAME?</v>
      </c>
      <c r="W18" s="8" t="e">
        <f ca="1"/>
        <v>#NAME?</v>
      </c>
      <c r="X18" s="132" t="e">
        <f ca="1"/>
        <v>#NAME?</v>
      </c>
      <c r="Z18" s="625" t="e">
        <f ca="1"/>
        <v>#NAME?</v>
      </c>
      <c r="AA18" s="8" t="e">
        <f ca="1"/>
        <v>#NAME?</v>
      </c>
      <c r="AB18" s="8" t="e">
        <f ca="1"/>
        <v>#NAME?</v>
      </c>
      <c r="AC18" s="132" t="e">
        <f ca="1"/>
        <v>#NAME?</v>
      </c>
      <c r="AE18" s="625" t="e">
        <f ca="1"/>
        <v>#NAME?</v>
      </c>
      <c r="AF18" s="8" t="e">
        <f ca="1"/>
        <v>#NAME?</v>
      </c>
      <c r="AG18" s="8" t="e">
        <f ca="1"/>
        <v>#NAME?</v>
      </c>
      <c r="AH18" s="132" t="e">
        <f ca="1"/>
        <v>#NAME?</v>
      </c>
      <c r="AJ18" s="625" t="e">
        <f ca="1"/>
        <v>#NAME?</v>
      </c>
      <c r="AK18" s="8" t="e">
        <f ca="1"/>
        <v>#NAME?</v>
      </c>
      <c r="AL18" s="8" t="e">
        <f ca="1"/>
        <v>#NAME?</v>
      </c>
      <c r="AM18" s="132" t="e">
        <f ca="1"/>
        <v>#NAME?</v>
      </c>
      <c r="AO18" s="625" t="e">
        <f ca="1"/>
        <v>#NAME?</v>
      </c>
      <c r="AP18" s="8" t="e">
        <f ca="1"/>
        <v>#NAME?</v>
      </c>
      <c r="AQ18" s="8" t="e">
        <f ca="1"/>
        <v>#NAME?</v>
      </c>
      <c r="AR18" s="132" t="e">
        <f ca="1"/>
        <v>#NAME?</v>
      </c>
      <c r="AT18" s="625" t="e">
        <f ca="1"/>
        <v>#NAME?</v>
      </c>
      <c r="AU18" s="8" t="e">
        <f ca="1"/>
        <v>#NAME?</v>
      </c>
      <c r="AV18" s="8" t="e">
        <f ca="1"/>
        <v>#NAME?</v>
      </c>
      <c r="AW18" s="132" t="e">
        <f ca="1"/>
        <v>#NAME?</v>
      </c>
    </row>
    <row r="19" spans="1:49">
      <c r="A19" s="625" t="e">
        <f ca="1"/>
        <v>#NAME?</v>
      </c>
      <c r="B19" s="8" t="e">
        <f ca="1"/>
        <v>#NAME?</v>
      </c>
      <c r="C19" s="8" t="e">
        <f ca="1"/>
        <v>#NAME?</v>
      </c>
      <c r="D19" s="132" t="e">
        <f ca="1"/>
        <v>#NAME?</v>
      </c>
      <c r="F19" s="625" t="e">
        <f ca="1"/>
        <v>#NAME?</v>
      </c>
      <c r="G19" s="8" t="e">
        <f ca="1"/>
        <v>#NAME?</v>
      </c>
      <c r="H19" s="8" t="e">
        <f ca="1"/>
        <v>#NAME?</v>
      </c>
      <c r="I19" s="132" t="e">
        <f ca="1"/>
        <v>#NAME?</v>
      </c>
      <c r="K19" s="625" t="e">
        <f ca="1"/>
        <v>#NAME?</v>
      </c>
      <c r="L19" s="8" t="e">
        <f ca="1"/>
        <v>#NAME?</v>
      </c>
      <c r="M19" s="8" t="e">
        <f ca="1"/>
        <v>#NAME?</v>
      </c>
      <c r="N19" s="132" t="e">
        <f ca="1"/>
        <v>#NAME?</v>
      </c>
      <c r="P19" s="625" t="e">
        <f ca="1"/>
        <v>#NAME?</v>
      </c>
      <c r="Q19" s="8" t="e">
        <f ca="1"/>
        <v>#NAME?</v>
      </c>
      <c r="R19" s="8" t="e">
        <f ca="1"/>
        <v>#NAME?</v>
      </c>
      <c r="S19" s="132" t="e">
        <f ca="1"/>
        <v>#NAME?</v>
      </c>
      <c r="U19" s="625" t="e">
        <f ca="1"/>
        <v>#NAME?</v>
      </c>
      <c r="V19" s="8" t="e">
        <f ca="1"/>
        <v>#NAME?</v>
      </c>
      <c r="W19" s="8" t="e">
        <f ca="1"/>
        <v>#NAME?</v>
      </c>
      <c r="X19" s="132" t="e">
        <f ca="1"/>
        <v>#NAME?</v>
      </c>
      <c r="Z19" s="625" t="e">
        <f ca="1"/>
        <v>#NAME?</v>
      </c>
      <c r="AA19" s="8" t="e">
        <f ca="1"/>
        <v>#NAME?</v>
      </c>
      <c r="AB19" s="8" t="e">
        <f ca="1"/>
        <v>#NAME?</v>
      </c>
      <c r="AC19" s="132" t="e">
        <f ca="1"/>
        <v>#NAME?</v>
      </c>
      <c r="AE19" s="625" t="e">
        <f ca="1"/>
        <v>#NAME?</v>
      </c>
      <c r="AF19" s="8" t="e">
        <f ca="1"/>
        <v>#NAME?</v>
      </c>
      <c r="AG19" s="8" t="e">
        <f ca="1"/>
        <v>#NAME?</v>
      </c>
      <c r="AH19" s="132" t="e">
        <f ca="1"/>
        <v>#NAME?</v>
      </c>
      <c r="AJ19" s="625" t="e">
        <f ca="1"/>
        <v>#NAME?</v>
      </c>
      <c r="AK19" s="8" t="e">
        <f ca="1"/>
        <v>#NAME?</v>
      </c>
      <c r="AL19" s="8" t="e">
        <f ca="1"/>
        <v>#NAME?</v>
      </c>
      <c r="AM19" s="132" t="e">
        <f ca="1"/>
        <v>#NAME?</v>
      </c>
      <c r="AO19" s="625" t="e">
        <f ca="1"/>
        <v>#NAME?</v>
      </c>
      <c r="AP19" s="8" t="e">
        <f ca="1"/>
        <v>#NAME?</v>
      </c>
      <c r="AQ19" s="8" t="e">
        <f ca="1"/>
        <v>#NAME?</v>
      </c>
      <c r="AR19" s="132" t="e">
        <f ca="1"/>
        <v>#NAME?</v>
      </c>
      <c r="AT19" s="625" t="e">
        <f ca="1"/>
        <v>#NAME?</v>
      </c>
      <c r="AU19" s="8" t="e">
        <f ca="1"/>
        <v>#NAME?</v>
      </c>
      <c r="AV19" s="8" t="e">
        <f ca="1"/>
        <v>#NAME?</v>
      </c>
      <c r="AW19" s="132" t="e">
        <f ca="1"/>
        <v>#NAME?</v>
      </c>
    </row>
    <row r="20" spans="1:49">
      <c r="A20" s="625" t="e">
        <f ca="1"/>
        <v>#NAME?</v>
      </c>
      <c r="B20" s="8" t="e">
        <f ca="1"/>
        <v>#NAME?</v>
      </c>
      <c r="C20" s="8" t="e">
        <f ca="1"/>
        <v>#NAME?</v>
      </c>
      <c r="D20" s="132" t="e">
        <f ca="1"/>
        <v>#NAME?</v>
      </c>
      <c r="F20" s="625" t="e">
        <f ca="1"/>
        <v>#NAME?</v>
      </c>
      <c r="G20" s="8" t="e">
        <f ca="1"/>
        <v>#NAME?</v>
      </c>
      <c r="H20" s="8" t="e">
        <f ca="1"/>
        <v>#NAME?</v>
      </c>
      <c r="I20" s="132" t="e">
        <f ca="1"/>
        <v>#NAME?</v>
      </c>
      <c r="K20" s="625" t="e">
        <f ca="1"/>
        <v>#NAME?</v>
      </c>
      <c r="L20" s="8" t="e">
        <f ca="1"/>
        <v>#NAME?</v>
      </c>
      <c r="M20" s="8" t="e">
        <f ca="1"/>
        <v>#NAME?</v>
      </c>
      <c r="N20" s="132" t="e">
        <f ca="1"/>
        <v>#NAME?</v>
      </c>
      <c r="P20" s="625" t="e">
        <f ca="1"/>
        <v>#NAME?</v>
      </c>
      <c r="Q20" s="8" t="e">
        <f ca="1"/>
        <v>#NAME?</v>
      </c>
      <c r="R20" s="8" t="e">
        <f ca="1"/>
        <v>#NAME?</v>
      </c>
      <c r="S20" s="132" t="e">
        <f ca="1"/>
        <v>#NAME?</v>
      </c>
      <c r="U20" s="625" t="e">
        <f ca="1"/>
        <v>#NAME?</v>
      </c>
      <c r="V20" s="8" t="e">
        <f ca="1"/>
        <v>#NAME?</v>
      </c>
      <c r="W20" s="8" t="e">
        <f ca="1"/>
        <v>#NAME?</v>
      </c>
      <c r="X20" s="132" t="e">
        <f ca="1"/>
        <v>#NAME?</v>
      </c>
      <c r="Z20" s="625" t="e">
        <f ca="1"/>
        <v>#NAME?</v>
      </c>
      <c r="AA20" s="8" t="e">
        <f ca="1"/>
        <v>#NAME?</v>
      </c>
      <c r="AB20" s="8" t="e">
        <f ca="1"/>
        <v>#NAME?</v>
      </c>
      <c r="AC20" s="132" t="e">
        <f ca="1"/>
        <v>#NAME?</v>
      </c>
      <c r="AE20" s="625" t="e">
        <f ca="1"/>
        <v>#NAME?</v>
      </c>
      <c r="AF20" s="8" t="e">
        <f ca="1"/>
        <v>#NAME?</v>
      </c>
      <c r="AG20" s="8" t="e">
        <f ca="1"/>
        <v>#NAME?</v>
      </c>
      <c r="AH20" s="132" t="e">
        <f ca="1"/>
        <v>#NAME?</v>
      </c>
      <c r="AJ20" s="625" t="e">
        <f ca="1"/>
        <v>#NAME?</v>
      </c>
      <c r="AK20" s="8" t="e">
        <f ca="1"/>
        <v>#NAME?</v>
      </c>
      <c r="AL20" s="8" t="e">
        <f ca="1"/>
        <v>#NAME?</v>
      </c>
      <c r="AM20" s="132" t="e">
        <f ca="1"/>
        <v>#NAME?</v>
      </c>
      <c r="AO20" s="625" t="e">
        <f ca="1"/>
        <v>#NAME?</v>
      </c>
      <c r="AP20" s="8" t="e">
        <f ca="1"/>
        <v>#NAME?</v>
      </c>
      <c r="AQ20" s="8" t="e">
        <f ca="1"/>
        <v>#NAME?</v>
      </c>
      <c r="AR20" s="132" t="e">
        <f ca="1"/>
        <v>#NAME?</v>
      </c>
      <c r="AT20" s="625" t="e">
        <f ca="1"/>
        <v>#NAME?</v>
      </c>
      <c r="AU20" s="8" t="e">
        <f ca="1"/>
        <v>#NAME?</v>
      </c>
      <c r="AV20" s="8" t="e">
        <f ca="1"/>
        <v>#NAME?</v>
      </c>
      <c r="AW20" s="132" t="e">
        <f ca="1"/>
        <v>#NAME?</v>
      </c>
    </row>
    <row r="21" spans="1:49">
      <c r="A21" s="625" t="e">
        <f ca="1"/>
        <v>#NAME?</v>
      </c>
      <c r="B21" s="8" t="e">
        <f ca="1"/>
        <v>#NAME?</v>
      </c>
      <c r="C21" s="8" t="e">
        <f ca="1"/>
        <v>#NAME?</v>
      </c>
      <c r="D21" s="132" t="e">
        <f ca="1"/>
        <v>#NAME?</v>
      </c>
      <c r="F21" s="625" t="e">
        <f ca="1"/>
        <v>#NAME?</v>
      </c>
      <c r="G21" s="8" t="e">
        <f ca="1"/>
        <v>#NAME?</v>
      </c>
      <c r="H21" s="8" t="e">
        <f ca="1"/>
        <v>#NAME?</v>
      </c>
      <c r="I21" s="132" t="e">
        <f ca="1"/>
        <v>#NAME?</v>
      </c>
      <c r="K21" s="625" t="e">
        <f ca="1"/>
        <v>#NAME?</v>
      </c>
      <c r="L21" s="8" t="e">
        <f ca="1"/>
        <v>#NAME?</v>
      </c>
      <c r="M21" s="8" t="e">
        <f ca="1"/>
        <v>#NAME?</v>
      </c>
      <c r="N21" s="132" t="e">
        <f ca="1"/>
        <v>#NAME?</v>
      </c>
      <c r="P21" s="625" t="e">
        <f ca="1"/>
        <v>#NAME?</v>
      </c>
      <c r="Q21" s="8" t="e">
        <f ca="1"/>
        <v>#NAME?</v>
      </c>
      <c r="R21" s="8" t="e">
        <f ca="1"/>
        <v>#NAME?</v>
      </c>
      <c r="S21" s="132" t="e">
        <f ca="1"/>
        <v>#NAME?</v>
      </c>
      <c r="U21" s="625" t="e">
        <f ca="1"/>
        <v>#NAME?</v>
      </c>
      <c r="V21" s="8" t="e">
        <f ca="1"/>
        <v>#NAME?</v>
      </c>
      <c r="W21" s="8" t="e">
        <f ca="1"/>
        <v>#NAME?</v>
      </c>
      <c r="X21" s="132" t="e">
        <f ca="1"/>
        <v>#NAME?</v>
      </c>
      <c r="Z21" s="625" t="e">
        <f ca="1"/>
        <v>#NAME?</v>
      </c>
      <c r="AA21" s="8" t="e">
        <f ca="1"/>
        <v>#NAME?</v>
      </c>
      <c r="AB21" s="8" t="e">
        <f ca="1"/>
        <v>#NAME?</v>
      </c>
      <c r="AC21" s="132" t="e">
        <f ca="1"/>
        <v>#NAME?</v>
      </c>
      <c r="AE21" s="625" t="e">
        <f ca="1"/>
        <v>#NAME?</v>
      </c>
      <c r="AF21" s="8" t="e">
        <f ca="1"/>
        <v>#NAME?</v>
      </c>
      <c r="AG21" s="8" t="e">
        <f ca="1"/>
        <v>#NAME?</v>
      </c>
      <c r="AH21" s="132" t="e">
        <f ca="1"/>
        <v>#NAME?</v>
      </c>
      <c r="AJ21" s="625" t="e">
        <f ca="1"/>
        <v>#NAME?</v>
      </c>
      <c r="AK21" s="8" t="e">
        <f ca="1"/>
        <v>#NAME?</v>
      </c>
      <c r="AL21" s="8" t="e">
        <f ca="1"/>
        <v>#NAME?</v>
      </c>
      <c r="AM21" s="132" t="e">
        <f ca="1"/>
        <v>#NAME?</v>
      </c>
      <c r="AO21" s="625" t="e">
        <f ca="1"/>
        <v>#NAME?</v>
      </c>
      <c r="AP21" s="8" t="e">
        <f ca="1"/>
        <v>#NAME?</v>
      </c>
      <c r="AQ21" s="8" t="e">
        <f ca="1"/>
        <v>#NAME?</v>
      </c>
      <c r="AR21" s="132" t="e">
        <f ca="1"/>
        <v>#NAME?</v>
      </c>
      <c r="AT21" s="625" t="e">
        <f ca="1"/>
        <v>#NAME?</v>
      </c>
      <c r="AU21" s="8" t="e">
        <f ca="1"/>
        <v>#NAME?</v>
      </c>
      <c r="AV21" s="8" t="e">
        <f ca="1"/>
        <v>#NAME?</v>
      </c>
      <c r="AW21" s="132" t="e">
        <f ca="1"/>
        <v>#NAME?</v>
      </c>
    </row>
    <row r="22" spans="1:49">
      <c r="A22" s="625" t="e">
        <f ca="1"/>
        <v>#NAME?</v>
      </c>
      <c r="B22" s="8" t="e">
        <f ca="1"/>
        <v>#NAME?</v>
      </c>
      <c r="C22" s="8" t="e">
        <f ca="1"/>
        <v>#NAME?</v>
      </c>
      <c r="D22" s="132" t="e">
        <f ca="1"/>
        <v>#NAME?</v>
      </c>
      <c r="F22" s="625" t="e">
        <f ca="1"/>
        <v>#NAME?</v>
      </c>
      <c r="G22" s="8" t="e">
        <f ca="1"/>
        <v>#NAME?</v>
      </c>
      <c r="H22" s="8" t="e">
        <f ca="1"/>
        <v>#NAME?</v>
      </c>
      <c r="I22" s="132" t="e">
        <f ca="1"/>
        <v>#NAME?</v>
      </c>
      <c r="K22" s="625" t="e">
        <f ca="1"/>
        <v>#NAME?</v>
      </c>
      <c r="L22" s="8" t="e">
        <f ca="1"/>
        <v>#NAME?</v>
      </c>
      <c r="M22" s="8" t="e">
        <f ca="1"/>
        <v>#NAME?</v>
      </c>
      <c r="N22" s="132" t="e">
        <f ca="1"/>
        <v>#NAME?</v>
      </c>
      <c r="P22" s="625" t="e">
        <f ca="1"/>
        <v>#NAME?</v>
      </c>
      <c r="Q22" s="8" t="e">
        <f ca="1"/>
        <v>#NAME?</v>
      </c>
      <c r="R22" s="8" t="e">
        <f ca="1"/>
        <v>#NAME?</v>
      </c>
      <c r="S22" s="132" t="e">
        <f ca="1"/>
        <v>#NAME?</v>
      </c>
      <c r="U22" s="625" t="e">
        <f ca="1"/>
        <v>#NAME?</v>
      </c>
      <c r="V22" s="8" t="e">
        <f ca="1"/>
        <v>#NAME?</v>
      </c>
      <c r="W22" s="8" t="e">
        <f ca="1"/>
        <v>#NAME?</v>
      </c>
      <c r="X22" s="132" t="e">
        <f ca="1"/>
        <v>#NAME?</v>
      </c>
      <c r="Z22" s="625" t="e">
        <f ca="1"/>
        <v>#NAME?</v>
      </c>
      <c r="AA22" s="8" t="e">
        <f ca="1"/>
        <v>#NAME?</v>
      </c>
      <c r="AB22" s="8" t="e">
        <f ca="1"/>
        <v>#NAME?</v>
      </c>
      <c r="AC22" s="132" t="e">
        <f ca="1"/>
        <v>#NAME?</v>
      </c>
      <c r="AE22" s="625" t="e">
        <f ca="1"/>
        <v>#NAME?</v>
      </c>
      <c r="AF22" s="8" t="e">
        <f ca="1"/>
        <v>#NAME?</v>
      </c>
      <c r="AG22" s="8" t="e">
        <f ca="1"/>
        <v>#NAME?</v>
      </c>
      <c r="AH22" s="132" t="e">
        <f ca="1"/>
        <v>#NAME?</v>
      </c>
      <c r="AJ22" s="625" t="e">
        <f ca="1"/>
        <v>#NAME?</v>
      </c>
      <c r="AK22" s="8" t="e">
        <f ca="1"/>
        <v>#NAME?</v>
      </c>
      <c r="AL22" s="8" t="e">
        <f ca="1"/>
        <v>#NAME?</v>
      </c>
      <c r="AM22" s="132" t="e">
        <f ca="1"/>
        <v>#NAME?</v>
      </c>
      <c r="AO22" s="625" t="e">
        <f ca="1"/>
        <v>#NAME?</v>
      </c>
      <c r="AP22" s="8" t="e">
        <f ca="1"/>
        <v>#NAME?</v>
      </c>
      <c r="AQ22" s="8" t="e">
        <f ca="1"/>
        <v>#NAME?</v>
      </c>
      <c r="AR22" s="132" t="e">
        <f ca="1"/>
        <v>#NAME?</v>
      </c>
      <c r="AT22" s="625" t="e">
        <f ca="1"/>
        <v>#NAME?</v>
      </c>
      <c r="AU22" s="8" t="e">
        <f ca="1"/>
        <v>#NAME?</v>
      </c>
      <c r="AV22" s="8" t="e">
        <f ca="1"/>
        <v>#NAME?</v>
      </c>
      <c r="AW22" s="132" t="e">
        <f ca="1"/>
        <v>#NAME?</v>
      </c>
    </row>
    <row r="23" spans="1:49">
      <c r="A23" s="1075" t="e">
        <f ca="1"/>
        <v>#NAME?</v>
      </c>
      <c r="B23" s="1076" t="e">
        <f ca="1"/>
        <v>#NAME?</v>
      </c>
      <c r="C23" s="1076" t="e">
        <f ca="1"/>
        <v>#NAME?</v>
      </c>
      <c r="D23" s="1077" t="e">
        <f ca="1"/>
        <v>#NAME?</v>
      </c>
      <c r="F23" s="1075" t="e">
        <f ca="1"/>
        <v>#NAME?</v>
      </c>
      <c r="G23" s="1076" t="e">
        <f ca="1"/>
        <v>#NAME?</v>
      </c>
      <c r="H23" s="1076" t="e">
        <f ca="1"/>
        <v>#NAME?</v>
      </c>
      <c r="I23" s="1077" t="e">
        <f ca="1"/>
        <v>#NAME?</v>
      </c>
      <c r="K23" s="1075" t="e">
        <f ca="1"/>
        <v>#NAME?</v>
      </c>
      <c r="L23" s="1076" t="e">
        <f ca="1"/>
        <v>#NAME?</v>
      </c>
      <c r="M23" s="1076" t="e">
        <f ca="1"/>
        <v>#NAME?</v>
      </c>
      <c r="N23" s="1077" t="e">
        <f ca="1"/>
        <v>#NAME?</v>
      </c>
      <c r="P23" s="1075" t="e">
        <f ca="1"/>
        <v>#NAME?</v>
      </c>
      <c r="Q23" s="1076" t="e">
        <f ca="1"/>
        <v>#NAME?</v>
      </c>
      <c r="R23" s="1076" t="e">
        <f ca="1"/>
        <v>#NAME?</v>
      </c>
      <c r="S23" s="1077" t="e">
        <f ca="1"/>
        <v>#NAME?</v>
      </c>
      <c r="U23" s="1075" t="e">
        <f ca="1"/>
        <v>#NAME?</v>
      </c>
      <c r="V23" s="1076" t="e">
        <f ca="1"/>
        <v>#NAME?</v>
      </c>
      <c r="W23" s="1076" t="e">
        <f ca="1"/>
        <v>#NAME?</v>
      </c>
      <c r="X23" s="1077" t="e">
        <f ca="1"/>
        <v>#NAME?</v>
      </c>
      <c r="Z23" s="1075" t="e">
        <f ca="1"/>
        <v>#NAME?</v>
      </c>
      <c r="AA23" s="1076" t="e">
        <f ca="1"/>
        <v>#NAME?</v>
      </c>
      <c r="AB23" s="1076" t="e">
        <f ca="1"/>
        <v>#NAME?</v>
      </c>
      <c r="AC23" s="1077" t="e">
        <f ca="1"/>
        <v>#NAME?</v>
      </c>
      <c r="AE23" s="1075" t="e">
        <f ca="1"/>
        <v>#NAME?</v>
      </c>
      <c r="AF23" s="1076" t="e">
        <f ca="1"/>
        <v>#NAME?</v>
      </c>
      <c r="AG23" s="1076" t="e">
        <f ca="1"/>
        <v>#NAME?</v>
      </c>
      <c r="AH23" s="1077" t="e">
        <f ca="1"/>
        <v>#NAME?</v>
      </c>
      <c r="AJ23" s="1075" t="e">
        <f ca="1"/>
        <v>#NAME?</v>
      </c>
      <c r="AK23" s="1076" t="e">
        <f ca="1"/>
        <v>#NAME?</v>
      </c>
      <c r="AL23" s="1076" t="e">
        <f ca="1"/>
        <v>#NAME?</v>
      </c>
      <c r="AM23" s="1077" t="e">
        <f ca="1"/>
        <v>#NAME?</v>
      </c>
      <c r="AO23" s="1075" t="e">
        <f ca="1"/>
        <v>#NAME?</v>
      </c>
      <c r="AP23" s="1076" t="e">
        <f ca="1"/>
        <v>#NAME?</v>
      </c>
      <c r="AQ23" s="1076" t="e">
        <f ca="1"/>
        <v>#NAME?</v>
      </c>
      <c r="AR23" s="1077" t="e">
        <f ca="1"/>
        <v>#NAME?</v>
      </c>
      <c r="AT23" s="1075" t="e">
        <f ca="1"/>
        <v>#NAME?</v>
      </c>
      <c r="AU23" s="1076" t="e">
        <f ca="1"/>
        <v>#NAME?</v>
      </c>
      <c r="AV23" s="1076" t="e">
        <f ca="1"/>
        <v>#NAME?</v>
      </c>
      <c r="AW23" s="1077" t="e">
        <f ca="1"/>
        <v>#NAME?</v>
      </c>
    </row>
    <row r="25" spans="1:49">
      <c r="A25" s="1232" t="e">
        <f t="array" aca="1" ref="A25:D29" ca="1">[1]!MISummary(A4:D23)</f>
        <v>#NAME?</v>
      </c>
      <c r="B25" s="1114" t="e">
        <f ca="1"/>
        <v>#NAME?</v>
      </c>
      <c r="C25" s="1114" t="e">
        <f ca="1"/>
        <v>#NAME?</v>
      </c>
      <c r="D25" s="1233" t="e">
        <f ca="1"/>
        <v>#NAME?</v>
      </c>
      <c r="F25" s="1232" t="e">
        <f t="array" aca="1" ref="F25:I29" ca="1">[1]!MISummary(F4:I23)</f>
        <v>#NAME?</v>
      </c>
      <c r="G25" s="1114" t="e">
        <f ca="1"/>
        <v>#NAME?</v>
      </c>
      <c r="H25" s="1114" t="e">
        <f ca="1"/>
        <v>#NAME?</v>
      </c>
      <c r="I25" s="1233" t="e">
        <f ca="1"/>
        <v>#NAME?</v>
      </c>
      <c r="K25" s="1232" t="e">
        <f t="array" aca="1" ref="K25:N29" ca="1">[1]!MISummary(K4:N23)</f>
        <v>#NAME?</v>
      </c>
      <c r="L25" s="1114" t="e">
        <f ca="1"/>
        <v>#NAME?</v>
      </c>
      <c r="M25" s="1114" t="e">
        <f ca="1"/>
        <v>#NAME?</v>
      </c>
      <c r="N25" s="1233" t="e">
        <f ca="1"/>
        <v>#NAME?</v>
      </c>
      <c r="P25" s="1232" t="e">
        <f t="array" aca="1" ref="P25:S29" ca="1">[1]!MISummary(P4:S23)</f>
        <v>#NAME?</v>
      </c>
      <c r="Q25" s="1114" t="e">
        <f ca="1"/>
        <v>#NAME?</v>
      </c>
      <c r="R25" s="1114" t="e">
        <f ca="1"/>
        <v>#NAME?</v>
      </c>
      <c r="S25" s="1233" t="e">
        <f ca="1"/>
        <v>#NAME?</v>
      </c>
      <c r="U25" s="1232" t="e">
        <f t="array" aca="1" ref="U25:X29" ca="1">[1]!MISummary(U4:X23)</f>
        <v>#NAME?</v>
      </c>
      <c r="V25" s="1114" t="e">
        <f ca="1"/>
        <v>#NAME?</v>
      </c>
      <c r="W25" s="1114" t="e">
        <f ca="1"/>
        <v>#NAME?</v>
      </c>
      <c r="X25" s="1233" t="e">
        <f ca="1"/>
        <v>#NAME?</v>
      </c>
      <c r="Z25" s="1232" t="e">
        <f t="array" aca="1" ref="Z25:AC29" ca="1">[1]!MISummary(Z4:AC23)</f>
        <v>#NAME?</v>
      </c>
      <c r="AA25" s="1114" t="e">
        <f ca="1"/>
        <v>#NAME?</v>
      </c>
      <c r="AB25" s="1114" t="e">
        <f ca="1"/>
        <v>#NAME?</v>
      </c>
      <c r="AC25" s="1233" t="e">
        <f ca="1"/>
        <v>#NAME?</v>
      </c>
      <c r="AE25" s="1232" t="e">
        <f t="array" aca="1" ref="AE25:AH29" ca="1">[1]!MISummary(AE4:AH23)</f>
        <v>#NAME?</v>
      </c>
      <c r="AF25" s="1114" t="e">
        <f ca="1"/>
        <v>#NAME?</v>
      </c>
      <c r="AG25" s="1114" t="e">
        <f ca="1"/>
        <v>#NAME?</v>
      </c>
      <c r="AH25" s="1233" t="e">
        <f ca="1"/>
        <v>#NAME?</v>
      </c>
      <c r="AJ25" s="1232" t="e">
        <f t="array" aca="1" ref="AJ25:AM29" ca="1">[1]!MISummary(AJ4:AM23)</f>
        <v>#NAME?</v>
      </c>
      <c r="AK25" s="1114" t="e">
        <f ca="1"/>
        <v>#NAME?</v>
      </c>
      <c r="AL25" s="1114" t="e">
        <f ca="1"/>
        <v>#NAME?</v>
      </c>
      <c r="AM25" s="1233" t="e">
        <f ca="1"/>
        <v>#NAME?</v>
      </c>
      <c r="AO25" s="1232" t="e">
        <f t="array" aca="1" ref="AO25:AR29" ca="1">[1]!MISummary(AO4:AR23)</f>
        <v>#NAME?</v>
      </c>
      <c r="AP25" s="1114" t="e">
        <f ca="1"/>
        <v>#NAME?</v>
      </c>
      <c r="AQ25" s="1114" t="e">
        <f ca="1"/>
        <v>#NAME?</v>
      </c>
      <c r="AR25" s="1233" t="e">
        <f ca="1"/>
        <v>#NAME?</v>
      </c>
      <c r="AT25" s="1232" t="e">
        <f t="array" aca="1" ref="AT25:AW29" ca="1">[1]!MISummary(AT4:AW23)</f>
        <v>#NAME?</v>
      </c>
      <c r="AU25" s="1114" t="e">
        <f ca="1"/>
        <v>#NAME?</v>
      </c>
      <c r="AV25" s="1114" t="e">
        <f ca="1"/>
        <v>#NAME?</v>
      </c>
      <c r="AW25" s="1233" t="e">
        <f ca="1"/>
        <v>#NAME?</v>
      </c>
    </row>
    <row r="26" spans="1:49">
      <c r="A26" s="625" t="e">
        <f ca="1"/>
        <v>#NAME?</v>
      </c>
      <c r="B26" s="8" t="e">
        <f ca="1"/>
        <v>#NAME?</v>
      </c>
      <c r="C26" s="8" t="e">
        <f ca="1"/>
        <v>#NAME?</v>
      </c>
      <c r="D26" s="132" t="e">
        <f ca="1"/>
        <v>#NAME?</v>
      </c>
      <c r="F26" s="625" t="e">
        <f ca="1"/>
        <v>#NAME?</v>
      </c>
      <c r="G26" s="8" t="e">
        <f ca="1"/>
        <v>#NAME?</v>
      </c>
      <c r="H26" s="8" t="e">
        <f ca="1"/>
        <v>#NAME?</v>
      </c>
      <c r="I26" s="132" t="e">
        <f ca="1"/>
        <v>#NAME?</v>
      </c>
      <c r="K26" s="625" t="e">
        <f ca="1"/>
        <v>#NAME?</v>
      </c>
      <c r="L26" s="8" t="e">
        <f ca="1"/>
        <v>#NAME?</v>
      </c>
      <c r="M26" s="8" t="e">
        <f ca="1"/>
        <v>#NAME?</v>
      </c>
      <c r="N26" s="132" t="e">
        <f ca="1"/>
        <v>#NAME?</v>
      </c>
      <c r="P26" s="625" t="e">
        <f ca="1"/>
        <v>#NAME?</v>
      </c>
      <c r="Q26" s="8" t="e">
        <f ca="1"/>
        <v>#NAME?</v>
      </c>
      <c r="R26" s="8" t="e">
        <f ca="1"/>
        <v>#NAME?</v>
      </c>
      <c r="S26" s="132" t="e">
        <f ca="1"/>
        <v>#NAME?</v>
      </c>
      <c r="U26" s="625" t="e">
        <f ca="1"/>
        <v>#NAME?</v>
      </c>
      <c r="V26" s="8" t="e">
        <f ca="1"/>
        <v>#NAME?</v>
      </c>
      <c r="W26" s="8" t="e">
        <f ca="1"/>
        <v>#NAME?</v>
      </c>
      <c r="X26" s="132" t="e">
        <f ca="1"/>
        <v>#NAME?</v>
      </c>
      <c r="Z26" s="625" t="e">
        <f ca="1"/>
        <v>#NAME?</v>
      </c>
      <c r="AA26" s="8" t="e">
        <f ca="1"/>
        <v>#NAME?</v>
      </c>
      <c r="AB26" s="8" t="e">
        <f ca="1"/>
        <v>#NAME?</v>
      </c>
      <c r="AC26" s="132" t="e">
        <f ca="1"/>
        <v>#NAME?</v>
      </c>
      <c r="AE26" s="625" t="e">
        <f ca="1"/>
        <v>#NAME?</v>
      </c>
      <c r="AF26" s="8" t="e">
        <f ca="1"/>
        <v>#NAME?</v>
      </c>
      <c r="AG26" s="8" t="e">
        <f ca="1"/>
        <v>#NAME?</v>
      </c>
      <c r="AH26" s="132" t="e">
        <f ca="1"/>
        <v>#NAME?</v>
      </c>
      <c r="AJ26" s="625" t="e">
        <f ca="1"/>
        <v>#NAME?</v>
      </c>
      <c r="AK26" s="8" t="e">
        <f ca="1"/>
        <v>#NAME?</v>
      </c>
      <c r="AL26" s="8" t="e">
        <f ca="1"/>
        <v>#NAME?</v>
      </c>
      <c r="AM26" s="132" t="e">
        <f ca="1"/>
        <v>#NAME?</v>
      </c>
      <c r="AO26" s="625" t="e">
        <f ca="1"/>
        <v>#NAME?</v>
      </c>
      <c r="AP26" s="8" t="e">
        <f ca="1"/>
        <v>#NAME?</v>
      </c>
      <c r="AQ26" s="8" t="e">
        <f ca="1"/>
        <v>#NAME?</v>
      </c>
      <c r="AR26" s="132" t="e">
        <f ca="1"/>
        <v>#NAME?</v>
      </c>
      <c r="AT26" s="625" t="e">
        <f ca="1"/>
        <v>#NAME?</v>
      </c>
      <c r="AU26" s="8" t="e">
        <f ca="1"/>
        <v>#NAME?</v>
      </c>
      <c r="AV26" s="8" t="e">
        <f ca="1"/>
        <v>#NAME?</v>
      </c>
      <c r="AW26" s="132" t="e">
        <f ca="1"/>
        <v>#NAME?</v>
      </c>
    </row>
    <row r="27" spans="1:49">
      <c r="A27" s="625" t="e">
        <f ca="1"/>
        <v>#NAME?</v>
      </c>
      <c r="B27" s="8" t="e">
        <f ca="1"/>
        <v>#NAME?</v>
      </c>
      <c r="C27" s="8" t="e">
        <f ca="1"/>
        <v>#NAME?</v>
      </c>
      <c r="D27" s="132" t="e">
        <f ca="1"/>
        <v>#NAME?</v>
      </c>
      <c r="F27" s="625" t="e">
        <f ca="1"/>
        <v>#NAME?</v>
      </c>
      <c r="G27" s="8" t="e">
        <f ca="1"/>
        <v>#NAME?</v>
      </c>
      <c r="H27" s="8" t="e">
        <f ca="1"/>
        <v>#NAME?</v>
      </c>
      <c r="I27" s="132" t="e">
        <f ca="1"/>
        <v>#NAME?</v>
      </c>
      <c r="K27" s="625" t="e">
        <f ca="1"/>
        <v>#NAME?</v>
      </c>
      <c r="L27" s="8" t="e">
        <f ca="1"/>
        <v>#NAME?</v>
      </c>
      <c r="M27" s="8" t="e">
        <f ca="1"/>
        <v>#NAME?</v>
      </c>
      <c r="N27" s="132" t="e">
        <f ca="1"/>
        <v>#NAME?</v>
      </c>
      <c r="P27" s="625" t="e">
        <f ca="1"/>
        <v>#NAME?</v>
      </c>
      <c r="Q27" s="8" t="e">
        <f ca="1"/>
        <v>#NAME?</v>
      </c>
      <c r="R27" s="8" t="e">
        <f ca="1"/>
        <v>#NAME?</v>
      </c>
      <c r="S27" s="132" t="e">
        <f ca="1"/>
        <v>#NAME?</v>
      </c>
      <c r="U27" s="625" t="e">
        <f ca="1"/>
        <v>#NAME?</v>
      </c>
      <c r="V27" s="8" t="e">
        <f ca="1"/>
        <v>#NAME?</v>
      </c>
      <c r="W27" s="8" t="e">
        <f ca="1"/>
        <v>#NAME?</v>
      </c>
      <c r="X27" s="132" t="e">
        <f ca="1"/>
        <v>#NAME?</v>
      </c>
      <c r="Z27" s="625" t="e">
        <f ca="1"/>
        <v>#NAME?</v>
      </c>
      <c r="AA27" s="8" t="e">
        <f ca="1"/>
        <v>#NAME?</v>
      </c>
      <c r="AB27" s="8" t="e">
        <f ca="1"/>
        <v>#NAME?</v>
      </c>
      <c r="AC27" s="132" t="e">
        <f ca="1"/>
        <v>#NAME?</v>
      </c>
      <c r="AE27" s="625" t="e">
        <f ca="1"/>
        <v>#NAME?</v>
      </c>
      <c r="AF27" s="8" t="e">
        <f ca="1"/>
        <v>#NAME?</v>
      </c>
      <c r="AG27" s="8" t="e">
        <f ca="1"/>
        <v>#NAME?</v>
      </c>
      <c r="AH27" s="132" t="e">
        <f ca="1"/>
        <v>#NAME?</v>
      </c>
      <c r="AJ27" s="625" t="e">
        <f ca="1"/>
        <v>#NAME?</v>
      </c>
      <c r="AK27" s="8" t="e">
        <f ca="1"/>
        <v>#NAME?</v>
      </c>
      <c r="AL27" s="8" t="e">
        <f ca="1"/>
        <v>#NAME?</v>
      </c>
      <c r="AM27" s="132" t="e">
        <f ca="1"/>
        <v>#NAME?</v>
      </c>
      <c r="AO27" s="625" t="e">
        <f ca="1"/>
        <v>#NAME?</v>
      </c>
      <c r="AP27" s="8" t="e">
        <f ca="1"/>
        <v>#NAME?</v>
      </c>
      <c r="AQ27" s="8" t="e">
        <f ca="1"/>
        <v>#NAME?</v>
      </c>
      <c r="AR27" s="132" t="e">
        <f ca="1"/>
        <v>#NAME?</v>
      </c>
      <c r="AT27" s="625" t="e">
        <f ca="1"/>
        <v>#NAME?</v>
      </c>
      <c r="AU27" s="8" t="e">
        <f ca="1"/>
        <v>#NAME?</v>
      </c>
      <c r="AV27" s="8" t="e">
        <f ca="1"/>
        <v>#NAME?</v>
      </c>
      <c r="AW27" s="132" t="e">
        <f ca="1"/>
        <v>#NAME?</v>
      </c>
    </row>
    <row r="28" spans="1:49">
      <c r="A28" s="625" t="e">
        <f ca="1"/>
        <v>#NAME?</v>
      </c>
      <c r="B28" s="8" t="e">
        <f ca="1"/>
        <v>#NAME?</v>
      </c>
      <c r="C28" s="8" t="e">
        <f ca="1"/>
        <v>#NAME?</v>
      </c>
      <c r="D28" s="132" t="e">
        <f ca="1"/>
        <v>#NAME?</v>
      </c>
      <c r="F28" s="625" t="e">
        <f ca="1"/>
        <v>#NAME?</v>
      </c>
      <c r="G28" s="8" t="e">
        <f ca="1"/>
        <v>#NAME?</v>
      </c>
      <c r="H28" s="8" t="e">
        <f ca="1"/>
        <v>#NAME?</v>
      </c>
      <c r="I28" s="132" t="e">
        <f ca="1"/>
        <v>#NAME?</v>
      </c>
      <c r="K28" s="625" t="e">
        <f ca="1"/>
        <v>#NAME?</v>
      </c>
      <c r="L28" s="8" t="e">
        <f ca="1"/>
        <v>#NAME?</v>
      </c>
      <c r="M28" s="8" t="e">
        <f ca="1"/>
        <v>#NAME?</v>
      </c>
      <c r="N28" s="132" t="e">
        <f ca="1"/>
        <v>#NAME?</v>
      </c>
      <c r="P28" s="625" t="e">
        <f ca="1"/>
        <v>#NAME?</v>
      </c>
      <c r="Q28" s="8" t="e">
        <f ca="1"/>
        <v>#NAME?</v>
      </c>
      <c r="R28" s="8" t="e">
        <f ca="1"/>
        <v>#NAME?</v>
      </c>
      <c r="S28" s="132" t="e">
        <f ca="1"/>
        <v>#NAME?</v>
      </c>
      <c r="U28" s="625" t="e">
        <f ca="1"/>
        <v>#NAME?</v>
      </c>
      <c r="V28" s="8" t="e">
        <f ca="1"/>
        <v>#NAME?</v>
      </c>
      <c r="W28" s="8" t="e">
        <f ca="1"/>
        <v>#NAME?</v>
      </c>
      <c r="X28" s="132" t="e">
        <f ca="1"/>
        <v>#NAME?</v>
      </c>
      <c r="Z28" s="625" t="e">
        <f ca="1"/>
        <v>#NAME?</v>
      </c>
      <c r="AA28" s="8" t="e">
        <f ca="1"/>
        <v>#NAME?</v>
      </c>
      <c r="AB28" s="8" t="e">
        <f ca="1"/>
        <v>#NAME?</v>
      </c>
      <c r="AC28" s="132" t="e">
        <f ca="1"/>
        <v>#NAME?</v>
      </c>
      <c r="AE28" s="625" t="e">
        <f ca="1"/>
        <v>#NAME?</v>
      </c>
      <c r="AF28" s="8" t="e">
        <f ca="1"/>
        <v>#NAME?</v>
      </c>
      <c r="AG28" s="8" t="e">
        <f ca="1"/>
        <v>#NAME?</v>
      </c>
      <c r="AH28" s="132" t="e">
        <f ca="1"/>
        <v>#NAME?</v>
      </c>
      <c r="AJ28" s="625" t="e">
        <f ca="1"/>
        <v>#NAME?</v>
      </c>
      <c r="AK28" s="8" t="e">
        <f ca="1"/>
        <v>#NAME?</v>
      </c>
      <c r="AL28" s="8" t="e">
        <f ca="1"/>
        <v>#NAME?</v>
      </c>
      <c r="AM28" s="132" t="e">
        <f ca="1"/>
        <v>#NAME?</v>
      </c>
      <c r="AO28" s="625" t="e">
        <f ca="1"/>
        <v>#NAME?</v>
      </c>
      <c r="AP28" s="8" t="e">
        <f ca="1"/>
        <v>#NAME?</v>
      </c>
      <c r="AQ28" s="8" t="e">
        <f ca="1"/>
        <v>#NAME?</v>
      </c>
      <c r="AR28" s="132" t="e">
        <f ca="1"/>
        <v>#NAME?</v>
      </c>
      <c r="AT28" s="625" t="e">
        <f ca="1"/>
        <v>#NAME?</v>
      </c>
      <c r="AU28" s="8" t="e">
        <f ca="1"/>
        <v>#NAME?</v>
      </c>
      <c r="AV28" s="8" t="e">
        <f ca="1"/>
        <v>#NAME?</v>
      </c>
      <c r="AW28" s="132" t="e">
        <f ca="1"/>
        <v>#NAME?</v>
      </c>
    </row>
    <row r="29" spans="1:49">
      <c r="A29" s="1075" t="e">
        <f ca="1"/>
        <v>#NAME?</v>
      </c>
      <c r="B29" s="1076" t="e">
        <f ca="1"/>
        <v>#NAME?</v>
      </c>
      <c r="C29" s="1076" t="e">
        <f ca="1"/>
        <v>#NAME?</v>
      </c>
      <c r="D29" s="1077" t="e">
        <f ca="1"/>
        <v>#NAME?</v>
      </c>
      <c r="F29" s="1075" t="e">
        <f ca="1"/>
        <v>#NAME?</v>
      </c>
      <c r="G29" s="1076" t="e">
        <f ca="1"/>
        <v>#NAME?</v>
      </c>
      <c r="H29" s="1076" t="e">
        <f ca="1"/>
        <v>#NAME?</v>
      </c>
      <c r="I29" s="1077" t="e">
        <f ca="1"/>
        <v>#NAME?</v>
      </c>
      <c r="K29" s="1075" t="e">
        <f ca="1"/>
        <v>#NAME?</v>
      </c>
      <c r="L29" s="1076" t="e">
        <f ca="1"/>
        <v>#NAME?</v>
      </c>
      <c r="M29" s="1076" t="e">
        <f ca="1"/>
        <v>#NAME?</v>
      </c>
      <c r="N29" s="1077" t="e">
        <f ca="1"/>
        <v>#NAME?</v>
      </c>
      <c r="P29" s="1075" t="e">
        <f ca="1"/>
        <v>#NAME?</v>
      </c>
      <c r="Q29" s="1076" t="e">
        <f ca="1"/>
        <v>#NAME?</v>
      </c>
      <c r="R29" s="1076" t="e">
        <f ca="1"/>
        <v>#NAME?</v>
      </c>
      <c r="S29" s="1077" t="e">
        <f ca="1"/>
        <v>#NAME?</v>
      </c>
      <c r="U29" s="1075" t="e">
        <f ca="1"/>
        <v>#NAME?</v>
      </c>
      <c r="V29" s="1076" t="e">
        <f ca="1"/>
        <v>#NAME?</v>
      </c>
      <c r="W29" s="1076" t="e">
        <f ca="1"/>
        <v>#NAME?</v>
      </c>
      <c r="X29" s="1077" t="e">
        <f ca="1"/>
        <v>#NAME?</v>
      </c>
      <c r="Z29" s="1075" t="e">
        <f ca="1"/>
        <v>#NAME?</v>
      </c>
      <c r="AA29" s="1076" t="e">
        <f ca="1"/>
        <v>#NAME?</v>
      </c>
      <c r="AB29" s="1076" t="e">
        <f ca="1"/>
        <v>#NAME?</v>
      </c>
      <c r="AC29" s="1077" t="e">
        <f ca="1"/>
        <v>#NAME?</v>
      </c>
      <c r="AE29" s="1075" t="e">
        <f ca="1"/>
        <v>#NAME?</v>
      </c>
      <c r="AF29" s="1076" t="e">
        <f ca="1"/>
        <v>#NAME?</v>
      </c>
      <c r="AG29" s="1076" t="e">
        <f ca="1"/>
        <v>#NAME?</v>
      </c>
      <c r="AH29" s="1077" t="e">
        <f ca="1"/>
        <v>#NAME?</v>
      </c>
      <c r="AJ29" s="1075" t="e">
        <f ca="1"/>
        <v>#NAME?</v>
      </c>
      <c r="AK29" s="1076" t="e">
        <f ca="1"/>
        <v>#NAME?</v>
      </c>
      <c r="AL29" s="1076" t="e">
        <f ca="1"/>
        <v>#NAME?</v>
      </c>
      <c r="AM29" s="1077" t="e">
        <f ca="1"/>
        <v>#NAME?</v>
      </c>
      <c r="AO29" s="1075" t="e">
        <f ca="1"/>
        <v>#NAME?</v>
      </c>
      <c r="AP29" s="1076" t="e">
        <f ca="1"/>
        <v>#NAME?</v>
      </c>
      <c r="AQ29" s="1076" t="e">
        <f ca="1"/>
        <v>#NAME?</v>
      </c>
      <c r="AR29" s="1077" t="e">
        <f ca="1"/>
        <v>#NAME?</v>
      </c>
      <c r="AT29" s="1075" t="e">
        <f ca="1"/>
        <v>#NAME?</v>
      </c>
      <c r="AU29" s="1076" t="e">
        <f ca="1"/>
        <v>#NAME?</v>
      </c>
      <c r="AV29" s="1076" t="e">
        <f ca="1"/>
        <v>#NAME?</v>
      </c>
      <c r="AW29" s="1077" t="e">
        <f ca="1"/>
        <v>#NAME?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sheetPr codeName="Sheet315"/>
  <dimension ref="A1:K25"/>
  <sheetViews>
    <sheetView workbookViewId="0"/>
  </sheetViews>
  <sheetFormatPr defaultRowHeight="14.4"/>
  <sheetData>
    <row r="1" spans="1:11">
      <c r="A1" s="1" t="s">
        <v>3392</v>
      </c>
    </row>
    <row r="2" spans="1:11">
      <c r="G2" t="s">
        <v>3393</v>
      </c>
    </row>
    <row r="3" spans="1:11">
      <c r="A3" s="1240" t="s">
        <v>3354</v>
      </c>
      <c r="B3" s="1240" t="s">
        <v>3352</v>
      </c>
      <c r="C3" s="1240" t="s">
        <v>3333</v>
      </c>
      <c r="D3" s="1240" t="s">
        <v>3332</v>
      </c>
      <c r="E3" s="1240" t="s">
        <v>3353</v>
      </c>
    </row>
    <row r="4" spans="1:11">
      <c r="A4" s="1240">
        <v>1</v>
      </c>
      <c r="B4" s="1242">
        <v>12</v>
      </c>
      <c r="C4" s="1248">
        <v>27</v>
      </c>
      <c r="D4" s="1248">
        <v>19</v>
      </c>
      <c r="E4" s="1243">
        <v>44</v>
      </c>
      <c r="G4" t="e">
        <f t="array" aca="1" ref="G4:K8" ca="1">[1]!MissingPairwise(B3:E23,TRUE)</f>
        <v>#NAME?</v>
      </c>
      <c r="H4" s="1240" t="e">
        <f ca="1"/>
        <v>#NAME?</v>
      </c>
      <c r="I4" s="1240" t="e">
        <f ca="1"/>
        <v>#NAME?</v>
      </c>
      <c r="J4" s="1240" t="e">
        <f ca="1"/>
        <v>#NAME?</v>
      </c>
      <c r="K4" s="1240" t="e">
        <f ca="1"/>
        <v>#NAME?</v>
      </c>
    </row>
    <row r="5" spans="1:11">
      <c r="A5" s="1240">
        <f>A4+1</f>
        <v>2</v>
      </c>
      <c r="B5" s="750">
        <v>11</v>
      </c>
      <c r="C5" s="42" t="s">
        <v>28</v>
      </c>
      <c r="D5" s="42">
        <v>13</v>
      </c>
      <c r="E5" s="838">
        <v>43</v>
      </c>
      <c r="G5" t="e">
        <f ca="1"/>
        <v>#NAME?</v>
      </c>
      <c r="H5" s="1263" t="e">
        <f ca="1"/>
        <v>#NAME?</v>
      </c>
      <c r="I5" s="1264" t="e">
        <f ca="1"/>
        <v>#NAME?</v>
      </c>
      <c r="J5" s="1264" t="e">
        <f ca="1"/>
        <v>#NAME?</v>
      </c>
      <c r="K5" s="1265" t="e">
        <f ca="1"/>
        <v>#NAME?</v>
      </c>
    </row>
    <row r="6" spans="1:11">
      <c r="A6" s="1240">
        <f t="shared" ref="A6:A23" si="0">A5+1</f>
        <v>3</v>
      </c>
      <c r="B6" s="750" t="s">
        <v>28</v>
      </c>
      <c r="C6" s="42">
        <v>56</v>
      </c>
      <c r="D6" s="42">
        <v>23</v>
      </c>
      <c r="E6" s="838">
        <v>60</v>
      </c>
      <c r="G6" t="e">
        <f ca="1"/>
        <v>#NAME?</v>
      </c>
      <c r="H6" s="1266" t="e">
        <f ca="1"/>
        <v>#NAME?</v>
      </c>
      <c r="I6" s="1267" t="e">
        <f ca="1"/>
        <v>#NAME?</v>
      </c>
      <c r="J6" s="1267" t="e">
        <f ca="1"/>
        <v>#NAME?</v>
      </c>
      <c r="K6" s="1268" t="e">
        <f ca="1"/>
        <v>#NAME?</v>
      </c>
    </row>
    <row r="7" spans="1:11">
      <c r="A7" s="1240">
        <f t="shared" si="0"/>
        <v>4</v>
      </c>
      <c r="B7" s="750">
        <v>15</v>
      </c>
      <c r="C7" s="42">
        <v>37</v>
      </c>
      <c r="D7" s="42">
        <v>19</v>
      </c>
      <c r="E7" s="838">
        <v>52</v>
      </c>
      <c r="G7" t="e">
        <f ca="1"/>
        <v>#NAME?</v>
      </c>
      <c r="H7" s="1266" t="e">
        <f ca="1"/>
        <v>#NAME?</v>
      </c>
      <c r="I7" s="1267" t="e">
        <f ca="1"/>
        <v>#NAME?</v>
      </c>
      <c r="J7" s="1267" t="e">
        <f ca="1"/>
        <v>#NAME?</v>
      </c>
      <c r="K7" s="1268" t="e">
        <f ca="1"/>
        <v>#NAME?</v>
      </c>
    </row>
    <row r="8" spans="1:11">
      <c r="A8" s="1240">
        <f t="shared" si="0"/>
        <v>5</v>
      </c>
      <c r="B8" s="750">
        <v>10</v>
      </c>
      <c r="C8" s="42">
        <v>31</v>
      </c>
      <c r="D8" s="42">
        <v>21</v>
      </c>
      <c r="E8" s="838" t="s">
        <v>28</v>
      </c>
      <c r="G8" t="e">
        <f ca="1"/>
        <v>#NAME?</v>
      </c>
      <c r="H8" s="1249" t="e">
        <f ca="1"/>
        <v>#NAME?</v>
      </c>
      <c r="I8" s="1250" t="e">
        <f ca="1"/>
        <v>#NAME?</v>
      </c>
      <c r="J8" s="1250" t="e">
        <f ca="1"/>
        <v>#NAME?</v>
      </c>
      <c r="K8" s="1251" t="e">
        <f ca="1"/>
        <v>#NAME?</v>
      </c>
    </row>
    <row r="9" spans="1:11">
      <c r="A9" s="1240">
        <f t="shared" si="0"/>
        <v>6</v>
      </c>
      <c r="B9" s="750">
        <v>18</v>
      </c>
      <c r="C9" s="42">
        <v>40</v>
      </c>
      <c r="D9" s="42">
        <v>22</v>
      </c>
      <c r="E9" s="838">
        <v>43</v>
      </c>
    </row>
    <row r="10" spans="1:11">
      <c r="A10" s="1240">
        <f t="shared" si="0"/>
        <v>7</v>
      </c>
      <c r="B10" s="750">
        <v>15</v>
      </c>
      <c r="C10" s="42">
        <v>50</v>
      </c>
      <c r="D10" s="42">
        <v>28</v>
      </c>
      <c r="E10" s="838">
        <v>56</v>
      </c>
      <c r="G10" t="s">
        <v>3394</v>
      </c>
    </row>
    <row r="11" spans="1:11">
      <c r="A11" s="1240">
        <f t="shared" si="0"/>
        <v>8</v>
      </c>
      <c r="B11" s="750">
        <v>21</v>
      </c>
      <c r="C11" s="42" t="s">
        <v>28</v>
      </c>
      <c r="D11" s="42" t="s">
        <v>28</v>
      </c>
      <c r="E11" s="838">
        <v>46</v>
      </c>
    </row>
    <row r="12" spans="1:11">
      <c r="A12" s="1240">
        <f t="shared" si="0"/>
        <v>9</v>
      </c>
      <c r="B12" s="750">
        <v>20</v>
      </c>
      <c r="C12" s="42">
        <v>39</v>
      </c>
      <c r="D12" s="42">
        <v>25</v>
      </c>
      <c r="E12" s="838">
        <v>51</v>
      </c>
      <c r="H12" s="1240" t="s">
        <v>3352</v>
      </c>
      <c r="I12" s="1240" t="s">
        <v>3333</v>
      </c>
      <c r="J12" s="1240" t="s">
        <v>3332</v>
      </c>
      <c r="K12" s="1240" t="s">
        <v>3353</v>
      </c>
    </row>
    <row r="13" spans="1:11">
      <c r="A13" s="1240">
        <f t="shared" si="0"/>
        <v>10</v>
      </c>
      <c r="B13" s="750" t="s">
        <v>28</v>
      </c>
      <c r="C13" s="42">
        <v>36</v>
      </c>
      <c r="D13" s="42">
        <v>23</v>
      </c>
      <c r="E13" s="838">
        <v>56</v>
      </c>
      <c r="G13" t="e">
        <f ca="1">G5</f>
        <v>#NAME?</v>
      </c>
      <c r="H13" s="1236" t="e">
        <f t="array" aca="1" ref="H13:K16" ca="1">[1]!COV(B4:E23,FALSE)</f>
        <v>#NAME?</v>
      </c>
      <c r="I13" s="1234" t="e">
        <f ca="1"/>
        <v>#NAME?</v>
      </c>
      <c r="J13" s="1234" t="e">
        <f ca="1"/>
        <v>#NAME?</v>
      </c>
      <c r="K13" s="1237" t="e">
        <f ca="1"/>
        <v>#NAME?</v>
      </c>
    </row>
    <row r="14" spans="1:11">
      <c r="A14" s="1240">
        <f t="shared" si="0"/>
        <v>11</v>
      </c>
      <c r="B14" s="750" t="s">
        <v>28</v>
      </c>
      <c r="C14" s="42">
        <v>27</v>
      </c>
      <c r="D14" s="42">
        <v>21</v>
      </c>
      <c r="E14" s="838">
        <v>39</v>
      </c>
      <c r="G14" t="e">
        <f ca="1">G6</f>
        <v>#NAME?</v>
      </c>
      <c r="H14" s="656" t="e">
        <f ca="1"/>
        <v>#NAME?</v>
      </c>
      <c r="I14" s="8" t="e">
        <f ca="1"/>
        <v>#NAME?</v>
      </c>
      <c r="J14" s="8" t="e">
        <f ca="1"/>
        <v>#NAME?</v>
      </c>
      <c r="K14" s="657" t="e">
        <f ca="1"/>
        <v>#NAME?</v>
      </c>
    </row>
    <row r="15" spans="1:11">
      <c r="A15" s="1240">
        <f t="shared" si="0"/>
        <v>12</v>
      </c>
      <c r="B15" s="750">
        <v>14</v>
      </c>
      <c r="C15" s="42">
        <v>32</v>
      </c>
      <c r="D15" s="42">
        <v>20</v>
      </c>
      <c r="E15" s="838">
        <v>46</v>
      </c>
      <c r="G15" t="e">
        <f ca="1">G7</f>
        <v>#NAME?</v>
      </c>
      <c r="H15" s="656" t="e">
        <f ca="1"/>
        <v>#NAME?</v>
      </c>
      <c r="I15" s="8" t="e">
        <f ca="1"/>
        <v>#NAME?</v>
      </c>
      <c r="J15" s="8" t="e">
        <f ca="1"/>
        <v>#NAME?</v>
      </c>
      <c r="K15" s="657" t="e">
        <f ca="1"/>
        <v>#NAME?</v>
      </c>
    </row>
    <row r="16" spans="1:11">
      <c r="A16" s="1240">
        <f t="shared" si="0"/>
        <v>13</v>
      </c>
      <c r="B16" s="750">
        <v>22</v>
      </c>
      <c r="C16" s="42">
        <v>40</v>
      </c>
      <c r="D16" s="42" t="s">
        <v>28</v>
      </c>
      <c r="E16" s="838">
        <v>49</v>
      </c>
      <c r="G16" t="e">
        <f ca="1">G8</f>
        <v>#NAME?</v>
      </c>
      <c r="H16" s="533" t="e">
        <f ca="1"/>
        <v>#NAME?</v>
      </c>
      <c r="I16" s="1078" t="e">
        <f ca="1"/>
        <v>#NAME?</v>
      </c>
      <c r="J16" s="1078" t="e">
        <f ca="1"/>
        <v>#NAME?</v>
      </c>
      <c r="K16" s="541" t="e">
        <f ca="1"/>
        <v>#NAME?</v>
      </c>
    </row>
    <row r="17" spans="1:11">
      <c r="A17" s="1240">
        <f t="shared" si="0"/>
        <v>14</v>
      </c>
      <c r="B17" s="750" t="s">
        <v>28</v>
      </c>
      <c r="C17" s="42">
        <v>31</v>
      </c>
      <c r="D17" s="42" t="s">
        <v>28</v>
      </c>
      <c r="E17" s="838">
        <v>44</v>
      </c>
    </row>
    <row r="18" spans="1:11">
      <c r="A18" s="1240">
        <f t="shared" si="0"/>
        <v>15</v>
      </c>
      <c r="B18" s="750" t="s">
        <v>28</v>
      </c>
      <c r="C18" s="42">
        <v>18</v>
      </c>
      <c r="D18" s="42">
        <v>21</v>
      </c>
      <c r="E18" s="838" t="s">
        <v>28</v>
      </c>
      <c r="G18" t="s">
        <v>95</v>
      </c>
    </row>
    <row r="19" spans="1:11">
      <c r="A19" s="1240">
        <f t="shared" si="0"/>
        <v>16</v>
      </c>
      <c r="B19" s="750">
        <v>16</v>
      </c>
      <c r="C19" s="42">
        <v>23</v>
      </c>
      <c r="D19" s="42">
        <v>21</v>
      </c>
      <c r="E19" s="838">
        <v>34</v>
      </c>
    </row>
    <row r="20" spans="1:11">
      <c r="A20" s="1240">
        <f t="shared" si="0"/>
        <v>17</v>
      </c>
      <c r="B20" s="750">
        <v>27</v>
      </c>
      <c r="C20" s="42">
        <v>26</v>
      </c>
      <c r="D20" s="42">
        <v>23</v>
      </c>
      <c r="E20" s="838">
        <v>59</v>
      </c>
      <c r="G20" t="e">
        <f t="array" aca="1" ref="G20:K25" ca="1">[1]!DescStats(B3:E23,TRUE,TRUE)</f>
        <v>#NAME?</v>
      </c>
      <c r="H20" s="1240" t="e">
        <f ca="1"/>
        <v>#NAME?</v>
      </c>
      <c r="I20" s="1240" t="e">
        <f ca="1"/>
        <v>#NAME?</v>
      </c>
      <c r="J20" s="1240" t="e">
        <f ca="1"/>
        <v>#NAME?</v>
      </c>
      <c r="K20" s="1240" t="e">
        <f ca="1"/>
        <v>#NAME?</v>
      </c>
    </row>
    <row r="21" spans="1:11">
      <c r="A21" s="1240">
        <f t="shared" si="0"/>
        <v>18</v>
      </c>
      <c r="B21" s="750">
        <v>17</v>
      </c>
      <c r="C21" s="42" t="s">
        <v>28</v>
      </c>
      <c r="D21" s="42" t="s">
        <v>28</v>
      </c>
      <c r="E21" s="838">
        <v>35</v>
      </c>
      <c r="G21" s="126" t="e">
        <f ca="1"/>
        <v>#NAME?</v>
      </c>
      <c r="H21" s="1236" t="e">
        <f ca="1"/>
        <v>#NAME?</v>
      </c>
      <c r="I21" s="1234" t="e">
        <f ca="1"/>
        <v>#NAME?</v>
      </c>
      <c r="J21" s="1234" t="e">
        <f ca="1"/>
        <v>#NAME?</v>
      </c>
      <c r="K21" s="1237" t="e">
        <f ca="1"/>
        <v>#NAME?</v>
      </c>
    </row>
    <row r="22" spans="1:11">
      <c r="A22" s="1240">
        <f t="shared" si="0"/>
        <v>19</v>
      </c>
      <c r="B22" s="750">
        <v>13</v>
      </c>
      <c r="C22" s="42">
        <v>21</v>
      </c>
      <c r="D22" s="42">
        <v>20</v>
      </c>
      <c r="E22" s="838">
        <v>48</v>
      </c>
      <c r="G22" s="126" t="e">
        <f ca="1"/>
        <v>#NAME?</v>
      </c>
      <c r="H22" s="656" t="e">
        <f ca="1"/>
        <v>#NAME?</v>
      </c>
      <c r="I22" s="8" t="e">
        <f ca="1"/>
        <v>#NAME?</v>
      </c>
      <c r="J22" s="8" t="e">
        <f ca="1"/>
        <v>#NAME?</v>
      </c>
      <c r="K22" s="657" t="e">
        <f ca="1"/>
        <v>#NAME?</v>
      </c>
    </row>
    <row r="23" spans="1:11">
      <c r="A23" s="1240">
        <f t="shared" si="0"/>
        <v>20</v>
      </c>
      <c r="B23" s="1244">
        <v>11</v>
      </c>
      <c r="C23" s="1247">
        <v>51</v>
      </c>
      <c r="D23" s="1247">
        <v>18</v>
      </c>
      <c r="E23" s="1245">
        <v>54</v>
      </c>
      <c r="G23" s="126" t="e">
        <f ca="1"/>
        <v>#NAME?</v>
      </c>
      <c r="H23" s="656" t="e">
        <f ca="1"/>
        <v>#NAME?</v>
      </c>
      <c r="I23" s="8" t="e">
        <f ca="1"/>
        <v>#NAME?</v>
      </c>
      <c r="J23" s="8" t="e">
        <f ca="1"/>
        <v>#NAME?</v>
      </c>
      <c r="K23" s="657" t="e">
        <f ca="1"/>
        <v>#NAME?</v>
      </c>
    </row>
    <row r="24" spans="1:11">
      <c r="G24" t="e">
        <f ca="1"/>
        <v>#NAME?</v>
      </c>
      <c r="H24" s="656" t="e">
        <f ca="1"/>
        <v>#NAME?</v>
      </c>
      <c r="I24" s="8" t="e">
        <f ca="1"/>
        <v>#NAME?</v>
      </c>
      <c r="J24" s="8" t="e">
        <f ca="1"/>
        <v>#NAME?</v>
      </c>
      <c r="K24" s="657" t="e">
        <f ca="1"/>
        <v>#NAME?</v>
      </c>
    </row>
    <row r="25" spans="1:11">
      <c r="G25" t="e">
        <f ca="1"/>
        <v>#NAME?</v>
      </c>
      <c r="H25" s="533" t="e">
        <f ca="1"/>
        <v>#NAME?</v>
      </c>
      <c r="I25" s="1078" t="e">
        <f ca="1"/>
        <v>#NAME?</v>
      </c>
      <c r="J25" s="1078" t="e">
        <f ca="1"/>
        <v>#NAME?</v>
      </c>
      <c r="K25" s="541" t="e">
        <f ca="1"/>
        <v>#NAME?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sheetPr codeName="Sheet316"/>
  <dimension ref="A1:R24"/>
  <sheetViews>
    <sheetView workbookViewId="0">
      <selection activeCell="G4" sqref="G4"/>
    </sheetView>
  </sheetViews>
  <sheetFormatPr defaultRowHeight="14.4"/>
  <cols>
    <col min="6" max="6" width="6.5546875" customWidth="1"/>
    <col min="11" max="11" width="6.6640625" customWidth="1"/>
  </cols>
  <sheetData>
    <row r="1" spans="1:18">
      <c r="A1" s="1" t="s">
        <v>3398</v>
      </c>
      <c r="O1" t="s">
        <v>3450</v>
      </c>
    </row>
    <row r="3" spans="1:18">
      <c r="A3" s="1240" t="s">
        <v>3352</v>
      </c>
      <c r="B3" s="1240" t="s">
        <v>3333</v>
      </c>
      <c r="C3" s="1240" t="s">
        <v>3332</v>
      </c>
      <c r="D3" s="1240" t="s">
        <v>3353</v>
      </c>
      <c r="E3" s="1269" t="s">
        <v>3409</v>
      </c>
      <c r="G3" t="s">
        <v>2652</v>
      </c>
      <c r="L3" s="1240" t="s">
        <v>3397</v>
      </c>
      <c r="M3" t="s">
        <v>3401</v>
      </c>
      <c r="O3" s="23" t="s">
        <v>3409</v>
      </c>
      <c r="Q3" s="756" t="e">
        <f t="array" aca="1" ref="Q3" ca="1">MMULT(A4:D4-G10:J10,MMULT(MINVERSE(G4:J7),TRANSPOSE(A4:D4-G10:J10)))+COUNT(A4:D4)*LN(2*PI())+LN(MDETERM(G4:J7))</f>
        <v>#NAME?</v>
      </c>
    </row>
    <row r="4" spans="1:18">
      <c r="A4" s="1242">
        <v>12</v>
      </c>
      <c r="B4" s="1248">
        <v>27</v>
      </c>
      <c r="C4" s="1248">
        <v>19</v>
      </c>
      <c r="D4" s="1243">
        <v>44</v>
      </c>
      <c r="E4" s="1235" t="e">
        <f t="array" aca="1" ref="E4" ca="1">[1]!LLReg(A4:D4,$G$4:$J$7,$G$10:$J$10)</f>
        <v>#NAME?</v>
      </c>
      <c r="G4" s="1236" t="e">
        <f ca="1">L4</f>
        <v>#NAME?</v>
      </c>
      <c r="H4" s="1234" t="e">
        <f ca="1">G5</f>
        <v>#NAME?</v>
      </c>
      <c r="I4" s="1234" t="e">
        <f ca="1">G6</f>
        <v>#NAME?</v>
      </c>
      <c r="J4" s="1237" t="e">
        <f ca="1">G7</f>
        <v>#NAME?</v>
      </c>
      <c r="L4" s="1235" t="e">
        <f ca="1">G13</f>
        <v>#NAME?</v>
      </c>
      <c r="M4" s="1235" t="e">
        <f ca="1">L4</f>
        <v>#NAME?</v>
      </c>
    </row>
    <row r="5" spans="1:18">
      <c r="A5" s="750">
        <v>11</v>
      </c>
      <c r="B5" s="42" t="s">
        <v>28</v>
      </c>
      <c r="C5" s="42">
        <v>13</v>
      </c>
      <c r="D5" s="838">
        <v>43</v>
      </c>
      <c r="E5" s="627" t="e">
        <f t="array" aca="1" ref="E5" ca="1">[1]!LLReg(A5:D5,$G$4:$J$7,$G$10:$J$10)</f>
        <v>#NAME?</v>
      </c>
      <c r="G5" s="656" t="e">
        <f ca="1">L5</f>
        <v>#NAME?</v>
      </c>
      <c r="H5" s="8" t="e">
        <f ca="1">L8</f>
        <v>#NAME?</v>
      </c>
      <c r="I5" s="8" t="e">
        <f ca="1">H6</f>
        <v>#NAME?</v>
      </c>
      <c r="J5" s="657" t="e">
        <f ca="1">H7</f>
        <v>#NAME?</v>
      </c>
      <c r="L5" s="627" t="e">
        <f ca="1">G14</f>
        <v>#NAME?</v>
      </c>
      <c r="M5" s="627" t="e">
        <f ca="1">SQRT(L4*L8)-ABS(L5)</f>
        <v>#NAME?</v>
      </c>
      <c r="O5" t="s">
        <v>3453</v>
      </c>
    </row>
    <row r="6" spans="1:18">
      <c r="A6" s="750" t="s">
        <v>28</v>
      </c>
      <c r="B6" s="42">
        <v>56</v>
      </c>
      <c r="C6" s="42">
        <v>23</v>
      </c>
      <c r="D6" s="838">
        <v>60</v>
      </c>
      <c r="E6" s="627" t="e">
        <f t="array" aca="1" ref="E6" ca="1">[1]!LLReg(A6:D6,$G$4:$J$7,$G$10:$J$10)</f>
        <v>#NAME?</v>
      </c>
      <c r="G6" s="656" t="e">
        <f ca="1">L6</f>
        <v>#NAME?</v>
      </c>
      <c r="H6" s="8" t="e">
        <f ca="1">L9</f>
        <v>#NAME?</v>
      </c>
      <c r="I6" s="8" t="e">
        <f ca="1">L11</f>
        <v>#NAME?</v>
      </c>
      <c r="J6" s="657" t="e">
        <f ca="1">I7</f>
        <v>#NAME?</v>
      </c>
      <c r="L6" s="627" t="e">
        <f ca="1">G15</f>
        <v>#NAME?</v>
      </c>
      <c r="M6" s="627" t="e">
        <f ca="1">SQRT(L4*L11)-ABS(L6)</f>
        <v>#NAME?</v>
      </c>
    </row>
    <row r="7" spans="1:18">
      <c r="A7" s="750">
        <v>15</v>
      </c>
      <c r="B7" s="42">
        <v>37</v>
      </c>
      <c r="C7" s="42">
        <v>19</v>
      </c>
      <c r="D7" s="838">
        <v>52</v>
      </c>
      <c r="E7" s="627" t="e">
        <f t="array" aca="1" ref="E7" ca="1">[1]!LLReg(A7:D7,$G$4:$J$7,$G$10:$J$10)</f>
        <v>#NAME?</v>
      </c>
      <c r="G7" s="533" t="e">
        <f ca="1">L7</f>
        <v>#NAME?</v>
      </c>
      <c r="H7" s="1078" t="e">
        <f ca="1">L10</f>
        <v>#NAME?</v>
      </c>
      <c r="I7" s="1078" t="e">
        <f ca="1">L12</f>
        <v>#NAME?</v>
      </c>
      <c r="J7" s="541" t="e">
        <f ca="1">L13</f>
        <v>#NAME?</v>
      </c>
      <c r="L7" s="544" t="e">
        <f ca="1">G16</f>
        <v>#NAME?</v>
      </c>
      <c r="M7" s="544" t="e">
        <f ca="1">SQRT(L4*L13)-ABS(L7)</f>
        <v>#NAME?</v>
      </c>
      <c r="O7" t="s">
        <v>3451</v>
      </c>
      <c r="Q7" s="848">
        <f>A21</f>
        <v>17</v>
      </c>
      <c r="R7" s="849">
        <f>D21</f>
        <v>35</v>
      </c>
    </row>
    <row r="8" spans="1:18">
      <c r="A8" s="750">
        <v>10</v>
      </c>
      <c r="B8" s="42">
        <v>31</v>
      </c>
      <c r="C8" s="42">
        <v>21</v>
      </c>
      <c r="D8" s="838" t="s">
        <v>28</v>
      </c>
      <c r="E8" s="627" t="e">
        <f t="array" aca="1" ref="E8" ca="1">[1]!LLReg(A8:D8,$G$4:$J$7,$G$10:$J$10)</f>
        <v>#NAME?</v>
      </c>
      <c r="L8" s="1235" t="e">
        <f ca="1">H14</f>
        <v>#NAME?</v>
      </c>
      <c r="M8" s="1235" t="e">
        <f ca="1">L8</f>
        <v>#NAME?</v>
      </c>
    </row>
    <row r="9" spans="1:18">
      <c r="A9" s="750">
        <v>18</v>
      </c>
      <c r="B9" s="42">
        <v>40</v>
      </c>
      <c r="C9" s="42">
        <v>22</v>
      </c>
      <c r="D9" s="838">
        <v>43</v>
      </c>
      <c r="E9" s="627" t="e">
        <f t="array" aca="1" ref="E9" ca="1">[1]!LLReg(A9:D9,$G$4:$J$7,$G$10:$J$10)</f>
        <v>#NAME?</v>
      </c>
      <c r="G9" t="s">
        <v>3395</v>
      </c>
      <c r="L9" s="627" t="e">
        <f ca="1">H15</f>
        <v>#NAME?</v>
      </c>
      <c r="M9" s="627" t="e">
        <f ca="1">SQRT(L8*L11)-ABS(L9)</f>
        <v>#NAME?</v>
      </c>
      <c r="O9" t="s">
        <v>2767</v>
      </c>
      <c r="Q9" s="848">
        <f>G10</f>
        <v>16.133333333333333</v>
      </c>
      <c r="R9" s="849">
        <f>J10</f>
        <v>47.722222222222221</v>
      </c>
    </row>
    <row r="10" spans="1:18">
      <c r="A10" s="750">
        <v>15</v>
      </c>
      <c r="B10" s="42">
        <v>50</v>
      </c>
      <c r="C10" s="42">
        <v>28</v>
      </c>
      <c r="D10" s="838">
        <v>56</v>
      </c>
      <c r="E10" s="627" t="e">
        <f t="array" aca="1" ref="E10" ca="1">[1]!LLReg(A10:D10,$G$4:$J$7,$G$10:$J$10)</f>
        <v>#NAME?</v>
      </c>
      <c r="G10" s="848">
        <f>L14</f>
        <v>16.133333333333333</v>
      </c>
      <c r="H10" s="821">
        <f>L15</f>
        <v>34.411764705882355</v>
      </c>
      <c r="I10" s="821">
        <f>L16</f>
        <v>21.0625</v>
      </c>
      <c r="J10" s="849">
        <f>L17</f>
        <v>47.722222222222221</v>
      </c>
      <c r="L10" s="544" t="e">
        <f ca="1">H16</f>
        <v>#NAME?</v>
      </c>
      <c r="M10" s="544" t="e">
        <f ca="1">SQRT(L8*L13)-ABS(L10)</f>
        <v>#NAME?</v>
      </c>
    </row>
    <row r="11" spans="1:18">
      <c r="A11" s="750">
        <v>21</v>
      </c>
      <c r="B11" s="42" t="s">
        <v>28</v>
      </c>
      <c r="C11" s="42" t="s">
        <v>28</v>
      </c>
      <c r="D11" s="838">
        <v>46</v>
      </c>
      <c r="E11" s="627" t="e">
        <f t="array" aca="1" ref="E11" ca="1">[1]!LLReg(A11:D11,$G$4:$J$7,$G$10:$J$10)</f>
        <v>#NAME?</v>
      </c>
      <c r="L11" s="627" t="e">
        <f ca="1">I15</f>
        <v>#NAME?</v>
      </c>
      <c r="M11" s="1235" t="e">
        <f ca="1">L11</f>
        <v>#NAME?</v>
      </c>
      <c r="O11" t="s">
        <v>3452</v>
      </c>
      <c r="Q11" s="1236" t="e">
        <f ca="1">G4</f>
        <v>#NAME?</v>
      </c>
      <c r="R11" s="1237" t="e">
        <f ca="1">J4</f>
        <v>#NAME?</v>
      </c>
    </row>
    <row r="12" spans="1:18">
      <c r="A12" s="750">
        <v>20</v>
      </c>
      <c r="B12" s="42">
        <v>39</v>
      </c>
      <c r="C12" s="42">
        <v>25</v>
      </c>
      <c r="D12" s="838">
        <v>51</v>
      </c>
      <c r="E12" s="627" t="e">
        <f t="array" aca="1" ref="E12" ca="1">[1]!LLReg(A12:D12,$G$4:$J$7,$G$10:$J$10)</f>
        <v>#NAME?</v>
      </c>
      <c r="G12" t="s">
        <v>3394</v>
      </c>
      <c r="L12" s="544" t="e">
        <f ca="1">I16</f>
        <v>#NAME?</v>
      </c>
      <c r="M12" s="544" t="e">
        <f ca="1">SQRT(L11*L13)-ABS(L12)</f>
        <v>#NAME?</v>
      </c>
      <c r="Q12" s="533" t="e">
        <f ca="1">G7</f>
        <v>#NAME?</v>
      </c>
      <c r="R12" s="541" t="e">
        <f ca="1">J7</f>
        <v>#NAME?</v>
      </c>
    </row>
    <row r="13" spans="1:18">
      <c r="A13" s="750" t="s">
        <v>28</v>
      </c>
      <c r="B13" s="42">
        <v>36</v>
      </c>
      <c r="C13" s="42">
        <v>23</v>
      </c>
      <c r="D13" s="838">
        <v>56</v>
      </c>
      <c r="E13" s="627" t="e">
        <f t="array" aca="1" ref="E13" ca="1">[1]!LLReg(A13:D13,$G$4:$J$7,$G$10:$J$10)</f>
        <v>#NAME?</v>
      </c>
      <c r="G13" s="1236" t="e">
        <f t="array" aca="1" ref="G13:J16" ca="1">[1]!COV(A4:D23,FALSE)</f>
        <v>#NAME?</v>
      </c>
      <c r="H13" s="1234" t="e">
        <f ca="1"/>
        <v>#NAME?</v>
      </c>
      <c r="I13" s="1234" t="e">
        <f ca="1"/>
        <v>#NAME?</v>
      </c>
      <c r="J13" s="1237" t="e">
        <f ca="1"/>
        <v>#NAME?</v>
      </c>
      <c r="L13" s="544" t="e">
        <f ca="1">J16</f>
        <v>#NAME?</v>
      </c>
      <c r="M13" s="541" t="e">
        <f ca="1">L13</f>
        <v>#NAME?</v>
      </c>
    </row>
    <row r="14" spans="1:18">
      <c r="A14" s="750" t="s">
        <v>28</v>
      </c>
      <c r="B14" s="42">
        <v>27</v>
      </c>
      <c r="C14" s="42">
        <v>21</v>
      </c>
      <c r="D14" s="838">
        <v>39</v>
      </c>
      <c r="E14" s="627" t="e">
        <f t="array" aca="1" ref="E14" ca="1">[1]!LLReg(A14:D14,$G$4:$J$7,$G$10:$J$10)</f>
        <v>#NAME?</v>
      </c>
      <c r="G14" s="656" t="e">
        <f ca="1"/>
        <v>#NAME?</v>
      </c>
      <c r="H14" s="8" t="e">
        <f ca="1"/>
        <v>#NAME?</v>
      </c>
      <c r="I14" s="8" t="e">
        <f ca="1"/>
        <v>#NAME?</v>
      </c>
      <c r="J14" s="657" t="e">
        <f ca="1"/>
        <v>#NAME?</v>
      </c>
      <c r="L14" s="1235">
        <f t="array" ref="L14:L17">TRANSPOSE(G19:J19)</f>
        <v>16.133333333333333</v>
      </c>
      <c r="O14" s="23" t="s">
        <v>3409</v>
      </c>
      <c r="Q14" s="756" t="e">
        <f t="array" aca="1" ref="Q14" ca="1">MMULT(Q7:R7-Q9:R9,MMULT(MINVERSE(Q11:R12),TRANSPOSE(Q7:R7-Q9:R9)))+COUNT(Q7:R7)*LN(2*PI())+LN(MDETERM(Q11:R12))</f>
        <v>#NAME?</v>
      </c>
    </row>
    <row r="15" spans="1:18">
      <c r="A15" s="750">
        <v>14</v>
      </c>
      <c r="B15" s="42">
        <v>32</v>
      </c>
      <c r="C15" s="42">
        <v>20</v>
      </c>
      <c r="D15" s="838">
        <v>46</v>
      </c>
      <c r="E15" s="627" t="e">
        <f t="array" aca="1" ref="E15" ca="1">[1]!LLReg(A15:D15,$G$4:$J$7,$G$10:$J$10)</f>
        <v>#NAME?</v>
      </c>
      <c r="G15" s="656" t="e">
        <f ca="1"/>
        <v>#NAME?</v>
      </c>
      <c r="H15" s="8" t="e">
        <f ca="1"/>
        <v>#NAME?</v>
      </c>
      <c r="I15" s="8" t="e">
        <f ca="1"/>
        <v>#NAME?</v>
      </c>
      <c r="J15" s="657" t="e">
        <f ca="1"/>
        <v>#NAME?</v>
      </c>
      <c r="L15" s="627">
        <v>34.411764705882355</v>
      </c>
    </row>
    <row r="16" spans="1:18">
      <c r="A16" s="750">
        <v>22</v>
      </c>
      <c r="B16" s="42">
        <v>40</v>
      </c>
      <c r="C16" s="42" t="s">
        <v>28</v>
      </c>
      <c r="D16" s="838">
        <v>49</v>
      </c>
      <c r="E16" s="627" t="e">
        <f t="array" aca="1" ref="E16" ca="1">[1]!LLReg(A16:D16,$G$4:$J$7,$G$10:$J$10)</f>
        <v>#NAME?</v>
      </c>
      <c r="G16" s="533" t="e">
        <f ca="1"/>
        <v>#NAME?</v>
      </c>
      <c r="H16" s="1078" t="e">
        <f ca="1"/>
        <v>#NAME?</v>
      </c>
      <c r="I16" s="1078" t="e">
        <f ca="1"/>
        <v>#NAME?</v>
      </c>
      <c r="J16" s="541" t="e">
        <f ca="1"/>
        <v>#NAME?</v>
      </c>
      <c r="L16" s="627">
        <v>21.0625</v>
      </c>
    </row>
    <row r="17" spans="1:12">
      <c r="A17" s="750" t="s">
        <v>28</v>
      </c>
      <c r="B17" s="42">
        <v>31</v>
      </c>
      <c r="C17" s="42" t="s">
        <v>28</v>
      </c>
      <c r="D17" s="838">
        <v>44</v>
      </c>
      <c r="E17" s="627" t="e">
        <f t="array" aca="1" ref="E17" ca="1">[1]!LLReg(A17:D17,$G$4:$J$7,$G$10:$J$10)</f>
        <v>#NAME?</v>
      </c>
      <c r="L17" s="544">
        <v>47.722222222222221</v>
      </c>
    </row>
    <row r="18" spans="1:12">
      <c r="A18" s="750" t="s">
        <v>28</v>
      </c>
      <c r="B18" s="42">
        <v>18</v>
      </c>
      <c r="C18" s="42">
        <v>21</v>
      </c>
      <c r="D18" s="838" t="s">
        <v>28</v>
      </c>
      <c r="E18" s="627" t="e">
        <f t="array" aca="1" ref="E18" ca="1">[1]!LLReg(A18:D18,$G$4:$J$7,$G$10:$J$10)</f>
        <v>#NAME?</v>
      </c>
      <c r="G18" t="s">
        <v>3396</v>
      </c>
    </row>
    <row r="19" spans="1:12">
      <c r="A19" s="750">
        <v>16</v>
      </c>
      <c r="B19" s="42">
        <v>23</v>
      </c>
      <c r="C19" s="42">
        <v>21</v>
      </c>
      <c r="D19" s="838">
        <v>34</v>
      </c>
      <c r="E19" s="627" t="e">
        <f t="array" aca="1" ref="E19" ca="1">[1]!LLReg(A19:D19,$G$4:$J$7,$G$10:$J$10)</f>
        <v>#NAME?</v>
      </c>
      <c r="G19" s="848">
        <f>AVERAGE(A4:A23)</f>
        <v>16.133333333333333</v>
      </c>
      <c r="H19" s="821">
        <f>AVERAGE(B4:B23)</f>
        <v>34.411764705882355</v>
      </c>
      <c r="I19" s="821">
        <f>AVERAGE(C4:C23)</f>
        <v>21.0625</v>
      </c>
      <c r="J19" s="849">
        <f>AVERAGE(D4:D23)</f>
        <v>47.722222222222221</v>
      </c>
    </row>
    <row r="20" spans="1:12">
      <c r="A20" s="750">
        <v>27</v>
      </c>
      <c r="B20" s="42">
        <v>26</v>
      </c>
      <c r="C20" s="42">
        <v>23</v>
      </c>
      <c r="D20" s="838">
        <v>59</v>
      </c>
      <c r="E20" s="627" t="e">
        <f t="array" aca="1" ref="E20" ca="1">[1]!LLReg(A20:D20,$G$4:$J$7,$G$10:$J$10)</f>
        <v>#NAME?</v>
      </c>
    </row>
    <row r="21" spans="1:12">
      <c r="A21" s="750">
        <v>17</v>
      </c>
      <c r="B21" s="42" t="s">
        <v>28</v>
      </c>
      <c r="C21" s="42" t="s">
        <v>28</v>
      </c>
      <c r="D21" s="838">
        <v>35</v>
      </c>
      <c r="E21" s="627" t="e">
        <f t="array" aca="1" ref="E21" ca="1">[1]!LLReg(A21:D21,$G$4:$J$7,$G$10:$J$10)</f>
        <v>#NAME?</v>
      </c>
      <c r="G21" t="s">
        <v>3405</v>
      </c>
    </row>
    <row r="22" spans="1:12">
      <c r="A22" s="750">
        <v>13</v>
      </c>
      <c r="B22" s="42">
        <v>21</v>
      </c>
      <c r="C22" s="42">
        <v>20</v>
      </c>
      <c r="D22" s="838">
        <v>48</v>
      </c>
      <c r="E22" s="627" t="e">
        <f t="array" aca="1" ref="E22" ca="1">[1]!LLReg(A22:D22,$G$4:$J$7,$G$10:$J$10)</f>
        <v>#NAME?</v>
      </c>
      <c r="G22" s="848">
        <f>COUNT(A4:A23)</f>
        <v>15</v>
      </c>
      <c r="H22" s="821">
        <f>COUNT(B4:B23)</f>
        <v>17</v>
      </c>
      <c r="I22" s="821">
        <f>COUNT(C4:C23)</f>
        <v>16</v>
      </c>
      <c r="J22" s="849">
        <f>COUNT(D4:D23)</f>
        <v>18</v>
      </c>
    </row>
    <row r="23" spans="1:12">
      <c r="A23" s="1244">
        <v>11</v>
      </c>
      <c r="B23" s="1247">
        <v>51</v>
      </c>
      <c r="C23" s="1247">
        <v>18</v>
      </c>
      <c r="D23" s="1245">
        <v>54</v>
      </c>
      <c r="E23" s="544" t="e">
        <f t="array" aca="1" ref="E23" ca="1">[1]!LLReg(A23:D23,$G$4:$J$7,$G$10:$J$10)</f>
        <v>#NAME?</v>
      </c>
    </row>
    <row r="24" spans="1:12">
      <c r="E24" t="e">
        <f ca="1">SUM(E4:E23)</f>
        <v>#NAME?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sheetPr codeName="Sheet317"/>
  <dimension ref="A1:Y24"/>
  <sheetViews>
    <sheetView topLeftCell="A3" workbookViewId="0">
      <selection activeCell="G3" sqref="G3"/>
    </sheetView>
  </sheetViews>
  <sheetFormatPr defaultRowHeight="14.4"/>
  <cols>
    <col min="6" max="6" width="5.5546875" customWidth="1"/>
    <col min="11" max="11" width="5.88671875" customWidth="1"/>
    <col min="19" max="19" width="18" customWidth="1"/>
  </cols>
  <sheetData>
    <row r="1" spans="1:25">
      <c r="A1" s="1" t="s">
        <v>3399</v>
      </c>
    </row>
    <row r="3" spans="1:25">
      <c r="A3" s="1240" t="s">
        <v>3352</v>
      </c>
      <c r="B3" s="1240" t="s">
        <v>3333</v>
      </c>
      <c r="C3" s="1240" t="s">
        <v>3332</v>
      </c>
      <c r="D3" s="1240" t="s">
        <v>3353</v>
      </c>
      <c r="E3" s="1269" t="s">
        <v>3409</v>
      </c>
      <c r="G3" t="s">
        <v>2652</v>
      </c>
      <c r="L3" s="1240" t="s">
        <v>3397</v>
      </c>
      <c r="M3" t="s">
        <v>3401</v>
      </c>
      <c r="O3" t="s">
        <v>3403</v>
      </c>
      <c r="S3" t="s">
        <v>2744</v>
      </c>
    </row>
    <row r="4" spans="1:25">
      <c r="A4" s="1242">
        <v>12</v>
      </c>
      <c r="B4" s="1248">
        <v>27</v>
      </c>
      <c r="C4" s="1248">
        <v>19</v>
      </c>
      <c r="D4" s="1243">
        <v>44</v>
      </c>
      <c r="E4" s="1235" t="e">
        <f t="array" aca="1" ref="E4" ca="1">[1]!LLReg(A4:D4,$G$4:$J$7,$G$10:$J$10)</f>
        <v>#NAME?</v>
      </c>
      <c r="G4" s="1236">
        <f>L4</f>
        <v>19.913368556254991</v>
      </c>
      <c r="H4" s="1234">
        <f>G5</f>
        <v>-1.7969432911037646</v>
      </c>
      <c r="I4" s="1234">
        <f>G6</f>
        <v>7.0738099577208127</v>
      </c>
      <c r="J4" s="1237">
        <f>G7</f>
        <v>8.346581210980327</v>
      </c>
      <c r="L4" s="1235">
        <v>19.913368556254991</v>
      </c>
      <c r="M4" s="1235">
        <f>L4</f>
        <v>19.913368556254991</v>
      </c>
    </row>
    <row r="5" spans="1:25" ht="15" thickBot="1">
      <c r="A5" s="750">
        <v>11</v>
      </c>
      <c r="B5" s="42" t="s">
        <v>28</v>
      </c>
      <c r="C5" s="42">
        <v>13</v>
      </c>
      <c r="D5" s="838">
        <v>43</v>
      </c>
      <c r="E5" s="627" t="e">
        <f t="array" aca="1" ref="E5" ca="1">[1]!LLReg(A5:D5,$G$4:$J$7,$G$10:$J$10)</f>
        <v>#NAME?</v>
      </c>
      <c r="G5" s="656">
        <f>L5</f>
        <v>-1.7969432911037646</v>
      </c>
      <c r="H5" s="8">
        <f>L8</f>
        <v>117.12234407398635</v>
      </c>
      <c r="I5" s="8">
        <f>H6</f>
        <v>13.571344540903519</v>
      </c>
      <c r="J5" s="657">
        <f>H7</f>
        <v>51.728519893611484</v>
      </c>
      <c r="L5" s="627">
        <v>-1.7969432911037646</v>
      </c>
      <c r="M5" s="627">
        <f>SQRT(L4*L8)-ABS(L5)</f>
        <v>46.496952842028811</v>
      </c>
      <c r="P5" t="s">
        <v>801</v>
      </c>
      <c r="Q5" s="1235">
        <f>-MMULT(G10:J10,Q6:Q9)</f>
        <v>27.117920276590311</v>
      </c>
      <c r="S5" s="1059" t="s">
        <v>2750</v>
      </c>
      <c r="T5" s="1059"/>
    </row>
    <row r="6" spans="1:25" ht="15" thickTop="1">
      <c r="A6" s="750" t="s">
        <v>28</v>
      </c>
      <c r="B6" s="42">
        <v>56</v>
      </c>
      <c r="C6" s="42">
        <v>23</v>
      </c>
      <c r="D6" s="838">
        <v>60</v>
      </c>
      <c r="E6" s="627" t="e">
        <f t="array" aca="1" ref="E6" ca="1">[1]!LLReg(A6:D6,$G$4:$J$7,$G$10:$J$10)</f>
        <v>#NAME?</v>
      </c>
      <c r="G6" s="656">
        <f>L6</f>
        <v>7.0738099577208127</v>
      </c>
      <c r="H6" s="8">
        <f>L9</f>
        <v>13.571344540903519</v>
      </c>
      <c r="I6" s="8">
        <f>L11</f>
        <v>10.133748927107019</v>
      </c>
      <c r="J6" s="657">
        <f>I7</f>
        <v>8.1771263566626953</v>
      </c>
      <c r="L6" s="627">
        <v>7.0738099577208127</v>
      </c>
      <c r="M6" s="627">
        <f>SQRT(L4*L11)-ABS(L6)</f>
        <v>7.131719854364186</v>
      </c>
      <c r="P6" t="str">
        <f t="array" ref="P6:P8">TRANSPOSE(A3:C3)</f>
        <v>read</v>
      </c>
      <c r="Q6" s="627">
        <f t="array" ref="Q6:Q8">MMULT(MINVERSE(G4:I6),J4:J6)</f>
        <v>0.53194171155368186</v>
      </c>
      <c r="S6" t="s">
        <v>693</v>
      </c>
      <c r="T6" t="e">
        <f ca="1">SQRT(T7)</f>
        <v>#NAME?</v>
      </c>
    </row>
    <row r="7" spans="1:25">
      <c r="A7" s="750">
        <v>15</v>
      </c>
      <c r="B7" s="42">
        <v>37</v>
      </c>
      <c r="C7" s="42">
        <v>19</v>
      </c>
      <c r="D7" s="838">
        <v>52</v>
      </c>
      <c r="E7" s="627" t="e">
        <f t="array" aca="1" ref="E7" ca="1">[1]!LLReg(A7:D7,$G$4:$J$7,$G$10:$J$10)</f>
        <v>#NAME?</v>
      </c>
      <c r="G7" s="533">
        <f>L7</f>
        <v>8.346581210980327</v>
      </c>
      <c r="H7" s="1078">
        <f>L10</f>
        <v>51.728519893611484</v>
      </c>
      <c r="I7" s="1078">
        <f>L12</f>
        <v>8.1771263566626953</v>
      </c>
      <c r="J7" s="541">
        <f>L13</f>
        <v>55.620698602570627</v>
      </c>
      <c r="L7" s="544">
        <v>8.346581210980327</v>
      </c>
      <c r="M7" s="544">
        <f>SQRT(L4*L13)-ABS(L7)</f>
        <v>24.933975734920772</v>
      </c>
      <c r="P7" t="str">
        <v>science</v>
      </c>
      <c r="Q7" s="627">
        <v>0.47270314270332053</v>
      </c>
      <c r="S7" t="s">
        <v>686</v>
      </c>
      <c r="T7" t="e">
        <f ca="1">SUMPRODUCT(J13:J15,Q6:Q8)/J16</f>
        <v>#NAME?</v>
      </c>
    </row>
    <row r="8" spans="1:25">
      <c r="A8" s="750">
        <v>10</v>
      </c>
      <c r="B8" s="42">
        <v>31</v>
      </c>
      <c r="C8" s="42">
        <v>21</v>
      </c>
      <c r="D8" s="838" t="s">
        <v>28</v>
      </c>
      <c r="E8" s="627" t="e">
        <f t="array" aca="1" ref="E8" ca="1">[1]!LLReg(A8:D8,$G$4:$J$7,$G$10:$J$10)</f>
        <v>#NAME?</v>
      </c>
      <c r="L8" s="627">
        <v>117.12234407398635</v>
      </c>
      <c r="M8" s="1235">
        <f>L8</f>
        <v>117.12234407398635</v>
      </c>
      <c r="P8" t="str">
        <v>math</v>
      </c>
      <c r="Q8" s="544">
        <v>-0.19745362244914699</v>
      </c>
      <c r="S8" t="s">
        <v>694</v>
      </c>
      <c r="T8" t="e">
        <f ca="1">1-(1-T7)*(T10-1)/(T10-T14-1)</f>
        <v>#NAME?</v>
      </c>
    </row>
    <row r="9" spans="1:25">
      <c r="A9" s="750">
        <v>18</v>
      </c>
      <c r="B9" s="42">
        <v>40</v>
      </c>
      <c r="C9" s="42">
        <v>22</v>
      </c>
      <c r="D9" s="838">
        <v>43</v>
      </c>
      <c r="E9" s="627" t="e">
        <f t="array" aca="1" ref="E9" ca="1">[1]!LLReg(A9:D9,$G$4:$J$7,$G$10:$J$10)</f>
        <v>#NAME?</v>
      </c>
      <c r="G9" t="s">
        <v>3395</v>
      </c>
      <c r="L9" s="627">
        <v>13.571344540903519</v>
      </c>
      <c r="M9" s="627">
        <f>SQRT(L8*L11)-ABS(L9)</f>
        <v>20.879902586015099</v>
      </c>
      <c r="Q9">
        <v>-1</v>
      </c>
      <c r="S9" t="s">
        <v>77</v>
      </c>
      <c r="T9" t="e">
        <f ca="1">SQRT(V15)</f>
        <v>#NAME?</v>
      </c>
    </row>
    <row r="10" spans="1:25">
      <c r="A10" s="750">
        <v>15</v>
      </c>
      <c r="B10" s="42">
        <v>50</v>
      </c>
      <c r="C10" s="42">
        <v>28</v>
      </c>
      <c r="D10" s="838">
        <v>56</v>
      </c>
      <c r="E10" s="627" t="e">
        <f t="array" aca="1" ref="E10" ca="1">[1]!LLReg(A10:D10,$G$4:$J$7,$G$10:$J$10)</f>
        <v>#NAME?</v>
      </c>
      <c r="G10" s="848">
        <f>L14</f>
        <v>16.28686833905622</v>
      </c>
      <c r="H10" s="821">
        <f>L15</f>
        <v>32.915676871828403</v>
      </c>
      <c r="I10" s="821">
        <f>L16</f>
        <v>21.256847979858609</v>
      </c>
      <c r="J10" s="849">
        <f>L17</f>
        <v>47.143687162763719</v>
      </c>
      <c r="L10" s="544">
        <v>51.728519893611484</v>
      </c>
      <c r="M10" s="544">
        <f>SQRT(L8*L13)-ABS(L10)</f>
        <v>28.983477971425707</v>
      </c>
      <c r="S10" s="1078" t="s">
        <v>224</v>
      </c>
      <c r="T10" s="1078">
        <f>COUNTA(A4:A23)</f>
        <v>20</v>
      </c>
    </row>
    <row r="11" spans="1:25" ht="16.2">
      <c r="A11" s="750">
        <v>21</v>
      </c>
      <c r="B11" s="42" t="s">
        <v>28</v>
      </c>
      <c r="C11" s="42" t="s">
        <v>28</v>
      </c>
      <c r="D11" s="838">
        <v>46</v>
      </c>
      <c r="E11" s="627" t="e">
        <f t="array" aca="1" ref="E11" ca="1">[1]!LLReg(A11:D11,$G$4:$J$7,$G$10:$J$10)</f>
        <v>#NAME?</v>
      </c>
      <c r="L11" s="627">
        <v>10.133748927107019</v>
      </c>
      <c r="M11" s="1235">
        <f>L11</f>
        <v>10.133748927107019</v>
      </c>
      <c r="O11" t="s">
        <v>3404</v>
      </c>
    </row>
    <row r="12" spans="1:25" ht="15" thickBot="1">
      <c r="A12" s="750">
        <v>20</v>
      </c>
      <c r="B12" s="42">
        <v>39</v>
      </c>
      <c r="C12" s="42">
        <v>25</v>
      </c>
      <c r="D12" s="838">
        <v>51</v>
      </c>
      <c r="E12" s="627" t="e">
        <f t="array" aca="1" ref="E12" ca="1">[1]!LLReg(A12:D12,$G$4:$J$7,$G$10:$J$10)</f>
        <v>#NAME?</v>
      </c>
      <c r="G12" t="s">
        <v>3394</v>
      </c>
      <c r="L12" s="544">
        <v>8.1771263566626953</v>
      </c>
      <c r="M12" s="544">
        <f>SQRT(L11*L13)-ABS(L12)</f>
        <v>15.564107705380982</v>
      </c>
      <c r="O12" s="1236" t="e">
        <f t="array" aca="1" ref="O12:Q14" ca="1">MINVERSE(G13:I15)/(COUNTA(A4:A23)-1)</f>
        <v>#NAME?</v>
      </c>
      <c r="P12" s="1234" t="e">
        <f ca="1"/>
        <v>#NAME?</v>
      </c>
      <c r="Q12" s="1237" t="e">
        <f ca="1"/>
        <v>#NAME?</v>
      </c>
      <c r="S12" t="s">
        <v>695</v>
      </c>
      <c r="W12" s="1270" t="s">
        <v>116</v>
      </c>
      <c r="X12" s="1270">
        <v>0.05</v>
      </c>
    </row>
    <row r="13" spans="1:25" ht="15" thickTop="1">
      <c r="A13" s="750" t="s">
        <v>28</v>
      </c>
      <c r="B13" s="42">
        <v>36</v>
      </c>
      <c r="C13" s="42">
        <v>23</v>
      </c>
      <c r="D13" s="838">
        <v>56</v>
      </c>
      <c r="E13" s="627" t="e">
        <f t="array" aca="1" ref="E13" ca="1">[1]!LLReg(A13:D13,$G$4:$J$7,$G$10:$J$10)</f>
        <v>#NAME?</v>
      </c>
      <c r="G13" s="1236" t="e">
        <f t="array" aca="1" ref="G13:J16" ca="1">[1]!COV(A4:D23,FALSE)</f>
        <v>#NAME?</v>
      </c>
      <c r="H13" s="1234" t="e">
        <f ca="1"/>
        <v>#NAME?</v>
      </c>
      <c r="I13" s="1234" t="e">
        <f ca="1"/>
        <v>#NAME?</v>
      </c>
      <c r="J13" s="1237" t="e">
        <f ca="1"/>
        <v>#NAME?</v>
      </c>
      <c r="L13" s="544">
        <v>55.620698602570627</v>
      </c>
      <c r="M13" s="541">
        <f>L13</f>
        <v>55.620698602570627</v>
      </c>
      <c r="O13" s="656" t="e">
        <f ca="1"/>
        <v>#NAME?</v>
      </c>
      <c r="P13" s="8" t="e">
        <f ca="1"/>
        <v>#NAME?</v>
      </c>
      <c r="Q13" s="657" t="e">
        <f ca="1"/>
        <v>#NAME?</v>
      </c>
      <c r="S13" s="1151"/>
      <c r="T13" s="1151" t="s">
        <v>186</v>
      </c>
      <c r="U13" s="1151" t="s">
        <v>578</v>
      </c>
      <c r="V13" s="1151" t="s">
        <v>641</v>
      </c>
      <c r="W13" s="1151" t="s">
        <v>388</v>
      </c>
      <c r="X13" s="1151" t="s">
        <v>200</v>
      </c>
      <c r="Y13" s="1151" t="s">
        <v>948</v>
      </c>
    </row>
    <row r="14" spans="1:25">
      <c r="A14" s="750" t="s">
        <v>28</v>
      </c>
      <c r="B14" s="42">
        <v>27</v>
      </c>
      <c r="C14" s="42">
        <v>21</v>
      </c>
      <c r="D14" s="838">
        <v>39</v>
      </c>
      <c r="E14" s="627" t="e">
        <f t="array" aca="1" ref="E14" ca="1">[1]!LLReg(A14:D14,$G$4:$J$7,$G$10:$J$10)</f>
        <v>#NAME?</v>
      </c>
      <c r="G14" s="656" t="e">
        <f ca="1"/>
        <v>#NAME?</v>
      </c>
      <c r="H14" s="8" t="e">
        <f ca="1"/>
        <v>#NAME?</v>
      </c>
      <c r="I14" s="8" t="e">
        <f ca="1"/>
        <v>#NAME?</v>
      </c>
      <c r="J14" s="657" t="e">
        <f ca="1"/>
        <v>#NAME?</v>
      </c>
      <c r="L14" s="1235">
        <v>16.28686833905622</v>
      </c>
      <c r="O14" s="533" t="e">
        <f ca="1"/>
        <v>#NAME?</v>
      </c>
      <c r="P14" s="1078" t="e">
        <f ca="1"/>
        <v>#NAME?</v>
      </c>
      <c r="Q14" s="541" t="e">
        <f ca="1"/>
        <v>#NAME?</v>
      </c>
      <c r="S14" t="s">
        <v>623</v>
      </c>
      <c r="T14">
        <f>COUNTA(A3:D3)-1</f>
        <v>3</v>
      </c>
      <c r="U14" t="e">
        <f ca="1">T7*U16</f>
        <v>#NAME?</v>
      </c>
      <c r="V14" t="e">
        <f ca="1">U14/T14</f>
        <v>#NAME?</v>
      </c>
      <c r="W14" t="e">
        <f ca="1">V14/V15</f>
        <v>#NAME?</v>
      </c>
      <c r="X14" t="e">
        <f ca="1">FDIST(W14,T14,T15)</f>
        <v>#NAME?</v>
      </c>
      <c r="Y14" s="1270" t="e">
        <f ca="1">IF(X14&lt;X12,"yes","no")</f>
        <v>#NAME?</v>
      </c>
    </row>
    <row r="15" spans="1:25">
      <c r="A15" s="750">
        <v>14</v>
      </c>
      <c r="B15" s="42">
        <v>32</v>
      </c>
      <c r="C15" s="42">
        <v>20</v>
      </c>
      <c r="D15" s="838">
        <v>46</v>
      </c>
      <c r="E15" s="627" t="e">
        <f t="array" aca="1" ref="E15" ca="1">[1]!LLReg(A15:D15,$G$4:$J$7,$G$10:$J$10)</f>
        <v>#NAME?</v>
      </c>
      <c r="G15" s="656" t="e">
        <f ca="1"/>
        <v>#NAME?</v>
      </c>
      <c r="H15" s="8" t="e">
        <f ca="1"/>
        <v>#NAME?</v>
      </c>
      <c r="I15" s="8" t="e">
        <f ca="1"/>
        <v>#NAME?</v>
      </c>
      <c r="J15" s="657" t="e">
        <f ca="1"/>
        <v>#NAME?</v>
      </c>
      <c r="L15" s="627">
        <v>32.915676871828403</v>
      </c>
      <c r="S15" t="s">
        <v>696</v>
      </c>
      <c r="T15">
        <f>T16-T14</f>
        <v>16</v>
      </c>
      <c r="U15" t="e">
        <f ca="1">U16-U14</f>
        <v>#NAME?</v>
      </c>
      <c r="V15" t="e">
        <f ca="1">U15/T15</f>
        <v>#NAME?</v>
      </c>
    </row>
    <row r="16" spans="1:25">
      <c r="A16" s="750">
        <v>22</v>
      </c>
      <c r="B16" s="42">
        <v>40</v>
      </c>
      <c r="C16" s="42" t="s">
        <v>28</v>
      </c>
      <c r="D16" s="838">
        <v>49</v>
      </c>
      <c r="E16" s="627" t="e">
        <f t="array" aca="1" ref="E16" ca="1">[1]!LLReg(A16:D16,$G$4:$J$7,$G$10:$J$10)</f>
        <v>#NAME?</v>
      </c>
      <c r="G16" s="533" t="e">
        <f ca="1"/>
        <v>#NAME?</v>
      </c>
      <c r="H16" s="1078" t="e">
        <f ca="1"/>
        <v>#NAME?</v>
      </c>
      <c r="I16" s="1078" t="e">
        <f ca="1"/>
        <v>#NAME?</v>
      </c>
      <c r="J16" s="541" t="e">
        <f ca="1"/>
        <v>#NAME?</v>
      </c>
      <c r="L16" s="627">
        <v>21.256847979858609</v>
      </c>
      <c r="S16" s="1078" t="s">
        <v>12</v>
      </c>
      <c r="T16" s="1078">
        <f>T10-1</f>
        <v>19</v>
      </c>
      <c r="U16" s="1078">
        <f>DEVSQ(D4:D23)</f>
        <v>989.61111111111097</v>
      </c>
      <c r="V16" s="1078"/>
      <c r="W16" s="1078"/>
      <c r="X16" s="1078"/>
      <c r="Y16" s="1078"/>
    </row>
    <row r="17" spans="1:25" ht="15" thickBot="1">
      <c r="A17" s="750" t="s">
        <v>28</v>
      </c>
      <c r="B17" s="42">
        <v>31</v>
      </c>
      <c r="C17" s="42" t="s">
        <v>28</v>
      </c>
      <c r="D17" s="838">
        <v>44</v>
      </c>
      <c r="E17" s="627" t="e">
        <f t="array" aca="1" ref="E17" ca="1">[1]!LLReg(A17:D17,$G$4:$J$7,$G$10:$J$10)</f>
        <v>#NAME?</v>
      </c>
      <c r="L17" s="544">
        <v>47.143687162763719</v>
      </c>
    </row>
    <row r="18" spans="1:25" ht="15" thickTop="1">
      <c r="A18" s="750" t="s">
        <v>28</v>
      </c>
      <c r="B18" s="42">
        <v>18</v>
      </c>
      <c r="C18" s="42">
        <v>21</v>
      </c>
      <c r="D18" s="838" t="s">
        <v>28</v>
      </c>
      <c r="E18" s="627" t="e">
        <f t="array" aca="1" ref="E18" ca="1">[1]!LLReg(A18:D18,$G$4:$J$7,$G$10:$J$10)</f>
        <v>#NAME?</v>
      </c>
      <c r="G18" t="s">
        <v>3396</v>
      </c>
      <c r="S18" s="1151"/>
      <c r="T18" s="1151" t="s">
        <v>2743</v>
      </c>
      <c r="U18" s="1151" t="s">
        <v>1469</v>
      </c>
      <c r="V18" s="1151" t="s">
        <v>188</v>
      </c>
      <c r="W18" s="1151" t="s">
        <v>200</v>
      </c>
      <c r="X18" s="1151" t="s">
        <v>103</v>
      </c>
      <c r="Y18" s="1151" t="s">
        <v>104</v>
      </c>
    </row>
    <row r="19" spans="1:25">
      <c r="A19" s="750">
        <v>16</v>
      </c>
      <c r="B19" s="42">
        <v>23</v>
      </c>
      <c r="C19" s="42">
        <v>21</v>
      </c>
      <c r="D19" s="838">
        <v>34</v>
      </c>
      <c r="E19" s="627" t="e">
        <f t="array" aca="1" ref="E19" ca="1">[1]!LLReg(A19:D19,$G$4:$J$7,$G$10:$J$10)</f>
        <v>#NAME?</v>
      </c>
      <c r="G19" s="848">
        <f>AVERAGE(A4:A23)</f>
        <v>16.133333333333333</v>
      </c>
      <c r="H19" s="821">
        <f>AVERAGE(B4:B23)</f>
        <v>34.411764705882355</v>
      </c>
      <c r="I19" s="821">
        <f>AVERAGE(C4:C23)</f>
        <v>21.0625</v>
      </c>
      <c r="J19" s="849">
        <f>AVERAGE(D4:D23)</f>
        <v>47.722222222222221</v>
      </c>
      <c r="S19" t="s">
        <v>697</v>
      </c>
      <c r="T19">
        <f>Q5</f>
        <v>27.117920276590311</v>
      </c>
    </row>
    <row r="20" spans="1:25">
      <c r="A20" s="750">
        <v>27</v>
      </c>
      <c r="B20" s="42">
        <v>26</v>
      </c>
      <c r="C20" s="42">
        <v>23</v>
      </c>
      <c r="D20" s="838">
        <v>59</v>
      </c>
      <c r="E20" s="627" t="e">
        <f t="array" aca="1" ref="E20" ca="1">[1]!LLReg(A20:D20,$G$4:$J$7,$G$10:$J$10)</f>
        <v>#NAME?</v>
      </c>
      <c r="S20" t="str">
        <f t="array" ref="S20:S22">TRANSPOSE(A3:C3)</f>
        <v>read</v>
      </c>
      <c r="T20">
        <f>Q6</f>
        <v>0.53194171155368186</v>
      </c>
      <c r="U20" t="e">
        <f t="array" aca="1" ref="U20:U22" ca="1">SQRT([1]!DIAG(O12:Q14))*T9</f>
        <v>#NAME?</v>
      </c>
      <c r="V20" t="e">
        <f ca="1">T20/U20</f>
        <v>#NAME?</v>
      </c>
      <c r="W20" t="e">
        <f ca="1">TDIST(ABS(V20),$T$15,2)</f>
        <v>#NAME?</v>
      </c>
      <c r="X20" t="e">
        <f ca="1">T20-TINV(X$12,$T$15)*U20</f>
        <v>#NAME?</v>
      </c>
      <c r="Y20" t="e">
        <f ca="1">T20+TINV(X$12,$T$15)*U20</f>
        <v>#NAME?</v>
      </c>
    </row>
    <row r="21" spans="1:25">
      <c r="A21" s="750">
        <v>17</v>
      </c>
      <c r="B21" s="42" t="s">
        <v>28</v>
      </c>
      <c r="C21" s="42" t="s">
        <v>28</v>
      </c>
      <c r="D21" s="838">
        <v>35</v>
      </c>
      <c r="E21" s="627" t="e">
        <f t="array" aca="1" ref="E21" ca="1">[1]!LLReg(A21:D21,$G$4:$J$7,$G$10:$J$10)</f>
        <v>#NAME?</v>
      </c>
      <c r="G21" t="s">
        <v>3405</v>
      </c>
      <c r="S21" t="str">
        <v>science</v>
      </c>
      <c r="T21">
        <f>Q7</f>
        <v>0.47270314270332053</v>
      </c>
      <c r="U21" t="e">
        <f ca="1"/>
        <v>#NAME?</v>
      </c>
      <c r="V21" t="e">
        <f ca="1">T21/U21</f>
        <v>#NAME?</v>
      </c>
      <c r="W21" t="e">
        <f ca="1">TDIST(ABS(V21),$T$15,2)</f>
        <v>#NAME?</v>
      </c>
      <c r="X21" t="e">
        <f ca="1">T21-TINV(X$12,$T$15)*U21</f>
        <v>#NAME?</v>
      </c>
      <c r="Y21" t="e">
        <f ca="1">T21+TINV(X$12,$T$15)*U21</f>
        <v>#NAME?</v>
      </c>
    </row>
    <row r="22" spans="1:25">
      <c r="A22" s="750">
        <v>13</v>
      </c>
      <c r="B22" s="42">
        <v>21</v>
      </c>
      <c r="C22" s="42">
        <v>20</v>
      </c>
      <c r="D22" s="838">
        <v>48</v>
      </c>
      <c r="E22" s="627" t="e">
        <f t="array" aca="1" ref="E22" ca="1">[1]!LLReg(A22:D22,$G$4:$J$7,$G$10:$J$10)</f>
        <v>#NAME?</v>
      </c>
      <c r="G22" s="848">
        <f>COUNT(A4:A23)</f>
        <v>15</v>
      </c>
      <c r="H22" s="821">
        <f>COUNT(B4:B23)</f>
        <v>17</v>
      </c>
      <c r="I22" s="821">
        <f>COUNT(C4:C23)</f>
        <v>16</v>
      </c>
      <c r="J22" s="849">
        <f>COUNT(D4:D23)</f>
        <v>18</v>
      </c>
      <c r="S22" s="1078" t="str">
        <v>math</v>
      </c>
      <c r="T22" s="1078">
        <f>Q8</f>
        <v>-0.19745362244914699</v>
      </c>
      <c r="U22" s="1078" t="e">
        <f ca="1"/>
        <v>#NAME?</v>
      </c>
      <c r="V22" s="1078" t="e">
        <f ca="1">T22/U22</f>
        <v>#NAME?</v>
      </c>
      <c r="W22" s="1078" t="e">
        <f ca="1">TDIST(ABS(V22),$T$15,2)</f>
        <v>#NAME?</v>
      </c>
      <c r="X22" s="1078" t="e">
        <f ca="1">T22-TINV(X$12,$T$15)*U22</f>
        <v>#NAME?</v>
      </c>
      <c r="Y22" s="1078" t="e">
        <f ca="1">T22+TINV(X$12,$T$15)*U22</f>
        <v>#NAME?</v>
      </c>
    </row>
    <row r="23" spans="1:25">
      <c r="A23" s="1244">
        <v>11</v>
      </c>
      <c r="B23" s="1247">
        <v>51</v>
      </c>
      <c r="C23" s="1247">
        <v>18</v>
      </c>
      <c r="D23" s="1245">
        <v>54</v>
      </c>
      <c r="E23" s="544" t="e">
        <f t="array" aca="1" ref="E23" ca="1">[1]!LLReg(A23:D23,$G$4:$J$7,$G$10:$J$10)</f>
        <v>#NAME?</v>
      </c>
    </row>
    <row r="24" spans="1:25">
      <c r="E24" t="e">
        <f ca="1">SUM(E4:E23)</f>
        <v>#NAME?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sheetPr codeName="Sheet324"/>
  <dimension ref="A1:Y27"/>
  <sheetViews>
    <sheetView workbookViewId="0"/>
  </sheetViews>
  <sheetFormatPr defaultRowHeight="14.4"/>
  <cols>
    <col min="19" max="19" width="18" customWidth="1"/>
  </cols>
  <sheetData>
    <row r="1" spans="1:25">
      <c r="A1" s="1" t="s">
        <v>3399</v>
      </c>
    </row>
    <row r="3" spans="1:25">
      <c r="A3" s="1270" t="s">
        <v>3352</v>
      </c>
      <c r="B3" s="1270" t="s">
        <v>3333</v>
      </c>
      <c r="C3" s="1270" t="s">
        <v>3332</v>
      </c>
      <c r="D3" s="1270" t="s">
        <v>3353</v>
      </c>
      <c r="E3" s="1269" t="s">
        <v>3409</v>
      </c>
      <c r="G3" t="s">
        <v>2652</v>
      </c>
      <c r="L3" s="1270" t="s">
        <v>3397</v>
      </c>
      <c r="M3" t="s">
        <v>3401</v>
      </c>
      <c r="O3" t="s">
        <v>3403</v>
      </c>
      <c r="S3" t="s">
        <v>2744</v>
      </c>
    </row>
    <row r="4" spans="1:25">
      <c r="A4" s="1242">
        <v>12</v>
      </c>
      <c r="B4" s="1248">
        <v>27</v>
      </c>
      <c r="C4" s="1248">
        <v>19</v>
      </c>
      <c r="D4" s="1243">
        <v>44</v>
      </c>
      <c r="E4" s="1235" t="e">
        <f t="array" aca="1" ref="E4" ca="1">[1]!LLReg(A4:D4,$G$4:$J$7,$G$10:$J$10)</f>
        <v>#NAME?</v>
      </c>
      <c r="G4" s="1236">
        <f>L4</f>
        <v>19.913368556254991</v>
      </c>
      <c r="H4" s="1234">
        <f>G5</f>
        <v>-1.7969432911037646</v>
      </c>
      <c r="I4" s="1234">
        <f>G6</f>
        <v>7.0738099577208127</v>
      </c>
      <c r="J4" s="1237">
        <f>G7</f>
        <v>8.346581210980327</v>
      </c>
      <c r="L4" s="1235">
        <v>19.913368556254991</v>
      </c>
      <c r="M4" s="1235">
        <f>L4</f>
        <v>19.913368556254991</v>
      </c>
    </row>
    <row r="5" spans="1:25" ht="15" thickBot="1">
      <c r="A5" s="750">
        <v>11</v>
      </c>
      <c r="B5" s="42" t="s">
        <v>28</v>
      </c>
      <c r="C5" s="42">
        <v>13</v>
      </c>
      <c r="D5" s="838">
        <v>43</v>
      </c>
      <c r="E5" s="627" t="e">
        <f t="array" aca="1" ref="E5" ca="1">[1]!LLReg(A5:D5,$G$4:$J$7,$G$10:$J$10)</f>
        <v>#NAME?</v>
      </c>
      <c r="G5" s="656">
        <f>L5</f>
        <v>-1.7969432911037646</v>
      </c>
      <c r="H5" s="8">
        <f>L8</f>
        <v>117.12234407398635</v>
      </c>
      <c r="I5" s="8">
        <f>H6</f>
        <v>13.571344540903519</v>
      </c>
      <c r="J5" s="657">
        <f>H7</f>
        <v>51.728519893611484</v>
      </c>
      <c r="L5" s="627">
        <v>-1.7969432911037646</v>
      </c>
      <c r="M5" s="627">
        <f>SQRT(L4*L8)-ABS(L5)</f>
        <v>46.496952842028811</v>
      </c>
      <c r="O5" t="s">
        <v>801</v>
      </c>
      <c r="P5" s="1235">
        <f>-MMULT(G10:J10,P6:P9)</f>
        <v>27.117920276590311</v>
      </c>
      <c r="S5" s="1059" t="s">
        <v>2750</v>
      </c>
      <c r="T5" s="1059"/>
    </row>
    <row r="6" spans="1:25" ht="15" thickTop="1">
      <c r="A6" s="750" t="s">
        <v>28</v>
      </c>
      <c r="B6" s="42">
        <v>56</v>
      </c>
      <c r="C6" s="42">
        <v>23</v>
      </c>
      <c r="D6" s="838">
        <v>60</v>
      </c>
      <c r="E6" s="627" t="e">
        <f t="array" aca="1" ref="E6" ca="1">[1]!LLReg(A6:D6,$G$4:$J$7,$G$10:$J$10)</f>
        <v>#NAME?</v>
      </c>
      <c r="G6" s="656">
        <f>L6</f>
        <v>7.0738099577208127</v>
      </c>
      <c r="H6" s="8">
        <f>L9</f>
        <v>13.571344540903519</v>
      </c>
      <c r="I6" s="8">
        <f>L11</f>
        <v>10.133748927107019</v>
      </c>
      <c r="J6" s="657">
        <f>I7</f>
        <v>8.1771263566626953</v>
      </c>
      <c r="L6" s="627">
        <v>7.0738099577208127</v>
      </c>
      <c r="M6" s="627">
        <f>SQRT(L4*L11)-ABS(L6)</f>
        <v>7.131719854364186</v>
      </c>
      <c r="O6" t="str">
        <f t="array" ref="O6:O8">TRANSPOSE(A3:C3)</f>
        <v>read</v>
      </c>
      <c r="P6" s="627">
        <f t="array" ref="P6:P8">MMULT(MINVERSE(G4:I6),J4:J6)</f>
        <v>0.53194171155368186</v>
      </c>
      <c r="S6" t="s">
        <v>693</v>
      </c>
      <c r="T6" t="e">
        <f ca="1">SQRT(T7)</f>
        <v>#NAME?</v>
      </c>
    </row>
    <row r="7" spans="1:25">
      <c r="A7" s="750">
        <v>15</v>
      </c>
      <c r="B7" s="42">
        <v>37</v>
      </c>
      <c r="C7" s="42">
        <v>19</v>
      </c>
      <c r="D7" s="838">
        <v>52</v>
      </c>
      <c r="E7" s="627" t="e">
        <f t="array" aca="1" ref="E7" ca="1">[1]!LLReg(A7:D7,$G$4:$J$7,$G$10:$J$10)</f>
        <v>#NAME?</v>
      </c>
      <c r="G7" s="533">
        <f>L7</f>
        <v>8.346581210980327</v>
      </c>
      <c r="H7" s="1078">
        <f>L10</f>
        <v>51.728519893611484</v>
      </c>
      <c r="I7" s="1078">
        <f>L12</f>
        <v>8.1771263566626953</v>
      </c>
      <c r="J7" s="541">
        <f>L13</f>
        <v>55.620698602570627</v>
      </c>
      <c r="L7" s="544">
        <v>8.346581210980327</v>
      </c>
      <c r="M7" s="544">
        <f>SQRT(L4*L13)-ABS(L7)</f>
        <v>24.933975734920772</v>
      </c>
      <c r="O7" t="str">
        <v>science</v>
      </c>
      <c r="P7" s="627">
        <v>0.47270314270332053</v>
      </c>
      <c r="S7" t="s">
        <v>686</v>
      </c>
      <c r="T7" t="e">
        <f ca="1">SUMPRODUCT(J13:J15,P6:P8)/J16</f>
        <v>#NAME?</v>
      </c>
    </row>
    <row r="8" spans="1:25">
      <c r="A8" s="750">
        <v>10</v>
      </c>
      <c r="B8" s="42">
        <v>31</v>
      </c>
      <c r="C8" s="42">
        <v>21</v>
      </c>
      <c r="D8" s="838" t="s">
        <v>28</v>
      </c>
      <c r="E8" s="627" t="e">
        <f t="array" aca="1" ref="E8" ca="1">[1]!LLReg(A8:D8,$G$4:$J$7,$G$10:$J$10)</f>
        <v>#NAME?</v>
      </c>
      <c r="L8" s="627">
        <v>117.12234407398635</v>
      </c>
      <c r="M8" s="1235">
        <f>L8</f>
        <v>117.12234407398635</v>
      </c>
      <c r="O8" t="str">
        <v>math</v>
      </c>
      <c r="P8" s="544">
        <v>-0.19745362244914699</v>
      </c>
      <c r="S8" t="s">
        <v>694</v>
      </c>
      <c r="T8" t="e">
        <f ca="1">1-(1-T7)*(T10-1)/(T10-T14-1)</f>
        <v>#NAME?</v>
      </c>
    </row>
    <row r="9" spans="1:25">
      <c r="A9" s="750">
        <v>18</v>
      </c>
      <c r="B9" s="42">
        <v>40</v>
      </c>
      <c r="C9" s="42">
        <v>22</v>
      </c>
      <c r="D9" s="838">
        <v>43</v>
      </c>
      <c r="E9" s="627" t="e">
        <f t="array" aca="1" ref="E9" ca="1">[1]!LLReg(A9:D9,$G$4:$J$7,$G$10:$J$10)</f>
        <v>#NAME?</v>
      </c>
      <c r="G9" t="s">
        <v>3395</v>
      </c>
      <c r="L9" s="627">
        <v>13.571344540903519</v>
      </c>
      <c r="M9" s="627">
        <f>SQRT(L8*L11)-ABS(L9)</f>
        <v>20.879902586015099</v>
      </c>
      <c r="P9">
        <v>-1</v>
      </c>
      <c r="S9" t="s">
        <v>77</v>
      </c>
      <c r="T9" t="e">
        <f ca="1">SQRT(V15)</f>
        <v>#NAME?</v>
      </c>
    </row>
    <row r="10" spans="1:25">
      <c r="A10" s="750">
        <v>15</v>
      </c>
      <c r="B10" s="42">
        <v>50</v>
      </c>
      <c r="C10" s="42">
        <v>28</v>
      </c>
      <c r="D10" s="838">
        <v>56</v>
      </c>
      <c r="E10" s="627" t="e">
        <f t="array" aca="1" ref="E10" ca="1">[1]!LLReg(A10:D10,$G$4:$J$7,$G$10:$J$10)</f>
        <v>#NAME?</v>
      </c>
      <c r="G10" s="848">
        <f>L14</f>
        <v>16.28686833905622</v>
      </c>
      <c r="H10" s="821">
        <f>L15</f>
        <v>32.915676871828403</v>
      </c>
      <c r="I10" s="821">
        <f>L16</f>
        <v>21.256847979858609</v>
      </c>
      <c r="J10" s="849">
        <f>L17</f>
        <v>47.143687162763719</v>
      </c>
      <c r="L10" s="544">
        <v>51.728519893611484</v>
      </c>
      <c r="M10" s="544">
        <f>SQRT(L8*L13)-ABS(L10)</f>
        <v>28.983477971425707</v>
      </c>
      <c r="S10" s="1078" t="s">
        <v>224</v>
      </c>
      <c r="T10" s="1078">
        <f>K22</f>
        <v>16.5</v>
      </c>
    </row>
    <row r="11" spans="1:25" ht="16.2">
      <c r="A11" s="750">
        <v>21</v>
      </c>
      <c r="B11" s="42" t="s">
        <v>28</v>
      </c>
      <c r="C11" s="42" t="s">
        <v>28</v>
      </c>
      <c r="D11" s="838">
        <v>46</v>
      </c>
      <c r="E11" s="627" t="e">
        <f t="array" aca="1" ref="E11" ca="1">[1]!LLReg(A11:D11,$G$4:$J$7,$G$10:$J$10)</f>
        <v>#NAME?</v>
      </c>
      <c r="L11" s="627">
        <v>10.133748927107019</v>
      </c>
      <c r="M11" s="1235">
        <f>L11</f>
        <v>10.133748927107019</v>
      </c>
      <c r="O11" t="s">
        <v>3404</v>
      </c>
    </row>
    <row r="12" spans="1:25" ht="15" thickBot="1">
      <c r="A12" s="750">
        <v>20</v>
      </c>
      <c r="B12" s="42">
        <v>39</v>
      </c>
      <c r="C12" s="42">
        <v>25</v>
      </c>
      <c r="D12" s="838">
        <v>51</v>
      </c>
      <c r="E12" s="627" t="e">
        <f t="array" aca="1" ref="E12" ca="1">[1]!LLReg(A12:D12,$G$4:$J$7,$G$10:$J$10)</f>
        <v>#NAME?</v>
      </c>
      <c r="G12" t="s">
        <v>3394</v>
      </c>
      <c r="L12" s="544">
        <v>8.1771263566626953</v>
      </c>
      <c r="M12" s="544">
        <f>SQRT(L11*L13)-ABS(L12)</f>
        <v>15.564107705380982</v>
      </c>
      <c r="O12" s="1236" t="e">
        <f t="array" aca="1" ref="O12:Q14" ca="1">MINVERSE(G13:I15)/(COUNTA(A4:A23)-1)</f>
        <v>#NAME?</v>
      </c>
      <c r="P12" s="1234" t="e">
        <f ca="1"/>
        <v>#NAME?</v>
      </c>
      <c r="Q12" s="1237" t="e">
        <f ca="1"/>
        <v>#NAME?</v>
      </c>
      <c r="S12" t="s">
        <v>695</v>
      </c>
      <c r="W12" s="1270" t="s">
        <v>116</v>
      </c>
      <c r="X12" s="1270">
        <v>0.05</v>
      </c>
    </row>
    <row r="13" spans="1:25" ht="15" thickTop="1">
      <c r="A13" s="750" t="s">
        <v>28</v>
      </c>
      <c r="B13" s="42">
        <v>36</v>
      </c>
      <c r="C13" s="42">
        <v>23</v>
      </c>
      <c r="D13" s="838">
        <v>56</v>
      </c>
      <c r="E13" s="627" t="e">
        <f t="array" aca="1" ref="E13" ca="1">[1]!LLReg(A13:D13,$G$4:$J$7,$G$10:$J$10)</f>
        <v>#NAME?</v>
      </c>
      <c r="G13" s="1236" t="e">
        <f t="array" aca="1" ref="G13:J16" ca="1">[1]!COV(A4:D23,FALSE)</f>
        <v>#NAME?</v>
      </c>
      <c r="H13" s="1234" t="e">
        <f ca="1"/>
        <v>#NAME?</v>
      </c>
      <c r="I13" s="1234" t="e">
        <f ca="1"/>
        <v>#NAME?</v>
      </c>
      <c r="J13" s="1237" t="e">
        <f ca="1"/>
        <v>#NAME?</v>
      </c>
      <c r="L13" s="544">
        <v>55.620698602570627</v>
      </c>
      <c r="M13" s="541">
        <f>L13</f>
        <v>55.620698602570627</v>
      </c>
      <c r="O13" s="656" t="e">
        <f ca="1"/>
        <v>#NAME?</v>
      </c>
      <c r="P13" s="8" t="e">
        <f ca="1"/>
        <v>#NAME?</v>
      </c>
      <c r="Q13" s="657" t="e">
        <f ca="1"/>
        <v>#NAME?</v>
      </c>
      <c r="S13" s="1151"/>
      <c r="T13" s="1151" t="s">
        <v>186</v>
      </c>
      <c r="U13" s="1151" t="s">
        <v>578</v>
      </c>
      <c r="V13" s="1151" t="s">
        <v>641</v>
      </c>
      <c r="W13" s="1151" t="s">
        <v>388</v>
      </c>
      <c r="X13" s="1151" t="s">
        <v>200</v>
      </c>
      <c r="Y13" s="1151" t="s">
        <v>948</v>
      </c>
    </row>
    <row r="14" spans="1:25">
      <c r="A14" s="750" t="s">
        <v>28</v>
      </c>
      <c r="B14" s="42">
        <v>27</v>
      </c>
      <c r="C14" s="42">
        <v>21</v>
      </c>
      <c r="D14" s="838">
        <v>39</v>
      </c>
      <c r="E14" s="627" t="e">
        <f t="array" aca="1" ref="E14" ca="1">[1]!LLReg(A14:D14,$G$4:$J$7,$G$10:$J$10)</f>
        <v>#NAME?</v>
      </c>
      <c r="G14" s="656" t="e">
        <f ca="1"/>
        <v>#NAME?</v>
      </c>
      <c r="H14" s="8" t="e">
        <f ca="1"/>
        <v>#NAME?</v>
      </c>
      <c r="I14" s="8" t="e">
        <f ca="1"/>
        <v>#NAME?</v>
      </c>
      <c r="J14" s="657" t="e">
        <f ca="1"/>
        <v>#NAME?</v>
      </c>
      <c r="L14" s="1235">
        <v>16.28686833905622</v>
      </c>
      <c r="O14" s="533" t="e">
        <f ca="1"/>
        <v>#NAME?</v>
      </c>
      <c r="P14" s="1078" t="e">
        <f ca="1"/>
        <v>#NAME?</v>
      </c>
      <c r="Q14" s="541" t="e">
        <f ca="1"/>
        <v>#NAME?</v>
      </c>
      <c r="S14" t="s">
        <v>623</v>
      </c>
      <c r="T14">
        <f>COUNTA(A3:D3)-1</f>
        <v>3</v>
      </c>
      <c r="U14" t="e">
        <f ca="1">T7*U16</f>
        <v>#NAME?</v>
      </c>
      <c r="V14" t="e">
        <f ca="1">U14/T14</f>
        <v>#NAME?</v>
      </c>
      <c r="W14" t="e">
        <f ca="1">V14/V15</f>
        <v>#NAME?</v>
      </c>
      <c r="X14" t="e">
        <f ca="1">FDIST(W14,T14,T15)</f>
        <v>#NAME?</v>
      </c>
      <c r="Y14" s="1270" t="e">
        <f ca="1">IF(X14&lt;X12,"yes","no")</f>
        <v>#NAME?</v>
      </c>
    </row>
    <row r="15" spans="1:25">
      <c r="A15" s="750">
        <v>14</v>
      </c>
      <c r="B15" s="42">
        <v>32</v>
      </c>
      <c r="C15" s="42">
        <v>20</v>
      </c>
      <c r="D15" s="838">
        <v>46</v>
      </c>
      <c r="E15" s="627" t="e">
        <f t="array" aca="1" ref="E15" ca="1">[1]!LLReg(A15:D15,$G$4:$J$7,$G$10:$J$10)</f>
        <v>#NAME?</v>
      </c>
      <c r="G15" s="656" t="e">
        <f ca="1"/>
        <v>#NAME?</v>
      </c>
      <c r="H15" s="8" t="e">
        <f ca="1"/>
        <v>#NAME?</v>
      </c>
      <c r="I15" s="8" t="e">
        <f ca="1"/>
        <v>#NAME?</v>
      </c>
      <c r="J15" s="657" t="e">
        <f ca="1"/>
        <v>#NAME?</v>
      </c>
      <c r="L15" s="627">
        <v>32.915676871828403</v>
      </c>
      <c r="S15" t="s">
        <v>696</v>
      </c>
      <c r="T15">
        <f>T16-T14</f>
        <v>12.5</v>
      </c>
      <c r="U15" t="e">
        <f ca="1">U16-U14</f>
        <v>#NAME?</v>
      </c>
      <c r="V15" t="e">
        <f ca="1">U15/T15</f>
        <v>#NAME?</v>
      </c>
    </row>
    <row r="16" spans="1:25">
      <c r="A16" s="750">
        <v>22</v>
      </c>
      <c r="B16" s="42">
        <v>40</v>
      </c>
      <c r="C16" s="42" t="s">
        <v>28</v>
      </c>
      <c r="D16" s="838">
        <v>49</v>
      </c>
      <c r="E16" s="627" t="e">
        <f t="array" aca="1" ref="E16" ca="1">[1]!LLReg(A16:D16,$G$4:$J$7,$G$10:$J$10)</f>
        <v>#NAME?</v>
      </c>
      <c r="G16" s="533" t="e">
        <f ca="1"/>
        <v>#NAME?</v>
      </c>
      <c r="H16" s="1078" t="e">
        <f ca="1"/>
        <v>#NAME?</v>
      </c>
      <c r="I16" s="1078" t="e">
        <f ca="1"/>
        <v>#NAME?</v>
      </c>
      <c r="J16" s="541" t="e">
        <f ca="1"/>
        <v>#NAME?</v>
      </c>
      <c r="L16" s="627">
        <v>21.256847979858609</v>
      </c>
      <c r="S16" s="1078" t="s">
        <v>12</v>
      </c>
      <c r="T16" s="1078">
        <f>T10-1</f>
        <v>15.5</v>
      </c>
      <c r="U16" s="1078">
        <f>DEVSQ(D4:D23)</f>
        <v>989.61111111111097</v>
      </c>
      <c r="V16" s="1078"/>
      <c r="W16" s="1078"/>
      <c r="X16" s="1078"/>
      <c r="Y16" s="1078"/>
    </row>
    <row r="17" spans="1:25" ht="15" thickBot="1">
      <c r="A17" s="750" t="s">
        <v>28</v>
      </c>
      <c r="B17" s="42">
        <v>31</v>
      </c>
      <c r="C17" s="42" t="s">
        <v>28</v>
      </c>
      <c r="D17" s="838">
        <v>44</v>
      </c>
      <c r="E17" s="627" t="e">
        <f t="array" aca="1" ref="E17" ca="1">[1]!LLReg(A17:D17,$G$4:$J$7,$G$10:$J$10)</f>
        <v>#NAME?</v>
      </c>
      <c r="L17" s="544">
        <v>47.143687162763719</v>
      </c>
    </row>
    <row r="18" spans="1:25" ht="15" thickTop="1">
      <c r="A18" s="750" t="s">
        <v>28</v>
      </c>
      <c r="B18" s="42">
        <v>18</v>
      </c>
      <c r="C18" s="42">
        <v>21</v>
      </c>
      <c r="D18" s="838" t="s">
        <v>28</v>
      </c>
      <c r="E18" s="627" t="e">
        <f t="array" aca="1" ref="E18" ca="1">[1]!LLReg(A18:D18,$G$4:$J$7,$G$10:$J$10)</f>
        <v>#NAME?</v>
      </c>
      <c r="G18" t="s">
        <v>3396</v>
      </c>
      <c r="S18" s="1151"/>
      <c r="T18" s="1151" t="s">
        <v>2743</v>
      </c>
      <c r="U18" s="1151" t="s">
        <v>1469</v>
      </c>
      <c r="V18" s="1151" t="s">
        <v>188</v>
      </c>
      <c r="W18" s="1151" t="s">
        <v>200</v>
      </c>
      <c r="X18" s="1151" t="s">
        <v>103</v>
      </c>
      <c r="Y18" s="1151" t="s">
        <v>104</v>
      </c>
    </row>
    <row r="19" spans="1:25">
      <c r="A19" s="750">
        <v>16</v>
      </c>
      <c r="B19" s="42">
        <v>23</v>
      </c>
      <c r="C19" s="42">
        <v>21</v>
      </c>
      <c r="D19" s="838">
        <v>34</v>
      </c>
      <c r="E19" s="627" t="e">
        <f t="array" aca="1" ref="E19" ca="1">[1]!LLReg(A19:D19,$G$4:$J$7,$G$10:$J$10)</f>
        <v>#NAME?</v>
      </c>
      <c r="G19" s="848">
        <f>AVERAGE(A4:A23)</f>
        <v>16.133333333333333</v>
      </c>
      <c r="H19" s="821">
        <f>AVERAGE(B4:B23)</f>
        <v>34.411764705882355</v>
      </c>
      <c r="I19" s="821">
        <f>AVERAGE(C4:C23)</f>
        <v>21.0625</v>
      </c>
      <c r="J19" s="849">
        <f>AVERAGE(D4:D23)</f>
        <v>47.722222222222221</v>
      </c>
      <c r="S19" t="s">
        <v>697</v>
      </c>
      <c r="T19">
        <f>P5</f>
        <v>27.117920276590311</v>
      </c>
    </row>
    <row r="20" spans="1:25">
      <c r="A20" s="750">
        <v>27</v>
      </c>
      <c r="B20" s="42">
        <v>26</v>
      </c>
      <c r="C20" s="42">
        <v>23</v>
      </c>
      <c r="D20" s="838">
        <v>59</v>
      </c>
      <c r="E20" s="627" t="e">
        <f t="array" aca="1" ref="E20" ca="1">[1]!LLReg(A20:D20,$G$4:$J$7,$G$10:$J$10)</f>
        <v>#NAME?</v>
      </c>
      <c r="S20" t="str">
        <f t="array" ref="S20:S22">TRANSPOSE(A3:C3)</f>
        <v>read</v>
      </c>
      <c r="T20">
        <f>P6</f>
        <v>0.53194171155368186</v>
      </c>
      <c r="U20" t="e">
        <f t="array" aca="1" ref="U20:U22" ca="1">SQRT([1]!DIAG(O12:Q14))*T9</f>
        <v>#NAME?</v>
      </c>
      <c r="V20" t="e">
        <f ca="1">T20/U20</f>
        <v>#NAME?</v>
      </c>
      <c r="W20" t="e">
        <f ca="1">TDIST(ABS(V20),$T$15,2)</f>
        <v>#NAME?</v>
      </c>
      <c r="X20" t="e">
        <f ca="1">T20-TINV(X$12,$T$15)*U20</f>
        <v>#NAME?</v>
      </c>
      <c r="Y20" t="e">
        <f ca="1">T20+TINV(X$12,$T$15)*U20</f>
        <v>#NAME?</v>
      </c>
    </row>
    <row r="21" spans="1:25">
      <c r="A21" s="750">
        <v>17</v>
      </c>
      <c r="B21" s="42" t="s">
        <v>28</v>
      </c>
      <c r="C21" s="42" t="s">
        <v>28</v>
      </c>
      <c r="D21" s="838">
        <v>35</v>
      </c>
      <c r="E21" s="627" t="e">
        <f t="array" aca="1" ref="E21" ca="1">[1]!LLReg(A21:D21,$G$4:$J$7,$G$10:$J$10)</f>
        <v>#NAME?</v>
      </c>
      <c r="G21" t="s">
        <v>3405</v>
      </c>
      <c r="S21" t="str">
        <v>science</v>
      </c>
      <c r="T21">
        <f>P7</f>
        <v>0.47270314270332053</v>
      </c>
      <c r="U21" t="e">
        <f ca="1"/>
        <v>#NAME?</v>
      </c>
      <c r="V21" t="e">
        <f ca="1">T21/U21</f>
        <v>#NAME?</v>
      </c>
      <c r="W21" t="e">
        <f ca="1">TDIST(ABS(V21),$T$15,2)</f>
        <v>#NAME?</v>
      </c>
      <c r="X21" t="e">
        <f ca="1">T21-TINV(X$12,$T$15)*U21</f>
        <v>#NAME?</v>
      </c>
      <c r="Y21" t="e">
        <f ca="1">T21+TINV(X$12,$T$15)*U21</f>
        <v>#NAME?</v>
      </c>
    </row>
    <row r="22" spans="1:25">
      <c r="A22" s="750">
        <v>13</v>
      </c>
      <c r="B22" s="42">
        <v>21</v>
      </c>
      <c r="C22" s="42">
        <v>20</v>
      </c>
      <c r="D22" s="838">
        <v>48</v>
      </c>
      <c r="E22" s="627" t="e">
        <f t="array" aca="1" ref="E22" ca="1">[1]!LLReg(A22:D22,$G$4:$J$7,$G$10:$J$10)</f>
        <v>#NAME?</v>
      </c>
      <c r="G22" s="848">
        <f>COUNT(A4:A23)</f>
        <v>15</v>
      </c>
      <c r="H22" s="821">
        <f>COUNT(B4:B23)</f>
        <v>17</v>
      </c>
      <c r="I22" s="821">
        <f>COUNT(C4:C23)</f>
        <v>16</v>
      </c>
      <c r="J22" s="821">
        <f>COUNT(D4:D23)</f>
        <v>18</v>
      </c>
      <c r="K22" s="1273">
        <f>AVERAGE(G22:J22)</f>
        <v>16.5</v>
      </c>
      <c r="S22" s="1078" t="str">
        <v>math</v>
      </c>
      <c r="T22" s="1078">
        <f>P8</f>
        <v>-0.19745362244914699</v>
      </c>
      <c r="U22" s="1078" t="e">
        <f ca="1"/>
        <v>#NAME?</v>
      </c>
      <c r="V22" s="1078" t="e">
        <f ca="1">T22/U22</f>
        <v>#NAME?</v>
      </c>
      <c r="W22" s="1078" t="e">
        <f ca="1">TDIST(ABS(V22),$T$15,2)</f>
        <v>#NAME?</v>
      </c>
      <c r="X22" s="1078" t="e">
        <f ca="1">T22-TINV(X$12,$T$15)*U22</f>
        <v>#NAME?</v>
      </c>
      <c r="Y22" s="1078" t="e">
        <f ca="1">T22+TINV(X$12,$T$15)*U22</f>
        <v>#NAME?</v>
      </c>
    </row>
    <row r="23" spans="1:25">
      <c r="A23" s="1244">
        <v>11</v>
      </c>
      <c r="B23" s="1247">
        <v>51</v>
      </c>
      <c r="C23" s="1247">
        <v>18</v>
      </c>
      <c r="D23" s="1245">
        <v>54</v>
      </c>
      <c r="E23" s="544" t="e">
        <f t="array" aca="1" ref="E23" ca="1">[1]!LLReg(A23:D23,$G$4:$J$7,$G$10:$J$10)</f>
        <v>#NAME?</v>
      </c>
    </row>
    <row r="24" spans="1:25">
      <c r="E24" t="e">
        <f ca="1">SUM(E4:E23)</f>
        <v>#NAME?</v>
      </c>
    </row>
    <row r="27" spans="1:25">
      <c r="O27" t="e">
        <f t="array" aca="1" ref="O27:Q27" ca="1">SQRT([1]!DIAG(O16:Q18))</f>
        <v>#NAME?</v>
      </c>
      <c r="P27" t="e">
        <f ca="1"/>
        <v>#NAME?</v>
      </c>
      <c r="Q27" t="e">
        <f ca="1"/>
        <v>#NAME?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sheetPr codeName="Sheet319"/>
  <dimension ref="A1:AI24"/>
  <sheetViews>
    <sheetView topLeftCell="Q1" workbookViewId="0">
      <selection activeCell="Y19" sqref="Y19"/>
    </sheetView>
  </sheetViews>
  <sheetFormatPr defaultRowHeight="14.4"/>
  <cols>
    <col min="29" max="29" width="17.5546875" customWidth="1"/>
  </cols>
  <sheetData>
    <row r="1" spans="1:35">
      <c r="A1" s="1" t="s">
        <v>3413</v>
      </c>
    </row>
    <row r="3" spans="1:35">
      <c r="A3" s="1274" t="s">
        <v>3352</v>
      </c>
      <c r="B3" s="1274" t="s">
        <v>3333</v>
      </c>
      <c r="C3" s="1274" t="s">
        <v>3332</v>
      </c>
      <c r="D3" s="1274" t="s">
        <v>3353</v>
      </c>
      <c r="F3" t="s">
        <v>3375</v>
      </c>
      <c r="L3" s="1274" t="str">
        <f>A3</f>
        <v>read</v>
      </c>
      <c r="M3" s="1274" t="str">
        <f>B3</f>
        <v>science</v>
      </c>
      <c r="N3" s="1274" t="str">
        <f>C3</f>
        <v>math</v>
      </c>
      <c r="O3" s="1274" t="str">
        <f>D3</f>
        <v>medicine</v>
      </c>
      <c r="P3" s="1269" t="s">
        <v>3409</v>
      </c>
      <c r="R3" t="s">
        <v>3406</v>
      </c>
      <c r="W3" s="1274" t="s">
        <v>3397</v>
      </c>
      <c r="Y3" t="s">
        <v>3410</v>
      </c>
      <c r="AC3" t="s">
        <v>2744</v>
      </c>
    </row>
    <row r="4" spans="1:35">
      <c r="A4" s="1242">
        <v>12</v>
      </c>
      <c r="B4" s="1248">
        <v>27</v>
      </c>
      <c r="C4" s="1248">
        <v>19</v>
      </c>
      <c r="D4" s="1243">
        <v>44</v>
      </c>
      <c r="L4" s="1255">
        <f t="shared" ref="L4:L23" si="0">A4</f>
        <v>12</v>
      </c>
      <c r="M4" s="1256">
        <f t="shared" ref="M4:M23" si="1">B4</f>
        <v>27</v>
      </c>
      <c r="N4" s="1256">
        <f t="shared" ref="N4:N23" si="2">C4</f>
        <v>19</v>
      </c>
      <c r="O4" s="1285">
        <f t="shared" ref="O4:O23" si="3">D4</f>
        <v>44</v>
      </c>
      <c r="P4" s="1235" t="e">
        <f t="array" aca="1" ref="P4" ca="1">[1]!LLReg(L4:O4,$R$4:$U$7,$R$10:$U$10)</f>
        <v>#NAME?</v>
      </c>
      <c r="R4" s="1232">
        <f>W4</f>
        <v>19.913368556254991</v>
      </c>
      <c r="S4" s="1114">
        <f>R5</f>
        <v>-1.7969432911037646</v>
      </c>
      <c r="T4" s="1114">
        <f>R6</f>
        <v>7.0738099577208127</v>
      </c>
      <c r="U4" s="1233">
        <f>R7</f>
        <v>8.346581210980327</v>
      </c>
      <c r="W4" s="1138">
        <v>19.913368556254991</v>
      </c>
    </row>
    <row r="5" spans="1:35" ht="15" thickBot="1">
      <c r="A5" s="750">
        <v>11</v>
      </c>
      <c r="B5" s="42" t="s">
        <v>28</v>
      </c>
      <c r="C5" s="42">
        <v>13</v>
      </c>
      <c r="D5" s="838">
        <v>43</v>
      </c>
      <c r="F5" t="e">
        <f t="array" aca="1" ref="F5:J10" ca="1">[1]!DescStats(A3:D23,TRUE,TRUE)</f>
        <v>#NAME?</v>
      </c>
      <c r="G5" s="1274" t="e">
        <f ca="1"/>
        <v>#NAME?</v>
      </c>
      <c r="H5" s="1274" t="e">
        <f ca="1"/>
        <v>#NAME?</v>
      </c>
      <c r="I5" s="1274" t="e">
        <f ca="1"/>
        <v>#NAME?</v>
      </c>
      <c r="J5" s="1274" t="e">
        <f ca="1"/>
        <v>#NAME?</v>
      </c>
      <c r="L5" s="624">
        <f t="shared" si="0"/>
        <v>11</v>
      </c>
      <c r="M5" s="1275" t="str">
        <f t="shared" si="1"/>
        <v>x</v>
      </c>
      <c r="N5" s="1275">
        <f t="shared" si="2"/>
        <v>13</v>
      </c>
      <c r="O5" s="628">
        <f t="shared" si="3"/>
        <v>43</v>
      </c>
      <c r="P5" s="627" t="e">
        <f t="array" aca="1" ref="P5" ca="1">[1]!LLReg(L5:O5,$R$4:$U$7,$R$10:$U$10)</f>
        <v>#NAME?</v>
      </c>
      <c r="R5" s="625">
        <f>W5</f>
        <v>-1.7969432911037646</v>
      </c>
      <c r="S5" s="8">
        <f>W8</f>
        <v>117.12234407398635</v>
      </c>
      <c r="T5" s="8">
        <f>S6</f>
        <v>13.571344540903519</v>
      </c>
      <c r="U5" s="132">
        <f>S7</f>
        <v>51.728519893611484</v>
      </c>
      <c r="W5" s="946">
        <v>-1.7969432911037646</v>
      </c>
      <c r="Y5" t="s">
        <v>697</v>
      </c>
      <c r="Z5" s="1138">
        <f t="array" ref="Z5">-MMULT(R10:U10,Z6:Z9)</f>
        <v>27.117920276590311</v>
      </c>
      <c r="AC5" s="1059" t="s">
        <v>2750</v>
      </c>
      <c r="AD5" s="1059"/>
    </row>
    <row r="6" spans="1:35" ht="15" thickTop="1">
      <c r="A6" s="750" t="s">
        <v>28</v>
      </c>
      <c r="B6" s="42">
        <v>56</v>
      </c>
      <c r="C6" s="42">
        <v>23</v>
      </c>
      <c r="D6" s="838">
        <v>60</v>
      </c>
      <c r="F6" t="e">
        <f ca="1"/>
        <v>#NAME?</v>
      </c>
      <c r="G6" s="1232" t="e">
        <f ca="1"/>
        <v>#NAME?</v>
      </c>
      <c r="H6" s="1114" t="e">
        <f ca="1"/>
        <v>#NAME?</v>
      </c>
      <c r="I6" s="1114" t="e">
        <f ca="1"/>
        <v>#NAME?</v>
      </c>
      <c r="J6" s="1233" t="e">
        <f ca="1"/>
        <v>#NAME?</v>
      </c>
      <c r="L6" s="624" t="str">
        <f t="shared" si="0"/>
        <v>x</v>
      </c>
      <c r="M6" s="1275">
        <f t="shared" si="1"/>
        <v>56</v>
      </c>
      <c r="N6" s="1275">
        <f t="shared" si="2"/>
        <v>23</v>
      </c>
      <c r="O6" s="628">
        <f t="shared" si="3"/>
        <v>60</v>
      </c>
      <c r="P6" s="627" t="e">
        <f t="array" aca="1" ref="P6" ca="1">[1]!LLReg(L6:O6,$R$4:$U$7,$R$10:$U$10)</f>
        <v>#NAME?</v>
      </c>
      <c r="R6" s="625">
        <f>W6</f>
        <v>7.0738099577208127</v>
      </c>
      <c r="S6" s="8">
        <f>W9</f>
        <v>13.571344540903519</v>
      </c>
      <c r="T6" s="8">
        <f>W11</f>
        <v>10.133748927107019</v>
      </c>
      <c r="U6" s="132">
        <f>T7</f>
        <v>8.1771263566626953</v>
      </c>
      <c r="W6" s="946">
        <v>7.0738099577208127</v>
      </c>
      <c r="Y6" t="str">
        <f t="array" ref="Y6:Y8">TRANSPOSE(L3:N3)</f>
        <v>read</v>
      </c>
      <c r="Z6" s="946">
        <f t="array" ref="Z6:Z8">MMULT(MINVERSE(R4:T6),U4:U6)</f>
        <v>0.53194171155368186</v>
      </c>
      <c r="AC6" t="s">
        <v>693</v>
      </c>
      <c r="AD6" t="e">
        <f ca="1">SQRT(AD7)</f>
        <v>#NAME?</v>
      </c>
    </row>
    <row r="7" spans="1:35">
      <c r="A7" s="750">
        <v>15</v>
      </c>
      <c r="B7" s="42">
        <v>37</v>
      </c>
      <c r="C7" s="42">
        <v>19</v>
      </c>
      <c r="D7" s="838">
        <v>52</v>
      </c>
      <c r="F7" t="e">
        <f ca="1"/>
        <v>#NAME?</v>
      </c>
      <c r="G7" s="625" t="e">
        <f ca="1"/>
        <v>#NAME?</v>
      </c>
      <c r="H7" s="8" t="e">
        <f ca="1"/>
        <v>#NAME?</v>
      </c>
      <c r="I7" s="8" t="e">
        <f ca="1"/>
        <v>#NAME?</v>
      </c>
      <c r="J7" s="132" t="e">
        <f ca="1"/>
        <v>#NAME?</v>
      </c>
      <c r="L7" s="624">
        <f t="shared" si="0"/>
        <v>15</v>
      </c>
      <c r="M7" s="1275">
        <f t="shared" si="1"/>
        <v>37</v>
      </c>
      <c r="N7" s="1275">
        <f t="shared" si="2"/>
        <v>19</v>
      </c>
      <c r="O7" s="628">
        <f t="shared" si="3"/>
        <v>52</v>
      </c>
      <c r="P7" s="627" t="e">
        <f t="array" aca="1" ref="P7" ca="1">[1]!LLReg(L7:O7,$R$4:$U$7,$R$10:$U$10)</f>
        <v>#NAME?</v>
      </c>
      <c r="R7" s="1075">
        <f>W7</f>
        <v>8.346581210980327</v>
      </c>
      <c r="S7" s="1076">
        <f>W10</f>
        <v>51.728519893611484</v>
      </c>
      <c r="T7" s="1076">
        <f>W12</f>
        <v>8.1771263566626953</v>
      </c>
      <c r="U7" s="1077">
        <f>W13</f>
        <v>55.620698602570627</v>
      </c>
      <c r="W7" s="946">
        <v>8.346581210980327</v>
      </c>
      <c r="Y7" t="str">
        <v>science</v>
      </c>
      <c r="Z7" s="946">
        <v>0.47270314270332053</v>
      </c>
      <c r="AC7" t="s">
        <v>686</v>
      </c>
      <c r="AD7" t="e">
        <f ca="1">SUMPRODUCT(U13:U15,Z6:Z8)/U16</f>
        <v>#NAME?</v>
      </c>
    </row>
    <row r="8" spans="1:35">
      <c r="A8" s="750">
        <v>10</v>
      </c>
      <c r="B8" s="42">
        <v>31</v>
      </c>
      <c r="C8" s="42">
        <v>21</v>
      </c>
      <c r="D8" s="838" t="s">
        <v>28</v>
      </c>
      <c r="F8" t="e">
        <f ca="1"/>
        <v>#NAME?</v>
      </c>
      <c r="G8" s="625" t="e">
        <f ca="1"/>
        <v>#NAME?</v>
      </c>
      <c r="H8" s="8" t="e">
        <f ca="1"/>
        <v>#NAME?</v>
      </c>
      <c r="I8" s="8" t="e">
        <f ca="1"/>
        <v>#NAME?</v>
      </c>
      <c r="J8" s="132" t="e">
        <f ca="1"/>
        <v>#NAME?</v>
      </c>
      <c r="L8" s="624">
        <f t="shared" si="0"/>
        <v>10</v>
      </c>
      <c r="M8" s="1275">
        <f t="shared" si="1"/>
        <v>31</v>
      </c>
      <c r="N8" s="1275">
        <f t="shared" si="2"/>
        <v>21</v>
      </c>
      <c r="O8" s="628" t="str">
        <f t="shared" si="3"/>
        <v>x</v>
      </c>
      <c r="P8" s="627" t="e">
        <f t="array" aca="1" ref="P8" ca="1">[1]!LLReg(L8:O8,$R$4:$U$7,$R$10:$U$10)</f>
        <v>#NAME?</v>
      </c>
      <c r="W8" s="946">
        <v>117.12234407398635</v>
      </c>
      <c r="Y8" t="str">
        <v>math</v>
      </c>
      <c r="Z8" s="1073">
        <v>-0.19745362244914699</v>
      </c>
      <c r="AC8" t="s">
        <v>694</v>
      </c>
      <c r="AD8" t="e">
        <f ca="1">1-(1-AD7)*(AD10-1)/(AD10-AD14-1)</f>
        <v>#NAME?</v>
      </c>
    </row>
    <row r="9" spans="1:35">
      <c r="A9" s="750">
        <v>18</v>
      </c>
      <c r="B9" s="42">
        <v>40</v>
      </c>
      <c r="C9" s="42">
        <v>22</v>
      </c>
      <c r="D9" s="838">
        <v>43</v>
      </c>
      <c r="F9" t="e">
        <f ca="1"/>
        <v>#NAME?</v>
      </c>
      <c r="G9" s="625" t="e">
        <f ca="1"/>
        <v>#NAME?</v>
      </c>
      <c r="H9" s="8" t="e">
        <f ca="1"/>
        <v>#NAME?</v>
      </c>
      <c r="I9" s="8" t="e">
        <f ca="1"/>
        <v>#NAME?</v>
      </c>
      <c r="J9" s="132" t="e">
        <f ca="1"/>
        <v>#NAME?</v>
      </c>
      <c r="L9" s="624">
        <f t="shared" si="0"/>
        <v>18</v>
      </c>
      <c r="M9" s="1275">
        <f t="shared" si="1"/>
        <v>40</v>
      </c>
      <c r="N9" s="1275">
        <f t="shared" si="2"/>
        <v>22</v>
      </c>
      <c r="O9" s="628">
        <f t="shared" si="3"/>
        <v>43</v>
      </c>
      <c r="P9" s="627" t="e">
        <f t="array" aca="1" ref="P9" ca="1">[1]!LLReg(L9:O9,$R$4:$U$7,$R$10:$U$10)</f>
        <v>#NAME?</v>
      </c>
      <c r="R9" t="s">
        <v>3407</v>
      </c>
      <c r="W9" s="946">
        <v>13.571344540903519</v>
      </c>
      <c r="Z9">
        <v>-1</v>
      </c>
      <c r="AC9" t="s">
        <v>77</v>
      </c>
      <c r="AD9" t="e">
        <f ca="1">SQRT(AF15)</f>
        <v>#NAME?</v>
      </c>
    </row>
    <row r="10" spans="1:35">
      <c r="A10" s="750">
        <v>15</v>
      </c>
      <c r="B10" s="42">
        <v>50</v>
      </c>
      <c r="C10" s="42">
        <v>28</v>
      </c>
      <c r="D10" s="838">
        <v>56</v>
      </c>
      <c r="F10" t="e">
        <f ca="1"/>
        <v>#NAME?</v>
      </c>
      <c r="G10" s="1075" t="e">
        <f ca="1"/>
        <v>#NAME?</v>
      </c>
      <c r="H10" s="1076" t="e">
        <f ca="1"/>
        <v>#NAME?</v>
      </c>
      <c r="I10" s="1076" t="e">
        <f ca="1"/>
        <v>#NAME?</v>
      </c>
      <c r="J10" s="1077" t="e">
        <f ca="1"/>
        <v>#NAME?</v>
      </c>
      <c r="L10" s="624">
        <f t="shared" si="0"/>
        <v>15</v>
      </c>
      <c r="M10" s="1275">
        <f t="shared" si="1"/>
        <v>50</v>
      </c>
      <c r="N10" s="1275">
        <f t="shared" si="2"/>
        <v>28</v>
      </c>
      <c r="O10" s="628">
        <f t="shared" si="3"/>
        <v>56</v>
      </c>
      <c r="P10" s="627" t="e">
        <f t="array" aca="1" ref="P10" ca="1">[1]!LLReg(L10:O10,$R$4:$U$7,$R$10:$U$10)</f>
        <v>#NAME?</v>
      </c>
      <c r="R10" s="1119">
        <f>W14</f>
        <v>16.28686833905622</v>
      </c>
      <c r="S10" s="1017">
        <f>W15</f>
        <v>32.915676871828403</v>
      </c>
      <c r="T10" s="1017">
        <f>W16</f>
        <v>21.256847979858609</v>
      </c>
      <c r="U10" s="1120">
        <f>W17</f>
        <v>47.143687162763719</v>
      </c>
      <c r="W10" s="946">
        <v>51.728519893611484</v>
      </c>
      <c r="AC10" s="1078" t="s">
        <v>224</v>
      </c>
      <c r="AD10" s="1078">
        <f>COUNTA(L4:L23)</f>
        <v>20</v>
      </c>
    </row>
    <row r="11" spans="1:35">
      <c r="A11" s="750">
        <v>21</v>
      </c>
      <c r="B11" s="42" t="s">
        <v>28</v>
      </c>
      <c r="C11" s="42" t="s">
        <v>28</v>
      </c>
      <c r="D11" s="838">
        <v>46</v>
      </c>
      <c r="L11" s="624">
        <f t="shared" si="0"/>
        <v>21</v>
      </c>
      <c r="M11" s="1275" t="str">
        <f t="shared" si="1"/>
        <v>x</v>
      </c>
      <c r="N11" s="1275" t="str">
        <f t="shared" si="2"/>
        <v>x</v>
      </c>
      <c r="O11" s="628">
        <f t="shared" si="3"/>
        <v>46</v>
      </c>
      <c r="P11" s="627" t="e">
        <f t="array" aca="1" ref="P11" ca="1">[1]!LLReg(L11:O11,$R$4:$U$7,$R$10:$U$10)</f>
        <v>#NAME?</v>
      </c>
      <c r="W11" s="946">
        <v>10.133748927107019</v>
      </c>
      <c r="Y11" t="s">
        <v>3411</v>
      </c>
    </row>
    <row r="12" spans="1:35" ht="15" thickBot="1">
      <c r="A12" s="750">
        <v>20</v>
      </c>
      <c r="B12" s="42">
        <v>39</v>
      </c>
      <c r="C12" s="42">
        <v>25</v>
      </c>
      <c r="D12" s="838">
        <v>51</v>
      </c>
      <c r="F12" t="s">
        <v>3355</v>
      </c>
      <c r="L12" s="624">
        <f t="shared" si="0"/>
        <v>20</v>
      </c>
      <c r="M12" s="1275">
        <f t="shared" si="1"/>
        <v>39</v>
      </c>
      <c r="N12" s="1275">
        <f t="shared" si="2"/>
        <v>25</v>
      </c>
      <c r="O12" s="628">
        <f t="shared" si="3"/>
        <v>51</v>
      </c>
      <c r="P12" s="627" t="e">
        <f t="array" aca="1" ref="P12" ca="1">[1]!LLReg(L12:O12,$R$4:$U$7,$R$10:$U$10)</f>
        <v>#NAME?</v>
      </c>
      <c r="R12" t="s">
        <v>1448</v>
      </c>
      <c r="W12" s="946">
        <v>8.1771263566626953</v>
      </c>
      <c r="Y12" s="1232" t="e">
        <f t="array" aca="1" ref="Y12:AA14" ca="1">MINVERSE(R13:T15)/(COUNTA(L4:L23)-1)</f>
        <v>#NAME?</v>
      </c>
      <c r="Z12" s="1114" t="e">
        <f ca="1"/>
        <v>#NAME?</v>
      </c>
      <c r="AA12" s="1233" t="e">
        <f ca="1"/>
        <v>#NAME?</v>
      </c>
      <c r="AC12" t="s">
        <v>695</v>
      </c>
      <c r="AG12" s="1274" t="s">
        <v>116</v>
      </c>
      <c r="AH12" s="1274">
        <v>0.05</v>
      </c>
    </row>
    <row r="13" spans="1:35" ht="15" thickTop="1">
      <c r="A13" s="750" t="s">
        <v>28</v>
      </c>
      <c r="B13" s="42">
        <v>36</v>
      </c>
      <c r="C13" s="42">
        <v>23</v>
      </c>
      <c r="D13" s="838">
        <v>56</v>
      </c>
      <c r="L13" s="624" t="str">
        <f t="shared" si="0"/>
        <v>x</v>
      </c>
      <c r="M13" s="1275">
        <f t="shared" si="1"/>
        <v>36</v>
      </c>
      <c r="N13" s="1275">
        <f t="shared" si="2"/>
        <v>23</v>
      </c>
      <c r="O13" s="628">
        <f t="shared" si="3"/>
        <v>56</v>
      </c>
      <c r="P13" s="627" t="e">
        <f t="array" aca="1" ref="P13" ca="1">[1]!LLReg(L13:O13,$R$4:$U$7,$R$10:$U$10)</f>
        <v>#NAME?</v>
      </c>
      <c r="R13" s="1232" t="e">
        <f t="array" aca="1" ref="R13:U16" ca="1">[1]!COV(L4:O23,FALSE)</f>
        <v>#NAME?</v>
      </c>
      <c r="S13" s="1114" t="e">
        <f ca="1"/>
        <v>#NAME?</v>
      </c>
      <c r="T13" s="1114" t="e">
        <f ca="1"/>
        <v>#NAME?</v>
      </c>
      <c r="U13" s="1233" t="e">
        <f ca="1"/>
        <v>#NAME?</v>
      </c>
      <c r="W13" s="946">
        <v>55.620698602570627</v>
      </c>
      <c r="Y13" s="625" t="e">
        <f ca="1"/>
        <v>#NAME?</v>
      </c>
      <c r="Z13" s="8" t="e">
        <f ca="1"/>
        <v>#NAME?</v>
      </c>
      <c r="AA13" s="132" t="e">
        <f ca="1"/>
        <v>#NAME?</v>
      </c>
      <c r="AC13" s="1151"/>
      <c r="AD13" s="1151" t="s">
        <v>186</v>
      </c>
      <c r="AE13" s="1151" t="s">
        <v>578</v>
      </c>
      <c r="AF13" s="1151" t="s">
        <v>641</v>
      </c>
      <c r="AG13" s="1151" t="s">
        <v>388</v>
      </c>
      <c r="AH13" s="1151" t="s">
        <v>200</v>
      </c>
      <c r="AI13" s="1151" t="s">
        <v>948</v>
      </c>
    </row>
    <row r="14" spans="1:35">
      <c r="A14" s="750" t="s">
        <v>28</v>
      </c>
      <c r="B14" s="42">
        <v>27</v>
      </c>
      <c r="C14" s="42">
        <v>21</v>
      </c>
      <c r="D14" s="838">
        <v>39</v>
      </c>
      <c r="F14" t="e">
        <f t="array" aca="1" ref="F14:J18" ca="1">[1]!MissingPairwise(A3:D23,TRUE)</f>
        <v>#NAME?</v>
      </c>
      <c r="G14" s="1274" t="e">
        <f ca="1"/>
        <v>#NAME?</v>
      </c>
      <c r="H14" s="1274" t="e">
        <f ca="1"/>
        <v>#NAME?</v>
      </c>
      <c r="I14" s="1274" t="e">
        <f ca="1"/>
        <v>#NAME?</v>
      </c>
      <c r="J14" s="1274" t="e">
        <f ca="1"/>
        <v>#NAME?</v>
      </c>
      <c r="L14" s="624" t="str">
        <f t="shared" si="0"/>
        <v>x</v>
      </c>
      <c r="M14" s="1275">
        <f t="shared" si="1"/>
        <v>27</v>
      </c>
      <c r="N14" s="1275">
        <f t="shared" si="2"/>
        <v>21</v>
      </c>
      <c r="O14" s="628">
        <f t="shared" si="3"/>
        <v>39</v>
      </c>
      <c r="P14" s="627" t="e">
        <f t="array" aca="1" ref="P14" ca="1">[1]!LLReg(L14:O14,$R$4:$U$7,$R$10:$U$10)</f>
        <v>#NAME?</v>
      </c>
      <c r="R14" s="625" t="e">
        <f ca="1"/>
        <v>#NAME?</v>
      </c>
      <c r="S14" s="8" t="e">
        <f ca="1"/>
        <v>#NAME?</v>
      </c>
      <c r="T14" s="8" t="e">
        <f ca="1"/>
        <v>#NAME?</v>
      </c>
      <c r="U14" s="132" t="e">
        <f ca="1"/>
        <v>#NAME?</v>
      </c>
      <c r="W14" s="946">
        <v>16.28686833905622</v>
      </c>
      <c r="Y14" s="1075" t="e">
        <f ca="1"/>
        <v>#NAME?</v>
      </c>
      <c r="Z14" s="1076" t="e">
        <f ca="1"/>
        <v>#NAME?</v>
      </c>
      <c r="AA14" s="1077" t="e">
        <f ca="1"/>
        <v>#NAME?</v>
      </c>
      <c r="AC14" t="s">
        <v>623</v>
      </c>
      <c r="AD14">
        <f>COUNT(L4:O4)-1</f>
        <v>3</v>
      </c>
      <c r="AE14" t="e">
        <f ca="1">AD7*AE16</f>
        <v>#NAME?</v>
      </c>
      <c r="AF14" t="e">
        <f ca="1">AE14/AD14</f>
        <v>#NAME?</v>
      </c>
      <c r="AG14" t="e">
        <f ca="1">AF14/AF15</f>
        <v>#NAME?</v>
      </c>
      <c r="AH14" t="e">
        <f ca="1">FDIST(AG14,AD14,AD15)</f>
        <v>#NAME?</v>
      </c>
      <c r="AI14" s="1274" t="e">
        <f ca="1">IF(AH14&lt;AH12,"yes","no")</f>
        <v>#NAME?</v>
      </c>
    </row>
    <row r="15" spans="1:35">
      <c r="A15" s="750">
        <v>14</v>
      </c>
      <c r="B15" s="42">
        <v>32</v>
      </c>
      <c r="C15" s="42">
        <v>20</v>
      </c>
      <c r="D15" s="838">
        <v>46</v>
      </c>
      <c r="F15" t="e">
        <f ca="1"/>
        <v>#NAME?</v>
      </c>
      <c r="G15" s="1276" t="e">
        <f ca="1"/>
        <v>#NAME?</v>
      </c>
      <c r="H15" s="1277" t="e">
        <f ca="1"/>
        <v>#NAME?</v>
      </c>
      <c r="I15" s="1277" t="e">
        <f ca="1"/>
        <v>#NAME?</v>
      </c>
      <c r="J15" s="1278" t="e">
        <f ca="1"/>
        <v>#NAME?</v>
      </c>
      <c r="L15" s="624">
        <f t="shared" si="0"/>
        <v>14</v>
      </c>
      <c r="M15" s="1275">
        <f t="shared" si="1"/>
        <v>32</v>
      </c>
      <c r="N15" s="1275">
        <f t="shared" si="2"/>
        <v>20</v>
      </c>
      <c r="O15" s="628">
        <f t="shared" si="3"/>
        <v>46</v>
      </c>
      <c r="P15" s="627" t="e">
        <f t="array" aca="1" ref="P15" ca="1">[1]!LLReg(L15:O15,$R$4:$U$7,$R$10:$U$10)</f>
        <v>#NAME?</v>
      </c>
      <c r="R15" s="625" t="e">
        <f ca="1"/>
        <v>#NAME?</v>
      </c>
      <c r="S15" s="8" t="e">
        <f ca="1"/>
        <v>#NAME?</v>
      </c>
      <c r="T15" s="8" t="e">
        <f ca="1"/>
        <v>#NAME?</v>
      </c>
      <c r="U15" s="132" t="e">
        <f ca="1"/>
        <v>#NAME?</v>
      </c>
      <c r="W15" s="946">
        <v>32.915676871828403</v>
      </c>
      <c r="AC15" t="s">
        <v>696</v>
      </c>
      <c r="AD15">
        <f>AD16-AD14</f>
        <v>16</v>
      </c>
      <c r="AE15" t="e">
        <f ca="1">AE16-AE14</f>
        <v>#NAME?</v>
      </c>
      <c r="AF15" t="e">
        <f ca="1">AE15/AD15</f>
        <v>#NAME?</v>
      </c>
    </row>
    <row r="16" spans="1:35">
      <c r="A16" s="750">
        <v>22</v>
      </c>
      <c r="B16" s="42">
        <v>40</v>
      </c>
      <c r="C16" s="42" t="s">
        <v>28</v>
      </c>
      <c r="D16" s="838">
        <v>49</v>
      </c>
      <c r="F16" t="e">
        <f ca="1"/>
        <v>#NAME?</v>
      </c>
      <c r="G16" s="1279" t="e">
        <f ca="1"/>
        <v>#NAME?</v>
      </c>
      <c r="H16" s="1280" t="e">
        <f ca="1"/>
        <v>#NAME?</v>
      </c>
      <c r="I16" s="1280" t="e">
        <f ca="1"/>
        <v>#NAME?</v>
      </c>
      <c r="J16" s="1281" t="e">
        <f ca="1"/>
        <v>#NAME?</v>
      </c>
      <c r="L16" s="624">
        <f t="shared" si="0"/>
        <v>22</v>
      </c>
      <c r="M16" s="1275">
        <f t="shared" si="1"/>
        <v>40</v>
      </c>
      <c r="N16" s="1275" t="str">
        <f t="shared" si="2"/>
        <v>x</v>
      </c>
      <c r="O16" s="628">
        <f t="shared" si="3"/>
        <v>49</v>
      </c>
      <c r="P16" s="627" t="e">
        <f t="array" aca="1" ref="P16" ca="1">[1]!LLReg(L16:O16,$R$4:$U$7,$R$10:$U$10)</f>
        <v>#NAME?</v>
      </c>
      <c r="R16" s="1075" t="e">
        <f ca="1"/>
        <v>#NAME?</v>
      </c>
      <c r="S16" s="1076" t="e">
        <f ca="1"/>
        <v>#NAME?</v>
      </c>
      <c r="T16" s="1076" t="e">
        <f ca="1"/>
        <v>#NAME?</v>
      </c>
      <c r="U16" s="1077" t="e">
        <f ca="1"/>
        <v>#NAME?</v>
      </c>
      <c r="W16" s="946">
        <v>21.256847979858609</v>
      </c>
      <c r="AC16" s="1078" t="s">
        <v>12</v>
      </c>
      <c r="AD16" s="1078">
        <f>AD10-1</f>
        <v>19</v>
      </c>
      <c r="AE16" s="1078">
        <f>DEVSQ(O4:O23)</f>
        <v>989.61111111111097</v>
      </c>
      <c r="AF16" s="1078"/>
      <c r="AG16" s="1078"/>
      <c r="AH16" s="1078"/>
      <c r="AI16" s="1078"/>
    </row>
    <row r="17" spans="1:35" ht="15" thickBot="1">
      <c r="A17" s="750" t="s">
        <v>28</v>
      </c>
      <c r="B17" s="42">
        <v>31</v>
      </c>
      <c r="C17" s="42" t="s">
        <v>28</v>
      </c>
      <c r="D17" s="838">
        <v>44</v>
      </c>
      <c r="F17" t="e">
        <f ca="1"/>
        <v>#NAME?</v>
      </c>
      <c r="G17" s="1279" t="e">
        <f ca="1"/>
        <v>#NAME?</v>
      </c>
      <c r="H17" s="1280" t="e">
        <f ca="1"/>
        <v>#NAME?</v>
      </c>
      <c r="I17" s="1280" t="e">
        <f ca="1"/>
        <v>#NAME?</v>
      </c>
      <c r="J17" s="1281" t="e">
        <f ca="1"/>
        <v>#NAME?</v>
      </c>
      <c r="L17" s="624" t="str">
        <f t="shared" si="0"/>
        <v>x</v>
      </c>
      <c r="M17" s="1275">
        <f t="shared" si="1"/>
        <v>31</v>
      </c>
      <c r="N17" s="1275" t="str">
        <f t="shared" si="2"/>
        <v>x</v>
      </c>
      <c r="O17" s="628">
        <f t="shared" si="3"/>
        <v>44</v>
      </c>
      <c r="P17" s="627" t="e">
        <f t="array" aca="1" ref="P17" ca="1">[1]!LLReg(L17:O17,$R$4:$U$7,$R$10:$U$10)</f>
        <v>#NAME?</v>
      </c>
      <c r="W17" s="1073">
        <v>47.143687162763719</v>
      </c>
    </row>
    <row r="18" spans="1:35" ht="15" thickTop="1">
      <c r="A18" s="750" t="s">
        <v>28</v>
      </c>
      <c r="B18" s="42">
        <v>18</v>
      </c>
      <c r="C18" s="42">
        <v>21</v>
      </c>
      <c r="D18" s="838" t="s">
        <v>28</v>
      </c>
      <c r="F18" t="e">
        <f ca="1"/>
        <v>#NAME?</v>
      </c>
      <c r="G18" s="1282" t="e">
        <f ca="1"/>
        <v>#NAME?</v>
      </c>
      <c r="H18" s="1283" t="e">
        <f ca="1"/>
        <v>#NAME?</v>
      </c>
      <c r="I18" s="1283" t="e">
        <f ca="1"/>
        <v>#NAME?</v>
      </c>
      <c r="J18" s="1284" t="e">
        <f ca="1"/>
        <v>#NAME?</v>
      </c>
      <c r="L18" s="624" t="str">
        <f t="shared" si="0"/>
        <v>x</v>
      </c>
      <c r="M18" s="1275">
        <f t="shared" si="1"/>
        <v>18</v>
      </c>
      <c r="N18" s="1275">
        <f t="shared" si="2"/>
        <v>21</v>
      </c>
      <c r="O18" s="628" t="str">
        <f t="shared" si="3"/>
        <v>x</v>
      </c>
      <c r="P18" s="627" t="e">
        <f t="array" aca="1" ref="P18" ca="1">[1]!LLReg(L18:O18,$R$4:$U$7,$R$10:$U$10)</f>
        <v>#NAME?</v>
      </c>
      <c r="R18" t="s">
        <v>3408</v>
      </c>
      <c r="AC18" s="1151"/>
      <c r="AD18" s="1151" t="s">
        <v>2743</v>
      </c>
      <c r="AE18" s="1151" t="s">
        <v>1469</v>
      </c>
      <c r="AF18" s="1151" t="s">
        <v>188</v>
      </c>
      <c r="AG18" s="1151" t="s">
        <v>200</v>
      </c>
      <c r="AH18" s="1151" t="s">
        <v>103</v>
      </c>
      <c r="AI18" s="1151" t="s">
        <v>104</v>
      </c>
    </row>
    <row r="19" spans="1:35">
      <c r="A19" s="750">
        <v>16</v>
      </c>
      <c r="B19" s="42">
        <v>23</v>
      </c>
      <c r="C19" s="42">
        <v>21</v>
      </c>
      <c r="D19" s="838">
        <v>34</v>
      </c>
      <c r="L19" s="624">
        <f t="shared" si="0"/>
        <v>16</v>
      </c>
      <c r="M19" s="1275">
        <f t="shared" si="1"/>
        <v>23</v>
      </c>
      <c r="N19" s="1275">
        <f t="shared" si="2"/>
        <v>21</v>
      </c>
      <c r="O19" s="628">
        <f t="shared" si="3"/>
        <v>34</v>
      </c>
      <c r="P19" s="627" t="e">
        <f t="array" aca="1" ref="P19" ca="1">[1]!LLReg(L19:O19,$R$4:$U$7,$R$10:$U$10)</f>
        <v>#NAME?</v>
      </c>
      <c r="R19" s="1119">
        <f>AVERAGE(L4:L23)</f>
        <v>16.133333333333333</v>
      </c>
      <c r="S19" s="1017">
        <f>AVERAGE(M4:M23)</f>
        <v>34.411764705882355</v>
      </c>
      <c r="T19" s="1017">
        <f>AVERAGE(N4:N23)</f>
        <v>21.0625</v>
      </c>
      <c r="U19" s="1120">
        <f>AVERAGE(O4:O23)</f>
        <v>47.722222222222221</v>
      </c>
      <c r="AC19" t="str">
        <f t="array" ref="AC19:AC22">Y5:Y8</f>
        <v>Intercept</v>
      </c>
      <c r="AD19">
        <f>Z5</f>
        <v>27.117920276590311</v>
      </c>
    </row>
    <row r="20" spans="1:35">
      <c r="A20" s="750">
        <v>27</v>
      </c>
      <c r="B20" s="42">
        <v>26</v>
      </c>
      <c r="C20" s="42">
        <v>23</v>
      </c>
      <c r="D20" s="838">
        <v>59</v>
      </c>
      <c r="L20" s="624">
        <f t="shared" si="0"/>
        <v>27</v>
      </c>
      <c r="M20" s="1275">
        <f t="shared" si="1"/>
        <v>26</v>
      </c>
      <c r="N20" s="1275">
        <f t="shared" si="2"/>
        <v>23</v>
      </c>
      <c r="O20" s="628">
        <f t="shared" si="3"/>
        <v>59</v>
      </c>
      <c r="P20" s="627" t="e">
        <f t="array" aca="1" ref="P20" ca="1">[1]!LLReg(L20:O20,$R$4:$U$7,$R$10:$U$10)</f>
        <v>#NAME?</v>
      </c>
      <c r="AC20" t="str">
        <v>read</v>
      </c>
      <c r="AD20">
        <f t="array" ref="AD20:AD22">Z6:Z8</f>
        <v>0.53194171155368186</v>
      </c>
      <c r="AE20" t="e">
        <f t="array" aca="1" ref="AE20:AE22" ca="1">SQRT([1]!DIAG(Y12:AA14))*AD9</f>
        <v>#NAME?</v>
      </c>
      <c r="AF20" t="e">
        <f ca="1">AD20/AE20</f>
        <v>#NAME?</v>
      </c>
      <c r="AG20" t="e">
        <f ca="1">TDIST(ABS(AF20),$AD$15,2)</f>
        <v>#NAME?</v>
      </c>
      <c r="AH20" t="e">
        <f ca="1">AD20-TINV(AH$12,$AD$15)*AE20</f>
        <v>#NAME?</v>
      </c>
      <c r="AI20" t="e">
        <f ca="1">AD20+TINV(AH$12,$AD$15)*AE20</f>
        <v>#NAME?</v>
      </c>
    </row>
    <row r="21" spans="1:35">
      <c r="A21" s="750">
        <v>17</v>
      </c>
      <c r="B21" s="42" t="s">
        <v>28</v>
      </c>
      <c r="C21" s="42" t="s">
        <v>28</v>
      </c>
      <c r="D21" s="838">
        <v>35</v>
      </c>
      <c r="L21" s="624">
        <f t="shared" si="0"/>
        <v>17</v>
      </c>
      <c r="M21" s="1275" t="str">
        <f t="shared" si="1"/>
        <v>x</v>
      </c>
      <c r="N21" s="1275" t="str">
        <f t="shared" si="2"/>
        <v>x</v>
      </c>
      <c r="O21" s="628">
        <f t="shared" si="3"/>
        <v>35</v>
      </c>
      <c r="P21" s="627" t="e">
        <f t="array" aca="1" ref="P21" ca="1">[1]!LLReg(L21:O21,$R$4:$U$7,$R$10:$U$10)</f>
        <v>#NAME?</v>
      </c>
      <c r="AC21" t="str">
        <v>science</v>
      </c>
      <c r="AD21">
        <v>0.47270314270332053</v>
      </c>
      <c r="AE21" t="e">
        <f ca="1"/>
        <v>#NAME?</v>
      </c>
      <c r="AF21" t="e">
        <f ca="1">AD21/AE21</f>
        <v>#NAME?</v>
      </c>
      <c r="AG21" t="e">
        <f ca="1">TDIST(ABS(AF21),$AD$15,2)</f>
        <v>#NAME?</v>
      </c>
      <c r="AH21" t="e">
        <f ca="1">AD21-TINV(AH$12,$AD$15)*AE21</f>
        <v>#NAME?</v>
      </c>
      <c r="AI21" t="e">
        <f ca="1">AD21+TINV(AH$12,$AD$15)*AE21</f>
        <v>#NAME?</v>
      </c>
    </row>
    <row r="22" spans="1:35">
      <c r="A22" s="750">
        <v>13</v>
      </c>
      <c r="B22" s="42">
        <v>21</v>
      </c>
      <c r="C22" s="42">
        <v>20</v>
      </c>
      <c r="D22" s="838">
        <v>48</v>
      </c>
      <c r="L22" s="624">
        <f t="shared" si="0"/>
        <v>13</v>
      </c>
      <c r="M22" s="1275">
        <f t="shared" si="1"/>
        <v>21</v>
      </c>
      <c r="N22" s="1275">
        <f t="shared" si="2"/>
        <v>20</v>
      </c>
      <c r="O22" s="628">
        <f t="shared" si="3"/>
        <v>48</v>
      </c>
      <c r="P22" s="627" t="e">
        <f t="array" aca="1" ref="P22" ca="1">[1]!LLReg(L22:O22,$R$4:$U$7,$R$10:$U$10)</f>
        <v>#NAME?</v>
      </c>
      <c r="AC22" s="1078" t="str">
        <v>math</v>
      </c>
      <c r="AD22" s="1078">
        <v>-0.19745362244914699</v>
      </c>
      <c r="AE22" s="1078" t="e">
        <f ca="1"/>
        <v>#NAME?</v>
      </c>
      <c r="AF22" s="1078" t="e">
        <f ca="1">AD22/AE22</f>
        <v>#NAME?</v>
      </c>
      <c r="AG22" s="1078" t="e">
        <f ca="1">TDIST(ABS(AF22),$AD$15,2)</f>
        <v>#NAME?</v>
      </c>
      <c r="AH22" s="1078" t="e">
        <f ca="1">AD22-TINV(AH$12,$AD$15)*AE22</f>
        <v>#NAME?</v>
      </c>
      <c r="AI22" s="1078" t="e">
        <f ca="1">AD22+TINV(AH$12,$AD$15)*AE22</f>
        <v>#NAME?</v>
      </c>
    </row>
    <row r="23" spans="1:35">
      <c r="A23" s="1244">
        <v>11</v>
      </c>
      <c r="B23" s="1247">
        <v>51</v>
      </c>
      <c r="C23" s="1247">
        <v>18</v>
      </c>
      <c r="D23" s="1245">
        <v>54</v>
      </c>
      <c r="L23" s="1133">
        <f t="shared" si="0"/>
        <v>11</v>
      </c>
      <c r="M23" s="1259">
        <f t="shared" si="1"/>
        <v>51</v>
      </c>
      <c r="N23" s="1259">
        <f t="shared" si="2"/>
        <v>18</v>
      </c>
      <c r="O23" s="1134">
        <f t="shared" si="3"/>
        <v>54</v>
      </c>
      <c r="P23" s="544" t="e">
        <f t="array" aca="1" ref="P23" ca="1">[1]!LLReg(L23:O23,$R$4:$U$7,$R$10:$U$10)</f>
        <v>#NAME?</v>
      </c>
    </row>
    <row r="24" spans="1:35">
      <c r="P24" t="e">
        <f ca="1">SUM(P4:P23)</f>
        <v>#NAME?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sheetPr codeName="Sheet318"/>
  <dimension ref="A1:M24"/>
  <sheetViews>
    <sheetView workbookViewId="0"/>
  </sheetViews>
  <sheetFormatPr defaultRowHeight="14.4"/>
  <sheetData>
    <row r="1" spans="1:13">
      <c r="A1" s="1" t="s">
        <v>3400</v>
      </c>
    </row>
    <row r="3" spans="1:13">
      <c r="A3" s="1270" t="s">
        <v>3352</v>
      </c>
      <c r="B3" s="1270" t="s">
        <v>3333</v>
      </c>
      <c r="C3" s="1270" t="s">
        <v>3332</v>
      </c>
      <c r="D3" s="1270" t="s">
        <v>3353</v>
      </c>
      <c r="E3" s="1269" t="s">
        <v>3409</v>
      </c>
      <c r="G3" t="s">
        <v>2652</v>
      </c>
      <c r="L3" s="1240" t="s">
        <v>3397</v>
      </c>
      <c r="M3" t="s">
        <v>3401</v>
      </c>
    </row>
    <row r="4" spans="1:13">
      <c r="A4" s="1242">
        <v>12</v>
      </c>
      <c r="B4" s="1248">
        <v>27</v>
      </c>
      <c r="C4" s="1248">
        <v>19</v>
      </c>
      <c r="D4" s="1243">
        <v>44</v>
      </c>
      <c r="E4" s="1235" t="e">
        <f t="array" aca="1" ref="E4" ca="1">[1]!LLReg(A4:D4,$G$4:$J$7,$G$10:$J$10)</f>
        <v>#NAME?</v>
      </c>
      <c r="G4" s="1236" t="e">
        <f ca="1">L4</f>
        <v>#NAME?</v>
      </c>
      <c r="H4" s="1234" t="e">
        <f ca="1">G5</f>
        <v>#NAME?</v>
      </c>
      <c r="I4" s="1234" t="e">
        <f ca="1">G6</f>
        <v>#NAME?</v>
      </c>
      <c r="J4" s="1237" t="e">
        <f ca="1">G7</f>
        <v>#NAME?</v>
      </c>
      <c r="L4" s="1235" t="e">
        <f ca="1">G13</f>
        <v>#NAME?</v>
      </c>
      <c r="M4" s="1235" t="e">
        <f ca="1">L4</f>
        <v>#NAME?</v>
      </c>
    </row>
    <row r="5" spans="1:13">
      <c r="A5" s="750">
        <v>11</v>
      </c>
      <c r="B5" s="42">
        <v>30</v>
      </c>
      <c r="C5" s="42">
        <v>13</v>
      </c>
      <c r="D5" s="838">
        <v>43</v>
      </c>
      <c r="E5" s="627" t="e">
        <f t="array" aca="1" ref="E5" ca="1">[1]!LLReg(A5:D5,$G$4:$J$7,$G$10:$J$10)</f>
        <v>#NAME?</v>
      </c>
      <c r="G5" s="656" t="e">
        <f ca="1">L5</f>
        <v>#NAME?</v>
      </c>
      <c r="H5" s="8" t="e">
        <f ca="1">L8</f>
        <v>#NAME?</v>
      </c>
      <c r="I5" s="8" t="e">
        <f ca="1">H6</f>
        <v>#NAME?</v>
      </c>
      <c r="J5" s="657" t="e">
        <f ca="1">H7</f>
        <v>#NAME?</v>
      </c>
      <c r="L5" s="627" t="e">
        <f ca="1">G14</f>
        <v>#NAME?</v>
      </c>
      <c r="M5" s="627" t="e">
        <f ca="1">SQRT(L4*L8)-ABS(L5)</f>
        <v>#NAME?</v>
      </c>
    </row>
    <row r="6" spans="1:13">
      <c r="A6" s="750">
        <v>16</v>
      </c>
      <c r="B6" s="42">
        <v>56</v>
      </c>
      <c r="C6" s="42">
        <v>23</v>
      </c>
      <c r="D6" s="838">
        <v>60</v>
      </c>
      <c r="E6" s="627" t="e">
        <f t="array" aca="1" ref="E6" ca="1">[1]!LLReg(A6:D6,$G$4:$J$7,$G$10:$J$10)</f>
        <v>#NAME?</v>
      </c>
      <c r="G6" s="656" t="e">
        <f ca="1">L6</f>
        <v>#NAME?</v>
      </c>
      <c r="H6" s="8" t="e">
        <f ca="1">L9</f>
        <v>#NAME?</v>
      </c>
      <c r="I6" s="8" t="e">
        <f ca="1">L11</f>
        <v>#NAME?</v>
      </c>
      <c r="J6" s="657" t="e">
        <f ca="1">I7</f>
        <v>#NAME?</v>
      </c>
      <c r="L6" s="627" t="e">
        <f ca="1">G15</f>
        <v>#NAME?</v>
      </c>
      <c r="M6" s="627" t="e">
        <f ca="1">SQRT(L4*L11)-ABS(L6)</f>
        <v>#NAME?</v>
      </c>
    </row>
    <row r="7" spans="1:13">
      <c r="A7" s="750">
        <v>15</v>
      </c>
      <c r="B7" s="42">
        <v>37</v>
      </c>
      <c r="C7" s="42">
        <v>19</v>
      </c>
      <c r="D7" s="838">
        <v>52</v>
      </c>
      <c r="E7" s="627" t="e">
        <f t="array" aca="1" ref="E7" ca="1">[1]!LLReg(A7:D7,$G$4:$J$7,$G$10:$J$10)</f>
        <v>#NAME?</v>
      </c>
      <c r="G7" s="533" t="e">
        <f ca="1">L7</f>
        <v>#NAME?</v>
      </c>
      <c r="H7" s="1078" t="e">
        <f ca="1">L10</f>
        <v>#NAME?</v>
      </c>
      <c r="I7" s="1078" t="e">
        <f ca="1">L12</f>
        <v>#NAME?</v>
      </c>
      <c r="J7" s="541" t="e">
        <f ca="1">L13</f>
        <v>#NAME?</v>
      </c>
      <c r="L7" s="544" t="e">
        <f ca="1">G16</f>
        <v>#NAME?</v>
      </c>
      <c r="M7" s="544" t="e">
        <f ca="1">SQRT(L4*L13)-ABS(L7)</f>
        <v>#NAME?</v>
      </c>
    </row>
    <row r="8" spans="1:13">
      <c r="A8" s="750">
        <v>10</v>
      </c>
      <c r="B8" s="42">
        <v>31</v>
      </c>
      <c r="C8" s="42">
        <v>21</v>
      </c>
      <c r="D8" s="838">
        <v>44</v>
      </c>
      <c r="E8" s="627" t="e">
        <f t="array" aca="1" ref="E8" ca="1">[1]!LLReg(A8:D8,$G$4:$J$7,$G$10:$J$10)</f>
        <v>#NAME?</v>
      </c>
      <c r="L8" s="1235" t="e">
        <f ca="1">H14</f>
        <v>#NAME?</v>
      </c>
      <c r="M8" s="1235" t="e">
        <f ca="1">L8</f>
        <v>#NAME?</v>
      </c>
    </row>
    <row r="9" spans="1:13">
      <c r="A9" s="750">
        <v>18</v>
      </c>
      <c r="B9" s="42">
        <v>40</v>
      </c>
      <c r="C9" s="42">
        <v>22</v>
      </c>
      <c r="D9" s="838">
        <v>43</v>
      </c>
      <c r="E9" s="627" t="e">
        <f t="array" aca="1" ref="E9" ca="1">[1]!LLReg(A9:D9,$G$4:$J$7,$G$10:$J$10)</f>
        <v>#NAME?</v>
      </c>
      <c r="G9" t="s">
        <v>3395</v>
      </c>
      <c r="L9" s="627" t="e">
        <f ca="1">H15</f>
        <v>#NAME?</v>
      </c>
      <c r="M9" s="627" t="e">
        <f ca="1">SQRT(L8*L11)-ABS(L9)</f>
        <v>#NAME?</v>
      </c>
    </row>
    <row r="10" spans="1:13">
      <c r="A10" s="750">
        <v>15</v>
      </c>
      <c r="B10" s="42">
        <v>50</v>
      </c>
      <c r="C10" s="42">
        <v>28</v>
      </c>
      <c r="D10" s="838">
        <v>56</v>
      </c>
      <c r="E10" s="627" t="e">
        <f t="array" aca="1" ref="E10" ca="1">[1]!LLReg(A10:D10,$G$4:$J$7,$G$10:$J$10)</f>
        <v>#NAME?</v>
      </c>
      <c r="G10" s="848">
        <f>L14</f>
        <v>15.9</v>
      </c>
      <c r="H10" s="821">
        <f>L15</f>
        <v>32.4</v>
      </c>
      <c r="I10" s="821">
        <f>L16</f>
        <v>21.1</v>
      </c>
      <c r="J10" s="849">
        <f>L17</f>
        <v>47</v>
      </c>
      <c r="L10" s="544" t="e">
        <f ca="1">H16</f>
        <v>#NAME?</v>
      </c>
      <c r="M10" s="544" t="e">
        <f ca="1">SQRT(L8*L13)-ABS(L10)</f>
        <v>#NAME?</v>
      </c>
    </row>
    <row r="11" spans="1:13">
      <c r="A11" s="750">
        <v>21</v>
      </c>
      <c r="B11" s="42">
        <v>21</v>
      </c>
      <c r="C11" s="42">
        <v>23</v>
      </c>
      <c r="D11" s="838">
        <v>46</v>
      </c>
      <c r="E11" s="627" t="e">
        <f t="array" aca="1" ref="E11" ca="1">[1]!LLReg(A11:D11,$G$4:$J$7,$G$10:$J$10)</f>
        <v>#NAME?</v>
      </c>
      <c r="L11" s="627" t="e">
        <f ca="1">I15</f>
        <v>#NAME?</v>
      </c>
      <c r="M11" s="1235" t="e">
        <f ca="1">L11</f>
        <v>#NAME?</v>
      </c>
    </row>
    <row r="12" spans="1:13">
      <c r="A12" s="750">
        <v>20</v>
      </c>
      <c r="B12" s="42">
        <v>39</v>
      </c>
      <c r="C12" s="42">
        <v>25</v>
      </c>
      <c r="D12" s="838">
        <v>51</v>
      </c>
      <c r="E12" s="627" t="e">
        <f t="array" aca="1" ref="E12" ca="1">[1]!LLReg(A12:D12,$G$4:$J$7,$G$10:$J$10)</f>
        <v>#NAME?</v>
      </c>
      <c r="G12" t="s">
        <v>3394</v>
      </c>
      <c r="L12" s="544" t="e">
        <f ca="1">I16</f>
        <v>#NAME?</v>
      </c>
      <c r="M12" s="544" t="e">
        <f ca="1">SQRT(L11*L13)-ABS(L12)</f>
        <v>#NAME?</v>
      </c>
    </row>
    <row r="13" spans="1:13">
      <c r="A13" s="750">
        <v>18</v>
      </c>
      <c r="B13" s="42">
        <v>36</v>
      </c>
      <c r="C13" s="42">
        <v>23</v>
      </c>
      <c r="D13" s="838">
        <v>56</v>
      </c>
      <c r="E13" s="627" t="e">
        <f t="array" aca="1" ref="E13" ca="1">[1]!LLReg(A13:D13,$G$4:$J$7,$G$10:$J$10)</f>
        <v>#NAME?</v>
      </c>
      <c r="G13" s="1236" t="e">
        <f t="array" aca="1" ref="G13:J16" ca="1">[1]!COV(A4:D23,FALSE)</f>
        <v>#NAME?</v>
      </c>
      <c r="H13" s="1234" t="e">
        <f ca="1"/>
        <v>#NAME?</v>
      </c>
      <c r="I13" s="1234" t="e">
        <f ca="1"/>
        <v>#NAME?</v>
      </c>
      <c r="J13" s="1237" t="e">
        <f ca="1"/>
        <v>#NAME?</v>
      </c>
      <c r="L13" s="544" t="e">
        <f ca="1">J16</f>
        <v>#NAME?</v>
      </c>
      <c r="M13" s="541" t="e">
        <f ca="1">L13</f>
        <v>#NAME?</v>
      </c>
    </row>
    <row r="14" spans="1:13">
      <c r="A14" s="750">
        <v>13</v>
      </c>
      <c r="B14" s="42">
        <v>27</v>
      </c>
      <c r="C14" s="42">
        <v>21</v>
      </c>
      <c r="D14" s="838">
        <v>39</v>
      </c>
      <c r="E14" s="627" t="e">
        <f t="array" aca="1" ref="E14" ca="1">[1]!LLReg(A14:D14,$G$4:$J$7,$G$10:$J$10)</f>
        <v>#NAME?</v>
      </c>
      <c r="G14" s="656" t="e">
        <f ca="1"/>
        <v>#NAME?</v>
      </c>
      <c r="H14" s="8" t="e">
        <f ca="1"/>
        <v>#NAME?</v>
      </c>
      <c r="I14" s="8" t="e">
        <f ca="1"/>
        <v>#NAME?</v>
      </c>
      <c r="J14" s="657" t="e">
        <f ca="1"/>
        <v>#NAME?</v>
      </c>
      <c r="L14" s="1235">
        <f t="array" ref="L14:L17">TRANSPOSE(G19:J19)</f>
        <v>15.9</v>
      </c>
    </row>
    <row r="15" spans="1:13">
      <c r="A15" s="750">
        <v>14</v>
      </c>
      <c r="B15" s="42">
        <v>32</v>
      </c>
      <c r="C15" s="42">
        <v>20</v>
      </c>
      <c r="D15" s="838">
        <v>46</v>
      </c>
      <c r="E15" s="627" t="e">
        <f t="array" aca="1" ref="E15" ca="1">[1]!LLReg(A15:D15,$G$4:$J$7,$G$10:$J$10)</f>
        <v>#NAME?</v>
      </c>
      <c r="G15" s="656" t="e">
        <f ca="1"/>
        <v>#NAME?</v>
      </c>
      <c r="H15" s="8" t="e">
        <f ca="1"/>
        <v>#NAME?</v>
      </c>
      <c r="I15" s="8" t="e">
        <f ca="1"/>
        <v>#NAME?</v>
      </c>
      <c r="J15" s="657" t="e">
        <f ca="1"/>
        <v>#NAME?</v>
      </c>
      <c r="L15" s="627">
        <v>32.4</v>
      </c>
    </row>
    <row r="16" spans="1:13">
      <c r="A16" s="750">
        <v>22</v>
      </c>
      <c r="B16" s="42">
        <v>40</v>
      </c>
      <c r="C16" s="42">
        <v>23</v>
      </c>
      <c r="D16" s="838">
        <v>49</v>
      </c>
      <c r="E16" s="627" t="e">
        <f t="array" aca="1" ref="E16" ca="1">[1]!LLReg(A16:D16,$G$4:$J$7,$G$10:$J$10)</f>
        <v>#NAME?</v>
      </c>
      <c r="G16" s="533" t="e">
        <f ca="1"/>
        <v>#NAME?</v>
      </c>
      <c r="H16" s="1078" t="e">
        <f ca="1"/>
        <v>#NAME?</v>
      </c>
      <c r="I16" s="1078" t="e">
        <f ca="1"/>
        <v>#NAME?</v>
      </c>
      <c r="J16" s="541" t="e">
        <f ca="1"/>
        <v>#NAME?</v>
      </c>
      <c r="L16" s="627">
        <v>21.1</v>
      </c>
    </row>
    <row r="17" spans="1:12">
      <c r="A17" s="750">
        <v>16</v>
      </c>
      <c r="B17" s="42">
        <v>31</v>
      </c>
      <c r="C17" s="42">
        <v>20</v>
      </c>
      <c r="D17" s="838">
        <v>44</v>
      </c>
      <c r="E17" s="627" t="e">
        <f t="array" aca="1" ref="E17" ca="1">[1]!LLReg(A17:D17,$G$4:$J$7,$G$10:$J$10)</f>
        <v>#NAME?</v>
      </c>
      <c r="L17" s="544">
        <v>47</v>
      </c>
    </row>
    <row r="18" spans="1:12">
      <c r="A18" s="750">
        <v>13</v>
      </c>
      <c r="B18" s="42">
        <v>18</v>
      </c>
      <c r="C18" s="42">
        <v>21</v>
      </c>
      <c r="D18" s="838">
        <v>37</v>
      </c>
      <c r="E18" s="627" t="e">
        <f t="array" aca="1" ref="E18" ca="1">[1]!LLReg(A18:D18,$G$4:$J$7,$G$10:$J$10)</f>
        <v>#NAME?</v>
      </c>
      <c r="G18" t="s">
        <v>3396</v>
      </c>
    </row>
    <row r="19" spans="1:12">
      <c r="A19" s="750">
        <v>16</v>
      </c>
      <c r="B19" s="42">
        <v>23</v>
      </c>
      <c r="C19" s="42">
        <v>21</v>
      </c>
      <c r="D19" s="838">
        <v>34</v>
      </c>
      <c r="E19" s="627" t="e">
        <f t="array" aca="1" ref="E19" ca="1">[1]!LLReg(A19:D19,$G$4:$J$7,$G$10:$J$10)</f>
        <v>#NAME?</v>
      </c>
      <c r="G19" s="848">
        <f>AVERAGE(A4:A23)</f>
        <v>15.9</v>
      </c>
      <c r="H19" s="821">
        <f>AVERAGE(B4:B23)</f>
        <v>32.4</v>
      </c>
      <c r="I19" s="821">
        <f>AVERAGE(C4:C23)</f>
        <v>21.1</v>
      </c>
      <c r="J19" s="849">
        <f>AVERAGE(D4:D23)</f>
        <v>47</v>
      </c>
    </row>
    <row r="20" spans="1:12">
      <c r="A20" s="750">
        <v>27</v>
      </c>
      <c r="B20" s="42">
        <v>26</v>
      </c>
      <c r="C20" s="42">
        <v>23</v>
      </c>
      <c r="D20" s="838">
        <v>59</v>
      </c>
      <c r="E20" s="627" t="e">
        <f t="array" aca="1" ref="E20" ca="1">[1]!LLReg(A20:D20,$G$4:$J$7,$G$10:$J$10)</f>
        <v>#NAME?</v>
      </c>
    </row>
    <row r="21" spans="1:12">
      <c r="A21" s="750">
        <v>17</v>
      </c>
      <c r="B21" s="42">
        <v>12</v>
      </c>
      <c r="C21" s="42">
        <v>19</v>
      </c>
      <c r="D21" s="838">
        <v>35</v>
      </c>
      <c r="E21" s="627" t="e">
        <f t="array" aca="1" ref="E21" ca="1">[1]!LLReg(A21:D21,$G$4:$J$7,$G$10:$J$10)</f>
        <v>#NAME?</v>
      </c>
      <c r="G21" t="s">
        <v>3405</v>
      </c>
    </row>
    <row r="22" spans="1:12">
      <c r="A22" s="750">
        <v>13</v>
      </c>
      <c r="B22" s="42">
        <v>21</v>
      </c>
      <c r="C22" s="42">
        <v>20</v>
      </c>
      <c r="D22" s="838">
        <v>48</v>
      </c>
      <c r="E22" s="627" t="e">
        <f t="array" aca="1" ref="E22" ca="1">[1]!LLReg(A22:D22,$G$4:$J$7,$G$10:$J$10)</f>
        <v>#NAME?</v>
      </c>
      <c r="G22" s="848">
        <f>COUNT(A4:A23)</f>
        <v>20</v>
      </c>
      <c r="H22" s="821">
        <f>COUNT(B4:B23)</f>
        <v>20</v>
      </c>
      <c r="I22" s="821">
        <f>COUNT(C4:C23)</f>
        <v>20</v>
      </c>
      <c r="J22" s="849">
        <f>COUNT(D4:D23)</f>
        <v>20</v>
      </c>
    </row>
    <row r="23" spans="1:12">
      <c r="A23" s="1244">
        <v>11</v>
      </c>
      <c r="B23" s="1247">
        <v>51</v>
      </c>
      <c r="C23" s="1247">
        <v>18</v>
      </c>
      <c r="D23" s="1245">
        <v>54</v>
      </c>
      <c r="E23" s="544" t="e">
        <f t="array" aca="1" ref="E23" ca="1">[1]!LLReg(A23:D23,$G$4:$J$7,$G$10:$J$10)</f>
        <v>#NAME?</v>
      </c>
    </row>
    <row r="24" spans="1:12">
      <c r="E24" t="e">
        <f ca="1">SUM(E4:E23)</f>
        <v>#NAME?</v>
      </c>
    </row>
  </sheetData>
  <pageMargins left="0.7" right="0.7" top="0.75" bottom="0.75" header="0.3" footer="0.3"/>
  <ignoredErrors>
    <ignoredError sqref="M12" formula="1"/>
  </ignoredErrors>
</worksheet>
</file>

<file path=xl/worksheets/sheet381.xml><?xml version="1.0" encoding="utf-8"?>
<worksheet xmlns="http://schemas.openxmlformats.org/spreadsheetml/2006/main" xmlns:r="http://schemas.openxmlformats.org/officeDocument/2006/relationships">
  <sheetPr codeName="Sheet312"/>
  <dimension ref="A1:AG31"/>
  <sheetViews>
    <sheetView topLeftCell="D2" workbookViewId="0">
      <selection activeCell="T7" sqref="T7"/>
    </sheetView>
  </sheetViews>
  <sheetFormatPr defaultRowHeight="14.4"/>
  <cols>
    <col min="19" max="19" width="18" customWidth="1"/>
    <col min="27" max="27" width="17" customWidth="1"/>
  </cols>
  <sheetData>
    <row r="1" spans="1:33">
      <c r="A1" s="1" t="s">
        <v>3402</v>
      </c>
    </row>
    <row r="3" spans="1:33">
      <c r="A3" s="1270" t="s">
        <v>3352</v>
      </c>
      <c r="B3" s="1270" t="s">
        <v>3333</v>
      </c>
      <c r="C3" s="1270" t="s">
        <v>3332</v>
      </c>
      <c r="D3" s="1270" t="s">
        <v>3353</v>
      </c>
      <c r="E3" s="1269" t="s">
        <v>3409</v>
      </c>
      <c r="G3" t="s">
        <v>2652</v>
      </c>
      <c r="L3" s="1270" t="s">
        <v>3397</v>
      </c>
      <c r="M3" t="s">
        <v>3401</v>
      </c>
      <c r="O3" t="s">
        <v>3403</v>
      </c>
      <c r="S3" t="s">
        <v>3415</v>
      </c>
      <c r="AA3" t="s">
        <v>3414</v>
      </c>
    </row>
    <row r="4" spans="1:33">
      <c r="A4" s="1242">
        <v>12</v>
      </c>
      <c r="B4" s="1248">
        <v>27</v>
      </c>
      <c r="C4" s="1248">
        <v>19</v>
      </c>
      <c r="D4" s="1243">
        <v>44</v>
      </c>
      <c r="E4" s="1235" t="e">
        <f ca="1">[1]!LLReg(A4:D4,$G$4:$J$7,$G$10:$J$10)</f>
        <v>#NAME?</v>
      </c>
      <c r="G4" s="1236">
        <f>L4</f>
        <v>17.089889071593699</v>
      </c>
      <c r="H4" s="1234">
        <f>G5</f>
        <v>-1.6098580530537256</v>
      </c>
      <c r="I4" s="1234">
        <f>G6</f>
        <v>6.3599764446213713</v>
      </c>
      <c r="J4" s="1237">
        <f>G7</f>
        <v>10.349924432711751</v>
      </c>
      <c r="L4" s="1235">
        <v>17.089889071593699</v>
      </c>
      <c r="M4" s="1235">
        <f>L4</f>
        <v>17.089889071593699</v>
      </c>
    </row>
    <row r="5" spans="1:33" ht="15" thickBot="1">
      <c r="A5" s="750">
        <v>11</v>
      </c>
      <c r="B5" s="42">
        <v>30</v>
      </c>
      <c r="C5" s="42">
        <v>13</v>
      </c>
      <c r="D5" s="838">
        <v>43</v>
      </c>
      <c r="E5" s="627" t="e">
        <f ca="1">[1]!LLReg(A5:D5,$G$4:$J$7,$G$10:$J$10)</f>
        <v>#NAME?</v>
      </c>
      <c r="G5" s="656">
        <f>L5</f>
        <v>-1.6098580530537256</v>
      </c>
      <c r="H5" s="8">
        <f>L8</f>
        <v>124.33709405134971</v>
      </c>
      <c r="I5" s="8">
        <f>H6</f>
        <v>10.509684350937441</v>
      </c>
      <c r="J5" s="657">
        <f>H7</f>
        <v>58.698291193444597</v>
      </c>
      <c r="L5" s="627">
        <v>-1.6098580530537256</v>
      </c>
      <c r="M5" s="627">
        <f>SQRT(L4*L8)-ABS(L5)</f>
        <v>44.486857066593132</v>
      </c>
      <c r="P5" t="s">
        <v>801</v>
      </c>
      <c r="Q5" s="1235">
        <f>-MMULT(G10:J10,Q6:Q9)</f>
        <v>21.629184964866834</v>
      </c>
      <c r="S5" s="1059" t="s">
        <v>2750</v>
      </c>
      <c r="T5" s="1059"/>
      <c r="AA5" s="1059" t="s">
        <v>2750</v>
      </c>
      <c r="AB5" s="1059"/>
    </row>
    <row r="6" spans="1:33" ht="15" thickTop="1">
      <c r="A6" s="750">
        <v>16</v>
      </c>
      <c r="B6" s="42">
        <v>56</v>
      </c>
      <c r="C6" s="42">
        <v>23</v>
      </c>
      <c r="D6" s="838">
        <v>60</v>
      </c>
      <c r="E6" s="627" t="e">
        <f ca="1">[1]!LLReg(A6:D6,$G$4:$J$7,$G$10:$J$10)</f>
        <v>#NAME?</v>
      </c>
      <c r="G6" s="656">
        <f>L6</f>
        <v>6.3599764446213713</v>
      </c>
      <c r="H6" s="8">
        <f>L9</f>
        <v>10.509684350937441</v>
      </c>
      <c r="I6" s="8">
        <f>L11</f>
        <v>8.6899329067307782</v>
      </c>
      <c r="J6" s="657">
        <f>I7</f>
        <v>8.9497550915703616</v>
      </c>
      <c r="L6" s="627">
        <v>6.3599764446213713</v>
      </c>
      <c r="M6" s="627">
        <f>SQRT(L4*L11)-ABS(L6)</f>
        <v>5.826491026127516</v>
      </c>
      <c r="P6" t="str">
        <f t="array" ref="P6:P8">TRANSPOSE(A3:C3)</f>
        <v>read</v>
      </c>
      <c r="Q6" s="627">
        <f t="array" ref="Q6:Q8">MMULT(MINVERSE(G4:I6),J4:J6)</f>
        <v>0.66801415090768601</v>
      </c>
      <c r="S6" t="s">
        <v>693</v>
      </c>
      <c r="T6" t="e">
        <f ca="1">SQRT(T7)</f>
        <v>#NAME?</v>
      </c>
      <c r="AA6" t="s">
        <v>693</v>
      </c>
      <c r="AB6" t="e">
        <f ca="1">SQRT(AB7)</f>
        <v>#NAME?</v>
      </c>
    </row>
    <row r="7" spans="1:33">
      <c r="A7" s="750">
        <v>15</v>
      </c>
      <c r="B7" s="42">
        <v>37</v>
      </c>
      <c r="C7" s="42">
        <v>19</v>
      </c>
      <c r="D7" s="838">
        <v>52</v>
      </c>
      <c r="E7" s="627" t="e">
        <f ca="1">[1]!LLReg(A7:D7,$G$4:$J$7,$G$10:$J$10)</f>
        <v>#NAME?</v>
      </c>
      <c r="G7" s="533">
        <f>L7</f>
        <v>10.349924432711751</v>
      </c>
      <c r="H7" s="1078">
        <f>L10</f>
        <v>58.698291193444597</v>
      </c>
      <c r="I7" s="1078">
        <f>L12</f>
        <v>8.9497550915703616</v>
      </c>
      <c r="J7" s="541">
        <f>L13</f>
        <v>55.398851433720949</v>
      </c>
      <c r="L7" s="544">
        <v>10.349924432711751</v>
      </c>
      <c r="M7" s="544">
        <f>SQRT(L4*L13)-ABS(L7)</f>
        <v>20.419544618540833</v>
      </c>
      <c r="P7" t="str">
        <v>science</v>
      </c>
      <c r="Q7" s="627">
        <v>0.48454428261504684</v>
      </c>
      <c r="S7" t="s">
        <v>686</v>
      </c>
      <c r="T7" t="e">
        <f ca="1">SUMPRODUCT(J13:J15,Q6:Q8)/J16</f>
        <v>#NAME?</v>
      </c>
      <c r="AA7" t="s">
        <v>686</v>
      </c>
      <c r="AB7" t="e">
        <f ca="1">AC14/AC16</f>
        <v>#NAME?</v>
      </c>
    </row>
    <row r="8" spans="1:33">
      <c r="A8" s="750">
        <v>10</v>
      </c>
      <c r="B8" s="42">
        <v>31</v>
      </c>
      <c r="C8" s="42">
        <v>21</v>
      </c>
      <c r="D8" s="838">
        <v>44</v>
      </c>
      <c r="E8" s="627" t="e">
        <f ca="1">[1]!LLReg(A8:D8,$G$4:$J$7,$G$10:$J$10)</f>
        <v>#NAME?</v>
      </c>
      <c r="L8" s="1235">
        <v>124.33709405134971</v>
      </c>
      <c r="M8" s="1235">
        <f>L8</f>
        <v>124.33709405134971</v>
      </c>
      <c r="P8" t="str">
        <v>math</v>
      </c>
      <c r="Q8" s="544">
        <v>-4.5018372570957865E-2</v>
      </c>
      <c r="S8" t="s">
        <v>694</v>
      </c>
      <c r="T8" t="e">
        <f ca="1">1-(1-T7)*(T10-1)/(T10-T14-1)</f>
        <v>#NAME?</v>
      </c>
      <c r="AA8" t="s">
        <v>694</v>
      </c>
      <c r="AB8" t="e">
        <f ca="1">1-(1-AB7)*(AB10-1)/(AB10-AB14-1)</f>
        <v>#NAME?</v>
      </c>
    </row>
    <row r="9" spans="1:33">
      <c r="A9" s="750">
        <v>18</v>
      </c>
      <c r="B9" s="42">
        <v>40</v>
      </c>
      <c r="C9" s="42">
        <v>22</v>
      </c>
      <c r="D9" s="838">
        <v>43</v>
      </c>
      <c r="E9" s="627" t="e">
        <f ca="1">[1]!LLReg(A9:D9,$G$4:$J$7,$G$10:$J$10)</f>
        <v>#NAME?</v>
      </c>
      <c r="G9" t="s">
        <v>3395</v>
      </c>
      <c r="L9" s="627">
        <v>10.509684350937441</v>
      </c>
      <c r="M9" s="627">
        <f>SQRT(L8*L11)-ABS(L9)</f>
        <v>22.360986544620857</v>
      </c>
      <c r="Q9">
        <v>-1</v>
      </c>
      <c r="S9" t="s">
        <v>77</v>
      </c>
      <c r="T9" t="e">
        <f ca="1">SQRT(V15)</f>
        <v>#NAME?</v>
      </c>
      <c r="AA9" t="s">
        <v>77</v>
      </c>
      <c r="AB9" t="e">
        <f ca="1">SQRT(AD15)</f>
        <v>#NAME?</v>
      </c>
    </row>
    <row r="10" spans="1:33" ht="15" customHeight="1">
      <c r="A10" s="750">
        <v>15</v>
      </c>
      <c r="B10" s="42">
        <v>50</v>
      </c>
      <c r="C10" s="42">
        <v>28</v>
      </c>
      <c r="D10" s="838">
        <v>56</v>
      </c>
      <c r="E10" s="627" t="e">
        <f ca="1">[1]!LLReg(A10:D10,$G$4:$J$7,$G$10:$J$10)</f>
        <v>#NAME?</v>
      </c>
      <c r="G10" s="848">
        <f>L14</f>
        <v>15.899921366693819</v>
      </c>
      <c r="H10" s="821">
        <f>L15</f>
        <v>32.399749616392405</v>
      </c>
      <c r="I10" s="821">
        <f>L16</f>
        <v>21.099928532015614</v>
      </c>
      <c r="J10" s="849">
        <f>L17</f>
        <v>46.999786427044917</v>
      </c>
      <c r="L10" s="544">
        <v>58.698291193444597</v>
      </c>
      <c r="M10" s="544">
        <f>SQRT(L8*L13)-ABS(L10)</f>
        <v>24.296480937402968</v>
      </c>
      <c r="S10" s="1078" t="s">
        <v>224</v>
      </c>
      <c r="T10" s="1078">
        <f>COUNTA(A4:A23)</f>
        <v>20</v>
      </c>
      <c r="AA10" s="1078" t="s">
        <v>224</v>
      </c>
      <c r="AB10" s="1078">
        <f>COUNT(D4:D23)</f>
        <v>20</v>
      </c>
    </row>
    <row r="11" spans="1:33" ht="15.75" customHeight="1">
      <c r="A11" s="750">
        <v>21</v>
      </c>
      <c r="B11" s="42">
        <v>21</v>
      </c>
      <c r="C11" s="42">
        <v>23</v>
      </c>
      <c r="D11" s="838">
        <v>46</v>
      </c>
      <c r="E11" s="627" t="e">
        <f ca="1">[1]!LLReg(A11:D11,$G$4:$J$7,$G$10:$J$10)</f>
        <v>#NAME?</v>
      </c>
      <c r="L11" s="627">
        <v>8.6899329067307782</v>
      </c>
      <c r="M11" s="1235">
        <f>L11</f>
        <v>8.6899329067307782</v>
      </c>
      <c r="O11" t="s">
        <v>3404</v>
      </c>
    </row>
    <row r="12" spans="1:33" ht="15" thickBot="1">
      <c r="A12" s="750">
        <v>20</v>
      </c>
      <c r="B12" s="42">
        <v>39</v>
      </c>
      <c r="C12" s="42">
        <v>25</v>
      </c>
      <c r="D12" s="838">
        <v>51</v>
      </c>
      <c r="E12" s="627" t="e">
        <f ca="1">[1]!LLReg(A12:D12,$G$4:$J$7,$G$10:$J$10)</f>
        <v>#NAME?</v>
      </c>
      <c r="G12" t="s">
        <v>3394</v>
      </c>
      <c r="L12" s="544">
        <v>8.9497550915703616</v>
      </c>
      <c r="M12" s="544">
        <f>SQRT(L11*L13)-ABS(L12)</f>
        <v>12.991354772540459</v>
      </c>
      <c r="O12" s="1236" t="e">
        <f t="array" aca="1" ref="O12:Q14" ca="1">MINVERSE(G13:I15)/(COUNTA(A4:A23)-1)</f>
        <v>#NAME?</v>
      </c>
      <c r="P12" s="1234" t="e">
        <f ca="1"/>
        <v>#NAME?</v>
      </c>
      <c r="Q12" s="1237" t="e">
        <f ca="1"/>
        <v>#NAME?</v>
      </c>
      <c r="S12" t="s">
        <v>695</v>
      </c>
      <c r="W12" s="1270" t="s">
        <v>116</v>
      </c>
      <c r="X12" s="1270">
        <v>0.05</v>
      </c>
      <c r="AA12" t="s">
        <v>695</v>
      </c>
      <c r="AE12" s="1270" t="s">
        <v>116</v>
      </c>
      <c r="AF12" s="1270">
        <v>0.05</v>
      </c>
    </row>
    <row r="13" spans="1:33" ht="15" thickTop="1">
      <c r="A13" s="750">
        <v>18</v>
      </c>
      <c r="B13" s="42">
        <v>36</v>
      </c>
      <c r="C13" s="42">
        <v>23</v>
      </c>
      <c r="D13" s="838">
        <v>56</v>
      </c>
      <c r="E13" s="627" t="e">
        <f ca="1">[1]!LLReg(A13:D13,$G$4:$J$7,$G$10:$J$10)</f>
        <v>#NAME?</v>
      </c>
      <c r="G13" s="1272" t="e">
        <f t="array" aca="1" ref="G13:J16" ca="1">[1]!COV(A4:D23,FALSE)</f>
        <v>#NAME?</v>
      </c>
      <c r="H13" s="1234" t="e">
        <f ca="1"/>
        <v>#NAME?</v>
      </c>
      <c r="I13" s="1234" t="e">
        <f ca="1"/>
        <v>#NAME?</v>
      </c>
      <c r="J13" s="1237" t="e">
        <f ca="1"/>
        <v>#NAME?</v>
      </c>
      <c r="L13" s="544">
        <v>55.398851433720949</v>
      </c>
      <c r="M13" s="541">
        <f>L13</f>
        <v>55.398851433720949</v>
      </c>
      <c r="O13" s="656" t="e">
        <f ca="1"/>
        <v>#NAME?</v>
      </c>
      <c r="P13" s="8" t="e">
        <f ca="1"/>
        <v>#NAME?</v>
      </c>
      <c r="Q13" s="657" t="e">
        <f ca="1"/>
        <v>#NAME?</v>
      </c>
      <c r="S13" s="1151"/>
      <c r="T13" s="1151" t="s">
        <v>186</v>
      </c>
      <c r="U13" s="1151" t="s">
        <v>578</v>
      </c>
      <c r="V13" s="1151" t="s">
        <v>641</v>
      </c>
      <c r="W13" s="1151" t="s">
        <v>388</v>
      </c>
      <c r="X13" s="1151" t="s">
        <v>200</v>
      </c>
      <c r="Y13" s="1151" t="s">
        <v>948</v>
      </c>
      <c r="AA13" s="1151"/>
      <c r="AB13" s="1151" t="s">
        <v>186</v>
      </c>
      <c r="AC13" s="1151" t="s">
        <v>578</v>
      </c>
      <c r="AD13" s="1151" t="s">
        <v>641</v>
      </c>
      <c r="AE13" s="1151" t="s">
        <v>388</v>
      </c>
      <c r="AF13" s="1151" t="s">
        <v>200</v>
      </c>
      <c r="AG13" s="1151" t="s">
        <v>948</v>
      </c>
    </row>
    <row r="14" spans="1:33">
      <c r="A14" s="750">
        <v>13</v>
      </c>
      <c r="B14" s="42">
        <v>27</v>
      </c>
      <c r="C14" s="42">
        <v>21</v>
      </c>
      <c r="D14" s="838">
        <v>39</v>
      </c>
      <c r="E14" s="627" t="e">
        <f ca="1">[1]!LLReg(A14:D14,$G$4:$J$7,$G$10:$J$10)</f>
        <v>#NAME?</v>
      </c>
      <c r="G14" s="656" t="e">
        <f ca="1"/>
        <v>#NAME?</v>
      </c>
      <c r="H14" s="8" t="e">
        <f ca="1"/>
        <v>#NAME?</v>
      </c>
      <c r="I14" s="8" t="e">
        <f ca="1"/>
        <v>#NAME?</v>
      </c>
      <c r="J14" s="657" t="e">
        <f ca="1"/>
        <v>#NAME?</v>
      </c>
      <c r="L14" s="1235">
        <v>15.899921366693819</v>
      </c>
      <c r="O14" s="533" t="e">
        <f ca="1"/>
        <v>#NAME?</v>
      </c>
      <c r="P14" s="1078" t="e">
        <f ca="1"/>
        <v>#NAME?</v>
      </c>
      <c r="Q14" s="541" t="e">
        <f ca="1"/>
        <v>#NAME?</v>
      </c>
      <c r="S14" t="s">
        <v>623</v>
      </c>
      <c r="T14">
        <f>COUNTA(A3:D3)-1</f>
        <v>3</v>
      </c>
      <c r="U14" t="e">
        <f ca="1">T7*U16</f>
        <v>#NAME?</v>
      </c>
      <c r="V14" t="e">
        <f ca="1">U14/T14</f>
        <v>#NAME?</v>
      </c>
      <c r="W14" t="e">
        <f ca="1">V14/V15</f>
        <v>#NAME?</v>
      </c>
      <c r="X14" t="e">
        <f ca="1">FDIST(W14,T14,T15)</f>
        <v>#NAME?</v>
      </c>
      <c r="Y14" s="1270" t="e">
        <f ca="1">IF(X14&lt;X12,"yes","no")</f>
        <v>#NAME?</v>
      </c>
      <c r="AA14" t="s">
        <v>623</v>
      </c>
      <c r="AB14">
        <f>COUNT(A4:C4)</f>
        <v>3</v>
      </c>
      <c r="AC14" t="e">
        <f ca="1">DEVSQ(MMULT([1]!DESIGN(A4:C23),AB19:AB22))</f>
        <v>#NAME?</v>
      </c>
      <c r="AD14" t="e">
        <f ca="1">AC14/AB14</f>
        <v>#NAME?</v>
      </c>
      <c r="AE14" t="e">
        <f ca="1">AD14/AD15</f>
        <v>#NAME?</v>
      </c>
      <c r="AF14" t="e">
        <f ca="1">FDIST(AE14,AB14,AB15)</f>
        <v>#NAME?</v>
      </c>
      <c r="AG14" s="1270" t="e">
        <f ca="1">IF(AF14&lt;AF12,"yes","no")</f>
        <v>#NAME?</v>
      </c>
    </row>
    <row r="15" spans="1:33">
      <c r="A15" s="750">
        <v>14</v>
      </c>
      <c r="B15" s="42">
        <v>32</v>
      </c>
      <c r="C15" s="42">
        <v>20</v>
      </c>
      <c r="D15" s="838">
        <v>46</v>
      </c>
      <c r="E15" s="627" t="e">
        <f ca="1">[1]!LLReg(A15:D15,$G$4:$J$7,$G$10:$J$10)</f>
        <v>#NAME?</v>
      </c>
      <c r="G15" s="656" t="e">
        <f ca="1"/>
        <v>#NAME?</v>
      </c>
      <c r="H15" s="8" t="e">
        <f ca="1"/>
        <v>#NAME?</v>
      </c>
      <c r="I15" s="8" t="e">
        <f ca="1"/>
        <v>#NAME?</v>
      </c>
      <c r="J15" s="657" t="e">
        <f ca="1"/>
        <v>#NAME?</v>
      </c>
      <c r="L15" s="627">
        <v>32.399749616392405</v>
      </c>
      <c r="S15" t="s">
        <v>696</v>
      </c>
      <c r="T15">
        <f>T16-T14</f>
        <v>16</v>
      </c>
      <c r="U15" t="e">
        <f ca="1">U16-U14</f>
        <v>#NAME?</v>
      </c>
      <c r="V15" t="e">
        <f ca="1">U15/T15</f>
        <v>#NAME?</v>
      </c>
      <c r="AA15" t="s">
        <v>696</v>
      </c>
      <c r="AB15">
        <f>AB16-AB14</f>
        <v>16</v>
      </c>
      <c r="AC15" t="e">
        <f ca="1">AC16-AC14</f>
        <v>#NAME?</v>
      </c>
      <c r="AD15" t="e">
        <f ca="1">AC15/AB15</f>
        <v>#NAME?</v>
      </c>
    </row>
    <row r="16" spans="1:33">
      <c r="A16" s="750">
        <v>22</v>
      </c>
      <c r="B16" s="42">
        <v>40</v>
      </c>
      <c r="C16" s="42">
        <v>23</v>
      </c>
      <c r="D16" s="838">
        <v>49</v>
      </c>
      <c r="E16" s="627" t="e">
        <f ca="1">[1]!LLReg(A16:D16,$G$4:$J$7,$G$10:$J$10)</f>
        <v>#NAME?</v>
      </c>
      <c r="G16" s="533" t="e">
        <f ca="1"/>
        <v>#NAME?</v>
      </c>
      <c r="H16" s="1078" t="e">
        <f ca="1"/>
        <v>#NAME?</v>
      </c>
      <c r="I16" s="1078" t="e">
        <f ca="1"/>
        <v>#NAME?</v>
      </c>
      <c r="J16" s="541" t="e">
        <f ca="1"/>
        <v>#NAME?</v>
      </c>
      <c r="L16" s="627">
        <v>21.099928532015614</v>
      </c>
      <c r="S16" s="1078" t="s">
        <v>12</v>
      </c>
      <c r="T16" s="1078">
        <f>T10-1</f>
        <v>19</v>
      </c>
      <c r="U16" s="1078">
        <f>DEVSQ(D4:D23)</f>
        <v>1108</v>
      </c>
      <c r="V16" s="1078"/>
      <c r="W16" s="1078"/>
      <c r="X16" s="1078"/>
      <c r="Y16" s="1078"/>
      <c r="AA16" s="1078" t="s">
        <v>12</v>
      </c>
      <c r="AB16" s="1078">
        <f>AB10-1</f>
        <v>19</v>
      </c>
      <c r="AC16" s="1078">
        <f>DEVSQ(D4:D23)</f>
        <v>1108</v>
      </c>
      <c r="AD16" s="1078"/>
      <c r="AE16" s="1078"/>
      <c r="AF16" s="1078"/>
      <c r="AG16" s="1078"/>
    </row>
    <row r="17" spans="1:33" ht="15" thickBot="1">
      <c r="A17" s="750">
        <v>16</v>
      </c>
      <c r="B17" s="42">
        <v>31</v>
      </c>
      <c r="C17" s="42">
        <v>20</v>
      </c>
      <c r="D17" s="838">
        <v>44</v>
      </c>
      <c r="E17" s="627" t="e">
        <f ca="1">[1]!LLReg(A17:D17,$G$4:$J$7,$G$10:$J$10)</f>
        <v>#NAME?</v>
      </c>
      <c r="L17" s="544">
        <v>46.999786427044917</v>
      </c>
    </row>
    <row r="18" spans="1:33" ht="15" customHeight="1" thickTop="1">
      <c r="A18" s="750">
        <v>13</v>
      </c>
      <c r="B18" s="42">
        <v>18</v>
      </c>
      <c r="C18" s="42">
        <v>21</v>
      </c>
      <c r="D18" s="838">
        <v>37</v>
      </c>
      <c r="E18" s="627" t="e">
        <f ca="1">[1]!LLReg(A18:D18,$G$4:$J$7,$G$10:$J$10)</f>
        <v>#NAME?</v>
      </c>
      <c r="G18" t="s">
        <v>3396</v>
      </c>
      <c r="O18" t="s">
        <v>3456</v>
      </c>
      <c r="S18" s="1151"/>
      <c r="T18" s="1151" t="s">
        <v>2743</v>
      </c>
      <c r="U18" s="1151" t="s">
        <v>1469</v>
      </c>
      <c r="V18" s="1151" t="s">
        <v>188</v>
      </c>
      <c r="W18" s="1151" t="s">
        <v>200</v>
      </c>
      <c r="X18" s="1151" t="s">
        <v>103</v>
      </c>
      <c r="Y18" s="1151" t="s">
        <v>104</v>
      </c>
      <c r="AA18" s="1151"/>
      <c r="AB18" s="1151" t="s">
        <v>2743</v>
      </c>
      <c r="AC18" s="1151" t="s">
        <v>1469</v>
      </c>
      <c r="AD18" s="1151" t="s">
        <v>188</v>
      </c>
      <c r="AE18" s="1151" t="s">
        <v>200</v>
      </c>
      <c r="AF18" s="1151" t="s">
        <v>103</v>
      </c>
      <c r="AG18" s="1151" t="s">
        <v>104</v>
      </c>
    </row>
    <row r="19" spans="1:33">
      <c r="A19" s="750">
        <v>16</v>
      </c>
      <c r="B19" s="42">
        <v>23</v>
      </c>
      <c r="C19" s="42">
        <v>21</v>
      </c>
      <c r="D19" s="838">
        <v>34</v>
      </c>
      <c r="E19" s="627" t="e">
        <f ca="1">[1]!LLReg(A19:D19,$G$4:$J$7,$G$10:$J$10)</f>
        <v>#NAME?</v>
      </c>
      <c r="G19" s="848">
        <f>AVERAGE(A4:A23)</f>
        <v>15.9</v>
      </c>
      <c r="H19" s="821">
        <f>AVERAGE(B4:B23)</f>
        <v>32.4</v>
      </c>
      <c r="I19" s="821">
        <f>AVERAGE(C4:C23)</f>
        <v>21.1</v>
      </c>
      <c r="J19" s="849">
        <f>AVERAGE(D4:D23)</f>
        <v>47</v>
      </c>
      <c r="O19" s="1236">
        <f t="array" ref="O19:Q21">MINVERSE(G4:I6)/(COUNTA(A4:A23))</f>
        <v>4.2881411159149717E-3</v>
      </c>
      <c r="P19" s="1234">
        <v>3.5732420570626703E-4</v>
      </c>
      <c r="Q19" s="1237">
        <v>-3.57055013362892E-3</v>
      </c>
      <c r="S19" t="s">
        <v>697</v>
      </c>
      <c r="T19">
        <f>Q5</f>
        <v>21.629184964866834</v>
      </c>
      <c r="AA19" t="s">
        <v>697</v>
      </c>
      <c r="AB19" t="e">
        <f t="array" aca="1" ref="AB19:AB22" ca="1">[1]!RegCoeff(A4:C23,D4:D23)</f>
        <v>#NAME?</v>
      </c>
      <c r="AC19" t="e">
        <f t="array" aca="1" ref="AC19:AC22" ca="1">[1]!RegCoeffSE(A4:C23,D4:D23)</f>
        <v>#NAME?</v>
      </c>
      <c r="AD19" t="e">
        <f ca="1">AB19/AC19</f>
        <v>#NAME?</v>
      </c>
      <c r="AE19" t="e">
        <f ca="1">TDIST(ABS(AD19),$AB$15,2)</f>
        <v>#NAME?</v>
      </c>
      <c r="AF19" t="e">
        <f ca="1">AB19-TINV(AF$12,$AB$15)*AC19</f>
        <v>#NAME?</v>
      </c>
      <c r="AG19" t="e">
        <f ca="1">AB19+TINV(AF$12,$AB$15)*AC19</f>
        <v>#NAME?</v>
      </c>
    </row>
    <row r="20" spans="1:33">
      <c r="A20" s="750">
        <v>27</v>
      </c>
      <c r="B20" s="42">
        <v>26</v>
      </c>
      <c r="C20" s="42">
        <v>23</v>
      </c>
      <c r="D20" s="838">
        <v>59</v>
      </c>
      <c r="E20" s="627" t="e">
        <f ca="1">[1]!LLReg(A20:D20,$G$4:$J$7,$G$10:$J$10)</f>
        <v>#NAME?</v>
      </c>
      <c r="O20" s="656">
        <v>3.5732420570626703E-4</v>
      </c>
      <c r="P20" s="8">
        <v>4.776972452758449E-4</v>
      </c>
      <c r="Q20" s="657">
        <v>-8.3924937888732942E-4</v>
      </c>
      <c r="S20" t="str">
        <f t="array" ref="S20:S22">TRANSPOSE(A3:C3)</f>
        <v>read</v>
      </c>
      <c r="T20">
        <f>Q6</f>
        <v>0.66801415090768601</v>
      </c>
      <c r="U20" t="e">
        <f t="array" aca="1" ref="U20:U22" ca="1">SQRT([1]!DIAG(O12:Q14))*T9</f>
        <v>#NAME?</v>
      </c>
      <c r="V20" t="e">
        <f ca="1">T20/U20</f>
        <v>#NAME?</v>
      </c>
      <c r="W20" t="e">
        <f ca="1">TDIST(ABS(V20),$T$15,2)</f>
        <v>#NAME?</v>
      </c>
      <c r="X20" t="e">
        <f ca="1">T20-TINV(X$12,$T$15)*U20</f>
        <v>#NAME?</v>
      </c>
      <c r="Y20" t="e">
        <f ca="1">T20+TINV(X$12,$T$15)*U20</f>
        <v>#NAME?</v>
      </c>
      <c r="AA20" t="str">
        <f t="array" ref="AA20:AA22">TRANSPOSE(A3:C3)</f>
        <v>read</v>
      </c>
      <c r="AB20" t="e">
        <f ca="1"/>
        <v>#NAME?</v>
      </c>
      <c r="AC20" t="e">
        <f ca="1"/>
        <v>#NAME?</v>
      </c>
      <c r="AD20" t="e">
        <f ca="1">AB20/AC20</f>
        <v>#NAME?</v>
      </c>
      <c r="AE20" t="e">
        <f ca="1">TDIST(ABS(AD20),$AB$15,2)</f>
        <v>#NAME?</v>
      </c>
      <c r="AF20" t="e">
        <f ca="1">AB20-TINV(AF$12,$AB$15)*AC20</f>
        <v>#NAME?</v>
      </c>
      <c r="AG20" t="e">
        <f ca="1">AB20+TINV(AF$12,$AB$15)*AC20</f>
        <v>#NAME?</v>
      </c>
    </row>
    <row r="21" spans="1:33">
      <c r="A21" s="750">
        <v>17</v>
      </c>
      <c r="B21" s="42">
        <v>12</v>
      </c>
      <c r="C21" s="42">
        <v>19</v>
      </c>
      <c r="D21" s="838">
        <v>35</v>
      </c>
      <c r="E21" s="627" t="e">
        <f ca="1">[1]!LLReg(A21:D21,$G$4:$J$7,$G$10:$J$10)</f>
        <v>#NAME?</v>
      </c>
      <c r="G21" t="s">
        <v>3405</v>
      </c>
      <c r="O21" s="533">
        <v>-3.57055013362892E-3</v>
      </c>
      <c r="P21" s="1078">
        <v>-8.3924937888732952E-4</v>
      </c>
      <c r="Q21" s="541">
        <v>9.3819896750753588E-3</v>
      </c>
      <c r="S21" t="str">
        <v>science</v>
      </c>
      <c r="T21">
        <f>Q7</f>
        <v>0.48454428261504684</v>
      </c>
      <c r="U21" t="e">
        <f ca="1"/>
        <v>#NAME?</v>
      </c>
      <c r="V21" t="e">
        <f ca="1">T21/U21</f>
        <v>#NAME?</v>
      </c>
      <c r="W21" t="e">
        <f ca="1">TDIST(ABS(V21),$T$15,2)</f>
        <v>#NAME?</v>
      </c>
      <c r="X21" t="e">
        <f ca="1">T21-TINV(X$12,$T$15)*U21</f>
        <v>#NAME?</v>
      </c>
      <c r="Y21" t="e">
        <f ca="1">T21+TINV(X$12,$T$15)*U21</f>
        <v>#NAME?</v>
      </c>
      <c r="AA21" t="str">
        <v>science</v>
      </c>
      <c r="AB21" t="e">
        <f ca="1"/>
        <v>#NAME?</v>
      </c>
      <c r="AC21" t="e">
        <f ca="1"/>
        <v>#NAME?</v>
      </c>
      <c r="AD21" t="e">
        <f ca="1">AB21/AC21</f>
        <v>#NAME?</v>
      </c>
      <c r="AE21" t="e">
        <f ca="1">TDIST(ABS(AD21),$AB$15,2)</f>
        <v>#NAME?</v>
      </c>
      <c r="AF21" t="e">
        <f ca="1">AB21-TINV(AF$12,$AB$15)*AC21</f>
        <v>#NAME?</v>
      </c>
      <c r="AG21" t="e">
        <f ca="1">AB21+TINV(AF$12,$AB$15)*AC21</f>
        <v>#NAME?</v>
      </c>
    </row>
    <row r="22" spans="1:33">
      <c r="A22" s="750">
        <v>13</v>
      </c>
      <c r="B22" s="42">
        <v>21</v>
      </c>
      <c r="C22" s="42">
        <v>20</v>
      </c>
      <c r="D22" s="838">
        <v>48</v>
      </c>
      <c r="E22" s="627" t="e">
        <f ca="1">[1]!LLReg(A22:D22,$G$4:$J$7,$G$10:$J$10)</f>
        <v>#NAME?</v>
      </c>
      <c r="G22" s="848">
        <f>COUNT(A4:A23)</f>
        <v>20</v>
      </c>
      <c r="H22" s="821">
        <f>COUNT(B4:B23)</f>
        <v>20</v>
      </c>
      <c r="I22" s="821">
        <f>COUNT(C4:C23)</f>
        <v>20</v>
      </c>
      <c r="J22" s="849">
        <f>COUNT(D4:D23)</f>
        <v>20</v>
      </c>
      <c r="S22" s="1078" t="str">
        <v>math</v>
      </c>
      <c r="T22" s="1078">
        <f>Q8</f>
        <v>-4.5018372570957865E-2</v>
      </c>
      <c r="U22" s="1078" t="e">
        <f ca="1"/>
        <v>#NAME?</v>
      </c>
      <c r="V22" s="1078" t="e">
        <f ca="1">T22/U22</f>
        <v>#NAME?</v>
      </c>
      <c r="W22" s="1078" t="e">
        <f ca="1">TDIST(ABS(V22),$T$15,2)</f>
        <v>#NAME?</v>
      </c>
      <c r="X22" s="1078" t="e">
        <f ca="1">T22-TINV(X$12,$T$15)*U22</f>
        <v>#NAME?</v>
      </c>
      <c r="Y22" s="1078" t="e">
        <f ca="1">T22+TINV(X$12,$T$15)*U22</f>
        <v>#NAME?</v>
      </c>
      <c r="AA22" s="1078" t="str">
        <v>math</v>
      </c>
      <c r="AB22" s="1078" t="e">
        <f ca="1"/>
        <v>#NAME?</v>
      </c>
      <c r="AC22" s="1078" t="e">
        <f ca="1"/>
        <v>#NAME?</v>
      </c>
      <c r="AD22" s="1078" t="e">
        <f ca="1">AB22/AC22</f>
        <v>#NAME?</v>
      </c>
      <c r="AE22" s="1078" t="e">
        <f ca="1">TDIST(ABS(AD22),$AB$15,2)</f>
        <v>#NAME?</v>
      </c>
      <c r="AF22" s="1078" t="e">
        <f ca="1">AB22-TINV(AF$12,$AB$15)*AC22</f>
        <v>#NAME?</v>
      </c>
      <c r="AG22" s="1078" t="e">
        <f ca="1">AB22+TINV(AF$12,$AB$15)*AC22</f>
        <v>#NAME?</v>
      </c>
    </row>
    <row r="23" spans="1:33">
      <c r="A23" s="1244">
        <v>11</v>
      </c>
      <c r="B23" s="1247">
        <v>51</v>
      </c>
      <c r="C23" s="1247">
        <v>18</v>
      </c>
      <c r="D23" s="1245">
        <v>54</v>
      </c>
      <c r="E23" s="544" t="e">
        <f ca="1">[1]!LLReg(A23:D23,$G$4:$J$7,$G$10:$J$10)</f>
        <v>#NAME?</v>
      </c>
    </row>
    <row r="24" spans="1:33">
      <c r="E24" t="e">
        <f ca="1">SUM(E4:E23)</f>
        <v>#NAME?</v>
      </c>
    </row>
    <row r="26" spans="1:33" ht="15" customHeight="1">
      <c r="G26" t="s">
        <v>3454</v>
      </c>
      <c r="N26" t="s">
        <v>3455</v>
      </c>
    </row>
    <row r="28" spans="1:33">
      <c r="G28" s="1236" t="e">
        <f t="array" aca="1" ref="G28:J31" ca="1">[1]!COVP(A4:D23)</f>
        <v>#NAME?</v>
      </c>
      <c r="H28" s="1152" t="e">
        <f ca="1"/>
        <v>#NAME?</v>
      </c>
      <c r="I28" s="1152" t="e">
        <f ca="1"/>
        <v>#NAME?</v>
      </c>
      <c r="J28" s="1237" t="e">
        <f ca="1"/>
        <v>#NAME?</v>
      </c>
      <c r="N28" s="1236" t="e">
        <f t="array" aca="1" ref="N28:Q31" ca="1">[1]!core(A4:C23)</f>
        <v>#NAME?</v>
      </c>
      <c r="O28" s="1152" t="e">
        <f ca="1"/>
        <v>#NAME?</v>
      </c>
      <c r="P28" s="1152" t="e">
        <f ca="1"/>
        <v>#NAME?</v>
      </c>
      <c r="Q28" s="1237" t="e">
        <f ca="1"/>
        <v>#NAME?</v>
      </c>
    </row>
    <row r="29" spans="1:33">
      <c r="G29" s="656" t="e">
        <f ca="1"/>
        <v>#NAME?</v>
      </c>
      <c r="H29" s="8" t="e">
        <f ca="1"/>
        <v>#NAME?</v>
      </c>
      <c r="I29" s="8" t="e">
        <f ca="1"/>
        <v>#NAME?</v>
      </c>
      <c r="J29" s="657" t="e">
        <f ca="1"/>
        <v>#NAME?</v>
      </c>
      <c r="N29" s="656" t="e">
        <f ca="1"/>
        <v>#NAME?</v>
      </c>
      <c r="O29" s="1236" t="e">
        <f ca="1"/>
        <v>#NAME?</v>
      </c>
      <c r="P29" s="1152" t="e">
        <f ca="1"/>
        <v>#NAME?</v>
      </c>
      <c r="Q29" s="1237" t="e">
        <f ca="1"/>
        <v>#NAME?</v>
      </c>
    </row>
    <row r="30" spans="1:33">
      <c r="G30" s="656" t="e">
        <f ca="1"/>
        <v>#NAME?</v>
      </c>
      <c r="H30" s="8" t="e">
        <f ca="1"/>
        <v>#NAME?</v>
      </c>
      <c r="I30" s="8" t="e">
        <f ca="1"/>
        <v>#NAME?</v>
      </c>
      <c r="J30" s="657" t="e">
        <f ca="1"/>
        <v>#NAME?</v>
      </c>
      <c r="N30" s="656" t="e">
        <f ca="1"/>
        <v>#NAME?</v>
      </c>
      <c r="O30" s="656" t="e">
        <f ca="1"/>
        <v>#NAME?</v>
      </c>
      <c r="P30" s="8" t="e">
        <f ca="1"/>
        <v>#NAME?</v>
      </c>
      <c r="Q30" s="657" t="e">
        <f ca="1"/>
        <v>#NAME?</v>
      </c>
    </row>
    <row r="31" spans="1:33">
      <c r="G31" s="533" t="e">
        <f ca="1"/>
        <v>#NAME?</v>
      </c>
      <c r="H31" s="1078" t="e">
        <f ca="1"/>
        <v>#NAME?</v>
      </c>
      <c r="I31" s="1078" t="e">
        <f ca="1"/>
        <v>#NAME?</v>
      </c>
      <c r="J31" s="541" t="e">
        <f ca="1"/>
        <v>#NAME?</v>
      </c>
      <c r="N31" s="533" t="e">
        <f ca="1"/>
        <v>#NAME?</v>
      </c>
      <c r="O31" s="533" t="e">
        <f ca="1"/>
        <v>#NAME?</v>
      </c>
      <c r="P31" s="1078" t="e">
        <f ca="1"/>
        <v>#NAME?</v>
      </c>
      <c r="Q31" s="541" t="e">
        <f ca="1"/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382.xml><?xml version="1.0" encoding="utf-8"?>
<worksheet xmlns="http://schemas.openxmlformats.org/spreadsheetml/2006/main" xmlns:r="http://schemas.openxmlformats.org/officeDocument/2006/relationships">
  <sheetPr codeName="Sheet303"/>
  <dimension ref="A1:AI24"/>
  <sheetViews>
    <sheetView workbookViewId="0"/>
  </sheetViews>
  <sheetFormatPr defaultRowHeight="14.4"/>
  <cols>
    <col min="29" max="29" width="17.109375" customWidth="1"/>
  </cols>
  <sheetData>
    <row r="1" spans="1:35">
      <c r="A1" s="1" t="s">
        <v>3412</v>
      </c>
    </row>
    <row r="3" spans="1:35">
      <c r="A3" s="1274" t="s">
        <v>3352</v>
      </c>
      <c r="B3" s="1274" t="s">
        <v>3333</v>
      </c>
      <c r="C3" s="1274" t="s">
        <v>3332</v>
      </c>
      <c r="D3" s="1274" t="s">
        <v>3353</v>
      </c>
      <c r="F3" t="s">
        <v>3375</v>
      </c>
      <c r="L3" s="1274" t="str">
        <f>A3</f>
        <v>read</v>
      </c>
      <c r="M3" s="1274" t="str">
        <f>B3</f>
        <v>science</v>
      </c>
      <c r="N3" s="1274" t="str">
        <f>C3</f>
        <v>math</v>
      </c>
      <c r="O3" s="1274" t="str">
        <f>D3</f>
        <v>medicine</v>
      </c>
      <c r="P3" s="1274" t="s">
        <v>3409</v>
      </c>
      <c r="R3" t="s">
        <v>3406</v>
      </c>
      <c r="W3" s="1274" t="s">
        <v>3397</v>
      </c>
      <c r="Y3" t="s">
        <v>3410</v>
      </c>
      <c r="AC3" t="s">
        <v>2744</v>
      </c>
    </row>
    <row r="4" spans="1:35">
      <c r="A4" s="1242">
        <v>12</v>
      </c>
      <c r="B4" s="1248">
        <v>27</v>
      </c>
      <c r="C4" s="1248">
        <v>19</v>
      </c>
      <c r="D4" s="1243">
        <v>44</v>
      </c>
      <c r="L4" s="1255">
        <f t="shared" ref="L4:L23" si="0">A4</f>
        <v>12</v>
      </c>
      <c r="M4" s="1256">
        <f t="shared" ref="M4:M23" si="1">B4</f>
        <v>27</v>
      </c>
      <c r="N4" s="1256">
        <f t="shared" ref="N4:N23" si="2">C4</f>
        <v>19</v>
      </c>
      <c r="O4" s="1285">
        <f t="shared" ref="O4:O23" si="3">D4</f>
        <v>44</v>
      </c>
      <c r="P4" s="1235" t="e">
        <f ca="1">[1]!LLReg(L4:O4,$R$4:$U$7,$R$10:$U$10)</f>
        <v>#NAME?</v>
      </c>
      <c r="R4" s="1232">
        <f>W4</f>
        <v>17.089889071593699</v>
      </c>
      <c r="S4" s="1114">
        <f>R5</f>
        <v>-1.6098580530537256</v>
      </c>
      <c r="T4" s="1114">
        <f>R6</f>
        <v>6.3599764446213713</v>
      </c>
      <c r="U4" s="1233">
        <f>R7</f>
        <v>10.349924432711751</v>
      </c>
      <c r="W4" s="1235">
        <v>17.089889071593699</v>
      </c>
    </row>
    <row r="5" spans="1:35" ht="15" thickBot="1">
      <c r="A5" s="750">
        <v>11</v>
      </c>
      <c r="B5" s="42">
        <v>30</v>
      </c>
      <c r="C5" s="42">
        <v>13</v>
      </c>
      <c r="D5" s="838">
        <v>43</v>
      </c>
      <c r="F5" t="e">
        <f t="array" aca="1" ref="F5:J10" ca="1">[1]!DescStats(A3:D23,TRUE,TRUE)</f>
        <v>#NAME?</v>
      </c>
      <c r="G5" s="1274" t="e">
        <f ca="1"/>
        <v>#NAME?</v>
      </c>
      <c r="H5" s="1274" t="e">
        <f ca="1"/>
        <v>#NAME?</v>
      </c>
      <c r="I5" s="1274" t="e">
        <f ca="1"/>
        <v>#NAME?</v>
      </c>
      <c r="J5" s="1274" t="e">
        <f ca="1"/>
        <v>#NAME?</v>
      </c>
      <c r="L5" s="624">
        <f t="shared" si="0"/>
        <v>11</v>
      </c>
      <c r="M5" s="1275">
        <f t="shared" si="1"/>
        <v>30</v>
      </c>
      <c r="N5" s="1275">
        <f t="shared" si="2"/>
        <v>13</v>
      </c>
      <c r="O5" s="628">
        <f t="shared" si="3"/>
        <v>43</v>
      </c>
      <c r="P5" s="627" t="e">
        <f ca="1">[1]!LLReg(L5:O5,$R$4:$U$7,$R$10:$U$10)</f>
        <v>#NAME?</v>
      </c>
      <c r="R5" s="625">
        <f>W5</f>
        <v>-1.6098580530537256</v>
      </c>
      <c r="S5" s="8">
        <f>W8</f>
        <v>124.33709405134971</v>
      </c>
      <c r="T5" s="8">
        <f>S6</f>
        <v>10.509684350937441</v>
      </c>
      <c r="U5" s="132">
        <f>S7</f>
        <v>58.698291193444597</v>
      </c>
      <c r="W5" s="627">
        <v>-1.6098580530537256</v>
      </c>
      <c r="Y5" t="s">
        <v>697</v>
      </c>
      <c r="Z5" s="1138">
        <f t="array" ref="Z5">-MMULT(R10:U10,Z6:Z9)</f>
        <v>21.629184964866834</v>
      </c>
      <c r="AC5" s="1059" t="s">
        <v>2750</v>
      </c>
      <c r="AD5" s="1059"/>
    </row>
    <row r="6" spans="1:35" ht="15" thickTop="1">
      <c r="A6" s="750">
        <v>16</v>
      </c>
      <c r="B6" s="42">
        <v>56</v>
      </c>
      <c r="C6" s="42">
        <v>23</v>
      </c>
      <c r="D6" s="838">
        <v>60</v>
      </c>
      <c r="F6" t="e">
        <f ca="1"/>
        <v>#NAME?</v>
      </c>
      <c r="G6" s="1232" t="e">
        <f ca="1"/>
        <v>#NAME?</v>
      </c>
      <c r="H6" s="1114" t="e">
        <f ca="1"/>
        <v>#NAME?</v>
      </c>
      <c r="I6" s="1114" t="e">
        <f ca="1"/>
        <v>#NAME?</v>
      </c>
      <c r="J6" s="1233" t="e">
        <f ca="1"/>
        <v>#NAME?</v>
      </c>
      <c r="L6" s="624">
        <f t="shared" si="0"/>
        <v>16</v>
      </c>
      <c r="M6" s="1275">
        <f t="shared" si="1"/>
        <v>56</v>
      </c>
      <c r="N6" s="1275">
        <f t="shared" si="2"/>
        <v>23</v>
      </c>
      <c r="O6" s="628">
        <f t="shared" si="3"/>
        <v>60</v>
      </c>
      <c r="P6" s="627" t="e">
        <f ca="1">[1]!LLReg(L6:O6,$R$4:$U$7,$R$10:$U$10)</f>
        <v>#NAME?</v>
      </c>
      <c r="R6" s="625">
        <f>W6</f>
        <v>6.3599764446213713</v>
      </c>
      <c r="S6" s="8">
        <f>W9</f>
        <v>10.509684350937441</v>
      </c>
      <c r="T6" s="8">
        <f>W11</f>
        <v>8.6899329067307782</v>
      </c>
      <c r="U6" s="132">
        <f>T7</f>
        <v>8.9497550915703616</v>
      </c>
      <c r="W6" s="627">
        <v>6.3599764446213713</v>
      </c>
      <c r="Y6" t="str">
        <f t="array" ref="Y6:Y8">TRANSPOSE(L3:N3)</f>
        <v>read</v>
      </c>
      <c r="Z6" s="946">
        <f t="array" ref="Z6:Z8">MMULT(MINVERSE(R4:T6),U4:U6)</f>
        <v>0.66801415090768601</v>
      </c>
      <c r="AC6" t="s">
        <v>693</v>
      </c>
      <c r="AD6" t="e">
        <f ca="1">SQRT(AD7)</f>
        <v>#NAME?</v>
      </c>
    </row>
    <row r="7" spans="1:35">
      <c r="A7" s="750">
        <v>15</v>
      </c>
      <c r="B7" s="42">
        <v>37</v>
      </c>
      <c r="C7" s="42">
        <v>19</v>
      </c>
      <c r="D7" s="838">
        <v>52</v>
      </c>
      <c r="F7" t="e">
        <f ca="1"/>
        <v>#NAME?</v>
      </c>
      <c r="G7" s="625" t="e">
        <f ca="1"/>
        <v>#NAME?</v>
      </c>
      <c r="H7" s="8" t="e">
        <f ca="1"/>
        <v>#NAME?</v>
      </c>
      <c r="I7" s="8" t="e">
        <f ca="1"/>
        <v>#NAME?</v>
      </c>
      <c r="J7" s="132" t="e">
        <f ca="1"/>
        <v>#NAME?</v>
      </c>
      <c r="L7" s="624">
        <f t="shared" si="0"/>
        <v>15</v>
      </c>
      <c r="M7" s="1275">
        <f t="shared" si="1"/>
        <v>37</v>
      </c>
      <c r="N7" s="1275">
        <f t="shared" si="2"/>
        <v>19</v>
      </c>
      <c r="O7" s="628">
        <f t="shared" si="3"/>
        <v>52</v>
      </c>
      <c r="P7" s="627" t="e">
        <f ca="1">[1]!LLReg(L7:O7,$R$4:$U$7,$R$10:$U$10)</f>
        <v>#NAME?</v>
      </c>
      <c r="R7" s="1075">
        <f>W7</f>
        <v>10.349924432711751</v>
      </c>
      <c r="S7" s="1076">
        <f>W10</f>
        <v>58.698291193444597</v>
      </c>
      <c r="T7" s="1076">
        <f>W12</f>
        <v>8.9497550915703616</v>
      </c>
      <c r="U7" s="1077">
        <f>W13</f>
        <v>55.398851433720949</v>
      </c>
      <c r="W7" s="544">
        <v>10.349924432711751</v>
      </c>
      <c r="Y7" t="str">
        <v>science</v>
      </c>
      <c r="Z7" s="946">
        <v>0.48454428261504684</v>
      </c>
      <c r="AC7" t="s">
        <v>686</v>
      </c>
      <c r="AD7" t="e">
        <f ca="1">SUMPRODUCT(U13:U15,Z6:Z8)/U16</f>
        <v>#NAME?</v>
      </c>
    </row>
    <row r="8" spans="1:35">
      <c r="A8" s="750">
        <v>10</v>
      </c>
      <c r="B8" s="42">
        <v>31</v>
      </c>
      <c r="C8" s="42">
        <v>21</v>
      </c>
      <c r="D8" s="838">
        <v>44</v>
      </c>
      <c r="F8" t="e">
        <f ca="1"/>
        <v>#NAME?</v>
      </c>
      <c r="G8" s="625" t="e">
        <f ca="1"/>
        <v>#NAME?</v>
      </c>
      <c r="H8" s="8" t="e">
        <f ca="1"/>
        <v>#NAME?</v>
      </c>
      <c r="I8" s="8" t="e">
        <f ca="1"/>
        <v>#NAME?</v>
      </c>
      <c r="J8" s="132" t="e">
        <f ca="1"/>
        <v>#NAME?</v>
      </c>
      <c r="L8" s="624">
        <f t="shared" si="0"/>
        <v>10</v>
      </c>
      <c r="M8" s="1275">
        <f t="shared" si="1"/>
        <v>31</v>
      </c>
      <c r="N8" s="1275">
        <f t="shared" si="2"/>
        <v>21</v>
      </c>
      <c r="O8" s="628">
        <f t="shared" si="3"/>
        <v>44</v>
      </c>
      <c r="P8" s="627" t="e">
        <f ca="1">[1]!LLReg(L8:O8,$R$4:$U$7,$R$10:$U$10)</f>
        <v>#NAME?</v>
      </c>
      <c r="W8" s="1235">
        <v>124.33709405134971</v>
      </c>
      <c r="Y8" t="str">
        <v>math</v>
      </c>
      <c r="Z8" s="1073">
        <v>-4.5018372570957865E-2</v>
      </c>
      <c r="AC8" t="s">
        <v>694</v>
      </c>
      <c r="AD8" t="e">
        <f ca="1">1-(1-AD7)*(AD10-1)/(AD10-AD14-1)</f>
        <v>#NAME?</v>
      </c>
    </row>
    <row r="9" spans="1:35">
      <c r="A9" s="750">
        <v>18</v>
      </c>
      <c r="B9" s="42">
        <v>40</v>
      </c>
      <c r="C9" s="42">
        <v>22</v>
      </c>
      <c r="D9" s="838">
        <v>43</v>
      </c>
      <c r="F9" t="e">
        <f ca="1"/>
        <v>#NAME?</v>
      </c>
      <c r="G9" s="625" t="e">
        <f ca="1"/>
        <v>#NAME?</v>
      </c>
      <c r="H9" s="8" t="e">
        <f ca="1"/>
        <v>#NAME?</v>
      </c>
      <c r="I9" s="8" t="e">
        <f ca="1"/>
        <v>#NAME?</v>
      </c>
      <c r="J9" s="132" t="e">
        <f ca="1"/>
        <v>#NAME?</v>
      </c>
      <c r="L9" s="624">
        <f t="shared" si="0"/>
        <v>18</v>
      </c>
      <c r="M9" s="1275">
        <f t="shared" si="1"/>
        <v>40</v>
      </c>
      <c r="N9" s="1275">
        <f t="shared" si="2"/>
        <v>22</v>
      </c>
      <c r="O9" s="628">
        <f t="shared" si="3"/>
        <v>43</v>
      </c>
      <c r="P9" s="627" t="e">
        <f ca="1">[1]!LLReg(L9:O9,$R$4:$U$7,$R$10:$U$10)</f>
        <v>#NAME?</v>
      </c>
      <c r="R9" t="s">
        <v>3407</v>
      </c>
      <c r="W9" s="627">
        <v>10.509684350937441</v>
      </c>
      <c r="Z9">
        <v>-1</v>
      </c>
      <c r="AC9" t="s">
        <v>77</v>
      </c>
      <c r="AD9" t="e">
        <f ca="1">SQRT(AF15)</f>
        <v>#NAME?</v>
      </c>
    </row>
    <row r="10" spans="1:35">
      <c r="A10" s="750">
        <v>15</v>
      </c>
      <c r="B10" s="42">
        <v>50</v>
      </c>
      <c r="C10" s="42">
        <v>28</v>
      </c>
      <c r="D10" s="838">
        <v>56</v>
      </c>
      <c r="F10" t="e">
        <f ca="1"/>
        <v>#NAME?</v>
      </c>
      <c r="G10" s="1075" t="e">
        <f ca="1"/>
        <v>#NAME?</v>
      </c>
      <c r="H10" s="1076" t="e">
        <f ca="1"/>
        <v>#NAME?</v>
      </c>
      <c r="I10" s="1076" t="e">
        <f ca="1"/>
        <v>#NAME?</v>
      </c>
      <c r="J10" s="1077" t="e">
        <f ca="1"/>
        <v>#NAME?</v>
      </c>
      <c r="L10" s="624">
        <f t="shared" si="0"/>
        <v>15</v>
      </c>
      <c r="M10" s="1275">
        <f t="shared" si="1"/>
        <v>50</v>
      </c>
      <c r="N10" s="1275">
        <f t="shared" si="2"/>
        <v>28</v>
      </c>
      <c r="O10" s="628">
        <f t="shared" si="3"/>
        <v>56</v>
      </c>
      <c r="P10" s="627" t="e">
        <f ca="1">[1]!LLReg(L10:O10,$R$4:$U$7,$R$10:$U$10)</f>
        <v>#NAME?</v>
      </c>
      <c r="R10" s="1119">
        <f>W14</f>
        <v>15.899921366693819</v>
      </c>
      <c r="S10" s="1017">
        <f>W15</f>
        <v>32.399749616392405</v>
      </c>
      <c r="T10" s="1017">
        <f>W16</f>
        <v>21.099928532015614</v>
      </c>
      <c r="U10" s="1120">
        <f>W17</f>
        <v>46.999786427044917</v>
      </c>
      <c r="W10" s="544">
        <v>58.698291193444597</v>
      </c>
      <c r="AC10" s="1078" t="s">
        <v>224</v>
      </c>
      <c r="AD10" s="1078">
        <f>COUNTA(L4:L23)</f>
        <v>20</v>
      </c>
    </row>
    <row r="11" spans="1:35">
      <c r="A11" s="750">
        <v>21</v>
      </c>
      <c r="B11" s="42">
        <v>21</v>
      </c>
      <c r="C11" s="42">
        <v>23</v>
      </c>
      <c r="D11" s="838">
        <v>46</v>
      </c>
      <c r="L11" s="624">
        <f t="shared" si="0"/>
        <v>21</v>
      </c>
      <c r="M11" s="1275">
        <f t="shared" si="1"/>
        <v>21</v>
      </c>
      <c r="N11" s="1275">
        <f t="shared" si="2"/>
        <v>23</v>
      </c>
      <c r="O11" s="628">
        <f t="shared" si="3"/>
        <v>46</v>
      </c>
      <c r="P11" s="627" t="e">
        <f ca="1">[1]!LLReg(L11:O11,$R$4:$U$7,$R$10:$U$10)</f>
        <v>#NAME?</v>
      </c>
      <c r="W11" s="627">
        <v>8.6899329067307782</v>
      </c>
      <c r="Y11" t="s">
        <v>3411</v>
      </c>
    </row>
    <row r="12" spans="1:35" ht="15" thickBot="1">
      <c r="A12" s="750">
        <v>20</v>
      </c>
      <c r="B12" s="42">
        <v>39</v>
      </c>
      <c r="C12" s="42">
        <v>25</v>
      </c>
      <c r="D12" s="838">
        <v>51</v>
      </c>
      <c r="F12" t="s">
        <v>3355</v>
      </c>
      <c r="L12" s="624">
        <f t="shared" si="0"/>
        <v>20</v>
      </c>
      <c r="M12" s="1275">
        <f t="shared" si="1"/>
        <v>39</v>
      </c>
      <c r="N12" s="1275">
        <f t="shared" si="2"/>
        <v>25</v>
      </c>
      <c r="O12" s="628">
        <f t="shared" si="3"/>
        <v>51</v>
      </c>
      <c r="P12" s="627" t="e">
        <f ca="1">[1]!LLReg(L12:O12,$R$4:$U$7,$R$10:$U$10)</f>
        <v>#NAME?</v>
      </c>
      <c r="R12" t="s">
        <v>1448</v>
      </c>
      <c r="W12" s="544">
        <v>8.9497550915703616</v>
      </c>
      <c r="Y12" s="1232" t="e">
        <f t="array" aca="1" ref="Y12:AA14" ca="1">MINVERSE(R13:T15)/(COUNTA(L4:L23)-1)</f>
        <v>#NAME?</v>
      </c>
      <c r="Z12" s="1114" t="e">
        <f ca="1"/>
        <v>#NAME?</v>
      </c>
      <c r="AA12" s="1233" t="e">
        <f ca="1"/>
        <v>#NAME?</v>
      </c>
      <c r="AC12" t="s">
        <v>695</v>
      </c>
      <c r="AG12" s="1274" t="s">
        <v>116</v>
      </c>
      <c r="AH12" s="1274">
        <v>0.05</v>
      </c>
    </row>
    <row r="13" spans="1:35" ht="15" thickTop="1">
      <c r="A13" s="750">
        <v>18</v>
      </c>
      <c r="B13" s="42">
        <v>36</v>
      </c>
      <c r="C13" s="42">
        <v>23</v>
      </c>
      <c r="D13" s="838">
        <v>56</v>
      </c>
      <c r="L13" s="624">
        <f t="shared" si="0"/>
        <v>18</v>
      </c>
      <c r="M13" s="1275">
        <f t="shared" si="1"/>
        <v>36</v>
      </c>
      <c r="N13" s="1275">
        <f t="shared" si="2"/>
        <v>23</v>
      </c>
      <c r="O13" s="628">
        <f t="shared" si="3"/>
        <v>56</v>
      </c>
      <c r="P13" s="627" t="e">
        <f ca="1">[1]!LLReg(L13:O13,$R$4:$U$7,$R$10:$U$10)</f>
        <v>#NAME?</v>
      </c>
      <c r="R13" s="1232" t="e">
        <f t="array" aca="1" ref="R13:U16" ca="1">[1]!COV(L4:O23,FALSE)</f>
        <v>#NAME?</v>
      </c>
      <c r="S13" s="1114" t="e">
        <f ca="1"/>
        <v>#NAME?</v>
      </c>
      <c r="T13" s="1114" t="e">
        <f ca="1"/>
        <v>#NAME?</v>
      </c>
      <c r="U13" s="1233" t="e">
        <f ca="1"/>
        <v>#NAME?</v>
      </c>
      <c r="W13" s="544">
        <v>55.398851433720949</v>
      </c>
      <c r="Y13" s="625" t="e">
        <f ca="1"/>
        <v>#NAME?</v>
      </c>
      <c r="Z13" s="8" t="e">
        <f ca="1"/>
        <v>#NAME?</v>
      </c>
      <c r="AA13" s="132" t="e">
        <f ca="1"/>
        <v>#NAME?</v>
      </c>
      <c r="AC13" s="1151"/>
      <c r="AD13" s="1151" t="s">
        <v>186</v>
      </c>
      <c r="AE13" s="1151" t="s">
        <v>578</v>
      </c>
      <c r="AF13" s="1151" t="s">
        <v>641</v>
      </c>
      <c r="AG13" s="1151" t="s">
        <v>388</v>
      </c>
      <c r="AH13" s="1151" t="s">
        <v>200</v>
      </c>
      <c r="AI13" s="1151" t="s">
        <v>948</v>
      </c>
    </row>
    <row r="14" spans="1:35">
      <c r="A14" s="750">
        <v>13</v>
      </c>
      <c r="B14" s="42">
        <v>27</v>
      </c>
      <c r="C14" s="42">
        <v>21</v>
      </c>
      <c r="D14" s="838">
        <v>39</v>
      </c>
      <c r="F14" t="e">
        <f t="array" aca="1" ref="F14:J18" ca="1">[1]!MissingPairwise(A3:D23,TRUE)</f>
        <v>#NAME?</v>
      </c>
      <c r="G14" s="1274" t="e">
        <f ca="1"/>
        <v>#NAME?</v>
      </c>
      <c r="H14" s="1274" t="e">
        <f ca="1"/>
        <v>#NAME?</v>
      </c>
      <c r="I14" s="1274" t="e">
        <f ca="1"/>
        <v>#NAME?</v>
      </c>
      <c r="J14" s="1274" t="e">
        <f ca="1"/>
        <v>#NAME?</v>
      </c>
      <c r="L14" s="624">
        <f t="shared" si="0"/>
        <v>13</v>
      </c>
      <c r="M14" s="1275">
        <f t="shared" si="1"/>
        <v>27</v>
      </c>
      <c r="N14" s="1275">
        <f t="shared" si="2"/>
        <v>21</v>
      </c>
      <c r="O14" s="628">
        <f t="shared" si="3"/>
        <v>39</v>
      </c>
      <c r="P14" s="627" t="e">
        <f ca="1">[1]!LLReg(L14:O14,$R$4:$U$7,$R$10:$U$10)</f>
        <v>#NAME?</v>
      </c>
      <c r="R14" s="625" t="e">
        <f ca="1"/>
        <v>#NAME?</v>
      </c>
      <c r="S14" s="8" t="e">
        <f ca="1"/>
        <v>#NAME?</v>
      </c>
      <c r="T14" s="8" t="e">
        <f ca="1"/>
        <v>#NAME?</v>
      </c>
      <c r="U14" s="132" t="e">
        <f ca="1"/>
        <v>#NAME?</v>
      </c>
      <c r="W14" s="1235">
        <v>15.899921366693819</v>
      </c>
      <c r="Y14" s="1075" t="e">
        <f ca="1"/>
        <v>#NAME?</v>
      </c>
      <c r="Z14" s="1076" t="e">
        <f ca="1"/>
        <v>#NAME?</v>
      </c>
      <c r="AA14" s="1077" t="e">
        <f ca="1"/>
        <v>#NAME?</v>
      </c>
      <c r="AC14" t="s">
        <v>623</v>
      </c>
      <c r="AD14">
        <f>COUNT(L4:O4)-1</f>
        <v>3</v>
      </c>
      <c r="AE14" t="e">
        <f ca="1">AD7*AE16</f>
        <v>#NAME?</v>
      </c>
      <c r="AF14" t="e">
        <f ca="1">AE14/AD14</f>
        <v>#NAME?</v>
      </c>
      <c r="AG14" t="e">
        <f ca="1">AF14/AF15</f>
        <v>#NAME?</v>
      </c>
      <c r="AH14" t="e">
        <f ca="1">FDIST(AG14,AD14,AD15)</f>
        <v>#NAME?</v>
      </c>
      <c r="AI14" s="1274" t="e">
        <f ca="1">IF(AH14&lt;AH12,"yes","no")</f>
        <v>#NAME?</v>
      </c>
    </row>
    <row r="15" spans="1:35">
      <c r="A15" s="750">
        <v>14</v>
      </c>
      <c r="B15" s="42">
        <v>32</v>
      </c>
      <c r="C15" s="42">
        <v>20</v>
      </c>
      <c r="D15" s="838">
        <v>46</v>
      </c>
      <c r="F15" t="e">
        <f ca="1"/>
        <v>#NAME?</v>
      </c>
      <c r="G15" s="1276" t="e">
        <f ca="1"/>
        <v>#NAME?</v>
      </c>
      <c r="H15" s="1277" t="e">
        <f ca="1"/>
        <v>#NAME?</v>
      </c>
      <c r="I15" s="1277" t="e">
        <f ca="1"/>
        <v>#NAME?</v>
      </c>
      <c r="J15" s="1278" t="e">
        <f ca="1"/>
        <v>#NAME?</v>
      </c>
      <c r="L15" s="624">
        <f t="shared" si="0"/>
        <v>14</v>
      </c>
      <c r="M15" s="1275">
        <f t="shared" si="1"/>
        <v>32</v>
      </c>
      <c r="N15" s="1275">
        <f t="shared" si="2"/>
        <v>20</v>
      </c>
      <c r="O15" s="628">
        <f t="shared" si="3"/>
        <v>46</v>
      </c>
      <c r="P15" s="627" t="e">
        <f ca="1">[1]!LLReg(L15:O15,$R$4:$U$7,$R$10:$U$10)</f>
        <v>#NAME?</v>
      </c>
      <c r="R15" s="625" t="e">
        <f ca="1"/>
        <v>#NAME?</v>
      </c>
      <c r="S15" s="8" t="e">
        <f ca="1"/>
        <v>#NAME?</v>
      </c>
      <c r="T15" s="8" t="e">
        <f ca="1"/>
        <v>#NAME?</v>
      </c>
      <c r="U15" s="132" t="e">
        <f ca="1"/>
        <v>#NAME?</v>
      </c>
      <c r="W15" s="627">
        <v>32.399749616392405</v>
      </c>
      <c r="AC15" t="s">
        <v>696</v>
      </c>
      <c r="AD15">
        <f>AD16-AD14</f>
        <v>16</v>
      </c>
      <c r="AE15" t="e">
        <f ca="1">AE16-AE14</f>
        <v>#NAME?</v>
      </c>
      <c r="AF15" t="e">
        <f ca="1">AE15/AD15</f>
        <v>#NAME?</v>
      </c>
    </row>
    <row r="16" spans="1:35">
      <c r="A16" s="750">
        <v>22</v>
      </c>
      <c r="B16" s="42">
        <v>40</v>
      </c>
      <c r="C16" s="42">
        <v>23</v>
      </c>
      <c r="D16" s="838">
        <v>49</v>
      </c>
      <c r="F16" t="e">
        <f ca="1"/>
        <v>#NAME?</v>
      </c>
      <c r="G16" s="1279" t="e">
        <f ca="1"/>
        <v>#NAME?</v>
      </c>
      <c r="H16" s="1280" t="e">
        <f ca="1"/>
        <v>#NAME?</v>
      </c>
      <c r="I16" s="1280" t="e">
        <f ca="1"/>
        <v>#NAME?</v>
      </c>
      <c r="J16" s="1281" t="e">
        <f ca="1"/>
        <v>#NAME?</v>
      </c>
      <c r="L16" s="624">
        <f t="shared" si="0"/>
        <v>22</v>
      </c>
      <c r="M16" s="1275">
        <f t="shared" si="1"/>
        <v>40</v>
      </c>
      <c r="N16" s="1275">
        <f t="shared" si="2"/>
        <v>23</v>
      </c>
      <c r="O16" s="628">
        <f t="shared" si="3"/>
        <v>49</v>
      </c>
      <c r="P16" s="627" t="e">
        <f ca="1">[1]!LLReg(L16:O16,$R$4:$U$7,$R$10:$U$10)</f>
        <v>#NAME?</v>
      </c>
      <c r="R16" s="1075" t="e">
        <f ca="1"/>
        <v>#NAME?</v>
      </c>
      <c r="S16" s="1076" t="e">
        <f ca="1"/>
        <v>#NAME?</v>
      </c>
      <c r="T16" s="1076" t="e">
        <f ca="1"/>
        <v>#NAME?</v>
      </c>
      <c r="U16" s="1077" t="e">
        <f ca="1"/>
        <v>#NAME?</v>
      </c>
      <c r="W16" s="627">
        <v>21.099928532015614</v>
      </c>
      <c r="AC16" s="1078" t="s">
        <v>12</v>
      </c>
      <c r="AD16" s="1078">
        <f>AD10-1</f>
        <v>19</v>
      </c>
      <c r="AE16" s="1078">
        <f>DEVSQ(O4:O23)</f>
        <v>1108</v>
      </c>
      <c r="AF16" s="1078"/>
      <c r="AG16" s="1078"/>
      <c r="AH16" s="1078"/>
      <c r="AI16" s="1078"/>
    </row>
    <row r="17" spans="1:35" ht="15" thickBot="1">
      <c r="A17" s="750">
        <v>16</v>
      </c>
      <c r="B17" s="42">
        <v>31</v>
      </c>
      <c r="C17" s="42">
        <v>20</v>
      </c>
      <c r="D17" s="838">
        <v>44</v>
      </c>
      <c r="F17" t="e">
        <f ca="1"/>
        <v>#NAME?</v>
      </c>
      <c r="G17" s="1279" t="e">
        <f ca="1"/>
        <v>#NAME?</v>
      </c>
      <c r="H17" s="1280" t="e">
        <f ca="1"/>
        <v>#NAME?</v>
      </c>
      <c r="I17" s="1280" t="e">
        <f ca="1"/>
        <v>#NAME?</v>
      </c>
      <c r="J17" s="1281" t="e">
        <f ca="1"/>
        <v>#NAME?</v>
      </c>
      <c r="L17" s="624">
        <f t="shared" si="0"/>
        <v>16</v>
      </c>
      <c r="M17" s="1275">
        <f t="shared" si="1"/>
        <v>31</v>
      </c>
      <c r="N17" s="1275">
        <f t="shared" si="2"/>
        <v>20</v>
      </c>
      <c r="O17" s="628">
        <f t="shared" si="3"/>
        <v>44</v>
      </c>
      <c r="P17" s="627" t="e">
        <f ca="1">[1]!LLReg(L17:O17,$R$4:$U$7,$R$10:$U$10)</f>
        <v>#NAME?</v>
      </c>
      <c r="W17" s="544">
        <v>46.999786427044917</v>
      </c>
    </row>
    <row r="18" spans="1:35" ht="15" thickTop="1">
      <c r="A18" s="750">
        <v>13</v>
      </c>
      <c r="B18" s="42">
        <v>18</v>
      </c>
      <c r="C18" s="42">
        <v>21</v>
      </c>
      <c r="D18" s="838">
        <v>37</v>
      </c>
      <c r="F18" t="e">
        <f ca="1"/>
        <v>#NAME?</v>
      </c>
      <c r="G18" s="1282" t="e">
        <f ca="1"/>
        <v>#NAME?</v>
      </c>
      <c r="H18" s="1283" t="e">
        <f ca="1"/>
        <v>#NAME?</v>
      </c>
      <c r="I18" s="1283" t="e">
        <f ca="1"/>
        <v>#NAME?</v>
      </c>
      <c r="J18" s="1284" t="e">
        <f ca="1"/>
        <v>#NAME?</v>
      </c>
      <c r="L18" s="624">
        <f t="shared" si="0"/>
        <v>13</v>
      </c>
      <c r="M18" s="1275">
        <f t="shared" si="1"/>
        <v>18</v>
      </c>
      <c r="N18" s="1275">
        <f t="shared" si="2"/>
        <v>21</v>
      </c>
      <c r="O18" s="628">
        <f t="shared" si="3"/>
        <v>37</v>
      </c>
      <c r="P18" s="627" t="e">
        <f ca="1">[1]!LLReg(L18:O18,$R$4:$U$7,$R$10:$U$10)</f>
        <v>#NAME?</v>
      </c>
      <c r="R18" t="s">
        <v>3408</v>
      </c>
      <c r="AC18" s="1151"/>
      <c r="AD18" s="1151" t="s">
        <v>2743</v>
      </c>
      <c r="AE18" s="1151" t="s">
        <v>1469</v>
      </c>
      <c r="AF18" s="1151" t="s">
        <v>188</v>
      </c>
      <c r="AG18" s="1151" t="s">
        <v>200</v>
      </c>
      <c r="AH18" s="1151" t="s">
        <v>103</v>
      </c>
      <c r="AI18" s="1151" t="s">
        <v>104</v>
      </c>
    </row>
    <row r="19" spans="1:35">
      <c r="A19" s="750">
        <v>16</v>
      </c>
      <c r="B19" s="42">
        <v>23</v>
      </c>
      <c r="C19" s="42">
        <v>21</v>
      </c>
      <c r="D19" s="838">
        <v>34</v>
      </c>
      <c r="L19" s="624">
        <f t="shared" si="0"/>
        <v>16</v>
      </c>
      <c r="M19" s="1275">
        <f t="shared" si="1"/>
        <v>23</v>
      </c>
      <c r="N19" s="1275">
        <f t="shared" si="2"/>
        <v>21</v>
      </c>
      <c r="O19" s="628">
        <f t="shared" si="3"/>
        <v>34</v>
      </c>
      <c r="P19" s="627" t="e">
        <f ca="1">[1]!LLReg(L19:O19,$R$4:$U$7,$R$10:$U$10)</f>
        <v>#NAME?</v>
      </c>
      <c r="R19" s="1119">
        <f>AVERAGE(L4:L23)</f>
        <v>15.9</v>
      </c>
      <c r="S19" s="1017">
        <f>AVERAGE(M4:M23)</f>
        <v>32.4</v>
      </c>
      <c r="T19" s="1017">
        <f>AVERAGE(N4:N23)</f>
        <v>21.1</v>
      </c>
      <c r="U19" s="1120">
        <f>AVERAGE(O4:O23)</f>
        <v>47</v>
      </c>
      <c r="AC19" t="str">
        <f t="array" ref="AC19:AC22">Y5:Y8</f>
        <v>Intercept</v>
      </c>
      <c r="AD19">
        <f>Z5</f>
        <v>21.629184964866834</v>
      </c>
    </row>
    <row r="20" spans="1:35">
      <c r="A20" s="750">
        <v>27</v>
      </c>
      <c r="B20" s="42">
        <v>26</v>
      </c>
      <c r="C20" s="42">
        <v>23</v>
      </c>
      <c r="D20" s="838">
        <v>59</v>
      </c>
      <c r="L20" s="624">
        <f t="shared" si="0"/>
        <v>27</v>
      </c>
      <c r="M20" s="1275">
        <f t="shared" si="1"/>
        <v>26</v>
      </c>
      <c r="N20" s="1275">
        <f t="shared" si="2"/>
        <v>23</v>
      </c>
      <c r="O20" s="628">
        <f t="shared" si="3"/>
        <v>59</v>
      </c>
      <c r="P20" s="627" t="e">
        <f ca="1">[1]!LLReg(L20:O20,$R$4:$U$7,$R$10:$U$10)</f>
        <v>#NAME?</v>
      </c>
      <c r="AC20" t="str">
        <v>read</v>
      </c>
      <c r="AD20">
        <f t="array" ref="AD20:AD22">Z6:Z8</f>
        <v>0.66801415090768601</v>
      </c>
      <c r="AE20" t="e">
        <f t="array" aca="1" ref="AE20:AE22" ca="1">SQRT([1]!DIAG(Y12:AA14))*AD9</f>
        <v>#NAME?</v>
      </c>
      <c r="AF20" t="e">
        <f ca="1">AD20/AE20</f>
        <v>#NAME?</v>
      </c>
      <c r="AG20" t="e">
        <f ca="1">TDIST(ABS(AF20),$AD$15,2)</f>
        <v>#NAME?</v>
      </c>
      <c r="AH20" t="e">
        <f ca="1">AD20-TINV(AH$12,$AD$15)*AE20</f>
        <v>#NAME?</v>
      </c>
      <c r="AI20" t="e">
        <f ca="1">AD20+TINV(AH$12,$AD$15)*AE20</f>
        <v>#NAME?</v>
      </c>
    </row>
    <row r="21" spans="1:35">
      <c r="A21" s="750">
        <v>17</v>
      </c>
      <c r="B21" s="42">
        <v>12</v>
      </c>
      <c r="C21" s="42">
        <v>19</v>
      </c>
      <c r="D21" s="838">
        <v>35</v>
      </c>
      <c r="L21" s="624">
        <f t="shared" si="0"/>
        <v>17</v>
      </c>
      <c r="M21" s="1275">
        <f t="shared" si="1"/>
        <v>12</v>
      </c>
      <c r="N21" s="1275">
        <f t="shared" si="2"/>
        <v>19</v>
      </c>
      <c r="O21" s="628">
        <f t="shared" si="3"/>
        <v>35</v>
      </c>
      <c r="P21" s="627" t="e">
        <f ca="1">[1]!LLReg(L21:O21,$R$4:$U$7,$R$10:$U$10)</f>
        <v>#NAME?</v>
      </c>
      <c r="AC21" t="str">
        <v>science</v>
      </c>
      <c r="AD21">
        <v>0.48454428261504684</v>
      </c>
      <c r="AE21" t="e">
        <f ca="1"/>
        <v>#NAME?</v>
      </c>
      <c r="AF21" t="e">
        <f ca="1">AD21/AE21</f>
        <v>#NAME?</v>
      </c>
      <c r="AG21" t="e">
        <f ca="1">TDIST(ABS(AF21),$AD$15,2)</f>
        <v>#NAME?</v>
      </c>
      <c r="AH21" t="e">
        <f ca="1">AD21-TINV(AH$12,$AD$15)*AE21</f>
        <v>#NAME?</v>
      </c>
      <c r="AI21" t="e">
        <f ca="1">AD21+TINV(AH$12,$AD$15)*AE21</f>
        <v>#NAME?</v>
      </c>
    </row>
    <row r="22" spans="1:35">
      <c r="A22" s="750">
        <v>13</v>
      </c>
      <c r="B22" s="42">
        <v>21</v>
      </c>
      <c r="C22" s="42">
        <v>20</v>
      </c>
      <c r="D22" s="838">
        <v>48</v>
      </c>
      <c r="L22" s="624">
        <f t="shared" si="0"/>
        <v>13</v>
      </c>
      <c r="M22" s="1275">
        <f t="shared" si="1"/>
        <v>21</v>
      </c>
      <c r="N22" s="1275">
        <f t="shared" si="2"/>
        <v>20</v>
      </c>
      <c r="O22" s="628">
        <f t="shared" si="3"/>
        <v>48</v>
      </c>
      <c r="P22" s="627" t="e">
        <f ca="1">[1]!LLReg(L22:O22,$R$4:$U$7,$R$10:$U$10)</f>
        <v>#NAME?</v>
      </c>
      <c r="AC22" s="1078" t="str">
        <v>math</v>
      </c>
      <c r="AD22" s="1078">
        <v>-4.5018372570957865E-2</v>
      </c>
      <c r="AE22" s="1078" t="e">
        <f ca="1"/>
        <v>#NAME?</v>
      </c>
      <c r="AF22" s="1078" t="e">
        <f ca="1">AD22/AE22</f>
        <v>#NAME?</v>
      </c>
      <c r="AG22" s="1078" t="e">
        <f ca="1">TDIST(ABS(AF22),$AD$15,2)</f>
        <v>#NAME?</v>
      </c>
      <c r="AH22" s="1078" t="e">
        <f ca="1">AD22-TINV(AH$12,$AD$15)*AE22</f>
        <v>#NAME?</v>
      </c>
      <c r="AI22" s="1078" t="e">
        <f ca="1">AD22+TINV(AH$12,$AD$15)*AE22</f>
        <v>#NAME?</v>
      </c>
    </row>
    <row r="23" spans="1:35">
      <c r="A23" s="1244">
        <v>11</v>
      </c>
      <c r="B23" s="1247">
        <v>51</v>
      </c>
      <c r="C23" s="1247">
        <v>18</v>
      </c>
      <c r="D23" s="1245">
        <v>54</v>
      </c>
      <c r="L23" s="1133">
        <f t="shared" si="0"/>
        <v>11</v>
      </c>
      <c r="M23" s="1259">
        <f t="shared" si="1"/>
        <v>51</v>
      </c>
      <c r="N23" s="1259">
        <f t="shared" si="2"/>
        <v>18</v>
      </c>
      <c r="O23" s="1134">
        <f t="shared" si="3"/>
        <v>54</v>
      </c>
      <c r="P23" s="544" t="e">
        <f ca="1">[1]!LLReg(L23:O23,$R$4:$U$7,$R$10:$U$10)</f>
        <v>#NAME?</v>
      </c>
    </row>
    <row r="24" spans="1:35">
      <c r="P24" t="e">
        <f ca="1">SUM(P4:P23)</f>
        <v>#NAME?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sheetPr codeName="Sheet322"/>
  <dimension ref="A1:AZ209"/>
  <sheetViews>
    <sheetView workbookViewId="0"/>
  </sheetViews>
  <sheetFormatPr defaultRowHeight="14.4"/>
  <cols>
    <col min="2" max="2" width="9.109375" customWidth="1"/>
    <col min="18" max="18" width="9.109375" customWidth="1"/>
    <col min="36" max="36" width="4.109375" customWidth="1"/>
    <col min="37" max="37" width="62.6640625" customWidth="1"/>
    <col min="41" max="41" width="4.44140625" customWidth="1"/>
    <col min="42" max="42" width="50.33203125" customWidth="1"/>
    <col min="46" max="46" width="3.6640625" customWidth="1"/>
    <col min="47" max="47" width="67.44140625" customWidth="1"/>
    <col min="49" max="49" width="12" bestFit="1" customWidth="1"/>
    <col min="51" max="51" width="4.5546875" customWidth="1"/>
    <col min="52" max="52" width="66.44140625" customWidth="1"/>
  </cols>
  <sheetData>
    <row r="1" spans="1:52">
      <c r="A1" s="1" t="s">
        <v>3935</v>
      </c>
      <c r="Q1" s="1" t="s">
        <v>3935</v>
      </c>
      <c r="AH1" t="s">
        <v>3503</v>
      </c>
      <c r="AM1" t="s">
        <v>3507</v>
      </c>
      <c r="AR1" t="s">
        <v>3513</v>
      </c>
      <c r="AW1" t="s">
        <v>3686</v>
      </c>
    </row>
    <row r="2" spans="1:52">
      <c r="A2" s="1"/>
      <c r="Q2" s="1"/>
    </row>
    <row r="3" spans="1:52">
      <c r="A3" s="912" t="s">
        <v>186</v>
      </c>
      <c r="B3">
        <v>10</v>
      </c>
      <c r="Q3" s="93" t="s">
        <v>3479</v>
      </c>
      <c r="R3">
        <v>2</v>
      </c>
      <c r="AH3" t="s">
        <v>144</v>
      </c>
      <c r="AI3" s="1235">
        <v>0.4</v>
      </c>
      <c r="AJ3" s="8"/>
      <c r="AM3" s="65" t="s">
        <v>3495</v>
      </c>
      <c r="AN3" s="1235">
        <v>10</v>
      </c>
      <c r="AR3" t="s">
        <v>144</v>
      </c>
      <c r="AS3" s="1235">
        <v>0.4</v>
      </c>
      <c r="AW3" t="s">
        <v>144</v>
      </c>
      <c r="AX3" s="1235">
        <v>0.4</v>
      </c>
    </row>
    <row r="4" spans="1:52">
      <c r="A4" s="1"/>
      <c r="Q4" s="1"/>
      <c r="AH4" s="65" t="s">
        <v>157</v>
      </c>
      <c r="AI4" s="627">
        <v>0.05</v>
      </c>
      <c r="AJ4" s="8"/>
      <c r="AM4" s="65" t="s">
        <v>3496</v>
      </c>
      <c r="AN4" s="627">
        <v>15</v>
      </c>
      <c r="AR4" s="65" t="s">
        <v>157</v>
      </c>
      <c r="AS4" s="627">
        <v>0.05</v>
      </c>
      <c r="AW4" s="65" t="s">
        <v>157</v>
      </c>
      <c r="AX4" s="627">
        <v>0.05</v>
      </c>
    </row>
    <row r="5" spans="1:52">
      <c r="A5" s="93" t="s">
        <v>3479</v>
      </c>
      <c r="B5">
        <v>0</v>
      </c>
      <c r="C5">
        <v>2</v>
      </c>
      <c r="D5">
        <v>4</v>
      </c>
      <c r="E5">
        <v>6</v>
      </c>
      <c r="Q5" s="93" t="s">
        <v>186</v>
      </c>
      <c r="R5">
        <v>1</v>
      </c>
      <c r="S5">
        <v>3</v>
      </c>
      <c r="T5">
        <v>5</v>
      </c>
      <c r="U5">
        <v>10</v>
      </c>
      <c r="AH5" s="65" t="s">
        <v>106</v>
      </c>
      <c r="AI5" s="627">
        <v>20</v>
      </c>
      <c r="AJ5" s="8"/>
      <c r="AM5" t="s">
        <v>3497</v>
      </c>
      <c r="AN5" s="627">
        <v>8</v>
      </c>
      <c r="AR5" s="65" t="s">
        <v>291</v>
      </c>
      <c r="AS5" s="627">
        <v>10</v>
      </c>
      <c r="AW5" s="65" t="s">
        <v>106</v>
      </c>
      <c r="AX5" s="627">
        <v>10</v>
      </c>
    </row>
    <row r="6" spans="1:52">
      <c r="A6" s="93"/>
      <c r="Q6" s="93"/>
      <c r="AH6" s="493" t="s">
        <v>1178</v>
      </c>
      <c r="AI6" s="544">
        <v>2</v>
      </c>
      <c r="AJ6" s="8"/>
      <c r="AM6" t="s">
        <v>3498</v>
      </c>
      <c r="AN6" s="627">
        <v>3</v>
      </c>
      <c r="AR6" s="493" t="s">
        <v>292</v>
      </c>
      <c r="AS6" s="627">
        <v>20</v>
      </c>
      <c r="AW6" s="493" t="s">
        <v>1178</v>
      </c>
      <c r="AX6" s="544">
        <v>2</v>
      </c>
    </row>
    <row r="7" spans="1:52">
      <c r="A7" s="19" t="s">
        <v>195</v>
      </c>
      <c r="B7" s="19" t="s">
        <v>3484</v>
      </c>
      <c r="C7" s="19" t="s">
        <v>3485</v>
      </c>
      <c r="D7" s="19" t="s">
        <v>3486</v>
      </c>
      <c r="E7" s="19" t="s">
        <v>3487</v>
      </c>
      <c r="Q7" s="19" t="s">
        <v>195</v>
      </c>
      <c r="R7" s="19" t="s">
        <v>3480</v>
      </c>
      <c r="S7" s="19" t="s">
        <v>3483</v>
      </c>
      <c r="T7" s="19" t="s">
        <v>3481</v>
      </c>
      <c r="U7" s="19" t="s">
        <v>3482</v>
      </c>
      <c r="AM7" s="65" t="s">
        <v>485</v>
      </c>
      <c r="AN7" s="627">
        <v>0.6</v>
      </c>
      <c r="AR7" s="493" t="s">
        <v>1178</v>
      </c>
      <c r="AS7" s="544">
        <v>2</v>
      </c>
    </row>
    <row r="8" spans="1:52">
      <c r="A8">
        <v>-10</v>
      </c>
      <c r="B8" t="e">
        <f ca="1">[1]!NT_DIST($A8,$B$3,B$5,FALSE)</f>
        <v>#NAME?</v>
      </c>
      <c r="C8" t="e">
        <f ca="1">[1]!NT_DIST($A8,$B$3,C$5,FALSE)</f>
        <v>#NAME?</v>
      </c>
      <c r="D8" t="e">
        <f ca="1">[1]!NT_DIST($A8,$B$3,D$5,FALSE)</f>
        <v>#NAME?</v>
      </c>
      <c r="E8" t="e">
        <f ca="1">[1]!NT_DIST($A8,$B$3,E$5,FALSE)</f>
        <v>#NAME?</v>
      </c>
      <c r="Q8">
        <v>-6</v>
      </c>
      <c r="R8" t="e">
        <f ca="1">[1]!NT_DIST($Q8,R$5,$R$3,FALSE)</f>
        <v>#NAME?</v>
      </c>
      <c r="S8" t="e">
        <f ca="1">[1]!NT_DIST($Q8,S$5,$R$3,FALSE)</f>
        <v>#NAME?</v>
      </c>
      <c r="T8" t="e">
        <f ca="1">[1]!NT_DIST($Q8,T$5,$R$3,FALSE)</f>
        <v>#NAME?</v>
      </c>
      <c r="U8" t="e">
        <f ca="1">[1]!NT_DIST($Q8,U$5,$R$3,FALSE)</f>
        <v>#NAME?</v>
      </c>
      <c r="AH8" s="65" t="s">
        <v>3479</v>
      </c>
      <c r="AI8" s="1235">
        <f>AI3*SQRT(AI5)</f>
        <v>1.7888543819998319</v>
      </c>
      <c r="AJ8" s="8"/>
      <c r="AK8" s="23" t="s">
        <v>3499</v>
      </c>
      <c r="AM8" s="65" t="s">
        <v>144</v>
      </c>
      <c r="AN8" s="544">
        <f>ABS(AN3-AN4)/SQRT(AN5^2+AN6^2-2*AN5*AN6*AN7)</f>
        <v>0.75207104699523353</v>
      </c>
      <c r="AP8" s="23" t="s">
        <v>3505</v>
      </c>
      <c r="AW8" s="65" t="s">
        <v>3479</v>
      </c>
      <c r="AX8" s="1235">
        <f>AX3*SQRT(AX5/2)</f>
        <v>0.89442719099991597</v>
      </c>
      <c r="AZ8" s="23" t="s">
        <v>3514</v>
      </c>
    </row>
    <row r="9" spans="1:52">
      <c r="A9">
        <f>A8+0.1</f>
        <v>-9.9</v>
      </c>
      <c r="B9" t="e">
        <f ca="1">[1]!NT_DIST($A9,$B$3,B$5,FALSE)</f>
        <v>#NAME?</v>
      </c>
      <c r="C9" t="e">
        <f ca="1">[1]!NT_DIST($A9,$B$3,C$5,FALSE)</f>
        <v>#NAME?</v>
      </c>
      <c r="D9" t="e">
        <f ca="1">[1]!NT_DIST($A9,$B$3,D$5,FALSE)</f>
        <v>#NAME?</v>
      </c>
      <c r="E9" t="e">
        <f ca="1">[1]!NT_DIST($A9,$B$3,E$5,FALSE)</f>
        <v>#NAME?</v>
      </c>
      <c r="Q9">
        <f>Q8+0.1</f>
        <v>-5.9</v>
      </c>
      <c r="R9" t="e">
        <f ca="1">[1]!NT_DIST($Q9,R$5,$R$3,FALSE)</f>
        <v>#NAME?</v>
      </c>
      <c r="S9" t="e">
        <f ca="1">[1]!NT_DIST($Q9,S$5,$R$3,FALSE)</f>
        <v>#NAME?</v>
      </c>
      <c r="T9" t="e">
        <f ca="1">[1]!NT_DIST($Q9,T$5,$R$3,FALSE)</f>
        <v>#NAME?</v>
      </c>
      <c r="U9" t="e">
        <f ca="1">[1]!NT_DIST($Q9,U$5,$R$3,FALSE)</f>
        <v>#NAME?</v>
      </c>
      <c r="AH9" s="493" t="s">
        <v>186</v>
      </c>
      <c r="AI9" s="627">
        <f>AI5-1</f>
        <v>19</v>
      </c>
      <c r="AJ9" s="8"/>
      <c r="AK9" s="23" t="s">
        <v>3500</v>
      </c>
      <c r="AR9" s="65" t="s">
        <v>3479</v>
      </c>
      <c r="AS9" s="1235">
        <f>AS3*SQRT(HARMEAN(AS5,AS6)/2)</f>
        <v>1.0327955589886446</v>
      </c>
      <c r="AU9" s="23" t="s">
        <v>3508</v>
      </c>
      <c r="AW9" s="493" t="s">
        <v>186</v>
      </c>
      <c r="AX9" s="627">
        <f>AX5*2-2</f>
        <v>18</v>
      </c>
      <c r="AZ9" s="23" t="s">
        <v>3515</v>
      </c>
    </row>
    <row r="10" spans="1:52">
      <c r="A10">
        <f t="shared" ref="A10:A73" si="0">A9+0.1</f>
        <v>-9.8000000000000007</v>
      </c>
      <c r="B10" t="e">
        <f ca="1">[1]!NT_DIST($A10,$B$3,B$5,FALSE)</f>
        <v>#NAME?</v>
      </c>
      <c r="C10" t="e">
        <f ca="1">[1]!NT_DIST($A10,$B$3,C$5,FALSE)</f>
        <v>#NAME?</v>
      </c>
      <c r="D10" t="e">
        <f ca="1">[1]!NT_DIST($A10,$B$3,D$5,FALSE)</f>
        <v>#NAME?</v>
      </c>
      <c r="E10" t="e">
        <f ca="1">[1]!NT_DIST($A10,$B$3,E$5,FALSE)</f>
        <v>#NAME?</v>
      </c>
      <c r="Q10">
        <f t="shared" ref="Q10:Q73" si="1">Q9+0.1</f>
        <v>-5.8000000000000007</v>
      </c>
      <c r="R10" t="e">
        <f ca="1">[1]!NT_DIST($Q10,R$5,$R$3,FALSE)</f>
        <v>#NAME?</v>
      </c>
      <c r="S10" t="e">
        <f ca="1">[1]!NT_DIST($Q10,S$5,$R$3,FALSE)</f>
        <v>#NAME?</v>
      </c>
      <c r="T10" t="e">
        <f ca="1">[1]!NT_DIST($Q10,T$5,$R$3,FALSE)</f>
        <v>#NAME?</v>
      </c>
      <c r="U10" t="e">
        <f ca="1">[1]!NT_DIST($Q10,U$5,$R$3,FALSE)</f>
        <v>#NAME?</v>
      </c>
      <c r="AH10" s="493" t="s">
        <v>201</v>
      </c>
      <c r="AI10" s="627">
        <f>IF(AI6=1,TINV(AI4*2,AI9),TINV(AI4,AI9))</f>
        <v>2.0930240544083096</v>
      </c>
      <c r="AJ10" s="8"/>
      <c r="AK10" s="23" t="s">
        <v>3933</v>
      </c>
      <c r="AM10" s="65" t="s">
        <v>157</v>
      </c>
      <c r="AN10" s="1235">
        <v>0.05</v>
      </c>
      <c r="AR10" s="493" t="s">
        <v>186</v>
      </c>
      <c r="AS10" s="627">
        <f>AS5+AS6-2</f>
        <v>28</v>
      </c>
      <c r="AU10" s="23" t="s">
        <v>3509</v>
      </c>
      <c r="AW10" s="493" t="s">
        <v>201</v>
      </c>
      <c r="AX10" s="627">
        <f>IF(AX6=1,TINV(AX4*2,AX9),TINV(AX4,AX9))</f>
        <v>2.1009220402410378</v>
      </c>
      <c r="AZ10" s="23" t="s">
        <v>3939</v>
      </c>
    </row>
    <row r="11" spans="1:52">
      <c r="A11">
        <f t="shared" si="0"/>
        <v>-9.7000000000000011</v>
      </c>
      <c r="B11" t="e">
        <f ca="1">[1]!NT_DIST($A11,$B$3,B$5,FALSE)</f>
        <v>#NAME?</v>
      </c>
      <c r="C11" t="e">
        <f ca="1">[1]!NT_DIST($A11,$B$3,C$5,FALSE)</f>
        <v>#NAME?</v>
      </c>
      <c r="D11" t="e">
        <f ca="1">[1]!NT_DIST($A11,$B$3,D$5,FALSE)</f>
        <v>#NAME?</v>
      </c>
      <c r="E11" t="e">
        <f ca="1">[1]!NT_DIST($A11,$B$3,E$5,FALSE)</f>
        <v>#NAME?</v>
      </c>
      <c r="Q11">
        <f t="shared" si="1"/>
        <v>-5.7000000000000011</v>
      </c>
      <c r="R11" t="e">
        <f ca="1">[1]!NT_DIST($Q11,R$5,$R$3,FALSE)</f>
        <v>#NAME?</v>
      </c>
      <c r="S11" t="e">
        <f ca="1">[1]!NT_DIST($Q11,S$5,$R$3,FALSE)</f>
        <v>#NAME?</v>
      </c>
      <c r="T11" t="e">
        <f ca="1">[1]!NT_DIST($Q11,T$5,$R$3,FALSE)</f>
        <v>#NAME?</v>
      </c>
      <c r="U11" t="e">
        <f ca="1">[1]!NT_DIST($Q11,U$5,$R$3,FALSE)</f>
        <v>#NAME?</v>
      </c>
      <c r="AH11" s="493" t="s">
        <v>1874</v>
      </c>
      <c r="AI11" s="627" t="e">
        <f ca="1">[1]!NT_DIST(AI10,AI9,AI8,TRUE)-IF(AI6=1,0,[1]!NT_DIST(-AI10,AI9,AI8,TRUE))</f>
        <v>#NAME?</v>
      </c>
      <c r="AJ11" s="8"/>
      <c r="AK11" s="23" t="s">
        <v>3934</v>
      </c>
      <c r="AM11" s="65" t="s">
        <v>106</v>
      </c>
      <c r="AN11" s="627">
        <v>20</v>
      </c>
      <c r="AR11" s="493" t="s">
        <v>201</v>
      </c>
      <c r="AS11" s="627">
        <f>IF(AS7=1,TINV(AS4*2,AS10),TINV(AS4,AS10))</f>
        <v>2.0484071417952445</v>
      </c>
      <c r="AU11" s="23" t="s">
        <v>3936</v>
      </c>
      <c r="AW11" s="493" t="s">
        <v>1874</v>
      </c>
      <c r="AX11" s="627" t="e">
        <f ca="1">[1]!NT_DIST(AX10,AX9,AX8,TRUE)-IF(AX6=1,0,[1]!NT_DIST(-AX10,AX9,AX8,TRUE))</f>
        <v>#NAME?</v>
      </c>
      <c r="AZ11" s="23" t="s">
        <v>3938</v>
      </c>
    </row>
    <row r="12" spans="1:52">
      <c r="A12">
        <f t="shared" si="0"/>
        <v>-9.6000000000000014</v>
      </c>
      <c r="B12" t="e">
        <f ca="1">[1]!NT_DIST($A12,$B$3,B$5,FALSE)</f>
        <v>#NAME?</v>
      </c>
      <c r="C12" t="e">
        <f ca="1">[1]!NT_DIST($A12,$B$3,C$5,FALSE)</f>
        <v>#NAME?</v>
      </c>
      <c r="D12" t="e">
        <f ca="1">[1]!NT_DIST($A12,$B$3,D$5,FALSE)</f>
        <v>#NAME?</v>
      </c>
      <c r="E12" t="e">
        <f ca="1">[1]!NT_DIST($A12,$B$3,E$5,FALSE)</f>
        <v>#NAME?</v>
      </c>
      <c r="Q12">
        <f t="shared" si="1"/>
        <v>-5.6000000000000014</v>
      </c>
      <c r="R12" t="e">
        <f ca="1">[1]!NT_DIST($Q12,R$5,$R$3,FALSE)</f>
        <v>#NAME?</v>
      </c>
      <c r="S12" t="e">
        <f ca="1">[1]!NT_DIST($Q12,S$5,$R$3,FALSE)</f>
        <v>#NAME?</v>
      </c>
      <c r="T12" t="e">
        <f ca="1">[1]!NT_DIST($Q12,T$5,$R$3,FALSE)</f>
        <v>#NAME?</v>
      </c>
      <c r="U12" t="e">
        <f ca="1">[1]!NT_DIST($Q12,U$5,$R$3,FALSE)</f>
        <v>#NAME?</v>
      </c>
      <c r="AH12" s="493" t="s">
        <v>3488</v>
      </c>
      <c r="AI12" s="544" t="e">
        <f ca="1">1-AI11</f>
        <v>#NAME?</v>
      </c>
      <c r="AJ12" s="8"/>
      <c r="AK12" s="23" t="s">
        <v>3501</v>
      </c>
      <c r="AM12" s="493" t="s">
        <v>1178</v>
      </c>
      <c r="AN12" s="627">
        <v>2</v>
      </c>
      <c r="AR12" s="493" t="s">
        <v>1874</v>
      </c>
      <c r="AS12" s="627" t="e">
        <f ca="1">[1]!NT_DIST(AS11,AS10,AS9,TRUE)-IF(AS7=1,0,[1]!NT_DIST(-AS11,AS10,AS9,TRUE))</f>
        <v>#NAME?</v>
      </c>
      <c r="AU12" s="23" t="s">
        <v>3937</v>
      </c>
      <c r="AW12" s="493" t="s">
        <v>3488</v>
      </c>
      <c r="AX12" s="544" t="e">
        <f ca="1">1-AX11</f>
        <v>#NAME?</v>
      </c>
      <c r="AZ12" s="23" t="s">
        <v>3516</v>
      </c>
    </row>
    <row r="13" spans="1:52">
      <c r="A13">
        <f t="shared" si="0"/>
        <v>-9.5000000000000018</v>
      </c>
      <c r="B13" t="e">
        <f ca="1">[1]!NT_DIST($A13,$B$3,B$5,FALSE)</f>
        <v>#NAME?</v>
      </c>
      <c r="C13" t="e">
        <f ca="1">[1]!NT_DIST($A13,$B$3,C$5,FALSE)</f>
        <v>#NAME?</v>
      </c>
      <c r="D13" t="e">
        <f ca="1">[1]!NT_DIST($A13,$B$3,D$5,FALSE)</f>
        <v>#NAME?</v>
      </c>
      <c r="E13" t="e">
        <f ca="1">[1]!NT_DIST($A13,$B$3,E$5,FALSE)</f>
        <v>#NAME?</v>
      </c>
      <c r="Q13">
        <f t="shared" si="1"/>
        <v>-5.5000000000000018</v>
      </c>
      <c r="R13" t="e">
        <f ca="1">[1]!NT_DIST($Q13,R$5,$R$3,FALSE)</f>
        <v>#NAME?</v>
      </c>
      <c r="S13" t="e">
        <f ca="1">[1]!NT_DIST($Q13,S$5,$R$3,FALSE)</f>
        <v>#NAME?</v>
      </c>
      <c r="T13" t="e">
        <f ca="1">[1]!NT_DIST($Q13,T$5,$R$3,FALSE)</f>
        <v>#NAME?</v>
      </c>
      <c r="U13" t="e">
        <f ca="1">[1]!NT_DIST($Q13,U$5,$R$3,FALSE)</f>
        <v>#NAME?</v>
      </c>
      <c r="AM13" s="493" t="s">
        <v>3488</v>
      </c>
      <c r="AN13" s="544" t="e">
        <f ca="1">[1]!T1_POWER(AN8,AN11,AN12,AN10)</f>
        <v>#NAME?</v>
      </c>
      <c r="AP13" s="23" t="s">
        <v>3506</v>
      </c>
      <c r="AR13" s="493" t="s">
        <v>3488</v>
      </c>
      <c r="AS13" s="544" t="e">
        <f ca="1">1-AS12</f>
        <v>#NAME?</v>
      </c>
      <c r="AU13" s="23" t="s">
        <v>3510</v>
      </c>
    </row>
    <row r="14" spans="1:52">
      <c r="A14">
        <f t="shared" si="0"/>
        <v>-9.4000000000000021</v>
      </c>
      <c r="B14" t="e">
        <f ca="1">[1]!NT_DIST($A14,$B$3,B$5,FALSE)</f>
        <v>#NAME?</v>
      </c>
      <c r="C14" t="e">
        <f ca="1">[1]!NT_DIST($A14,$B$3,C$5,FALSE)</f>
        <v>#NAME?</v>
      </c>
      <c r="D14" t="e">
        <f ca="1">[1]!NT_DIST($A14,$B$3,D$5,FALSE)</f>
        <v>#NAME?</v>
      </c>
      <c r="E14" t="e">
        <f ca="1">[1]!NT_DIST($A14,$B$3,E$5,FALSE)</f>
        <v>#NAME?</v>
      </c>
      <c r="Q14">
        <f t="shared" si="1"/>
        <v>-5.4000000000000021</v>
      </c>
      <c r="R14" t="e">
        <f ca="1">[1]!NT_DIST($Q14,R$5,$R$3,FALSE)</f>
        <v>#NAME?</v>
      </c>
      <c r="S14" t="e">
        <f ca="1">[1]!NT_DIST($Q14,S$5,$R$3,FALSE)</f>
        <v>#NAME?</v>
      </c>
      <c r="T14" t="e">
        <f ca="1">[1]!NT_DIST($Q14,T$5,$R$3,FALSE)</f>
        <v>#NAME?</v>
      </c>
      <c r="U14" t="e">
        <f ca="1">[1]!NT_DIST($Q14,U$5,$R$3,FALSE)</f>
        <v>#NAME?</v>
      </c>
      <c r="AH14" t="s">
        <v>3494</v>
      </c>
      <c r="AI14" s="756" t="e">
        <f ca="1">[1]!T1_POWER(AI3,AI5,AI6,AI4)</f>
        <v>#NAME?</v>
      </c>
      <c r="AJ14" s="8"/>
      <c r="AK14" s="23" t="s">
        <v>3502</v>
      </c>
      <c r="AW14" t="s">
        <v>3494</v>
      </c>
      <c r="AX14" s="1235" t="e">
        <f ca="1">[1]!T2_POWER(AX3,AX5)</f>
        <v>#NAME?</v>
      </c>
      <c r="AZ14" s="23" t="s">
        <v>3517</v>
      </c>
    </row>
    <row r="15" spans="1:52">
      <c r="A15">
        <f t="shared" si="0"/>
        <v>-9.3000000000000025</v>
      </c>
      <c r="B15" t="e">
        <f ca="1">[1]!NT_DIST($A15,$B$3,B$5,FALSE)</f>
        <v>#NAME?</v>
      </c>
      <c r="C15" t="e">
        <f ca="1">[1]!NT_DIST($A15,$B$3,C$5,FALSE)</f>
        <v>#NAME?</v>
      </c>
      <c r="D15" t="e">
        <f ca="1">[1]!NT_DIST($A15,$B$3,D$5,FALSE)</f>
        <v>#NAME?</v>
      </c>
      <c r="E15" t="e">
        <f ca="1">[1]!NT_DIST($A15,$B$3,E$5,FALSE)</f>
        <v>#NAME?</v>
      </c>
      <c r="Q15">
        <f t="shared" si="1"/>
        <v>-5.3000000000000025</v>
      </c>
      <c r="R15" t="e">
        <f ca="1">[1]!NT_DIST($Q15,R$5,$R$3,FALSE)</f>
        <v>#NAME?</v>
      </c>
      <c r="S15" t="e">
        <f ca="1">[1]!NT_DIST($Q15,S$5,$R$3,FALSE)</f>
        <v>#NAME?</v>
      </c>
      <c r="T15" t="e">
        <f ca="1">[1]!NT_DIST($Q15,T$5,$R$3,FALSE)</f>
        <v>#NAME?</v>
      </c>
      <c r="U15" t="e">
        <f ca="1">[1]!NT_DIST($Q15,U$5,$R$3,FALSE)</f>
        <v>#NAME?</v>
      </c>
      <c r="AM15" t="s">
        <v>3504</v>
      </c>
      <c r="AN15" s="756" t="e">
        <f ca="1">[1]!Effect_Paired(AN3,AN4,AN5,AN6,AN7)</f>
        <v>#NAME?</v>
      </c>
      <c r="AP15" s="23" t="s">
        <v>3512</v>
      </c>
      <c r="AR15" t="s">
        <v>3494</v>
      </c>
      <c r="AS15" s="756" t="e">
        <f ca="1">[1]!T2_POWER(AS3,AS5,AS6,AS7,AS4)</f>
        <v>#NAME?</v>
      </c>
      <c r="AU15" s="23" t="s">
        <v>3511</v>
      </c>
      <c r="AX15" s="627" t="e">
        <f ca="1">[1]!T2_POWER(AX3,ROUNDUP(AX5,0))</f>
        <v>#NAME?</v>
      </c>
      <c r="AZ15" s="1160" t="s">
        <v>3565</v>
      </c>
    </row>
    <row r="16" spans="1:52">
      <c r="A16">
        <f t="shared" si="0"/>
        <v>-9.2000000000000028</v>
      </c>
      <c r="B16" t="e">
        <f ca="1">[1]!NT_DIST($A16,$B$3,B$5,FALSE)</f>
        <v>#NAME?</v>
      </c>
      <c r="C16" t="e">
        <f ca="1">[1]!NT_DIST($A16,$B$3,C$5,FALSE)</f>
        <v>#NAME?</v>
      </c>
      <c r="D16" t="e">
        <f ca="1">[1]!NT_DIST($A16,$B$3,D$5,FALSE)</f>
        <v>#NAME?</v>
      </c>
      <c r="E16" t="e">
        <f ca="1">[1]!NT_DIST($A16,$B$3,E$5,FALSE)</f>
        <v>#NAME?</v>
      </c>
      <c r="Q16">
        <f t="shared" si="1"/>
        <v>-5.2000000000000028</v>
      </c>
      <c r="R16" t="e">
        <f ca="1">[1]!NT_DIST($Q16,R$5,$R$3,FALSE)</f>
        <v>#NAME?</v>
      </c>
      <c r="S16" t="e">
        <f ca="1">[1]!NT_DIST($Q16,S$5,$R$3,FALSE)</f>
        <v>#NAME?</v>
      </c>
      <c r="T16" t="e">
        <f ca="1">[1]!NT_DIST($Q16,T$5,$R$3,FALSE)</f>
        <v>#NAME?</v>
      </c>
      <c r="U16" t="e">
        <f ca="1">[1]!NT_DIST($Q16,U$5,$R$3,FALSE)</f>
        <v>#NAME?</v>
      </c>
      <c r="AX16" s="544" t="e">
        <f ca="1">[1]!T2_POWER(AX3,100)</f>
        <v>#NAME?</v>
      </c>
      <c r="AZ16" s="23" t="s">
        <v>3518</v>
      </c>
    </row>
    <row r="17" spans="1:52">
      <c r="A17">
        <f t="shared" si="0"/>
        <v>-9.1000000000000032</v>
      </c>
      <c r="B17" t="e">
        <f ca="1">[1]!NT_DIST($A17,$B$3,B$5,FALSE)</f>
        <v>#NAME?</v>
      </c>
      <c r="C17" t="e">
        <f ca="1">[1]!NT_DIST($A17,$B$3,C$5,FALSE)</f>
        <v>#NAME?</v>
      </c>
      <c r="D17" t="e">
        <f ca="1">[1]!NT_DIST($A17,$B$3,D$5,FALSE)</f>
        <v>#NAME?</v>
      </c>
      <c r="E17" t="e">
        <f ca="1">[1]!NT_DIST($A17,$B$3,E$5,FALSE)</f>
        <v>#NAME?</v>
      </c>
      <c r="Q17">
        <f t="shared" si="1"/>
        <v>-5.1000000000000032</v>
      </c>
      <c r="R17" t="e">
        <f ca="1">[1]!NT_DIST($Q17,R$5,$R$3,FALSE)</f>
        <v>#NAME?</v>
      </c>
      <c r="S17" t="e">
        <f ca="1">[1]!NT_DIST($Q17,S$5,$R$3,FALSE)</f>
        <v>#NAME?</v>
      </c>
      <c r="T17" t="e">
        <f ca="1">[1]!NT_DIST($Q17,T$5,$R$3,FALSE)</f>
        <v>#NAME?</v>
      </c>
      <c r="U17" t="e">
        <f ca="1">[1]!NT_DIST($Q17,U$5,$R$3,FALSE)</f>
        <v>#NAME?</v>
      </c>
      <c r="AO17" s="8"/>
      <c r="AP17" s="8"/>
    </row>
    <row r="18" spans="1:52">
      <c r="A18">
        <f t="shared" si="0"/>
        <v>-9.0000000000000036</v>
      </c>
      <c r="B18" t="e">
        <f ca="1">[1]!NT_DIST($A18,$B$3,B$5,FALSE)</f>
        <v>#NAME?</v>
      </c>
      <c r="C18" t="e">
        <f ca="1">[1]!NT_DIST($A18,$B$3,C$5,FALSE)</f>
        <v>#NAME?</v>
      </c>
      <c r="D18" t="e">
        <f ca="1">[1]!NT_DIST($A18,$B$3,D$5,FALSE)</f>
        <v>#NAME?</v>
      </c>
      <c r="E18" t="e">
        <f ca="1">[1]!NT_DIST($A18,$B$3,E$5,FALSE)</f>
        <v>#NAME?</v>
      </c>
      <c r="Q18">
        <f t="shared" si="1"/>
        <v>-5.0000000000000036</v>
      </c>
      <c r="R18" t="e">
        <f ca="1">[1]!NT_DIST($Q18,R$5,$R$3,FALSE)</f>
        <v>#NAME?</v>
      </c>
      <c r="S18" t="e">
        <f ca="1">[1]!NT_DIST($Q18,S$5,$R$3,FALSE)</f>
        <v>#NAME?</v>
      </c>
      <c r="T18" t="e">
        <f ca="1">[1]!NT_DIST($Q18,T$5,$R$3,FALSE)</f>
        <v>#NAME?</v>
      </c>
      <c r="U18" t="e">
        <f ca="1">[1]!NT_DIST($Q18,U$5,$R$3,FALSE)</f>
        <v>#NAME?</v>
      </c>
      <c r="AO18" s="8"/>
      <c r="AP18" s="8"/>
      <c r="AW18" s="493" t="s">
        <v>3488</v>
      </c>
      <c r="AX18" s="1235">
        <v>0.8</v>
      </c>
    </row>
    <row r="19" spans="1:52">
      <c r="A19">
        <f t="shared" si="0"/>
        <v>-8.9000000000000039</v>
      </c>
      <c r="B19" t="e">
        <f ca="1">[1]!NT_DIST($A19,$B$3,B$5,FALSE)</f>
        <v>#NAME?</v>
      </c>
      <c r="C19" t="e">
        <f ca="1">[1]!NT_DIST($A19,$B$3,C$5,FALSE)</f>
        <v>#NAME?</v>
      </c>
      <c r="D19" t="e">
        <f ca="1">[1]!NT_DIST($A19,$B$3,D$5,FALSE)</f>
        <v>#NAME?</v>
      </c>
      <c r="E19" t="e">
        <f ca="1">[1]!NT_DIST($A19,$B$3,E$5,FALSE)</f>
        <v>#NAME?</v>
      </c>
      <c r="Q19">
        <f t="shared" si="1"/>
        <v>-4.9000000000000039</v>
      </c>
      <c r="R19" t="e">
        <f ca="1">[1]!NT_DIST($Q19,R$5,$R$3,FALSE)</f>
        <v>#NAME?</v>
      </c>
      <c r="S19" t="e">
        <f ca="1">[1]!NT_DIST($Q19,S$5,$R$3,FALSE)</f>
        <v>#NAME?</v>
      </c>
      <c r="T19" t="e">
        <f ca="1">[1]!NT_DIST($Q19,T$5,$R$3,FALSE)</f>
        <v>#NAME?</v>
      </c>
      <c r="U19" t="e">
        <f ca="1">[1]!NT_DIST($Q19,U$5,$R$3,FALSE)</f>
        <v>#NAME?</v>
      </c>
      <c r="AO19" s="8"/>
      <c r="AP19" s="8"/>
      <c r="AX19" s="544" t="e">
        <f ca="1">[1]!T2_SIZE(AX3,AX18)</f>
        <v>#NAME?</v>
      </c>
      <c r="AZ19" s="23" t="s">
        <v>3519</v>
      </c>
    </row>
    <row r="20" spans="1:52">
      <c r="A20">
        <f t="shared" si="0"/>
        <v>-8.8000000000000043</v>
      </c>
      <c r="B20" t="e">
        <f ca="1">[1]!NT_DIST($A20,$B$3,B$5,FALSE)</f>
        <v>#NAME?</v>
      </c>
      <c r="C20" t="e">
        <f ca="1">[1]!NT_DIST($A20,$B$3,C$5,FALSE)</f>
        <v>#NAME?</v>
      </c>
      <c r="D20" t="e">
        <f ca="1">[1]!NT_DIST($A20,$B$3,D$5,FALSE)</f>
        <v>#NAME?</v>
      </c>
      <c r="E20" t="e">
        <f ca="1">[1]!NT_DIST($A20,$B$3,E$5,FALSE)</f>
        <v>#NAME?</v>
      </c>
      <c r="Q20">
        <f t="shared" si="1"/>
        <v>-4.8000000000000043</v>
      </c>
      <c r="R20" t="e">
        <f ca="1">[1]!NT_DIST($Q20,R$5,$R$3,FALSE)</f>
        <v>#NAME?</v>
      </c>
      <c r="S20" t="e">
        <f ca="1">[1]!NT_DIST($Q20,S$5,$R$3,FALSE)</f>
        <v>#NAME?</v>
      </c>
      <c r="T20" t="e">
        <f ca="1">[1]!NT_DIST($Q20,T$5,$R$3,FALSE)</f>
        <v>#NAME?</v>
      </c>
      <c r="U20" t="e">
        <f ca="1">[1]!NT_DIST($Q20,U$5,$R$3,FALSE)</f>
        <v>#NAME?</v>
      </c>
      <c r="AO20" s="8"/>
      <c r="AP20" s="8"/>
    </row>
    <row r="21" spans="1:52">
      <c r="A21">
        <f t="shared" si="0"/>
        <v>-8.7000000000000046</v>
      </c>
      <c r="B21" t="e">
        <f ca="1">[1]!NT_DIST($A21,$B$3,B$5,FALSE)</f>
        <v>#NAME?</v>
      </c>
      <c r="C21" t="e">
        <f ca="1">[1]!NT_DIST($A21,$B$3,C$5,FALSE)</f>
        <v>#NAME?</v>
      </c>
      <c r="D21" t="e">
        <f ca="1">[1]!NT_DIST($A21,$B$3,D$5,FALSE)</f>
        <v>#NAME?</v>
      </c>
      <c r="E21" t="e">
        <f ca="1">[1]!NT_DIST($A21,$B$3,E$5,FALSE)</f>
        <v>#NAME?</v>
      </c>
      <c r="Q21">
        <f t="shared" si="1"/>
        <v>-4.7000000000000046</v>
      </c>
      <c r="R21" t="e">
        <f ca="1">[1]!NT_DIST($Q21,R$5,$R$3,FALSE)</f>
        <v>#NAME?</v>
      </c>
      <c r="S21" t="e">
        <f ca="1">[1]!NT_DIST($Q21,S$5,$R$3,FALSE)</f>
        <v>#NAME?</v>
      </c>
      <c r="T21" t="e">
        <f ca="1">[1]!NT_DIST($Q21,T$5,$R$3,FALSE)</f>
        <v>#NAME?</v>
      </c>
      <c r="U21" t="e">
        <f ca="1">[1]!NT_DIST($Q21,U$5,$R$3,FALSE)</f>
        <v>#NAME?</v>
      </c>
      <c r="AO21" s="8"/>
      <c r="AP21" s="8"/>
    </row>
    <row r="22" spans="1:52">
      <c r="A22">
        <f t="shared" si="0"/>
        <v>-8.600000000000005</v>
      </c>
      <c r="B22" t="e">
        <f ca="1">[1]!NT_DIST($A22,$B$3,B$5,FALSE)</f>
        <v>#NAME?</v>
      </c>
      <c r="C22" t="e">
        <f ca="1">[1]!NT_DIST($A22,$B$3,C$5,FALSE)</f>
        <v>#NAME?</v>
      </c>
      <c r="D22" t="e">
        <f ca="1">[1]!NT_DIST($A22,$B$3,D$5,FALSE)</f>
        <v>#NAME?</v>
      </c>
      <c r="E22" t="e">
        <f ca="1">[1]!NT_DIST($A22,$B$3,E$5,FALSE)</f>
        <v>#NAME?</v>
      </c>
      <c r="Q22">
        <f t="shared" si="1"/>
        <v>-4.600000000000005</v>
      </c>
      <c r="R22" t="e">
        <f ca="1">[1]!NT_DIST($Q22,R$5,$R$3,FALSE)</f>
        <v>#NAME?</v>
      </c>
      <c r="S22" t="e">
        <f ca="1">[1]!NT_DIST($Q22,S$5,$R$3,FALSE)</f>
        <v>#NAME?</v>
      </c>
      <c r="T22" t="e">
        <f ca="1">[1]!NT_DIST($Q22,T$5,$R$3,FALSE)</f>
        <v>#NAME?</v>
      </c>
      <c r="U22" t="e">
        <f ca="1">[1]!NT_DIST($Q22,U$5,$R$3,FALSE)</f>
        <v>#NAME?</v>
      </c>
      <c r="AO22" s="8"/>
      <c r="AP22" s="8"/>
      <c r="AX22" s="1235" t="e">
        <f ca="1">[1]!T2_SIZE(AX3,AX18,1)</f>
        <v>#NAME?</v>
      </c>
      <c r="AZ22" s="23" t="s">
        <v>3520</v>
      </c>
    </row>
    <row r="23" spans="1:52">
      <c r="A23">
        <f t="shared" si="0"/>
        <v>-8.5000000000000053</v>
      </c>
      <c r="B23" t="e">
        <f ca="1">[1]!NT_DIST($A23,$B$3,B$5,FALSE)</f>
        <v>#NAME?</v>
      </c>
      <c r="C23" t="e">
        <f ca="1">[1]!NT_DIST($A23,$B$3,C$5,FALSE)</f>
        <v>#NAME?</v>
      </c>
      <c r="D23" t="e">
        <f ca="1">[1]!NT_DIST($A23,$B$3,D$5,FALSE)</f>
        <v>#NAME?</v>
      </c>
      <c r="E23" t="e">
        <f ca="1">[1]!NT_DIST($A23,$B$3,E$5,FALSE)</f>
        <v>#NAME?</v>
      </c>
      <c r="Q23">
        <f t="shared" si="1"/>
        <v>-4.5000000000000053</v>
      </c>
      <c r="R23" t="e">
        <f ca="1">[1]!NT_DIST($Q23,R$5,$R$3,FALSE)</f>
        <v>#NAME?</v>
      </c>
      <c r="S23" t="e">
        <f ca="1">[1]!NT_DIST($Q23,S$5,$R$3,FALSE)</f>
        <v>#NAME?</v>
      </c>
      <c r="T23" t="e">
        <f ca="1">[1]!NT_DIST($Q23,T$5,$R$3,FALSE)</f>
        <v>#NAME?</v>
      </c>
      <c r="U23" t="e">
        <f ca="1">[1]!NT_DIST($Q23,U$5,$R$3,FALSE)</f>
        <v>#NAME?</v>
      </c>
      <c r="AX23" s="627" t="e">
        <f ca="1">[1]!T2_SIZE(AX3,AX18,2,0.025)</f>
        <v>#NAME?</v>
      </c>
      <c r="AZ23" s="23" t="s">
        <v>3521</v>
      </c>
    </row>
    <row r="24" spans="1:52">
      <c r="A24">
        <f t="shared" si="0"/>
        <v>-8.4000000000000057</v>
      </c>
      <c r="B24" t="e">
        <f ca="1">[1]!NT_DIST($A24,$B$3,B$5,FALSE)</f>
        <v>#NAME?</v>
      </c>
      <c r="C24" t="e">
        <f ca="1">[1]!NT_DIST($A24,$B$3,C$5,FALSE)</f>
        <v>#NAME?</v>
      </c>
      <c r="D24" t="e">
        <f ca="1">[1]!NT_DIST($A24,$B$3,D$5,FALSE)</f>
        <v>#NAME?</v>
      </c>
      <c r="E24" t="e">
        <f ca="1">[1]!NT_DIST($A24,$B$3,E$5,FALSE)</f>
        <v>#NAME?</v>
      </c>
      <c r="H24" t="s">
        <v>195</v>
      </c>
      <c r="I24" s="1235">
        <v>4.5</v>
      </c>
      <c r="Q24">
        <f t="shared" si="1"/>
        <v>-4.4000000000000057</v>
      </c>
      <c r="R24" t="e">
        <f ca="1">[1]!NT_DIST($Q24,R$5,$R$3,FALSE)</f>
        <v>#NAME?</v>
      </c>
      <c r="S24" t="e">
        <f ca="1">[1]!NT_DIST($Q24,S$5,$R$3,FALSE)</f>
        <v>#NAME?</v>
      </c>
      <c r="T24" t="e">
        <f ca="1">[1]!NT_DIST($Q24,T$5,$R$3,FALSE)</f>
        <v>#NAME?</v>
      </c>
      <c r="U24" t="e">
        <f ca="1">[1]!NT_DIST($Q24,U$5,$R$3,FALSE)</f>
        <v>#NAME?</v>
      </c>
      <c r="AO24" s="8"/>
      <c r="AP24" s="8"/>
      <c r="AX24" s="544" t="e">
        <f ca="1">[1]!T1_SIZE(AX3)</f>
        <v>#NAME?</v>
      </c>
      <c r="AZ24" s="23" t="s">
        <v>3522</v>
      </c>
    </row>
    <row r="25" spans="1:52">
      <c r="A25">
        <f t="shared" si="0"/>
        <v>-8.300000000000006</v>
      </c>
      <c r="B25" t="e">
        <f ca="1">[1]!NT_DIST($A25,$B$3,B$5,FALSE)</f>
        <v>#NAME?</v>
      </c>
      <c r="C25" t="e">
        <f ca="1">[1]!NT_DIST($A25,$B$3,C$5,FALSE)</f>
        <v>#NAME?</v>
      </c>
      <c r="D25" t="e">
        <f ca="1">[1]!NT_DIST($A25,$B$3,D$5,FALSE)</f>
        <v>#NAME?</v>
      </c>
      <c r="E25" t="e">
        <f ca="1">[1]!NT_DIST($A25,$B$3,E$5,FALSE)</f>
        <v>#NAME?</v>
      </c>
      <c r="H25" t="s">
        <v>186</v>
      </c>
      <c r="I25" s="627">
        <v>10</v>
      </c>
      <c r="Q25">
        <f t="shared" si="1"/>
        <v>-4.300000000000006</v>
      </c>
      <c r="R25" t="e">
        <f ca="1">[1]!NT_DIST($Q25,R$5,$R$3,FALSE)</f>
        <v>#NAME?</v>
      </c>
      <c r="S25" t="e">
        <f ca="1">[1]!NT_DIST($Q25,S$5,$R$3,FALSE)</f>
        <v>#NAME?</v>
      </c>
      <c r="T25" t="e">
        <f ca="1">[1]!NT_DIST($Q25,T$5,$R$3,FALSE)</f>
        <v>#NAME?</v>
      </c>
      <c r="U25" t="e">
        <f ca="1">[1]!NT_DIST($Q25,U$5,$R$3,FALSE)</f>
        <v>#NAME?</v>
      </c>
    </row>
    <row r="26" spans="1:52">
      <c r="A26">
        <f t="shared" si="0"/>
        <v>-8.2000000000000064</v>
      </c>
      <c r="B26" t="e">
        <f ca="1">[1]!NT_DIST($A26,$B$3,B$5,FALSE)</f>
        <v>#NAME?</v>
      </c>
      <c r="C26" t="e">
        <f ca="1">[1]!NT_DIST($A26,$B$3,C$5,FALSE)</f>
        <v>#NAME?</v>
      </c>
      <c r="D26" t="e">
        <f ca="1">[1]!NT_DIST($A26,$B$3,D$5,FALSE)</f>
        <v>#NAME?</v>
      </c>
      <c r="E26" t="e">
        <f ca="1">[1]!NT_DIST($A26,$B$3,E$5,FALSE)</f>
        <v>#NAME?</v>
      </c>
      <c r="H26" s="65" t="s">
        <v>3479</v>
      </c>
      <c r="I26" s="627">
        <v>4</v>
      </c>
      <c r="Q26">
        <f t="shared" si="1"/>
        <v>-4.2000000000000064</v>
      </c>
      <c r="R26" t="e">
        <f ca="1">[1]!NT_DIST($Q26,R$5,$R$3,FALSE)</f>
        <v>#NAME?</v>
      </c>
      <c r="S26" t="e">
        <f ca="1">[1]!NT_DIST($Q26,S$5,$R$3,FALSE)</f>
        <v>#NAME?</v>
      </c>
      <c r="T26" t="e">
        <f ca="1">[1]!NT_DIST($Q26,T$5,$R$3,FALSE)</f>
        <v>#NAME?</v>
      </c>
      <c r="U26" t="e">
        <f ca="1">[1]!NT_DIST($Q26,U$5,$R$3,FALSE)</f>
        <v>#NAME?</v>
      </c>
    </row>
    <row r="27" spans="1:52">
      <c r="A27">
        <f t="shared" si="0"/>
        <v>-8.1000000000000068</v>
      </c>
      <c r="B27" t="e">
        <f ca="1">[1]!NT_DIST($A27,$B$3,B$5,FALSE)</f>
        <v>#NAME?</v>
      </c>
      <c r="C27" t="e">
        <f ca="1">[1]!NT_DIST($A27,$B$3,C$5,FALSE)</f>
        <v>#NAME?</v>
      </c>
      <c r="D27" t="e">
        <f ca="1">[1]!NT_DIST($A27,$B$3,D$5,FALSE)</f>
        <v>#NAME?</v>
      </c>
      <c r="E27" t="e">
        <f ca="1">[1]!NT_DIST($A27,$B$3,E$5,FALSE)</f>
        <v>#NAME?</v>
      </c>
      <c r="H27" s="65" t="s">
        <v>3586</v>
      </c>
      <c r="I27" s="627" t="e">
        <f ca="1">[1]!NT_DIST(I24,I25,I26,FALSE)</f>
        <v>#NAME?</v>
      </c>
      <c r="Q27">
        <f t="shared" si="1"/>
        <v>-4.1000000000000068</v>
      </c>
      <c r="R27" t="e">
        <f ca="1">[1]!NT_DIST($Q27,R$5,$R$3,FALSE)</f>
        <v>#NAME?</v>
      </c>
      <c r="S27" t="e">
        <f ca="1">[1]!NT_DIST($Q27,S$5,$R$3,FALSE)</f>
        <v>#NAME?</v>
      </c>
      <c r="T27" t="e">
        <f ca="1">[1]!NT_DIST($Q27,T$5,$R$3,FALSE)</f>
        <v>#NAME?</v>
      </c>
      <c r="U27" t="e">
        <f ca="1">[1]!NT_DIST($Q27,U$5,$R$3,FALSE)</f>
        <v>#NAME?</v>
      </c>
    </row>
    <row r="28" spans="1:52">
      <c r="A28">
        <f t="shared" si="0"/>
        <v>-8.0000000000000071</v>
      </c>
      <c r="B28" t="e">
        <f ca="1">[1]!NT_DIST($A28,$B$3,B$5,FALSE)</f>
        <v>#NAME?</v>
      </c>
      <c r="C28" t="e">
        <f ca="1">[1]!NT_DIST($A28,$B$3,C$5,FALSE)</f>
        <v>#NAME?</v>
      </c>
      <c r="D28" t="e">
        <f ca="1">[1]!NT_DIST($A28,$B$3,D$5,FALSE)</f>
        <v>#NAME?</v>
      </c>
      <c r="E28" t="e">
        <f ca="1">[1]!NT_DIST($A28,$B$3,E$5,FALSE)</f>
        <v>#NAME?</v>
      </c>
      <c r="H28" s="65" t="s">
        <v>3587</v>
      </c>
      <c r="I28" s="544" t="e">
        <f ca="1">[1]!NT_DIST(I24,I25,I26,TRUE)</f>
        <v>#NAME?</v>
      </c>
      <c r="Q28">
        <f t="shared" si="1"/>
        <v>-4.0000000000000071</v>
      </c>
      <c r="R28" t="e">
        <f ca="1">[1]!NT_DIST($Q28,R$5,$R$3,FALSE)</f>
        <v>#NAME?</v>
      </c>
      <c r="S28" t="e">
        <f ca="1">[1]!NT_DIST($Q28,S$5,$R$3,FALSE)</f>
        <v>#NAME?</v>
      </c>
      <c r="T28" t="e">
        <f ca="1">[1]!NT_DIST($Q28,T$5,$R$3,FALSE)</f>
        <v>#NAME?</v>
      </c>
      <c r="U28" t="e">
        <f ca="1">[1]!NT_DIST($Q28,U$5,$R$3,FALSE)</f>
        <v>#NAME?</v>
      </c>
    </row>
    <row r="29" spans="1:52">
      <c r="A29">
        <f t="shared" si="0"/>
        <v>-7.9000000000000075</v>
      </c>
      <c r="B29" t="e">
        <f ca="1">[1]!NT_DIST($A29,$B$3,B$5,FALSE)</f>
        <v>#NAME?</v>
      </c>
      <c r="C29" t="e">
        <f ca="1">[1]!NT_DIST($A29,$B$3,C$5,FALSE)</f>
        <v>#NAME?</v>
      </c>
      <c r="D29" t="e">
        <f ca="1">[1]!NT_DIST($A29,$B$3,D$5,FALSE)</f>
        <v>#NAME?</v>
      </c>
      <c r="E29" t="e">
        <f ca="1">[1]!NT_DIST($A29,$B$3,E$5,FALSE)</f>
        <v>#NAME?</v>
      </c>
      <c r="Q29">
        <f t="shared" si="1"/>
        <v>-3.900000000000007</v>
      </c>
      <c r="R29" t="e">
        <f ca="1">[1]!NT_DIST($Q29,R$5,$R$3,FALSE)</f>
        <v>#NAME?</v>
      </c>
      <c r="S29" t="e">
        <f ca="1">[1]!NT_DIST($Q29,S$5,$R$3,FALSE)</f>
        <v>#NAME?</v>
      </c>
      <c r="T29" t="e">
        <f ca="1">[1]!NT_DIST($Q29,T$5,$R$3,FALSE)</f>
        <v>#NAME?</v>
      </c>
      <c r="U29" t="e">
        <f ca="1">[1]!NT_DIST($Q29,U$5,$R$3,FALSE)</f>
        <v>#NAME?</v>
      </c>
    </row>
    <row r="30" spans="1:52">
      <c r="A30">
        <f t="shared" si="0"/>
        <v>-7.8000000000000078</v>
      </c>
      <c r="B30" t="e">
        <f ca="1">[1]!NT_DIST($A30,$B$3,B$5,FALSE)</f>
        <v>#NAME?</v>
      </c>
      <c r="C30" t="e">
        <f ca="1">[1]!NT_DIST($A30,$B$3,C$5,FALSE)</f>
        <v>#NAME?</v>
      </c>
      <c r="D30" t="e">
        <f ca="1">[1]!NT_DIST($A30,$B$3,D$5,FALSE)</f>
        <v>#NAME?</v>
      </c>
      <c r="E30" t="e">
        <f ca="1">[1]!NT_DIST($A30,$B$3,E$5,FALSE)</f>
        <v>#NAME?</v>
      </c>
      <c r="Q30">
        <f t="shared" si="1"/>
        <v>-3.8000000000000069</v>
      </c>
      <c r="R30" t="e">
        <f ca="1">[1]!NT_DIST($Q30,R$5,$R$3,FALSE)</f>
        <v>#NAME?</v>
      </c>
      <c r="S30" t="e">
        <f ca="1">[1]!NT_DIST($Q30,S$5,$R$3,FALSE)</f>
        <v>#NAME?</v>
      </c>
      <c r="T30" t="e">
        <f ca="1">[1]!NT_DIST($Q30,T$5,$R$3,FALSE)</f>
        <v>#NAME?</v>
      </c>
      <c r="U30" t="e">
        <f ca="1">[1]!NT_DIST($Q30,U$5,$R$3,FALSE)</f>
        <v>#NAME?</v>
      </c>
    </row>
    <row r="31" spans="1:52">
      <c r="A31">
        <f t="shared" si="0"/>
        <v>-7.7000000000000082</v>
      </c>
      <c r="B31" t="e">
        <f ca="1">[1]!NT_DIST($A31,$B$3,B$5,FALSE)</f>
        <v>#NAME?</v>
      </c>
      <c r="C31" t="e">
        <f ca="1">[1]!NT_DIST($A31,$B$3,C$5,FALSE)</f>
        <v>#NAME?</v>
      </c>
      <c r="D31" t="e">
        <f ca="1">[1]!NT_DIST($A31,$B$3,D$5,FALSE)</f>
        <v>#NAME?</v>
      </c>
      <c r="E31" t="e">
        <f ca="1">[1]!NT_DIST($A31,$B$3,E$5,FALSE)</f>
        <v>#NAME?</v>
      </c>
      <c r="Q31">
        <f t="shared" si="1"/>
        <v>-3.7000000000000068</v>
      </c>
      <c r="R31" t="e">
        <f ca="1">[1]!NT_DIST($Q31,R$5,$R$3,FALSE)</f>
        <v>#NAME?</v>
      </c>
      <c r="S31" t="e">
        <f ca="1">[1]!NT_DIST($Q31,S$5,$R$3,FALSE)</f>
        <v>#NAME?</v>
      </c>
      <c r="T31" t="e">
        <f ca="1">[1]!NT_DIST($Q31,T$5,$R$3,FALSE)</f>
        <v>#NAME?</v>
      </c>
      <c r="U31" t="e">
        <f ca="1">[1]!NT_DIST($Q31,U$5,$R$3,FALSE)</f>
        <v>#NAME?</v>
      </c>
    </row>
    <row r="32" spans="1:52">
      <c r="A32">
        <f t="shared" si="0"/>
        <v>-7.6000000000000085</v>
      </c>
      <c r="B32" t="e">
        <f ca="1">[1]!NT_DIST($A32,$B$3,B$5,FALSE)</f>
        <v>#NAME?</v>
      </c>
      <c r="C32" t="e">
        <f ca="1">[1]!NT_DIST($A32,$B$3,C$5,FALSE)</f>
        <v>#NAME?</v>
      </c>
      <c r="D32" t="e">
        <f ca="1">[1]!NT_DIST($A32,$B$3,D$5,FALSE)</f>
        <v>#NAME?</v>
      </c>
      <c r="E32" t="e">
        <f ca="1">[1]!NT_DIST($A32,$B$3,E$5,FALSE)</f>
        <v>#NAME?</v>
      </c>
      <c r="Q32">
        <f t="shared" si="1"/>
        <v>-3.6000000000000068</v>
      </c>
      <c r="R32" t="e">
        <f ca="1">[1]!NT_DIST($Q32,R$5,$R$3,FALSE)</f>
        <v>#NAME?</v>
      </c>
      <c r="S32" t="e">
        <f ca="1">[1]!NT_DIST($Q32,S$5,$R$3,FALSE)</f>
        <v>#NAME?</v>
      </c>
      <c r="T32" t="e">
        <f ca="1">[1]!NT_DIST($Q32,T$5,$R$3,FALSE)</f>
        <v>#NAME?</v>
      </c>
      <c r="U32" t="e">
        <f ca="1">[1]!NT_DIST($Q32,U$5,$R$3,FALSE)</f>
        <v>#NAME?</v>
      </c>
    </row>
    <row r="33" spans="1:21">
      <c r="A33">
        <f t="shared" si="0"/>
        <v>-7.5000000000000089</v>
      </c>
      <c r="B33" t="e">
        <f ca="1">[1]!NT_DIST($A33,$B$3,B$5,FALSE)</f>
        <v>#NAME?</v>
      </c>
      <c r="C33" t="e">
        <f ca="1">[1]!NT_DIST($A33,$B$3,C$5,FALSE)</f>
        <v>#NAME?</v>
      </c>
      <c r="D33" t="e">
        <f ca="1">[1]!NT_DIST($A33,$B$3,D$5,FALSE)</f>
        <v>#NAME?</v>
      </c>
      <c r="E33" t="e">
        <f ca="1">[1]!NT_DIST($A33,$B$3,E$5,FALSE)</f>
        <v>#NAME?</v>
      </c>
      <c r="Q33">
        <f t="shared" si="1"/>
        <v>-3.5000000000000067</v>
      </c>
      <c r="R33" t="e">
        <f ca="1">[1]!NT_DIST($Q33,R$5,$R$3,FALSE)</f>
        <v>#NAME?</v>
      </c>
      <c r="S33" t="e">
        <f ca="1">[1]!NT_DIST($Q33,S$5,$R$3,FALSE)</f>
        <v>#NAME?</v>
      </c>
      <c r="T33" t="e">
        <f ca="1">[1]!NT_DIST($Q33,T$5,$R$3,FALSE)</f>
        <v>#NAME?</v>
      </c>
      <c r="U33" t="e">
        <f ca="1">[1]!NT_DIST($Q33,U$5,$R$3,FALSE)</f>
        <v>#NAME?</v>
      </c>
    </row>
    <row r="34" spans="1:21">
      <c r="A34">
        <f t="shared" si="0"/>
        <v>-7.4000000000000092</v>
      </c>
      <c r="B34" t="e">
        <f ca="1">[1]!NT_DIST($A34,$B$3,B$5,FALSE)</f>
        <v>#NAME?</v>
      </c>
      <c r="C34" t="e">
        <f ca="1">[1]!NT_DIST($A34,$B$3,C$5,FALSE)</f>
        <v>#NAME?</v>
      </c>
      <c r="D34" t="e">
        <f ca="1">[1]!NT_DIST($A34,$B$3,D$5,FALSE)</f>
        <v>#NAME?</v>
      </c>
      <c r="E34" t="e">
        <f ca="1">[1]!NT_DIST($A34,$B$3,E$5,FALSE)</f>
        <v>#NAME?</v>
      </c>
      <c r="Q34">
        <f t="shared" si="1"/>
        <v>-3.4000000000000066</v>
      </c>
      <c r="R34" t="e">
        <f ca="1">[1]!NT_DIST($Q34,R$5,$R$3,FALSE)</f>
        <v>#NAME?</v>
      </c>
      <c r="S34" t="e">
        <f ca="1">[1]!NT_DIST($Q34,S$5,$R$3,FALSE)</f>
        <v>#NAME?</v>
      </c>
      <c r="T34" t="e">
        <f ca="1">[1]!NT_DIST($Q34,T$5,$R$3,FALSE)</f>
        <v>#NAME?</v>
      </c>
      <c r="U34" t="e">
        <f ca="1">[1]!NT_DIST($Q34,U$5,$R$3,FALSE)</f>
        <v>#NAME?</v>
      </c>
    </row>
    <row r="35" spans="1:21">
      <c r="A35">
        <f t="shared" si="0"/>
        <v>-7.3000000000000096</v>
      </c>
      <c r="B35" t="e">
        <f ca="1">[1]!NT_DIST($A35,$B$3,B$5,FALSE)</f>
        <v>#NAME?</v>
      </c>
      <c r="C35" t="e">
        <f ca="1">[1]!NT_DIST($A35,$B$3,C$5,FALSE)</f>
        <v>#NAME?</v>
      </c>
      <c r="D35" t="e">
        <f ca="1">[1]!NT_DIST($A35,$B$3,D$5,FALSE)</f>
        <v>#NAME?</v>
      </c>
      <c r="E35" t="e">
        <f ca="1">[1]!NT_DIST($A35,$B$3,E$5,FALSE)</f>
        <v>#NAME?</v>
      </c>
      <c r="Q35">
        <f t="shared" si="1"/>
        <v>-3.3000000000000065</v>
      </c>
      <c r="R35" t="e">
        <f ca="1">[1]!NT_DIST($Q35,R$5,$R$3,FALSE)</f>
        <v>#NAME?</v>
      </c>
      <c r="S35" t="e">
        <f ca="1">[1]!NT_DIST($Q35,S$5,$R$3,FALSE)</f>
        <v>#NAME?</v>
      </c>
      <c r="T35" t="e">
        <f ca="1">[1]!NT_DIST($Q35,T$5,$R$3,FALSE)</f>
        <v>#NAME?</v>
      </c>
      <c r="U35" t="e">
        <f ca="1">[1]!NT_DIST($Q35,U$5,$R$3,FALSE)</f>
        <v>#NAME?</v>
      </c>
    </row>
    <row r="36" spans="1:21">
      <c r="A36">
        <f t="shared" si="0"/>
        <v>-7.2000000000000099</v>
      </c>
      <c r="B36" t="e">
        <f ca="1">[1]!NT_DIST($A36,$B$3,B$5,FALSE)</f>
        <v>#NAME?</v>
      </c>
      <c r="C36" t="e">
        <f ca="1">[1]!NT_DIST($A36,$B$3,C$5,FALSE)</f>
        <v>#NAME?</v>
      </c>
      <c r="D36" t="e">
        <f ca="1">[1]!NT_DIST($A36,$B$3,D$5,FALSE)</f>
        <v>#NAME?</v>
      </c>
      <c r="E36" t="e">
        <f ca="1">[1]!NT_DIST($A36,$B$3,E$5,FALSE)</f>
        <v>#NAME?</v>
      </c>
      <c r="Q36">
        <f t="shared" si="1"/>
        <v>-3.2000000000000064</v>
      </c>
      <c r="R36" t="e">
        <f ca="1">[1]!NT_DIST($Q36,R$5,$R$3,FALSE)</f>
        <v>#NAME?</v>
      </c>
      <c r="S36" t="e">
        <f ca="1">[1]!NT_DIST($Q36,S$5,$R$3,FALSE)</f>
        <v>#NAME?</v>
      </c>
      <c r="T36" t="e">
        <f ca="1">[1]!NT_DIST($Q36,T$5,$R$3,FALSE)</f>
        <v>#NAME?</v>
      </c>
      <c r="U36" t="e">
        <f ca="1">[1]!NT_DIST($Q36,U$5,$R$3,FALSE)</f>
        <v>#NAME?</v>
      </c>
    </row>
    <row r="37" spans="1:21">
      <c r="A37">
        <f t="shared" si="0"/>
        <v>-7.1000000000000103</v>
      </c>
      <c r="B37" t="e">
        <f ca="1">[1]!NT_DIST($A37,$B$3,B$5,FALSE)</f>
        <v>#NAME?</v>
      </c>
      <c r="C37" t="e">
        <f ca="1">[1]!NT_DIST($A37,$B$3,C$5,FALSE)</f>
        <v>#NAME?</v>
      </c>
      <c r="D37" t="e">
        <f ca="1">[1]!NT_DIST($A37,$B$3,D$5,FALSE)</f>
        <v>#NAME?</v>
      </c>
      <c r="E37" t="e">
        <f ca="1">[1]!NT_DIST($A37,$B$3,E$5,FALSE)</f>
        <v>#NAME?</v>
      </c>
      <c r="Q37">
        <f t="shared" si="1"/>
        <v>-3.1000000000000063</v>
      </c>
      <c r="R37" t="e">
        <f ca="1">[1]!NT_DIST($Q37,R$5,$R$3,FALSE)</f>
        <v>#NAME?</v>
      </c>
      <c r="S37" t="e">
        <f ca="1">[1]!NT_DIST($Q37,S$5,$R$3,FALSE)</f>
        <v>#NAME?</v>
      </c>
      <c r="T37" t="e">
        <f ca="1">[1]!NT_DIST($Q37,T$5,$R$3,FALSE)</f>
        <v>#NAME?</v>
      </c>
      <c r="U37" t="e">
        <f ca="1">[1]!NT_DIST($Q37,U$5,$R$3,FALSE)</f>
        <v>#NAME?</v>
      </c>
    </row>
    <row r="38" spans="1:21">
      <c r="A38">
        <f t="shared" si="0"/>
        <v>-7.0000000000000107</v>
      </c>
      <c r="B38" t="e">
        <f ca="1">[1]!NT_DIST($A38,$B$3,B$5,FALSE)</f>
        <v>#NAME?</v>
      </c>
      <c r="C38" t="e">
        <f ca="1">[1]!NT_DIST($A38,$B$3,C$5,FALSE)</f>
        <v>#NAME?</v>
      </c>
      <c r="D38" t="e">
        <f ca="1">[1]!NT_DIST($A38,$B$3,D$5,FALSE)</f>
        <v>#NAME?</v>
      </c>
      <c r="E38" t="e">
        <f ca="1">[1]!NT_DIST($A38,$B$3,E$5,FALSE)</f>
        <v>#NAME?</v>
      </c>
      <c r="Q38">
        <f t="shared" si="1"/>
        <v>-3.0000000000000062</v>
      </c>
      <c r="R38" t="e">
        <f ca="1">[1]!NT_DIST($Q38,R$5,$R$3,FALSE)</f>
        <v>#NAME?</v>
      </c>
      <c r="S38" t="e">
        <f ca="1">[1]!NT_DIST($Q38,S$5,$R$3,FALSE)</f>
        <v>#NAME?</v>
      </c>
      <c r="T38" t="e">
        <f ca="1">[1]!NT_DIST($Q38,T$5,$R$3,FALSE)</f>
        <v>#NAME?</v>
      </c>
      <c r="U38" t="e">
        <f ca="1">[1]!NT_DIST($Q38,U$5,$R$3,FALSE)</f>
        <v>#NAME?</v>
      </c>
    </row>
    <row r="39" spans="1:21">
      <c r="A39">
        <f t="shared" si="0"/>
        <v>-6.900000000000011</v>
      </c>
      <c r="B39" t="e">
        <f ca="1">[1]!NT_DIST($A39,$B$3,B$5,FALSE)</f>
        <v>#NAME?</v>
      </c>
      <c r="C39" t="e">
        <f ca="1">[1]!NT_DIST($A39,$B$3,C$5,FALSE)</f>
        <v>#NAME?</v>
      </c>
      <c r="D39" t="e">
        <f ca="1">[1]!NT_DIST($A39,$B$3,D$5,FALSE)</f>
        <v>#NAME?</v>
      </c>
      <c r="E39" t="e">
        <f ca="1">[1]!NT_DIST($A39,$B$3,E$5,FALSE)</f>
        <v>#NAME?</v>
      </c>
      <c r="Q39">
        <f t="shared" si="1"/>
        <v>-2.9000000000000061</v>
      </c>
      <c r="R39" t="e">
        <f ca="1">[1]!NT_DIST($Q39,R$5,$R$3,FALSE)</f>
        <v>#NAME?</v>
      </c>
      <c r="S39" t="e">
        <f ca="1">[1]!NT_DIST($Q39,S$5,$R$3,FALSE)</f>
        <v>#NAME?</v>
      </c>
      <c r="T39" t="e">
        <f ca="1">[1]!NT_DIST($Q39,T$5,$R$3,FALSE)</f>
        <v>#NAME?</v>
      </c>
      <c r="U39" t="e">
        <f ca="1">[1]!NT_DIST($Q39,U$5,$R$3,FALSE)</f>
        <v>#NAME?</v>
      </c>
    </row>
    <row r="40" spans="1:21">
      <c r="A40">
        <f t="shared" si="0"/>
        <v>-6.8000000000000114</v>
      </c>
      <c r="B40" t="e">
        <f ca="1">[1]!NT_DIST($A40,$B$3,B$5,FALSE)</f>
        <v>#NAME?</v>
      </c>
      <c r="C40" t="e">
        <f ca="1">[1]!NT_DIST($A40,$B$3,C$5,FALSE)</f>
        <v>#NAME?</v>
      </c>
      <c r="D40" t="e">
        <f ca="1">[1]!NT_DIST($A40,$B$3,D$5,FALSE)</f>
        <v>#NAME?</v>
      </c>
      <c r="E40" t="e">
        <f ca="1">[1]!NT_DIST($A40,$B$3,E$5,FALSE)</f>
        <v>#NAME?</v>
      </c>
      <c r="Q40">
        <f t="shared" si="1"/>
        <v>-2.800000000000006</v>
      </c>
      <c r="R40" t="e">
        <f ca="1">[1]!NT_DIST($Q40,R$5,$R$3,FALSE)</f>
        <v>#NAME?</v>
      </c>
      <c r="S40" t="e">
        <f ca="1">[1]!NT_DIST($Q40,S$5,$R$3,FALSE)</f>
        <v>#NAME?</v>
      </c>
      <c r="T40" t="e">
        <f ca="1">[1]!NT_DIST($Q40,T$5,$R$3,FALSE)</f>
        <v>#NAME?</v>
      </c>
      <c r="U40" t="e">
        <f ca="1">[1]!NT_DIST($Q40,U$5,$R$3,FALSE)</f>
        <v>#NAME?</v>
      </c>
    </row>
    <row r="41" spans="1:21">
      <c r="A41">
        <f t="shared" si="0"/>
        <v>-6.7000000000000117</v>
      </c>
      <c r="B41" t="e">
        <f ca="1">[1]!NT_DIST($A41,$B$3,B$5,FALSE)</f>
        <v>#NAME?</v>
      </c>
      <c r="C41" t="e">
        <f ca="1">[1]!NT_DIST($A41,$B$3,C$5,FALSE)</f>
        <v>#NAME?</v>
      </c>
      <c r="D41" t="e">
        <f ca="1">[1]!NT_DIST($A41,$B$3,D$5,FALSE)</f>
        <v>#NAME?</v>
      </c>
      <c r="E41" t="e">
        <f ca="1">[1]!NT_DIST($A41,$B$3,E$5,FALSE)</f>
        <v>#NAME?</v>
      </c>
      <c r="Q41">
        <f t="shared" si="1"/>
        <v>-2.700000000000006</v>
      </c>
      <c r="R41" t="e">
        <f ca="1">[1]!NT_DIST($Q41,R$5,$R$3,FALSE)</f>
        <v>#NAME?</v>
      </c>
      <c r="S41" t="e">
        <f ca="1">[1]!NT_DIST($Q41,S$5,$R$3,FALSE)</f>
        <v>#NAME?</v>
      </c>
      <c r="T41" t="e">
        <f ca="1">[1]!NT_DIST($Q41,T$5,$R$3,FALSE)</f>
        <v>#NAME?</v>
      </c>
      <c r="U41" t="e">
        <f ca="1">[1]!NT_DIST($Q41,U$5,$R$3,FALSE)</f>
        <v>#NAME?</v>
      </c>
    </row>
    <row r="42" spans="1:21">
      <c r="A42">
        <f t="shared" si="0"/>
        <v>-6.6000000000000121</v>
      </c>
      <c r="B42" t="e">
        <f ca="1">[1]!NT_DIST($A42,$B$3,B$5,FALSE)</f>
        <v>#NAME?</v>
      </c>
      <c r="C42" t="e">
        <f ca="1">[1]!NT_DIST($A42,$B$3,C$5,FALSE)</f>
        <v>#NAME?</v>
      </c>
      <c r="D42" t="e">
        <f ca="1">[1]!NT_DIST($A42,$B$3,D$5,FALSE)</f>
        <v>#NAME?</v>
      </c>
      <c r="E42" t="e">
        <f ca="1">[1]!NT_DIST($A42,$B$3,E$5,FALSE)</f>
        <v>#NAME?</v>
      </c>
      <c r="Q42">
        <f t="shared" si="1"/>
        <v>-2.6000000000000059</v>
      </c>
      <c r="R42" t="e">
        <f ca="1">[1]!NT_DIST($Q42,R$5,$R$3,FALSE)</f>
        <v>#NAME?</v>
      </c>
      <c r="S42" t="e">
        <f ca="1">[1]!NT_DIST($Q42,S$5,$R$3,FALSE)</f>
        <v>#NAME?</v>
      </c>
      <c r="T42" t="e">
        <f ca="1">[1]!NT_DIST($Q42,T$5,$R$3,FALSE)</f>
        <v>#NAME?</v>
      </c>
      <c r="U42" t="e">
        <f ca="1">[1]!NT_DIST($Q42,U$5,$R$3,FALSE)</f>
        <v>#NAME?</v>
      </c>
    </row>
    <row r="43" spans="1:21">
      <c r="A43">
        <f t="shared" si="0"/>
        <v>-6.5000000000000124</v>
      </c>
      <c r="B43" t="e">
        <f ca="1">[1]!NT_DIST($A43,$B$3,B$5,FALSE)</f>
        <v>#NAME?</v>
      </c>
      <c r="C43" t="e">
        <f ca="1">[1]!NT_DIST($A43,$B$3,C$5,FALSE)</f>
        <v>#NAME?</v>
      </c>
      <c r="D43" t="e">
        <f ca="1">[1]!NT_DIST($A43,$B$3,D$5,FALSE)</f>
        <v>#NAME?</v>
      </c>
      <c r="E43" t="e">
        <f ca="1">[1]!NT_DIST($A43,$B$3,E$5,FALSE)</f>
        <v>#NAME?</v>
      </c>
      <c r="Q43">
        <f t="shared" si="1"/>
        <v>-2.5000000000000058</v>
      </c>
      <c r="R43" t="e">
        <f ca="1">[1]!NT_DIST($Q43,R$5,$R$3,FALSE)</f>
        <v>#NAME?</v>
      </c>
      <c r="S43" t="e">
        <f ca="1">[1]!NT_DIST($Q43,S$5,$R$3,FALSE)</f>
        <v>#NAME?</v>
      </c>
      <c r="T43" t="e">
        <f ca="1">[1]!NT_DIST($Q43,T$5,$R$3,FALSE)</f>
        <v>#NAME?</v>
      </c>
      <c r="U43" t="e">
        <f ca="1">[1]!NT_DIST($Q43,U$5,$R$3,FALSE)</f>
        <v>#NAME?</v>
      </c>
    </row>
    <row r="44" spans="1:21">
      <c r="A44">
        <f t="shared" si="0"/>
        <v>-6.4000000000000128</v>
      </c>
      <c r="B44" t="e">
        <f ca="1">[1]!NT_DIST($A44,$B$3,B$5,FALSE)</f>
        <v>#NAME?</v>
      </c>
      <c r="C44" t="e">
        <f ca="1">[1]!NT_DIST($A44,$B$3,C$5,FALSE)</f>
        <v>#NAME?</v>
      </c>
      <c r="D44" t="e">
        <f ca="1">[1]!NT_DIST($A44,$B$3,D$5,FALSE)</f>
        <v>#NAME?</v>
      </c>
      <c r="E44" t="e">
        <f ca="1">[1]!NT_DIST($A44,$B$3,E$5,FALSE)</f>
        <v>#NAME?</v>
      </c>
      <c r="Q44">
        <f t="shared" si="1"/>
        <v>-2.4000000000000057</v>
      </c>
      <c r="R44" t="e">
        <f ca="1">[1]!NT_DIST($Q44,R$5,$R$3,FALSE)</f>
        <v>#NAME?</v>
      </c>
      <c r="S44" t="e">
        <f ca="1">[1]!NT_DIST($Q44,S$5,$R$3,FALSE)</f>
        <v>#NAME?</v>
      </c>
      <c r="T44" t="e">
        <f ca="1">[1]!NT_DIST($Q44,T$5,$R$3,FALSE)</f>
        <v>#NAME?</v>
      </c>
      <c r="U44" t="e">
        <f ca="1">[1]!NT_DIST($Q44,U$5,$R$3,FALSE)</f>
        <v>#NAME?</v>
      </c>
    </row>
    <row r="45" spans="1:21">
      <c r="A45">
        <f t="shared" si="0"/>
        <v>-6.3000000000000131</v>
      </c>
      <c r="B45" t="e">
        <f ca="1">[1]!NT_DIST($A45,$B$3,B$5,FALSE)</f>
        <v>#NAME?</v>
      </c>
      <c r="C45" t="e">
        <f ca="1">[1]!NT_DIST($A45,$B$3,C$5,FALSE)</f>
        <v>#NAME?</v>
      </c>
      <c r="D45" t="e">
        <f ca="1">[1]!NT_DIST($A45,$B$3,D$5,FALSE)</f>
        <v>#NAME?</v>
      </c>
      <c r="E45" t="e">
        <f ca="1">[1]!NT_DIST($A45,$B$3,E$5,FALSE)</f>
        <v>#NAME?</v>
      </c>
      <c r="Q45">
        <f t="shared" si="1"/>
        <v>-2.3000000000000056</v>
      </c>
      <c r="R45" t="e">
        <f ca="1">[1]!NT_DIST($Q45,R$5,$R$3,FALSE)</f>
        <v>#NAME?</v>
      </c>
      <c r="S45" t="e">
        <f ca="1">[1]!NT_DIST($Q45,S$5,$R$3,FALSE)</f>
        <v>#NAME?</v>
      </c>
      <c r="T45" t="e">
        <f ca="1">[1]!NT_DIST($Q45,T$5,$R$3,FALSE)</f>
        <v>#NAME?</v>
      </c>
      <c r="U45" t="e">
        <f ca="1">[1]!NT_DIST($Q45,U$5,$R$3,FALSE)</f>
        <v>#NAME?</v>
      </c>
    </row>
    <row r="46" spans="1:21">
      <c r="A46">
        <f t="shared" si="0"/>
        <v>-6.2000000000000135</v>
      </c>
      <c r="B46" t="e">
        <f ca="1">[1]!NT_DIST($A46,$B$3,B$5,FALSE)</f>
        <v>#NAME?</v>
      </c>
      <c r="C46" t="e">
        <f ca="1">[1]!NT_DIST($A46,$B$3,C$5,FALSE)</f>
        <v>#NAME?</v>
      </c>
      <c r="D46" t="e">
        <f ca="1">[1]!NT_DIST($A46,$B$3,D$5,FALSE)</f>
        <v>#NAME?</v>
      </c>
      <c r="E46" t="e">
        <f ca="1">[1]!NT_DIST($A46,$B$3,E$5,FALSE)</f>
        <v>#NAME?</v>
      </c>
      <c r="Q46">
        <f t="shared" si="1"/>
        <v>-2.2000000000000055</v>
      </c>
      <c r="R46" t="e">
        <f ca="1">[1]!NT_DIST($Q46,R$5,$R$3,FALSE)</f>
        <v>#NAME?</v>
      </c>
      <c r="S46" t="e">
        <f ca="1">[1]!NT_DIST($Q46,S$5,$R$3,FALSE)</f>
        <v>#NAME?</v>
      </c>
      <c r="T46" t="e">
        <f ca="1">[1]!NT_DIST($Q46,T$5,$R$3,FALSE)</f>
        <v>#NAME?</v>
      </c>
      <c r="U46" t="e">
        <f ca="1">[1]!NT_DIST($Q46,U$5,$R$3,FALSE)</f>
        <v>#NAME?</v>
      </c>
    </row>
    <row r="47" spans="1:21">
      <c r="A47">
        <f t="shared" si="0"/>
        <v>-6.1000000000000139</v>
      </c>
      <c r="B47" t="e">
        <f ca="1">[1]!NT_DIST($A47,$B$3,B$5,FALSE)</f>
        <v>#NAME?</v>
      </c>
      <c r="C47" t="e">
        <f ca="1">[1]!NT_DIST($A47,$B$3,C$5,FALSE)</f>
        <v>#NAME?</v>
      </c>
      <c r="D47" t="e">
        <f ca="1">[1]!NT_DIST($A47,$B$3,D$5,FALSE)</f>
        <v>#NAME?</v>
      </c>
      <c r="E47" t="e">
        <f ca="1">[1]!NT_DIST($A47,$B$3,E$5,FALSE)</f>
        <v>#NAME?</v>
      </c>
      <c r="Q47">
        <f t="shared" si="1"/>
        <v>-2.1000000000000054</v>
      </c>
      <c r="R47" t="e">
        <f ca="1">[1]!NT_DIST($Q47,R$5,$R$3,FALSE)</f>
        <v>#NAME?</v>
      </c>
      <c r="S47" t="e">
        <f ca="1">[1]!NT_DIST($Q47,S$5,$R$3,FALSE)</f>
        <v>#NAME?</v>
      </c>
      <c r="T47" t="e">
        <f ca="1">[1]!NT_DIST($Q47,T$5,$R$3,FALSE)</f>
        <v>#NAME?</v>
      </c>
      <c r="U47" t="e">
        <f ca="1">[1]!NT_DIST($Q47,U$5,$R$3,FALSE)</f>
        <v>#NAME?</v>
      </c>
    </row>
    <row r="48" spans="1:21">
      <c r="A48">
        <f t="shared" si="0"/>
        <v>-6.0000000000000142</v>
      </c>
      <c r="B48" t="e">
        <f ca="1">[1]!NT_DIST($A48,$B$3,B$5,FALSE)</f>
        <v>#NAME?</v>
      </c>
      <c r="C48" t="e">
        <f ca="1">[1]!NT_DIST($A48,$B$3,C$5,FALSE)</f>
        <v>#NAME?</v>
      </c>
      <c r="D48" t="e">
        <f ca="1">[1]!NT_DIST($A48,$B$3,D$5,FALSE)</f>
        <v>#NAME?</v>
      </c>
      <c r="E48" t="e">
        <f ca="1">[1]!NT_DIST($A48,$B$3,E$5,FALSE)</f>
        <v>#NAME?</v>
      </c>
      <c r="Q48">
        <f t="shared" si="1"/>
        <v>-2.0000000000000053</v>
      </c>
      <c r="R48" t="e">
        <f ca="1">[1]!NT_DIST($Q48,R$5,$R$3,FALSE)</f>
        <v>#NAME?</v>
      </c>
      <c r="S48" t="e">
        <f ca="1">[1]!NT_DIST($Q48,S$5,$R$3,FALSE)</f>
        <v>#NAME?</v>
      </c>
      <c r="T48" t="e">
        <f ca="1">[1]!NT_DIST($Q48,T$5,$R$3,FALSE)</f>
        <v>#NAME?</v>
      </c>
      <c r="U48" t="e">
        <f ca="1">[1]!NT_DIST($Q48,U$5,$R$3,FALSE)</f>
        <v>#NAME?</v>
      </c>
    </row>
    <row r="49" spans="1:21">
      <c r="A49">
        <f t="shared" si="0"/>
        <v>-5.9000000000000146</v>
      </c>
      <c r="B49" t="e">
        <f ca="1">[1]!NT_DIST($A49,$B$3,B$5,FALSE)</f>
        <v>#NAME?</v>
      </c>
      <c r="C49" t="e">
        <f ca="1">[1]!NT_DIST($A49,$B$3,C$5,FALSE)</f>
        <v>#NAME?</v>
      </c>
      <c r="D49" t="e">
        <f ca="1">[1]!NT_DIST($A49,$B$3,D$5,FALSE)</f>
        <v>#NAME?</v>
      </c>
      <c r="E49" t="e">
        <f ca="1">[1]!NT_DIST($A49,$B$3,E$5,FALSE)</f>
        <v>#NAME?</v>
      </c>
      <c r="Q49">
        <f t="shared" si="1"/>
        <v>-1.9000000000000052</v>
      </c>
      <c r="R49" t="e">
        <f ca="1">[1]!NT_DIST($Q49,R$5,$R$3,FALSE)</f>
        <v>#NAME?</v>
      </c>
      <c r="S49" t="e">
        <f ca="1">[1]!NT_DIST($Q49,S$5,$R$3,FALSE)</f>
        <v>#NAME?</v>
      </c>
      <c r="T49" t="e">
        <f ca="1">[1]!NT_DIST($Q49,T$5,$R$3,FALSE)</f>
        <v>#NAME?</v>
      </c>
      <c r="U49" t="e">
        <f ca="1">[1]!NT_DIST($Q49,U$5,$R$3,FALSE)</f>
        <v>#NAME?</v>
      </c>
    </row>
    <row r="50" spans="1:21">
      <c r="A50">
        <f t="shared" si="0"/>
        <v>-5.8000000000000149</v>
      </c>
      <c r="B50" t="e">
        <f ca="1">[1]!NT_DIST($A50,$B$3,B$5,FALSE)</f>
        <v>#NAME?</v>
      </c>
      <c r="C50" t="e">
        <f ca="1">[1]!NT_DIST($A50,$B$3,C$5,FALSE)</f>
        <v>#NAME?</v>
      </c>
      <c r="D50" t="e">
        <f ca="1">[1]!NT_DIST($A50,$B$3,D$5,FALSE)</f>
        <v>#NAME?</v>
      </c>
      <c r="E50" t="e">
        <f ca="1">[1]!NT_DIST($A50,$B$3,E$5,FALSE)</f>
        <v>#NAME?</v>
      </c>
      <c r="Q50">
        <f t="shared" si="1"/>
        <v>-1.8000000000000052</v>
      </c>
      <c r="R50" t="e">
        <f ca="1">[1]!NT_DIST($Q50,R$5,$R$3,FALSE)</f>
        <v>#NAME?</v>
      </c>
      <c r="S50" t="e">
        <f ca="1">[1]!NT_DIST($Q50,S$5,$R$3,FALSE)</f>
        <v>#NAME?</v>
      </c>
      <c r="T50" t="e">
        <f ca="1">[1]!NT_DIST($Q50,T$5,$R$3,FALSE)</f>
        <v>#NAME?</v>
      </c>
      <c r="U50" t="e">
        <f ca="1">[1]!NT_DIST($Q50,U$5,$R$3,FALSE)</f>
        <v>#NAME?</v>
      </c>
    </row>
    <row r="51" spans="1:21">
      <c r="A51">
        <f t="shared" si="0"/>
        <v>-5.7000000000000153</v>
      </c>
      <c r="B51" t="e">
        <f ca="1">[1]!NT_DIST($A51,$B$3,B$5,FALSE)</f>
        <v>#NAME?</v>
      </c>
      <c r="C51" t="e">
        <f ca="1">[1]!NT_DIST($A51,$B$3,C$5,FALSE)</f>
        <v>#NAME?</v>
      </c>
      <c r="D51" t="e">
        <f ca="1">[1]!NT_DIST($A51,$B$3,D$5,FALSE)</f>
        <v>#NAME?</v>
      </c>
      <c r="E51" t="e">
        <f ca="1">[1]!NT_DIST($A51,$B$3,E$5,FALSE)</f>
        <v>#NAME?</v>
      </c>
      <c r="Q51">
        <f t="shared" si="1"/>
        <v>-1.7000000000000051</v>
      </c>
      <c r="R51" t="e">
        <f ca="1">[1]!NT_DIST($Q51,R$5,$R$3,FALSE)</f>
        <v>#NAME?</v>
      </c>
      <c r="S51" t="e">
        <f ca="1">[1]!NT_DIST($Q51,S$5,$R$3,FALSE)</f>
        <v>#NAME?</v>
      </c>
      <c r="T51" t="e">
        <f ca="1">[1]!NT_DIST($Q51,T$5,$R$3,FALSE)</f>
        <v>#NAME?</v>
      </c>
      <c r="U51" t="e">
        <f ca="1">[1]!NT_DIST($Q51,U$5,$R$3,FALSE)</f>
        <v>#NAME?</v>
      </c>
    </row>
    <row r="52" spans="1:21">
      <c r="A52">
        <f t="shared" si="0"/>
        <v>-5.6000000000000156</v>
      </c>
      <c r="B52" t="e">
        <f ca="1">[1]!NT_DIST($A52,$B$3,B$5,FALSE)</f>
        <v>#NAME?</v>
      </c>
      <c r="C52" t="e">
        <f ca="1">[1]!NT_DIST($A52,$B$3,C$5,FALSE)</f>
        <v>#NAME?</v>
      </c>
      <c r="D52" t="e">
        <f ca="1">[1]!NT_DIST($A52,$B$3,D$5,FALSE)</f>
        <v>#NAME?</v>
      </c>
      <c r="E52" t="e">
        <f ca="1">[1]!NT_DIST($A52,$B$3,E$5,FALSE)</f>
        <v>#NAME?</v>
      </c>
      <c r="Q52">
        <f t="shared" si="1"/>
        <v>-1.600000000000005</v>
      </c>
      <c r="R52" t="e">
        <f ca="1">[1]!NT_DIST($Q52,R$5,$R$3,FALSE)</f>
        <v>#NAME?</v>
      </c>
      <c r="S52" t="e">
        <f ca="1">[1]!NT_DIST($Q52,S$5,$R$3,FALSE)</f>
        <v>#NAME?</v>
      </c>
      <c r="T52" t="e">
        <f ca="1">[1]!NT_DIST($Q52,T$5,$R$3,FALSE)</f>
        <v>#NAME?</v>
      </c>
      <c r="U52" t="e">
        <f ca="1">[1]!NT_DIST($Q52,U$5,$R$3,FALSE)</f>
        <v>#NAME?</v>
      </c>
    </row>
    <row r="53" spans="1:21">
      <c r="A53">
        <f t="shared" si="0"/>
        <v>-5.500000000000016</v>
      </c>
      <c r="B53" t="e">
        <f ca="1">[1]!NT_DIST($A53,$B$3,B$5,FALSE)</f>
        <v>#NAME?</v>
      </c>
      <c r="C53" t="e">
        <f ca="1">[1]!NT_DIST($A53,$B$3,C$5,FALSE)</f>
        <v>#NAME?</v>
      </c>
      <c r="D53" t="e">
        <f ca="1">[1]!NT_DIST($A53,$B$3,D$5,FALSE)</f>
        <v>#NAME?</v>
      </c>
      <c r="E53" t="e">
        <f ca="1">[1]!NT_DIST($A53,$B$3,E$5,FALSE)</f>
        <v>#NAME?</v>
      </c>
      <c r="Q53">
        <f t="shared" si="1"/>
        <v>-1.5000000000000049</v>
      </c>
      <c r="R53" t="e">
        <f ca="1">[1]!NT_DIST($Q53,R$5,$R$3,FALSE)</f>
        <v>#NAME?</v>
      </c>
      <c r="S53" t="e">
        <f ca="1">[1]!NT_DIST($Q53,S$5,$R$3,FALSE)</f>
        <v>#NAME?</v>
      </c>
      <c r="T53" t="e">
        <f ca="1">[1]!NT_DIST($Q53,T$5,$R$3,FALSE)</f>
        <v>#NAME?</v>
      </c>
      <c r="U53" t="e">
        <f ca="1">[1]!NT_DIST($Q53,U$5,$R$3,FALSE)</f>
        <v>#NAME?</v>
      </c>
    </row>
    <row r="54" spans="1:21">
      <c r="A54">
        <f t="shared" si="0"/>
        <v>-5.4000000000000163</v>
      </c>
      <c r="B54" t="e">
        <f ca="1">[1]!NT_DIST($A54,$B$3,B$5,FALSE)</f>
        <v>#NAME?</v>
      </c>
      <c r="C54" t="e">
        <f ca="1">[1]!NT_DIST($A54,$B$3,C$5,FALSE)</f>
        <v>#NAME?</v>
      </c>
      <c r="D54" t="e">
        <f ca="1">[1]!NT_DIST($A54,$B$3,D$5,FALSE)</f>
        <v>#NAME?</v>
      </c>
      <c r="E54" t="e">
        <f ca="1">[1]!NT_DIST($A54,$B$3,E$5,FALSE)</f>
        <v>#NAME?</v>
      </c>
      <c r="Q54">
        <f t="shared" si="1"/>
        <v>-1.4000000000000048</v>
      </c>
      <c r="R54" t="e">
        <f ca="1">[1]!NT_DIST($Q54,R$5,$R$3,FALSE)</f>
        <v>#NAME?</v>
      </c>
      <c r="S54" t="e">
        <f ca="1">[1]!NT_DIST($Q54,S$5,$R$3,FALSE)</f>
        <v>#NAME?</v>
      </c>
      <c r="T54" t="e">
        <f ca="1">[1]!NT_DIST($Q54,T$5,$R$3,FALSE)</f>
        <v>#NAME?</v>
      </c>
      <c r="U54" t="e">
        <f ca="1">[1]!NT_DIST($Q54,U$5,$R$3,FALSE)</f>
        <v>#NAME?</v>
      </c>
    </row>
    <row r="55" spans="1:21">
      <c r="A55">
        <f t="shared" si="0"/>
        <v>-5.3000000000000167</v>
      </c>
      <c r="B55" t="e">
        <f ca="1">[1]!NT_DIST($A55,$B$3,B$5,FALSE)</f>
        <v>#NAME?</v>
      </c>
      <c r="C55" t="e">
        <f ca="1">[1]!NT_DIST($A55,$B$3,C$5,FALSE)</f>
        <v>#NAME?</v>
      </c>
      <c r="D55" t="e">
        <f ca="1">[1]!NT_DIST($A55,$B$3,D$5,FALSE)</f>
        <v>#NAME?</v>
      </c>
      <c r="E55" t="e">
        <f ca="1">[1]!NT_DIST($A55,$B$3,E$5,FALSE)</f>
        <v>#NAME?</v>
      </c>
      <c r="Q55">
        <f t="shared" si="1"/>
        <v>-1.3000000000000047</v>
      </c>
      <c r="R55" t="e">
        <f ca="1">[1]!NT_DIST($Q55,R$5,$R$3,FALSE)</f>
        <v>#NAME?</v>
      </c>
      <c r="S55" t="e">
        <f ca="1">[1]!NT_DIST($Q55,S$5,$R$3,FALSE)</f>
        <v>#NAME?</v>
      </c>
      <c r="T55" t="e">
        <f ca="1">[1]!NT_DIST($Q55,T$5,$R$3,FALSE)</f>
        <v>#NAME?</v>
      </c>
      <c r="U55" t="e">
        <f ca="1">[1]!NT_DIST($Q55,U$5,$R$3,FALSE)</f>
        <v>#NAME?</v>
      </c>
    </row>
    <row r="56" spans="1:21">
      <c r="A56">
        <f t="shared" si="0"/>
        <v>-5.2000000000000171</v>
      </c>
      <c r="B56" t="e">
        <f ca="1">[1]!NT_DIST($A56,$B$3,B$5,FALSE)</f>
        <v>#NAME?</v>
      </c>
      <c r="C56" t="e">
        <f ca="1">[1]!NT_DIST($A56,$B$3,C$5,FALSE)</f>
        <v>#NAME?</v>
      </c>
      <c r="D56" t="e">
        <f ca="1">[1]!NT_DIST($A56,$B$3,D$5,FALSE)</f>
        <v>#NAME?</v>
      </c>
      <c r="E56" t="e">
        <f ca="1">[1]!NT_DIST($A56,$B$3,E$5,FALSE)</f>
        <v>#NAME?</v>
      </c>
      <c r="Q56">
        <f t="shared" si="1"/>
        <v>-1.2000000000000046</v>
      </c>
      <c r="R56" t="e">
        <f ca="1">[1]!NT_DIST($Q56,R$5,$R$3,FALSE)</f>
        <v>#NAME?</v>
      </c>
      <c r="S56" t="e">
        <f ca="1">[1]!NT_DIST($Q56,S$5,$R$3,FALSE)</f>
        <v>#NAME?</v>
      </c>
      <c r="T56" t="e">
        <f ca="1">[1]!NT_DIST($Q56,T$5,$R$3,FALSE)</f>
        <v>#NAME?</v>
      </c>
      <c r="U56" t="e">
        <f ca="1">[1]!NT_DIST($Q56,U$5,$R$3,FALSE)</f>
        <v>#NAME?</v>
      </c>
    </row>
    <row r="57" spans="1:21">
      <c r="A57">
        <f t="shared" si="0"/>
        <v>-5.1000000000000174</v>
      </c>
      <c r="B57" t="e">
        <f ca="1">[1]!NT_DIST($A57,$B$3,B$5,FALSE)</f>
        <v>#NAME?</v>
      </c>
      <c r="C57" t="e">
        <f ca="1">[1]!NT_DIST($A57,$B$3,C$5,FALSE)</f>
        <v>#NAME?</v>
      </c>
      <c r="D57" t="e">
        <f ca="1">[1]!NT_DIST($A57,$B$3,D$5,FALSE)</f>
        <v>#NAME?</v>
      </c>
      <c r="E57" t="e">
        <f ca="1">[1]!NT_DIST($A57,$B$3,E$5,FALSE)</f>
        <v>#NAME?</v>
      </c>
      <c r="Q57">
        <f t="shared" si="1"/>
        <v>-1.1000000000000045</v>
      </c>
      <c r="R57" t="e">
        <f ca="1">[1]!NT_DIST($Q57,R$5,$R$3,FALSE)</f>
        <v>#NAME?</v>
      </c>
      <c r="S57" t="e">
        <f ca="1">[1]!NT_DIST($Q57,S$5,$R$3,FALSE)</f>
        <v>#NAME?</v>
      </c>
      <c r="T57" t="e">
        <f ca="1">[1]!NT_DIST($Q57,T$5,$R$3,FALSE)</f>
        <v>#NAME?</v>
      </c>
      <c r="U57" t="e">
        <f ca="1">[1]!NT_DIST($Q57,U$5,$R$3,FALSE)</f>
        <v>#NAME?</v>
      </c>
    </row>
    <row r="58" spans="1:21">
      <c r="A58">
        <f t="shared" si="0"/>
        <v>-5.0000000000000178</v>
      </c>
      <c r="B58" t="e">
        <f ca="1">[1]!NT_DIST($A58,$B$3,B$5,FALSE)</f>
        <v>#NAME?</v>
      </c>
      <c r="C58" t="e">
        <f ca="1">[1]!NT_DIST($A58,$B$3,C$5,FALSE)</f>
        <v>#NAME?</v>
      </c>
      <c r="D58" t="e">
        <f ca="1">[1]!NT_DIST($A58,$B$3,D$5,FALSE)</f>
        <v>#NAME?</v>
      </c>
      <c r="E58" t="e">
        <f ca="1">[1]!NT_DIST($A58,$B$3,E$5,FALSE)</f>
        <v>#NAME?</v>
      </c>
      <c r="Q58">
        <f t="shared" si="1"/>
        <v>-1.0000000000000044</v>
      </c>
      <c r="R58" t="e">
        <f ca="1">[1]!NT_DIST($Q58,R$5,$R$3,FALSE)</f>
        <v>#NAME?</v>
      </c>
      <c r="S58" t="e">
        <f ca="1">[1]!NT_DIST($Q58,S$5,$R$3,FALSE)</f>
        <v>#NAME?</v>
      </c>
      <c r="T58" t="e">
        <f ca="1">[1]!NT_DIST($Q58,T$5,$R$3,FALSE)</f>
        <v>#NAME?</v>
      </c>
      <c r="U58" t="e">
        <f ca="1">[1]!NT_DIST($Q58,U$5,$R$3,FALSE)</f>
        <v>#NAME?</v>
      </c>
    </row>
    <row r="59" spans="1:21">
      <c r="A59">
        <f t="shared" si="0"/>
        <v>-4.9000000000000181</v>
      </c>
      <c r="B59" t="e">
        <f ca="1">[1]!NT_DIST($A59,$B$3,B$5,FALSE)</f>
        <v>#NAME?</v>
      </c>
      <c r="C59" t="e">
        <f ca="1">[1]!NT_DIST($A59,$B$3,C$5,FALSE)</f>
        <v>#NAME?</v>
      </c>
      <c r="D59" t="e">
        <f ca="1">[1]!NT_DIST($A59,$B$3,D$5,FALSE)</f>
        <v>#NAME?</v>
      </c>
      <c r="E59" t="e">
        <f ca="1">[1]!NT_DIST($A59,$B$3,E$5,FALSE)</f>
        <v>#NAME?</v>
      </c>
      <c r="Q59">
        <f t="shared" si="1"/>
        <v>-0.90000000000000446</v>
      </c>
      <c r="R59" t="e">
        <f ca="1">[1]!NT_DIST($Q59,R$5,$R$3,FALSE)</f>
        <v>#NAME?</v>
      </c>
      <c r="S59" t="e">
        <f ca="1">[1]!NT_DIST($Q59,S$5,$R$3,FALSE)</f>
        <v>#NAME?</v>
      </c>
      <c r="T59" t="e">
        <f ca="1">[1]!NT_DIST($Q59,T$5,$R$3,FALSE)</f>
        <v>#NAME?</v>
      </c>
      <c r="U59" t="e">
        <f ca="1">[1]!NT_DIST($Q59,U$5,$R$3,FALSE)</f>
        <v>#NAME?</v>
      </c>
    </row>
    <row r="60" spans="1:21">
      <c r="A60">
        <f t="shared" si="0"/>
        <v>-4.8000000000000185</v>
      </c>
      <c r="B60" t="e">
        <f ca="1">[1]!NT_DIST($A60,$B$3,B$5,FALSE)</f>
        <v>#NAME?</v>
      </c>
      <c r="C60" t="e">
        <f ca="1">[1]!NT_DIST($A60,$B$3,C$5,FALSE)</f>
        <v>#NAME?</v>
      </c>
      <c r="D60" t="e">
        <f ca="1">[1]!NT_DIST($A60,$B$3,D$5,FALSE)</f>
        <v>#NAME?</v>
      </c>
      <c r="E60" t="e">
        <f ca="1">[1]!NT_DIST($A60,$B$3,E$5,FALSE)</f>
        <v>#NAME?</v>
      </c>
      <c r="Q60">
        <f t="shared" si="1"/>
        <v>-0.80000000000000449</v>
      </c>
      <c r="R60" t="e">
        <f ca="1">[1]!NT_DIST($Q60,R$5,$R$3,FALSE)</f>
        <v>#NAME?</v>
      </c>
      <c r="S60" t="e">
        <f ca="1">[1]!NT_DIST($Q60,S$5,$R$3,FALSE)</f>
        <v>#NAME?</v>
      </c>
      <c r="T60" t="e">
        <f ca="1">[1]!NT_DIST($Q60,T$5,$R$3,FALSE)</f>
        <v>#NAME?</v>
      </c>
      <c r="U60" t="e">
        <f ca="1">[1]!NT_DIST($Q60,U$5,$R$3,FALSE)</f>
        <v>#NAME?</v>
      </c>
    </row>
    <row r="61" spans="1:21">
      <c r="A61">
        <f t="shared" si="0"/>
        <v>-4.7000000000000188</v>
      </c>
      <c r="B61" t="e">
        <f ca="1">[1]!NT_DIST($A61,$B$3,B$5,FALSE)</f>
        <v>#NAME?</v>
      </c>
      <c r="C61" t="e">
        <f ca="1">[1]!NT_DIST($A61,$B$3,C$5,FALSE)</f>
        <v>#NAME?</v>
      </c>
      <c r="D61" t="e">
        <f ca="1">[1]!NT_DIST($A61,$B$3,D$5,FALSE)</f>
        <v>#NAME?</v>
      </c>
      <c r="E61" t="e">
        <f ca="1">[1]!NT_DIST($A61,$B$3,E$5,FALSE)</f>
        <v>#NAME?</v>
      </c>
      <c r="Q61">
        <f t="shared" si="1"/>
        <v>-0.70000000000000451</v>
      </c>
      <c r="R61" t="e">
        <f ca="1">[1]!NT_DIST($Q61,R$5,$R$3,FALSE)</f>
        <v>#NAME?</v>
      </c>
      <c r="S61" t="e">
        <f ca="1">[1]!NT_DIST($Q61,S$5,$R$3,FALSE)</f>
        <v>#NAME?</v>
      </c>
      <c r="T61" t="e">
        <f ca="1">[1]!NT_DIST($Q61,T$5,$R$3,FALSE)</f>
        <v>#NAME?</v>
      </c>
      <c r="U61" t="e">
        <f ca="1">[1]!NT_DIST($Q61,U$5,$R$3,FALSE)</f>
        <v>#NAME?</v>
      </c>
    </row>
    <row r="62" spans="1:21">
      <c r="A62">
        <f t="shared" si="0"/>
        <v>-4.6000000000000192</v>
      </c>
      <c r="B62" t="e">
        <f ca="1">[1]!NT_DIST($A62,$B$3,B$5,FALSE)</f>
        <v>#NAME?</v>
      </c>
      <c r="C62" t="e">
        <f ca="1">[1]!NT_DIST($A62,$B$3,C$5,FALSE)</f>
        <v>#NAME?</v>
      </c>
      <c r="D62" t="e">
        <f ca="1">[1]!NT_DIST($A62,$B$3,D$5,FALSE)</f>
        <v>#NAME?</v>
      </c>
      <c r="E62" t="e">
        <f ca="1">[1]!NT_DIST($A62,$B$3,E$5,FALSE)</f>
        <v>#NAME?</v>
      </c>
      <c r="Q62">
        <f t="shared" si="1"/>
        <v>-0.60000000000000453</v>
      </c>
      <c r="R62" t="e">
        <f ca="1">[1]!NT_DIST($Q62,R$5,$R$3,FALSE)</f>
        <v>#NAME?</v>
      </c>
      <c r="S62" t="e">
        <f ca="1">[1]!NT_DIST($Q62,S$5,$R$3,FALSE)</f>
        <v>#NAME?</v>
      </c>
      <c r="T62" t="e">
        <f ca="1">[1]!NT_DIST($Q62,T$5,$R$3,FALSE)</f>
        <v>#NAME?</v>
      </c>
      <c r="U62" t="e">
        <f ca="1">[1]!NT_DIST($Q62,U$5,$R$3,FALSE)</f>
        <v>#NAME?</v>
      </c>
    </row>
    <row r="63" spans="1:21">
      <c r="A63">
        <f t="shared" si="0"/>
        <v>-4.5000000000000195</v>
      </c>
      <c r="B63" t="e">
        <f ca="1">[1]!NT_DIST($A63,$B$3,B$5,FALSE)</f>
        <v>#NAME?</v>
      </c>
      <c r="C63" t="e">
        <f ca="1">[1]!NT_DIST($A63,$B$3,C$5,FALSE)</f>
        <v>#NAME?</v>
      </c>
      <c r="D63" t="e">
        <f ca="1">[1]!NT_DIST($A63,$B$3,D$5,FALSE)</f>
        <v>#NAME?</v>
      </c>
      <c r="E63" t="e">
        <f ca="1">[1]!NT_DIST($A63,$B$3,E$5,FALSE)</f>
        <v>#NAME?</v>
      </c>
      <c r="Q63">
        <f t="shared" si="1"/>
        <v>-0.50000000000000455</v>
      </c>
      <c r="R63" t="e">
        <f ca="1">[1]!NT_DIST($Q63,R$5,$R$3,FALSE)</f>
        <v>#NAME?</v>
      </c>
      <c r="S63" t="e">
        <f ca="1">[1]!NT_DIST($Q63,S$5,$R$3,FALSE)</f>
        <v>#NAME?</v>
      </c>
      <c r="T63" t="e">
        <f ca="1">[1]!NT_DIST($Q63,T$5,$R$3,FALSE)</f>
        <v>#NAME?</v>
      </c>
      <c r="U63" t="e">
        <f ca="1">[1]!NT_DIST($Q63,U$5,$R$3,FALSE)</f>
        <v>#NAME?</v>
      </c>
    </row>
    <row r="64" spans="1:21">
      <c r="A64">
        <f t="shared" si="0"/>
        <v>-4.4000000000000199</v>
      </c>
      <c r="B64" t="e">
        <f ca="1">[1]!NT_DIST($A64,$B$3,B$5,FALSE)</f>
        <v>#NAME?</v>
      </c>
      <c r="C64" t="e">
        <f ca="1">[1]!NT_DIST($A64,$B$3,C$5,FALSE)</f>
        <v>#NAME?</v>
      </c>
      <c r="D64" t="e">
        <f ca="1">[1]!NT_DIST($A64,$B$3,D$5,FALSE)</f>
        <v>#NAME?</v>
      </c>
      <c r="E64" t="e">
        <f ca="1">[1]!NT_DIST($A64,$B$3,E$5,FALSE)</f>
        <v>#NAME?</v>
      </c>
      <c r="Q64">
        <f t="shared" si="1"/>
        <v>-0.40000000000000457</v>
      </c>
      <c r="R64" t="e">
        <f ca="1">[1]!NT_DIST($Q64,R$5,$R$3,FALSE)</f>
        <v>#NAME?</v>
      </c>
      <c r="S64" t="e">
        <f ca="1">[1]!NT_DIST($Q64,S$5,$R$3,FALSE)</f>
        <v>#NAME?</v>
      </c>
      <c r="T64" t="e">
        <f ca="1">[1]!NT_DIST($Q64,T$5,$R$3,FALSE)</f>
        <v>#NAME?</v>
      </c>
      <c r="U64" t="e">
        <f ca="1">[1]!NT_DIST($Q64,U$5,$R$3,FALSE)</f>
        <v>#NAME?</v>
      </c>
    </row>
    <row r="65" spans="1:21">
      <c r="A65">
        <f t="shared" si="0"/>
        <v>-4.3000000000000203</v>
      </c>
      <c r="B65" t="e">
        <f ca="1">[1]!NT_DIST($A65,$B$3,B$5,FALSE)</f>
        <v>#NAME?</v>
      </c>
      <c r="C65" t="e">
        <f ca="1">[1]!NT_DIST($A65,$B$3,C$5,FALSE)</f>
        <v>#NAME?</v>
      </c>
      <c r="D65" t="e">
        <f ca="1">[1]!NT_DIST($A65,$B$3,D$5,FALSE)</f>
        <v>#NAME?</v>
      </c>
      <c r="E65" t="e">
        <f ca="1">[1]!NT_DIST($A65,$B$3,E$5,FALSE)</f>
        <v>#NAME?</v>
      </c>
      <c r="Q65">
        <f t="shared" si="1"/>
        <v>-0.3000000000000046</v>
      </c>
      <c r="R65" t="e">
        <f ca="1">[1]!NT_DIST($Q65,R$5,$R$3,FALSE)</f>
        <v>#NAME?</v>
      </c>
      <c r="S65" t="e">
        <f ca="1">[1]!NT_DIST($Q65,S$5,$R$3,FALSE)</f>
        <v>#NAME?</v>
      </c>
      <c r="T65" t="e">
        <f ca="1">[1]!NT_DIST($Q65,T$5,$R$3,FALSE)</f>
        <v>#NAME?</v>
      </c>
      <c r="U65" t="e">
        <f ca="1">[1]!NT_DIST($Q65,U$5,$R$3,FALSE)</f>
        <v>#NAME?</v>
      </c>
    </row>
    <row r="66" spans="1:21">
      <c r="A66">
        <f t="shared" si="0"/>
        <v>-4.2000000000000206</v>
      </c>
      <c r="B66" t="e">
        <f ca="1">[1]!NT_DIST($A66,$B$3,B$5,FALSE)</f>
        <v>#NAME?</v>
      </c>
      <c r="C66" t="e">
        <f ca="1">[1]!NT_DIST($A66,$B$3,C$5,FALSE)</f>
        <v>#NAME?</v>
      </c>
      <c r="D66" t="e">
        <f ca="1">[1]!NT_DIST($A66,$B$3,D$5,FALSE)</f>
        <v>#NAME?</v>
      </c>
      <c r="E66" t="e">
        <f ca="1">[1]!NT_DIST($A66,$B$3,E$5,FALSE)</f>
        <v>#NAME?</v>
      </c>
      <c r="Q66">
        <f t="shared" si="1"/>
        <v>-0.20000000000000459</v>
      </c>
      <c r="R66" t="e">
        <f ca="1">[1]!NT_DIST($Q66,R$5,$R$3,FALSE)</f>
        <v>#NAME?</v>
      </c>
      <c r="S66" t="e">
        <f ca="1">[1]!NT_DIST($Q66,S$5,$R$3,FALSE)</f>
        <v>#NAME?</v>
      </c>
      <c r="T66" t="e">
        <f ca="1">[1]!NT_DIST($Q66,T$5,$R$3,FALSE)</f>
        <v>#NAME?</v>
      </c>
      <c r="U66" t="e">
        <f ca="1">[1]!NT_DIST($Q66,U$5,$R$3,FALSE)</f>
        <v>#NAME?</v>
      </c>
    </row>
    <row r="67" spans="1:21">
      <c r="A67">
        <f t="shared" si="0"/>
        <v>-4.100000000000021</v>
      </c>
      <c r="B67" t="e">
        <f ca="1">[1]!NT_DIST($A67,$B$3,B$5,FALSE)</f>
        <v>#NAME?</v>
      </c>
      <c r="C67" t="e">
        <f ca="1">[1]!NT_DIST($A67,$B$3,C$5,FALSE)</f>
        <v>#NAME?</v>
      </c>
      <c r="D67" t="e">
        <f ca="1">[1]!NT_DIST($A67,$B$3,D$5,FALSE)</f>
        <v>#NAME?</v>
      </c>
      <c r="E67" t="e">
        <f ca="1">[1]!NT_DIST($A67,$B$3,E$5,FALSE)</f>
        <v>#NAME?</v>
      </c>
      <c r="Q67">
        <f t="shared" si="1"/>
        <v>-0.10000000000000459</v>
      </c>
      <c r="R67" t="e">
        <f ca="1">[1]!NT_DIST($Q67,R$5,$R$3,FALSE)</f>
        <v>#NAME?</v>
      </c>
      <c r="S67" t="e">
        <f ca="1">[1]!NT_DIST($Q67,S$5,$R$3,FALSE)</f>
        <v>#NAME?</v>
      </c>
      <c r="T67" t="e">
        <f ca="1">[1]!NT_DIST($Q67,T$5,$R$3,FALSE)</f>
        <v>#NAME?</v>
      </c>
      <c r="U67" t="e">
        <f ca="1">[1]!NT_DIST($Q67,U$5,$R$3,FALSE)</f>
        <v>#NAME?</v>
      </c>
    </row>
    <row r="68" spans="1:21">
      <c r="A68">
        <f t="shared" si="0"/>
        <v>-4.0000000000000213</v>
      </c>
      <c r="B68" t="e">
        <f ca="1">[1]!NT_DIST($A68,$B$3,B$5,FALSE)</f>
        <v>#NAME?</v>
      </c>
      <c r="C68" t="e">
        <f ca="1">[1]!NT_DIST($A68,$B$3,C$5,FALSE)</f>
        <v>#NAME?</v>
      </c>
      <c r="D68" t="e">
        <f ca="1">[1]!NT_DIST($A68,$B$3,D$5,FALSE)</f>
        <v>#NAME?</v>
      </c>
      <c r="E68" t="e">
        <f ca="1">[1]!NT_DIST($A68,$B$3,E$5,FALSE)</f>
        <v>#NAME?</v>
      </c>
      <c r="Q68">
        <f t="shared" si="1"/>
        <v>-4.5796699765787707E-15</v>
      </c>
      <c r="R68" t="e">
        <f ca="1">[1]!NT_DIST($Q68,R$5,$R$3,FALSE)</f>
        <v>#NAME?</v>
      </c>
      <c r="S68" t="e">
        <f ca="1">[1]!NT_DIST($Q68,S$5,$R$3,FALSE)</f>
        <v>#NAME?</v>
      </c>
      <c r="T68" t="e">
        <f ca="1">[1]!NT_DIST($Q68,T$5,$R$3,FALSE)</f>
        <v>#NAME?</v>
      </c>
      <c r="U68" t="e">
        <f ca="1">[1]!NT_DIST($Q68,U$5,$R$3,FALSE)</f>
        <v>#NAME?</v>
      </c>
    </row>
    <row r="69" spans="1:21">
      <c r="A69">
        <f t="shared" si="0"/>
        <v>-3.9000000000000212</v>
      </c>
      <c r="B69" t="e">
        <f ca="1">[1]!NT_DIST($A69,$B$3,B$5,FALSE)</f>
        <v>#NAME?</v>
      </c>
      <c r="C69" t="e">
        <f ca="1">[1]!NT_DIST($A69,$B$3,C$5,FALSE)</f>
        <v>#NAME?</v>
      </c>
      <c r="D69" t="e">
        <f ca="1">[1]!NT_DIST($A69,$B$3,D$5,FALSE)</f>
        <v>#NAME?</v>
      </c>
      <c r="E69" t="e">
        <f ca="1">[1]!NT_DIST($A69,$B$3,E$5,FALSE)</f>
        <v>#NAME?</v>
      </c>
      <c r="Q69">
        <f t="shared" si="1"/>
        <v>9.9999999999995426E-2</v>
      </c>
      <c r="R69" t="e">
        <f ca="1">[1]!NT_DIST($Q69,R$5,$R$3,FALSE)</f>
        <v>#NAME?</v>
      </c>
      <c r="S69" t="e">
        <f ca="1">[1]!NT_DIST($Q69,S$5,$R$3,FALSE)</f>
        <v>#NAME?</v>
      </c>
      <c r="T69" t="e">
        <f ca="1">[1]!NT_DIST($Q69,T$5,$R$3,FALSE)</f>
        <v>#NAME?</v>
      </c>
      <c r="U69" t="e">
        <f ca="1">[1]!NT_DIST($Q69,U$5,$R$3,FALSE)</f>
        <v>#NAME?</v>
      </c>
    </row>
    <row r="70" spans="1:21">
      <c r="A70">
        <f t="shared" si="0"/>
        <v>-3.8000000000000211</v>
      </c>
      <c r="B70" t="e">
        <f ca="1">[1]!NT_DIST($A70,$B$3,B$5,FALSE)</f>
        <v>#NAME?</v>
      </c>
      <c r="C70" t="e">
        <f ca="1">[1]!NT_DIST($A70,$B$3,C$5,FALSE)</f>
        <v>#NAME?</v>
      </c>
      <c r="D70" t="e">
        <f ca="1">[1]!NT_DIST($A70,$B$3,D$5,FALSE)</f>
        <v>#NAME?</v>
      </c>
      <c r="E70" t="e">
        <f ca="1">[1]!NT_DIST($A70,$B$3,E$5,FALSE)</f>
        <v>#NAME?</v>
      </c>
      <c r="Q70">
        <f t="shared" si="1"/>
        <v>0.19999999999999543</v>
      </c>
      <c r="R70" t="e">
        <f ca="1">[1]!NT_DIST($Q70,R$5,$R$3,FALSE)</f>
        <v>#NAME?</v>
      </c>
      <c r="S70" t="e">
        <f ca="1">[1]!NT_DIST($Q70,S$5,$R$3,FALSE)</f>
        <v>#NAME?</v>
      </c>
      <c r="T70" t="e">
        <f ca="1">[1]!NT_DIST($Q70,T$5,$R$3,FALSE)</f>
        <v>#NAME?</v>
      </c>
      <c r="U70" t="e">
        <f ca="1">[1]!NT_DIST($Q70,U$5,$R$3,FALSE)</f>
        <v>#NAME?</v>
      </c>
    </row>
    <row r="71" spans="1:21">
      <c r="A71">
        <f t="shared" si="0"/>
        <v>-3.700000000000021</v>
      </c>
      <c r="B71" t="e">
        <f ca="1">[1]!NT_DIST($A71,$B$3,B$5,FALSE)</f>
        <v>#NAME?</v>
      </c>
      <c r="C71" t="e">
        <f ca="1">[1]!NT_DIST($A71,$B$3,C$5,FALSE)</f>
        <v>#NAME?</v>
      </c>
      <c r="D71" t="e">
        <f ca="1">[1]!NT_DIST($A71,$B$3,D$5,FALSE)</f>
        <v>#NAME?</v>
      </c>
      <c r="E71" t="e">
        <f ca="1">[1]!NT_DIST($A71,$B$3,E$5,FALSE)</f>
        <v>#NAME?</v>
      </c>
      <c r="Q71">
        <f t="shared" si="1"/>
        <v>0.29999999999999544</v>
      </c>
      <c r="R71" t="e">
        <f ca="1">[1]!NT_DIST($Q71,R$5,$R$3,FALSE)</f>
        <v>#NAME?</v>
      </c>
      <c r="S71" t="e">
        <f ca="1">[1]!NT_DIST($Q71,S$5,$R$3,FALSE)</f>
        <v>#NAME?</v>
      </c>
      <c r="T71" t="e">
        <f ca="1">[1]!NT_DIST($Q71,T$5,$R$3,FALSE)</f>
        <v>#NAME?</v>
      </c>
      <c r="U71" t="e">
        <f ca="1">[1]!NT_DIST($Q71,U$5,$R$3,FALSE)</f>
        <v>#NAME?</v>
      </c>
    </row>
    <row r="72" spans="1:21">
      <c r="A72">
        <f t="shared" si="0"/>
        <v>-3.600000000000021</v>
      </c>
      <c r="B72" t="e">
        <f ca="1">[1]!NT_DIST($A72,$B$3,B$5,FALSE)</f>
        <v>#NAME?</v>
      </c>
      <c r="C72" t="e">
        <f ca="1">[1]!NT_DIST($A72,$B$3,C$5,FALSE)</f>
        <v>#NAME?</v>
      </c>
      <c r="D72" t="e">
        <f ca="1">[1]!NT_DIST($A72,$B$3,D$5,FALSE)</f>
        <v>#NAME?</v>
      </c>
      <c r="E72" t="e">
        <f ca="1">[1]!NT_DIST($A72,$B$3,E$5,FALSE)</f>
        <v>#NAME?</v>
      </c>
      <c r="Q72">
        <f t="shared" si="1"/>
        <v>0.39999999999999547</v>
      </c>
      <c r="R72" t="e">
        <f ca="1">[1]!NT_DIST($Q72,R$5,$R$3,FALSE)</f>
        <v>#NAME?</v>
      </c>
      <c r="S72" t="e">
        <f ca="1">[1]!NT_DIST($Q72,S$5,$R$3,FALSE)</f>
        <v>#NAME?</v>
      </c>
      <c r="T72" t="e">
        <f ca="1">[1]!NT_DIST($Q72,T$5,$R$3,FALSE)</f>
        <v>#NAME?</v>
      </c>
      <c r="U72" t="e">
        <f ca="1">[1]!NT_DIST($Q72,U$5,$R$3,FALSE)</f>
        <v>#NAME?</v>
      </c>
    </row>
    <row r="73" spans="1:21">
      <c r="A73">
        <f t="shared" si="0"/>
        <v>-3.5000000000000209</v>
      </c>
      <c r="B73" t="e">
        <f ca="1">[1]!NT_DIST($A73,$B$3,B$5,FALSE)</f>
        <v>#NAME?</v>
      </c>
      <c r="C73" t="e">
        <f ca="1">[1]!NT_DIST($A73,$B$3,C$5,FALSE)</f>
        <v>#NAME?</v>
      </c>
      <c r="D73" t="e">
        <f ca="1">[1]!NT_DIST($A73,$B$3,D$5,FALSE)</f>
        <v>#NAME?</v>
      </c>
      <c r="E73" t="e">
        <f ca="1">[1]!NT_DIST($A73,$B$3,E$5,FALSE)</f>
        <v>#NAME?</v>
      </c>
      <c r="Q73">
        <f t="shared" si="1"/>
        <v>0.49999999999999545</v>
      </c>
      <c r="R73" t="e">
        <f ca="1">[1]!NT_DIST($Q73,R$5,$R$3,FALSE)</f>
        <v>#NAME?</v>
      </c>
      <c r="S73" t="e">
        <f ca="1">[1]!NT_DIST($Q73,S$5,$R$3,FALSE)</f>
        <v>#NAME?</v>
      </c>
      <c r="T73" t="e">
        <f ca="1">[1]!NT_DIST($Q73,T$5,$R$3,FALSE)</f>
        <v>#NAME?</v>
      </c>
      <c r="U73" t="e">
        <f ca="1">[1]!NT_DIST($Q73,U$5,$R$3,FALSE)</f>
        <v>#NAME?</v>
      </c>
    </row>
    <row r="74" spans="1:21">
      <c r="A74">
        <f t="shared" ref="A74:A137" si="2">A73+0.1</f>
        <v>-3.4000000000000208</v>
      </c>
      <c r="B74" t="e">
        <f ca="1">[1]!NT_DIST($A74,$B$3,B$5,FALSE)</f>
        <v>#NAME?</v>
      </c>
      <c r="C74" t="e">
        <f ca="1">[1]!NT_DIST($A74,$B$3,C$5,FALSE)</f>
        <v>#NAME?</v>
      </c>
      <c r="D74" t="e">
        <f ca="1">[1]!NT_DIST($A74,$B$3,D$5,FALSE)</f>
        <v>#NAME?</v>
      </c>
      <c r="E74" t="e">
        <f ca="1">[1]!NT_DIST($A74,$B$3,E$5,FALSE)</f>
        <v>#NAME?</v>
      </c>
      <c r="Q74">
        <f t="shared" ref="Q74:Q137" si="3">Q73+0.1</f>
        <v>0.59999999999999543</v>
      </c>
      <c r="R74" t="e">
        <f ca="1">[1]!NT_DIST($Q74,R$5,$R$3,FALSE)</f>
        <v>#NAME?</v>
      </c>
      <c r="S74" t="e">
        <f ca="1">[1]!NT_DIST($Q74,S$5,$R$3,FALSE)</f>
        <v>#NAME?</v>
      </c>
      <c r="T74" t="e">
        <f ca="1">[1]!NT_DIST($Q74,T$5,$R$3,FALSE)</f>
        <v>#NAME?</v>
      </c>
      <c r="U74" t="e">
        <f ca="1">[1]!NT_DIST($Q74,U$5,$R$3,FALSE)</f>
        <v>#NAME?</v>
      </c>
    </row>
    <row r="75" spans="1:21">
      <c r="A75">
        <f t="shared" si="2"/>
        <v>-3.3000000000000207</v>
      </c>
      <c r="B75" t="e">
        <f ca="1">[1]!NT_DIST($A75,$B$3,B$5,FALSE)</f>
        <v>#NAME?</v>
      </c>
      <c r="C75" t="e">
        <f ca="1">[1]!NT_DIST($A75,$B$3,C$5,FALSE)</f>
        <v>#NAME?</v>
      </c>
      <c r="D75" t="e">
        <f ca="1">[1]!NT_DIST($A75,$B$3,D$5,FALSE)</f>
        <v>#NAME?</v>
      </c>
      <c r="E75" t="e">
        <f ca="1">[1]!NT_DIST($A75,$B$3,E$5,FALSE)</f>
        <v>#NAME?</v>
      </c>
      <c r="Q75">
        <f t="shared" si="3"/>
        <v>0.6999999999999954</v>
      </c>
      <c r="R75" t="e">
        <f ca="1">[1]!NT_DIST($Q75,R$5,$R$3,FALSE)</f>
        <v>#NAME?</v>
      </c>
      <c r="S75" t="e">
        <f ca="1">[1]!NT_DIST($Q75,S$5,$R$3,FALSE)</f>
        <v>#NAME?</v>
      </c>
      <c r="T75" t="e">
        <f ca="1">[1]!NT_DIST($Q75,T$5,$R$3,FALSE)</f>
        <v>#NAME?</v>
      </c>
      <c r="U75" t="e">
        <f ca="1">[1]!NT_DIST($Q75,U$5,$R$3,FALSE)</f>
        <v>#NAME?</v>
      </c>
    </row>
    <row r="76" spans="1:21">
      <c r="A76">
        <f t="shared" si="2"/>
        <v>-3.2000000000000206</v>
      </c>
      <c r="B76" t="e">
        <f ca="1">[1]!NT_DIST($A76,$B$3,B$5,FALSE)</f>
        <v>#NAME?</v>
      </c>
      <c r="C76" t="e">
        <f ca="1">[1]!NT_DIST($A76,$B$3,C$5,FALSE)</f>
        <v>#NAME?</v>
      </c>
      <c r="D76" t="e">
        <f ca="1">[1]!NT_DIST($A76,$B$3,D$5,FALSE)</f>
        <v>#NAME?</v>
      </c>
      <c r="E76" t="e">
        <f ca="1">[1]!NT_DIST($A76,$B$3,E$5,FALSE)</f>
        <v>#NAME?</v>
      </c>
      <c r="Q76">
        <f t="shared" si="3"/>
        <v>0.79999999999999538</v>
      </c>
      <c r="R76" t="e">
        <f ca="1">[1]!NT_DIST($Q76,R$5,$R$3,FALSE)</f>
        <v>#NAME?</v>
      </c>
      <c r="S76" t="e">
        <f ca="1">[1]!NT_DIST($Q76,S$5,$R$3,FALSE)</f>
        <v>#NAME?</v>
      </c>
      <c r="T76" t="e">
        <f ca="1">[1]!NT_DIST($Q76,T$5,$R$3,FALSE)</f>
        <v>#NAME?</v>
      </c>
      <c r="U76" t="e">
        <f ca="1">[1]!NT_DIST($Q76,U$5,$R$3,FALSE)</f>
        <v>#NAME?</v>
      </c>
    </row>
    <row r="77" spans="1:21">
      <c r="A77">
        <f t="shared" si="2"/>
        <v>-3.1000000000000205</v>
      </c>
      <c r="B77" t="e">
        <f ca="1">[1]!NT_DIST($A77,$B$3,B$5,FALSE)</f>
        <v>#NAME?</v>
      </c>
      <c r="C77" t="e">
        <f ca="1">[1]!NT_DIST($A77,$B$3,C$5,FALSE)</f>
        <v>#NAME?</v>
      </c>
      <c r="D77" t="e">
        <f ca="1">[1]!NT_DIST($A77,$B$3,D$5,FALSE)</f>
        <v>#NAME?</v>
      </c>
      <c r="E77" t="e">
        <f ca="1">[1]!NT_DIST($A77,$B$3,E$5,FALSE)</f>
        <v>#NAME?</v>
      </c>
      <c r="Q77">
        <f t="shared" si="3"/>
        <v>0.89999999999999536</v>
      </c>
      <c r="R77" t="e">
        <f ca="1">[1]!NT_DIST($Q77,R$5,$R$3,FALSE)</f>
        <v>#NAME?</v>
      </c>
      <c r="S77" t="e">
        <f ca="1">[1]!NT_DIST($Q77,S$5,$R$3,FALSE)</f>
        <v>#NAME?</v>
      </c>
      <c r="T77" t="e">
        <f ca="1">[1]!NT_DIST($Q77,T$5,$R$3,FALSE)</f>
        <v>#NAME?</v>
      </c>
      <c r="U77" t="e">
        <f ca="1">[1]!NT_DIST($Q77,U$5,$R$3,FALSE)</f>
        <v>#NAME?</v>
      </c>
    </row>
    <row r="78" spans="1:21">
      <c r="A78">
        <f t="shared" si="2"/>
        <v>-3.0000000000000204</v>
      </c>
      <c r="B78" t="e">
        <f ca="1">[1]!NT_DIST($A78,$B$3,B$5,FALSE)</f>
        <v>#NAME?</v>
      </c>
      <c r="C78" t="e">
        <f ca="1">[1]!NT_DIST($A78,$B$3,C$5,FALSE)</f>
        <v>#NAME?</v>
      </c>
      <c r="D78" t="e">
        <f ca="1">[1]!NT_DIST($A78,$B$3,D$5,FALSE)</f>
        <v>#NAME?</v>
      </c>
      <c r="E78" t="e">
        <f ca="1">[1]!NT_DIST($A78,$B$3,E$5,FALSE)</f>
        <v>#NAME?</v>
      </c>
      <c r="Q78">
        <f t="shared" si="3"/>
        <v>0.99999999999999534</v>
      </c>
      <c r="R78" t="e">
        <f ca="1">[1]!NT_DIST($Q78,R$5,$R$3,FALSE)</f>
        <v>#NAME?</v>
      </c>
      <c r="S78" t="e">
        <f ca="1">[1]!NT_DIST($Q78,S$5,$R$3,FALSE)</f>
        <v>#NAME?</v>
      </c>
      <c r="T78" t="e">
        <f ca="1">[1]!NT_DIST($Q78,T$5,$R$3,FALSE)</f>
        <v>#NAME?</v>
      </c>
      <c r="U78" t="e">
        <f ca="1">[1]!NT_DIST($Q78,U$5,$R$3,FALSE)</f>
        <v>#NAME?</v>
      </c>
    </row>
    <row r="79" spans="1:21">
      <c r="A79">
        <f t="shared" si="2"/>
        <v>-2.9000000000000203</v>
      </c>
      <c r="B79" t="e">
        <f ca="1">[1]!NT_DIST($A79,$B$3,B$5,FALSE)</f>
        <v>#NAME?</v>
      </c>
      <c r="C79" t="e">
        <f ca="1">[1]!NT_DIST($A79,$B$3,C$5,FALSE)</f>
        <v>#NAME?</v>
      </c>
      <c r="D79" t="e">
        <f ca="1">[1]!NT_DIST($A79,$B$3,D$5,FALSE)</f>
        <v>#NAME?</v>
      </c>
      <c r="E79" t="e">
        <f ca="1">[1]!NT_DIST($A79,$B$3,E$5,FALSE)</f>
        <v>#NAME?</v>
      </c>
      <c r="Q79">
        <f t="shared" si="3"/>
        <v>1.0999999999999954</v>
      </c>
      <c r="R79" t="e">
        <f ca="1">[1]!NT_DIST($Q79,R$5,$R$3,FALSE)</f>
        <v>#NAME?</v>
      </c>
      <c r="S79" t="e">
        <f ca="1">[1]!NT_DIST($Q79,S$5,$R$3,FALSE)</f>
        <v>#NAME?</v>
      </c>
      <c r="T79" t="e">
        <f ca="1">[1]!NT_DIST($Q79,T$5,$R$3,FALSE)</f>
        <v>#NAME?</v>
      </c>
      <c r="U79" t="e">
        <f ca="1">[1]!NT_DIST($Q79,U$5,$R$3,FALSE)</f>
        <v>#NAME?</v>
      </c>
    </row>
    <row r="80" spans="1:21">
      <c r="A80">
        <f t="shared" si="2"/>
        <v>-2.8000000000000203</v>
      </c>
      <c r="B80" t="e">
        <f ca="1">[1]!NT_DIST($A80,$B$3,B$5,FALSE)</f>
        <v>#NAME?</v>
      </c>
      <c r="C80" t="e">
        <f ca="1">[1]!NT_DIST($A80,$B$3,C$5,FALSE)</f>
        <v>#NAME?</v>
      </c>
      <c r="D80" t="e">
        <f ca="1">[1]!NT_DIST($A80,$B$3,D$5,FALSE)</f>
        <v>#NAME?</v>
      </c>
      <c r="E80" t="e">
        <f ca="1">[1]!NT_DIST($A80,$B$3,E$5,FALSE)</f>
        <v>#NAME?</v>
      </c>
      <c r="Q80">
        <f t="shared" si="3"/>
        <v>1.1999999999999955</v>
      </c>
      <c r="R80" t="e">
        <f ca="1">[1]!NT_DIST($Q80,R$5,$R$3,FALSE)</f>
        <v>#NAME?</v>
      </c>
      <c r="S80" t="e">
        <f ca="1">[1]!NT_DIST($Q80,S$5,$R$3,FALSE)</f>
        <v>#NAME?</v>
      </c>
      <c r="T80" t="e">
        <f ca="1">[1]!NT_DIST($Q80,T$5,$R$3,FALSE)</f>
        <v>#NAME?</v>
      </c>
      <c r="U80" t="e">
        <f ca="1">[1]!NT_DIST($Q80,U$5,$R$3,FALSE)</f>
        <v>#NAME?</v>
      </c>
    </row>
    <row r="81" spans="1:21">
      <c r="A81">
        <f t="shared" si="2"/>
        <v>-2.7000000000000202</v>
      </c>
      <c r="B81" t="e">
        <f ca="1">[1]!NT_DIST($A81,$B$3,B$5,FALSE)</f>
        <v>#NAME?</v>
      </c>
      <c r="C81" t="e">
        <f ca="1">[1]!NT_DIST($A81,$B$3,C$5,FALSE)</f>
        <v>#NAME?</v>
      </c>
      <c r="D81" t="e">
        <f ca="1">[1]!NT_DIST($A81,$B$3,D$5,FALSE)</f>
        <v>#NAME?</v>
      </c>
      <c r="E81" t="e">
        <f ca="1">[1]!NT_DIST($A81,$B$3,E$5,FALSE)</f>
        <v>#NAME?</v>
      </c>
      <c r="Q81">
        <f t="shared" si="3"/>
        <v>1.2999999999999956</v>
      </c>
      <c r="R81" t="e">
        <f ca="1">[1]!NT_DIST($Q81,R$5,$R$3,FALSE)</f>
        <v>#NAME?</v>
      </c>
      <c r="S81" t="e">
        <f ca="1">[1]!NT_DIST($Q81,S$5,$R$3,FALSE)</f>
        <v>#NAME?</v>
      </c>
      <c r="T81" t="e">
        <f ca="1">[1]!NT_DIST($Q81,T$5,$R$3,FALSE)</f>
        <v>#NAME?</v>
      </c>
      <c r="U81" t="e">
        <f ca="1">[1]!NT_DIST($Q81,U$5,$R$3,FALSE)</f>
        <v>#NAME?</v>
      </c>
    </row>
    <row r="82" spans="1:21">
      <c r="A82">
        <f t="shared" si="2"/>
        <v>-2.6000000000000201</v>
      </c>
      <c r="B82" t="e">
        <f ca="1">[1]!NT_DIST($A82,$B$3,B$5,FALSE)</f>
        <v>#NAME?</v>
      </c>
      <c r="C82" t="e">
        <f ca="1">[1]!NT_DIST($A82,$B$3,C$5,FALSE)</f>
        <v>#NAME?</v>
      </c>
      <c r="D82" t="e">
        <f ca="1">[1]!NT_DIST($A82,$B$3,D$5,FALSE)</f>
        <v>#NAME?</v>
      </c>
      <c r="E82" t="e">
        <f ca="1">[1]!NT_DIST($A82,$B$3,E$5,FALSE)</f>
        <v>#NAME?</v>
      </c>
      <c r="Q82">
        <f t="shared" si="3"/>
        <v>1.3999999999999957</v>
      </c>
      <c r="R82" t="e">
        <f ca="1">[1]!NT_DIST($Q82,R$5,$R$3,FALSE)</f>
        <v>#NAME?</v>
      </c>
      <c r="S82" t="e">
        <f ca="1">[1]!NT_DIST($Q82,S$5,$R$3,FALSE)</f>
        <v>#NAME?</v>
      </c>
      <c r="T82" t="e">
        <f ca="1">[1]!NT_DIST($Q82,T$5,$R$3,FALSE)</f>
        <v>#NAME?</v>
      </c>
      <c r="U82" t="e">
        <f ca="1">[1]!NT_DIST($Q82,U$5,$R$3,FALSE)</f>
        <v>#NAME?</v>
      </c>
    </row>
    <row r="83" spans="1:21">
      <c r="A83">
        <f t="shared" si="2"/>
        <v>-2.50000000000002</v>
      </c>
      <c r="B83" t="e">
        <f ca="1">[1]!NT_DIST($A83,$B$3,B$5,FALSE)</f>
        <v>#NAME?</v>
      </c>
      <c r="C83" t="e">
        <f ca="1">[1]!NT_DIST($A83,$B$3,C$5,FALSE)</f>
        <v>#NAME?</v>
      </c>
      <c r="D83" t="e">
        <f ca="1">[1]!NT_DIST($A83,$B$3,D$5,FALSE)</f>
        <v>#NAME?</v>
      </c>
      <c r="E83" t="e">
        <f ca="1">[1]!NT_DIST($A83,$B$3,E$5,FALSE)</f>
        <v>#NAME?</v>
      </c>
      <c r="Q83">
        <f t="shared" si="3"/>
        <v>1.4999999999999958</v>
      </c>
      <c r="R83" t="e">
        <f ca="1">[1]!NT_DIST($Q83,R$5,$R$3,FALSE)</f>
        <v>#NAME?</v>
      </c>
      <c r="S83" t="e">
        <f ca="1">[1]!NT_DIST($Q83,S$5,$R$3,FALSE)</f>
        <v>#NAME?</v>
      </c>
      <c r="T83" t="e">
        <f ca="1">[1]!NT_DIST($Q83,T$5,$R$3,FALSE)</f>
        <v>#NAME?</v>
      </c>
      <c r="U83" t="e">
        <f ca="1">[1]!NT_DIST($Q83,U$5,$R$3,FALSE)</f>
        <v>#NAME?</v>
      </c>
    </row>
    <row r="84" spans="1:21">
      <c r="A84">
        <f t="shared" si="2"/>
        <v>-2.4000000000000199</v>
      </c>
      <c r="B84" t="e">
        <f ca="1">[1]!NT_DIST($A84,$B$3,B$5,FALSE)</f>
        <v>#NAME?</v>
      </c>
      <c r="C84" t="e">
        <f ca="1">[1]!NT_DIST($A84,$B$3,C$5,FALSE)</f>
        <v>#NAME?</v>
      </c>
      <c r="D84" t="e">
        <f ca="1">[1]!NT_DIST($A84,$B$3,D$5,FALSE)</f>
        <v>#NAME?</v>
      </c>
      <c r="E84" t="e">
        <f ca="1">[1]!NT_DIST($A84,$B$3,E$5,FALSE)</f>
        <v>#NAME?</v>
      </c>
      <c r="Q84">
        <f t="shared" si="3"/>
        <v>1.5999999999999959</v>
      </c>
      <c r="R84" t="e">
        <f ca="1">[1]!NT_DIST($Q84,R$5,$R$3,FALSE)</f>
        <v>#NAME?</v>
      </c>
      <c r="S84" t="e">
        <f ca="1">[1]!NT_DIST($Q84,S$5,$R$3,FALSE)</f>
        <v>#NAME?</v>
      </c>
      <c r="T84" t="e">
        <f ca="1">[1]!NT_DIST($Q84,T$5,$R$3,FALSE)</f>
        <v>#NAME?</v>
      </c>
      <c r="U84" t="e">
        <f ca="1">[1]!NT_DIST($Q84,U$5,$R$3,FALSE)</f>
        <v>#NAME?</v>
      </c>
    </row>
    <row r="85" spans="1:21">
      <c r="A85">
        <f t="shared" si="2"/>
        <v>-2.3000000000000198</v>
      </c>
      <c r="B85" t="e">
        <f ca="1">[1]!NT_DIST($A85,$B$3,B$5,FALSE)</f>
        <v>#NAME?</v>
      </c>
      <c r="C85" t="e">
        <f ca="1">[1]!NT_DIST($A85,$B$3,C$5,FALSE)</f>
        <v>#NAME?</v>
      </c>
      <c r="D85" t="e">
        <f ca="1">[1]!NT_DIST($A85,$B$3,D$5,FALSE)</f>
        <v>#NAME?</v>
      </c>
      <c r="E85" t="e">
        <f ca="1">[1]!NT_DIST($A85,$B$3,E$5,FALSE)</f>
        <v>#NAME?</v>
      </c>
      <c r="Q85">
        <f t="shared" si="3"/>
        <v>1.699999999999996</v>
      </c>
      <c r="R85" t="e">
        <f ca="1">[1]!NT_DIST($Q85,R$5,$R$3,FALSE)</f>
        <v>#NAME?</v>
      </c>
      <c r="S85" t="e">
        <f ca="1">[1]!NT_DIST($Q85,S$5,$R$3,FALSE)</f>
        <v>#NAME?</v>
      </c>
      <c r="T85" t="e">
        <f ca="1">[1]!NT_DIST($Q85,T$5,$R$3,FALSE)</f>
        <v>#NAME?</v>
      </c>
      <c r="U85" t="e">
        <f ca="1">[1]!NT_DIST($Q85,U$5,$R$3,FALSE)</f>
        <v>#NAME?</v>
      </c>
    </row>
    <row r="86" spans="1:21">
      <c r="A86">
        <f t="shared" si="2"/>
        <v>-2.2000000000000197</v>
      </c>
      <c r="B86" t="e">
        <f ca="1">[1]!NT_DIST($A86,$B$3,B$5,FALSE)</f>
        <v>#NAME?</v>
      </c>
      <c r="C86" t="e">
        <f ca="1">[1]!NT_DIST($A86,$B$3,C$5,FALSE)</f>
        <v>#NAME?</v>
      </c>
      <c r="D86" t="e">
        <f ca="1">[1]!NT_DIST($A86,$B$3,D$5,FALSE)</f>
        <v>#NAME?</v>
      </c>
      <c r="E86" t="e">
        <f ca="1">[1]!NT_DIST($A86,$B$3,E$5,FALSE)</f>
        <v>#NAME?</v>
      </c>
      <c r="Q86">
        <f t="shared" si="3"/>
        <v>1.799999999999996</v>
      </c>
      <c r="R86" t="e">
        <f ca="1">[1]!NT_DIST($Q86,R$5,$R$3,FALSE)</f>
        <v>#NAME?</v>
      </c>
      <c r="S86" t="e">
        <f ca="1">[1]!NT_DIST($Q86,S$5,$R$3,FALSE)</f>
        <v>#NAME?</v>
      </c>
      <c r="T86" t="e">
        <f ca="1">[1]!NT_DIST($Q86,T$5,$R$3,FALSE)</f>
        <v>#NAME?</v>
      </c>
      <c r="U86" t="e">
        <f ca="1">[1]!NT_DIST($Q86,U$5,$R$3,FALSE)</f>
        <v>#NAME?</v>
      </c>
    </row>
    <row r="87" spans="1:21">
      <c r="A87">
        <f t="shared" si="2"/>
        <v>-2.1000000000000196</v>
      </c>
      <c r="B87" t="e">
        <f ca="1">[1]!NT_DIST($A87,$B$3,B$5,FALSE)</f>
        <v>#NAME?</v>
      </c>
      <c r="C87" t="e">
        <f ca="1">[1]!NT_DIST($A87,$B$3,C$5,FALSE)</f>
        <v>#NAME?</v>
      </c>
      <c r="D87" t="e">
        <f ca="1">[1]!NT_DIST($A87,$B$3,D$5,FALSE)</f>
        <v>#NAME?</v>
      </c>
      <c r="E87" t="e">
        <f ca="1">[1]!NT_DIST($A87,$B$3,E$5,FALSE)</f>
        <v>#NAME?</v>
      </c>
      <c r="Q87">
        <f t="shared" si="3"/>
        <v>1.8999999999999961</v>
      </c>
      <c r="R87" t="e">
        <f ca="1">[1]!NT_DIST($Q87,R$5,$R$3,FALSE)</f>
        <v>#NAME?</v>
      </c>
      <c r="S87" t="e">
        <f ca="1">[1]!NT_DIST($Q87,S$5,$R$3,FALSE)</f>
        <v>#NAME?</v>
      </c>
      <c r="T87" t="e">
        <f ca="1">[1]!NT_DIST($Q87,T$5,$R$3,FALSE)</f>
        <v>#NAME?</v>
      </c>
      <c r="U87" t="e">
        <f ca="1">[1]!NT_DIST($Q87,U$5,$R$3,FALSE)</f>
        <v>#NAME?</v>
      </c>
    </row>
    <row r="88" spans="1:21">
      <c r="A88">
        <f t="shared" si="2"/>
        <v>-2.0000000000000195</v>
      </c>
      <c r="B88" t="e">
        <f ca="1">[1]!NT_DIST($A88,$B$3,B$5,FALSE)</f>
        <v>#NAME?</v>
      </c>
      <c r="C88" t="e">
        <f ca="1">[1]!NT_DIST($A88,$B$3,C$5,FALSE)</f>
        <v>#NAME?</v>
      </c>
      <c r="D88" t="e">
        <f ca="1">[1]!NT_DIST($A88,$B$3,D$5,FALSE)</f>
        <v>#NAME?</v>
      </c>
      <c r="E88" t="e">
        <f ca="1">[1]!NT_DIST($A88,$B$3,E$5,FALSE)</f>
        <v>#NAME?</v>
      </c>
      <c r="Q88">
        <f t="shared" si="3"/>
        <v>1.9999999999999962</v>
      </c>
      <c r="R88" t="e">
        <f ca="1">[1]!NT_DIST($Q88,R$5,$R$3,FALSE)</f>
        <v>#NAME?</v>
      </c>
      <c r="S88" t="e">
        <f ca="1">[1]!NT_DIST($Q88,S$5,$R$3,FALSE)</f>
        <v>#NAME?</v>
      </c>
      <c r="T88" t="e">
        <f ca="1">[1]!NT_DIST($Q88,T$5,$R$3,FALSE)</f>
        <v>#NAME?</v>
      </c>
      <c r="U88" t="e">
        <f ca="1">[1]!NT_DIST($Q88,U$5,$R$3,FALSE)</f>
        <v>#NAME?</v>
      </c>
    </row>
    <row r="89" spans="1:21">
      <c r="A89">
        <f t="shared" si="2"/>
        <v>-1.9000000000000195</v>
      </c>
      <c r="B89" t="e">
        <f ca="1">[1]!NT_DIST($A89,$B$3,B$5,FALSE)</f>
        <v>#NAME?</v>
      </c>
      <c r="C89" t="e">
        <f ca="1">[1]!NT_DIST($A89,$B$3,C$5,FALSE)</f>
        <v>#NAME?</v>
      </c>
      <c r="D89" t="e">
        <f ca="1">[1]!NT_DIST($A89,$B$3,D$5,FALSE)</f>
        <v>#NAME?</v>
      </c>
      <c r="E89" t="e">
        <f ca="1">[1]!NT_DIST($A89,$B$3,E$5,FALSE)</f>
        <v>#NAME?</v>
      </c>
      <c r="Q89">
        <f t="shared" si="3"/>
        <v>2.0999999999999961</v>
      </c>
      <c r="R89" t="e">
        <f ca="1">[1]!NT_DIST($Q89,R$5,$R$3,FALSE)</f>
        <v>#NAME?</v>
      </c>
      <c r="S89" t="e">
        <f ca="1">[1]!NT_DIST($Q89,S$5,$R$3,FALSE)</f>
        <v>#NAME?</v>
      </c>
      <c r="T89" t="e">
        <f ca="1">[1]!NT_DIST($Q89,T$5,$R$3,FALSE)</f>
        <v>#NAME?</v>
      </c>
      <c r="U89" t="e">
        <f ca="1">[1]!NT_DIST($Q89,U$5,$R$3,FALSE)</f>
        <v>#NAME?</v>
      </c>
    </row>
    <row r="90" spans="1:21">
      <c r="A90">
        <f t="shared" si="2"/>
        <v>-1.8000000000000194</v>
      </c>
      <c r="B90" t="e">
        <f ca="1">[1]!NT_DIST($A90,$B$3,B$5,FALSE)</f>
        <v>#NAME?</v>
      </c>
      <c r="C90" t="e">
        <f ca="1">[1]!NT_DIST($A90,$B$3,C$5,FALSE)</f>
        <v>#NAME?</v>
      </c>
      <c r="D90" t="e">
        <f ca="1">[1]!NT_DIST($A90,$B$3,D$5,FALSE)</f>
        <v>#NAME?</v>
      </c>
      <c r="E90" t="e">
        <f ca="1">[1]!NT_DIST($A90,$B$3,E$5,FALSE)</f>
        <v>#NAME?</v>
      </c>
      <c r="Q90">
        <f t="shared" si="3"/>
        <v>2.1999999999999962</v>
      </c>
      <c r="R90" t="e">
        <f ca="1">[1]!NT_DIST($Q90,R$5,$R$3,FALSE)</f>
        <v>#NAME?</v>
      </c>
      <c r="S90" t="e">
        <f ca="1">[1]!NT_DIST($Q90,S$5,$R$3,FALSE)</f>
        <v>#NAME?</v>
      </c>
      <c r="T90" t="e">
        <f ca="1">[1]!NT_DIST($Q90,T$5,$R$3,FALSE)</f>
        <v>#NAME?</v>
      </c>
      <c r="U90" t="e">
        <f ca="1">[1]!NT_DIST($Q90,U$5,$R$3,FALSE)</f>
        <v>#NAME?</v>
      </c>
    </row>
    <row r="91" spans="1:21">
      <c r="A91">
        <f t="shared" si="2"/>
        <v>-1.7000000000000193</v>
      </c>
      <c r="B91" t="e">
        <f ca="1">[1]!NT_DIST($A91,$B$3,B$5,FALSE)</f>
        <v>#NAME?</v>
      </c>
      <c r="C91" t="e">
        <f ca="1">[1]!NT_DIST($A91,$B$3,C$5,FALSE)</f>
        <v>#NAME?</v>
      </c>
      <c r="D91" t="e">
        <f ca="1">[1]!NT_DIST($A91,$B$3,D$5,FALSE)</f>
        <v>#NAME?</v>
      </c>
      <c r="E91" t="e">
        <f ca="1">[1]!NT_DIST($A91,$B$3,E$5,FALSE)</f>
        <v>#NAME?</v>
      </c>
      <c r="Q91">
        <f t="shared" si="3"/>
        <v>2.2999999999999963</v>
      </c>
      <c r="R91" t="e">
        <f ca="1">[1]!NT_DIST($Q91,R$5,$R$3,FALSE)</f>
        <v>#NAME?</v>
      </c>
      <c r="S91" t="e">
        <f ca="1">[1]!NT_DIST($Q91,S$5,$R$3,FALSE)</f>
        <v>#NAME?</v>
      </c>
      <c r="T91" t="e">
        <f ca="1">[1]!NT_DIST($Q91,T$5,$R$3,FALSE)</f>
        <v>#NAME?</v>
      </c>
      <c r="U91" t="e">
        <f ca="1">[1]!NT_DIST($Q91,U$5,$R$3,FALSE)</f>
        <v>#NAME?</v>
      </c>
    </row>
    <row r="92" spans="1:21">
      <c r="A92">
        <f t="shared" si="2"/>
        <v>-1.6000000000000192</v>
      </c>
      <c r="B92" t="e">
        <f ca="1">[1]!NT_DIST($A92,$B$3,B$5,FALSE)</f>
        <v>#NAME?</v>
      </c>
      <c r="C92" t="e">
        <f ca="1">[1]!NT_DIST($A92,$B$3,C$5,FALSE)</f>
        <v>#NAME?</v>
      </c>
      <c r="D92" t="e">
        <f ca="1">[1]!NT_DIST($A92,$B$3,D$5,FALSE)</f>
        <v>#NAME?</v>
      </c>
      <c r="E92" t="e">
        <f ca="1">[1]!NT_DIST($A92,$B$3,E$5,FALSE)</f>
        <v>#NAME?</v>
      </c>
      <c r="Q92">
        <f t="shared" si="3"/>
        <v>2.3999999999999964</v>
      </c>
      <c r="R92" t="e">
        <f ca="1">[1]!NT_DIST($Q92,R$5,$R$3,FALSE)</f>
        <v>#NAME?</v>
      </c>
      <c r="S92" t="e">
        <f ca="1">[1]!NT_DIST($Q92,S$5,$R$3,FALSE)</f>
        <v>#NAME?</v>
      </c>
      <c r="T92" t="e">
        <f ca="1">[1]!NT_DIST($Q92,T$5,$R$3,FALSE)</f>
        <v>#NAME?</v>
      </c>
      <c r="U92" t="e">
        <f ca="1">[1]!NT_DIST($Q92,U$5,$R$3,FALSE)</f>
        <v>#NAME?</v>
      </c>
    </row>
    <row r="93" spans="1:21">
      <c r="A93">
        <f t="shared" si="2"/>
        <v>-1.5000000000000191</v>
      </c>
      <c r="B93" t="e">
        <f ca="1">[1]!NT_DIST($A93,$B$3,B$5,FALSE)</f>
        <v>#NAME?</v>
      </c>
      <c r="C93" t="e">
        <f ca="1">[1]!NT_DIST($A93,$B$3,C$5,FALSE)</f>
        <v>#NAME?</v>
      </c>
      <c r="D93" t="e">
        <f ca="1">[1]!NT_DIST($A93,$B$3,D$5,FALSE)</f>
        <v>#NAME?</v>
      </c>
      <c r="E93" t="e">
        <f ca="1">[1]!NT_DIST($A93,$B$3,E$5,FALSE)</f>
        <v>#NAME?</v>
      </c>
      <c r="Q93">
        <f t="shared" si="3"/>
        <v>2.4999999999999964</v>
      </c>
      <c r="R93" t="e">
        <f ca="1">[1]!NT_DIST($Q93,R$5,$R$3,FALSE)</f>
        <v>#NAME?</v>
      </c>
      <c r="S93" t="e">
        <f ca="1">[1]!NT_DIST($Q93,S$5,$R$3,FALSE)</f>
        <v>#NAME?</v>
      </c>
      <c r="T93" t="e">
        <f ca="1">[1]!NT_DIST($Q93,T$5,$R$3,FALSE)</f>
        <v>#NAME?</v>
      </c>
      <c r="U93" t="e">
        <f ca="1">[1]!NT_DIST($Q93,U$5,$R$3,FALSE)</f>
        <v>#NAME?</v>
      </c>
    </row>
    <row r="94" spans="1:21">
      <c r="A94">
        <f t="shared" si="2"/>
        <v>-1.400000000000019</v>
      </c>
      <c r="B94" t="e">
        <f ca="1">[1]!NT_DIST($A94,$B$3,B$5,FALSE)</f>
        <v>#NAME?</v>
      </c>
      <c r="C94" t="e">
        <f ca="1">[1]!NT_DIST($A94,$B$3,C$5,FALSE)</f>
        <v>#NAME?</v>
      </c>
      <c r="D94" t="e">
        <f ca="1">[1]!NT_DIST($A94,$B$3,D$5,FALSE)</f>
        <v>#NAME?</v>
      </c>
      <c r="E94" t="e">
        <f ca="1">[1]!NT_DIST($A94,$B$3,E$5,FALSE)</f>
        <v>#NAME?</v>
      </c>
      <c r="Q94">
        <f t="shared" si="3"/>
        <v>2.5999999999999965</v>
      </c>
      <c r="R94" t="e">
        <f ca="1">[1]!NT_DIST($Q94,R$5,$R$3,FALSE)</f>
        <v>#NAME?</v>
      </c>
      <c r="S94" t="e">
        <f ca="1">[1]!NT_DIST($Q94,S$5,$R$3,FALSE)</f>
        <v>#NAME?</v>
      </c>
      <c r="T94" t="e">
        <f ca="1">[1]!NT_DIST($Q94,T$5,$R$3,FALSE)</f>
        <v>#NAME?</v>
      </c>
      <c r="U94" t="e">
        <f ca="1">[1]!NT_DIST($Q94,U$5,$R$3,FALSE)</f>
        <v>#NAME?</v>
      </c>
    </row>
    <row r="95" spans="1:21">
      <c r="A95">
        <f t="shared" si="2"/>
        <v>-1.3000000000000189</v>
      </c>
      <c r="B95" t="e">
        <f ca="1">[1]!NT_DIST($A95,$B$3,B$5,FALSE)</f>
        <v>#NAME?</v>
      </c>
      <c r="C95" t="e">
        <f ca="1">[1]!NT_DIST($A95,$B$3,C$5,FALSE)</f>
        <v>#NAME?</v>
      </c>
      <c r="D95" t="e">
        <f ca="1">[1]!NT_DIST($A95,$B$3,D$5,FALSE)</f>
        <v>#NAME?</v>
      </c>
      <c r="E95" t="e">
        <f ca="1">[1]!NT_DIST($A95,$B$3,E$5,FALSE)</f>
        <v>#NAME?</v>
      </c>
      <c r="Q95">
        <f t="shared" si="3"/>
        <v>2.6999999999999966</v>
      </c>
      <c r="R95" t="e">
        <f ca="1">[1]!NT_DIST($Q95,R$5,$R$3,FALSE)</f>
        <v>#NAME?</v>
      </c>
      <c r="S95" t="e">
        <f ca="1">[1]!NT_DIST($Q95,S$5,$R$3,FALSE)</f>
        <v>#NAME?</v>
      </c>
      <c r="T95" t="e">
        <f ca="1">[1]!NT_DIST($Q95,T$5,$R$3,FALSE)</f>
        <v>#NAME?</v>
      </c>
      <c r="U95" t="e">
        <f ca="1">[1]!NT_DIST($Q95,U$5,$R$3,FALSE)</f>
        <v>#NAME?</v>
      </c>
    </row>
    <row r="96" spans="1:21">
      <c r="A96">
        <f t="shared" si="2"/>
        <v>-1.2000000000000188</v>
      </c>
      <c r="B96" t="e">
        <f ca="1">[1]!NT_DIST($A96,$B$3,B$5,FALSE)</f>
        <v>#NAME?</v>
      </c>
      <c r="C96" t="e">
        <f ca="1">[1]!NT_DIST($A96,$B$3,C$5,FALSE)</f>
        <v>#NAME?</v>
      </c>
      <c r="D96" t="e">
        <f ca="1">[1]!NT_DIST($A96,$B$3,D$5,FALSE)</f>
        <v>#NAME?</v>
      </c>
      <c r="E96" t="e">
        <f ca="1">[1]!NT_DIST($A96,$B$3,E$5,FALSE)</f>
        <v>#NAME?</v>
      </c>
      <c r="Q96">
        <f t="shared" si="3"/>
        <v>2.7999999999999967</v>
      </c>
      <c r="R96" t="e">
        <f ca="1">[1]!NT_DIST($Q96,R$5,$R$3,FALSE)</f>
        <v>#NAME?</v>
      </c>
      <c r="S96" t="e">
        <f ca="1">[1]!NT_DIST($Q96,S$5,$R$3,FALSE)</f>
        <v>#NAME?</v>
      </c>
      <c r="T96" t="e">
        <f ca="1">[1]!NT_DIST($Q96,T$5,$R$3,FALSE)</f>
        <v>#NAME?</v>
      </c>
      <c r="U96" t="e">
        <f ca="1">[1]!NT_DIST($Q96,U$5,$R$3,FALSE)</f>
        <v>#NAME?</v>
      </c>
    </row>
    <row r="97" spans="1:21">
      <c r="A97">
        <f t="shared" si="2"/>
        <v>-1.1000000000000187</v>
      </c>
      <c r="B97" t="e">
        <f ca="1">[1]!NT_DIST($A97,$B$3,B$5,FALSE)</f>
        <v>#NAME?</v>
      </c>
      <c r="C97" t="e">
        <f ca="1">[1]!NT_DIST($A97,$B$3,C$5,FALSE)</f>
        <v>#NAME?</v>
      </c>
      <c r="D97" t="e">
        <f ca="1">[1]!NT_DIST($A97,$B$3,D$5,FALSE)</f>
        <v>#NAME?</v>
      </c>
      <c r="E97" t="e">
        <f ca="1">[1]!NT_DIST($A97,$B$3,E$5,FALSE)</f>
        <v>#NAME?</v>
      </c>
      <c r="Q97">
        <f t="shared" si="3"/>
        <v>2.8999999999999968</v>
      </c>
      <c r="R97" t="e">
        <f ca="1">[1]!NT_DIST($Q97,R$5,$R$3,FALSE)</f>
        <v>#NAME?</v>
      </c>
      <c r="S97" t="e">
        <f ca="1">[1]!NT_DIST($Q97,S$5,$R$3,FALSE)</f>
        <v>#NAME?</v>
      </c>
      <c r="T97" t="e">
        <f ca="1">[1]!NT_DIST($Q97,T$5,$R$3,FALSE)</f>
        <v>#NAME?</v>
      </c>
      <c r="U97" t="e">
        <f ca="1">[1]!NT_DIST($Q97,U$5,$R$3,FALSE)</f>
        <v>#NAME?</v>
      </c>
    </row>
    <row r="98" spans="1:21">
      <c r="A98">
        <f t="shared" si="2"/>
        <v>-1.0000000000000187</v>
      </c>
      <c r="B98" t="e">
        <f ca="1">[1]!NT_DIST($A98,$B$3,B$5,FALSE)</f>
        <v>#NAME?</v>
      </c>
      <c r="C98" t="e">
        <f ca="1">[1]!NT_DIST($A98,$B$3,C$5,FALSE)</f>
        <v>#NAME?</v>
      </c>
      <c r="D98" t="e">
        <f ca="1">[1]!NT_DIST($A98,$B$3,D$5,FALSE)</f>
        <v>#NAME?</v>
      </c>
      <c r="E98" t="e">
        <f ca="1">[1]!NT_DIST($A98,$B$3,E$5,FALSE)</f>
        <v>#NAME?</v>
      </c>
      <c r="Q98">
        <f t="shared" si="3"/>
        <v>2.9999999999999969</v>
      </c>
      <c r="R98" t="e">
        <f ca="1">[1]!NT_DIST($Q98,R$5,$R$3,FALSE)</f>
        <v>#NAME?</v>
      </c>
      <c r="S98" t="e">
        <f ca="1">[1]!NT_DIST($Q98,S$5,$R$3,FALSE)</f>
        <v>#NAME?</v>
      </c>
      <c r="T98" t="e">
        <f ca="1">[1]!NT_DIST($Q98,T$5,$R$3,FALSE)</f>
        <v>#NAME?</v>
      </c>
      <c r="U98" t="e">
        <f ca="1">[1]!NT_DIST($Q98,U$5,$R$3,FALSE)</f>
        <v>#NAME?</v>
      </c>
    </row>
    <row r="99" spans="1:21">
      <c r="A99">
        <f t="shared" si="2"/>
        <v>-0.90000000000001867</v>
      </c>
      <c r="B99" t="e">
        <f ca="1">[1]!NT_DIST($A99,$B$3,B$5,FALSE)</f>
        <v>#NAME?</v>
      </c>
      <c r="C99" t="e">
        <f ca="1">[1]!NT_DIST($A99,$B$3,C$5,FALSE)</f>
        <v>#NAME?</v>
      </c>
      <c r="D99" t="e">
        <f ca="1">[1]!NT_DIST($A99,$B$3,D$5,FALSE)</f>
        <v>#NAME?</v>
      </c>
      <c r="E99" t="e">
        <f ca="1">[1]!NT_DIST($A99,$B$3,E$5,FALSE)</f>
        <v>#NAME?</v>
      </c>
      <c r="Q99">
        <f t="shared" si="3"/>
        <v>3.099999999999997</v>
      </c>
      <c r="R99" t="e">
        <f ca="1">[1]!NT_DIST($Q99,R$5,$R$3,FALSE)</f>
        <v>#NAME?</v>
      </c>
      <c r="S99" t="e">
        <f ca="1">[1]!NT_DIST($Q99,S$5,$R$3,FALSE)</f>
        <v>#NAME?</v>
      </c>
      <c r="T99" t="e">
        <f ca="1">[1]!NT_DIST($Q99,T$5,$R$3,FALSE)</f>
        <v>#NAME?</v>
      </c>
      <c r="U99" t="e">
        <f ca="1">[1]!NT_DIST($Q99,U$5,$R$3,FALSE)</f>
        <v>#NAME?</v>
      </c>
    </row>
    <row r="100" spans="1:21">
      <c r="A100">
        <f t="shared" si="2"/>
        <v>-0.8000000000000187</v>
      </c>
      <c r="B100" t="e">
        <f ca="1">[1]!NT_DIST($A100,$B$3,B$5,FALSE)</f>
        <v>#NAME?</v>
      </c>
      <c r="C100" t="e">
        <f ca="1">[1]!NT_DIST($A100,$B$3,C$5,FALSE)</f>
        <v>#NAME?</v>
      </c>
      <c r="D100" t="e">
        <f ca="1">[1]!NT_DIST($A100,$B$3,D$5,FALSE)</f>
        <v>#NAME?</v>
      </c>
      <c r="E100" t="e">
        <f ca="1">[1]!NT_DIST($A100,$B$3,E$5,FALSE)</f>
        <v>#NAME?</v>
      </c>
      <c r="Q100">
        <f t="shared" si="3"/>
        <v>3.1999999999999971</v>
      </c>
      <c r="R100" t="e">
        <f ca="1">[1]!NT_DIST($Q100,R$5,$R$3,FALSE)</f>
        <v>#NAME?</v>
      </c>
      <c r="S100" t="e">
        <f ca="1">[1]!NT_DIST($Q100,S$5,$R$3,FALSE)</f>
        <v>#NAME?</v>
      </c>
      <c r="T100" t="e">
        <f ca="1">[1]!NT_DIST($Q100,T$5,$R$3,FALSE)</f>
        <v>#NAME?</v>
      </c>
      <c r="U100" t="e">
        <f ca="1">[1]!NT_DIST($Q100,U$5,$R$3,FALSE)</f>
        <v>#NAME?</v>
      </c>
    </row>
    <row r="101" spans="1:21">
      <c r="A101">
        <f t="shared" si="2"/>
        <v>-0.70000000000001872</v>
      </c>
      <c r="B101" t="e">
        <f ca="1">[1]!NT_DIST($A101,$B$3,B$5,FALSE)</f>
        <v>#NAME?</v>
      </c>
      <c r="C101" t="e">
        <f ca="1">[1]!NT_DIST($A101,$B$3,C$5,FALSE)</f>
        <v>#NAME?</v>
      </c>
      <c r="D101" t="e">
        <f ca="1">[1]!NT_DIST($A101,$B$3,D$5,FALSE)</f>
        <v>#NAME?</v>
      </c>
      <c r="E101" t="e">
        <f ca="1">[1]!NT_DIST($A101,$B$3,E$5,FALSE)</f>
        <v>#NAME?</v>
      </c>
      <c r="Q101">
        <f t="shared" si="3"/>
        <v>3.2999999999999972</v>
      </c>
      <c r="R101" t="e">
        <f ca="1">[1]!NT_DIST($Q101,R$5,$R$3,FALSE)</f>
        <v>#NAME?</v>
      </c>
      <c r="S101" t="e">
        <f ca="1">[1]!NT_DIST($Q101,S$5,$R$3,FALSE)</f>
        <v>#NAME?</v>
      </c>
      <c r="T101" t="e">
        <f ca="1">[1]!NT_DIST($Q101,T$5,$R$3,FALSE)</f>
        <v>#NAME?</v>
      </c>
      <c r="U101" t="e">
        <f ca="1">[1]!NT_DIST($Q101,U$5,$R$3,FALSE)</f>
        <v>#NAME?</v>
      </c>
    </row>
    <row r="102" spans="1:21">
      <c r="A102">
        <f t="shared" si="2"/>
        <v>-0.60000000000001874</v>
      </c>
      <c r="B102" t="e">
        <f ca="1">[1]!NT_DIST($A102,$B$3,B$5,FALSE)</f>
        <v>#NAME?</v>
      </c>
      <c r="C102" t="e">
        <f ca="1">[1]!NT_DIST($A102,$B$3,C$5,FALSE)</f>
        <v>#NAME?</v>
      </c>
      <c r="D102" t="e">
        <f ca="1">[1]!NT_DIST($A102,$B$3,D$5,FALSE)</f>
        <v>#NAME?</v>
      </c>
      <c r="E102" t="e">
        <f ca="1">[1]!NT_DIST($A102,$B$3,E$5,FALSE)</f>
        <v>#NAME?</v>
      </c>
      <c r="Q102">
        <f t="shared" si="3"/>
        <v>3.3999999999999972</v>
      </c>
      <c r="R102" t="e">
        <f ca="1">[1]!NT_DIST($Q102,R$5,$R$3,FALSE)</f>
        <v>#NAME?</v>
      </c>
      <c r="S102" t="e">
        <f ca="1">[1]!NT_DIST($Q102,S$5,$R$3,FALSE)</f>
        <v>#NAME?</v>
      </c>
      <c r="T102" t="e">
        <f ca="1">[1]!NT_DIST($Q102,T$5,$R$3,FALSE)</f>
        <v>#NAME?</v>
      </c>
      <c r="U102" t="e">
        <f ca="1">[1]!NT_DIST($Q102,U$5,$R$3,FALSE)</f>
        <v>#NAME?</v>
      </c>
    </row>
    <row r="103" spans="1:21">
      <c r="A103">
        <f t="shared" si="2"/>
        <v>-0.50000000000001876</v>
      </c>
      <c r="B103" t="e">
        <f ca="1">[1]!NT_DIST($A103,$B$3,B$5,FALSE)</f>
        <v>#NAME?</v>
      </c>
      <c r="C103" t="e">
        <f ca="1">[1]!NT_DIST($A103,$B$3,C$5,FALSE)</f>
        <v>#NAME?</v>
      </c>
      <c r="D103" t="e">
        <f ca="1">[1]!NT_DIST($A103,$B$3,D$5,FALSE)</f>
        <v>#NAME?</v>
      </c>
      <c r="E103" t="e">
        <f ca="1">[1]!NT_DIST($A103,$B$3,E$5,FALSE)</f>
        <v>#NAME?</v>
      </c>
      <c r="Q103">
        <f t="shared" si="3"/>
        <v>3.4999999999999973</v>
      </c>
      <c r="R103" t="e">
        <f ca="1">[1]!NT_DIST($Q103,R$5,$R$3,FALSE)</f>
        <v>#NAME?</v>
      </c>
      <c r="S103" t="e">
        <f ca="1">[1]!NT_DIST($Q103,S$5,$R$3,FALSE)</f>
        <v>#NAME?</v>
      </c>
      <c r="T103" t="e">
        <f ca="1">[1]!NT_DIST($Q103,T$5,$R$3,FALSE)</f>
        <v>#NAME?</v>
      </c>
      <c r="U103" t="e">
        <f ca="1">[1]!NT_DIST($Q103,U$5,$R$3,FALSE)</f>
        <v>#NAME?</v>
      </c>
    </row>
    <row r="104" spans="1:21">
      <c r="A104">
        <f t="shared" si="2"/>
        <v>-0.40000000000001878</v>
      </c>
      <c r="B104" t="e">
        <f ca="1">[1]!NT_DIST($A104,$B$3,B$5,FALSE)</f>
        <v>#NAME?</v>
      </c>
      <c r="C104" t="e">
        <f ca="1">[1]!NT_DIST($A104,$B$3,C$5,FALSE)</f>
        <v>#NAME?</v>
      </c>
      <c r="D104" t="e">
        <f ca="1">[1]!NT_DIST($A104,$B$3,D$5,FALSE)</f>
        <v>#NAME?</v>
      </c>
      <c r="E104" t="e">
        <f ca="1">[1]!NT_DIST($A104,$B$3,E$5,FALSE)</f>
        <v>#NAME?</v>
      </c>
      <c r="Q104">
        <f t="shared" si="3"/>
        <v>3.5999999999999974</v>
      </c>
      <c r="R104" t="e">
        <f ca="1">[1]!NT_DIST($Q104,R$5,$R$3,FALSE)</f>
        <v>#NAME?</v>
      </c>
      <c r="S104" t="e">
        <f ca="1">[1]!NT_DIST($Q104,S$5,$R$3,FALSE)</f>
        <v>#NAME?</v>
      </c>
      <c r="T104" t="e">
        <f ca="1">[1]!NT_DIST($Q104,T$5,$R$3,FALSE)</f>
        <v>#NAME?</v>
      </c>
      <c r="U104" t="e">
        <f ca="1">[1]!NT_DIST($Q104,U$5,$R$3,FALSE)</f>
        <v>#NAME?</v>
      </c>
    </row>
    <row r="105" spans="1:21">
      <c r="A105">
        <f t="shared" si="2"/>
        <v>-0.30000000000001881</v>
      </c>
      <c r="B105" t="e">
        <f ca="1">[1]!NT_DIST($A105,$B$3,B$5,FALSE)</f>
        <v>#NAME?</v>
      </c>
      <c r="C105" t="e">
        <f ca="1">[1]!NT_DIST($A105,$B$3,C$5,FALSE)</f>
        <v>#NAME?</v>
      </c>
      <c r="D105" t="e">
        <f ca="1">[1]!NT_DIST($A105,$B$3,D$5,FALSE)</f>
        <v>#NAME?</v>
      </c>
      <c r="E105" t="e">
        <f ca="1">[1]!NT_DIST($A105,$B$3,E$5,FALSE)</f>
        <v>#NAME?</v>
      </c>
      <c r="Q105">
        <f t="shared" si="3"/>
        <v>3.6999999999999975</v>
      </c>
      <c r="R105" t="e">
        <f ca="1">[1]!NT_DIST($Q105,R$5,$R$3,FALSE)</f>
        <v>#NAME?</v>
      </c>
      <c r="S105" t="e">
        <f ca="1">[1]!NT_DIST($Q105,S$5,$R$3,FALSE)</f>
        <v>#NAME?</v>
      </c>
      <c r="T105" t="e">
        <f ca="1">[1]!NT_DIST($Q105,T$5,$R$3,FALSE)</f>
        <v>#NAME?</v>
      </c>
      <c r="U105" t="e">
        <f ca="1">[1]!NT_DIST($Q105,U$5,$R$3,FALSE)</f>
        <v>#NAME?</v>
      </c>
    </row>
    <row r="106" spans="1:21">
      <c r="A106">
        <f t="shared" si="2"/>
        <v>-0.2000000000000188</v>
      </c>
      <c r="B106" t="e">
        <f ca="1">[1]!NT_DIST($A106,$B$3,B$5,FALSE)</f>
        <v>#NAME?</v>
      </c>
      <c r="C106" t="e">
        <f ca="1">[1]!NT_DIST($A106,$B$3,C$5,FALSE)</f>
        <v>#NAME?</v>
      </c>
      <c r="D106" t="e">
        <f ca="1">[1]!NT_DIST($A106,$B$3,D$5,FALSE)</f>
        <v>#NAME?</v>
      </c>
      <c r="E106" t="e">
        <f ca="1">[1]!NT_DIST($A106,$B$3,E$5,FALSE)</f>
        <v>#NAME?</v>
      </c>
      <c r="Q106">
        <f t="shared" si="3"/>
        <v>3.7999999999999976</v>
      </c>
      <c r="R106" t="e">
        <f ca="1">[1]!NT_DIST($Q106,R$5,$R$3,FALSE)</f>
        <v>#NAME?</v>
      </c>
      <c r="S106" t="e">
        <f ca="1">[1]!NT_DIST($Q106,S$5,$R$3,FALSE)</f>
        <v>#NAME?</v>
      </c>
      <c r="T106" t="e">
        <f ca="1">[1]!NT_DIST($Q106,T$5,$R$3,FALSE)</f>
        <v>#NAME?</v>
      </c>
      <c r="U106" t="e">
        <f ca="1">[1]!NT_DIST($Q106,U$5,$R$3,FALSE)</f>
        <v>#NAME?</v>
      </c>
    </row>
    <row r="107" spans="1:21">
      <c r="A107">
        <f t="shared" si="2"/>
        <v>-0.1000000000000188</v>
      </c>
      <c r="B107" t="e">
        <f ca="1">[1]!NT_DIST($A107,$B$3,B$5,FALSE)</f>
        <v>#NAME?</v>
      </c>
      <c r="C107" t="e">
        <f ca="1">[1]!NT_DIST($A107,$B$3,C$5,FALSE)</f>
        <v>#NAME?</v>
      </c>
      <c r="D107" t="e">
        <f ca="1">[1]!NT_DIST($A107,$B$3,D$5,FALSE)</f>
        <v>#NAME?</v>
      </c>
      <c r="E107" t="e">
        <f ca="1">[1]!NT_DIST($A107,$B$3,E$5,FALSE)</f>
        <v>#NAME?</v>
      </c>
      <c r="Q107">
        <f t="shared" si="3"/>
        <v>3.8999999999999977</v>
      </c>
      <c r="R107" t="e">
        <f ca="1">[1]!NT_DIST($Q107,R$5,$R$3,FALSE)</f>
        <v>#NAME?</v>
      </c>
      <c r="S107" t="e">
        <f ca="1">[1]!NT_DIST($Q107,S$5,$R$3,FALSE)</f>
        <v>#NAME?</v>
      </c>
      <c r="T107" t="e">
        <f ca="1">[1]!NT_DIST($Q107,T$5,$R$3,FALSE)</f>
        <v>#NAME?</v>
      </c>
      <c r="U107" t="e">
        <f ca="1">[1]!NT_DIST($Q107,U$5,$R$3,FALSE)</f>
        <v>#NAME?</v>
      </c>
    </row>
    <row r="108" spans="1:21">
      <c r="A108">
        <f t="shared" si="2"/>
        <v>-1.8790524691780774E-14</v>
      </c>
      <c r="B108" t="e">
        <f ca="1">[1]!NT_DIST($A108,$B$3,B$5,FALSE)</f>
        <v>#NAME?</v>
      </c>
      <c r="C108" t="e">
        <f ca="1">[1]!NT_DIST($A108,$B$3,C$5,FALSE)</f>
        <v>#NAME?</v>
      </c>
      <c r="D108" t="e">
        <f ca="1">[1]!NT_DIST($A108,$B$3,D$5,FALSE)</f>
        <v>#NAME?</v>
      </c>
      <c r="E108" t="e">
        <f ca="1">[1]!NT_DIST($A108,$B$3,E$5,FALSE)</f>
        <v>#NAME?</v>
      </c>
      <c r="Q108">
        <f t="shared" si="3"/>
        <v>3.9999999999999978</v>
      </c>
      <c r="R108" t="e">
        <f ca="1">[1]!NT_DIST($Q108,R$5,$R$3,FALSE)</f>
        <v>#NAME?</v>
      </c>
      <c r="S108" t="e">
        <f ca="1">[1]!NT_DIST($Q108,S$5,$R$3,FALSE)</f>
        <v>#NAME?</v>
      </c>
      <c r="T108" t="e">
        <f ca="1">[1]!NT_DIST($Q108,T$5,$R$3,FALSE)</f>
        <v>#NAME?</v>
      </c>
      <c r="U108" t="e">
        <f ca="1">[1]!NT_DIST($Q108,U$5,$R$3,FALSE)</f>
        <v>#NAME?</v>
      </c>
    </row>
    <row r="109" spans="1:21">
      <c r="A109">
        <f t="shared" si="2"/>
        <v>9.9999999999981215E-2</v>
      </c>
      <c r="B109" t="e">
        <f ca="1">[1]!NT_DIST($A109,$B$3,B$5,FALSE)</f>
        <v>#NAME?</v>
      </c>
      <c r="C109" t="e">
        <f ca="1">[1]!NT_DIST($A109,$B$3,C$5,FALSE)</f>
        <v>#NAME?</v>
      </c>
      <c r="D109" t="e">
        <f ca="1">[1]!NT_DIST($A109,$B$3,D$5,FALSE)</f>
        <v>#NAME?</v>
      </c>
      <c r="E109" t="e">
        <f ca="1">[1]!NT_DIST($A109,$B$3,E$5,FALSE)</f>
        <v>#NAME?</v>
      </c>
      <c r="Q109">
        <f t="shared" si="3"/>
        <v>4.0999999999999979</v>
      </c>
      <c r="R109" t="e">
        <f ca="1">[1]!NT_DIST($Q109,R$5,$R$3,FALSE)</f>
        <v>#NAME?</v>
      </c>
      <c r="S109" t="e">
        <f ca="1">[1]!NT_DIST($Q109,S$5,$R$3,FALSE)</f>
        <v>#NAME?</v>
      </c>
      <c r="T109" t="e">
        <f ca="1">[1]!NT_DIST($Q109,T$5,$R$3,FALSE)</f>
        <v>#NAME?</v>
      </c>
      <c r="U109" t="e">
        <f ca="1">[1]!NT_DIST($Q109,U$5,$R$3,FALSE)</f>
        <v>#NAME?</v>
      </c>
    </row>
    <row r="110" spans="1:21">
      <c r="A110">
        <f t="shared" si="2"/>
        <v>0.19999999999998122</v>
      </c>
      <c r="B110" t="e">
        <f ca="1">[1]!NT_DIST($A110,$B$3,B$5,FALSE)</f>
        <v>#NAME?</v>
      </c>
      <c r="C110" t="e">
        <f ca="1">[1]!NT_DIST($A110,$B$3,C$5,FALSE)</f>
        <v>#NAME?</v>
      </c>
      <c r="D110" t="e">
        <f ca="1">[1]!NT_DIST($A110,$B$3,D$5,FALSE)</f>
        <v>#NAME?</v>
      </c>
      <c r="E110" t="e">
        <f ca="1">[1]!NT_DIST($A110,$B$3,E$5,FALSE)</f>
        <v>#NAME?</v>
      </c>
      <c r="Q110">
        <f t="shared" si="3"/>
        <v>4.1999999999999975</v>
      </c>
      <c r="R110" t="e">
        <f ca="1">[1]!NT_DIST($Q110,R$5,$R$3,FALSE)</f>
        <v>#NAME?</v>
      </c>
      <c r="S110" t="e">
        <f ca="1">[1]!NT_DIST($Q110,S$5,$R$3,FALSE)</f>
        <v>#NAME?</v>
      </c>
      <c r="T110" t="e">
        <f ca="1">[1]!NT_DIST($Q110,T$5,$R$3,FALSE)</f>
        <v>#NAME?</v>
      </c>
      <c r="U110" t="e">
        <f ca="1">[1]!NT_DIST($Q110,U$5,$R$3,FALSE)</f>
        <v>#NAME?</v>
      </c>
    </row>
    <row r="111" spans="1:21">
      <c r="A111">
        <f t="shared" si="2"/>
        <v>0.29999999999998123</v>
      </c>
      <c r="B111" t="e">
        <f ca="1">[1]!NT_DIST($A111,$B$3,B$5,FALSE)</f>
        <v>#NAME?</v>
      </c>
      <c r="C111" t="e">
        <f ca="1">[1]!NT_DIST($A111,$B$3,C$5,FALSE)</f>
        <v>#NAME?</v>
      </c>
      <c r="D111" t="e">
        <f ca="1">[1]!NT_DIST($A111,$B$3,D$5,FALSE)</f>
        <v>#NAME?</v>
      </c>
      <c r="E111" t="e">
        <f ca="1">[1]!NT_DIST($A111,$B$3,E$5,FALSE)</f>
        <v>#NAME?</v>
      </c>
      <c r="Q111">
        <f t="shared" si="3"/>
        <v>4.2999999999999972</v>
      </c>
      <c r="R111" t="e">
        <f ca="1">[1]!NT_DIST($Q111,R$5,$R$3,FALSE)</f>
        <v>#NAME?</v>
      </c>
      <c r="S111" t="e">
        <f ca="1">[1]!NT_DIST($Q111,S$5,$R$3,FALSE)</f>
        <v>#NAME?</v>
      </c>
      <c r="T111" t="e">
        <f ca="1">[1]!NT_DIST($Q111,T$5,$R$3,FALSE)</f>
        <v>#NAME?</v>
      </c>
      <c r="U111" t="e">
        <f ca="1">[1]!NT_DIST($Q111,U$5,$R$3,FALSE)</f>
        <v>#NAME?</v>
      </c>
    </row>
    <row r="112" spans="1:21">
      <c r="A112">
        <f t="shared" si="2"/>
        <v>0.39999999999998126</v>
      </c>
      <c r="B112" t="e">
        <f ca="1">[1]!NT_DIST($A112,$B$3,B$5,FALSE)</f>
        <v>#NAME?</v>
      </c>
      <c r="C112" t="e">
        <f ca="1">[1]!NT_DIST($A112,$B$3,C$5,FALSE)</f>
        <v>#NAME?</v>
      </c>
      <c r="D112" t="e">
        <f ca="1">[1]!NT_DIST($A112,$B$3,D$5,FALSE)</f>
        <v>#NAME?</v>
      </c>
      <c r="E112" t="e">
        <f ca="1">[1]!NT_DIST($A112,$B$3,E$5,FALSE)</f>
        <v>#NAME?</v>
      </c>
      <c r="Q112">
        <f t="shared" si="3"/>
        <v>4.3999999999999968</v>
      </c>
      <c r="R112" t="e">
        <f ca="1">[1]!NT_DIST($Q112,R$5,$R$3,FALSE)</f>
        <v>#NAME?</v>
      </c>
      <c r="S112" t="e">
        <f ca="1">[1]!NT_DIST($Q112,S$5,$R$3,FALSE)</f>
        <v>#NAME?</v>
      </c>
      <c r="T112" t="e">
        <f ca="1">[1]!NT_DIST($Q112,T$5,$R$3,FALSE)</f>
        <v>#NAME?</v>
      </c>
      <c r="U112" t="e">
        <f ca="1">[1]!NT_DIST($Q112,U$5,$R$3,FALSE)</f>
        <v>#NAME?</v>
      </c>
    </row>
    <row r="113" spans="1:21">
      <c r="A113">
        <f t="shared" si="2"/>
        <v>0.49999999999998124</v>
      </c>
      <c r="B113" t="e">
        <f ca="1">[1]!NT_DIST($A113,$B$3,B$5,FALSE)</f>
        <v>#NAME?</v>
      </c>
      <c r="C113" t="e">
        <f ca="1">[1]!NT_DIST($A113,$B$3,C$5,FALSE)</f>
        <v>#NAME?</v>
      </c>
      <c r="D113" t="e">
        <f ca="1">[1]!NT_DIST($A113,$B$3,D$5,FALSE)</f>
        <v>#NAME?</v>
      </c>
      <c r="E113" t="e">
        <f ca="1">[1]!NT_DIST($A113,$B$3,E$5,FALSE)</f>
        <v>#NAME?</v>
      </c>
      <c r="Q113">
        <f t="shared" si="3"/>
        <v>4.4999999999999964</v>
      </c>
      <c r="R113" t="e">
        <f ca="1">[1]!NT_DIST($Q113,R$5,$R$3,FALSE)</f>
        <v>#NAME?</v>
      </c>
      <c r="S113" t="e">
        <f ca="1">[1]!NT_DIST($Q113,S$5,$R$3,FALSE)</f>
        <v>#NAME?</v>
      </c>
      <c r="T113" t="e">
        <f ca="1">[1]!NT_DIST($Q113,T$5,$R$3,FALSE)</f>
        <v>#NAME?</v>
      </c>
      <c r="U113" t="e">
        <f ca="1">[1]!NT_DIST($Q113,U$5,$R$3,FALSE)</f>
        <v>#NAME?</v>
      </c>
    </row>
    <row r="114" spans="1:21">
      <c r="A114">
        <f t="shared" si="2"/>
        <v>0.59999999999998122</v>
      </c>
      <c r="B114" t="e">
        <f ca="1">[1]!NT_DIST($A114,$B$3,B$5,FALSE)</f>
        <v>#NAME?</v>
      </c>
      <c r="C114" t="e">
        <f ca="1">[1]!NT_DIST($A114,$B$3,C$5,FALSE)</f>
        <v>#NAME?</v>
      </c>
      <c r="D114" t="e">
        <f ca="1">[1]!NT_DIST($A114,$B$3,D$5,FALSE)</f>
        <v>#NAME?</v>
      </c>
      <c r="E114" t="e">
        <f ca="1">[1]!NT_DIST($A114,$B$3,E$5,FALSE)</f>
        <v>#NAME?</v>
      </c>
      <c r="Q114">
        <f t="shared" si="3"/>
        <v>4.5999999999999961</v>
      </c>
      <c r="R114" t="e">
        <f ca="1">[1]!NT_DIST($Q114,R$5,$R$3,FALSE)</f>
        <v>#NAME?</v>
      </c>
      <c r="S114" t="e">
        <f ca="1">[1]!NT_DIST($Q114,S$5,$R$3,FALSE)</f>
        <v>#NAME?</v>
      </c>
      <c r="T114" t="e">
        <f ca="1">[1]!NT_DIST($Q114,T$5,$R$3,FALSE)</f>
        <v>#NAME?</v>
      </c>
      <c r="U114" t="e">
        <f ca="1">[1]!NT_DIST($Q114,U$5,$R$3,FALSE)</f>
        <v>#NAME?</v>
      </c>
    </row>
    <row r="115" spans="1:21">
      <c r="A115">
        <f t="shared" si="2"/>
        <v>0.69999999999998119</v>
      </c>
      <c r="B115" t="e">
        <f ca="1">[1]!NT_DIST($A115,$B$3,B$5,FALSE)</f>
        <v>#NAME?</v>
      </c>
      <c r="C115" t="e">
        <f ca="1">[1]!NT_DIST($A115,$B$3,C$5,FALSE)</f>
        <v>#NAME?</v>
      </c>
      <c r="D115" t="e">
        <f ca="1">[1]!NT_DIST($A115,$B$3,D$5,FALSE)</f>
        <v>#NAME?</v>
      </c>
      <c r="E115" t="e">
        <f ca="1">[1]!NT_DIST($A115,$B$3,E$5,FALSE)</f>
        <v>#NAME?</v>
      </c>
      <c r="Q115">
        <f t="shared" si="3"/>
        <v>4.6999999999999957</v>
      </c>
      <c r="R115" t="e">
        <f ca="1">[1]!NT_DIST($Q115,R$5,$R$3,FALSE)</f>
        <v>#NAME?</v>
      </c>
      <c r="S115" t="e">
        <f ca="1">[1]!NT_DIST($Q115,S$5,$R$3,FALSE)</f>
        <v>#NAME?</v>
      </c>
      <c r="T115" t="e">
        <f ca="1">[1]!NT_DIST($Q115,T$5,$R$3,FALSE)</f>
        <v>#NAME?</v>
      </c>
      <c r="U115" t="e">
        <f ca="1">[1]!NT_DIST($Q115,U$5,$R$3,FALSE)</f>
        <v>#NAME?</v>
      </c>
    </row>
    <row r="116" spans="1:21">
      <c r="A116">
        <f t="shared" si="2"/>
        <v>0.79999999999998117</v>
      </c>
      <c r="B116" t="e">
        <f ca="1">[1]!NT_DIST($A116,$B$3,B$5,FALSE)</f>
        <v>#NAME?</v>
      </c>
      <c r="C116" t="e">
        <f ca="1">[1]!NT_DIST($A116,$B$3,C$5,FALSE)</f>
        <v>#NAME?</v>
      </c>
      <c r="D116" t="e">
        <f ca="1">[1]!NT_DIST($A116,$B$3,D$5,FALSE)</f>
        <v>#NAME?</v>
      </c>
      <c r="E116" t="e">
        <f ca="1">[1]!NT_DIST($A116,$B$3,E$5,FALSE)</f>
        <v>#NAME?</v>
      </c>
      <c r="Q116">
        <f t="shared" si="3"/>
        <v>4.7999999999999954</v>
      </c>
      <c r="R116" t="e">
        <f ca="1">[1]!NT_DIST($Q116,R$5,$R$3,FALSE)</f>
        <v>#NAME?</v>
      </c>
      <c r="S116" t="e">
        <f ca="1">[1]!NT_DIST($Q116,S$5,$R$3,FALSE)</f>
        <v>#NAME?</v>
      </c>
      <c r="T116" t="e">
        <f ca="1">[1]!NT_DIST($Q116,T$5,$R$3,FALSE)</f>
        <v>#NAME?</v>
      </c>
      <c r="U116" t="e">
        <f ca="1">[1]!NT_DIST($Q116,U$5,$R$3,FALSE)</f>
        <v>#NAME?</v>
      </c>
    </row>
    <row r="117" spans="1:21">
      <c r="A117">
        <f t="shared" si="2"/>
        <v>0.89999999999998115</v>
      </c>
      <c r="B117" t="e">
        <f ca="1">[1]!NT_DIST($A117,$B$3,B$5,FALSE)</f>
        <v>#NAME?</v>
      </c>
      <c r="C117" t="e">
        <f ca="1">[1]!NT_DIST($A117,$B$3,C$5,FALSE)</f>
        <v>#NAME?</v>
      </c>
      <c r="D117" t="e">
        <f ca="1">[1]!NT_DIST($A117,$B$3,D$5,FALSE)</f>
        <v>#NAME?</v>
      </c>
      <c r="E117" t="e">
        <f ca="1">[1]!NT_DIST($A117,$B$3,E$5,FALSE)</f>
        <v>#NAME?</v>
      </c>
      <c r="Q117">
        <f t="shared" si="3"/>
        <v>4.899999999999995</v>
      </c>
      <c r="R117" t="e">
        <f ca="1">[1]!NT_DIST($Q117,R$5,$R$3,FALSE)</f>
        <v>#NAME?</v>
      </c>
      <c r="S117" t="e">
        <f ca="1">[1]!NT_DIST($Q117,S$5,$R$3,FALSE)</f>
        <v>#NAME?</v>
      </c>
      <c r="T117" t="e">
        <f ca="1">[1]!NT_DIST($Q117,T$5,$R$3,FALSE)</f>
        <v>#NAME?</v>
      </c>
      <c r="U117" t="e">
        <f ca="1">[1]!NT_DIST($Q117,U$5,$R$3,FALSE)</f>
        <v>#NAME?</v>
      </c>
    </row>
    <row r="118" spans="1:21">
      <c r="A118">
        <f t="shared" si="2"/>
        <v>0.99999999999998113</v>
      </c>
      <c r="B118" t="e">
        <f ca="1">[1]!NT_DIST($A118,$B$3,B$5,FALSE)</f>
        <v>#NAME?</v>
      </c>
      <c r="C118" t="e">
        <f ca="1">[1]!NT_DIST($A118,$B$3,C$5,FALSE)</f>
        <v>#NAME?</v>
      </c>
      <c r="D118" t="e">
        <f ca="1">[1]!NT_DIST($A118,$B$3,D$5,FALSE)</f>
        <v>#NAME?</v>
      </c>
      <c r="E118" t="e">
        <f ca="1">[1]!NT_DIST($A118,$B$3,E$5,FALSE)</f>
        <v>#NAME?</v>
      </c>
      <c r="Q118">
        <f t="shared" si="3"/>
        <v>4.9999999999999947</v>
      </c>
      <c r="R118" t="e">
        <f ca="1">[1]!NT_DIST($Q118,R$5,$R$3,FALSE)</f>
        <v>#NAME?</v>
      </c>
      <c r="S118" t="e">
        <f ca="1">[1]!NT_DIST($Q118,S$5,$R$3,FALSE)</f>
        <v>#NAME?</v>
      </c>
      <c r="T118" t="e">
        <f ca="1">[1]!NT_DIST($Q118,T$5,$R$3,FALSE)</f>
        <v>#NAME?</v>
      </c>
      <c r="U118" t="e">
        <f ca="1">[1]!NT_DIST($Q118,U$5,$R$3,FALSE)</f>
        <v>#NAME?</v>
      </c>
    </row>
    <row r="119" spans="1:21">
      <c r="A119">
        <f t="shared" si="2"/>
        <v>1.0999999999999812</v>
      </c>
      <c r="B119" t="e">
        <f ca="1">[1]!NT_DIST($A119,$B$3,B$5,FALSE)</f>
        <v>#NAME?</v>
      </c>
      <c r="C119" t="e">
        <f ca="1">[1]!NT_DIST($A119,$B$3,C$5,FALSE)</f>
        <v>#NAME?</v>
      </c>
      <c r="D119" t="e">
        <f ca="1">[1]!NT_DIST($A119,$B$3,D$5,FALSE)</f>
        <v>#NAME?</v>
      </c>
      <c r="E119" t="e">
        <f ca="1">[1]!NT_DIST($A119,$B$3,E$5,FALSE)</f>
        <v>#NAME?</v>
      </c>
      <c r="Q119">
        <f t="shared" si="3"/>
        <v>5.0999999999999943</v>
      </c>
      <c r="R119" t="e">
        <f ca="1">[1]!NT_DIST($Q119,R$5,$R$3,FALSE)</f>
        <v>#NAME?</v>
      </c>
      <c r="S119" t="e">
        <f ca="1">[1]!NT_DIST($Q119,S$5,$R$3,FALSE)</f>
        <v>#NAME?</v>
      </c>
      <c r="T119" t="e">
        <f ca="1">[1]!NT_DIST($Q119,T$5,$R$3,FALSE)</f>
        <v>#NAME?</v>
      </c>
      <c r="U119" t="e">
        <f ca="1">[1]!NT_DIST($Q119,U$5,$R$3,FALSE)</f>
        <v>#NAME?</v>
      </c>
    </row>
    <row r="120" spans="1:21">
      <c r="A120">
        <f t="shared" si="2"/>
        <v>1.1999999999999813</v>
      </c>
      <c r="B120" t="e">
        <f ca="1">[1]!NT_DIST($A120,$B$3,B$5,FALSE)</f>
        <v>#NAME?</v>
      </c>
      <c r="C120" t="e">
        <f ca="1">[1]!NT_DIST($A120,$B$3,C$5,FALSE)</f>
        <v>#NAME?</v>
      </c>
      <c r="D120" t="e">
        <f ca="1">[1]!NT_DIST($A120,$B$3,D$5,FALSE)</f>
        <v>#NAME?</v>
      </c>
      <c r="E120" t="e">
        <f ca="1">[1]!NT_DIST($A120,$B$3,E$5,FALSE)</f>
        <v>#NAME?</v>
      </c>
      <c r="Q120">
        <f t="shared" si="3"/>
        <v>5.199999999999994</v>
      </c>
      <c r="R120" t="e">
        <f ca="1">[1]!NT_DIST($Q120,R$5,$R$3,FALSE)</f>
        <v>#NAME?</v>
      </c>
      <c r="S120" t="e">
        <f ca="1">[1]!NT_DIST($Q120,S$5,$R$3,FALSE)</f>
        <v>#NAME?</v>
      </c>
      <c r="T120" t="e">
        <f ca="1">[1]!NT_DIST($Q120,T$5,$R$3,FALSE)</f>
        <v>#NAME?</v>
      </c>
      <c r="U120" t="e">
        <f ca="1">[1]!NT_DIST($Q120,U$5,$R$3,FALSE)</f>
        <v>#NAME?</v>
      </c>
    </row>
    <row r="121" spans="1:21">
      <c r="A121">
        <f t="shared" si="2"/>
        <v>1.2999999999999814</v>
      </c>
      <c r="B121" t="e">
        <f ca="1">[1]!NT_DIST($A121,$B$3,B$5,FALSE)</f>
        <v>#NAME?</v>
      </c>
      <c r="C121" t="e">
        <f ca="1">[1]!NT_DIST($A121,$B$3,C$5,FALSE)</f>
        <v>#NAME?</v>
      </c>
      <c r="D121" t="e">
        <f ca="1">[1]!NT_DIST($A121,$B$3,D$5,FALSE)</f>
        <v>#NAME?</v>
      </c>
      <c r="E121" t="e">
        <f ca="1">[1]!NT_DIST($A121,$B$3,E$5,FALSE)</f>
        <v>#NAME?</v>
      </c>
      <c r="Q121">
        <f t="shared" si="3"/>
        <v>5.2999999999999936</v>
      </c>
      <c r="R121" t="e">
        <f ca="1">[1]!NT_DIST($Q121,R$5,$R$3,FALSE)</f>
        <v>#NAME?</v>
      </c>
      <c r="S121" t="e">
        <f ca="1">[1]!NT_DIST($Q121,S$5,$R$3,FALSE)</f>
        <v>#NAME?</v>
      </c>
      <c r="T121" t="e">
        <f ca="1">[1]!NT_DIST($Q121,T$5,$R$3,FALSE)</f>
        <v>#NAME?</v>
      </c>
      <c r="U121" t="e">
        <f ca="1">[1]!NT_DIST($Q121,U$5,$R$3,FALSE)</f>
        <v>#NAME?</v>
      </c>
    </row>
    <row r="122" spans="1:21">
      <c r="A122">
        <f t="shared" si="2"/>
        <v>1.3999999999999815</v>
      </c>
      <c r="B122" t="e">
        <f ca="1">[1]!NT_DIST($A122,$B$3,B$5,FALSE)</f>
        <v>#NAME?</v>
      </c>
      <c r="C122" t="e">
        <f ca="1">[1]!NT_DIST($A122,$B$3,C$5,FALSE)</f>
        <v>#NAME?</v>
      </c>
      <c r="D122" t="e">
        <f ca="1">[1]!NT_DIST($A122,$B$3,D$5,FALSE)</f>
        <v>#NAME?</v>
      </c>
      <c r="E122" t="e">
        <f ca="1">[1]!NT_DIST($A122,$B$3,E$5,FALSE)</f>
        <v>#NAME?</v>
      </c>
      <c r="Q122">
        <f t="shared" si="3"/>
        <v>5.3999999999999932</v>
      </c>
      <c r="R122" t="e">
        <f ca="1">[1]!NT_DIST($Q122,R$5,$R$3,FALSE)</f>
        <v>#NAME?</v>
      </c>
      <c r="S122" t="e">
        <f ca="1">[1]!NT_DIST($Q122,S$5,$R$3,FALSE)</f>
        <v>#NAME?</v>
      </c>
      <c r="T122" t="e">
        <f ca="1">[1]!NT_DIST($Q122,T$5,$R$3,FALSE)</f>
        <v>#NAME?</v>
      </c>
      <c r="U122" t="e">
        <f ca="1">[1]!NT_DIST($Q122,U$5,$R$3,FALSE)</f>
        <v>#NAME?</v>
      </c>
    </row>
    <row r="123" spans="1:21">
      <c r="A123">
        <f t="shared" si="2"/>
        <v>1.4999999999999816</v>
      </c>
      <c r="B123" t="e">
        <f ca="1">[1]!NT_DIST($A123,$B$3,B$5,FALSE)</f>
        <v>#NAME?</v>
      </c>
      <c r="C123" t="e">
        <f ca="1">[1]!NT_DIST($A123,$B$3,C$5,FALSE)</f>
        <v>#NAME?</v>
      </c>
      <c r="D123" t="e">
        <f ca="1">[1]!NT_DIST($A123,$B$3,D$5,FALSE)</f>
        <v>#NAME?</v>
      </c>
      <c r="E123" t="e">
        <f ca="1">[1]!NT_DIST($A123,$B$3,E$5,FALSE)</f>
        <v>#NAME?</v>
      </c>
      <c r="Q123">
        <f t="shared" si="3"/>
        <v>5.4999999999999929</v>
      </c>
      <c r="R123" t="e">
        <f ca="1">[1]!NT_DIST($Q123,R$5,$R$3,FALSE)</f>
        <v>#NAME?</v>
      </c>
      <c r="S123" t="e">
        <f ca="1">[1]!NT_DIST($Q123,S$5,$R$3,FALSE)</f>
        <v>#NAME?</v>
      </c>
      <c r="T123" t="e">
        <f ca="1">[1]!NT_DIST($Q123,T$5,$R$3,FALSE)</f>
        <v>#NAME?</v>
      </c>
      <c r="U123" t="e">
        <f ca="1">[1]!NT_DIST($Q123,U$5,$R$3,FALSE)</f>
        <v>#NAME?</v>
      </c>
    </row>
    <row r="124" spans="1:21">
      <c r="A124">
        <f t="shared" si="2"/>
        <v>1.5999999999999817</v>
      </c>
      <c r="B124" t="e">
        <f ca="1">[1]!NT_DIST($A124,$B$3,B$5,FALSE)</f>
        <v>#NAME?</v>
      </c>
      <c r="C124" t="e">
        <f ca="1">[1]!NT_DIST($A124,$B$3,C$5,FALSE)</f>
        <v>#NAME?</v>
      </c>
      <c r="D124" t="e">
        <f ca="1">[1]!NT_DIST($A124,$B$3,D$5,FALSE)</f>
        <v>#NAME?</v>
      </c>
      <c r="E124" t="e">
        <f ca="1">[1]!NT_DIST($A124,$B$3,E$5,FALSE)</f>
        <v>#NAME?</v>
      </c>
      <c r="Q124">
        <f t="shared" si="3"/>
        <v>5.5999999999999925</v>
      </c>
      <c r="R124" t="e">
        <f ca="1">[1]!NT_DIST($Q124,R$5,$R$3,FALSE)</f>
        <v>#NAME?</v>
      </c>
      <c r="S124" t="e">
        <f ca="1">[1]!NT_DIST($Q124,S$5,$R$3,FALSE)</f>
        <v>#NAME?</v>
      </c>
      <c r="T124" t="e">
        <f ca="1">[1]!NT_DIST($Q124,T$5,$R$3,FALSE)</f>
        <v>#NAME?</v>
      </c>
      <c r="U124" t="e">
        <f ca="1">[1]!NT_DIST($Q124,U$5,$R$3,FALSE)</f>
        <v>#NAME?</v>
      </c>
    </row>
    <row r="125" spans="1:21">
      <c r="A125">
        <f t="shared" si="2"/>
        <v>1.6999999999999817</v>
      </c>
      <c r="B125" t="e">
        <f ca="1">[1]!NT_DIST($A125,$B$3,B$5,FALSE)</f>
        <v>#NAME?</v>
      </c>
      <c r="C125" t="e">
        <f ca="1">[1]!NT_DIST($A125,$B$3,C$5,FALSE)</f>
        <v>#NAME?</v>
      </c>
      <c r="D125" t="e">
        <f ca="1">[1]!NT_DIST($A125,$B$3,D$5,FALSE)</f>
        <v>#NAME?</v>
      </c>
      <c r="E125" t="e">
        <f ca="1">[1]!NT_DIST($A125,$B$3,E$5,FALSE)</f>
        <v>#NAME?</v>
      </c>
      <c r="Q125">
        <f t="shared" si="3"/>
        <v>5.6999999999999922</v>
      </c>
      <c r="R125" t="e">
        <f ca="1">[1]!NT_DIST($Q125,R$5,$R$3,FALSE)</f>
        <v>#NAME?</v>
      </c>
      <c r="S125" t="e">
        <f ca="1">[1]!NT_DIST($Q125,S$5,$R$3,FALSE)</f>
        <v>#NAME?</v>
      </c>
      <c r="T125" t="e">
        <f ca="1">[1]!NT_DIST($Q125,T$5,$R$3,FALSE)</f>
        <v>#NAME?</v>
      </c>
      <c r="U125" t="e">
        <f ca="1">[1]!NT_DIST($Q125,U$5,$R$3,FALSE)</f>
        <v>#NAME?</v>
      </c>
    </row>
    <row r="126" spans="1:21">
      <c r="A126">
        <f t="shared" si="2"/>
        <v>1.7999999999999818</v>
      </c>
      <c r="B126" t="e">
        <f ca="1">[1]!NT_DIST($A126,$B$3,B$5,FALSE)</f>
        <v>#NAME?</v>
      </c>
      <c r="C126" t="e">
        <f ca="1">[1]!NT_DIST($A126,$B$3,C$5,FALSE)</f>
        <v>#NAME?</v>
      </c>
      <c r="D126" t="e">
        <f ca="1">[1]!NT_DIST($A126,$B$3,D$5,FALSE)</f>
        <v>#NAME?</v>
      </c>
      <c r="E126" t="e">
        <f ca="1">[1]!NT_DIST($A126,$B$3,E$5,FALSE)</f>
        <v>#NAME?</v>
      </c>
      <c r="Q126">
        <f t="shared" si="3"/>
        <v>5.7999999999999918</v>
      </c>
      <c r="R126" t="e">
        <f ca="1">[1]!NT_DIST($Q126,R$5,$R$3,FALSE)</f>
        <v>#NAME?</v>
      </c>
      <c r="S126" t="e">
        <f ca="1">[1]!NT_DIST($Q126,S$5,$R$3,FALSE)</f>
        <v>#NAME?</v>
      </c>
      <c r="T126" t="e">
        <f ca="1">[1]!NT_DIST($Q126,T$5,$R$3,FALSE)</f>
        <v>#NAME?</v>
      </c>
      <c r="U126" t="e">
        <f ca="1">[1]!NT_DIST($Q126,U$5,$R$3,FALSE)</f>
        <v>#NAME?</v>
      </c>
    </row>
    <row r="127" spans="1:21">
      <c r="A127">
        <f t="shared" si="2"/>
        <v>1.8999999999999819</v>
      </c>
      <c r="B127" t="e">
        <f ca="1">[1]!NT_DIST($A127,$B$3,B$5,FALSE)</f>
        <v>#NAME?</v>
      </c>
      <c r="C127" t="e">
        <f ca="1">[1]!NT_DIST($A127,$B$3,C$5,FALSE)</f>
        <v>#NAME?</v>
      </c>
      <c r="D127" t="e">
        <f ca="1">[1]!NT_DIST($A127,$B$3,D$5,FALSE)</f>
        <v>#NAME?</v>
      </c>
      <c r="E127" t="e">
        <f ca="1">[1]!NT_DIST($A127,$B$3,E$5,FALSE)</f>
        <v>#NAME?</v>
      </c>
      <c r="Q127">
        <f t="shared" si="3"/>
        <v>5.8999999999999915</v>
      </c>
      <c r="R127" t="e">
        <f ca="1">[1]!NT_DIST($Q127,R$5,$R$3,FALSE)</f>
        <v>#NAME?</v>
      </c>
      <c r="S127" t="e">
        <f ca="1">[1]!NT_DIST($Q127,S$5,$R$3,FALSE)</f>
        <v>#NAME?</v>
      </c>
      <c r="T127" t="e">
        <f ca="1">[1]!NT_DIST($Q127,T$5,$R$3,FALSE)</f>
        <v>#NAME?</v>
      </c>
      <c r="U127" t="e">
        <f ca="1">[1]!NT_DIST($Q127,U$5,$R$3,FALSE)</f>
        <v>#NAME?</v>
      </c>
    </row>
    <row r="128" spans="1:21">
      <c r="A128">
        <f t="shared" si="2"/>
        <v>1.999999999999982</v>
      </c>
      <c r="B128" t="e">
        <f ca="1">[1]!NT_DIST($A128,$B$3,B$5,FALSE)</f>
        <v>#NAME?</v>
      </c>
      <c r="C128" t="e">
        <f ca="1">[1]!NT_DIST($A128,$B$3,C$5,FALSE)</f>
        <v>#NAME?</v>
      </c>
      <c r="D128" t="e">
        <f ca="1">[1]!NT_DIST($A128,$B$3,D$5,FALSE)</f>
        <v>#NAME?</v>
      </c>
      <c r="E128" t="e">
        <f ca="1">[1]!NT_DIST($A128,$B$3,E$5,FALSE)</f>
        <v>#NAME?</v>
      </c>
      <c r="Q128">
        <f t="shared" si="3"/>
        <v>5.9999999999999911</v>
      </c>
      <c r="R128" t="e">
        <f ca="1">[1]!NT_DIST($Q128,R$5,$R$3,FALSE)</f>
        <v>#NAME?</v>
      </c>
      <c r="S128" t="e">
        <f ca="1">[1]!NT_DIST($Q128,S$5,$R$3,FALSE)</f>
        <v>#NAME?</v>
      </c>
      <c r="T128" t="e">
        <f ca="1">[1]!NT_DIST($Q128,T$5,$R$3,FALSE)</f>
        <v>#NAME?</v>
      </c>
      <c r="U128" t="e">
        <f ca="1">[1]!NT_DIST($Q128,U$5,$R$3,FALSE)</f>
        <v>#NAME?</v>
      </c>
    </row>
    <row r="129" spans="1:21">
      <c r="A129">
        <f t="shared" si="2"/>
        <v>2.0999999999999819</v>
      </c>
      <c r="B129" t="e">
        <f ca="1">[1]!NT_DIST($A129,$B$3,B$5,FALSE)</f>
        <v>#NAME?</v>
      </c>
      <c r="C129" t="e">
        <f ca="1">[1]!NT_DIST($A129,$B$3,C$5,FALSE)</f>
        <v>#NAME?</v>
      </c>
      <c r="D129" t="e">
        <f ca="1">[1]!NT_DIST($A129,$B$3,D$5,FALSE)</f>
        <v>#NAME?</v>
      </c>
      <c r="E129" t="e">
        <f ca="1">[1]!NT_DIST($A129,$B$3,E$5,FALSE)</f>
        <v>#NAME?</v>
      </c>
      <c r="Q129">
        <f t="shared" si="3"/>
        <v>6.0999999999999908</v>
      </c>
      <c r="R129" t="e">
        <f ca="1">[1]!NT_DIST($Q129,R$5,$R$3,FALSE)</f>
        <v>#NAME?</v>
      </c>
      <c r="S129" t="e">
        <f ca="1">[1]!NT_DIST($Q129,S$5,$R$3,FALSE)</f>
        <v>#NAME?</v>
      </c>
      <c r="T129" t="e">
        <f ca="1">[1]!NT_DIST($Q129,T$5,$R$3,FALSE)</f>
        <v>#NAME?</v>
      </c>
      <c r="U129" t="e">
        <f ca="1">[1]!NT_DIST($Q129,U$5,$R$3,FALSE)</f>
        <v>#NAME?</v>
      </c>
    </row>
    <row r="130" spans="1:21">
      <c r="A130">
        <f t="shared" si="2"/>
        <v>2.199999999999982</v>
      </c>
      <c r="B130" t="e">
        <f ca="1">[1]!NT_DIST($A130,$B$3,B$5,FALSE)</f>
        <v>#NAME?</v>
      </c>
      <c r="C130" t="e">
        <f ca="1">[1]!NT_DIST($A130,$B$3,C$5,FALSE)</f>
        <v>#NAME?</v>
      </c>
      <c r="D130" t="e">
        <f ca="1">[1]!NT_DIST($A130,$B$3,D$5,FALSE)</f>
        <v>#NAME?</v>
      </c>
      <c r="E130" t="e">
        <f ca="1">[1]!NT_DIST($A130,$B$3,E$5,FALSE)</f>
        <v>#NAME?</v>
      </c>
      <c r="Q130">
        <f t="shared" si="3"/>
        <v>6.1999999999999904</v>
      </c>
      <c r="R130" t="e">
        <f ca="1">[1]!NT_DIST($Q130,R$5,$R$3,FALSE)</f>
        <v>#NAME?</v>
      </c>
      <c r="S130" t="e">
        <f ca="1">[1]!NT_DIST($Q130,S$5,$R$3,FALSE)</f>
        <v>#NAME?</v>
      </c>
      <c r="T130" t="e">
        <f ca="1">[1]!NT_DIST($Q130,T$5,$R$3,FALSE)</f>
        <v>#NAME?</v>
      </c>
      <c r="U130" t="e">
        <f ca="1">[1]!NT_DIST($Q130,U$5,$R$3,FALSE)</f>
        <v>#NAME?</v>
      </c>
    </row>
    <row r="131" spans="1:21">
      <c r="A131">
        <f t="shared" si="2"/>
        <v>2.2999999999999821</v>
      </c>
      <c r="B131" t="e">
        <f ca="1">[1]!NT_DIST($A131,$B$3,B$5,FALSE)</f>
        <v>#NAME?</v>
      </c>
      <c r="C131" t="e">
        <f ca="1">[1]!NT_DIST($A131,$B$3,C$5,FALSE)</f>
        <v>#NAME?</v>
      </c>
      <c r="D131" t="e">
        <f ca="1">[1]!NT_DIST($A131,$B$3,D$5,FALSE)</f>
        <v>#NAME?</v>
      </c>
      <c r="E131" t="e">
        <f ca="1">[1]!NT_DIST($A131,$B$3,E$5,FALSE)</f>
        <v>#NAME?</v>
      </c>
      <c r="Q131">
        <f t="shared" si="3"/>
        <v>6.2999999999999901</v>
      </c>
      <c r="R131" t="e">
        <f ca="1">[1]!NT_DIST($Q131,R$5,$R$3,FALSE)</f>
        <v>#NAME?</v>
      </c>
      <c r="S131" t="e">
        <f ca="1">[1]!NT_DIST($Q131,S$5,$R$3,FALSE)</f>
        <v>#NAME?</v>
      </c>
      <c r="T131" t="e">
        <f ca="1">[1]!NT_DIST($Q131,T$5,$R$3,FALSE)</f>
        <v>#NAME?</v>
      </c>
      <c r="U131" t="e">
        <f ca="1">[1]!NT_DIST($Q131,U$5,$R$3,FALSE)</f>
        <v>#NAME?</v>
      </c>
    </row>
    <row r="132" spans="1:21">
      <c r="A132">
        <f t="shared" si="2"/>
        <v>2.3999999999999821</v>
      </c>
      <c r="B132" t="e">
        <f ca="1">[1]!NT_DIST($A132,$B$3,B$5,FALSE)</f>
        <v>#NAME?</v>
      </c>
      <c r="C132" t="e">
        <f ca="1">[1]!NT_DIST($A132,$B$3,C$5,FALSE)</f>
        <v>#NAME?</v>
      </c>
      <c r="D132" t="e">
        <f ca="1">[1]!NT_DIST($A132,$B$3,D$5,FALSE)</f>
        <v>#NAME?</v>
      </c>
      <c r="E132" t="e">
        <f ca="1">[1]!NT_DIST($A132,$B$3,E$5,FALSE)</f>
        <v>#NAME?</v>
      </c>
      <c r="Q132">
        <f t="shared" si="3"/>
        <v>6.3999999999999897</v>
      </c>
      <c r="R132" t="e">
        <f ca="1">[1]!NT_DIST($Q132,R$5,$R$3,FALSE)</f>
        <v>#NAME?</v>
      </c>
      <c r="S132" t="e">
        <f ca="1">[1]!NT_DIST($Q132,S$5,$R$3,FALSE)</f>
        <v>#NAME?</v>
      </c>
      <c r="T132" t="e">
        <f ca="1">[1]!NT_DIST($Q132,T$5,$R$3,FALSE)</f>
        <v>#NAME?</v>
      </c>
      <c r="U132" t="e">
        <f ca="1">[1]!NT_DIST($Q132,U$5,$R$3,FALSE)</f>
        <v>#NAME?</v>
      </c>
    </row>
    <row r="133" spans="1:21">
      <c r="A133">
        <f t="shared" si="2"/>
        <v>2.4999999999999822</v>
      </c>
      <c r="B133" t="e">
        <f ca="1">[1]!NT_DIST($A133,$B$3,B$5,FALSE)</f>
        <v>#NAME?</v>
      </c>
      <c r="C133" t="e">
        <f ca="1">[1]!NT_DIST($A133,$B$3,C$5,FALSE)</f>
        <v>#NAME?</v>
      </c>
      <c r="D133" t="e">
        <f ca="1">[1]!NT_DIST($A133,$B$3,D$5,FALSE)</f>
        <v>#NAME?</v>
      </c>
      <c r="E133" t="e">
        <f ca="1">[1]!NT_DIST($A133,$B$3,E$5,FALSE)</f>
        <v>#NAME?</v>
      </c>
      <c r="Q133">
        <f t="shared" si="3"/>
        <v>6.4999999999999893</v>
      </c>
      <c r="R133" t="e">
        <f ca="1">[1]!NT_DIST($Q133,R$5,$R$3,FALSE)</f>
        <v>#NAME?</v>
      </c>
      <c r="S133" t="e">
        <f ca="1">[1]!NT_DIST($Q133,S$5,$R$3,FALSE)</f>
        <v>#NAME?</v>
      </c>
      <c r="T133" t="e">
        <f ca="1">[1]!NT_DIST($Q133,T$5,$R$3,FALSE)</f>
        <v>#NAME?</v>
      </c>
      <c r="U133" t="e">
        <f ca="1">[1]!NT_DIST($Q133,U$5,$R$3,FALSE)</f>
        <v>#NAME?</v>
      </c>
    </row>
    <row r="134" spans="1:21">
      <c r="A134">
        <f t="shared" si="2"/>
        <v>2.5999999999999823</v>
      </c>
      <c r="B134" t="e">
        <f ca="1">[1]!NT_DIST($A134,$B$3,B$5,FALSE)</f>
        <v>#NAME?</v>
      </c>
      <c r="C134" t="e">
        <f ca="1">[1]!NT_DIST($A134,$B$3,C$5,FALSE)</f>
        <v>#NAME?</v>
      </c>
      <c r="D134" t="e">
        <f ca="1">[1]!NT_DIST($A134,$B$3,D$5,FALSE)</f>
        <v>#NAME?</v>
      </c>
      <c r="E134" t="e">
        <f ca="1">[1]!NT_DIST($A134,$B$3,E$5,FALSE)</f>
        <v>#NAME?</v>
      </c>
      <c r="Q134">
        <f t="shared" si="3"/>
        <v>6.599999999999989</v>
      </c>
      <c r="R134" t="e">
        <f ca="1">[1]!NT_DIST($Q134,R$5,$R$3,FALSE)</f>
        <v>#NAME?</v>
      </c>
      <c r="S134" t="e">
        <f ca="1">[1]!NT_DIST($Q134,S$5,$R$3,FALSE)</f>
        <v>#NAME?</v>
      </c>
      <c r="T134" t="e">
        <f ca="1">[1]!NT_DIST($Q134,T$5,$R$3,FALSE)</f>
        <v>#NAME?</v>
      </c>
      <c r="U134" t="e">
        <f ca="1">[1]!NT_DIST($Q134,U$5,$R$3,FALSE)</f>
        <v>#NAME?</v>
      </c>
    </row>
    <row r="135" spans="1:21">
      <c r="A135">
        <f t="shared" si="2"/>
        <v>2.6999999999999824</v>
      </c>
      <c r="B135" t="e">
        <f ca="1">[1]!NT_DIST($A135,$B$3,B$5,FALSE)</f>
        <v>#NAME?</v>
      </c>
      <c r="C135" t="e">
        <f ca="1">[1]!NT_DIST($A135,$B$3,C$5,FALSE)</f>
        <v>#NAME?</v>
      </c>
      <c r="D135" t="e">
        <f ca="1">[1]!NT_DIST($A135,$B$3,D$5,FALSE)</f>
        <v>#NAME?</v>
      </c>
      <c r="E135" t="e">
        <f ca="1">[1]!NT_DIST($A135,$B$3,E$5,FALSE)</f>
        <v>#NAME?</v>
      </c>
      <c r="Q135">
        <f t="shared" si="3"/>
        <v>6.6999999999999886</v>
      </c>
      <c r="R135" t="e">
        <f ca="1">[1]!NT_DIST($Q135,R$5,$R$3,FALSE)</f>
        <v>#NAME?</v>
      </c>
      <c r="S135" t="e">
        <f ca="1">[1]!NT_DIST($Q135,S$5,$R$3,FALSE)</f>
        <v>#NAME?</v>
      </c>
      <c r="T135" t="e">
        <f ca="1">[1]!NT_DIST($Q135,T$5,$R$3,FALSE)</f>
        <v>#NAME?</v>
      </c>
      <c r="U135" t="e">
        <f ca="1">[1]!NT_DIST($Q135,U$5,$R$3,FALSE)</f>
        <v>#NAME?</v>
      </c>
    </row>
    <row r="136" spans="1:21">
      <c r="A136">
        <f t="shared" si="2"/>
        <v>2.7999999999999825</v>
      </c>
      <c r="B136" t="e">
        <f ca="1">[1]!NT_DIST($A136,$B$3,B$5,FALSE)</f>
        <v>#NAME?</v>
      </c>
      <c r="C136" t="e">
        <f ca="1">[1]!NT_DIST($A136,$B$3,C$5,FALSE)</f>
        <v>#NAME?</v>
      </c>
      <c r="D136" t="e">
        <f ca="1">[1]!NT_DIST($A136,$B$3,D$5,FALSE)</f>
        <v>#NAME?</v>
      </c>
      <c r="E136" t="e">
        <f ca="1">[1]!NT_DIST($A136,$B$3,E$5,FALSE)</f>
        <v>#NAME?</v>
      </c>
      <c r="Q136">
        <f t="shared" si="3"/>
        <v>6.7999999999999883</v>
      </c>
      <c r="R136" t="e">
        <f ca="1">[1]!NT_DIST($Q136,R$5,$R$3,FALSE)</f>
        <v>#NAME?</v>
      </c>
      <c r="S136" t="e">
        <f ca="1">[1]!NT_DIST($Q136,S$5,$R$3,FALSE)</f>
        <v>#NAME?</v>
      </c>
      <c r="T136" t="e">
        <f ca="1">[1]!NT_DIST($Q136,T$5,$R$3,FALSE)</f>
        <v>#NAME?</v>
      </c>
      <c r="U136" t="e">
        <f ca="1">[1]!NT_DIST($Q136,U$5,$R$3,FALSE)</f>
        <v>#NAME?</v>
      </c>
    </row>
    <row r="137" spans="1:21">
      <c r="A137">
        <f t="shared" si="2"/>
        <v>2.8999999999999826</v>
      </c>
      <c r="B137" t="e">
        <f ca="1">[1]!NT_DIST($A137,$B$3,B$5,FALSE)</f>
        <v>#NAME?</v>
      </c>
      <c r="C137" t="e">
        <f ca="1">[1]!NT_DIST($A137,$B$3,C$5,FALSE)</f>
        <v>#NAME?</v>
      </c>
      <c r="D137" t="e">
        <f ca="1">[1]!NT_DIST($A137,$B$3,D$5,FALSE)</f>
        <v>#NAME?</v>
      </c>
      <c r="E137" t="e">
        <f ca="1">[1]!NT_DIST($A137,$B$3,E$5,FALSE)</f>
        <v>#NAME?</v>
      </c>
      <c r="Q137">
        <f t="shared" si="3"/>
        <v>6.8999999999999879</v>
      </c>
      <c r="R137" t="e">
        <f ca="1">[1]!NT_DIST($Q137,R$5,$R$3,FALSE)</f>
        <v>#NAME?</v>
      </c>
      <c r="S137" t="e">
        <f ca="1">[1]!NT_DIST($Q137,S$5,$R$3,FALSE)</f>
        <v>#NAME?</v>
      </c>
      <c r="T137" t="e">
        <f ca="1">[1]!NT_DIST($Q137,T$5,$R$3,FALSE)</f>
        <v>#NAME?</v>
      </c>
      <c r="U137" t="e">
        <f ca="1">[1]!NT_DIST($Q137,U$5,$R$3,FALSE)</f>
        <v>#NAME?</v>
      </c>
    </row>
    <row r="138" spans="1:21">
      <c r="A138">
        <f t="shared" ref="A138:A201" si="4">A137+0.1</f>
        <v>2.9999999999999827</v>
      </c>
      <c r="B138" t="e">
        <f ca="1">[1]!NT_DIST($A138,$B$3,B$5,FALSE)</f>
        <v>#NAME?</v>
      </c>
      <c r="C138" t="e">
        <f ca="1">[1]!NT_DIST($A138,$B$3,C$5,FALSE)</f>
        <v>#NAME?</v>
      </c>
      <c r="D138" t="e">
        <f ca="1">[1]!NT_DIST($A138,$B$3,D$5,FALSE)</f>
        <v>#NAME?</v>
      </c>
      <c r="E138" t="e">
        <f ca="1">[1]!NT_DIST($A138,$B$3,E$5,FALSE)</f>
        <v>#NAME?</v>
      </c>
      <c r="Q138">
        <f t="shared" ref="Q138:Q201" si="5">Q137+0.1</f>
        <v>6.9999999999999876</v>
      </c>
      <c r="R138" t="e">
        <f ca="1">[1]!NT_DIST($Q138,R$5,$R$3,FALSE)</f>
        <v>#NAME?</v>
      </c>
      <c r="S138" t="e">
        <f ca="1">[1]!NT_DIST($Q138,S$5,$R$3,FALSE)</f>
        <v>#NAME?</v>
      </c>
      <c r="T138" t="e">
        <f ca="1">[1]!NT_DIST($Q138,T$5,$R$3,FALSE)</f>
        <v>#NAME?</v>
      </c>
      <c r="U138" t="e">
        <f ca="1">[1]!NT_DIST($Q138,U$5,$R$3,FALSE)</f>
        <v>#NAME?</v>
      </c>
    </row>
    <row r="139" spans="1:21">
      <c r="A139">
        <f t="shared" si="4"/>
        <v>3.0999999999999828</v>
      </c>
      <c r="B139" t="e">
        <f ca="1">[1]!NT_DIST($A139,$B$3,B$5,FALSE)</f>
        <v>#NAME?</v>
      </c>
      <c r="C139" t="e">
        <f ca="1">[1]!NT_DIST($A139,$B$3,C$5,FALSE)</f>
        <v>#NAME?</v>
      </c>
      <c r="D139" t="e">
        <f ca="1">[1]!NT_DIST($A139,$B$3,D$5,FALSE)</f>
        <v>#NAME?</v>
      </c>
      <c r="E139" t="e">
        <f ca="1">[1]!NT_DIST($A139,$B$3,E$5,FALSE)</f>
        <v>#NAME?</v>
      </c>
      <c r="Q139">
        <f t="shared" si="5"/>
        <v>7.0999999999999872</v>
      </c>
      <c r="R139" t="e">
        <f ca="1">[1]!NT_DIST($Q139,R$5,$R$3,FALSE)</f>
        <v>#NAME?</v>
      </c>
      <c r="S139" t="e">
        <f ca="1">[1]!NT_DIST($Q139,S$5,$R$3,FALSE)</f>
        <v>#NAME?</v>
      </c>
      <c r="T139" t="e">
        <f ca="1">[1]!NT_DIST($Q139,T$5,$R$3,FALSE)</f>
        <v>#NAME?</v>
      </c>
      <c r="U139" t="e">
        <f ca="1">[1]!NT_DIST($Q139,U$5,$R$3,FALSE)</f>
        <v>#NAME?</v>
      </c>
    </row>
    <row r="140" spans="1:21">
      <c r="A140">
        <f t="shared" si="4"/>
        <v>3.1999999999999829</v>
      </c>
      <c r="B140" t="e">
        <f ca="1">[1]!NT_DIST($A140,$B$3,B$5,FALSE)</f>
        <v>#NAME?</v>
      </c>
      <c r="C140" t="e">
        <f ca="1">[1]!NT_DIST($A140,$B$3,C$5,FALSE)</f>
        <v>#NAME?</v>
      </c>
      <c r="D140" t="e">
        <f ca="1">[1]!NT_DIST($A140,$B$3,D$5,FALSE)</f>
        <v>#NAME?</v>
      </c>
      <c r="E140" t="e">
        <f ca="1">[1]!NT_DIST($A140,$B$3,E$5,FALSE)</f>
        <v>#NAME?</v>
      </c>
      <c r="Q140">
        <f t="shared" si="5"/>
        <v>7.1999999999999869</v>
      </c>
      <c r="R140" t="e">
        <f ca="1">[1]!NT_DIST($Q140,R$5,$R$3,FALSE)</f>
        <v>#NAME?</v>
      </c>
      <c r="S140" t="e">
        <f ca="1">[1]!NT_DIST($Q140,S$5,$R$3,FALSE)</f>
        <v>#NAME?</v>
      </c>
      <c r="T140" t="e">
        <f ca="1">[1]!NT_DIST($Q140,T$5,$R$3,FALSE)</f>
        <v>#NAME?</v>
      </c>
      <c r="U140" t="e">
        <f ca="1">[1]!NT_DIST($Q140,U$5,$R$3,FALSE)</f>
        <v>#NAME?</v>
      </c>
    </row>
    <row r="141" spans="1:21">
      <c r="A141">
        <f t="shared" si="4"/>
        <v>3.2999999999999829</v>
      </c>
      <c r="B141" t="e">
        <f ca="1">[1]!NT_DIST($A141,$B$3,B$5,FALSE)</f>
        <v>#NAME?</v>
      </c>
      <c r="C141" t="e">
        <f ca="1">[1]!NT_DIST($A141,$B$3,C$5,FALSE)</f>
        <v>#NAME?</v>
      </c>
      <c r="D141" t="e">
        <f ca="1">[1]!NT_DIST($A141,$B$3,D$5,FALSE)</f>
        <v>#NAME?</v>
      </c>
      <c r="E141" t="e">
        <f ca="1">[1]!NT_DIST($A141,$B$3,E$5,FALSE)</f>
        <v>#NAME?</v>
      </c>
      <c r="Q141">
        <f t="shared" si="5"/>
        <v>7.2999999999999865</v>
      </c>
      <c r="R141" t="e">
        <f ca="1">[1]!NT_DIST($Q141,R$5,$R$3,FALSE)</f>
        <v>#NAME?</v>
      </c>
      <c r="S141" t="e">
        <f ca="1">[1]!NT_DIST($Q141,S$5,$R$3,FALSE)</f>
        <v>#NAME?</v>
      </c>
      <c r="T141" t="e">
        <f ca="1">[1]!NT_DIST($Q141,T$5,$R$3,FALSE)</f>
        <v>#NAME?</v>
      </c>
      <c r="U141" t="e">
        <f ca="1">[1]!NT_DIST($Q141,U$5,$R$3,FALSE)</f>
        <v>#NAME?</v>
      </c>
    </row>
    <row r="142" spans="1:21">
      <c r="A142">
        <f t="shared" si="4"/>
        <v>3.399999999999983</v>
      </c>
      <c r="B142" t="e">
        <f ca="1">[1]!NT_DIST($A142,$B$3,B$5,FALSE)</f>
        <v>#NAME?</v>
      </c>
      <c r="C142" t="e">
        <f ca="1">[1]!NT_DIST($A142,$B$3,C$5,FALSE)</f>
        <v>#NAME?</v>
      </c>
      <c r="D142" t="e">
        <f ca="1">[1]!NT_DIST($A142,$B$3,D$5,FALSE)</f>
        <v>#NAME?</v>
      </c>
      <c r="E142" t="e">
        <f ca="1">[1]!NT_DIST($A142,$B$3,E$5,FALSE)</f>
        <v>#NAME?</v>
      </c>
      <c r="Q142">
        <f t="shared" si="5"/>
        <v>7.3999999999999861</v>
      </c>
      <c r="R142" t="e">
        <f ca="1">[1]!NT_DIST($Q142,R$5,$R$3,FALSE)</f>
        <v>#NAME?</v>
      </c>
      <c r="S142" t="e">
        <f ca="1">[1]!NT_DIST($Q142,S$5,$R$3,FALSE)</f>
        <v>#NAME?</v>
      </c>
      <c r="T142" t="e">
        <f ca="1">[1]!NT_DIST($Q142,T$5,$R$3,FALSE)</f>
        <v>#NAME?</v>
      </c>
      <c r="U142" t="e">
        <f ca="1">[1]!NT_DIST($Q142,U$5,$R$3,FALSE)</f>
        <v>#NAME?</v>
      </c>
    </row>
    <row r="143" spans="1:21">
      <c r="A143">
        <f t="shared" si="4"/>
        <v>3.4999999999999831</v>
      </c>
      <c r="B143" t="e">
        <f ca="1">[1]!NT_DIST($A143,$B$3,B$5,FALSE)</f>
        <v>#NAME?</v>
      </c>
      <c r="C143" t="e">
        <f ca="1">[1]!NT_DIST($A143,$B$3,C$5,FALSE)</f>
        <v>#NAME?</v>
      </c>
      <c r="D143" t="e">
        <f ca="1">[1]!NT_DIST($A143,$B$3,D$5,FALSE)</f>
        <v>#NAME?</v>
      </c>
      <c r="E143" t="e">
        <f ca="1">[1]!NT_DIST($A143,$B$3,E$5,FALSE)</f>
        <v>#NAME?</v>
      </c>
      <c r="Q143">
        <f t="shared" si="5"/>
        <v>7.4999999999999858</v>
      </c>
      <c r="R143" t="e">
        <f ca="1">[1]!NT_DIST($Q143,R$5,$R$3,FALSE)</f>
        <v>#NAME?</v>
      </c>
      <c r="S143" t="e">
        <f ca="1">[1]!NT_DIST($Q143,S$5,$R$3,FALSE)</f>
        <v>#NAME?</v>
      </c>
      <c r="T143" t="e">
        <f ca="1">[1]!NT_DIST($Q143,T$5,$R$3,FALSE)</f>
        <v>#NAME?</v>
      </c>
      <c r="U143" t="e">
        <f ca="1">[1]!NT_DIST($Q143,U$5,$R$3,FALSE)</f>
        <v>#NAME?</v>
      </c>
    </row>
    <row r="144" spans="1:21">
      <c r="A144">
        <f t="shared" si="4"/>
        <v>3.5999999999999832</v>
      </c>
      <c r="B144" t="e">
        <f ca="1">[1]!NT_DIST($A144,$B$3,B$5,FALSE)</f>
        <v>#NAME?</v>
      </c>
      <c r="C144" t="e">
        <f ca="1">[1]!NT_DIST($A144,$B$3,C$5,FALSE)</f>
        <v>#NAME?</v>
      </c>
      <c r="D144" t="e">
        <f ca="1">[1]!NT_DIST($A144,$B$3,D$5,FALSE)</f>
        <v>#NAME?</v>
      </c>
      <c r="E144" t="e">
        <f ca="1">[1]!NT_DIST($A144,$B$3,E$5,FALSE)</f>
        <v>#NAME?</v>
      </c>
      <c r="Q144">
        <f t="shared" si="5"/>
        <v>7.5999999999999854</v>
      </c>
      <c r="R144" t="e">
        <f ca="1">[1]!NT_DIST($Q144,R$5,$R$3,FALSE)</f>
        <v>#NAME?</v>
      </c>
      <c r="S144" t="e">
        <f ca="1">[1]!NT_DIST($Q144,S$5,$R$3,FALSE)</f>
        <v>#NAME?</v>
      </c>
      <c r="T144" t="e">
        <f ca="1">[1]!NT_DIST($Q144,T$5,$R$3,FALSE)</f>
        <v>#NAME?</v>
      </c>
      <c r="U144" t="e">
        <f ca="1">[1]!NT_DIST($Q144,U$5,$R$3,FALSE)</f>
        <v>#NAME?</v>
      </c>
    </row>
    <row r="145" spans="1:21">
      <c r="A145">
        <f t="shared" si="4"/>
        <v>3.6999999999999833</v>
      </c>
      <c r="B145" t="e">
        <f ca="1">[1]!NT_DIST($A145,$B$3,B$5,FALSE)</f>
        <v>#NAME?</v>
      </c>
      <c r="C145" t="e">
        <f ca="1">[1]!NT_DIST($A145,$B$3,C$5,FALSE)</f>
        <v>#NAME?</v>
      </c>
      <c r="D145" t="e">
        <f ca="1">[1]!NT_DIST($A145,$B$3,D$5,FALSE)</f>
        <v>#NAME?</v>
      </c>
      <c r="E145" t="e">
        <f ca="1">[1]!NT_DIST($A145,$B$3,E$5,FALSE)</f>
        <v>#NAME?</v>
      </c>
      <c r="Q145">
        <f t="shared" si="5"/>
        <v>7.6999999999999851</v>
      </c>
      <c r="R145" t="e">
        <f ca="1">[1]!NT_DIST($Q145,R$5,$R$3,FALSE)</f>
        <v>#NAME?</v>
      </c>
      <c r="S145" t="e">
        <f ca="1">[1]!NT_DIST($Q145,S$5,$R$3,FALSE)</f>
        <v>#NAME?</v>
      </c>
      <c r="T145" t="e">
        <f ca="1">[1]!NT_DIST($Q145,T$5,$R$3,FALSE)</f>
        <v>#NAME?</v>
      </c>
      <c r="U145" t="e">
        <f ca="1">[1]!NT_DIST($Q145,U$5,$R$3,FALSE)</f>
        <v>#NAME?</v>
      </c>
    </row>
    <row r="146" spans="1:21">
      <c r="A146">
        <f t="shared" si="4"/>
        <v>3.7999999999999834</v>
      </c>
      <c r="B146" t="e">
        <f ca="1">[1]!NT_DIST($A146,$B$3,B$5,FALSE)</f>
        <v>#NAME?</v>
      </c>
      <c r="C146" t="e">
        <f ca="1">[1]!NT_DIST($A146,$B$3,C$5,FALSE)</f>
        <v>#NAME?</v>
      </c>
      <c r="D146" t="e">
        <f ca="1">[1]!NT_DIST($A146,$B$3,D$5,FALSE)</f>
        <v>#NAME?</v>
      </c>
      <c r="E146" t="e">
        <f ca="1">[1]!NT_DIST($A146,$B$3,E$5,FALSE)</f>
        <v>#NAME?</v>
      </c>
      <c r="Q146">
        <f t="shared" si="5"/>
        <v>7.7999999999999847</v>
      </c>
      <c r="R146" t="e">
        <f ca="1">[1]!NT_DIST($Q146,R$5,$R$3,FALSE)</f>
        <v>#NAME?</v>
      </c>
      <c r="S146" t="e">
        <f ca="1">[1]!NT_DIST($Q146,S$5,$R$3,FALSE)</f>
        <v>#NAME?</v>
      </c>
      <c r="T146" t="e">
        <f ca="1">[1]!NT_DIST($Q146,T$5,$R$3,FALSE)</f>
        <v>#NAME?</v>
      </c>
      <c r="U146" t="e">
        <f ca="1">[1]!NT_DIST($Q146,U$5,$R$3,FALSE)</f>
        <v>#NAME?</v>
      </c>
    </row>
    <row r="147" spans="1:21">
      <c r="A147">
        <f t="shared" si="4"/>
        <v>3.8999999999999835</v>
      </c>
      <c r="B147" t="e">
        <f ca="1">[1]!NT_DIST($A147,$B$3,B$5,FALSE)</f>
        <v>#NAME?</v>
      </c>
      <c r="C147" t="e">
        <f ca="1">[1]!NT_DIST($A147,$B$3,C$5,FALSE)</f>
        <v>#NAME?</v>
      </c>
      <c r="D147" t="e">
        <f ca="1">[1]!NT_DIST($A147,$B$3,D$5,FALSE)</f>
        <v>#NAME?</v>
      </c>
      <c r="E147" t="e">
        <f ca="1">[1]!NT_DIST($A147,$B$3,E$5,FALSE)</f>
        <v>#NAME?</v>
      </c>
      <c r="Q147">
        <f t="shared" si="5"/>
        <v>7.8999999999999844</v>
      </c>
      <c r="R147" t="e">
        <f ca="1">[1]!NT_DIST($Q147,R$5,$R$3,FALSE)</f>
        <v>#NAME?</v>
      </c>
      <c r="S147" t="e">
        <f ca="1">[1]!NT_DIST($Q147,S$5,$R$3,FALSE)</f>
        <v>#NAME?</v>
      </c>
      <c r="T147" t="e">
        <f ca="1">[1]!NT_DIST($Q147,T$5,$R$3,FALSE)</f>
        <v>#NAME?</v>
      </c>
      <c r="U147" t="e">
        <f ca="1">[1]!NT_DIST($Q147,U$5,$R$3,FALSE)</f>
        <v>#NAME?</v>
      </c>
    </row>
    <row r="148" spans="1:21">
      <c r="A148">
        <f t="shared" si="4"/>
        <v>3.9999999999999836</v>
      </c>
      <c r="B148" t="e">
        <f ca="1">[1]!NT_DIST($A148,$B$3,B$5,FALSE)</f>
        <v>#NAME?</v>
      </c>
      <c r="C148" t="e">
        <f ca="1">[1]!NT_DIST($A148,$B$3,C$5,FALSE)</f>
        <v>#NAME?</v>
      </c>
      <c r="D148" t="e">
        <f ca="1">[1]!NT_DIST($A148,$B$3,D$5,FALSE)</f>
        <v>#NAME?</v>
      </c>
      <c r="E148" t="e">
        <f ca="1">[1]!NT_DIST($A148,$B$3,E$5,FALSE)</f>
        <v>#NAME?</v>
      </c>
      <c r="Q148">
        <f t="shared" si="5"/>
        <v>7.999999999999984</v>
      </c>
      <c r="R148" t="e">
        <f ca="1">[1]!NT_DIST($Q148,R$5,$R$3,FALSE)</f>
        <v>#NAME?</v>
      </c>
      <c r="S148" t="e">
        <f ca="1">[1]!NT_DIST($Q148,S$5,$R$3,FALSE)</f>
        <v>#NAME?</v>
      </c>
      <c r="T148" t="e">
        <f ca="1">[1]!NT_DIST($Q148,T$5,$R$3,FALSE)</f>
        <v>#NAME?</v>
      </c>
      <c r="U148" t="e">
        <f ca="1">[1]!NT_DIST($Q148,U$5,$R$3,FALSE)</f>
        <v>#NAME?</v>
      </c>
    </row>
    <row r="149" spans="1:21">
      <c r="A149">
        <f t="shared" si="4"/>
        <v>4.0999999999999837</v>
      </c>
      <c r="B149" t="e">
        <f ca="1">[1]!NT_DIST($A149,$B$3,B$5,FALSE)</f>
        <v>#NAME?</v>
      </c>
      <c r="C149" t="e">
        <f ca="1">[1]!NT_DIST($A149,$B$3,C$5,FALSE)</f>
        <v>#NAME?</v>
      </c>
      <c r="D149" t="e">
        <f ca="1">[1]!NT_DIST($A149,$B$3,D$5,FALSE)</f>
        <v>#NAME?</v>
      </c>
      <c r="E149" t="e">
        <f ca="1">[1]!NT_DIST($A149,$B$3,E$5,FALSE)</f>
        <v>#NAME?</v>
      </c>
      <c r="Q149">
        <f t="shared" si="5"/>
        <v>8.0999999999999837</v>
      </c>
      <c r="R149" t="e">
        <f ca="1">[1]!NT_DIST($Q149,R$5,$R$3,FALSE)</f>
        <v>#NAME?</v>
      </c>
      <c r="S149" t="e">
        <f ca="1">[1]!NT_DIST($Q149,S$5,$R$3,FALSE)</f>
        <v>#NAME?</v>
      </c>
      <c r="T149" t="e">
        <f ca="1">[1]!NT_DIST($Q149,T$5,$R$3,FALSE)</f>
        <v>#NAME?</v>
      </c>
      <c r="U149" t="e">
        <f ca="1">[1]!NT_DIST($Q149,U$5,$R$3,FALSE)</f>
        <v>#NAME?</v>
      </c>
    </row>
    <row r="150" spans="1:21">
      <c r="A150">
        <f t="shared" si="4"/>
        <v>4.1999999999999833</v>
      </c>
      <c r="B150" t="e">
        <f ca="1">[1]!NT_DIST($A150,$B$3,B$5,FALSE)</f>
        <v>#NAME?</v>
      </c>
      <c r="C150" t="e">
        <f ca="1">[1]!NT_DIST($A150,$B$3,C$5,FALSE)</f>
        <v>#NAME?</v>
      </c>
      <c r="D150" t="e">
        <f ca="1">[1]!NT_DIST($A150,$B$3,D$5,FALSE)</f>
        <v>#NAME?</v>
      </c>
      <c r="E150" t="e">
        <f ca="1">[1]!NT_DIST($A150,$B$3,E$5,FALSE)</f>
        <v>#NAME?</v>
      </c>
      <c r="Q150">
        <f t="shared" si="5"/>
        <v>8.1999999999999833</v>
      </c>
      <c r="R150" t="e">
        <f ca="1">[1]!NT_DIST($Q150,R$5,$R$3,FALSE)</f>
        <v>#NAME?</v>
      </c>
      <c r="S150" t="e">
        <f ca="1">[1]!NT_DIST($Q150,S$5,$R$3,FALSE)</f>
        <v>#NAME?</v>
      </c>
      <c r="T150" t="e">
        <f ca="1">[1]!NT_DIST($Q150,T$5,$R$3,FALSE)</f>
        <v>#NAME?</v>
      </c>
      <c r="U150" t="e">
        <f ca="1">[1]!NT_DIST($Q150,U$5,$R$3,FALSE)</f>
        <v>#NAME?</v>
      </c>
    </row>
    <row r="151" spans="1:21">
      <c r="A151">
        <f t="shared" si="4"/>
        <v>4.2999999999999829</v>
      </c>
      <c r="B151" t="e">
        <f ca="1">[1]!NT_DIST($A151,$B$3,B$5,FALSE)</f>
        <v>#NAME?</v>
      </c>
      <c r="C151" t="e">
        <f ca="1">[1]!NT_DIST($A151,$B$3,C$5,FALSE)</f>
        <v>#NAME?</v>
      </c>
      <c r="D151" t="e">
        <f ca="1">[1]!NT_DIST($A151,$B$3,D$5,FALSE)</f>
        <v>#NAME?</v>
      </c>
      <c r="E151" t="e">
        <f ca="1">[1]!NT_DIST($A151,$B$3,E$5,FALSE)</f>
        <v>#NAME?</v>
      </c>
      <c r="Q151">
        <f t="shared" si="5"/>
        <v>8.2999999999999829</v>
      </c>
      <c r="R151" t="e">
        <f ca="1">[1]!NT_DIST($Q151,R$5,$R$3,FALSE)</f>
        <v>#NAME?</v>
      </c>
      <c r="S151" t="e">
        <f ca="1">[1]!NT_DIST($Q151,S$5,$R$3,FALSE)</f>
        <v>#NAME?</v>
      </c>
      <c r="T151" t="e">
        <f ca="1">[1]!NT_DIST($Q151,T$5,$R$3,FALSE)</f>
        <v>#NAME?</v>
      </c>
      <c r="U151" t="e">
        <f ca="1">[1]!NT_DIST($Q151,U$5,$R$3,FALSE)</f>
        <v>#NAME?</v>
      </c>
    </row>
    <row r="152" spans="1:21">
      <c r="A152">
        <f t="shared" si="4"/>
        <v>4.3999999999999826</v>
      </c>
      <c r="B152" t="e">
        <f ca="1">[1]!NT_DIST($A152,$B$3,B$5,FALSE)</f>
        <v>#NAME?</v>
      </c>
      <c r="C152" t="e">
        <f ca="1">[1]!NT_DIST($A152,$B$3,C$5,FALSE)</f>
        <v>#NAME?</v>
      </c>
      <c r="D152" t="e">
        <f ca="1">[1]!NT_DIST($A152,$B$3,D$5,FALSE)</f>
        <v>#NAME?</v>
      </c>
      <c r="E152" t="e">
        <f ca="1">[1]!NT_DIST($A152,$B$3,E$5,FALSE)</f>
        <v>#NAME?</v>
      </c>
      <c r="Q152">
        <f t="shared" si="5"/>
        <v>8.3999999999999826</v>
      </c>
      <c r="R152" t="e">
        <f ca="1">[1]!NT_DIST($Q152,R$5,$R$3,FALSE)</f>
        <v>#NAME?</v>
      </c>
      <c r="S152" t="e">
        <f ca="1">[1]!NT_DIST($Q152,S$5,$R$3,FALSE)</f>
        <v>#NAME?</v>
      </c>
      <c r="T152" t="e">
        <f ca="1">[1]!NT_DIST($Q152,T$5,$R$3,FALSE)</f>
        <v>#NAME?</v>
      </c>
      <c r="U152" t="e">
        <f ca="1">[1]!NT_DIST($Q152,U$5,$R$3,FALSE)</f>
        <v>#NAME?</v>
      </c>
    </row>
    <row r="153" spans="1:21">
      <c r="A153">
        <f t="shared" si="4"/>
        <v>4.4999999999999822</v>
      </c>
      <c r="B153" t="e">
        <f ca="1">[1]!NT_DIST($A153,$B$3,B$5,FALSE)</f>
        <v>#NAME?</v>
      </c>
      <c r="C153" t="e">
        <f ca="1">[1]!NT_DIST($A153,$B$3,C$5,FALSE)</f>
        <v>#NAME?</v>
      </c>
      <c r="D153" t="e">
        <f ca="1">[1]!NT_DIST($A153,$B$3,D$5,FALSE)</f>
        <v>#NAME?</v>
      </c>
      <c r="E153" t="e">
        <f ca="1">[1]!NT_DIST($A153,$B$3,E$5,FALSE)</f>
        <v>#NAME?</v>
      </c>
      <c r="Q153">
        <f t="shared" si="5"/>
        <v>8.4999999999999822</v>
      </c>
      <c r="R153" t="e">
        <f ca="1">[1]!NT_DIST($Q153,R$5,$R$3,FALSE)</f>
        <v>#NAME?</v>
      </c>
      <c r="S153" t="e">
        <f ca="1">[1]!NT_DIST($Q153,S$5,$R$3,FALSE)</f>
        <v>#NAME?</v>
      </c>
      <c r="T153" t="e">
        <f ca="1">[1]!NT_DIST($Q153,T$5,$R$3,FALSE)</f>
        <v>#NAME?</v>
      </c>
      <c r="U153" t="e">
        <f ca="1">[1]!NT_DIST($Q153,U$5,$R$3,FALSE)</f>
        <v>#NAME?</v>
      </c>
    </row>
    <row r="154" spans="1:21">
      <c r="A154">
        <f t="shared" si="4"/>
        <v>4.5999999999999819</v>
      </c>
      <c r="B154" t="e">
        <f ca="1">[1]!NT_DIST($A154,$B$3,B$5,FALSE)</f>
        <v>#NAME?</v>
      </c>
      <c r="C154" t="e">
        <f ca="1">[1]!NT_DIST($A154,$B$3,C$5,FALSE)</f>
        <v>#NAME?</v>
      </c>
      <c r="D154" t="e">
        <f ca="1">[1]!NT_DIST($A154,$B$3,D$5,FALSE)</f>
        <v>#NAME?</v>
      </c>
      <c r="E154" t="e">
        <f ca="1">[1]!NT_DIST($A154,$B$3,E$5,FALSE)</f>
        <v>#NAME?</v>
      </c>
      <c r="Q154">
        <f t="shared" si="5"/>
        <v>8.5999999999999819</v>
      </c>
      <c r="R154" t="e">
        <f ca="1">[1]!NT_DIST($Q154,R$5,$R$3,FALSE)</f>
        <v>#NAME?</v>
      </c>
      <c r="S154" t="e">
        <f ca="1">[1]!NT_DIST($Q154,S$5,$R$3,FALSE)</f>
        <v>#NAME?</v>
      </c>
      <c r="T154" t="e">
        <f ca="1">[1]!NT_DIST($Q154,T$5,$R$3,FALSE)</f>
        <v>#NAME?</v>
      </c>
      <c r="U154" t="e">
        <f ca="1">[1]!NT_DIST($Q154,U$5,$R$3,FALSE)</f>
        <v>#NAME?</v>
      </c>
    </row>
    <row r="155" spans="1:21">
      <c r="A155">
        <f t="shared" si="4"/>
        <v>4.6999999999999815</v>
      </c>
      <c r="B155" t="e">
        <f ca="1">[1]!NT_DIST($A155,$B$3,B$5,FALSE)</f>
        <v>#NAME?</v>
      </c>
      <c r="C155" t="e">
        <f ca="1">[1]!NT_DIST($A155,$B$3,C$5,FALSE)</f>
        <v>#NAME?</v>
      </c>
      <c r="D155" t="e">
        <f ca="1">[1]!NT_DIST($A155,$B$3,D$5,FALSE)</f>
        <v>#NAME?</v>
      </c>
      <c r="E155" t="e">
        <f ca="1">[1]!NT_DIST($A155,$B$3,E$5,FALSE)</f>
        <v>#NAME?</v>
      </c>
      <c r="Q155">
        <f t="shared" si="5"/>
        <v>8.6999999999999815</v>
      </c>
      <c r="R155" t="e">
        <f ca="1">[1]!NT_DIST($Q155,R$5,$R$3,FALSE)</f>
        <v>#NAME?</v>
      </c>
      <c r="S155" t="e">
        <f ca="1">[1]!NT_DIST($Q155,S$5,$R$3,FALSE)</f>
        <v>#NAME?</v>
      </c>
      <c r="T155" t="e">
        <f ca="1">[1]!NT_DIST($Q155,T$5,$R$3,FALSE)</f>
        <v>#NAME?</v>
      </c>
      <c r="U155" t="e">
        <f ca="1">[1]!NT_DIST($Q155,U$5,$R$3,FALSE)</f>
        <v>#NAME?</v>
      </c>
    </row>
    <row r="156" spans="1:21">
      <c r="A156">
        <f t="shared" si="4"/>
        <v>4.7999999999999812</v>
      </c>
      <c r="B156" t="e">
        <f ca="1">[1]!NT_DIST($A156,$B$3,B$5,FALSE)</f>
        <v>#NAME?</v>
      </c>
      <c r="C156" t="e">
        <f ca="1">[1]!NT_DIST($A156,$B$3,C$5,FALSE)</f>
        <v>#NAME?</v>
      </c>
      <c r="D156" t="e">
        <f ca="1">[1]!NT_DIST($A156,$B$3,D$5,FALSE)</f>
        <v>#NAME?</v>
      </c>
      <c r="E156" t="e">
        <f ca="1">[1]!NT_DIST($A156,$B$3,E$5,FALSE)</f>
        <v>#NAME?</v>
      </c>
      <c r="Q156">
        <f t="shared" si="5"/>
        <v>8.7999999999999812</v>
      </c>
      <c r="R156" t="e">
        <f ca="1">[1]!NT_DIST($Q156,R$5,$R$3,FALSE)</f>
        <v>#NAME?</v>
      </c>
      <c r="S156" t="e">
        <f ca="1">[1]!NT_DIST($Q156,S$5,$R$3,FALSE)</f>
        <v>#NAME?</v>
      </c>
      <c r="T156" t="e">
        <f ca="1">[1]!NT_DIST($Q156,T$5,$R$3,FALSE)</f>
        <v>#NAME?</v>
      </c>
      <c r="U156" t="e">
        <f ca="1">[1]!NT_DIST($Q156,U$5,$R$3,FALSE)</f>
        <v>#NAME?</v>
      </c>
    </row>
    <row r="157" spans="1:21">
      <c r="A157">
        <f t="shared" si="4"/>
        <v>4.8999999999999808</v>
      </c>
      <c r="B157" t="e">
        <f ca="1">[1]!NT_DIST($A157,$B$3,B$5,FALSE)</f>
        <v>#NAME?</v>
      </c>
      <c r="C157" t="e">
        <f ca="1">[1]!NT_DIST($A157,$B$3,C$5,FALSE)</f>
        <v>#NAME?</v>
      </c>
      <c r="D157" t="e">
        <f ca="1">[1]!NT_DIST($A157,$B$3,D$5,FALSE)</f>
        <v>#NAME?</v>
      </c>
      <c r="E157" t="e">
        <f ca="1">[1]!NT_DIST($A157,$B$3,E$5,FALSE)</f>
        <v>#NAME?</v>
      </c>
      <c r="Q157">
        <f t="shared" si="5"/>
        <v>8.8999999999999808</v>
      </c>
      <c r="R157" t="e">
        <f ca="1">[1]!NT_DIST($Q157,R$5,$R$3,FALSE)</f>
        <v>#NAME?</v>
      </c>
      <c r="S157" t="e">
        <f ca="1">[1]!NT_DIST($Q157,S$5,$R$3,FALSE)</f>
        <v>#NAME?</v>
      </c>
      <c r="T157" t="e">
        <f ca="1">[1]!NT_DIST($Q157,T$5,$R$3,FALSE)</f>
        <v>#NAME?</v>
      </c>
      <c r="U157" t="e">
        <f ca="1">[1]!NT_DIST($Q157,U$5,$R$3,FALSE)</f>
        <v>#NAME?</v>
      </c>
    </row>
    <row r="158" spans="1:21">
      <c r="A158">
        <f t="shared" si="4"/>
        <v>4.9999999999999805</v>
      </c>
      <c r="B158" t="e">
        <f ca="1">[1]!NT_DIST($A158,$B$3,B$5,FALSE)</f>
        <v>#NAME?</v>
      </c>
      <c r="C158" t="e">
        <f ca="1">[1]!NT_DIST($A158,$B$3,C$5,FALSE)</f>
        <v>#NAME?</v>
      </c>
      <c r="D158" t="e">
        <f ca="1">[1]!NT_DIST($A158,$B$3,D$5,FALSE)</f>
        <v>#NAME?</v>
      </c>
      <c r="E158" t="e">
        <f ca="1">[1]!NT_DIST($A158,$B$3,E$5,FALSE)</f>
        <v>#NAME?</v>
      </c>
      <c r="Q158">
        <f t="shared" si="5"/>
        <v>8.9999999999999805</v>
      </c>
      <c r="R158" t="e">
        <f ca="1">[1]!NT_DIST($Q158,R$5,$R$3,FALSE)</f>
        <v>#NAME?</v>
      </c>
      <c r="S158" t="e">
        <f ca="1">[1]!NT_DIST($Q158,S$5,$R$3,FALSE)</f>
        <v>#NAME?</v>
      </c>
      <c r="T158" t="e">
        <f ca="1">[1]!NT_DIST($Q158,T$5,$R$3,FALSE)</f>
        <v>#NAME?</v>
      </c>
      <c r="U158" t="e">
        <f ca="1">[1]!NT_DIST($Q158,U$5,$R$3,FALSE)</f>
        <v>#NAME?</v>
      </c>
    </row>
    <row r="159" spans="1:21">
      <c r="A159">
        <f t="shared" si="4"/>
        <v>5.0999999999999801</v>
      </c>
      <c r="B159" t="e">
        <f ca="1">[1]!NT_DIST($A159,$B$3,B$5,FALSE)</f>
        <v>#NAME?</v>
      </c>
      <c r="C159" t="e">
        <f ca="1">[1]!NT_DIST($A159,$B$3,C$5,FALSE)</f>
        <v>#NAME?</v>
      </c>
      <c r="D159" t="e">
        <f ca="1">[1]!NT_DIST($A159,$B$3,D$5,FALSE)</f>
        <v>#NAME?</v>
      </c>
      <c r="E159" t="e">
        <f ca="1">[1]!NT_DIST($A159,$B$3,E$5,FALSE)</f>
        <v>#NAME?</v>
      </c>
      <c r="Q159">
        <f t="shared" si="5"/>
        <v>9.0999999999999801</v>
      </c>
      <c r="R159" t="e">
        <f ca="1">[1]!NT_DIST($Q159,R$5,$R$3,FALSE)</f>
        <v>#NAME?</v>
      </c>
      <c r="S159" t="e">
        <f ca="1">[1]!NT_DIST($Q159,S$5,$R$3,FALSE)</f>
        <v>#NAME?</v>
      </c>
      <c r="T159" t="e">
        <f ca="1">[1]!NT_DIST($Q159,T$5,$R$3,FALSE)</f>
        <v>#NAME?</v>
      </c>
      <c r="U159" t="e">
        <f ca="1">[1]!NT_DIST($Q159,U$5,$R$3,FALSE)</f>
        <v>#NAME?</v>
      </c>
    </row>
    <row r="160" spans="1:21">
      <c r="A160">
        <f t="shared" si="4"/>
        <v>5.1999999999999797</v>
      </c>
      <c r="B160" t="e">
        <f ca="1">[1]!NT_DIST($A160,$B$3,B$5,FALSE)</f>
        <v>#NAME?</v>
      </c>
      <c r="C160" t="e">
        <f ca="1">[1]!NT_DIST($A160,$B$3,C$5,FALSE)</f>
        <v>#NAME?</v>
      </c>
      <c r="D160" t="e">
        <f ca="1">[1]!NT_DIST($A160,$B$3,D$5,FALSE)</f>
        <v>#NAME?</v>
      </c>
      <c r="E160" t="e">
        <f ca="1">[1]!NT_DIST($A160,$B$3,E$5,FALSE)</f>
        <v>#NAME?</v>
      </c>
      <c r="Q160">
        <f t="shared" si="5"/>
        <v>9.1999999999999797</v>
      </c>
      <c r="R160" t="e">
        <f ca="1">[1]!NT_DIST($Q160,R$5,$R$3,FALSE)</f>
        <v>#NAME?</v>
      </c>
      <c r="S160" t="e">
        <f ca="1">[1]!NT_DIST($Q160,S$5,$R$3,FALSE)</f>
        <v>#NAME?</v>
      </c>
      <c r="T160" t="e">
        <f ca="1">[1]!NT_DIST($Q160,T$5,$R$3,FALSE)</f>
        <v>#NAME?</v>
      </c>
      <c r="U160" t="e">
        <f ca="1">[1]!NT_DIST($Q160,U$5,$R$3,FALSE)</f>
        <v>#NAME?</v>
      </c>
    </row>
    <row r="161" spans="1:21">
      <c r="A161">
        <f t="shared" si="4"/>
        <v>5.2999999999999794</v>
      </c>
      <c r="B161" t="e">
        <f ca="1">[1]!NT_DIST($A161,$B$3,B$5,FALSE)</f>
        <v>#NAME?</v>
      </c>
      <c r="C161" t="e">
        <f ca="1">[1]!NT_DIST($A161,$B$3,C$5,FALSE)</f>
        <v>#NAME?</v>
      </c>
      <c r="D161" t="e">
        <f ca="1">[1]!NT_DIST($A161,$B$3,D$5,FALSE)</f>
        <v>#NAME?</v>
      </c>
      <c r="E161" t="e">
        <f ca="1">[1]!NT_DIST($A161,$B$3,E$5,FALSE)</f>
        <v>#NAME?</v>
      </c>
      <c r="Q161">
        <f t="shared" si="5"/>
        <v>9.2999999999999794</v>
      </c>
      <c r="R161" t="e">
        <f ca="1">[1]!NT_DIST($Q161,R$5,$R$3,FALSE)</f>
        <v>#NAME?</v>
      </c>
      <c r="S161" t="e">
        <f ca="1">[1]!NT_DIST($Q161,S$5,$R$3,FALSE)</f>
        <v>#NAME?</v>
      </c>
      <c r="T161" t="e">
        <f ca="1">[1]!NT_DIST($Q161,T$5,$R$3,FALSE)</f>
        <v>#NAME?</v>
      </c>
      <c r="U161" t="e">
        <f ca="1">[1]!NT_DIST($Q161,U$5,$R$3,FALSE)</f>
        <v>#NAME?</v>
      </c>
    </row>
    <row r="162" spans="1:21">
      <c r="A162">
        <f t="shared" si="4"/>
        <v>5.399999999999979</v>
      </c>
      <c r="B162" t="e">
        <f ca="1">[1]!NT_DIST($A162,$B$3,B$5,FALSE)</f>
        <v>#NAME?</v>
      </c>
      <c r="C162" t="e">
        <f ca="1">[1]!NT_DIST($A162,$B$3,C$5,FALSE)</f>
        <v>#NAME?</v>
      </c>
      <c r="D162" t="e">
        <f ca="1">[1]!NT_DIST($A162,$B$3,D$5,FALSE)</f>
        <v>#NAME?</v>
      </c>
      <c r="E162" t="e">
        <f ca="1">[1]!NT_DIST($A162,$B$3,E$5,FALSE)</f>
        <v>#NAME?</v>
      </c>
      <c r="Q162">
        <f t="shared" si="5"/>
        <v>9.399999999999979</v>
      </c>
      <c r="R162" t="e">
        <f ca="1">[1]!NT_DIST($Q162,R$5,$R$3,FALSE)</f>
        <v>#NAME?</v>
      </c>
      <c r="S162" t="e">
        <f ca="1">[1]!NT_DIST($Q162,S$5,$R$3,FALSE)</f>
        <v>#NAME?</v>
      </c>
      <c r="T162" t="e">
        <f ca="1">[1]!NT_DIST($Q162,T$5,$R$3,FALSE)</f>
        <v>#NAME?</v>
      </c>
      <c r="U162" t="e">
        <f ca="1">[1]!NT_DIST($Q162,U$5,$R$3,FALSE)</f>
        <v>#NAME?</v>
      </c>
    </row>
    <row r="163" spans="1:21">
      <c r="A163">
        <f t="shared" si="4"/>
        <v>5.4999999999999787</v>
      </c>
      <c r="B163" t="e">
        <f ca="1">[1]!NT_DIST($A163,$B$3,B$5,FALSE)</f>
        <v>#NAME?</v>
      </c>
      <c r="C163" t="e">
        <f ca="1">[1]!NT_DIST($A163,$B$3,C$5,FALSE)</f>
        <v>#NAME?</v>
      </c>
      <c r="D163" t="e">
        <f ca="1">[1]!NT_DIST($A163,$B$3,D$5,FALSE)</f>
        <v>#NAME?</v>
      </c>
      <c r="E163" t="e">
        <f ca="1">[1]!NT_DIST($A163,$B$3,E$5,FALSE)</f>
        <v>#NAME?</v>
      </c>
      <c r="Q163">
        <f t="shared" si="5"/>
        <v>9.4999999999999787</v>
      </c>
      <c r="R163" t="e">
        <f ca="1">[1]!NT_DIST($Q163,R$5,$R$3,FALSE)</f>
        <v>#NAME?</v>
      </c>
      <c r="S163" t="e">
        <f ca="1">[1]!NT_DIST($Q163,S$5,$R$3,FALSE)</f>
        <v>#NAME?</v>
      </c>
      <c r="T163" t="e">
        <f ca="1">[1]!NT_DIST($Q163,T$5,$R$3,FALSE)</f>
        <v>#NAME?</v>
      </c>
      <c r="U163" t="e">
        <f ca="1">[1]!NT_DIST($Q163,U$5,$R$3,FALSE)</f>
        <v>#NAME?</v>
      </c>
    </row>
    <row r="164" spans="1:21">
      <c r="A164">
        <f t="shared" si="4"/>
        <v>5.5999999999999783</v>
      </c>
      <c r="B164" t="e">
        <f ca="1">[1]!NT_DIST($A164,$B$3,B$5,FALSE)</f>
        <v>#NAME?</v>
      </c>
      <c r="C164" t="e">
        <f ca="1">[1]!NT_DIST($A164,$B$3,C$5,FALSE)</f>
        <v>#NAME?</v>
      </c>
      <c r="D164" t="e">
        <f ca="1">[1]!NT_DIST($A164,$B$3,D$5,FALSE)</f>
        <v>#NAME?</v>
      </c>
      <c r="E164" t="e">
        <f ca="1">[1]!NT_DIST($A164,$B$3,E$5,FALSE)</f>
        <v>#NAME?</v>
      </c>
      <c r="Q164">
        <f t="shared" si="5"/>
        <v>9.5999999999999783</v>
      </c>
      <c r="R164" t="e">
        <f ca="1">[1]!NT_DIST($Q164,R$5,$R$3,FALSE)</f>
        <v>#NAME?</v>
      </c>
      <c r="S164" t="e">
        <f ca="1">[1]!NT_DIST($Q164,S$5,$R$3,FALSE)</f>
        <v>#NAME?</v>
      </c>
      <c r="T164" t="e">
        <f ca="1">[1]!NT_DIST($Q164,T$5,$R$3,FALSE)</f>
        <v>#NAME?</v>
      </c>
      <c r="U164" t="e">
        <f ca="1">[1]!NT_DIST($Q164,U$5,$R$3,FALSE)</f>
        <v>#NAME?</v>
      </c>
    </row>
    <row r="165" spans="1:21">
      <c r="A165">
        <f t="shared" si="4"/>
        <v>5.699999999999978</v>
      </c>
      <c r="B165" t="e">
        <f ca="1">[1]!NT_DIST($A165,$B$3,B$5,FALSE)</f>
        <v>#NAME?</v>
      </c>
      <c r="C165" t="e">
        <f ca="1">[1]!NT_DIST($A165,$B$3,C$5,FALSE)</f>
        <v>#NAME?</v>
      </c>
      <c r="D165" t="e">
        <f ca="1">[1]!NT_DIST($A165,$B$3,D$5,FALSE)</f>
        <v>#NAME?</v>
      </c>
      <c r="E165" t="e">
        <f ca="1">[1]!NT_DIST($A165,$B$3,E$5,FALSE)</f>
        <v>#NAME?</v>
      </c>
      <c r="Q165">
        <f t="shared" si="5"/>
        <v>9.699999999999978</v>
      </c>
      <c r="R165" t="e">
        <f ca="1">[1]!NT_DIST($Q165,R$5,$R$3,FALSE)</f>
        <v>#NAME?</v>
      </c>
      <c r="S165" t="e">
        <f ca="1">[1]!NT_DIST($Q165,S$5,$R$3,FALSE)</f>
        <v>#NAME?</v>
      </c>
      <c r="T165" t="e">
        <f ca="1">[1]!NT_DIST($Q165,T$5,$R$3,FALSE)</f>
        <v>#NAME?</v>
      </c>
      <c r="U165" t="e">
        <f ca="1">[1]!NT_DIST($Q165,U$5,$R$3,FALSE)</f>
        <v>#NAME?</v>
      </c>
    </row>
    <row r="166" spans="1:21">
      <c r="A166">
        <f t="shared" si="4"/>
        <v>5.7999999999999776</v>
      </c>
      <c r="B166" t="e">
        <f ca="1">[1]!NT_DIST($A166,$B$3,B$5,FALSE)</f>
        <v>#NAME?</v>
      </c>
      <c r="C166" t="e">
        <f ca="1">[1]!NT_DIST($A166,$B$3,C$5,FALSE)</f>
        <v>#NAME?</v>
      </c>
      <c r="D166" t="e">
        <f ca="1">[1]!NT_DIST($A166,$B$3,D$5,FALSE)</f>
        <v>#NAME?</v>
      </c>
      <c r="E166" t="e">
        <f ca="1">[1]!NT_DIST($A166,$B$3,E$5,FALSE)</f>
        <v>#NAME?</v>
      </c>
      <c r="Q166">
        <f t="shared" si="5"/>
        <v>9.7999999999999776</v>
      </c>
      <c r="R166" t="e">
        <f ca="1">[1]!NT_DIST($Q166,R$5,$R$3,FALSE)</f>
        <v>#NAME?</v>
      </c>
      <c r="S166" t="e">
        <f ca="1">[1]!NT_DIST($Q166,S$5,$R$3,FALSE)</f>
        <v>#NAME?</v>
      </c>
      <c r="T166" t="e">
        <f ca="1">[1]!NT_DIST($Q166,T$5,$R$3,FALSE)</f>
        <v>#NAME?</v>
      </c>
      <c r="U166" t="e">
        <f ca="1">[1]!NT_DIST($Q166,U$5,$R$3,FALSE)</f>
        <v>#NAME?</v>
      </c>
    </row>
    <row r="167" spans="1:21">
      <c r="A167">
        <f t="shared" si="4"/>
        <v>5.8999999999999773</v>
      </c>
      <c r="B167" t="e">
        <f ca="1">[1]!NT_DIST($A167,$B$3,B$5,FALSE)</f>
        <v>#NAME?</v>
      </c>
      <c r="C167" t="e">
        <f ca="1">[1]!NT_DIST($A167,$B$3,C$5,FALSE)</f>
        <v>#NAME?</v>
      </c>
      <c r="D167" t="e">
        <f ca="1">[1]!NT_DIST($A167,$B$3,D$5,FALSE)</f>
        <v>#NAME?</v>
      </c>
      <c r="E167" t="e">
        <f ca="1">[1]!NT_DIST($A167,$B$3,E$5,FALSE)</f>
        <v>#NAME?</v>
      </c>
      <c r="Q167">
        <f t="shared" si="5"/>
        <v>9.8999999999999773</v>
      </c>
      <c r="R167" t="e">
        <f ca="1">[1]!NT_DIST($Q167,R$5,$R$3,FALSE)</f>
        <v>#NAME?</v>
      </c>
      <c r="S167" t="e">
        <f ca="1">[1]!NT_DIST($Q167,S$5,$R$3,FALSE)</f>
        <v>#NAME?</v>
      </c>
      <c r="T167" t="e">
        <f ca="1">[1]!NT_DIST($Q167,T$5,$R$3,FALSE)</f>
        <v>#NAME?</v>
      </c>
      <c r="U167" t="e">
        <f ca="1">[1]!NT_DIST($Q167,U$5,$R$3,FALSE)</f>
        <v>#NAME?</v>
      </c>
    </row>
    <row r="168" spans="1:21">
      <c r="A168">
        <f t="shared" si="4"/>
        <v>5.9999999999999769</v>
      </c>
      <c r="B168" t="e">
        <f ca="1">[1]!NT_DIST($A168,$B$3,B$5,FALSE)</f>
        <v>#NAME?</v>
      </c>
      <c r="C168" t="e">
        <f ca="1">[1]!NT_DIST($A168,$B$3,C$5,FALSE)</f>
        <v>#NAME?</v>
      </c>
      <c r="D168" t="e">
        <f ca="1">[1]!NT_DIST($A168,$B$3,D$5,FALSE)</f>
        <v>#NAME?</v>
      </c>
      <c r="E168" t="e">
        <f ca="1">[1]!NT_DIST($A168,$B$3,E$5,FALSE)</f>
        <v>#NAME?</v>
      </c>
      <c r="Q168">
        <f t="shared" si="5"/>
        <v>9.9999999999999769</v>
      </c>
      <c r="R168" t="e">
        <f ca="1">[1]!NT_DIST($Q168,R$5,$R$3,FALSE)</f>
        <v>#NAME?</v>
      </c>
      <c r="S168" t="e">
        <f ca="1">[1]!NT_DIST($Q168,S$5,$R$3,FALSE)</f>
        <v>#NAME?</v>
      </c>
      <c r="T168" t="e">
        <f ca="1">[1]!NT_DIST($Q168,T$5,$R$3,FALSE)</f>
        <v>#NAME?</v>
      </c>
      <c r="U168" t="e">
        <f ca="1">[1]!NT_DIST($Q168,U$5,$R$3,FALSE)</f>
        <v>#NAME?</v>
      </c>
    </row>
    <row r="169" spans="1:21">
      <c r="A169">
        <f t="shared" si="4"/>
        <v>6.0999999999999766</v>
      </c>
      <c r="B169" t="e">
        <f ca="1">[1]!NT_DIST($A169,$B$3,B$5,FALSE)</f>
        <v>#NAME?</v>
      </c>
      <c r="C169" t="e">
        <f ca="1">[1]!NT_DIST($A169,$B$3,C$5,FALSE)</f>
        <v>#NAME?</v>
      </c>
      <c r="D169" t="e">
        <f ca="1">[1]!NT_DIST($A169,$B$3,D$5,FALSE)</f>
        <v>#NAME?</v>
      </c>
      <c r="E169" t="e">
        <f ca="1">[1]!NT_DIST($A169,$B$3,E$5,FALSE)</f>
        <v>#NAME?</v>
      </c>
      <c r="Q169">
        <f t="shared" si="5"/>
        <v>10.099999999999977</v>
      </c>
      <c r="R169" t="e">
        <f ca="1">[1]!NT_DIST($Q169,R$5,$R$3,FALSE)</f>
        <v>#NAME?</v>
      </c>
      <c r="S169" t="e">
        <f ca="1">[1]!NT_DIST($Q169,S$5,$R$3,FALSE)</f>
        <v>#NAME?</v>
      </c>
      <c r="T169" t="e">
        <f ca="1">[1]!NT_DIST($Q169,T$5,$R$3,FALSE)</f>
        <v>#NAME?</v>
      </c>
      <c r="U169" t="e">
        <f ca="1">[1]!NT_DIST($Q169,U$5,$R$3,FALSE)</f>
        <v>#NAME?</v>
      </c>
    </row>
    <row r="170" spans="1:21">
      <c r="A170">
        <f t="shared" si="4"/>
        <v>6.1999999999999762</v>
      </c>
      <c r="B170" t="e">
        <f ca="1">[1]!NT_DIST($A170,$B$3,B$5,FALSE)</f>
        <v>#NAME?</v>
      </c>
      <c r="C170" t="e">
        <f ca="1">[1]!NT_DIST($A170,$B$3,C$5,FALSE)</f>
        <v>#NAME?</v>
      </c>
      <c r="D170" t="e">
        <f ca="1">[1]!NT_DIST($A170,$B$3,D$5,FALSE)</f>
        <v>#NAME?</v>
      </c>
      <c r="E170" t="e">
        <f ca="1">[1]!NT_DIST($A170,$B$3,E$5,FALSE)</f>
        <v>#NAME?</v>
      </c>
      <c r="Q170">
        <f t="shared" si="5"/>
        <v>10.199999999999976</v>
      </c>
      <c r="R170" t="e">
        <f ca="1">[1]!NT_DIST($Q170,R$5,$R$3,FALSE)</f>
        <v>#NAME?</v>
      </c>
      <c r="S170" t="e">
        <f ca="1">[1]!NT_DIST($Q170,S$5,$R$3,FALSE)</f>
        <v>#NAME?</v>
      </c>
      <c r="T170" t="e">
        <f ca="1">[1]!NT_DIST($Q170,T$5,$R$3,FALSE)</f>
        <v>#NAME?</v>
      </c>
      <c r="U170" t="e">
        <f ca="1">[1]!NT_DIST($Q170,U$5,$R$3,FALSE)</f>
        <v>#NAME?</v>
      </c>
    </row>
    <row r="171" spans="1:21">
      <c r="A171">
        <f t="shared" si="4"/>
        <v>6.2999999999999758</v>
      </c>
      <c r="B171" t="e">
        <f ca="1">[1]!NT_DIST($A171,$B$3,B$5,FALSE)</f>
        <v>#NAME?</v>
      </c>
      <c r="C171" t="e">
        <f ca="1">[1]!NT_DIST($A171,$B$3,C$5,FALSE)</f>
        <v>#NAME?</v>
      </c>
      <c r="D171" t="e">
        <f ca="1">[1]!NT_DIST($A171,$B$3,D$5,FALSE)</f>
        <v>#NAME?</v>
      </c>
      <c r="E171" t="e">
        <f ca="1">[1]!NT_DIST($A171,$B$3,E$5,FALSE)</f>
        <v>#NAME?</v>
      </c>
      <c r="Q171">
        <f t="shared" si="5"/>
        <v>10.299999999999976</v>
      </c>
      <c r="R171" t="e">
        <f ca="1">[1]!NT_DIST($Q171,R$5,$R$3,FALSE)</f>
        <v>#NAME?</v>
      </c>
      <c r="S171" t="e">
        <f ca="1">[1]!NT_DIST($Q171,S$5,$R$3,FALSE)</f>
        <v>#NAME?</v>
      </c>
      <c r="T171" t="e">
        <f ca="1">[1]!NT_DIST($Q171,T$5,$R$3,FALSE)</f>
        <v>#NAME?</v>
      </c>
      <c r="U171" t="e">
        <f ca="1">[1]!NT_DIST($Q171,U$5,$R$3,FALSE)</f>
        <v>#NAME?</v>
      </c>
    </row>
    <row r="172" spans="1:21">
      <c r="A172">
        <f t="shared" si="4"/>
        <v>6.3999999999999755</v>
      </c>
      <c r="B172" t="e">
        <f ca="1">[1]!NT_DIST($A172,$B$3,B$5,FALSE)</f>
        <v>#NAME?</v>
      </c>
      <c r="C172" t="e">
        <f ca="1">[1]!NT_DIST($A172,$B$3,C$5,FALSE)</f>
        <v>#NAME?</v>
      </c>
      <c r="D172" t="e">
        <f ca="1">[1]!NT_DIST($A172,$B$3,D$5,FALSE)</f>
        <v>#NAME?</v>
      </c>
      <c r="E172" t="e">
        <f ca="1">[1]!NT_DIST($A172,$B$3,E$5,FALSE)</f>
        <v>#NAME?</v>
      </c>
      <c r="Q172">
        <f t="shared" si="5"/>
        <v>10.399999999999975</v>
      </c>
      <c r="R172" t="e">
        <f ca="1">[1]!NT_DIST($Q172,R$5,$R$3,FALSE)</f>
        <v>#NAME?</v>
      </c>
      <c r="S172" t="e">
        <f ca="1">[1]!NT_DIST($Q172,S$5,$R$3,FALSE)</f>
        <v>#NAME?</v>
      </c>
      <c r="T172" t="e">
        <f ca="1">[1]!NT_DIST($Q172,T$5,$R$3,FALSE)</f>
        <v>#NAME?</v>
      </c>
      <c r="U172" t="e">
        <f ca="1">[1]!NT_DIST($Q172,U$5,$R$3,FALSE)</f>
        <v>#NAME?</v>
      </c>
    </row>
    <row r="173" spans="1:21">
      <c r="A173">
        <f t="shared" si="4"/>
        <v>6.4999999999999751</v>
      </c>
      <c r="B173" t="e">
        <f ca="1">[1]!NT_DIST($A173,$B$3,B$5,FALSE)</f>
        <v>#NAME?</v>
      </c>
      <c r="C173" t="e">
        <f ca="1">[1]!NT_DIST($A173,$B$3,C$5,FALSE)</f>
        <v>#NAME?</v>
      </c>
      <c r="D173" t="e">
        <f ca="1">[1]!NT_DIST($A173,$B$3,D$5,FALSE)</f>
        <v>#NAME?</v>
      </c>
      <c r="E173" t="e">
        <f ca="1">[1]!NT_DIST($A173,$B$3,E$5,FALSE)</f>
        <v>#NAME?</v>
      </c>
      <c r="Q173">
        <f t="shared" si="5"/>
        <v>10.499999999999975</v>
      </c>
      <c r="R173" t="e">
        <f ca="1">[1]!NT_DIST($Q173,R$5,$R$3,FALSE)</f>
        <v>#NAME?</v>
      </c>
      <c r="S173" t="e">
        <f ca="1">[1]!NT_DIST($Q173,S$5,$R$3,FALSE)</f>
        <v>#NAME?</v>
      </c>
      <c r="T173" t="e">
        <f ca="1">[1]!NT_DIST($Q173,T$5,$R$3,FALSE)</f>
        <v>#NAME?</v>
      </c>
      <c r="U173" t="e">
        <f ca="1">[1]!NT_DIST($Q173,U$5,$R$3,FALSE)</f>
        <v>#NAME?</v>
      </c>
    </row>
    <row r="174" spans="1:21">
      <c r="A174">
        <f t="shared" si="4"/>
        <v>6.5999999999999748</v>
      </c>
      <c r="B174" t="e">
        <f ca="1">[1]!NT_DIST($A174,$B$3,B$5,FALSE)</f>
        <v>#NAME?</v>
      </c>
      <c r="C174" t="e">
        <f ca="1">[1]!NT_DIST($A174,$B$3,C$5,FALSE)</f>
        <v>#NAME?</v>
      </c>
      <c r="D174" t="e">
        <f ca="1">[1]!NT_DIST($A174,$B$3,D$5,FALSE)</f>
        <v>#NAME?</v>
      </c>
      <c r="E174" t="e">
        <f ca="1">[1]!NT_DIST($A174,$B$3,E$5,FALSE)</f>
        <v>#NAME?</v>
      </c>
      <c r="Q174">
        <f t="shared" si="5"/>
        <v>10.599999999999975</v>
      </c>
      <c r="R174" t="e">
        <f ca="1">[1]!NT_DIST($Q174,R$5,$R$3,FALSE)</f>
        <v>#NAME?</v>
      </c>
      <c r="S174" t="e">
        <f ca="1">[1]!NT_DIST($Q174,S$5,$R$3,FALSE)</f>
        <v>#NAME?</v>
      </c>
      <c r="T174" t="e">
        <f ca="1">[1]!NT_DIST($Q174,T$5,$R$3,FALSE)</f>
        <v>#NAME?</v>
      </c>
      <c r="U174" t="e">
        <f ca="1">[1]!NT_DIST($Q174,U$5,$R$3,FALSE)</f>
        <v>#NAME?</v>
      </c>
    </row>
    <row r="175" spans="1:21">
      <c r="A175">
        <f t="shared" si="4"/>
        <v>6.6999999999999744</v>
      </c>
      <c r="B175" t="e">
        <f ca="1">[1]!NT_DIST($A175,$B$3,B$5,FALSE)</f>
        <v>#NAME?</v>
      </c>
      <c r="C175" t="e">
        <f ca="1">[1]!NT_DIST($A175,$B$3,C$5,FALSE)</f>
        <v>#NAME?</v>
      </c>
      <c r="D175" t="e">
        <f ca="1">[1]!NT_DIST($A175,$B$3,D$5,FALSE)</f>
        <v>#NAME?</v>
      </c>
      <c r="E175" t="e">
        <f ca="1">[1]!NT_DIST($A175,$B$3,E$5,FALSE)</f>
        <v>#NAME?</v>
      </c>
      <c r="Q175">
        <f t="shared" si="5"/>
        <v>10.699999999999974</v>
      </c>
      <c r="R175" t="e">
        <f ca="1">[1]!NT_DIST($Q175,R$5,$R$3,FALSE)</f>
        <v>#NAME?</v>
      </c>
      <c r="S175" t="e">
        <f ca="1">[1]!NT_DIST($Q175,S$5,$R$3,FALSE)</f>
        <v>#NAME?</v>
      </c>
      <c r="T175" t="e">
        <f ca="1">[1]!NT_DIST($Q175,T$5,$R$3,FALSE)</f>
        <v>#NAME?</v>
      </c>
      <c r="U175" t="e">
        <f ca="1">[1]!NT_DIST($Q175,U$5,$R$3,FALSE)</f>
        <v>#NAME?</v>
      </c>
    </row>
    <row r="176" spans="1:21">
      <c r="A176">
        <f t="shared" si="4"/>
        <v>6.7999999999999741</v>
      </c>
      <c r="B176" t="e">
        <f ca="1">[1]!NT_DIST($A176,$B$3,B$5,FALSE)</f>
        <v>#NAME?</v>
      </c>
      <c r="C176" t="e">
        <f ca="1">[1]!NT_DIST($A176,$B$3,C$5,FALSE)</f>
        <v>#NAME?</v>
      </c>
      <c r="D176" t="e">
        <f ca="1">[1]!NT_DIST($A176,$B$3,D$5,FALSE)</f>
        <v>#NAME?</v>
      </c>
      <c r="E176" t="e">
        <f ca="1">[1]!NT_DIST($A176,$B$3,E$5,FALSE)</f>
        <v>#NAME?</v>
      </c>
      <c r="Q176">
        <f t="shared" si="5"/>
        <v>10.799999999999974</v>
      </c>
      <c r="R176" t="e">
        <f ca="1">[1]!NT_DIST($Q176,R$5,$R$3,FALSE)</f>
        <v>#NAME?</v>
      </c>
      <c r="S176" t="e">
        <f ca="1">[1]!NT_DIST($Q176,S$5,$R$3,FALSE)</f>
        <v>#NAME?</v>
      </c>
      <c r="T176" t="e">
        <f ca="1">[1]!NT_DIST($Q176,T$5,$R$3,FALSE)</f>
        <v>#NAME?</v>
      </c>
      <c r="U176" t="e">
        <f ca="1">[1]!NT_DIST($Q176,U$5,$R$3,FALSE)</f>
        <v>#NAME?</v>
      </c>
    </row>
    <row r="177" spans="1:21">
      <c r="A177">
        <f t="shared" si="4"/>
        <v>6.8999999999999737</v>
      </c>
      <c r="B177" t="e">
        <f ca="1">[1]!NT_DIST($A177,$B$3,B$5,FALSE)</f>
        <v>#NAME?</v>
      </c>
      <c r="C177" t="e">
        <f ca="1">[1]!NT_DIST($A177,$B$3,C$5,FALSE)</f>
        <v>#NAME?</v>
      </c>
      <c r="D177" t="e">
        <f ca="1">[1]!NT_DIST($A177,$B$3,D$5,FALSE)</f>
        <v>#NAME?</v>
      </c>
      <c r="E177" t="e">
        <f ca="1">[1]!NT_DIST($A177,$B$3,E$5,FALSE)</f>
        <v>#NAME?</v>
      </c>
      <c r="Q177">
        <f t="shared" si="5"/>
        <v>10.899999999999974</v>
      </c>
      <c r="R177" t="e">
        <f ca="1">[1]!NT_DIST($Q177,R$5,$R$3,FALSE)</f>
        <v>#NAME?</v>
      </c>
      <c r="S177" t="e">
        <f ca="1">[1]!NT_DIST($Q177,S$5,$R$3,FALSE)</f>
        <v>#NAME?</v>
      </c>
      <c r="T177" t="e">
        <f ca="1">[1]!NT_DIST($Q177,T$5,$R$3,FALSE)</f>
        <v>#NAME?</v>
      </c>
      <c r="U177" t="e">
        <f ca="1">[1]!NT_DIST($Q177,U$5,$R$3,FALSE)</f>
        <v>#NAME?</v>
      </c>
    </row>
    <row r="178" spans="1:21">
      <c r="A178">
        <f t="shared" si="4"/>
        <v>6.9999999999999734</v>
      </c>
      <c r="B178" t="e">
        <f ca="1">[1]!NT_DIST($A178,$B$3,B$5,FALSE)</f>
        <v>#NAME?</v>
      </c>
      <c r="C178" t="e">
        <f ca="1">[1]!NT_DIST($A178,$B$3,C$5,FALSE)</f>
        <v>#NAME?</v>
      </c>
      <c r="D178" t="e">
        <f ca="1">[1]!NT_DIST($A178,$B$3,D$5,FALSE)</f>
        <v>#NAME?</v>
      </c>
      <c r="E178" t="e">
        <f ca="1">[1]!NT_DIST($A178,$B$3,E$5,FALSE)</f>
        <v>#NAME?</v>
      </c>
      <c r="Q178">
        <f t="shared" si="5"/>
        <v>10.999999999999973</v>
      </c>
      <c r="R178" t="e">
        <f ca="1">[1]!NT_DIST($Q178,R$5,$R$3,FALSE)</f>
        <v>#NAME?</v>
      </c>
      <c r="S178" t="e">
        <f ca="1">[1]!NT_DIST($Q178,S$5,$R$3,FALSE)</f>
        <v>#NAME?</v>
      </c>
      <c r="T178" t="e">
        <f ca="1">[1]!NT_DIST($Q178,T$5,$R$3,FALSE)</f>
        <v>#NAME?</v>
      </c>
      <c r="U178" t="e">
        <f ca="1">[1]!NT_DIST($Q178,U$5,$R$3,FALSE)</f>
        <v>#NAME?</v>
      </c>
    </row>
    <row r="179" spans="1:21">
      <c r="A179">
        <f t="shared" si="4"/>
        <v>7.099999999999973</v>
      </c>
      <c r="B179" t="e">
        <f ca="1">[1]!NT_DIST($A179,$B$3,B$5,FALSE)</f>
        <v>#NAME?</v>
      </c>
      <c r="C179" t="e">
        <f ca="1">[1]!NT_DIST($A179,$B$3,C$5,FALSE)</f>
        <v>#NAME?</v>
      </c>
      <c r="D179" t="e">
        <f ca="1">[1]!NT_DIST($A179,$B$3,D$5,FALSE)</f>
        <v>#NAME?</v>
      </c>
      <c r="E179" t="e">
        <f ca="1">[1]!NT_DIST($A179,$B$3,E$5,FALSE)</f>
        <v>#NAME?</v>
      </c>
      <c r="Q179">
        <f t="shared" si="5"/>
        <v>11.099999999999973</v>
      </c>
      <c r="R179" t="e">
        <f ca="1">[1]!NT_DIST($Q179,R$5,$R$3,FALSE)</f>
        <v>#NAME?</v>
      </c>
      <c r="S179" t="e">
        <f ca="1">[1]!NT_DIST($Q179,S$5,$R$3,FALSE)</f>
        <v>#NAME?</v>
      </c>
      <c r="T179" t="e">
        <f ca="1">[1]!NT_DIST($Q179,T$5,$R$3,FALSE)</f>
        <v>#NAME?</v>
      </c>
      <c r="U179" t="e">
        <f ca="1">[1]!NT_DIST($Q179,U$5,$R$3,FALSE)</f>
        <v>#NAME?</v>
      </c>
    </row>
    <row r="180" spans="1:21">
      <c r="A180">
        <f t="shared" si="4"/>
        <v>7.1999999999999726</v>
      </c>
      <c r="B180" t="e">
        <f ca="1">[1]!NT_DIST($A180,$B$3,B$5,FALSE)</f>
        <v>#NAME?</v>
      </c>
      <c r="C180" t="e">
        <f ca="1">[1]!NT_DIST($A180,$B$3,C$5,FALSE)</f>
        <v>#NAME?</v>
      </c>
      <c r="D180" t="e">
        <f ca="1">[1]!NT_DIST($A180,$B$3,D$5,FALSE)</f>
        <v>#NAME?</v>
      </c>
      <c r="E180" t="e">
        <f ca="1">[1]!NT_DIST($A180,$B$3,E$5,FALSE)</f>
        <v>#NAME?</v>
      </c>
      <c r="Q180">
        <f t="shared" si="5"/>
        <v>11.199999999999973</v>
      </c>
      <c r="R180" t="e">
        <f ca="1">[1]!NT_DIST($Q180,R$5,$R$3,FALSE)</f>
        <v>#NAME?</v>
      </c>
      <c r="S180" t="e">
        <f ca="1">[1]!NT_DIST($Q180,S$5,$R$3,FALSE)</f>
        <v>#NAME?</v>
      </c>
      <c r="T180" t="e">
        <f ca="1">[1]!NT_DIST($Q180,T$5,$R$3,FALSE)</f>
        <v>#NAME?</v>
      </c>
      <c r="U180" t="e">
        <f ca="1">[1]!NT_DIST($Q180,U$5,$R$3,FALSE)</f>
        <v>#NAME?</v>
      </c>
    </row>
    <row r="181" spans="1:21">
      <c r="A181">
        <f t="shared" si="4"/>
        <v>7.2999999999999723</v>
      </c>
      <c r="B181" t="e">
        <f ca="1">[1]!NT_DIST($A181,$B$3,B$5,FALSE)</f>
        <v>#NAME?</v>
      </c>
      <c r="C181" t="e">
        <f ca="1">[1]!NT_DIST($A181,$B$3,C$5,FALSE)</f>
        <v>#NAME?</v>
      </c>
      <c r="D181" t="e">
        <f ca="1">[1]!NT_DIST($A181,$B$3,D$5,FALSE)</f>
        <v>#NAME?</v>
      </c>
      <c r="E181" t="e">
        <f ca="1">[1]!NT_DIST($A181,$B$3,E$5,FALSE)</f>
        <v>#NAME?</v>
      </c>
      <c r="Q181">
        <f t="shared" si="5"/>
        <v>11.299999999999972</v>
      </c>
      <c r="R181" t="e">
        <f ca="1">[1]!NT_DIST($Q181,R$5,$R$3,FALSE)</f>
        <v>#NAME?</v>
      </c>
      <c r="S181" t="e">
        <f ca="1">[1]!NT_DIST($Q181,S$5,$R$3,FALSE)</f>
        <v>#NAME?</v>
      </c>
      <c r="T181" t="e">
        <f ca="1">[1]!NT_DIST($Q181,T$5,$R$3,FALSE)</f>
        <v>#NAME?</v>
      </c>
      <c r="U181" t="e">
        <f ca="1">[1]!NT_DIST($Q181,U$5,$R$3,FALSE)</f>
        <v>#NAME?</v>
      </c>
    </row>
    <row r="182" spans="1:21">
      <c r="A182">
        <f t="shared" si="4"/>
        <v>7.3999999999999719</v>
      </c>
      <c r="B182" t="e">
        <f ca="1">[1]!NT_DIST($A182,$B$3,B$5,FALSE)</f>
        <v>#NAME?</v>
      </c>
      <c r="C182" t="e">
        <f ca="1">[1]!NT_DIST($A182,$B$3,C$5,FALSE)</f>
        <v>#NAME?</v>
      </c>
      <c r="D182" t="e">
        <f ca="1">[1]!NT_DIST($A182,$B$3,D$5,FALSE)</f>
        <v>#NAME?</v>
      </c>
      <c r="E182" t="e">
        <f ca="1">[1]!NT_DIST($A182,$B$3,E$5,FALSE)</f>
        <v>#NAME?</v>
      </c>
      <c r="Q182">
        <f t="shared" si="5"/>
        <v>11.399999999999972</v>
      </c>
      <c r="R182" t="e">
        <f ca="1">[1]!NT_DIST($Q182,R$5,$R$3,FALSE)</f>
        <v>#NAME?</v>
      </c>
      <c r="S182" t="e">
        <f ca="1">[1]!NT_DIST($Q182,S$5,$R$3,FALSE)</f>
        <v>#NAME?</v>
      </c>
      <c r="T182" t="e">
        <f ca="1">[1]!NT_DIST($Q182,T$5,$R$3,FALSE)</f>
        <v>#NAME?</v>
      </c>
      <c r="U182" t="e">
        <f ca="1">[1]!NT_DIST($Q182,U$5,$R$3,FALSE)</f>
        <v>#NAME?</v>
      </c>
    </row>
    <row r="183" spans="1:21">
      <c r="A183">
        <f t="shared" si="4"/>
        <v>7.4999999999999716</v>
      </c>
      <c r="B183" t="e">
        <f ca="1">[1]!NT_DIST($A183,$B$3,B$5,FALSE)</f>
        <v>#NAME?</v>
      </c>
      <c r="C183" t="e">
        <f ca="1">[1]!NT_DIST($A183,$B$3,C$5,FALSE)</f>
        <v>#NAME?</v>
      </c>
      <c r="D183" t="e">
        <f ca="1">[1]!NT_DIST($A183,$B$3,D$5,FALSE)</f>
        <v>#NAME?</v>
      </c>
      <c r="E183" t="e">
        <f ca="1">[1]!NT_DIST($A183,$B$3,E$5,FALSE)</f>
        <v>#NAME?</v>
      </c>
      <c r="Q183">
        <f t="shared" si="5"/>
        <v>11.499999999999972</v>
      </c>
      <c r="R183" t="e">
        <f ca="1">[1]!NT_DIST($Q183,R$5,$R$3,FALSE)</f>
        <v>#NAME?</v>
      </c>
      <c r="S183" t="e">
        <f ca="1">[1]!NT_DIST($Q183,S$5,$R$3,FALSE)</f>
        <v>#NAME?</v>
      </c>
      <c r="T183" t="e">
        <f ca="1">[1]!NT_DIST($Q183,T$5,$R$3,FALSE)</f>
        <v>#NAME?</v>
      </c>
      <c r="U183" t="e">
        <f ca="1">[1]!NT_DIST($Q183,U$5,$R$3,FALSE)</f>
        <v>#NAME?</v>
      </c>
    </row>
    <row r="184" spans="1:21">
      <c r="A184">
        <f t="shared" si="4"/>
        <v>7.5999999999999712</v>
      </c>
      <c r="B184" t="e">
        <f ca="1">[1]!NT_DIST($A184,$B$3,B$5,FALSE)</f>
        <v>#NAME?</v>
      </c>
      <c r="C184" t="e">
        <f ca="1">[1]!NT_DIST($A184,$B$3,C$5,FALSE)</f>
        <v>#NAME?</v>
      </c>
      <c r="D184" t="e">
        <f ca="1">[1]!NT_DIST($A184,$B$3,D$5,FALSE)</f>
        <v>#NAME?</v>
      </c>
      <c r="E184" t="e">
        <f ca="1">[1]!NT_DIST($A184,$B$3,E$5,FALSE)</f>
        <v>#NAME?</v>
      </c>
      <c r="Q184">
        <f t="shared" si="5"/>
        <v>11.599999999999971</v>
      </c>
      <c r="R184" t="e">
        <f ca="1">[1]!NT_DIST($Q184,R$5,$R$3,FALSE)</f>
        <v>#NAME?</v>
      </c>
      <c r="S184" t="e">
        <f ca="1">[1]!NT_DIST($Q184,S$5,$R$3,FALSE)</f>
        <v>#NAME?</v>
      </c>
      <c r="T184" t="e">
        <f ca="1">[1]!NT_DIST($Q184,T$5,$R$3,FALSE)</f>
        <v>#NAME?</v>
      </c>
      <c r="U184" t="e">
        <f ca="1">[1]!NT_DIST($Q184,U$5,$R$3,FALSE)</f>
        <v>#NAME?</v>
      </c>
    </row>
    <row r="185" spans="1:21">
      <c r="A185">
        <f t="shared" si="4"/>
        <v>7.6999999999999709</v>
      </c>
      <c r="B185" t="e">
        <f ca="1">[1]!NT_DIST($A185,$B$3,B$5,FALSE)</f>
        <v>#NAME?</v>
      </c>
      <c r="C185" t="e">
        <f ca="1">[1]!NT_DIST($A185,$B$3,C$5,FALSE)</f>
        <v>#NAME?</v>
      </c>
      <c r="D185" t="e">
        <f ca="1">[1]!NT_DIST($A185,$B$3,D$5,FALSE)</f>
        <v>#NAME?</v>
      </c>
      <c r="E185" t="e">
        <f ca="1">[1]!NT_DIST($A185,$B$3,E$5,FALSE)</f>
        <v>#NAME?</v>
      </c>
      <c r="Q185">
        <f t="shared" si="5"/>
        <v>11.699999999999971</v>
      </c>
      <c r="R185" t="e">
        <f ca="1">[1]!NT_DIST($Q185,R$5,$R$3,FALSE)</f>
        <v>#NAME?</v>
      </c>
      <c r="S185" t="e">
        <f ca="1">[1]!NT_DIST($Q185,S$5,$R$3,FALSE)</f>
        <v>#NAME?</v>
      </c>
      <c r="T185" t="e">
        <f ca="1">[1]!NT_DIST($Q185,T$5,$R$3,FALSE)</f>
        <v>#NAME?</v>
      </c>
      <c r="U185" t="e">
        <f ca="1">[1]!NT_DIST($Q185,U$5,$R$3,FALSE)</f>
        <v>#NAME?</v>
      </c>
    </row>
    <row r="186" spans="1:21">
      <c r="A186">
        <f t="shared" si="4"/>
        <v>7.7999999999999705</v>
      </c>
      <c r="B186" t="e">
        <f ca="1">[1]!NT_DIST($A186,$B$3,B$5,FALSE)</f>
        <v>#NAME?</v>
      </c>
      <c r="C186" t="e">
        <f ca="1">[1]!NT_DIST($A186,$B$3,C$5,FALSE)</f>
        <v>#NAME?</v>
      </c>
      <c r="D186" t="e">
        <f ca="1">[1]!NT_DIST($A186,$B$3,D$5,FALSE)</f>
        <v>#NAME?</v>
      </c>
      <c r="E186" t="e">
        <f ca="1">[1]!NT_DIST($A186,$B$3,E$5,FALSE)</f>
        <v>#NAME?</v>
      </c>
      <c r="Q186">
        <f t="shared" si="5"/>
        <v>11.799999999999971</v>
      </c>
      <c r="R186" t="e">
        <f ca="1">[1]!NT_DIST($Q186,R$5,$R$3,FALSE)</f>
        <v>#NAME?</v>
      </c>
      <c r="S186" t="e">
        <f ca="1">[1]!NT_DIST($Q186,S$5,$R$3,FALSE)</f>
        <v>#NAME?</v>
      </c>
      <c r="T186" t="e">
        <f ca="1">[1]!NT_DIST($Q186,T$5,$R$3,FALSE)</f>
        <v>#NAME?</v>
      </c>
      <c r="U186" t="e">
        <f ca="1">[1]!NT_DIST($Q186,U$5,$R$3,FALSE)</f>
        <v>#NAME?</v>
      </c>
    </row>
    <row r="187" spans="1:21">
      <c r="A187">
        <f t="shared" si="4"/>
        <v>7.8999999999999702</v>
      </c>
      <c r="B187" t="e">
        <f ca="1">[1]!NT_DIST($A187,$B$3,B$5,FALSE)</f>
        <v>#NAME?</v>
      </c>
      <c r="C187" t="e">
        <f ca="1">[1]!NT_DIST($A187,$B$3,C$5,FALSE)</f>
        <v>#NAME?</v>
      </c>
      <c r="D187" t="e">
        <f ca="1">[1]!NT_DIST($A187,$B$3,D$5,FALSE)</f>
        <v>#NAME?</v>
      </c>
      <c r="E187" t="e">
        <f ca="1">[1]!NT_DIST($A187,$B$3,E$5,FALSE)</f>
        <v>#NAME?</v>
      </c>
      <c r="Q187">
        <f t="shared" si="5"/>
        <v>11.89999999999997</v>
      </c>
      <c r="R187" t="e">
        <f ca="1">[1]!NT_DIST($Q187,R$5,$R$3,FALSE)</f>
        <v>#NAME?</v>
      </c>
      <c r="S187" t="e">
        <f ca="1">[1]!NT_DIST($Q187,S$5,$R$3,FALSE)</f>
        <v>#NAME?</v>
      </c>
      <c r="T187" t="e">
        <f ca="1">[1]!NT_DIST($Q187,T$5,$R$3,FALSE)</f>
        <v>#NAME?</v>
      </c>
      <c r="U187" t="e">
        <f ca="1">[1]!NT_DIST($Q187,U$5,$R$3,FALSE)</f>
        <v>#NAME?</v>
      </c>
    </row>
    <row r="188" spans="1:21">
      <c r="A188">
        <f t="shared" si="4"/>
        <v>7.9999999999999698</v>
      </c>
      <c r="B188" t="e">
        <f ca="1">[1]!NT_DIST($A188,$B$3,B$5,FALSE)</f>
        <v>#NAME?</v>
      </c>
      <c r="C188" t="e">
        <f ca="1">[1]!NT_DIST($A188,$B$3,C$5,FALSE)</f>
        <v>#NAME?</v>
      </c>
      <c r="D188" t="e">
        <f ca="1">[1]!NT_DIST($A188,$B$3,D$5,FALSE)</f>
        <v>#NAME?</v>
      </c>
      <c r="E188" t="e">
        <f ca="1">[1]!NT_DIST($A188,$B$3,E$5,FALSE)</f>
        <v>#NAME?</v>
      </c>
      <c r="Q188">
        <f t="shared" si="5"/>
        <v>11.99999999999997</v>
      </c>
      <c r="R188" t="e">
        <f ca="1">[1]!NT_DIST($Q188,R$5,$R$3,FALSE)</f>
        <v>#NAME?</v>
      </c>
      <c r="S188" t="e">
        <f ca="1">[1]!NT_DIST($Q188,S$5,$R$3,FALSE)</f>
        <v>#NAME?</v>
      </c>
      <c r="T188" t="e">
        <f ca="1">[1]!NT_DIST($Q188,T$5,$R$3,FALSE)</f>
        <v>#NAME?</v>
      </c>
      <c r="U188" t="e">
        <f ca="1">[1]!NT_DIST($Q188,U$5,$R$3,FALSE)</f>
        <v>#NAME?</v>
      </c>
    </row>
    <row r="189" spans="1:21">
      <c r="A189">
        <f t="shared" si="4"/>
        <v>8.0999999999999694</v>
      </c>
      <c r="B189" t="e">
        <f ca="1">[1]!NT_DIST($A189,$B$3,B$5,FALSE)</f>
        <v>#NAME?</v>
      </c>
      <c r="C189" t="e">
        <f ca="1">[1]!NT_DIST($A189,$B$3,C$5,FALSE)</f>
        <v>#NAME?</v>
      </c>
      <c r="D189" t="e">
        <f ca="1">[1]!NT_DIST($A189,$B$3,D$5,FALSE)</f>
        <v>#NAME?</v>
      </c>
      <c r="E189" t="e">
        <f ca="1">[1]!NT_DIST($A189,$B$3,E$5,FALSE)</f>
        <v>#NAME?</v>
      </c>
      <c r="Q189">
        <f t="shared" si="5"/>
        <v>12.099999999999969</v>
      </c>
      <c r="R189" t="e">
        <f ca="1">[1]!NT_DIST($Q189,R$5,$R$3,FALSE)</f>
        <v>#NAME?</v>
      </c>
      <c r="S189" t="e">
        <f ca="1">[1]!NT_DIST($Q189,S$5,$R$3,FALSE)</f>
        <v>#NAME?</v>
      </c>
      <c r="T189" t="e">
        <f ca="1">[1]!NT_DIST($Q189,T$5,$R$3,FALSE)</f>
        <v>#NAME?</v>
      </c>
      <c r="U189" t="e">
        <f ca="1">[1]!NT_DIST($Q189,U$5,$R$3,FALSE)</f>
        <v>#NAME?</v>
      </c>
    </row>
    <row r="190" spans="1:21">
      <c r="A190">
        <f t="shared" si="4"/>
        <v>8.1999999999999691</v>
      </c>
      <c r="B190" t="e">
        <f ca="1">[1]!NT_DIST($A190,$B$3,B$5,FALSE)</f>
        <v>#NAME?</v>
      </c>
      <c r="C190" t="e">
        <f ca="1">[1]!NT_DIST($A190,$B$3,C$5,FALSE)</f>
        <v>#NAME?</v>
      </c>
      <c r="D190" t="e">
        <f ca="1">[1]!NT_DIST($A190,$B$3,D$5,FALSE)</f>
        <v>#NAME?</v>
      </c>
      <c r="E190" t="e">
        <f ca="1">[1]!NT_DIST($A190,$B$3,E$5,FALSE)</f>
        <v>#NAME?</v>
      </c>
      <c r="Q190">
        <f t="shared" si="5"/>
        <v>12.199999999999969</v>
      </c>
      <c r="R190" t="e">
        <f ca="1">[1]!NT_DIST($Q190,R$5,$R$3,FALSE)</f>
        <v>#NAME?</v>
      </c>
      <c r="S190" t="e">
        <f ca="1">[1]!NT_DIST($Q190,S$5,$R$3,FALSE)</f>
        <v>#NAME?</v>
      </c>
      <c r="T190" t="e">
        <f ca="1">[1]!NT_DIST($Q190,T$5,$R$3,FALSE)</f>
        <v>#NAME?</v>
      </c>
      <c r="U190" t="e">
        <f ca="1">[1]!NT_DIST($Q190,U$5,$R$3,FALSE)</f>
        <v>#NAME?</v>
      </c>
    </row>
    <row r="191" spans="1:21">
      <c r="A191">
        <f t="shared" si="4"/>
        <v>8.2999999999999687</v>
      </c>
      <c r="B191" t="e">
        <f ca="1">[1]!NT_DIST($A191,$B$3,B$5,FALSE)</f>
        <v>#NAME?</v>
      </c>
      <c r="C191" t="e">
        <f ca="1">[1]!NT_DIST($A191,$B$3,C$5,FALSE)</f>
        <v>#NAME?</v>
      </c>
      <c r="D191" t="e">
        <f ca="1">[1]!NT_DIST($A191,$B$3,D$5,FALSE)</f>
        <v>#NAME?</v>
      </c>
      <c r="E191" t="e">
        <f ca="1">[1]!NT_DIST($A191,$B$3,E$5,FALSE)</f>
        <v>#NAME?</v>
      </c>
      <c r="Q191">
        <f t="shared" si="5"/>
        <v>12.299999999999969</v>
      </c>
      <c r="R191" t="e">
        <f ca="1">[1]!NT_DIST($Q191,R$5,$R$3,FALSE)</f>
        <v>#NAME?</v>
      </c>
      <c r="S191" t="e">
        <f ca="1">[1]!NT_DIST($Q191,S$5,$R$3,FALSE)</f>
        <v>#NAME?</v>
      </c>
      <c r="T191" t="e">
        <f ca="1">[1]!NT_DIST($Q191,T$5,$R$3,FALSE)</f>
        <v>#NAME?</v>
      </c>
      <c r="U191" t="e">
        <f ca="1">[1]!NT_DIST($Q191,U$5,$R$3,FALSE)</f>
        <v>#NAME?</v>
      </c>
    </row>
    <row r="192" spans="1:21">
      <c r="A192">
        <f t="shared" si="4"/>
        <v>8.3999999999999684</v>
      </c>
      <c r="B192" t="e">
        <f ca="1">[1]!NT_DIST($A192,$B$3,B$5,FALSE)</f>
        <v>#NAME?</v>
      </c>
      <c r="C192" t="e">
        <f ca="1">[1]!NT_DIST($A192,$B$3,C$5,FALSE)</f>
        <v>#NAME?</v>
      </c>
      <c r="D192" t="e">
        <f ca="1">[1]!NT_DIST($A192,$B$3,D$5,FALSE)</f>
        <v>#NAME?</v>
      </c>
      <c r="E192" t="e">
        <f ca="1">[1]!NT_DIST($A192,$B$3,E$5,FALSE)</f>
        <v>#NAME?</v>
      </c>
      <c r="Q192">
        <f t="shared" si="5"/>
        <v>12.399999999999968</v>
      </c>
      <c r="R192" t="e">
        <f ca="1">[1]!NT_DIST($Q192,R$5,$R$3,FALSE)</f>
        <v>#NAME?</v>
      </c>
      <c r="S192" t="e">
        <f ca="1">[1]!NT_DIST($Q192,S$5,$R$3,FALSE)</f>
        <v>#NAME?</v>
      </c>
      <c r="T192" t="e">
        <f ca="1">[1]!NT_DIST($Q192,T$5,$R$3,FALSE)</f>
        <v>#NAME?</v>
      </c>
      <c r="U192" t="e">
        <f ca="1">[1]!NT_DIST($Q192,U$5,$R$3,FALSE)</f>
        <v>#NAME?</v>
      </c>
    </row>
    <row r="193" spans="1:21">
      <c r="A193">
        <f t="shared" si="4"/>
        <v>8.499999999999968</v>
      </c>
      <c r="B193" t="e">
        <f ca="1">[1]!NT_DIST($A193,$B$3,B$5,FALSE)</f>
        <v>#NAME?</v>
      </c>
      <c r="C193" t="e">
        <f ca="1">[1]!NT_DIST($A193,$B$3,C$5,FALSE)</f>
        <v>#NAME?</v>
      </c>
      <c r="D193" t="e">
        <f ca="1">[1]!NT_DIST($A193,$B$3,D$5,FALSE)</f>
        <v>#NAME?</v>
      </c>
      <c r="E193" t="e">
        <f ca="1">[1]!NT_DIST($A193,$B$3,E$5,FALSE)</f>
        <v>#NAME?</v>
      </c>
      <c r="Q193">
        <f t="shared" si="5"/>
        <v>12.499999999999968</v>
      </c>
      <c r="R193" t="e">
        <f ca="1">[1]!NT_DIST($Q193,R$5,$R$3,FALSE)</f>
        <v>#NAME?</v>
      </c>
      <c r="S193" t="e">
        <f ca="1">[1]!NT_DIST($Q193,S$5,$R$3,FALSE)</f>
        <v>#NAME?</v>
      </c>
      <c r="T193" t="e">
        <f ca="1">[1]!NT_DIST($Q193,T$5,$R$3,FALSE)</f>
        <v>#NAME?</v>
      </c>
      <c r="U193" t="e">
        <f ca="1">[1]!NT_DIST($Q193,U$5,$R$3,FALSE)</f>
        <v>#NAME?</v>
      </c>
    </row>
    <row r="194" spans="1:21">
      <c r="A194">
        <f t="shared" si="4"/>
        <v>8.5999999999999677</v>
      </c>
      <c r="B194" t="e">
        <f ca="1">[1]!NT_DIST($A194,$B$3,B$5,FALSE)</f>
        <v>#NAME?</v>
      </c>
      <c r="C194" t="e">
        <f ca="1">[1]!NT_DIST($A194,$B$3,C$5,FALSE)</f>
        <v>#NAME?</v>
      </c>
      <c r="D194" t="e">
        <f ca="1">[1]!NT_DIST($A194,$B$3,D$5,FALSE)</f>
        <v>#NAME?</v>
      </c>
      <c r="E194" t="e">
        <f ca="1">[1]!NT_DIST($A194,$B$3,E$5,FALSE)</f>
        <v>#NAME?</v>
      </c>
      <c r="Q194">
        <f t="shared" si="5"/>
        <v>12.599999999999968</v>
      </c>
      <c r="R194" t="e">
        <f ca="1">[1]!NT_DIST($Q194,R$5,$R$3,FALSE)</f>
        <v>#NAME?</v>
      </c>
      <c r="S194" t="e">
        <f ca="1">[1]!NT_DIST($Q194,S$5,$R$3,FALSE)</f>
        <v>#NAME?</v>
      </c>
      <c r="T194" t="e">
        <f ca="1">[1]!NT_DIST($Q194,T$5,$R$3,FALSE)</f>
        <v>#NAME?</v>
      </c>
      <c r="U194" t="e">
        <f ca="1">[1]!NT_DIST($Q194,U$5,$R$3,FALSE)</f>
        <v>#NAME?</v>
      </c>
    </row>
    <row r="195" spans="1:21">
      <c r="A195">
        <f t="shared" si="4"/>
        <v>8.6999999999999673</v>
      </c>
      <c r="B195" t="e">
        <f ca="1">[1]!NT_DIST($A195,$B$3,B$5,FALSE)</f>
        <v>#NAME?</v>
      </c>
      <c r="C195" t="e">
        <f ca="1">[1]!NT_DIST($A195,$B$3,C$5,FALSE)</f>
        <v>#NAME?</v>
      </c>
      <c r="D195" t="e">
        <f ca="1">[1]!NT_DIST($A195,$B$3,D$5,FALSE)</f>
        <v>#NAME?</v>
      </c>
      <c r="E195" t="e">
        <f ca="1">[1]!NT_DIST($A195,$B$3,E$5,FALSE)</f>
        <v>#NAME?</v>
      </c>
      <c r="Q195">
        <f t="shared" si="5"/>
        <v>12.699999999999967</v>
      </c>
      <c r="R195" t="e">
        <f ca="1">[1]!NT_DIST($Q195,R$5,$R$3,FALSE)</f>
        <v>#NAME?</v>
      </c>
      <c r="S195" t="e">
        <f ca="1">[1]!NT_DIST($Q195,S$5,$R$3,FALSE)</f>
        <v>#NAME?</v>
      </c>
      <c r="T195" t="e">
        <f ca="1">[1]!NT_DIST($Q195,T$5,$R$3,FALSE)</f>
        <v>#NAME?</v>
      </c>
      <c r="U195" t="e">
        <f ca="1">[1]!NT_DIST($Q195,U$5,$R$3,FALSE)</f>
        <v>#NAME?</v>
      </c>
    </row>
    <row r="196" spans="1:21">
      <c r="A196">
        <f t="shared" si="4"/>
        <v>8.799999999999967</v>
      </c>
      <c r="B196" t="e">
        <f ca="1">[1]!NT_DIST($A196,$B$3,B$5,FALSE)</f>
        <v>#NAME?</v>
      </c>
      <c r="C196" t="e">
        <f ca="1">[1]!NT_DIST($A196,$B$3,C$5,FALSE)</f>
        <v>#NAME?</v>
      </c>
      <c r="D196" t="e">
        <f ca="1">[1]!NT_DIST($A196,$B$3,D$5,FALSE)</f>
        <v>#NAME?</v>
      </c>
      <c r="E196" t="e">
        <f ca="1">[1]!NT_DIST($A196,$B$3,E$5,FALSE)</f>
        <v>#NAME?</v>
      </c>
      <c r="Q196">
        <f t="shared" si="5"/>
        <v>12.799999999999967</v>
      </c>
      <c r="R196" t="e">
        <f ca="1">[1]!NT_DIST($Q196,R$5,$R$3,FALSE)</f>
        <v>#NAME?</v>
      </c>
      <c r="S196" t="e">
        <f ca="1">[1]!NT_DIST($Q196,S$5,$R$3,FALSE)</f>
        <v>#NAME?</v>
      </c>
      <c r="T196" t="e">
        <f ca="1">[1]!NT_DIST($Q196,T$5,$R$3,FALSE)</f>
        <v>#NAME?</v>
      </c>
      <c r="U196" t="e">
        <f ca="1">[1]!NT_DIST($Q196,U$5,$R$3,FALSE)</f>
        <v>#NAME?</v>
      </c>
    </row>
    <row r="197" spans="1:21">
      <c r="A197">
        <f t="shared" si="4"/>
        <v>8.8999999999999666</v>
      </c>
      <c r="B197" t="e">
        <f ca="1">[1]!NT_DIST($A197,$B$3,B$5,FALSE)</f>
        <v>#NAME?</v>
      </c>
      <c r="C197" t="e">
        <f ca="1">[1]!NT_DIST($A197,$B$3,C$5,FALSE)</f>
        <v>#NAME?</v>
      </c>
      <c r="D197" t="e">
        <f ca="1">[1]!NT_DIST($A197,$B$3,D$5,FALSE)</f>
        <v>#NAME?</v>
      </c>
      <c r="E197" t="e">
        <f ca="1">[1]!NT_DIST($A197,$B$3,E$5,FALSE)</f>
        <v>#NAME?</v>
      </c>
      <c r="Q197">
        <f t="shared" si="5"/>
        <v>12.899999999999967</v>
      </c>
      <c r="R197" t="e">
        <f ca="1">[1]!NT_DIST($Q197,R$5,$R$3,FALSE)</f>
        <v>#NAME?</v>
      </c>
      <c r="S197" t="e">
        <f ca="1">[1]!NT_DIST($Q197,S$5,$R$3,FALSE)</f>
        <v>#NAME?</v>
      </c>
      <c r="T197" t="e">
        <f ca="1">[1]!NT_DIST($Q197,T$5,$R$3,FALSE)</f>
        <v>#NAME?</v>
      </c>
      <c r="U197" t="e">
        <f ca="1">[1]!NT_DIST($Q197,U$5,$R$3,FALSE)</f>
        <v>#NAME?</v>
      </c>
    </row>
    <row r="198" spans="1:21">
      <c r="A198">
        <f t="shared" si="4"/>
        <v>8.9999999999999662</v>
      </c>
      <c r="B198" t="e">
        <f ca="1">[1]!NT_DIST($A198,$B$3,B$5,FALSE)</f>
        <v>#NAME?</v>
      </c>
      <c r="C198" t="e">
        <f ca="1">[1]!NT_DIST($A198,$B$3,C$5,FALSE)</f>
        <v>#NAME?</v>
      </c>
      <c r="D198" t="e">
        <f ca="1">[1]!NT_DIST($A198,$B$3,D$5,FALSE)</f>
        <v>#NAME?</v>
      </c>
      <c r="E198" t="e">
        <f ca="1">[1]!NT_DIST($A198,$B$3,E$5,FALSE)</f>
        <v>#NAME?</v>
      </c>
      <c r="Q198">
        <f t="shared" si="5"/>
        <v>12.999999999999966</v>
      </c>
      <c r="R198" t="e">
        <f ca="1">[1]!NT_DIST($Q198,R$5,$R$3,FALSE)</f>
        <v>#NAME?</v>
      </c>
      <c r="S198" t="e">
        <f ca="1">[1]!NT_DIST($Q198,S$5,$R$3,FALSE)</f>
        <v>#NAME?</v>
      </c>
      <c r="T198" t="e">
        <f ca="1">[1]!NT_DIST($Q198,T$5,$R$3,FALSE)</f>
        <v>#NAME?</v>
      </c>
      <c r="U198" t="e">
        <f ca="1">[1]!NT_DIST($Q198,U$5,$R$3,FALSE)</f>
        <v>#NAME?</v>
      </c>
    </row>
    <row r="199" spans="1:21">
      <c r="A199">
        <f t="shared" si="4"/>
        <v>9.0999999999999659</v>
      </c>
      <c r="B199" t="e">
        <f ca="1">[1]!NT_DIST($A199,$B$3,B$5,FALSE)</f>
        <v>#NAME?</v>
      </c>
      <c r="C199" t="e">
        <f ca="1">[1]!NT_DIST($A199,$B$3,C$5,FALSE)</f>
        <v>#NAME?</v>
      </c>
      <c r="D199" t="e">
        <f ca="1">[1]!NT_DIST($A199,$B$3,D$5,FALSE)</f>
        <v>#NAME?</v>
      </c>
      <c r="E199" t="e">
        <f ca="1">[1]!NT_DIST($A199,$B$3,E$5,FALSE)</f>
        <v>#NAME?</v>
      </c>
      <c r="Q199">
        <f t="shared" si="5"/>
        <v>13.099999999999966</v>
      </c>
      <c r="R199" t="e">
        <f ca="1">[1]!NT_DIST($Q199,R$5,$R$3,FALSE)</f>
        <v>#NAME?</v>
      </c>
      <c r="S199" t="e">
        <f ca="1">[1]!NT_DIST($Q199,S$5,$R$3,FALSE)</f>
        <v>#NAME?</v>
      </c>
      <c r="T199" t="e">
        <f ca="1">[1]!NT_DIST($Q199,T$5,$R$3,FALSE)</f>
        <v>#NAME?</v>
      </c>
      <c r="U199" t="e">
        <f ca="1">[1]!NT_DIST($Q199,U$5,$R$3,FALSE)</f>
        <v>#NAME?</v>
      </c>
    </row>
    <row r="200" spans="1:21">
      <c r="A200">
        <f t="shared" si="4"/>
        <v>9.1999999999999655</v>
      </c>
      <c r="B200" t="e">
        <f ca="1">[1]!NT_DIST($A200,$B$3,B$5,FALSE)</f>
        <v>#NAME?</v>
      </c>
      <c r="C200" t="e">
        <f ca="1">[1]!NT_DIST($A200,$B$3,C$5,FALSE)</f>
        <v>#NAME?</v>
      </c>
      <c r="D200" t="e">
        <f ca="1">[1]!NT_DIST($A200,$B$3,D$5,FALSE)</f>
        <v>#NAME?</v>
      </c>
      <c r="E200" t="e">
        <f ca="1">[1]!NT_DIST($A200,$B$3,E$5,FALSE)</f>
        <v>#NAME?</v>
      </c>
      <c r="Q200">
        <f t="shared" si="5"/>
        <v>13.199999999999966</v>
      </c>
      <c r="R200" t="e">
        <f ca="1">[1]!NT_DIST($Q200,R$5,$R$3,FALSE)</f>
        <v>#NAME?</v>
      </c>
      <c r="S200" t="e">
        <f ca="1">[1]!NT_DIST($Q200,S$5,$R$3,FALSE)</f>
        <v>#NAME?</v>
      </c>
      <c r="T200" t="e">
        <f ca="1">[1]!NT_DIST($Q200,T$5,$R$3,FALSE)</f>
        <v>#NAME?</v>
      </c>
      <c r="U200" t="e">
        <f ca="1">[1]!NT_DIST($Q200,U$5,$R$3,FALSE)</f>
        <v>#NAME?</v>
      </c>
    </row>
    <row r="201" spans="1:21">
      <c r="A201">
        <f t="shared" si="4"/>
        <v>9.2999999999999652</v>
      </c>
      <c r="B201" t="e">
        <f ca="1">[1]!NT_DIST($A201,$B$3,B$5,FALSE)</f>
        <v>#NAME?</v>
      </c>
      <c r="C201" t="e">
        <f ca="1">[1]!NT_DIST($A201,$B$3,C$5,FALSE)</f>
        <v>#NAME?</v>
      </c>
      <c r="D201" t="e">
        <f ca="1">[1]!NT_DIST($A201,$B$3,D$5,FALSE)</f>
        <v>#NAME?</v>
      </c>
      <c r="E201" t="e">
        <f ca="1">[1]!NT_DIST($A201,$B$3,E$5,FALSE)</f>
        <v>#NAME?</v>
      </c>
      <c r="Q201">
        <f t="shared" si="5"/>
        <v>13.299999999999965</v>
      </c>
      <c r="R201" t="e">
        <f ca="1">[1]!NT_DIST($Q201,R$5,$R$3,FALSE)</f>
        <v>#NAME?</v>
      </c>
      <c r="S201" t="e">
        <f ca="1">[1]!NT_DIST($Q201,S$5,$R$3,FALSE)</f>
        <v>#NAME?</v>
      </c>
      <c r="T201" t="e">
        <f ca="1">[1]!NT_DIST($Q201,T$5,$R$3,FALSE)</f>
        <v>#NAME?</v>
      </c>
      <c r="U201" t="e">
        <f ca="1">[1]!NT_DIST($Q201,U$5,$R$3,FALSE)</f>
        <v>#NAME?</v>
      </c>
    </row>
    <row r="202" spans="1:21">
      <c r="A202">
        <f t="shared" ref="A202:A209" si="6">A201+0.1</f>
        <v>9.3999999999999648</v>
      </c>
      <c r="B202" t="e">
        <f ca="1">[1]!NT_DIST($A202,$B$3,B$5,FALSE)</f>
        <v>#NAME?</v>
      </c>
      <c r="C202" t="e">
        <f ca="1">[1]!NT_DIST($A202,$B$3,C$5,FALSE)</f>
        <v>#NAME?</v>
      </c>
      <c r="D202" t="e">
        <f ca="1">[1]!NT_DIST($A202,$B$3,D$5,FALSE)</f>
        <v>#NAME?</v>
      </c>
      <c r="E202" t="e">
        <f ca="1">[1]!NT_DIST($A202,$B$3,E$5,FALSE)</f>
        <v>#NAME?</v>
      </c>
      <c r="Q202">
        <f t="shared" ref="Q202:Q209" si="7">Q201+0.1</f>
        <v>13.399999999999965</v>
      </c>
      <c r="R202" t="e">
        <f ca="1">[1]!NT_DIST($Q202,R$5,$R$3,FALSE)</f>
        <v>#NAME?</v>
      </c>
      <c r="S202" t="e">
        <f ca="1">[1]!NT_DIST($Q202,S$5,$R$3,FALSE)</f>
        <v>#NAME?</v>
      </c>
      <c r="T202" t="e">
        <f ca="1">[1]!NT_DIST($Q202,T$5,$R$3,FALSE)</f>
        <v>#NAME?</v>
      </c>
      <c r="U202" t="e">
        <f ca="1">[1]!NT_DIST($Q202,U$5,$R$3,FALSE)</f>
        <v>#NAME?</v>
      </c>
    </row>
    <row r="203" spans="1:21">
      <c r="A203">
        <f t="shared" si="6"/>
        <v>9.4999999999999645</v>
      </c>
      <c r="B203" t="e">
        <f ca="1">[1]!NT_DIST($A203,$B$3,B$5,FALSE)</f>
        <v>#NAME?</v>
      </c>
      <c r="C203" t="e">
        <f ca="1">[1]!NT_DIST($A203,$B$3,C$5,FALSE)</f>
        <v>#NAME?</v>
      </c>
      <c r="D203" t="e">
        <f ca="1">[1]!NT_DIST($A203,$B$3,D$5,FALSE)</f>
        <v>#NAME?</v>
      </c>
      <c r="E203" t="e">
        <f ca="1">[1]!NT_DIST($A203,$B$3,E$5,FALSE)</f>
        <v>#NAME?</v>
      </c>
      <c r="Q203">
        <f t="shared" si="7"/>
        <v>13.499999999999964</v>
      </c>
      <c r="R203" t="e">
        <f ca="1">[1]!NT_DIST($Q203,R$5,$R$3,FALSE)</f>
        <v>#NAME?</v>
      </c>
      <c r="S203" t="e">
        <f ca="1">[1]!NT_DIST($Q203,S$5,$R$3,FALSE)</f>
        <v>#NAME?</v>
      </c>
      <c r="T203" t="e">
        <f ca="1">[1]!NT_DIST($Q203,T$5,$R$3,FALSE)</f>
        <v>#NAME?</v>
      </c>
      <c r="U203" t="e">
        <f ca="1">[1]!NT_DIST($Q203,U$5,$R$3,FALSE)</f>
        <v>#NAME?</v>
      </c>
    </row>
    <row r="204" spans="1:21">
      <c r="A204">
        <f t="shared" si="6"/>
        <v>9.5999999999999641</v>
      </c>
      <c r="B204" t="e">
        <f ca="1">[1]!NT_DIST($A204,$B$3,B$5,FALSE)</f>
        <v>#NAME?</v>
      </c>
      <c r="C204" t="e">
        <f ca="1">[1]!NT_DIST($A204,$B$3,C$5,FALSE)</f>
        <v>#NAME?</v>
      </c>
      <c r="D204" t="e">
        <f ca="1">[1]!NT_DIST($A204,$B$3,D$5,FALSE)</f>
        <v>#NAME?</v>
      </c>
      <c r="E204" t="e">
        <f ca="1">[1]!NT_DIST($A204,$B$3,E$5,FALSE)</f>
        <v>#NAME?</v>
      </c>
      <c r="Q204">
        <f t="shared" si="7"/>
        <v>13.599999999999964</v>
      </c>
      <c r="R204" t="e">
        <f ca="1">[1]!NT_DIST($Q204,R$5,$R$3,FALSE)</f>
        <v>#NAME?</v>
      </c>
      <c r="S204" t="e">
        <f ca="1">[1]!NT_DIST($Q204,S$5,$R$3,FALSE)</f>
        <v>#NAME?</v>
      </c>
      <c r="T204" t="e">
        <f ca="1">[1]!NT_DIST($Q204,T$5,$R$3,FALSE)</f>
        <v>#NAME?</v>
      </c>
      <c r="U204" t="e">
        <f ca="1">[1]!NT_DIST($Q204,U$5,$R$3,FALSE)</f>
        <v>#NAME?</v>
      </c>
    </row>
    <row r="205" spans="1:21">
      <c r="A205">
        <f t="shared" si="6"/>
        <v>9.6999999999999638</v>
      </c>
      <c r="B205" t="e">
        <f ca="1">[1]!NT_DIST($A205,$B$3,B$5,FALSE)</f>
        <v>#NAME?</v>
      </c>
      <c r="C205" t="e">
        <f ca="1">[1]!NT_DIST($A205,$B$3,C$5,FALSE)</f>
        <v>#NAME?</v>
      </c>
      <c r="D205" t="e">
        <f ca="1">[1]!NT_DIST($A205,$B$3,D$5,FALSE)</f>
        <v>#NAME?</v>
      </c>
      <c r="E205" t="e">
        <f ca="1">[1]!NT_DIST($A205,$B$3,E$5,FALSE)</f>
        <v>#NAME?</v>
      </c>
      <c r="Q205">
        <f t="shared" si="7"/>
        <v>13.699999999999964</v>
      </c>
      <c r="R205" t="e">
        <f ca="1">[1]!NT_DIST($Q205,R$5,$R$3,FALSE)</f>
        <v>#NAME?</v>
      </c>
      <c r="S205" t="e">
        <f ca="1">[1]!NT_DIST($Q205,S$5,$R$3,FALSE)</f>
        <v>#NAME?</v>
      </c>
      <c r="T205" t="e">
        <f ca="1">[1]!NT_DIST($Q205,T$5,$R$3,FALSE)</f>
        <v>#NAME?</v>
      </c>
      <c r="U205" t="e">
        <f ca="1">[1]!NT_DIST($Q205,U$5,$R$3,FALSE)</f>
        <v>#NAME?</v>
      </c>
    </row>
    <row r="206" spans="1:21">
      <c r="A206">
        <f t="shared" si="6"/>
        <v>9.7999999999999634</v>
      </c>
      <c r="B206" t="e">
        <f ca="1">[1]!NT_DIST($A206,$B$3,B$5,FALSE)</f>
        <v>#NAME?</v>
      </c>
      <c r="C206" t="e">
        <f ca="1">[1]!NT_DIST($A206,$B$3,C$5,FALSE)</f>
        <v>#NAME?</v>
      </c>
      <c r="D206" t="e">
        <f ca="1">[1]!NT_DIST($A206,$B$3,D$5,FALSE)</f>
        <v>#NAME?</v>
      </c>
      <c r="E206" t="e">
        <f ca="1">[1]!NT_DIST($A206,$B$3,E$5,FALSE)</f>
        <v>#NAME?</v>
      </c>
      <c r="Q206">
        <f t="shared" si="7"/>
        <v>13.799999999999963</v>
      </c>
      <c r="R206" t="e">
        <f ca="1">[1]!NT_DIST($Q206,R$5,$R$3,FALSE)</f>
        <v>#NAME?</v>
      </c>
      <c r="S206" t="e">
        <f ca="1">[1]!NT_DIST($Q206,S$5,$R$3,FALSE)</f>
        <v>#NAME?</v>
      </c>
      <c r="T206" t="e">
        <f ca="1">[1]!NT_DIST($Q206,T$5,$R$3,FALSE)</f>
        <v>#NAME?</v>
      </c>
      <c r="U206" t="e">
        <f ca="1">[1]!NT_DIST($Q206,U$5,$R$3,FALSE)</f>
        <v>#NAME?</v>
      </c>
    </row>
    <row r="207" spans="1:21">
      <c r="A207">
        <f t="shared" si="6"/>
        <v>9.8999999999999631</v>
      </c>
      <c r="B207" t="e">
        <f ca="1">[1]!NT_DIST($A207,$B$3,B$5,FALSE)</f>
        <v>#NAME?</v>
      </c>
      <c r="C207" t="e">
        <f ca="1">[1]!NT_DIST($A207,$B$3,C$5,FALSE)</f>
        <v>#NAME?</v>
      </c>
      <c r="D207" t="e">
        <f ca="1">[1]!NT_DIST($A207,$B$3,D$5,FALSE)</f>
        <v>#NAME?</v>
      </c>
      <c r="E207" t="e">
        <f ca="1">[1]!NT_DIST($A207,$B$3,E$5,FALSE)</f>
        <v>#NAME?</v>
      </c>
      <c r="Q207">
        <f t="shared" si="7"/>
        <v>13.899999999999963</v>
      </c>
      <c r="R207" t="e">
        <f ca="1">[1]!NT_DIST($Q207,R$5,$R$3,FALSE)</f>
        <v>#NAME?</v>
      </c>
      <c r="S207" t="e">
        <f ca="1">[1]!NT_DIST($Q207,S$5,$R$3,FALSE)</f>
        <v>#NAME?</v>
      </c>
      <c r="T207" t="e">
        <f ca="1">[1]!NT_DIST($Q207,T$5,$R$3,FALSE)</f>
        <v>#NAME?</v>
      </c>
      <c r="U207" t="e">
        <f ca="1">[1]!NT_DIST($Q207,U$5,$R$3,FALSE)</f>
        <v>#NAME?</v>
      </c>
    </row>
    <row r="208" spans="1:21">
      <c r="A208">
        <f t="shared" si="6"/>
        <v>9.9999999999999627</v>
      </c>
      <c r="B208" t="e">
        <f ca="1">[1]!NT_DIST($A208,$B$3,B$5,FALSE)</f>
        <v>#NAME?</v>
      </c>
      <c r="C208" t="e">
        <f ca="1">[1]!NT_DIST($A208,$B$3,C$5,FALSE)</f>
        <v>#NAME?</v>
      </c>
      <c r="D208" t="e">
        <f ca="1">[1]!NT_DIST($A208,$B$3,D$5,FALSE)</f>
        <v>#NAME?</v>
      </c>
      <c r="E208" t="e">
        <f ca="1">[1]!NT_DIST($A208,$B$3,E$5,FALSE)</f>
        <v>#NAME?</v>
      </c>
      <c r="Q208">
        <f t="shared" si="7"/>
        <v>13.999999999999963</v>
      </c>
      <c r="R208" t="e">
        <f ca="1">[1]!NT_DIST($Q208,R$5,$R$3,FALSE)</f>
        <v>#NAME?</v>
      </c>
      <c r="S208" t="e">
        <f ca="1">[1]!NT_DIST($Q208,S$5,$R$3,FALSE)</f>
        <v>#NAME?</v>
      </c>
      <c r="T208" t="e">
        <f ca="1">[1]!NT_DIST($Q208,T$5,$R$3,FALSE)</f>
        <v>#NAME?</v>
      </c>
      <c r="U208" t="e">
        <f ca="1">[1]!NT_DIST($Q208,U$5,$R$3,FALSE)</f>
        <v>#NAME?</v>
      </c>
    </row>
    <row r="209" spans="1:21">
      <c r="A209">
        <f t="shared" si="6"/>
        <v>10.099999999999962</v>
      </c>
      <c r="B209" t="e">
        <f ca="1">[1]!NT_DIST($A209,$B$3,B$5,FALSE)</f>
        <v>#NAME?</v>
      </c>
      <c r="C209" t="e">
        <f ca="1">[1]!NT_DIST($A209,$B$3,C$5,FALSE)</f>
        <v>#NAME?</v>
      </c>
      <c r="D209" t="e">
        <f ca="1">[1]!NT_DIST($A209,$B$3,D$5,FALSE)</f>
        <v>#NAME?</v>
      </c>
      <c r="E209" t="e">
        <f ca="1">[1]!NT_DIST($A209,$B$3,E$5,FALSE)</f>
        <v>#NAME?</v>
      </c>
      <c r="Q209">
        <f t="shared" si="7"/>
        <v>14.099999999999962</v>
      </c>
      <c r="R209" t="e">
        <f ca="1">[1]!NT_DIST($Q209,R$5,$R$3,FALSE)</f>
        <v>#NAME?</v>
      </c>
      <c r="S209" t="e">
        <f ca="1">[1]!NT_DIST($Q209,S$5,$R$3,FALSE)</f>
        <v>#NAME?</v>
      </c>
      <c r="T209" t="e">
        <f ca="1">[1]!NT_DIST($Q209,T$5,$R$3,FALSE)</f>
        <v>#NAME?</v>
      </c>
      <c r="U209" t="e">
        <f ca="1">[1]!NT_DIST($Q209,U$5,$R$3,FALSE)</f>
        <v>#NAME?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>
  <sheetPr codeName="Sheet147"/>
  <dimension ref="A1:E109"/>
  <sheetViews>
    <sheetView workbookViewId="0"/>
  </sheetViews>
  <sheetFormatPr defaultRowHeight="14.4"/>
  <sheetData>
    <row r="1" spans="1:5">
      <c r="A1" s="1" t="s">
        <v>3588</v>
      </c>
    </row>
    <row r="3" spans="1:5">
      <c r="A3" s="912" t="s">
        <v>186</v>
      </c>
      <c r="B3">
        <v>5</v>
      </c>
    </row>
    <row r="4" spans="1:5">
      <c r="A4" s="1"/>
    </row>
    <row r="5" spans="1:5">
      <c r="A5" s="93" t="s">
        <v>1449</v>
      </c>
      <c r="B5">
        <v>0</v>
      </c>
      <c r="C5">
        <v>2</v>
      </c>
      <c r="D5">
        <v>4</v>
      </c>
      <c r="E5">
        <v>6</v>
      </c>
    </row>
    <row r="6" spans="1:5">
      <c r="A6" s="93"/>
    </row>
    <row r="7" spans="1:5">
      <c r="A7" s="19" t="s">
        <v>28</v>
      </c>
      <c r="B7" s="19" t="s">
        <v>3484</v>
      </c>
      <c r="C7" s="19" t="s">
        <v>3485</v>
      </c>
      <c r="D7" s="19" t="s">
        <v>3486</v>
      </c>
      <c r="E7" s="19" t="s">
        <v>3589</v>
      </c>
    </row>
    <row r="8" spans="1:5">
      <c r="A8">
        <v>0</v>
      </c>
      <c r="B8" t="e">
        <f ca="1">[1]!NCHISQ_DIST($A8,$B$3,B$5,FALSE)</f>
        <v>#NAME?</v>
      </c>
      <c r="C8" t="e">
        <f ca="1">[1]!NCHISQ_DIST($A8,$B$3,C$5,FALSE)</f>
        <v>#NAME?</v>
      </c>
      <c r="D8" t="e">
        <f ca="1">[1]!NCHISQ_DIST($A8,$B$3,D$5,FALSE)</f>
        <v>#NAME?</v>
      </c>
      <c r="E8" t="e">
        <f ca="1">[1]!NCHISQ_DIST($A8,$B$3,E$5,FALSE)</f>
        <v>#NAME?</v>
      </c>
    </row>
    <row r="9" spans="1:5">
      <c r="A9">
        <f>A8+0.3</f>
        <v>0.3</v>
      </c>
      <c r="B9" t="e">
        <f ca="1">[1]!NCHISQ_DIST($A9,$B$3,B$5,FALSE)</f>
        <v>#NAME?</v>
      </c>
      <c r="C9" t="e">
        <f ca="1">[1]!NCHISQ_DIST($A9,$B$3,C$5,FALSE)</f>
        <v>#NAME?</v>
      </c>
      <c r="D9" t="e">
        <f ca="1">[1]!NCHISQ_DIST($A9,$B$3,D$5,FALSE)</f>
        <v>#NAME?</v>
      </c>
      <c r="E9" t="e">
        <f ca="1">[1]!NCHISQ_DIST($A9,$B$3,E$5,FALSE)</f>
        <v>#NAME?</v>
      </c>
    </row>
    <row r="10" spans="1:5">
      <c r="A10">
        <f t="shared" ref="A10:A73" si="0">A9+0.3</f>
        <v>0.6</v>
      </c>
      <c r="B10" t="e">
        <f ca="1">[1]!NCHISQ_DIST($A10,$B$3,B$5,FALSE)</f>
        <v>#NAME?</v>
      </c>
      <c r="C10" t="e">
        <f ca="1">[1]!NCHISQ_DIST($A10,$B$3,C$5,FALSE)</f>
        <v>#NAME?</v>
      </c>
      <c r="D10" t="e">
        <f ca="1">[1]!NCHISQ_DIST($A10,$B$3,D$5,FALSE)</f>
        <v>#NAME?</v>
      </c>
      <c r="E10" t="e">
        <f ca="1">[1]!NCHISQ_DIST($A10,$B$3,E$5,FALSE)</f>
        <v>#NAME?</v>
      </c>
    </row>
    <row r="11" spans="1:5">
      <c r="A11">
        <f t="shared" si="0"/>
        <v>0.89999999999999991</v>
      </c>
      <c r="B11" t="e">
        <f ca="1">[1]!NCHISQ_DIST($A11,$B$3,B$5,FALSE)</f>
        <v>#NAME?</v>
      </c>
      <c r="C11" t="e">
        <f ca="1">[1]!NCHISQ_DIST($A11,$B$3,C$5,FALSE)</f>
        <v>#NAME?</v>
      </c>
      <c r="D11" t="e">
        <f ca="1">[1]!NCHISQ_DIST($A11,$B$3,D$5,FALSE)</f>
        <v>#NAME?</v>
      </c>
      <c r="E11" t="e">
        <f ca="1">[1]!NCHISQ_DIST($A11,$B$3,E$5,FALSE)</f>
        <v>#NAME?</v>
      </c>
    </row>
    <row r="12" spans="1:5">
      <c r="A12">
        <f t="shared" si="0"/>
        <v>1.2</v>
      </c>
      <c r="B12" t="e">
        <f ca="1">[1]!NCHISQ_DIST($A12,$B$3,B$5,FALSE)</f>
        <v>#NAME?</v>
      </c>
      <c r="C12" t="e">
        <f ca="1">[1]!NCHISQ_DIST($A12,$B$3,C$5,FALSE)</f>
        <v>#NAME?</v>
      </c>
      <c r="D12" t="e">
        <f ca="1">[1]!NCHISQ_DIST($A12,$B$3,D$5,FALSE)</f>
        <v>#NAME?</v>
      </c>
      <c r="E12" t="e">
        <f ca="1">[1]!NCHISQ_DIST($A12,$B$3,E$5,FALSE)</f>
        <v>#NAME?</v>
      </c>
    </row>
    <row r="13" spans="1:5">
      <c r="A13">
        <f t="shared" si="0"/>
        <v>1.5</v>
      </c>
      <c r="B13" t="e">
        <f ca="1">[1]!NCHISQ_DIST($A13,$B$3,B$5,FALSE)</f>
        <v>#NAME?</v>
      </c>
      <c r="C13" t="e">
        <f ca="1">[1]!NCHISQ_DIST($A13,$B$3,C$5,FALSE)</f>
        <v>#NAME?</v>
      </c>
      <c r="D13" t="e">
        <f ca="1">[1]!NCHISQ_DIST($A13,$B$3,D$5,FALSE)</f>
        <v>#NAME?</v>
      </c>
      <c r="E13" t="e">
        <f ca="1">[1]!NCHISQ_DIST($A13,$B$3,E$5,FALSE)</f>
        <v>#NAME?</v>
      </c>
    </row>
    <row r="14" spans="1:5">
      <c r="A14">
        <f t="shared" si="0"/>
        <v>1.8</v>
      </c>
      <c r="B14" t="e">
        <f ca="1">[1]!NCHISQ_DIST($A14,$B$3,B$5,FALSE)</f>
        <v>#NAME?</v>
      </c>
      <c r="C14" t="e">
        <f ca="1">[1]!NCHISQ_DIST($A14,$B$3,C$5,FALSE)</f>
        <v>#NAME?</v>
      </c>
      <c r="D14" t="e">
        <f ca="1">[1]!NCHISQ_DIST($A14,$B$3,D$5,FALSE)</f>
        <v>#NAME?</v>
      </c>
      <c r="E14" t="e">
        <f ca="1">[1]!NCHISQ_DIST($A14,$B$3,E$5,FALSE)</f>
        <v>#NAME?</v>
      </c>
    </row>
    <row r="15" spans="1:5">
      <c r="A15">
        <f t="shared" si="0"/>
        <v>2.1</v>
      </c>
      <c r="B15" t="e">
        <f ca="1">[1]!NCHISQ_DIST($A15,$B$3,B$5,FALSE)</f>
        <v>#NAME?</v>
      </c>
      <c r="C15" t="e">
        <f ca="1">[1]!NCHISQ_DIST($A15,$B$3,C$5,FALSE)</f>
        <v>#NAME?</v>
      </c>
      <c r="D15" t="e">
        <f ca="1">[1]!NCHISQ_DIST($A15,$B$3,D$5,FALSE)</f>
        <v>#NAME?</v>
      </c>
      <c r="E15" t="e">
        <f ca="1">[1]!NCHISQ_DIST($A15,$B$3,E$5,FALSE)</f>
        <v>#NAME?</v>
      </c>
    </row>
    <row r="16" spans="1:5">
      <c r="A16">
        <f t="shared" si="0"/>
        <v>2.4</v>
      </c>
      <c r="B16" t="e">
        <f ca="1">[1]!NCHISQ_DIST($A16,$B$3,B$5,FALSE)</f>
        <v>#NAME?</v>
      </c>
      <c r="C16" t="e">
        <f ca="1">[1]!NCHISQ_DIST($A16,$B$3,C$5,FALSE)</f>
        <v>#NAME?</v>
      </c>
      <c r="D16" t="e">
        <f ca="1">[1]!NCHISQ_DIST($A16,$B$3,D$5,FALSE)</f>
        <v>#NAME?</v>
      </c>
      <c r="E16" t="e">
        <f ca="1">[1]!NCHISQ_DIST($A16,$B$3,E$5,FALSE)</f>
        <v>#NAME?</v>
      </c>
    </row>
    <row r="17" spans="1:5">
      <c r="A17">
        <f t="shared" si="0"/>
        <v>2.6999999999999997</v>
      </c>
      <c r="B17" t="e">
        <f ca="1">[1]!NCHISQ_DIST($A17,$B$3,B$5,FALSE)</f>
        <v>#NAME?</v>
      </c>
      <c r="C17" t="e">
        <f ca="1">[1]!NCHISQ_DIST($A17,$B$3,C$5,FALSE)</f>
        <v>#NAME?</v>
      </c>
      <c r="D17" t="e">
        <f ca="1">[1]!NCHISQ_DIST($A17,$B$3,D$5,FALSE)</f>
        <v>#NAME?</v>
      </c>
      <c r="E17" t="e">
        <f ca="1">[1]!NCHISQ_DIST($A17,$B$3,E$5,FALSE)</f>
        <v>#NAME?</v>
      </c>
    </row>
    <row r="18" spans="1:5">
      <c r="A18">
        <f t="shared" si="0"/>
        <v>2.9999999999999996</v>
      </c>
      <c r="B18" t="e">
        <f ca="1">[1]!NCHISQ_DIST($A18,$B$3,B$5,FALSE)</f>
        <v>#NAME?</v>
      </c>
      <c r="C18" t="e">
        <f ca="1">[1]!NCHISQ_DIST($A18,$B$3,C$5,FALSE)</f>
        <v>#NAME?</v>
      </c>
      <c r="D18" t="e">
        <f ca="1">[1]!NCHISQ_DIST($A18,$B$3,D$5,FALSE)</f>
        <v>#NAME?</v>
      </c>
      <c r="E18" t="e">
        <f ca="1">[1]!NCHISQ_DIST($A18,$B$3,E$5,FALSE)</f>
        <v>#NAME?</v>
      </c>
    </row>
    <row r="19" spans="1:5">
      <c r="A19">
        <f t="shared" si="0"/>
        <v>3.2999999999999994</v>
      </c>
      <c r="B19" t="e">
        <f ca="1">[1]!NCHISQ_DIST($A19,$B$3,B$5,FALSE)</f>
        <v>#NAME?</v>
      </c>
      <c r="C19" t="e">
        <f ca="1">[1]!NCHISQ_DIST($A19,$B$3,C$5,FALSE)</f>
        <v>#NAME?</v>
      </c>
      <c r="D19" t="e">
        <f ca="1">[1]!NCHISQ_DIST($A19,$B$3,D$5,FALSE)</f>
        <v>#NAME?</v>
      </c>
      <c r="E19" t="e">
        <f ca="1">[1]!NCHISQ_DIST($A19,$B$3,E$5,FALSE)</f>
        <v>#NAME?</v>
      </c>
    </row>
    <row r="20" spans="1:5">
      <c r="A20">
        <f t="shared" si="0"/>
        <v>3.5999999999999992</v>
      </c>
      <c r="B20" t="e">
        <f ca="1">[1]!NCHISQ_DIST($A20,$B$3,B$5,FALSE)</f>
        <v>#NAME?</v>
      </c>
      <c r="C20" t="e">
        <f ca="1">[1]!NCHISQ_DIST($A20,$B$3,C$5,FALSE)</f>
        <v>#NAME?</v>
      </c>
      <c r="D20" t="e">
        <f ca="1">[1]!NCHISQ_DIST($A20,$B$3,D$5,FALSE)</f>
        <v>#NAME?</v>
      </c>
      <c r="E20" t="e">
        <f ca="1">[1]!NCHISQ_DIST($A20,$B$3,E$5,FALSE)</f>
        <v>#NAME?</v>
      </c>
    </row>
    <row r="21" spans="1:5">
      <c r="A21">
        <f t="shared" si="0"/>
        <v>3.899999999999999</v>
      </c>
      <c r="B21" t="e">
        <f ca="1">[1]!NCHISQ_DIST($A21,$B$3,B$5,FALSE)</f>
        <v>#NAME?</v>
      </c>
      <c r="C21" t="e">
        <f ca="1">[1]!NCHISQ_DIST($A21,$B$3,C$5,FALSE)</f>
        <v>#NAME?</v>
      </c>
      <c r="D21" t="e">
        <f ca="1">[1]!NCHISQ_DIST($A21,$B$3,D$5,FALSE)</f>
        <v>#NAME?</v>
      </c>
      <c r="E21" t="e">
        <f ca="1">[1]!NCHISQ_DIST($A21,$B$3,E$5,FALSE)</f>
        <v>#NAME?</v>
      </c>
    </row>
    <row r="22" spans="1:5">
      <c r="A22">
        <f t="shared" si="0"/>
        <v>4.1999999999999993</v>
      </c>
      <c r="B22" t="e">
        <f ca="1">[1]!NCHISQ_DIST($A22,$B$3,B$5,FALSE)</f>
        <v>#NAME?</v>
      </c>
      <c r="C22" t="e">
        <f ca="1">[1]!NCHISQ_DIST($A22,$B$3,C$5,FALSE)</f>
        <v>#NAME?</v>
      </c>
      <c r="D22" t="e">
        <f ca="1">[1]!NCHISQ_DIST($A22,$B$3,D$5,FALSE)</f>
        <v>#NAME?</v>
      </c>
      <c r="E22" t="e">
        <f ca="1">[1]!NCHISQ_DIST($A22,$B$3,E$5,FALSE)</f>
        <v>#NAME?</v>
      </c>
    </row>
    <row r="23" spans="1:5">
      <c r="A23">
        <f t="shared" si="0"/>
        <v>4.4999999999999991</v>
      </c>
      <c r="B23" t="e">
        <f ca="1">[1]!NCHISQ_DIST($A23,$B$3,B$5,FALSE)</f>
        <v>#NAME?</v>
      </c>
      <c r="C23" t="e">
        <f ca="1">[1]!NCHISQ_DIST($A23,$B$3,C$5,FALSE)</f>
        <v>#NAME?</v>
      </c>
      <c r="D23" t="e">
        <f ca="1">[1]!NCHISQ_DIST($A23,$B$3,D$5,FALSE)</f>
        <v>#NAME?</v>
      </c>
      <c r="E23" t="e">
        <f ca="1">[1]!NCHISQ_DIST($A23,$B$3,E$5,FALSE)</f>
        <v>#NAME?</v>
      </c>
    </row>
    <row r="24" spans="1:5">
      <c r="A24">
        <f t="shared" si="0"/>
        <v>4.7999999999999989</v>
      </c>
      <c r="B24" t="e">
        <f ca="1">[1]!NCHISQ_DIST($A24,$B$3,B$5,FALSE)</f>
        <v>#NAME?</v>
      </c>
      <c r="C24" t="e">
        <f ca="1">[1]!NCHISQ_DIST($A24,$B$3,C$5,FALSE)</f>
        <v>#NAME?</v>
      </c>
      <c r="D24" t="e">
        <f ca="1">[1]!NCHISQ_DIST($A24,$B$3,D$5,FALSE)</f>
        <v>#NAME?</v>
      </c>
      <c r="E24" t="e">
        <f ca="1">[1]!NCHISQ_DIST($A24,$B$3,E$5,FALSE)</f>
        <v>#NAME?</v>
      </c>
    </row>
    <row r="25" spans="1:5">
      <c r="A25">
        <f t="shared" si="0"/>
        <v>5.0999999999999988</v>
      </c>
      <c r="B25" t="e">
        <f ca="1">[1]!NCHISQ_DIST($A25,$B$3,B$5,FALSE)</f>
        <v>#NAME?</v>
      </c>
      <c r="C25" t="e">
        <f ca="1">[1]!NCHISQ_DIST($A25,$B$3,C$5,FALSE)</f>
        <v>#NAME?</v>
      </c>
      <c r="D25" t="e">
        <f ca="1">[1]!NCHISQ_DIST($A25,$B$3,D$5,FALSE)</f>
        <v>#NAME?</v>
      </c>
      <c r="E25" t="e">
        <f ca="1">[1]!NCHISQ_DIST($A25,$B$3,E$5,FALSE)</f>
        <v>#NAME?</v>
      </c>
    </row>
    <row r="26" spans="1:5">
      <c r="A26">
        <f t="shared" si="0"/>
        <v>5.3999999999999986</v>
      </c>
      <c r="B26" t="e">
        <f ca="1">[1]!NCHISQ_DIST($A26,$B$3,B$5,FALSE)</f>
        <v>#NAME?</v>
      </c>
      <c r="C26" t="e">
        <f ca="1">[1]!NCHISQ_DIST($A26,$B$3,C$5,FALSE)</f>
        <v>#NAME?</v>
      </c>
      <c r="D26" t="e">
        <f ca="1">[1]!NCHISQ_DIST($A26,$B$3,D$5,FALSE)</f>
        <v>#NAME?</v>
      </c>
      <c r="E26" t="e">
        <f ca="1">[1]!NCHISQ_DIST($A26,$B$3,E$5,FALSE)</f>
        <v>#NAME?</v>
      </c>
    </row>
    <row r="27" spans="1:5">
      <c r="A27">
        <f t="shared" si="0"/>
        <v>5.6999999999999984</v>
      </c>
      <c r="B27" t="e">
        <f ca="1">[1]!NCHISQ_DIST($A27,$B$3,B$5,FALSE)</f>
        <v>#NAME?</v>
      </c>
      <c r="C27" t="e">
        <f ca="1">[1]!NCHISQ_DIST($A27,$B$3,C$5,FALSE)</f>
        <v>#NAME?</v>
      </c>
      <c r="D27" t="e">
        <f ca="1">[1]!NCHISQ_DIST($A27,$B$3,D$5,FALSE)</f>
        <v>#NAME?</v>
      </c>
      <c r="E27" t="e">
        <f ca="1">[1]!NCHISQ_DIST($A27,$B$3,E$5,FALSE)</f>
        <v>#NAME?</v>
      </c>
    </row>
    <row r="28" spans="1:5">
      <c r="A28">
        <f t="shared" si="0"/>
        <v>5.9999999999999982</v>
      </c>
      <c r="B28" t="e">
        <f ca="1">[1]!NCHISQ_DIST($A28,$B$3,B$5,FALSE)</f>
        <v>#NAME?</v>
      </c>
      <c r="C28" t="e">
        <f ca="1">[1]!NCHISQ_DIST($A28,$B$3,C$5,FALSE)</f>
        <v>#NAME?</v>
      </c>
      <c r="D28" t="e">
        <f ca="1">[1]!NCHISQ_DIST($A28,$B$3,D$5,FALSE)</f>
        <v>#NAME?</v>
      </c>
      <c r="E28" t="e">
        <f ca="1">[1]!NCHISQ_DIST($A28,$B$3,E$5,FALSE)</f>
        <v>#NAME?</v>
      </c>
    </row>
    <row r="29" spans="1:5">
      <c r="A29">
        <f t="shared" si="0"/>
        <v>6.299999999999998</v>
      </c>
      <c r="B29" t="e">
        <f ca="1">[1]!NCHISQ_DIST($A29,$B$3,B$5,FALSE)</f>
        <v>#NAME?</v>
      </c>
      <c r="C29" t="e">
        <f ca="1">[1]!NCHISQ_DIST($A29,$B$3,C$5,FALSE)</f>
        <v>#NAME?</v>
      </c>
      <c r="D29" t="e">
        <f ca="1">[1]!NCHISQ_DIST($A29,$B$3,D$5,FALSE)</f>
        <v>#NAME?</v>
      </c>
      <c r="E29" t="e">
        <f ca="1">[1]!NCHISQ_DIST($A29,$B$3,E$5,FALSE)</f>
        <v>#NAME?</v>
      </c>
    </row>
    <row r="30" spans="1:5">
      <c r="A30">
        <f t="shared" si="0"/>
        <v>6.5999999999999979</v>
      </c>
      <c r="B30" t="e">
        <f ca="1">[1]!NCHISQ_DIST($A30,$B$3,B$5,FALSE)</f>
        <v>#NAME?</v>
      </c>
      <c r="C30" t="e">
        <f ca="1">[1]!NCHISQ_DIST($A30,$B$3,C$5,FALSE)</f>
        <v>#NAME?</v>
      </c>
      <c r="D30" t="e">
        <f ca="1">[1]!NCHISQ_DIST($A30,$B$3,D$5,FALSE)</f>
        <v>#NAME?</v>
      </c>
      <c r="E30" t="e">
        <f ca="1">[1]!NCHISQ_DIST($A30,$B$3,E$5,FALSE)</f>
        <v>#NAME?</v>
      </c>
    </row>
    <row r="31" spans="1:5">
      <c r="A31">
        <f t="shared" si="0"/>
        <v>6.8999999999999977</v>
      </c>
      <c r="B31" t="e">
        <f ca="1">[1]!NCHISQ_DIST($A31,$B$3,B$5,FALSE)</f>
        <v>#NAME?</v>
      </c>
      <c r="C31" t="e">
        <f ca="1">[1]!NCHISQ_DIST($A31,$B$3,C$5,FALSE)</f>
        <v>#NAME?</v>
      </c>
      <c r="D31" t="e">
        <f ca="1">[1]!NCHISQ_DIST($A31,$B$3,D$5,FALSE)</f>
        <v>#NAME?</v>
      </c>
      <c r="E31" t="e">
        <f ca="1">[1]!NCHISQ_DIST($A31,$B$3,E$5,FALSE)</f>
        <v>#NAME?</v>
      </c>
    </row>
    <row r="32" spans="1:5">
      <c r="A32">
        <f t="shared" si="0"/>
        <v>7.1999999999999975</v>
      </c>
      <c r="B32" t="e">
        <f ca="1">[1]!NCHISQ_DIST($A32,$B$3,B$5,FALSE)</f>
        <v>#NAME?</v>
      </c>
      <c r="C32" t="e">
        <f ca="1">[1]!NCHISQ_DIST($A32,$B$3,C$5,FALSE)</f>
        <v>#NAME?</v>
      </c>
      <c r="D32" t="e">
        <f ca="1">[1]!NCHISQ_DIST($A32,$B$3,D$5,FALSE)</f>
        <v>#NAME?</v>
      </c>
      <c r="E32" t="e">
        <f ca="1">[1]!NCHISQ_DIST($A32,$B$3,E$5,FALSE)</f>
        <v>#NAME?</v>
      </c>
    </row>
    <row r="33" spans="1:5">
      <c r="A33">
        <f t="shared" si="0"/>
        <v>7.4999999999999973</v>
      </c>
      <c r="B33" t="e">
        <f ca="1">[1]!NCHISQ_DIST($A33,$B$3,B$5,FALSE)</f>
        <v>#NAME?</v>
      </c>
      <c r="C33" t="e">
        <f ca="1">[1]!NCHISQ_DIST($A33,$B$3,C$5,FALSE)</f>
        <v>#NAME?</v>
      </c>
      <c r="D33" t="e">
        <f ca="1">[1]!NCHISQ_DIST($A33,$B$3,D$5,FALSE)</f>
        <v>#NAME?</v>
      </c>
      <c r="E33" t="e">
        <f ca="1">[1]!NCHISQ_DIST($A33,$B$3,E$5,FALSE)</f>
        <v>#NAME?</v>
      </c>
    </row>
    <row r="34" spans="1:5">
      <c r="A34">
        <f t="shared" si="0"/>
        <v>7.7999999999999972</v>
      </c>
      <c r="B34" t="e">
        <f ca="1">[1]!NCHISQ_DIST($A34,$B$3,B$5,FALSE)</f>
        <v>#NAME?</v>
      </c>
      <c r="C34" t="e">
        <f ca="1">[1]!NCHISQ_DIST($A34,$B$3,C$5,FALSE)</f>
        <v>#NAME?</v>
      </c>
      <c r="D34" t="e">
        <f ca="1">[1]!NCHISQ_DIST($A34,$B$3,D$5,FALSE)</f>
        <v>#NAME?</v>
      </c>
      <c r="E34" t="e">
        <f ca="1">[1]!NCHISQ_DIST($A34,$B$3,E$5,FALSE)</f>
        <v>#NAME?</v>
      </c>
    </row>
    <row r="35" spans="1:5">
      <c r="A35">
        <f t="shared" si="0"/>
        <v>8.0999999999999979</v>
      </c>
      <c r="B35" t="e">
        <f ca="1">[1]!NCHISQ_DIST($A35,$B$3,B$5,FALSE)</f>
        <v>#NAME?</v>
      </c>
      <c r="C35" t="e">
        <f ca="1">[1]!NCHISQ_DIST($A35,$B$3,C$5,FALSE)</f>
        <v>#NAME?</v>
      </c>
      <c r="D35" t="e">
        <f ca="1">[1]!NCHISQ_DIST($A35,$B$3,D$5,FALSE)</f>
        <v>#NAME?</v>
      </c>
      <c r="E35" t="e">
        <f ca="1">[1]!NCHISQ_DIST($A35,$B$3,E$5,FALSE)</f>
        <v>#NAME?</v>
      </c>
    </row>
    <row r="36" spans="1:5">
      <c r="A36">
        <f t="shared" si="0"/>
        <v>8.3999999999999986</v>
      </c>
      <c r="B36" t="e">
        <f ca="1">[1]!NCHISQ_DIST($A36,$B$3,B$5,FALSE)</f>
        <v>#NAME?</v>
      </c>
      <c r="C36" t="e">
        <f ca="1">[1]!NCHISQ_DIST($A36,$B$3,C$5,FALSE)</f>
        <v>#NAME?</v>
      </c>
      <c r="D36" t="e">
        <f ca="1">[1]!NCHISQ_DIST($A36,$B$3,D$5,FALSE)</f>
        <v>#NAME?</v>
      </c>
      <c r="E36" t="e">
        <f ca="1">[1]!NCHISQ_DIST($A36,$B$3,E$5,FALSE)</f>
        <v>#NAME?</v>
      </c>
    </row>
    <row r="37" spans="1:5">
      <c r="A37">
        <f t="shared" si="0"/>
        <v>8.6999999999999993</v>
      </c>
      <c r="B37" t="e">
        <f ca="1">[1]!NCHISQ_DIST($A37,$B$3,B$5,FALSE)</f>
        <v>#NAME?</v>
      </c>
      <c r="C37" t="e">
        <f ca="1">[1]!NCHISQ_DIST($A37,$B$3,C$5,FALSE)</f>
        <v>#NAME?</v>
      </c>
      <c r="D37" t="e">
        <f ca="1">[1]!NCHISQ_DIST($A37,$B$3,D$5,FALSE)</f>
        <v>#NAME?</v>
      </c>
      <c r="E37" t="e">
        <f ca="1">[1]!NCHISQ_DIST($A37,$B$3,E$5,FALSE)</f>
        <v>#NAME?</v>
      </c>
    </row>
    <row r="38" spans="1:5">
      <c r="A38">
        <f t="shared" si="0"/>
        <v>9</v>
      </c>
      <c r="B38" t="e">
        <f ca="1">[1]!NCHISQ_DIST($A38,$B$3,B$5,FALSE)</f>
        <v>#NAME?</v>
      </c>
      <c r="C38" t="e">
        <f ca="1">[1]!NCHISQ_DIST($A38,$B$3,C$5,FALSE)</f>
        <v>#NAME?</v>
      </c>
      <c r="D38" t="e">
        <f ca="1">[1]!NCHISQ_DIST($A38,$B$3,D$5,FALSE)</f>
        <v>#NAME?</v>
      </c>
      <c r="E38" t="e">
        <f ca="1">[1]!NCHISQ_DIST($A38,$B$3,E$5,FALSE)</f>
        <v>#NAME?</v>
      </c>
    </row>
    <row r="39" spans="1:5">
      <c r="A39">
        <f t="shared" si="0"/>
        <v>9.3000000000000007</v>
      </c>
      <c r="B39" t="e">
        <f ca="1">[1]!NCHISQ_DIST($A39,$B$3,B$5,FALSE)</f>
        <v>#NAME?</v>
      </c>
      <c r="C39" t="e">
        <f ca="1">[1]!NCHISQ_DIST($A39,$B$3,C$5,FALSE)</f>
        <v>#NAME?</v>
      </c>
      <c r="D39" t="e">
        <f ca="1">[1]!NCHISQ_DIST($A39,$B$3,D$5,FALSE)</f>
        <v>#NAME?</v>
      </c>
      <c r="E39" t="e">
        <f ca="1">[1]!NCHISQ_DIST($A39,$B$3,E$5,FALSE)</f>
        <v>#NAME?</v>
      </c>
    </row>
    <row r="40" spans="1:5">
      <c r="A40">
        <f t="shared" si="0"/>
        <v>9.6000000000000014</v>
      </c>
      <c r="B40" t="e">
        <f ca="1">[1]!NCHISQ_DIST($A40,$B$3,B$5,FALSE)</f>
        <v>#NAME?</v>
      </c>
      <c r="C40" t="e">
        <f ca="1">[1]!NCHISQ_DIST($A40,$B$3,C$5,FALSE)</f>
        <v>#NAME?</v>
      </c>
      <c r="D40" t="e">
        <f ca="1">[1]!NCHISQ_DIST($A40,$B$3,D$5,FALSE)</f>
        <v>#NAME?</v>
      </c>
      <c r="E40" t="e">
        <f ca="1">[1]!NCHISQ_DIST($A40,$B$3,E$5,FALSE)</f>
        <v>#NAME?</v>
      </c>
    </row>
    <row r="41" spans="1:5">
      <c r="A41">
        <f t="shared" si="0"/>
        <v>9.9000000000000021</v>
      </c>
      <c r="B41" t="e">
        <f ca="1">[1]!NCHISQ_DIST($A41,$B$3,B$5,FALSE)</f>
        <v>#NAME?</v>
      </c>
      <c r="C41" t="e">
        <f ca="1">[1]!NCHISQ_DIST($A41,$B$3,C$5,FALSE)</f>
        <v>#NAME?</v>
      </c>
      <c r="D41" t="e">
        <f ca="1">[1]!NCHISQ_DIST($A41,$B$3,D$5,FALSE)</f>
        <v>#NAME?</v>
      </c>
      <c r="E41" t="e">
        <f ca="1">[1]!NCHISQ_DIST($A41,$B$3,E$5,FALSE)</f>
        <v>#NAME?</v>
      </c>
    </row>
    <row r="42" spans="1:5">
      <c r="A42">
        <f t="shared" si="0"/>
        <v>10.200000000000003</v>
      </c>
      <c r="B42" t="e">
        <f ca="1">[1]!NCHISQ_DIST($A42,$B$3,B$5,FALSE)</f>
        <v>#NAME?</v>
      </c>
      <c r="C42" t="e">
        <f ca="1">[1]!NCHISQ_DIST($A42,$B$3,C$5,FALSE)</f>
        <v>#NAME?</v>
      </c>
      <c r="D42" t="e">
        <f ca="1">[1]!NCHISQ_DIST($A42,$B$3,D$5,FALSE)</f>
        <v>#NAME?</v>
      </c>
      <c r="E42" t="e">
        <f ca="1">[1]!NCHISQ_DIST($A42,$B$3,E$5,FALSE)</f>
        <v>#NAME?</v>
      </c>
    </row>
    <row r="43" spans="1:5">
      <c r="A43">
        <f t="shared" si="0"/>
        <v>10.500000000000004</v>
      </c>
      <c r="B43" t="e">
        <f ca="1">[1]!NCHISQ_DIST($A43,$B$3,B$5,FALSE)</f>
        <v>#NAME?</v>
      </c>
      <c r="C43" t="e">
        <f ca="1">[1]!NCHISQ_DIST($A43,$B$3,C$5,FALSE)</f>
        <v>#NAME?</v>
      </c>
      <c r="D43" t="e">
        <f ca="1">[1]!NCHISQ_DIST($A43,$B$3,D$5,FALSE)</f>
        <v>#NAME?</v>
      </c>
      <c r="E43" t="e">
        <f ca="1">[1]!NCHISQ_DIST($A43,$B$3,E$5,FALSE)</f>
        <v>#NAME?</v>
      </c>
    </row>
    <row r="44" spans="1:5">
      <c r="A44">
        <f t="shared" si="0"/>
        <v>10.800000000000004</v>
      </c>
      <c r="B44" t="e">
        <f ca="1">[1]!NCHISQ_DIST($A44,$B$3,B$5,FALSE)</f>
        <v>#NAME?</v>
      </c>
      <c r="C44" t="e">
        <f ca="1">[1]!NCHISQ_DIST($A44,$B$3,C$5,FALSE)</f>
        <v>#NAME?</v>
      </c>
      <c r="D44" t="e">
        <f ca="1">[1]!NCHISQ_DIST($A44,$B$3,D$5,FALSE)</f>
        <v>#NAME?</v>
      </c>
      <c r="E44" t="e">
        <f ca="1">[1]!NCHISQ_DIST($A44,$B$3,E$5,FALSE)</f>
        <v>#NAME?</v>
      </c>
    </row>
    <row r="45" spans="1:5">
      <c r="A45">
        <f t="shared" si="0"/>
        <v>11.100000000000005</v>
      </c>
      <c r="B45" t="e">
        <f ca="1">[1]!NCHISQ_DIST($A45,$B$3,B$5,FALSE)</f>
        <v>#NAME?</v>
      </c>
      <c r="C45" t="e">
        <f ca="1">[1]!NCHISQ_DIST($A45,$B$3,C$5,FALSE)</f>
        <v>#NAME?</v>
      </c>
      <c r="D45" t="e">
        <f ca="1">[1]!NCHISQ_DIST($A45,$B$3,D$5,FALSE)</f>
        <v>#NAME?</v>
      </c>
      <c r="E45" t="e">
        <f ca="1">[1]!NCHISQ_DIST($A45,$B$3,E$5,FALSE)</f>
        <v>#NAME?</v>
      </c>
    </row>
    <row r="46" spans="1:5">
      <c r="A46">
        <f t="shared" si="0"/>
        <v>11.400000000000006</v>
      </c>
      <c r="B46" t="e">
        <f ca="1">[1]!NCHISQ_DIST($A46,$B$3,B$5,FALSE)</f>
        <v>#NAME?</v>
      </c>
      <c r="C46" t="e">
        <f ca="1">[1]!NCHISQ_DIST($A46,$B$3,C$5,FALSE)</f>
        <v>#NAME?</v>
      </c>
      <c r="D46" t="e">
        <f ca="1">[1]!NCHISQ_DIST($A46,$B$3,D$5,FALSE)</f>
        <v>#NAME?</v>
      </c>
      <c r="E46" t="e">
        <f ca="1">[1]!NCHISQ_DIST($A46,$B$3,E$5,FALSE)</f>
        <v>#NAME?</v>
      </c>
    </row>
    <row r="47" spans="1:5">
      <c r="A47">
        <f t="shared" si="0"/>
        <v>11.700000000000006</v>
      </c>
      <c r="B47" t="e">
        <f ca="1">[1]!NCHISQ_DIST($A47,$B$3,B$5,FALSE)</f>
        <v>#NAME?</v>
      </c>
      <c r="C47" t="e">
        <f ca="1">[1]!NCHISQ_DIST($A47,$B$3,C$5,FALSE)</f>
        <v>#NAME?</v>
      </c>
      <c r="D47" t="e">
        <f ca="1">[1]!NCHISQ_DIST($A47,$B$3,D$5,FALSE)</f>
        <v>#NAME?</v>
      </c>
      <c r="E47" t="e">
        <f ca="1">[1]!NCHISQ_DIST($A47,$B$3,E$5,FALSE)</f>
        <v>#NAME?</v>
      </c>
    </row>
    <row r="48" spans="1:5">
      <c r="A48">
        <f t="shared" si="0"/>
        <v>12.000000000000007</v>
      </c>
      <c r="B48" t="e">
        <f ca="1">[1]!NCHISQ_DIST($A48,$B$3,B$5,FALSE)</f>
        <v>#NAME?</v>
      </c>
      <c r="C48" t="e">
        <f ca="1">[1]!NCHISQ_DIST($A48,$B$3,C$5,FALSE)</f>
        <v>#NAME?</v>
      </c>
      <c r="D48" t="e">
        <f ca="1">[1]!NCHISQ_DIST($A48,$B$3,D$5,FALSE)</f>
        <v>#NAME?</v>
      </c>
      <c r="E48" t="e">
        <f ca="1">[1]!NCHISQ_DIST($A48,$B$3,E$5,FALSE)</f>
        <v>#NAME?</v>
      </c>
    </row>
    <row r="49" spans="1:5">
      <c r="A49">
        <f t="shared" si="0"/>
        <v>12.300000000000008</v>
      </c>
      <c r="B49" t="e">
        <f ca="1">[1]!NCHISQ_DIST($A49,$B$3,B$5,FALSE)</f>
        <v>#NAME?</v>
      </c>
      <c r="C49" t="e">
        <f ca="1">[1]!NCHISQ_DIST($A49,$B$3,C$5,FALSE)</f>
        <v>#NAME?</v>
      </c>
      <c r="D49" t="e">
        <f ca="1">[1]!NCHISQ_DIST($A49,$B$3,D$5,FALSE)</f>
        <v>#NAME?</v>
      </c>
      <c r="E49" t="e">
        <f ca="1">[1]!NCHISQ_DIST($A49,$B$3,E$5,FALSE)</f>
        <v>#NAME?</v>
      </c>
    </row>
    <row r="50" spans="1:5">
      <c r="A50">
        <f t="shared" si="0"/>
        <v>12.600000000000009</v>
      </c>
      <c r="B50" t="e">
        <f ca="1">[1]!NCHISQ_DIST($A50,$B$3,B$5,FALSE)</f>
        <v>#NAME?</v>
      </c>
      <c r="C50" t="e">
        <f ca="1">[1]!NCHISQ_DIST($A50,$B$3,C$5,FALSE)</f>
        <v>#NAME?</v>
      </c>
      <c r="D50" t="e">
        <f ca="1">[1]!NCHISQ_DIST($A50,$B$3,D$5,FALSE)</f>
        <v>#NAME?</v>
      </c>
      <c r="E50" t="e">
        <f ca="1">[1]!NCHISQ_DIST($A50,$B$3,E$5,FALSE)</f>
        <v>#NAME?</v>
      </c>
    </row>
    <row r="51" spans="1:5">
      <c r="A51">
        <f t="shared" si="0"/>
        <v>12.900000000000009</v>
      </c>
      <c r="B51" t="e">
        <f ca="1">[1]!NCHISQ_DIST($A51,$B$3,B$5,FALSE)</f>
        <v>#NAME?</v>
      </c>
      <c r="C51" t="e">
        <f ca="1">[1]!NCHISQ_DIST($A51,$B$3,C$5,FALSE)</f>
        <v>#NAME?</v>
      </c>
      <c r="D51" t="e">
        <f ca="1">[1]!NCHISQ_DIST($A51,$B$3,D$5,FALSE)</f>
        <v>#NAME?</v>
      </c>
      <c r="E51" t="e">
        <f ca="1">[1]!NCHISQ_DIST($A51,$B$3,E$5,FALSE)</f>
        <v>#NAME?</v>
      </c>
    </row>
    <row r="52" spans="1:5">
      <c r="A52">
        <f t="shared" si="0"/>
        <v>13.20000000000001</v>
      </c>
      <c r="B52" t="e">
        <f ca="1">[1]!NCHISQ_DIST($A52,$B$3,B$5,FALSE)</f>
        <v>#NAME?</v>
      </c>
      <c r="C52" t="e">
        <f ca="1">[1]!NCHISQ_DIST($A52,$B$3,C$5,FALSE)</f>
        <v>#NAME?</v>
      </c>
      <c r="D52" t="e">
        <f ca="1">[1]!NCHISQ_DIST($A52,$B$3,D$5,FALSE)</f>
        <v>#NAME?</v>
      </c>
      <c r="E52" t="e">
        <f ca="1">[1]!NCHISQ_DIST($A52,$B$3,E$5,FALSE)</f>
        <v>#NAME?</v>
      </c>
    </row>
    <row r="53" spans="1:5">
      <c r="A53">
        <f t="shared" si="0"/>
        <v>13.500000000000011</v>
      </c>
      <c r="B53" t="e">
        <f ca="1">[1]!NCHISQ_DIST($A53,$B$3,B$5,FALSE)</f>
        <v>#NAME?</v>
      </c>
      <c r="C53" t="e">
        <f ca="1">[1]!NCHISQ_DIST($A53,$B$3,C$5,FALSE)</f>
        <v>#NAME?</v>
      </c>
      <c r="D53" t="e">
        <f ca="1">[1]!NCHISQ_DIST($A53,$B$3,D$5,FALSE)</f>
        <v>#NAME?</v>
      </c>
      <c r="E53" t="e">
        <f ca="1">[1]!NCHISQ_DIST($A53,$B$3,E$5,FALSE)</f>
        <v>#NAME?</v>
      </c>
    </row>
    <row r="54" spans="1:5">
      <c r="A54">
        <f t="shared" si="0"/>
        <v>13.800000000000011</v>
      </c>
      <c r="B54" t="e">
        <f ca="1">[1]!NCHISQ_DIST($A54,$B$3,B$5,FALSE)</f>
        <v>#NAME?</v>
      </c>
      <c r="C54" t="e">
        <f ca="1">[1]!NCHISQ_DIST($A54,$B$3,C$5,FALSE)</f>
        <v>#NAME?</v>
      </c>
      <c r="D54" t="e">
        <f ca="1">[1]!NCHISQ_DIST($A54,$B$3,D$5,FALSE)</f>
        <v>#NAME?</v>
      </c>
      <c r="E54" t="e">
        <f ca="1">[1]!NCHISQ_DIST($A54,$B$3,E$5,FALSE)</f>
        <v>#NAME?</v>
      </c>
    </row>
    <row r="55" spans="1:5">
      <c r="A55">
        <f t="shared" si="0"/>
        <v>14.100000000000012</v>
      </c>
      <c r="B55" t="e">
        <f ca="1">[1]!NCHISQ_DIST($A55,$B$3,B$5,FALSE)</f>
        <v>#NAME?</v>
      </c>
      <c r="C55" t="e">
        <f ca="1">[1]!NCHISQ_DIST($A55,$B$3,C$5,FALSE)</f>
        <v>#NAME?</v>
      </c>
      <c r="D55" t="e">
        <f ca="1">[1]!NCHISQ_DIST($A55,$B$3,D$5,FALSE)</f>
        <v>#NAME?</v>
      </c>
      <c r="E55" t="e">
        <f ca="1">[1]!NCHISQ_DIST($A55,$B$3,E$5,FALSE)</f>
        <v>#NAME?</v>
      </c>
    </row>
    <row r="56" spans="1:5">
      <c r="A56">
        <f t="shared" si="0"/>
        <v>14.400000000000013</v>
      </c>
      <c r="B56" t="e">
        <f ca="1">[1]!NCHISQ_DIST($A56,$B$3,B$5,FALSE)</f>
        <v>#NAME?</v>
      </c>
      <c r="C56" t="e">
        <f ca="1">[1]!NCHISQ_DIST($A56,$B$3,C$5,FALSE)</f>
        <v>#NAME?</v>
      </c>
      <c r="D56" t="e">
        <f ca="1">[1]!NCHISQ_DIST($A56,$B$3,D$5,FALSE)</f>
        <v>#NAME?</v>
      </c>
      <c r="E56" t="e">
        <f ca="1">[1]!NCHISQ_DIST($A56,$B$3,E$5,FALSE)</f>
        <v>#NAME?</v>
      </c>
    </row>
    <row r="57" spans="1:5">
      <c r="A57">
        <f t="shared" si="0"/>
        <v>14.700000000000014</v>
      </c>
      <c r="B57" t="e">
        <f ca="1">[1]!NCHISQ_DIST($A57,$B$3,B$5,FALSE)</f>
        <v>#NAME?</v>
      </c>
      <c r="C57" t="e">
        <f ca="1">[1]!NCHISQ_DIST($A57,$B$3,C$5,FALSE)</f>
        <v>#NAME?</v>
      </c>
      <c r="D57" t="e">
        <f ca="1">[1]!NCHISQ_DIST($A57,$B$3,D$5,FALSE)</f>
        <v>#NAME?</v>
      </c>
      <c r="E57" t="e">
        <f ca="1">[1]!NCHISQ_DIST($A57,$B$3,E$5,FALSE)</f>
        <v>#NAME?</v>
      </c>
    </row>
    <row r="58" spans="1:5">
      <c r="A58">
        <f t="shared" si="0"/>
        <v>15.000000000000014</v>
      </c>
      <c r="B58" t="e">
        <f ca="1">[1]!NCHISQ_DIST($A58,$B$3,B$5,FALSE)</f>
        <v>#NAME?</v>
      </c>
      <c r="C58" t="e">
        <f ca="1">[1]!NCHISQ_DIST($A58,$B$3,C$5,FALSE)</f>
        <v>#NAME?</v>
      </c>
      <c r="D58" t="e">
        <f ca="1">[1]!NCHISQ_DIST($A58,$B$3,D$5,FALSE)</f>
        <v>#NAME?</v>
      </c>
      <c r="E58" t="e">
        <f ca="1">[1]!NCHISQ_DIST($A58,$B$3,E$5,FALSE)</f>
        <v>#NAME?</v>
      </c>
    </row>
    <row r="59" spans="1:5">
      <c r="A59">
        <f t="shared" si="0"/>
        <v>15.300000000000015</v>
      </c>
      <c r="B59" t="e">
        <f ca="1">[1]!NCHISQ_DIST($A59,$B$3,B$5,FALSE)</f>
        <v>#NAME?</v>
      </c>
      <c r="C59" t="e">
        <f ca="1">[1]!NCHISQ_DIST($A59,$B$3,C$5,FALSE)</f>
        <v>#NAME?</v>
      </c>
      <c r="D59" t="e">
        <f ca="1">[1]!NCHISQ_DIST($A59,$B$3,D$5,FALSE)</f>
        <v>#NAME?</v>
      </c>
      <c r="E59" t="e">
        <f ca="1">[1]!NCHISQ_DIST($A59,$B$3,E$5,FALSE)</f>
        <v>#NAME?</v>
      </c>
    </row>
    <row r="60" spans="1:5">
      <c r="A60">
        <f t="shared" si="0"/>
        <v>15.600000000000016</v>
      </c>
      <c r="B60" t="e">
        <f ca="1">[1]!NCHISQ_DIST($A60,$B$3,B$5,FALSE)</f>
        <v>#NAME?</v>
      </c>
      <c r="C60" t="e">
        <f ca="1">[1]!NCHISQ_DIST($A60,$B$3,C$5,FALSE)</f>
        <v>#NAME?</v>
      </c>
      <c r="D60" t="e">
        <f ca="1">[1]!NCHISQ_DIST($A60,$B$3,D$5,FALSE)</f>
        <v>#NAME?</v>
      </c>
      <c r="E60" t="e">
        <f ca="1">[1]!NCHISQ_DIST($A60,$B$3,E$5,FALSE)</f>
        <v>#NAME?</v>
      </c>
    </row>
    <row r="61" spans="1:5">
      <c r="A61">
        <f t="shared" si="0"/>
        <v>15.900000000000016</v>
      </c>
      <c r="B61" t="e">
        <f ca="1">[1]!NCHISQ_DIST($A61,$B$3,B$5,FALSE)</f>
        <v>#NAME?</v>
      </c>
      <c r="C61" t="e">
        <f ca="1">[1]!NCHISQ_DIST($A61,$B$3,C$5,FALSE)</f>
        <v>#NAME?</v>
      </c>
      <c r="D61" t="e">
        <f ca="1">[1]!NCHISQ_DIST($A61,$B$3,D$5,FALSE)</f>
        <v>#NAME?</v>
      </c>
      <c r="E61" t="e">
        <f ca="1">[1]!NCHISQ_DIST($A61,$B$3,E$5,FALSE)</f>
        <v>#NAME?</v>
      </c>
    </row>
    <row r="62" spans="1:5">
      <c r="A62">
        <f t="shared" si="0"/>
        <v>16.200000000000017</v>
      </c>
      <c r="B62" t="e">
        <f ca="1">[1]!NCHISQ_DIST($A62,$B$3,B$5,FALSE)</f>
        <v>#NAME?</v>
      </c>
      <c r="C62" t="e">
        <f ca="1">[1]!NCHISQ_DIST($A62,$B$3,C$5,FALSE)</f>
        <v>#NAME?</v>
      </c>
      <c r="D62" t="e">
        <f ca="1">[1]!NCHISQ_DIST($A62,$B$3,D$5,FALSE)</f>
        <v>#NAME?</v>
      </c>
      <c r="E62" t="e">
        <f ca="1">[1]!NCHISQ_DIST($A62,$B$3,E$5,FALSE)</f>
        <v>#NAME?</v>
      </c>
    </row>
    <row r="63" spans="1:5">
      <c r="A63">
        <f t="shared" si="0"/>
        <v>16.500000000000018</v>
      </c>
      <c r="B63" t="e">
        <f ca="1">[1]!NCHISQ_DIST($A63,$B$3,B$5,FALSE)</f>
        <v>#NAME?</v>
      </c>
      <c r="C63" t="e">
        <f ca="1">[1]!NCHISQ_DIST($A63,$B$3,C$5,FALSE)</f>
        <v>#NAME?</v>
      </c>
      <c r="D63" t="e">
        <f ca="1">[1]!NCHISQ_DIST($A63,$B$3,D$5,FALSE)</f>
        <v>#NAME?</v>
      </c>
      <c r="E63" t="e">
        <f ca="1">[1]!NCHISQ_DIST($A63,$B$3,E$5,FALSE)</f>
        <v>#NAME?</v>
      </c>
    </row>
    <row r="64" spans="1:5">
      <c r="A64">
        <f t="shared" si="0"/>
        <v>16.800000000000018</v>
      </c>
      <c r="B64" t="e">
        <f ca="1">[1]!NCHISQ_DIST($A64,$B$3,B$5,FALSE)</f>
        <v>#NAME?</v>
      </c>
      <c r="C64" t="e">
        <f ca="1">[1]!NCHISQ_DIST($A64,$B$3,C$5,FALSE)</f>
        <v>#NAME?</v>
      </c>
      <c r="D64" t="e">
        <f ca="1">[1]!NCHISQ_DIST($A64,$B$3,D$5,FALSE)</f>
        <v>#NAME?</v>
      </c>
      <c r="E64" t="e">
        <f ca="1">[1]!NCHISQ_DIST($A64,$B$3,E$5,FALSE)</f>
        <v>#NAME?</v>
      </c>
    </row>
    <row r="65" spans="1:5">
      <c r="A65">
        <f t="shared" si="0"/>
        <v>17.100000000000019</v>
      </c>
      <c r="B65" t="e">
        <f ca="1">[1]!NCHISQ_DIST($A65,$B$3,B$5,FALSE)</f>
        <v>#NAME?</v>
      </c>
      <c r="C65" t="e">
        <f ca="1">[1]!NCHISQ_DIST($A65,$B$3,C$5,FALSE)</f>
        <v>#NAME?</v>
      </c>
      <c r="D65" t="e">
        <f ca="1">[1]!NCHISQ_DIST($A65,$B$3,D$5,FALSE)</f>
        <v>#NAME?</v>
      </c>
      <c r="E65" t="e">
        <f ca="1">[1]!NCHISQ_DIST($A65,$B$3,E$5,FALSE)</f>
        <v>#NAME?</v>
      </c>
    </row>
    <row r="66" spans="1:5">
      <c r="A66">
        <f t="shared" si="0"/>
        <v>17.40000000000002</v>
      </c>
      <c r="B66" t="e">
        <f ca="1">[1]!NCHISQ_DIST($A66,$B$3,B$5,FALSE)</f>
        <v>#NAME?</v>
      </c>
      <c r="C66" t="e">
        <f ca="1">[1]!NCHISQ_DIST($A66,$B$3,C$5,FALSE)</f>
        <v>#NAME?</v>
      </c>
      <c r="D66" t="e">
        <f ca="1">[1]!NCHISQ_DIST($A66,$B$3,D$5,FALSE)</f>
        <v>#NAME?</v>
      </c>
      <c r="E66" t="e">
        <f ca="1">[1]!NCHISQ_DIST($A66,$B$3,E$5,FALSE)</f>
        <v>#NAME?</v>
      </c>
    </row>
    <row r="67" spans="1:5">
      <c r="A67">
        <f t="shared" si="0"/>
        <v>17.700000000000021</v>
      </c>
      <c r="B67" t="e">
        <f ca="1">[1]!NCHISQ_DIST($A67,$B$3,B$5,FALSE)</f>
        <v>#NAME?</v>
      </c>
      <c r="C67" t="e">
        <f ca="1">[1]!NCHISQ_DIST($A67,$B$3,C$5,FALSE)</f>
        <v>#NAME?</v>
      </c>
      <c r="D67" t="e">
        <f ca="1">[1]!NCHISQ_DIST($A67,$B$3,D$5,FALSE)</f>
        <v>#NAME?</v>
      </c>
      <c r="E67" t="e">
        <f ca="1">[1]!NCHISQ_DIST($A67,$B$3,E$5,FALSE)</f>
        <v>#NAME?</v>
      </c>
    </row>
    <row r="68" spans="1:5">
      <c r="A68">
        <f t="shared" si="0"/>
        <v>18.000000000000021</v>
      </c>
      <c r="B68" t="e">
        <f ca="1">[1]!NCHISQ_DIST($A68,$B$3,B$5,FALSE)</f>
        <v>#NAME?</v>
      </c>
      <c r="C68" t="e">
        <f ca="1">[1]!NCHISQ_DIST($A68,$B$3,C$5,FALSE)</f>
        <v>#NAME?</v>
      </c>
      <c r="D68" t="e">
        <f ca="1">[1]!NCHISQ_DIST($A68,$B$3,D$5,FALSE)</f>
        <v>#NAME?</v>
      </c>
      <c r="E68" t="e">
        <f ca="1">[1]!NCHISQ_DIST($A68,$B$3,E$5,FALSE)</f>
        <v>#NAME?</v>
      </c>
    </row>
    <row r="69" spans="1:5">
      <c r="A69">
        <f t="shared" si="0"/>
        <v>18.300000000000022</v>
      </c>
      <c r="B69" t="e">
        <f ca="1">[1]!NCHISQ_DIST($A69,$B$3,B$5,FALSE)</f>
        <v>#NAME?</v>
      </c>
      <c r="C69" t="e">
        <f ca="1">[1]!NCHISQ_DIST($A69,$B$3,C$5,FALSE)</f>
        <v>#NAME?</v>
      </c>
      <c r="D69" t="e">
        <f ca="1">[1]!NCHISQ_DIST($A69,$B$3,D$5,FALSE)</f>
        <v>#NAME?</v>
      </c>
      <c r="E69" t="e">
        <f ca="1">[1]!NCHISQ_DIST($A69,$B$3,E$5,FALSE)</f>
        <v>#NAME?</v>
      </c>
    </row>
    <row r="70" spans="1:5">
      <c r="A70">
        <f t="shared" si="0"/>
        <v>18.600000000000023</v>
      </c>
      <c r="B70" t="e">
        <f ca="1">[1]!NCHISQ_DIST($A70,$B$3,B$5,FALSE)</f>
        <v>#NAME?</v>
      </c>
      <c r="C70" t="e">
        <f ca="1">[1]!NCHISQ_DIST($A70,$B$3,C$5,FALSE)</f>
        <v>#NAME?</v>
      </c>
      <c r="D70" t="e">
        <f ca="1">[1]!NCHISQ_DIST($A70,$B$3,D$5,FALSE)</f>
        <v>#NAME?</v>
      </c>
      <c r="E70" t="e">
        <f ca="1">[1]!NCHISQ_DIST($A70,$B$3,E$5,FALSE)</f>
        <v>#NAME?</v>
      </c>
    </row>
    <row r="71" spans="1:5">
      <c r="A71">
        <f t="shared" si="0"/>
        <v>18.900000000000023</v>
      </c>
      <c r="B71" t="e">
        <f ca="1">[1]!NCHISQ_DIST($A71,$B$3,B$5,FALSE)</f>
        <v>#NAME?</v>
      </c>
      <c r="C71" t="e">
        <f ca="1">[1]!NCHISQ_DIST($A71,$B$3,C$5,FALSE)</f>
        <v>#NAME?</v>
      </c>
      <c r="D71" t="e">
        <f ca="1">[1]!NCHISQ_DIST($A71,$B$3,D$5,FALSE)</f>
        <v>#NAME?</v>
      </c>
      <c r="E71" t="e">
        <f ca="1">[1]!NCHISQ_DIST($A71,$B$3,E$5,FALSE)</f>
        <v>#NAME?</v>
      </c>
    </row>
    <row r="72" spans="1:5">
      <c r="A72">
        <f t="shared" si="0"/>
        <v>19.200000000000024</v>
      </c>
      <c r="B72" t="e">
        <f ca="1">[1]!NCHISQ_DIST($A72,$B$3,B$5,FALSE)</f>
        <v>#NAME?</v>
      </c>
      <c r="C72" t="e">
        <f ca="1">[1]!NCHISQ_DIST($A72,$B$3,C$5,FALSE)</f>
        <v>#NAME?</v>
      </c>
      <c r="D72" t="e">
        <f ca="1">[1]!NCHISQ_DIST($A72,$B$3,D$5,FALSE)</f>
        <v>#NAME?</v>
      </c>
      <c r="E72" t="e">
        <f ca="1">[1]!NCHISQ_DIST($A72,$B$3,E$5,FALSE)</f>
        <v>#NAME?</v>
      </c>
    </row>
    <row r="73" spans="1:5">
      <c r="A73">
        <f t="shared" si="0"/>
        <v>19.500000000000025</v>
      </c>
      <c r="B73" t="e">
        <f ca="1">[1]!NCHISQ_DIST($A73,$B$3,B$5,FALSE)</f>
        <v>#NAME?</v>
      </c>
      <c r="C73" t="e">
        <f ca="1">[1]!NCHISQ_DIST($A73,$B$3,C$5,FALSE)</f>
        <v>#NAME?</v>
      </c>
      <c r="D73" t="e">
        <f ca="1">[1]!NCHISQ_DIST($A73,$B$3,D$5,FALSE)</f>
        <v>#NAME?</v>
      </c>
      <c r="E73" t="e">
        <f ca="1">[1]!NCHISQ_DIST($A73,$B$3,E$5,FALSE)</f>
        <v>#NAME?</v>
      </c>
    </row>
    <row r="74" spans="1:5">
      <c r="A74">
        <f t="shared" ref="A74:A109" si="1">A73+0.3</f>
        <v>19.800000000000026</v>
      </c>
      <c r="B74" t="e">
        <f ca="1">[1]!NCHISQ_DIST($A74,$B$3,B$5,FALSE)</f>
        <v>#NAME?</v>
      </c>
      <c r="C74" t="e">
        <f ca="1">[1]!NCHISQ_DIST($A74,$B$3,C$5,FALSE)</f>
        <v>#NAME?</v>
      </c>
      <c r="D74" t="e">
        <f ca="1">[1]!NCHISQ_DIST($A74,$B$3,D$5,FALSE)</f>
        <v>#NAME?</v>
      </c>
      <c r="E74" t="e">
        <f ca="1">[1]!NCHISQ_DIST($A74,$B$3,E$5,FALSE)</f>
        <v>#NAME?</v>
      </c>
    </row>
    <row r="75" spans="1:5">
      <c r="A75">
        <f t="shared" si="1"/>
        <v>20.100000000000026</v>
      </c>
      <c r="B75" t="e">
        <f ca="1">[1]!NCHISQ_DIST($A75,$B$3,B$5,FALSE)</f>
        <v>#NAME?</v>
      </c>
      <c r="C75" t="e">
        <f ca="1">[1]!NCHISQ_DIST($A75,$B$3,C$5,FALSE)</f>
        <v>#NAME?</v>
      </c>
      <c r="D75" t="e">
        <f ca="1">[1]!NCHISQ_DIST($A75,$B$3,D$5,FALSE)</f>
        <v>#NAME?</v>
      </c>
      <c r="E75" t="e">
        <f ca="1">[1]!NCHISQ_DIST($A75,$B$3,E$5,FALSE)</f>
        <v>#NAME?</v>
      </c>
    </row>
    <row r="76" spans="1:5">
      <c r="A76">
        <f t="shared" si="1"/>
        <v>20.400000000000027</v>
      </c>
      <c r="B76" t="e">
        <f ca="1">[1]!NCHISQ_DIST($A76,$B$3,B$5,FALSE)</f>
        <v>#NAME?</v>
      </c>
      <c r="C76" t="e">
        <f ca="1">[1]!NCHISQ_DIST($A76,$B$3,C$5,FALSE)</f>
        <v>#NAME?</v>
      </c>
      <c r="D76" t="e">
        <f ca="1">[1]!NCHISQ_DIST($A76,$B$3,D$5,FALSE)</f>
        <v>#NAME?</v>
      </c>
      <c r="E76" t="e">
        <f ca="1">[1]!NCHISQ_DIST($A76,$B$3,E$5,FALSE)</f>
        <v>#NAME?</v>
      </c>
    </row>
    <row r="77" spans="1:5">
      <c r="A77">
        <f t="shared" si="1"/>
        <v>20.700000000000028</v>
      </c>
      <c r="B77" t="e">
        <f ca="1">[1]!NCHISQ_DIST($A77,$B$3,B$5,FALSE)</f>
        <v>#NAME?</v>
      </c>
      <c r="C77" t="e">
        <f ca="1">[1]!NCHISQ_DIST($A77,$B$3,C$5,FALSE)</f>
        <v>#NAME?</v>
      </c>
      <c r="D77" t="e">
        <f ca="1">[1]!NCHISQ_DIST($A77,$B$3,D$5,FALSE)</f>
        <v>#NAME?</v>
      </c>
      <c r="E77" t="e">
        <f ca="1">[1]!NCHISQ_DIST($A77,$B$3,E$5,FALSE)</f>
        <v>#NAME?</v>
      </c>
    </row>
    <row r="78" spans="1:5">
      <c r="A78">
        <f t="shared" si="1"/>
        <v>21.000000000000028</v>
      </c>
      <c r="B78" t="e">
        <f ca="1">[1]!NCHISQ_DIST($A78,$B$3,B$5,FALSE)</f>
        <v>#NAME?</v>
      </c>
      <c r="C78" t="e">
        <f ca="1">[1]!NCHISQ_DIST($A78,$B$3,C$5,FALSE)</f>
        <v>#NAME?</v>
      </c>
      <c r="D78" t="e">
        <f ca="1">[1]!NCHISQ_DIST($A78,$B$3,D$5,FALSE)</f>
        <v>#NAME?</v>
      </c>
      <c r="E78" t="e">
        <f ca="1">[1]!NCHISQ_DIST($A78,$B$3,E$5,FALSE)</f>
        <v>#NAME?</v>
      </c>
    </row>
    <row r="79" spans="1:5">
      <c r="A79">
        <f t="shared" si="1"/>
        <v>21.300000000000029</v>
      </c>
      <c r="B79" t="e">
        <f ca="1">[1]!NCHISQ_DIST($A79,$B$3,B$5,FALSE)</f>
        <v>#NAME?</v>
      </c>
      <c r="C79" t="e">
        <f ca="1">[1]!NCHISQ_DIST($A79,$B$3,C$5,FALSE)</f>
        <v>#NAME?</v>
      </c>
      <c r="D79" t="e">
        <f ca="1">[1]!NCHISQ_DIST($A79,$B$3,D$5,FALSE)</f>
        <v>#NAME?</v>
      </c>
      <c r="E79" t="e">
        <f ca="1">[1]!NCHISQ_DIST($A79,$B$3,E$5,FALSE)</f>
        <v>#NAME?</v>
      </c>
    </row>
    <row r="80" spans="1:5">
      <c r="A80">
        <f t="shared" si="1"/>
        <v>21.60000000000003</v>
      </c>
      <c r="B80" t="e">
        <f ca="1">[1]!NCHISQ_DIST($A80,$B$3,B$5,FALSE)</f>
        <v>#NAME?</v>
      </c>
      <c r="C80" t="e">
        <f ca="1">[1]!NCHISQ_DIST($A80,$B$3,C$5,FALSE)</f>
        <v>#NAME?</v>
      </c>
      <c r="D80" t="e">
        <f ca="1">[1]!NCHISQ_DIST($A80,$B$3,D$5,FALSE)</f>
        <v>#NAME?</v>
      </c>
      <c r="E80" t="e">
        <f ca="1">[1]!NCHISQ_DIST($A80,$B$3,E$5,FALSE)</f>
        <v>#NAME?</v>
      </c>
    </row>
    <row r="81" spans="1:5">
      <c r="A81">
        <f t="shared" si="1"/>
        <v>21.900000000000031</v>
      </c>
      <c r="B81" t="e">
        <f ca="1">[1]!NCHISQ_DIST($A81,$B$3,B$5,FALSE)</f>
        <v>#NAME?</v>
      </c>
      <c r="C81" t="e">
        <f ca="1">[1]!NCHISQ_DIST($A81,$B$3,C$5,FALSE)</f>
        <v>#NAME?</v>
      </c>
      <c r="D81" t="e">
        <f ca="1">[1]!NCHISQ_DIST($A81,$B$3,D$5,FALSE)</f>
        <v>#NAME?</v>
      </c>
      <c r="E81" t="e">
        <f ca="1">[1]!NCHISQ_DIST($A81,$B$3,E$5,FALSE)</f>
        <v>#NAME?</v>
      </c>
    </row>
    <row r="82" spans="1:5">
      <c r="A82">
        <f t="shared" si="1"/>
        <v>22.200000000000031</v>
      </c>
      <c r="B82" t="e">
        <f ca="1">[1]!NCHISQ_DIST($A82,$B$3,B$5,FALSE)</f>
        <v>#NAME?</v>
      </c>
      <c r="C82" t="e">
        <f ca="1">[1]!NCHISQ_DIST($A82,$B$3,C$5,FALSE)</f>
        <v>#NAME?</v>
      </c>
      <c r="D82" t="e">
        <f ca="1">[1]!NCHISQ_DIST($A82,$B$3,D$5,FALSE)</f>
        <v>#NAME?</v>
      </c>
      <c r="E82" t="e">
        <f ca="1">[1]!NCHISQ_DIST($A82,$B$3,E$5,FALSE)</f>
        <v>#NAME?</v>
      </c>
    </row>
    <row r="83" spans="1:5">
      <c r="A83">
        <f t="shared" si="1"/>
        <v>22.500000000000032</v>
      </c>
      <c r="B83" t="e">
        <f ca="1">[1]!NCHISQ_DIST($A83,$B$3,B$5,FALSE)</f>
        <v>#NAME?</v>
      </c>
      <c r="C83" t="e">
        <f ca="1">[1]!NCHISQ_DIST($A83,$B$3,C$5,FALSE)</f>
        <v>#NAME?</v>
      </c>
      <c r="D83" t="e">
        <f ca="1">[1]!NCHISQ_DIST($A83,$B$3,D$5,FALSE)</f>
        <v>#NAME?</v>
      </c>
      <c r="E83" t="e">
        <f ca="1">[1]!NCHISQ_DIST($A83,$B$3,E$5,FALSE)</f>
        <v>#NAME?</v>
      </c>
    </row>
    <row r="84" spans="1:5">
      <c r="A84">
        <f t="shared" si="1"/>
        <v>22.800000000000033</v>
      </c>
      <c r="B84" t="e">
        <f ca="1">[1]!NCHISQ_DIST($A84,$B$3,B$5,FALSE)</f>
        <v>#NAME?</v>
      </c>
      <c r="C84" t="e">
        <f ca="1">[1]!NCHISQ_DIST($A84,$B$3,C$5,FALSE)</f>
        <v>#NAME?</v>
      </c>
      <c r="D84" t="e">
        <f ca="1">[1]!NCHISQ_DIST($A84,$B$3,D$5,FALSE)</f>
        <v>#NAME?</v>
      </c>
      <c r="E84" t="e">
        <f ca="1">[1]!NCHISQ_DIST($A84,$B$3,E$5,FALSE)</f>
        <v>#NAME?</v>
      </c>
    </row>
    <row r="85" spans="1:5">
      <c r="A85">
        <f t="shared" si="1"/>
        <v>23.100000000000033</v>
      </c>
      <c r="B85" t="e">
        <f ca="1">[1]!NCHISQ_DIST($A85,$B$3,B$5,FALSE)</f>
        <v>#NAME?</v>
      </c>
      <c r="C85" t="e">
        <f ca="1">[1]!NCHISQ_DIST($A85,$B$3,C$5,FALSE)</f>
        <v>#NAME?</v>
      </c>
      <c r="D85" t="e">
        <f ca="1">[1]!NCHISQ_DIST($A85,$B$3,D$5,FALSE)</f>
        <v>#NAME?</v>
      </c>
      <c r="E85" t="e">
        <f ca="1">[1]!NCHISQ_DIST($A85,$B$3,E$5,FALSE)</f>
        <v>#NAME?</v>
      </c>
    </row>
    <row r="86" spans="1:5">
      <c r="A86">
        <f t="shared" si="1"/>
        <v>23.400000000000034</v>
      </c>
      <c r="B86" t="e">
        <f ca="1">[1]!NCHISQ_DIST($A86,$B$3,B$5,FALSE)</f>
        <v>#NAME?</v>
      </c>
      <c r="C86" t="e">
        <f ca="1">[1]!NCHISQ_DIST($A86,$B$3,C$5,FALSE)</f>
        <v>#NAME?</v>
      </c>
      <c r="D86" t="e">
        <f ca="1">[1]!NCHISQ_DIST($A86,$B$3,D$5,FALSE)</f>
        <v>#NAME?</v>
      </c>
      <c r="E86" t="e">
        <f ca="1">[1]!NCHISQ_DIST($A86,$B$3,E$5,FALSE)</f>
        <v>#NAME?</v>
      </c>
    </row>
    <row r="87" spans="1:5">
      <c r="A87">
        <f t="shared" si="1"/>
        <v>23.700000000000035</v>
      </c>
      <c r="B87" t="e">
        <f ca="1">[1]!NCHISQ_DIST($A87,$B$3,B$5,FALSE)</f>
        <v>#NAME?</v>
      </c>
      <c r="C87" t="e">
        <f ca="1">[1]!NCHISQ_DIST($A87,$B$3,C$5,FALSE)</f>
        <v>#NAME?</v>
      </c>
      <c r="D87" t="e">
        <f ca="1">[1]!NCHISQ_DIST($A87,$B$3,D$5,FALSE)</f>
        <v>#NAME?</v>
      </c>
      <c r="E87" t="e">
        <f ca="1">[1]!NCHISQ_DIST($A87,$B$3,E$5,FALSE)</f>
        <v>#NAME?</v>
      </c>
    </row>
    <row r="88" spans="1:5">
      <c r="A88">
        <f t="shared" si="1"/>
        <v>24.000000000000036</v>
      </c>
      <c r="B88" t="e">
        <f ca="1">[1]!NCHISQ_DIST($A88,$B$3,B$5,FALSE)</f>
        <v>#NAME?</v>
      </c>
      <c r="C88" t="e">
        <f ca="1">[1]!NCHISQ_DIST($A88,$B$3,C$5,FALSE)</f>
        <v>#NAME?</v>
      </c>
      <c r="D88" t="e">
        <f ca="1">[1]!NCHISQ_DIST($A88,$B$3,D$5,FALSE)</f>
        <v>#NAME?</v>
      </c>
      <c r="E88" t="e">
        <f ca="1">[1]!NCHISQ_DIST($A88,$B$3,E$5,FALSE)</f>
        <v>#NAME?</v>
      </c>
    </row>
    <row r="89" spans="1:5">
      <c r="A89">
        <f t="shared" si="1"/>
        <v>24.300000000000036</v>
      </c>
      <c r="B89" t="e">
        <f ca="1">[1]!NCHISQ_DIST($A89,$B$3,B$5,FALSE)</f>
        <v>#NAME?</v>
      </c>
      <c r="C89" t="e">
        <f ca="1">[1]!NCHISQ_DIST($A89,$B$3,C$5,FALSE)</f>
        <v>#NAME?</v>
      </c>
      <c r="D89" t="e">
        <f ca="1">[1]!NCHISQ_DIST($A89,$B$3,D$5,FALSE)</f>
        <v>#NAME?</v>
      </c>
      <c r="E89" t="e">
        <f ca="1">[1]!NCHISQ_DIST($A89,$B$3,E$5,FALSE)</f>
        <v>#NAME?</v>
      </c>
    </row>
    <row r="90" spans="1:5">
      <c r="A90">
        <f t="shared" si="1"/>
        <v>24.600000000000037</v>
      </c>
      <c r="B90" t="e">
        <f ca="1">[1]!NCHISQ_DIST($A90,$B$3,B$5,FALSE)</f>
        <v>#NAME?</v>
      </c>
      <c r="C90" t="e">
        <f ca="1">[1]!NCHISQ_DIST($A90,$B$3,C$5,FALSE)</f>
        <v>#NAME?</v>
      </c>
      <c r="D90" t="e">
        <f ca="1">[1]!NCHISQ_DIST($A90,$B$3,D$5,FALSE)</f>
        <v>#NAME?</v>
      </c>
      <c r="E90" t="e">
        <f ca="1">[1]!NCHISQ_DIST($A90,$B$3,E$5,FALSE)</f>
        <v>#NAME?</v>
      </c>
    </row>
    <row r="91" spans="1:5">
      <c r="A91">
        <f t="shared" si="1"/>
        <v>24.900000000000038</v>
      </c>
      <c r="B91" t="e">
        <f ca="1">[1]!NCHISQ_DIST($A91,$B$3,B$5,FALSE)</f>
        <v>#NAME?</v>
      </c>
      <c r="C91" t="e">
        <f ca="1">[1]!NCHISQ_DIST($A91,$B$3,C$5,FALSE)</f>
        <v>#NAME?</v>
      </c>
      <c r="D91" t="e">
        <f ca="1">[1]!NCHISQ_DIST($A91,$B$3,D$5,FALSE)</f>
        <v>#NAME?</v>
      </c>
      <c r="E91" t="e">
        <f ca="1">[1]!NCHISQ_DIST($A91,$B$3,E$5,FALSE)</f>
        <v>#NAME?</v>
      </c>
    </row>
    <row r="92" spans="1:5">
      <c r="A92">
        <f t="shared" si="1"/>
        <v>25.200000000000038</v>
      </c>
      <c r="B92" t="e">
        <f ca="1">[1]!NCHISQ_DIST($A92,$B$3,B$5,FALSE)</f>
        <v>#NAME?</v>
      </c>
      <c r="C92" t="e">
        <f ca="1">[1]!NCHISQ_DIST($A92,$B$3,C$5,FALSE)</f>
        <v>#NAME?</v>
      </c>
      <c r="D92" t="e">
        <f ca="1">[1]!NCHISQ_DIST($A92,$B$3,D$5,FALSE)</f>
        <v>#NAME?</v>
      </c>
      <c r="E92" t="e">
        <f ca="1">[1]!NCHISQ_DIST($A92,$B$3,E$5,FALSE)</f>
        <v>#NAME?</v>
      </c>
    </row>
    <row r="93" spans="1:5">
      <c r="A93">
        <f t="shared" si="1"/>
        <v>25.500000000000039</v>
      </c>
      <c r="B93" t="e">
        <f ca="1">[1]!NCHISQ_DIST($A93,$B$3,B$5,FALSE)</f>
        <v>#NAME?</v>
      </c>
      <c r="C93" t="e">
        <f ca="1">[1]!NCHISQ_DIST($A93,$B$3,C$5,FALSE)</f>
        <v>#NAME?</v>
      </c>
      <c r="D93" t="e">
        <f ca="1">[1]!NCHISQ_DIST($A93,$B$3,D$5,FALSE)</f>
        <v>#NAME?</v>
      </c>
      <c r="E93" t="e">
        <f ca="1">[1]!NCHISQ_DIST($A93,$B$3,E$5,FALSE)</f>
        <v>#NAME?</v>
      </c>
    </row>
    <row r="94" spans="1:5">
      <c r="A94">
        <f t="shared" si="1"/>
        <v>25.80000000000004</v>
      </c>
      <c r="B94" t="e">
        <f ca="1">[1]!NCHISQ_DIST($A94,$B$3,B$5,FALSE)</f>
        <v>#NAME?</v>
      </c>
      <c r="C94" t="e">
        <f ca="1">[1]!NCHISQ_DIST($A94,$B$3,C$5,FALSE)</f>
        <v>#NAME?</v>
      </c>
      <c r="D94" t="e">
        <f ca="1">[1]!NCHISQ_DIST($A94,$B$3,D$5,FALSE)</f>
        <v>#NAME?</v>
      </c>
      <c r="E94" t="e">
        <f ca="1">[1]!NCHISQ_DIST($A94,$B$3,E$5,FALSE)</f>
        <v>#NAME?</v>
      </c>
    </row>
    <row r="95" spans="1:5">
      <c r="A95">
        <f t="shared" si="1"/>
        <v>26.100000000000041</v>
      </c>
      <c r="B95" t="e">
        <f ca="1">[1]!NCHISQ_DIST($A95,$B$3,B$5,FALSE)</f>
        <v>#NAME?</v>
      </c>
      <c r="C95" t="e">
        <f ca="1">[1]!NCHISQ_DIST($A95,$B$3,C$5,FALSE)</f>
        <v>#NAME?</v>
      </c>
      <c r="D95" t="e">
        <f ca="1">[1]!NCHISQ_DIST($A95,$B$3,D$5,FALSE)</f>
        <v>#NAME?</v>
      </c>
      <c r="E95" t="e">
        <f ca="1">[1]!NCHISQ_DIST($A95,$B$3,E$5,FALSE)</f>
        <v>#NAME?</v>
      </c>
    </row>
    <row r="96" spans="1:5">
      <c r="A96">
        <f t="shared" si="1"/>
        <v>26.400000000000041</v>
      </c>
      <c r="B96" t="e">
        <f ca="1">[1]!NCHISQ_DIST($A96,$B$3,B$5,FALSE)</f>
        <v>#NAME?</v>
      </c>
      <c r="C96" t="e">
        <f ca="1">[1]!NCHISQ_DIST($A96,$B$3,C$5,FALSE)</f>
        <v>#NAME?</v>
      </c>
      <c r="D96" t="e">
        <f ca="1">[1]!NCHISQ_DIST($A96,$B$3,D$5,FALSE)</f>
        <v>#NAME?</v>
      </c>
      <c r="E96" t="e">
        <f ca="1">[1]!NCHISQ_DIST($A96,$B$3,E$5,FALSE)</f>
        <v>#NAME?</v>
      </c>
    </row>
    <row r="97" spans="1:5">
      <c r="A97">
        <f t="shared" si="1"/>
        <v>26.700000000000042</v>
      </c>
      <c r="B97" t="e">
        <f ca="1">[1]!NCHISQ_DIST($A97,$B$3,B$5,FALSE)</f>
        <v>#NAME?</v>
      </c>
      <c r="C97" t="e">
        <f ca="1">[1]!NCHISQ_DIST($A97,$B$3,C$5,FALSE)</f>
        <v>#NAME?</v>
      </c>
      <c r="D97" t="e">
        <f ca="1">[1]!NCHISQ_DIST($A97,$B$3,D$5,FALSE)</f>
        <v>#NAME?</v>
      </c>
      <c r="E97" t="e">
        <f ca="1">[1]!NCHISQ_DIST($A97,$B$3,E$5,FALSE)</f>
        <v>#NAME?</v>
      </c>
    </row>
    <row r="98" spans="1:5">
      <c r="A98">
        <f t="shared" si="1"/>
        <v>27.000000000000043</v>
      </c>
      <c r="B98" t="e">
        <f ca="1">[1]!NCHISQ_DIST($A98,$B$3,B$5,FALSE)</f>
        <v>#NAME?</v>
      </c>
      <c r="C98" t="e">
        <f ca="1">[1]!NCHISQ_DIST($A98,$B$3,C$5,FALSE)</f>
        <v>#NAME?</v>
      </c>
      <c r="D98" t="e">
        <f ca="1">[1]!NCHISQ_DIST($A98,$B$3,D$5,FALSE)</f>
        <v>#NAME?</v>
      </c>
      <c r="E98" t="e">
        <f ca="1">[1]!NCHISQ_DIST($A98,$B$3,E$5,FALSE)</f>
        <v>#NAME?</v>
      </c>
    </row>
    <row r="99" spans="1:5">
      <c r="A99">
        <f t="shared" si="1"/>
        <v>27.300000000000043</v>
      </c>
      <c r="B99" t="e">
        <f ca="1">[1]!NCHISQ_DIST($A99,$B$3,B$5,FALSE)</f>
        <v>#NAME?</v>
      </c>
      <c r="C99" t="e">
        <f ca="1">[1]!NCHISQ_DIST($A99,$B$3,C$5,FALSE)</f>
        <v>#NAME?</v>
      </c>
      <c r="D99" t="e">
        <f ca="1">[1]!NCHISQ_DIST($A99,$B$3,D$5,FALSE)</f>
        <v>#NAME?</v>
      </c>
      <c r="E99" t="e">
        <f ca="1">[1]!NCHISQ_DIST($A99,$B$3,E$5,FALSE)</f>
        <v>#NAME?</v>
      </c>
    </row>
    <row r="100" spans="1:5">
      <c r="A100">
        <f t="shared" si="1"/>
        <v>27.600000000000044</v>
      </c>
      <c r="B100" t="e">
        <f ca="1">[1]!NCHISQ_DIST($A100,$B$3,B$5,FALSE)</f>
        <v>#NAME?</v>
      </c>
      <c r="C100" t="e">
        <f ca="1">[1]!NCHISQ_DIST($A100,$B$3,C$5,FALSE)</f>
        <v>#NAME?</v>
      </c>
      <c r="D100" t="e">
        <f ca="1">[1]!NCHISQ_DIST($A100,$B$3,D$5,FALSE)</f>
        <v>#NAME?</v>
      </c>
      <c r="E100" t="e">
        <f ca="1">[1]!NCHISQ_DIST($A100,$B$3,E$5,FALSE)</f>
        <v>#NAME?</v>
      </c>
    </row>
    <row r="101" spans="1:5">
      <c r="A101">
        <f t="shared" si="1"/>
        <v>27.900000000000045</v>
      </c>
      <c r="B101" t="e">
        <f ca="1">[1]!NCHISQ_DIST($A101,$B$3,B$5,FALSE)</f>
        <v>#NAME?</v>
      </c>
      <c r="C101" t="e">
        <f ca="1">[1]!NCHISQ_DIST($A101,$B$3,C$5,FALSE)</f>
        <v>#NAME?</v>
      </c>
      <c r="D101" t="e">
        <f ca="1">[1]!NCHISQ_DIST($A101,$B$3,D$5,FALSE)</f>
        <v>#NAME?</v>
      </c>
      <c r="E101" t="e">
        <f ca="1">[1]!NCHISQ_DIST($A101,$B$3,E$5,FALSE)</f>
        <v>#NAME?</v>
      </c>
    </row>
    <row r="102" spans="1:5">
      <c r="A102">
        <f t="shared" si="1"/>
        <v>28.200000000000045</v>
      </c>
      <c r="B102" t="e">
        <f ca="1">[1]!NCHISQ_DIST($A102,$B$3,B$5,FALSE)</f>
        <v>#NAME?</v>
      </c>
      <c r="C102" t="e">
        <f ca="1">[1]!NCHISQ_DIST($A102,$B$3,C$5,FALSE)</f>
        <v>#NAME?</v>
      </c>
      <c r="D102" t="e">
        <f ca="1">[1]!NCHISQ_DIST($A102,$B$3,D$5,FALSE)</f>
        <v>#NAME?</v>
      </c>
      <c r="E102" t="e">
        <f ca="1">[1]!NCHISQ_DIST($A102,$B$3,E$5,FALSE)</f>
        <v>#NAME?</v>
      </c>
    </row>
    <row r="103" spans="1:5">
      <c r="A103">
        <f t="shared" si="1"/>
        <v>28.500000000000046</v>
      </c>
      <c r="B103" t="e">
        <f ca="1">[1]!NCHISQ_DIST($A103,$B$3,B$5,FALSE)</f>
        <v>#NAME?</v>
      </c>
      <c r="C103" t="e">
        <f ca="1">[1]!NCHISQ_DIST($A103,$B$3,C$5,FALSE)</f>
        <v>#NAME?</v>
      </c>
      <c r="D103" t="e">
        <f ca="1">[1]!NCHISQ_DIST($A103,$B$3,D$5,FALSE)</f>
        <v>#NAME?</v>
      </c>
      <c r="E103" t="e">
        <f ca="1">[1]!NCHISQ_DIST($A103,$B$3,E$5,FALSE)</f>
        <v>#NAME?</v>
      </c>
    </row>
    <row r="104" spans="1:5">
      <c r="A104">
        <f t="shared" si="1"/>
        <v>28.800000000000047</v>
      </c>
      <c r="B104" t="e">
        <f ca="1">[1]!NCHISQ_DIST($A104,$B$3,B$5,FALSE)</f>
        <v>#NAME?</v>
      </c>
      <c r="C104" t="e">
        <f ca="1">[1]!NCHISQ_DIST($A104,$B$3,C$5,FALSE)</f>
        <v>#NAME?</v>
      </c>
      <c r="D104" t="e">
        <f ca="1">[1]!NCHISQ_DIST($A104,$B$3,D$5,FALSE)</f>
        <v>#NAME?</v>
      </c>
      <c r="E104" t="e">
        <f ca="1">[1]!NCHISQ_DIST($A104,$B$3,E$5,FALSE)</f>
        <v>#NAME?</v>
      </c>
    </row>
    <row r="105" spans="1:5">
      <c r="A105">
        <f t="shared" si="1"/>
        <v>29.100000000000048</v>
      </c>
      <c r="B105" t="e">
        <f ca="1">[1]!NCHISQ_DIST($A105,$B$3,B$5,FALSE)</f>
        <v>#NAME?</v>
      </c>
      <c r="C105" t="e">
        <f ca="1">[1]!NCHISQ_DIST($A105,$B$3,C$5,FALSE)</f>
        <v>#NAME?</v>
      </c>
      <c r="D105" t="e">
        <f ca="1">[1]!NCHISQ_DIST($A105,$B$3,D$5,FALSE)</f>
        <v>#NAME?</v>
      </c>
      <c r="E105" t="e">
        <f ca="1">[1]!NCHISQ_DIST($A105,$B$3,E$5,FALSE)</f>
        <v>#NAME?</v>
      </c>
    </row>
    <row r="106" spans="1:5">
      <c r="A106">
        <f t="shared" si="1"/>
        <v>29.400000000000048</v>
      </c>
      <c r="B106" t="e">
        <f ca="1">[1]!NCHISQ_DIST($A106,$B$3,B$5,FALSE)</f>
        <v>#NAME?</v>
      </c>
      <c r="C106" t="e">
        <f ca="1">[1]!NCHISQ_DIST($A106,$B$3,C$5,FALSE)</f>
        <v>#NAME?</v>
      </c>
      <c r="D106" t="e">
        <f ca="1">[1]!NCHISQ_DIST($A106,$B$3,D$5,FALSE)</f>
        <v>#NAME?</v>
      </c>
      <c r="E106" t="e">
        <f ca="1">[1]!NCHISQ_DIST($A106,$B$3,E$5,FALSE)</f>
        <v>#NAME?</v>
      </c>
    </row>
    <row r="107" spans="1:5">
      <c r="A107">
        <f t="shared" si="1"/>
        <v>29.700000000000049</v>
      </c>
      <c r="B107" t="e">
        <f ca="1">[1]!NCHISQ_DIST($A107,$B$3,B$5,FALSE)</f>
        <v>#NAME?</v>
      </c>
      <c r="C107" t="e">
        <f ca="1">[1]!NCHISQ_DIST($A107,$B$3,C$5,FALSE)</f>
        <v>#NAME?</v>
      </c>
      <c r="D107" t="e">
        <f ca="1">[1]!NCHISQ_DIST($A107,$B$3,D$5,FALSE)</f>
        <v>#NAME?</v>
      </c>
      <c r="E107" t="e">
        <f ca="1">[1]!NCHISQ_DIST($A107,$B$3,E$5,FALSE)</f>
        <v>#NAME?</v>
      </c>
    </row>
    <row r="108" spans="1:5">
      <c r="A108">
        <f t="shared" si="1"/>
        <v>30.00000000000005</v>
      </c>
      <c r="B108" t="e">
        <f ca="1">[1]!NCHISQ_DIST($A108,$B$3,B$5,FALSE)</f>
        <v>#NAME?</v>
      </c>
      <c r="C108" t="e">
        <f ca="1">[1]!NCHISQ_DIST($A108,$B$3,C$5,FALSE)</f>
        <v>#NAME?</v>
      </c>
      <c r="D108" t="e">
        <f ca="1">[1]!NCHISQ_DIST($A108,$B$3,D$5,FALSE)</f>
        <v>#NAME?</v>
      </c>
      <c r="E108" t="e">
        <f ca="1">[1]!NCHISQ_DIST($A108,$B$3,E$5,FALSE)</f>
        <v>#NAME?</v>
      </c>
    </row>
    <row r="109" spans="1:5">
      <c r="A109">
        <f t="shared" si="1"/>
        <v>30.30000000000005</v>
      </c>
      <c r="B109" t="e">
        <f ca="1">[1]!NCHISQ_DIST($A109,$B$3,B$5,FALSE)</f>
        <v>#NAME?</v>
      </c>
      <c r="C109" t="e">
        <f ca="1">[1]!NCHISQ_DIST($A109,$B$3,C$5,FALSE)</f>
        <v>#NAME?</v>
      </c>
      <c r="D109" t="e">
        <f ca="1">[1]!NCHISQ_DIST($A109,$B$3,D$5,FALSE)</f>
        <v>#NAME?</v>
      </c>
      <c r="E109" t="e">
        <f ca="1">[1]!NCHISQ_DIST($A109,$B$3,E$5,FALSE)</f>
        <v>#NAME?</v>
      </c>
    </row>
  </sheetData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sheetPr codeName="Sheet326"/>
  <dimension ref="A1:I23"/>
  <sheetViews>
    <sheetView workbookViewId="0"/>
  </sheetViews>
  <sheetFormatPr defaultRowHeight="14.4"/>
  <cols>
    <col min="3" max="3" width="3.88671875" customWidth="1"/>
    <col min="4" max="4" width="28.88671875" customWidth="1"/>
    <col min="7" max="7" width="11" bestFit="1" customWidth="1"/>
    <col min="8" max="8" width="4.109375" customWidth="1"/>
    <col min="9" max="9" width="27" customWidth="1"/>
  </cols>
  <sheetData>
    <row r="1" spans="1:9">
      <c r="A1" s="1" t="s">
        <v>3590</v>
      </c>
      <c r="F1" s="1" t="s">
        <v>3599</v>
      </c>
    </row>
    <row r="2" spans="1:9">
      <c r="A2" s="1"/>
    </row>
    <row r="3" spans="1:9">
      <c r="A3" t="s">
        <v>157</v>
      </c>
      <c r="B3" s="1235">
        <v>0.05</v>
      </c>
      <c r="F3" t="s">
        <v>157</v>
      </c>
      <c r="G3" s="1235">
        <v>0.05</v>
      </c>
    </row>
    <row r="4" spans="1:9">
      <c r="A4" t="s">
        <v>106</v>
      </c>
      <c r="B4" s="627">
        <v>8</v>
      </c>
      <c r="F4" t="s">
        <v>3597</v>
      </c>
      <c r="G4" s="627">
        <v>3</v>
      </c>
    </row>
    <row r="5" spans="1:9">
      <c r="A5" t="s">
        <v>186</v>
      </c>
      <c r="B5" s="627">
        <f>B4-1</f>
        <v>7</v>
      </c>
      <c r="D5" t="s">
        <v>3591</v>
      </c>
      <c r="F5" t="s">
        <v>3598</v>
      </c>
      <c r="G5" s="627">
        <v>3</v>
      </c>
    </row>
    <row r="6" spans="1:9">
      <c r="A6" s="65" t="s">
        <v>347</v>
      </c>
      <c r="B6" s="544">
        <f>CHIINV(B3,B5)</f>
        <v>14.067140449340167</v>
      </c>
      <c r="D6" t="s">
        <v>3592</v>
      </c>
      <c r="F6" t="s">
        <v>186</v>
      </c>
      <c r="G6" s="627">
        <f>(G4-1)*(G5-1)</f>
        <v>4</v>
      </c>
      <c r="I6" s="23" t="s">
        <v>3600</v>
      </c>
    </row>
    <row r="7" spans="1:9">
      <c r="D7" t="s">
        <v>2031</v>
      </c>
      <c r="F7" s="65" t="s">
        <v>3094</v>
      </c>
      <c r="G7" s="544">
        <v>0.3</v>
      </c>
    </row>
    <row r="8" spans="1:9">
      <c r="A8" s="65" t="s">
        <v>346</v>
      </c>
      <c r="B8" s="1235">
        <v>3.6372244053728013</v>
      </c>
    </row>
    <row r="9" spans="1:9">
      <c r="A9" s="493" t="s">
        <v>3094</v>
      </c>
      <c r="B9" s="627">
        <f>SQRT(B8/B4)</f>
        <v>0.67427965316447169</v>
      </c>
      <c r="D9" t="s">
        <v>3593</v>
      </c>
      <c r="F9" s="65" t="s">
        <v>106</v>
      </c>
      <c r="G9" s="1235">
        <v>132.60310836704829</v>
      </c>
    </row>
    <row r="10" spans="1:9">
      <c r="A10" s="493" t="s">
        <v>1449</v>
      </c>
      <c r="B10" s="627">
        <f>B9^2*B4</f>
        <v>3.6372244053728018</v>
      </c>
      <c r="D10" t="s">
        <v>3594</v>
      </c>
      <c r="F10" s="493" t="s">
        <v>3488</v>
      </c>
      <c r="G10" s="1354" t="e">
        <f ca="1">[1]!CHISQ_POWER(G7,G9,G6)</f>
        <v>#NAME?</v>
      </c>
      <c r="I10" s="23" t="s">
        <v>3601</v>
      </c>
    </row>
    <row r="11" spans="1:9">
      <c r="A11" s="493" t="s">
        <v>1874</v>
      </c>
      <c r="B11" s="627" t="e">
        <f ca="1">[1]!NCHISQ_DIST(B6,B5,B10,TRUE)</f>
        <v>#NAME?</v>
      </c>
      <c r="D11" t="s">
        <v>3595</v>
      </c>
    </row>
    <row r="12" spans="1:9">
      <c r="A12" s="493" t="s">
        <v>3488</v>
      </c>
      <c r="B12" s="544" t="e">
        <f ca="1">1-B11</f>
        <v>#NAME?</v>
      </c>
      <c r="D12" t="s">
        <v>1198</v>
      </c>
      <c r="F12" t="s">
        <v>3494</v>
      </c>
      <c r="G12" s="756" t="e">
        <f ca="1">[1]!CHISQ_SIZE(G7,G6)</f>
        <v>#NAME?</v>
      </c>
      <c r="I12" s="23" t="s">
        <v>3623</v>
      </c>
    </row>
    <row r="13" spans="1:9">
      <c r="A13" s="1"/>
      <c r="D13" t="s">
        <v>2031</v>
      </c>
    </row>
    <row r="14" spans="1:9">
      <c r="A14" s="25" t="s">
        <v>3494</v>
      </c>
      <c r="B14" s="756" t="e">
        <f ca="1">[1]!CHISQ_POWER(B9,B4,B5)</f>
        <v>#NAME?</v>
      </c>
      <c r="D14" t="s">
        <v>3596</v>
      </c>
    </row>
    <row r="15" spans="1:9">
      <c r="A15" s="1"/>
    </row>
    <row r="16" spans="1:9">
      <c r="A16" s="1"/>
      <c r="F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sheetPr codeName="Sheet333"/>
  <dimension ref="A1:L23"/>
  <sheetViews>
    <sheetView workbookViewId="0"/>
  </sheetViews>
  <sheetFormatPr defaultRowHeight="14.4"/>
  <cols>
    <col min="1" max="1" width="17.33203125" customWidth="1"/>
    <col min="4" max="4" width="10.88671875" customWidth="1"/>
    <col min="6" max="6" width="3.6640625" customWidth="1"/>
    <col min="7" max="7" width="24.5546875" customWidth="1"/>
    <col min="9" max="9" width="10.6640625" customWidth="1"/>
    <col min="11" max="11" width="3.44140625" customWidth="1"/>
    <col min="12" max="12" width="50.5546875" customWidth="1"/>
  </cols>
  <sheetData>
    <row r="1" spans="1:12">
      <c r="A1" s="1" t="s">
        <v>3626</v>
      </c>
    </row>
    <row r="3" spans="1:12">
      <c r="A3" s="25" t="s">
        <v>3604</v>
      </c>
      <c r="D3" t="s">
        <v>114</v>
      </c>
      <c r="E3" t="s">
        <v>3616</v>
      </c>
      <c r="I3" t="s">
        <v>114</v>
      </c>
      <c r="J3" t="s">
        <v>3606</v>
      </c>
    </row>
    <row r="4" spans="1:12">
      <c r="A4" s="1"/>
    </row>
    <row r="5" spans="1:12">
      <c r="A5" t="s">
        <v>106</v>
      </c>
      <c r="B5" s="542">
        <v>50</v>
      </c>
      <c r="D5" t="s">
        <v>3609</v>
      </c>
      <c r="E5" s="1235">
        <f>B8</f>
        <v>1.44</v>
      </c>
      <c r="F5" s="8"/>
      <c r="G5" s="8"/>
      <c r="I5" t="s">
        <v>3609</v>
      </c>
      <c r="J5" s="1235">
        <f>B8</f>
        <v>1.44</v>
      </c>
    </row>
    <row r="6" spans="1:12">
      <c r="A6" t="s">
        <v>186</v>
      </c>
      <c r="B6" s="627">
        <f>B5-1</f>
        <v>49</v>
      </c>
      <c r="D6" t="s">
        <v>3610</v>
      </c>
      <c r="E6" s="627">
        <f>B10</f>
        <v>2.25</v>
      </c>
      <c r="F6" s="8"/>
      <c r="G6" s="8"/>
      <c r="I6" t="s">
        <v>3610</v>
      </c>
      <c r="J6" s="627">
        <f>B10</f>
        <v>2.25</v>
      </c>
    </row>
    <row r="7" spans="1:12">
      <c r="A7" t="s">
        <v>338</v>
      </c>
      <c r="B7" s="627">
        <v>1.2</v>
      </c>
      <c r="D7" s="65" t="s">
        <v>3624</v>
      </c>
      <c r="E7" s="627">
        <f>E6/E5</f>
        <v>1.5625</v>
      </c>
      <c r="F7" s="8"/>
      <c r="G7" s="1160" t="s">
        <v>3611</v>
      </c>
      <c r="I7" s="65" t="s">
        <v>3624</v>
      </c>
      <c r="J7" s="627">
        <f>J6/J5</f>
        <v>1.5625</v>
      </c>
      <c r="L7" s="23" t="s">
        <v>3647</v>
      </c>
    </row>
    <row r="8" spans="1:12">
      <c r="A8" t="s">
        <v>335</v>
      </c>
      <c r="B8" s="627">
        <f>B7^2</f>
        <v>1.44</v>
      </c>
      <c r="D8" s="493" t="s">
        <v>106</v>
      </c>
      <c r="E8" s="627">
        <f>B5</f>
        <v>50</v>
      </c>
      <c r="F8" s="8"/>
      <c r="G8" s="8"/>
      <c r="I8" s="493" t="s">
        <v>106</v>
      </c>
      <c r="J8" s="627">
        <f>B5</f>
        <v>50</v>
      </c>
    </row>
    <row r="9" spans="1:12">
      <c r="A9" t="s">
        <v>340</v>
      </c>
      <c r="B9" s="627">
        <v>1.5</v>
      </c>
      <c r="D9" s="493" t="s">
        <v>186</v>
      </c>
      <c r="E9" s="627">
        <f>E8-1</f>
        <v>49</v>
      </c>
      <c r="F9" s="8"/>
      <c r="G9" s="1160" t="s">
        <v>3612</v>
      </c>
      <c r="I9" s="493" t="s">
        <v>186</v>
      </c>
      <c r="J9" s="627">
        <f>J8-1</f>
        <v>49</v>
      </c>
      <c r="L9" t="s">
        <v>3614</v>
      </c>
    </row>
    <row r="10" spans="1:12">
      <c r="A10" t="s">
        <v>336</v>
      </c>
      <c r="B10" s="627">
        <f>B9^2</f>
        <v>2.25</v>
      </c>
      <c r="D10" s="65" t="s">
        <v>157</v>
      </c>
      <c r="E10" s="627">
        <f>B11</f>
        <v>0.05</v>
      </c>
      <c r="F10" s="8"/>
      <c r="G10" s="8"/>
      <c r="I10" s="65" t="s">
        <v>157</v>
      </c>
      <c r="J10" s="627">
        <f>B11</f>
        <v>0.05</v>
      </c>
    </row>
    <row r="11" spans="1:12">
      <c r="A11" s="65" t="s">
        <v>157</v>
      </c>
      <c r="B11" s="627">
        <v>0.05</v>
      </c>
      <c r="D11" t="s">
        <v>3605</v>
      </c>
      <c r="E11" s="627">
        <f>CHIINV(1-E10,E9)</f>
        <v>33.930305618527832</v>
      </c>
      <c r="F11" s="8"/>
      <c r="G11" s="1160" t="s">
        <v>3957</v>
      </c>
      <c r="I11" t="s">
        <v>3607</v>
      </c>
      <c r="J11" s="627">
        <f>CHIINV(1-J10/2,J9)</f>
        <v>31.554916462667144</v>
      </c>
      <c r="L11" s="23" t="s">
        <v>3958</v>
      </c>
    </row>
    <row r="12" spans="1:12">
      <c r="A12" t="s">
        <v>28</v>
      </c>
      <c r="B12" s="627">
        <f>B6*B10/B8</f>
        <v>76.5625</v>
      </c>
      <c r="D12" s="65" t="s">
        <v>1874</v>
      </c>
      <c r="E12" s="627">
        <f>CHIDIST(E7*E11,E9)</f>
        <v>0.32201654513442834</v>
      </c>
      <c r="F12" s="8"/>
      <c r="G12" s="1160" t="s">
        <v>3956</v>
      </c>
      <c r="I12" t="s">
        <v>3608</v>
      </c>
      <c r="J12" s="627">
        <f>CHIINV(J10/2,J9)</f>
        <v>70.22241356643454</v>
      </c>
      <c r="L12" s="23" t="s">
        <v>3959</v>
      </c>
    </row>
    <row r="13" spans="1:12">
      <c r="A13" t="s">
        <v>1908</v>
      </c>
      <c r="B13" s="627">
        <f>CHIDIST(B12,B6)</f>
        <v>7.1228757540609733E-3</v>
      </c>
      <c r="D13" s="65" t="s">
        <v>3488</v>
      </c>
      <c r="E13" s="544">
        <f>1-E12</f>
        <v>0.67798345486557166</v>
      </c>
      <c r="F13" s="8"/>
      <c r="G13" s="8" t="s">
        <v>3613</v>
      </c>
      <c r="I13" s="65" t="s">
        <v>1874</v>
      </c>
      <c r="J13" s="627">
        <f>CHIDIST(J7*J11,J9)-CHIDIST(J7*J12,J9)</f>
        <v>0.46093480615629912</v>
      </c>
      <c r="L13" s="23" t="s">
        <v>3960</v>
      </c>
    </row>
    <row r="14" spans="1:12">
      <c r="A14" t="s">
        <v>948</v>
      </c>
      <c r="B14" s="699" t="str">
        <f>IF(B13&lt;B11,"yes","no")</f>
        <v>yes</v>
      </c>
      <c r="I14" s="65" t="s">
        <v>3488</v>
      </c>
      <c r="J14" s="544">
        <f>1-J13</f>
        <v>0.53906519384370088</v>
      </c>
      <c r="L14" t="s">
        <v>3615</v>
      </c>
    </row>
    <row r="15" spans="1:12">
      <c r="A15" t="s">
        <v>1909</v>
      </c>
      <c r="B15" s="544">
        <f>CHIINV(B11,B6)</f>
        <v>66.338648862968824</v>
      </c>
    </row>
    <row r="16" spans="1:12">
      <c r="D16" t="s">
        <v>3605</v>
      </c>
      <c r="E16">
        <f>CHIINV(E10,E9)</f>
        <v>66.338648862968824</v>
      </c>
    </row>
    <row r="17" spans="1:12">
      <c r="A17" t="s">
        <v>1910</v>
      </c>
      <c r="D17" s="65" t="s">
        <v>1874</v>
      </c>
      <c r="E17">
        <f>_xlfn.CHISQ.DIST(E16/E7,E9,TRUE)</f>
        <v>0.26607339522118612</v>
      </c>
      <c r="I17" t="s">
        <v>1939</v>
      </c>
    </row>
    <row r="19" spans="1:12">
      <c r="A19" t="s">
        <v>1911</v>
      </c>
      <c r="B19" s="542">
        <f>CHIINV(1-B11/2,B6)</f>
        <v>31.554916462667144</v>
      </c>
      <c r="E19">
        <f>1/J7</f>
        <v>0.64</v>
      </c>
      <c r="I19" t="s">
        <v>3617</v>
      </c>
      <c r="J19" s="1235" t="e">
        <f ca="1">[1]!VAR1_POWER(E7,E8,1,E10)</f>
        <v>#NAME?</v>
      </c>
      <c r="L19" t="s">
        <v>3619</v>
      </c>
    </row>
    <row r="20" spans="1:12">
      <c r="A20" t="s">
        <v>1912</v>
      </c>
      <c r="B20" s="544">
        <f>CHIINV(B11/2,B6)</f>
        <v>70.22241356643454</v>
      </c>
      <c r="I20" t="s">
        <v>3618</v>
      </c>
      <c r="J20" s="544" t="e">
        <f ca="1">[1]!VAR1_POWER(J7,J8,2,J10)</f>
        <v>#NAME?</v>
      </c>
      <c r="L20" t="s">
        <v>3620</v>
      </c>
    </row>
    <row r="22" spans="1:12">
      <c r="I22" t="s">
        <v>3617</v>
      </c>
      <c r="J22" s="1235" t="e">
        <f ca="1">[1]!VAR1_SIZE(E7,0.8,1)</f>
        <v>#NAME?</v>
      </c>
      <c r="L22" s="23" t="s">
        <v>3621</v>
      </c>
    </row>
    <row r="23" spans="1:12">
      <c r="I23" t="s">
        <v>3618</v>
      </c>
      <c r="J23" s="544" t="e">
        <f ca="1">[1]!VAR1_SIZE(J7)</f>
        <v>#NAME?</v>
      </c>
      <c r="L23" s="23" t="s">
        <v>3622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sheetPr codeName="Sheet323"/>
  <dimension ref="A1:F109"/>
  <sheetViews>
    <sheetView workbookViewId="0"/>
  </sheetViews>
  <sheetFormatPr defaultRowHeight="14.4"/>
  <cols>
    <col min="2" max="2" width="9.109375" customWidth="1"/>
  </cols>
  <sheetData>
    <row r="1" spans="1:6">
      <c r="A1" s="1" t="s">
        <v>3493</v>
      </c>
    </row>
    <row r="2" spans="1:6">
      <c r="A2" s="1"/>
    </row>
    <row r="3" spans="1:6">
      <c r="A3" s="912" t="s">
        <v>822</v>
      </c>
      <c r="B3">
        <v>5</v>
      </c>
      <c r="D3" s="19" t="s">
        <v>823</v>
      </c>
      <c r="E3">
        <v>10</v>
      </c>
    </row>
    <row r="4" spans="1:6">
      <c r="A4" s="1"/>
    </row>
    <row r="5" spans="1:6">
      <c r="A5" s="93" t="s">
        <v>1449</v>
      </c>
      <c r="B5">
        <v>0</v>
      </c>
      <c r="C5">
        <v>1</v>
      </c>
      <c r="D5">
        <v>5</v>
      </c>
      <c r="E5">
        <v>10</v>
      </c>
      <c r="F5">
        <v>20</v>
      </c>
    </row>
    <row r="6" spans="1:6">
      <c r="A6" s="93"/>
    </row>
    <row r="7" spans="1:6">
      <c r="A7" s="19" t="s">
        <v>28</v>
      </c>
      <c r="B7" s="19" t="s">
        <v>3484</v>
      </c>
      <c r="C7" s="19" t="s">
        <v>3489</v>
      </c>
      <c r="D7" s="19" t="s">
        <v>3490</v>
      </c>
      <c r="E7" s="19" t="s">
        <v>3491</v>
      </c>
      <c r="F7" s="19" t="s">
        <v>3492</v>
      </c>
    </row>
    <row r="8" spans="1:6">
      <c r="A8">
        <v>0</v>
      </c>
      <c r="B8" t="e">
        <f ca="1">[1]!NF_DIST($A8,$B$3,$E$3,B$5,FALSE)</f>
        <v>#NAME?</v>
      </c>
      <c r="C8" t="e">
        <f ca="1">[1]!NF_DIST($A8,$B$3,$E$3,C$5,FALSE)</f>
        <v>#NAME?</v>
      </c>
      <c r="D8" t="e">
        <f ca="1">[1]!NF_DIST($A8,$B$3,$E$3,D$5,FALSE)</f>
        <v>#NAME?</v>
      </c>
      <c r="E8" t="e">
        <f ca="1">[1]!NF_DIST($A8,$B$3,$E$3,E$5,FALSE)</f>
        <v>#NAME?</v>
      </c>
      <c r="F8" t="e">
        <f ca="1">[1]!NF_DIST($A8,$B$3,$E$3,F$5,FALSE)</f>
        <v>#NAME?</v>
      </c>
    </row>
    <row r="9" spans="1:6">
      <c r="A9">
        <f t="shared" ref="A9:A37" si="0">A8+0.1</f>
        <v>0.1</v>
      </c>
      <c r="B9" t="e">
        <f ca="1">[1]!NF_DIST($A9,$B$3,$E$3,B$5,FALSE)</f>
        <v>#NAME?</v>
      </c>
      <c r="C9" t="e">
        <f ca="1">[1]!NF_DIST($A9,$B$3,$E$3,C$5,FALSE)</f>
        <v>#NAME?</v>
      </c>
      <c r="D9" t="e">
        <f ca="1">[1]!NF_DIST($A9,$B$3,$E$3,D$5,FALSE)</f>
        <v>#NAME?</v>
      </c>
      <c r="E9" t="e">
        <f ca="1">[1]!NF_DIST($A9,$B$3,$E$3,E$5,FALSE)</f>
        <v>#NAME?</v>
      </c>
      <c r="F9" t="e">
        <f ca="1">[1]!NF_DIST($A9,$B$3,$E$3,F$5,FALSE)</f>
        <v>#NAME?</v>
      </c>
    </row>
    <row r="10" spans="1:6">
      <c r="A10">
        <f t="shared" si="0"/>
        <v>0.2</v>
      </c>
      <c r="B10" t="e">
        <f ca="1">[1]!NF_DIST($A10,$B$3,$E$3,B$5,FALSE)</f>
        <v>#NAME?</v>
      </c>
      <c r="C10" t="e">
        <f ca="1">[1]!NF_DIST($A10,$B$3,$E$3,C$5,FALSE)</f>
        <v>#NAME?</v>
      </c>
      <c r="D10" t="e">
        <f ca="1">[1]!NF_DIST($A10,$B$3,$E$3,D$5,FALSE)</f>
        <v>#NAME?</v>
      </c>
      <c r="E10" t="e">
        <f ca="1">[1]!NF_DIST($A10,$B$3,$E$3,E$5,FALSE)</f>
        <v>#NAME?</v>
      </c>
      <c r="F10" t="e">
        <f ca="1">[1]!NF_DIST($A10,$B$3,$E$3,F$5,FALSE)</f>
        <v>#NAME?</v>
      </c>
    </row>
    <row r="11" spans="1:6">
      <c r="A11">
        <f t="shared" si="0"/>
        <v>0.30000000000000004</v>
      </c>
      <c r="B11" t="e">
        <f ca="1">[1]!NF_DIST($A11,$B$3,$E$3,B$5,FALSE)</f>
        <v>#NAME?</v>
      </c>
      <c r="C11" t="e">
        <f ca="1">[1]!NF_DIST($A11,$B$3,$E$3,C$5,FALSE)</f>
        <v>#NAME?</v>
      </c>
      <c r="D11" t="e">
        <f ca="1">[1]!NF_DIST($A11,$B$3,$E$3,D$5,FALSE)</f>
        <v>#NAME?</v>
      </c>
      <c r="E11" t="e">
        <f ca="1">[1]!NF_DIST($A11,$B$3,$E$3,E$5,FALSE)</f>
        <v>#NAME?</v>
      </c>
      <c r="F11" t="e">
        <f ca="1">[1]!NF_DIST($A11,$B$3,$E$3,F$5,FALSE)</f>
        <v>#NAME?</v>
      </c>
    </row>
    <row r="12" spans="1:6">
      <c r="A12">
        <f t="shared" si="0"/>
        <v>0.4</v>
      </c>
      <c r="B12" t="e">
        <f ca="1">[1]!NF_DIST($A12,$B$3,$E$3,B$5,FALSE)</f>
        <v>#NAME?</v>
      </c>
      <c r="C12" t="e">
        <f ca="1">[1]!NF_DIST($A12,$B$3,$E$3,C$5,FALSE)</f>
        <v>#NAME?</v>
      </c>
      <c r="D12" t="e">
        <f ca="1">[1]!NF_DIST($A12,$B$3,$E$3,D$5,FALSE)</f>
        <v>#NAME?</v>
      </c>
      <c r="E12" t="e">
        <f ca="1">[1]!NF_DIST($A12,$B$3,$E$3,E$5,FALSE)</f>
        <v>#NAME?</v>
      </c>
      <c r="F12" t="e">
        <f ca="1">[1]!NF_DIST($A12,$B$3,$E$3,F$5,FALSE)</f>
        <v>#NAME?</v>
      </c>
    </row>
    <row r="13" spans="1:6">
      <c r="A13">
        <f t="shared" si="0"/>
        <v>0.5</v>
      </c>
      <c r="B13" t="e">
        <f ca="1">[1]!NF_DIST($A13,$B$3,$E$3,B$5,FALSE)</f>
        <v>#NAME?</v>
      </c>
      <c r="C13" t="e">
        <f ca="1">[1]!NF_DIST($A13,$B$3,$E$3,C$5,FALSE)</f>
        <v>#NAME?</v>
      </c>
      <c r="D13" t="e">
        <f ca="1">[1]!NF_DIST($A13,$B$3,$E$3,D$5,FALSE)</f>
        <v>#NAME?</v>
      </c>
      <c r="E13" t="e">
        <f ca="1">[1]!NF_DIST($A13,$B$3,$E$3,E$5,FALSE)</f>
        <v>#NAME?</v>
      </c>
      <c r="F13" t="e">
        <f ca="1">[1]!NF_DIST($A13,$B$3,$E$3,F$5,FALSE)</f>
        <v>#NAME?</v>
      </c>
    </row>
    <row r="14" spans="1:6">
      <c r="A14">
        <f t="shared" si="0"/>
        <v>0.6</v>
      </c>
      <c r="B14" t="e">
        <f ca="1">[1]!NF_DIST($A14,$B$3,$E$3,B$5,FALSE)</f>
        <v>#NAME?</v>
      </c>
      <c r="C14" t="e">
        <f ca="1">[1]!NF_DIST($A14,$B$3,$E$3,C$5,FALSE)</f>
        <v>#NAME?</v>
      </c>
      <c r="D14" t="e">
        <f ca="1">[1]!NF_DIST($A14,$B$3,$E$3,D$5,FALSE)</f>
        <v>#NAME?</v>
      </c>
      <c r="E14" t="e">
        <f ca="1">[1]!NF_DIST($A14,$B$3,$E$3,E$5,FALSE)</f>
        <v>#NAME?</v>
      </c>
      <c r="F14" t="e">
        <f ca="1">[1]!NF_DIST($A14,$B$3,$E$3,F$5,FALSE)</f>
        <v>#NAME?</v>
      </c>
    </row>
    <row r="15" spans="1:6">
      <c r="A15">
        <f t="shared" si="0"/>
        <v>0.7</v>
      </c>
      <c r="B15" t="e">
        <f ca="1">[1]!NF_DIST($A15,$B$3,$E$3,B$5,FALSE)</f>
        <v>#NAME?</v>
      </c>
      <c r="C15" t="e">
        <f ca="1">[1]!NF_DIST($A15,$B$3,$E$3,C$5,FALSE)</f>
        <v>#NAME?</v>
      </c>
      <c r="D15" t="e">
        <f ca="1">[1]!NF_DIST($A15,$B$3,$E$3,D$5,FALSE)</f>
        <v>#NAME?</v>
      </c>
      <c r="E15" t="e">
        <f ca="1">[1]!NF_DIST($A15,$B$3,$E$3,E$5,FALSE)</f>
        <v>#NAME?</v>
      </c>
      <c r="F15" t="e">
        <f ca="1">[1]!NF_DIST($A15,$B$3,$E$3,F$5,FALSE)</f>
        <v>#NAME?</v>
      </c>
    </row>
    <row r="16" spans="1:6">
      <c r="A16">
        <f t="shared" si="0"/>
        <v>0.79999999999999993</v>
      </c>
      <c r="B16" t="e">
        <f ca="1">[1]!NF_DIST($A16,$B$3,$E$3,B$5,FALSE)</f>
        <v>#NAME?</v>
      </c>
      <c r="C16" t="e">
        <f ca="1">[1]!NF_DIST($A16,$B$3,$E$3,C$5,FALSE)</f>
        <v>#NAME?</v>
      </c>
      <c r="D16" t="e">
        <f ca="1">[1]!NF_DIST($A16,$B$3,$E$3,D$5,FALSE)</f>
        <v>#NAME?</v>
      </c>
      <c r="E16" t="e">
        <f ca="1">[1]!NF_DIST($A16,$B$3,$E$3,E$5,FALSE)</f>
        <v>#NAME?</v>
      </c>
      <c r="F16" t="e">
        <f ca="1">[1]!NF_DIST($A16,$B$3,$E$3,F$5,FALSE)</f>
        <v>#NAME?</v>
      </c>
    </row>
    <row r="17" spans="1:6">
      <c r="A17">
        <f t="shared" si="0"/>
        <v>0.89999999999999991</v>
      </c>
      <c r="B17" t="e">
        <f ca="1">[1]!NF_DIST($A17,$B$3,$E$3,B$5,FALSE)</f>
        <v>#NAME?</v>
      </c>
      <c r="C17" t="e">
        <f ca="1">[1]!NF_DIST($A17,$B$3,$E$3,C$5,FALSE)</f>
        <v>#NAME?</v>
      </c>
      <c r="D17" t="e">
        <f ca="1">[1]!NF_DIST($A17,$B$3,$E$3,D$5,FALSE)</f>
        <v>#NAME?</v>
      </c>
      <c r="E17" t="e">
        <f ca="1">[1]!NF_DIST($A17,$B$3,$E$3,E$5,FALSE)</f>
        <v>#NAME?</v>
      </c>
      <c r="F17" t="e">
        <f ca="1">[1]!NF_DIST($A17,$B$3,$E$3,F$5,FALSE)</f>
        <v>#NAME?</v>
      </c>
    </row>
    <row r="18" spans="1:6">
      <c r="A18">
        <f t="shared" si="0"/>
        <v>0.99999999999999989</v>
      </c>
      <c r="B18" t="e">
        <f ca="1">[1]!NF_DIST($A18,$B$3,$E$3,B$5,FALSE)</f>
        <v>#NAME?</v>
      </c>
      <c r="C18" t="e">
        <f ca="1">[1]!NF_DIST($A18,$B$3,$E$3,C$5,FALSE)</f>
        <v>#NAME?</v>
      </c>
      <c r="D18" t="e">
        <f ca="1">[1]!NF_DIST($A18,$B$3,$E$3,D$5,FALSE)</f>
        <v>#NAME?</v>
      </c>
      <c r="E18" t="e">
        <f ca="1">[1]!NF_DIST($A18,$B$3,$E$3,E$5,FALSE)</f>
        <v>#NAME?</v>
      </c>
      <c r="F18" t="e">
        <f ca="1">[1]!NF_DIST($A18,$B$3,$E$3,F$5,FALSE)</f>
        <v>#NAME?</v>
      </c>
    </row>
    <row r="19" spans="1:6">
      <c r="A19">
        <f t="shared" si="0"/>
        <v>1.0999999999999999</v>
      </c>
      <c r="B19" t="e">
        <f ca="1">[1]!NF_DIST($A19,$B$3,$E$3,B$5,FALSE)</f>
        <v>#NAME?</v>
      </c>
      <c r="C19" t="e">
        <f ca="1">[1]!NF_DIST($A19,$B$3,$E$3,C$5,FALSE)</f>
        <v>#NAME?</v>
      </c>
      <c r="D19" t="e">
        <f ca="1">[1]!NF_DIST($A19,$B$3,$E$3,D$5,FALSE)</f>
        <v>#NAME?</v>
      </c>
      <c r="E19" t="e">
        <f ca="1">[1]!NF_DIST($A19,$B$3,$E$3,E$5,FALSE)</f>
        <v>#NAME?</v>
      </c>
      <c r="F19" t="e">
        <f ca="1">[1]!NF_DIST($A19,$B$3,$E$3,F$5,FALSE)</f>
        <v>#NAME?</v>
      </c>
    </row>
    <row r="20" spans="1:6">
      <c r="A20">
        <f t="shared" si="0"/>
        <v>1.2</v>
      </c>
      <c r="B20" t="e">
        <f ca="1">[1]!NF_DIST($A20,$B$3,$E$3,B$5,FALSE)</f>
        <v>#NAME?</v>
      </c>
      <c r="C20" t="e">
        <f ca="1">[1]!NF_DIST($A20,$B$3,$E$3,C$5,FALSE)</f>
        <v>#NAME?</v>
      </c>
      <c r="D20" t="e">
        <f ca="1">[1]!NF_DIST($A20,$B$3,$E$3,D$5,FALSE)</f>
        <v>#NAME?</v>
      </c>
      <c r="E20" t="e">
        <f ca="1">[1]!NF_DIST($A20,$B$3,$E$3,E$5,FALSE)</f>
        <v>#NAME?</v>
      </c>
      <c r="F20" t="e">
        <f ca="1">[1]!NF_DIST($A20,$B$3,$E$3,F$5,FALSE)</f>
        <v>#NAME?</v>
      </c>
    </row>
    <row r="21" spans="1:6">
      <c r="A21">
        <f t="shared" si="0"/>
        <v>1.3</v>
      </c>
      <c r="B21" t="e">
        <f ca="1">[1]!NF_DIST($A21,$B$3,$E$3,B$5,FALSE)</f>
        <v>#NAME?</v>
      </c>
      <c r="C21" t="e">
        <f ca="1">[1]!NF_DIST($A21,$B$3,$E$3,C$5,FALSE)</f>
        <v>#NAME?</v>
      </c>
      <c r="D21" t="e">
        <f ca="1">[1]!NF_DIST($A21,$B$3,$E$3,D$5,FALSE)</f>
        <v>#NAME?</v>
      </c>
      <c r="E21" t="e">
        <f ca="1">[1]!NF_DIST($A21,$B$3,$E$3,E$5,FALSE)</f>
        <v>#NAME?</v>
      </c>
      <c r="F21" t="e">
        <f ca="1">[1]!NF_DIST($A21,$B$3,$E$3,F$5,FALSE)</f>
        <v>#NAME?</v>
      </c>
    </row>
    <row r="22" spans="1:6">
      <c r="A22">
        <f t="shared" si="0"/>
        <v>1.4000000000000001</v>
      </c>
      <c r="B22" t="e">
        <f ca="1">[1]!NF_DIST($A22,$B$3,$E$3,B$5,FALSE)</f>
        <v>#NAME?</v>
      </c>
      <c r="C22" t="e">
        <f ca="1">[1]!NF_DIST($A22,$B$3,$E$3,C$5,FALSE)</f>
        <v>#NAME?</v>
      </c>
      <c r="D22" t="e">
        <f ca="1">[1]!NF_DIST($A22,$B$3,$E$3,D$5,FALSE)</f>
        <v>#NAME?</v>
      </c>
      <c r="E22" t="e">
        <f ca="1">[1]!NF_DIST($A22,$B$3,$E$3,E$5,FALSE)</f>
        <v>#NAME?</v>
      </c>
      <c r="F22" t="e">
        <f ca="1">[1]!NF_DIST($A22,$B$3,$E$3,F$5,FALSE)</f>
        <v>#NAME?</v>
      </c>
    </row>
    <row r="23" spans="1:6">
      <c r="A23">
        <f t="shared" si="0"/>
        <v>1.5000000000000002</v>
      </c>
      <c r="B23" t="e">
        <f ca="1">[1]!NF_DIST($A23,$B$3,$E$3,B$5,FALSE)</f>
        <v>#NAME?</v>
      </c>
      <c r="C23" t="e">
        <f ca="1">[1]!NF_DIST($A23,$B$3,$E$3,C$5,FALSE)</f>
        <v>#NAME?</v>
      </c>
      <c r="D23" t="e">
        <f ca="1">[1]!NF_DIST($A23,$B$3,$E$3,D$5,FALSE)</f>
        <v>#NAME?</v>
      </c>
      <c r="E23" t="e">
        <f ca="1">[1]!NF_DIST($A23,$B$3,$E$3,E$5,FALSE)</f>
        <v>#NAME?</v>
      </c>
      <c r="F23" t="e">
        <f ca="1">[1]!NF_DIST($A23,$B$3,$E$3,F$5,FALSE)</f>
        <v>#NAME?</v>
      </c>
    </row>
    <row r="24" spans="1:6">
      <c r="A24">
        <f t="shared" si="0"/>
        <v>1.6000000000000003</v>
      </c>
      <c r="B24" t="e">
        <f ca="1">[1]!NF_DIST($A24,$B$3,$E$3,B$5,FALSE)</f>
        <v>#NAME?</v>
      </c>
      <c r="C24" t="e">
        <f ca="1">[1]!NF_DIST($A24,$B$3,$E$3,C$5,FALSE)</f>
        <v>#NAME?</v>
      </c>
      <c r="D24" t="e">
        <f ca="1">[1]!NF_DIST($A24,$B$3,$E$3,D$5,FALSE)</f>
        <v>#NAME?</v>
      </c>
      <c r="E24" t="e">
        <f ca="1">[1]!NF_DIST($A24,$B$3,$E$3,E$5,FALSE)</f>
        <v>#NAME?</v>
      </c>
      <c r="F24" t="e">
        <f ca="1">[1]!NF_DIST($A24,$B$3,$E$3,F$5,FALSE)</f>
        <v>#NAME?</v>
      </c>
    </row>
    <row r="25" spans="1:6">
      <c r="A25">
        <f t="shared" si="0"/>
        <v>1.7000000000000004</v>
      </c>
      <c r="B25" t="e">
        <f ca="1">[1]!NF_DIST($A25,$B$3,$E$3,B$5,FALSE)</f>
        <v>#NAME?</v>
      </c>
      <c r="C25" t="e">
        <f ca="1">[1]!NF_DIST($A25,$B$3,$E$3,C$5,FALSE)</f>
        <v>#NAME?</v>
      </c>
      <c r="D25" t="e">
        <f ca="1">[1]!NF_DIST($A25,$B$3,$E$3,D$5,FALSE)</f>
        <v>#NAME?</v>
      </c>
      <c r="E25" t="e">
        <f ca="1">[1]!NF_DIST($A25,$B$3,$E$3,E$5,FALSE)</f>
        <v>#NAME?</v>
      </c>
      <c r="F25" t="e">
        <f ca="1">[1]!NF_DIST($A25,$B$3,$E$3,F$5,FALSE)</f>
        <v>#NAME?</v>
      </c>
    </row>
    <row r="26" spans="1:6">
      <c r="A26">
        <f t="shared" si="0"/>
        <v>1.8000000000000005</v>
      </c>
      <c r="B26" t="e">
        <f ca="1">[1]!NF_DIST($A26,$B$3,$E$3,B$5,FALSE)</f>
        <v>#NAME?</v>
      </c>
      <c r="C26" t="e">
        <f ca="1">[1]!NF_DIST($A26,$B$3,$E$3,C$5,FALSE)</f>
        <v>#NAME?</v>
      </c>
      <c r="D26" t="e">
        <f ca="1">[1]!NF_DIST($A26,$B$3,$E$3,D$5,FALSE)</f>
        <v>#NAME?</v>
      </c>
      <c r="E26" t="e">
        <f ca="1">[1]!NF_DIST($A26,$B$3,$E$3,E$5,FALSE)</f>
        <v>#NAME?</v>
      </c>
      <c r="F26" t="e">
        <f ca="1">[1]!NF_DIST($A26,$B$3,$E$3,F$5,FALSE)</f>
        <v>#NAME?</v>
      </c>
    </row>
    <row r="27" spans="1:6">
      <c r="A27">
        <f t="shared" si="0"/>
        <v>1.9000000000000006</v>
      </c>
      <c r="B27" t="e">
        <f ca="1">[1]!NF_DIST($A27,$B$3,$E$3,B$5,FALSE)</f>
        <v>#NAME?</v>
      </c>
      <c r="C27" t="e">
        <f ca="1">[1]!NF_DIST($A27,$B$3,$E$3,C$5,FALSE)</f>
        <v>#NAME?</v>
      </c>
      <c r="D27" t="e">
        <f ca="1">[1]!NF_DIST($A27,$B$3,$E$3,D$5,FALSE)</f>
        <v>#NAME?</v>
      </c>
      <c r="E27" t="e">
        <f ca="1">[1]!NF_DIST($A27,$B$3,$E$3,E$5,FALSE)</f>
        <v>#NAME?</v>
      </c>
      <c r="F27" t="e">
        <f ca="1">[1]!NF_DIST($A27,$B$3,$E$3,F$5,FALSE)</f>
        <v>#NAME?</v>
      </c>
    </row>
    <row r="28" spans="1:6">
      <c r="A28">
        <f t="shared" si="0"/>
        <v>2.0000000000000004</v>
      </c>
      <c r="B28" t="e">
        <f ca="1">[1]!NF_DIST($A28,$B$3,$E$3,B$5,FALSE)</f>
        <v>#NAME?</v>
      </c>
      <c r="C28" t="e">
        <f ca="1">[1]!NF_DIST($A28,$B$3,$E$3,C$5,FALSE)</f>
        <v>#NAME?</v>
      </c>
      <c r="D28" t="e">
        <f ca="1">[1]!NF_DIST($A28,$B$3,$E$3,D$5,FALSE)</f>
        <v>#NAME?</v>
      </c>
      <c r="E28" t="e">
        <f ca="1">[1]!NF_DIST($A28,$B$3,$E$3,E$5,FALSE)</f>
        <v>#NAME?</v>
      </c>
      <c r="F28" t="e">
        <f ca="1">[1]!NF_DIST($A28,$B$3,$E$3,F$5,FALSE)</f>
        <v>#NAME?</v>
      </c>
    </row>
    <row r="29" spans="1:6">
      <c r="A29">
        <f t="shared" si="0"/>
        <v>2.1000000000000005</v>
      </c>
      <c r="B29" t="e">
        <f ca="1">[1]!NF_DIST($A29,$B$3,$E$3,B$5,FALSE)</f>
        <v>#NAME?</v>
      </c>
      <c r="C29" t="e">
        <f ca="1">[1]!NF_DIST($A29,$B$3,$E$3,C$5,FALSE)</f>
        <v>#NAME?</v>
      </c>
      <c r="D29" t="e">
        <f ca="1">[1]!NF_DIST($A29,$B$3,$E$3,D$5,FALSE)</f>
        <v>#NAME?</v>
      </c>
      <c r="E29" t="e">
        <f ca="1">[1]!NF_DIST($A29,$B$3,$E$3,E$5,FALSE)</f>
        <v>#NAME?</v>
      </c>
      <c r="F29" t="e">
        <f ca="1">[1]!NF_DIST($A29,$B$3,$E$3,F$5,FALSE)</f>
        <v>#NAME?</v>
      </c>
    </row>
    <row r="30" spans="1:6">
      <c r="A30">
        <f t="shared" si="0"/>
        <v>2.2000000000000006</v>
      </c>
      <c r="B30" t="e">
        <f ca="1">[1]!NF_DIST($A30,$B$3,$E$3,B$5,FALSE)</f>
        <v>#NAME?</v>
      </c>
      <c r="C30" t="e">
        <f ca="1">[1]!NF_DIST($A30,$B$3,$E$3,C$5,FALSE)</f>
        <v>#NAME?</v>
      </c>
      <c r="D30" t="e">
        <f ca="1">[1]!NF_DIST($A30,$B$3,$E$3,D$5,FALSE)</f>
        <v>#NAME?</v>
      </c>
      <c r="E30" t="e">
        <f ca="1">[1]!NF_DIST($A30,$B$3,$E$3,E$5,FALSE)</f>
        <v>#NAME?</v>
      </c>
      <c r="F30" t="e">
        <f ca="1">[1]!NF_DIST($A30,$B$3,$E$3,F$5,FALSE)</f>
        <v>#NAME?</v>
      </c>
    </row>
    <row r="31" spans="1:6">
      <c r="A31">
        <f t="shared" si="0"/>
        <v>2.3000000000000007</v>
      </c>
      <c r="B31" t="e">
        <f ca="1">[1]!NF_DIST($A31,$B$3,$E$3,B$5,FALSE)</f>
        <v>#NAME?</v>
      </c>
      <c r="C31" t="e">
        <f ca="1">[1]!NF_DIST($A31,$B$3,$E$3,C$5,FALSE)</f>
        <v>#NAME?</v>
      </c>
      <c r="D31" t="e">
        <f ca="1">[1]!NF_DIST($A31,$B$3,$E$3,D$5,FALSE)</f>
        <v>#NAME?</v>
      </c>
      <c r="E31" t="e">
        <f ca="1">[1]!NF_DIST($A31,$B$3,$E$3,E$5,FALSE)</f>
        <v>#NAME?</v>
      </c>
      <c r="F31" t="e">
        <f ca="1">[1]!NF_DIST($A31,$B$3,$E$3,F$5,FALSE)</f>
        <v>#NAME?</v>
      </c>
    </row>
    <row r="32" spans="1:6">
      <c r="A32">
        <f t="shared" si="0"/>
        <v>2.4000000000000008</v>
      </c>
      <c r="B32" t="e">
        <f ca="1">[1]!NF_DIST($A32,$B$3,$E$3,B$5,FALSE)</f>
        <v>#NAME?</v>
      </c>
      <c r="C32" t="e">
        <f ca="1">[1]!NF_DIST($A32,$B$3,$E$3,C$5,FALSE)</f>
        <v>#NAME?</v>
      </c>
      <c r="D32" t="e">
        <f ca="1">[1]!NF_DIST($A32,$B$3,$E$3,D$5,FALSE)</f>
        <v>#NAME?</v>
      </c>
      <c r="E32" t="e">
        <f ca="1">[1]!NF_DIST($A32,$B$3,$E$3,E$5,FALSE)</f>
        <v>#NAME?</v>
      </c>
      <c r="F32" t="e">
        <f ca="1">[1]!NF_DIST($A32,$B$3,$E$3,F$5,FALSE)</f>
        <v>#NAME?</v>
      </c>
    </row>
    <row r="33" spans="1:6">
      <c r="A33">
        <f t="shared" si="0"/>
        <v>2.5000000000000009</v>
      </c>
      <c r="B33" t="e">
        <f ca="1">[1]!NF_DIST($A33,$B$3,$E$3,B$5,FALSE)</f>
        <v>#NAME?</v>
      </c>
      <c r="C33" t="e">
        <f ca="1">[1]!NF_DIST($A33,$B$3,$E$3,C$5,FALSE)</f>
        <v>#NAME?</v>
      </c>
      <c r="D33" t="e">
        <f ca="1">[1]!NF_DIST($A33,$B$3,$E$3,D$5,FALSE)</f>
        <v>#NAME?</v>
      </c>
      <c r="E33" t="e">
        <f ca="1">[1]!NF_DIST($A33,$B$3,$E$3,E$5,FALSE)</f>
        <v>#NAME?</v>
      </c>
      <c r="F33" t="e">
        <f ca="1">[1]!NF_DIST($A33,$B$3,$E$3,F$5,FALSE)</f>
        <v>#NAME?</v>
      </c>
    </row>
    <row r="34" spans="1:6">
      <c r="A34">
        <f t="shared" si="0"/>
        <v>2.600000000000001</v>
      </c>
      <c r="B34" t="e">
        <f ca="1">[1]!NF_DIST($A34,$B$3,$E$3,B$5,FALSE)</f>
        <v>#NAME?</v>
      </c>
      <c r="C34" t="e">
        <f ca="1">[1]!NF_DIST($A34,$B$3,$E$3,C$5,FALSE)</f>
        <v>#NAME?</v>
      </c>
      <c r="D34" t="e">
        <f ca="1">[1]!NF_DIST($A34,$B$3,$E$3,D$5,FALSE)</f>
        <v>#NAME?</v>
      </c>
      <c r="E34" t="e">
        <f ca="1">[1]!NF_DIST($A34,$B$3,$E$3,E$5,FALSE)</f>
        <v>#NAME?</v>
      </c>
      <c r="F34" t="e">
        <f ca="1">[1]!NF_DIST($A34,$B$3,$E$3,F$5,FALSE)</f>
        <v>#NAME?</v>
      </c>
    </row>
    <row r="35" spans="1:6">
      <c r="A35">
        <f t="shared" si="0"/>
        <v>2.7000000000000011</v>
      </c>
      <c r="B35" t="e">
        <f ca="1">[1]!NF_DIST($A35,$B$3,$E$3,B$5,FALSE)</f>
        <v>#NAME?</v>
      </c>
      <c r="C35" t="e">
        <f ca="1">[1]!NF_DIST($A35,$B$3,$E$3,C$5,FALSE)</f>
        <v>#NAME?</v>
      </c>
      <c r="D35" t="e">
        <f ca="1">[1]!NF_DIST($A35,$B$3,$E$3,D$5,FALSE)</f>
        <v>#NAME?</v>
      </c>
      <c r="E35" t="e">
        <f ca="1">[1]!NF_DIST($A35,$B$3,$E$3,E$5,FALSE)</f>
        <v>#NAME?</v>
      </c>
      <c r="F35" t="e">
        <f ca="1">[1]!NF_DIST($A35,$B$3,$E$3,F$5,FALSE)</f>
        <v>#NAME?</v>
      </c>
    </row>
    <row r="36" spans="1:6">
      <c r="A36">
        <f t="shared" si="0"/>
        <v>2.8000000000000012</v>
      </c>
      <c r="B36" t="e">
        <f ca="1">[1]!NF_DIST($A36,$B$3,$E$3,B$5,FALSE)</f>
        <v>#NAME?</v>
      </c>
      <c r="C36" t="e">
        <f ca="1">[1]!NF_DIST($A36,$B$3,$E$3,C$5,FALSE)</f>
        <v>#NAME?</v>
      </c>
      <c r="D36" t="e">
        <f ca="1">[1]!NF_DIST($A36,$B$3,$E$3,D$5,FALSE)</f>
        <v>#NAME?</v>
      </c>
      <c r="E36" t="e">
        <f ca="1">[1]!NF_DIST($A36,$B$3,$E$3,E$5,FALSE)</f>
        <v>#NAME?</v>
      </c>
      <c r="F36" t="e">
        <f ca="1">[1]!NF_DIST($A36,$B$3,$E$3,F$5,FALSE)</f>
        <v>#NAME?</v>
      </c>
    </row>
    <row r="37" spans="1:6">
      <c r="A37">
        <f t="shared" si="0"/>
        <v>2.9000000000000012</v>
      </c>
      <c r="B37" t="e">
        <f ca="1">[1]!NF_DIST($A37,$B$3,$E$3,B$5,FALSE)</f>
        <v>#NAME?</v>
      </c>
      <c r="C37" t="e">
        <f ca="1">[1]!NF_DIST($A37,$B$3,$E$3,C$5,FALSE)</f>
        <v>#NAME?</v>
      </c>
      <c r="D37" t="e">
        <f ca="1">[1]!NF_DIST($A37,$B$3,$E$3,D$5,FALSE)</f>
        <v>#NAME?</v>
      </c>
      <c r="E37" t="e">
        <f ca="1">[1]!NF_DIST($A37,$B$3,$E$3,E$5,FALSE)</f>
        <v>#NAME?</v>
      </c>
      <c r="F37" t="e">
        <f ca="1">[1]!NF_DIST($A37,$B$3,$E$3,F$5,FALSE)</f>
        <v>#NAME?</v>
      </c>
    </row>
    <row r="38" spans="1:6">
      <c r="A38">
        <f t="shared" ref="A38:A101" si="1">A37+0.1</f>
        <v>3.0000000000000013</v>
      </c>
      <c r="B38" t="e">
        <f ca="1">[1]!NF_DIST($A38,$B$3,$E$3,B$5,FALSE)</f>
        <v>#NAME?</v>
      </c>
      <c r="C38" t="e">
        <f ca="1">[1]!NF_DIST($A38,$B$3,$E$3,C$5,FALSE)</f>
        <v>#NAME?</v>
      </c>
      <c r="D38" t="e">
        <f ca="1">[1]!NF_DIST($A38,$B$3,$E$3,D$5,FALSE)</f>
        <v>#NAME?</v>
      </c>
      <c r="E38" t="e">
        <f ca="1">[1]!NF_DIST($A38,$B$3,$E$3,E$5,FALSE)</f>
        <v>#NAME?</v>
      </c>
      <c r="F38" t="e">
        <f ca="1">[1]!NF_DIST($A38,$B$3,$E$3,F$5,FALSE)</f>
        <v>#NAME?</v>
      </c>
    </row>
    <row r="39" spans="1:6">
      <c r="A39">
        <f t="shared" si="1"/>
        <v>3.1000000000000014</v>
      </c>
      <c r="B39" t="e">
        <f ca="1">[1]!NF_DIST($A39,$B$3,$E$3,B$5,FALSE)</f>
        <v>#NAME?</v>
      </c>
      <c r="C39" t="e">
        <f ca="1">[1]!NF_DIST($A39,$B$3,$E$3,C$5,FALSE)</f>
        <v>#NAME?</v>
      </c>
      <c r="D39" t="e">
        <f ca="1">[1]!NF_DIST($A39,$B$3,$E$3,D$5,FALSE)</f>
        <v>#NAME?</v>
      </c>
      <c r="E39" t="e">
        <f ca="1">[1]!NF_DIST($A39,$B$3,$E$3,E$5,FALSE)</f>
        <v>#NAME?</v>
      </c>
      <c r="F39" t="e">
        <f ca="1">[1]!NF_DIST($A39,$B$3,$E$3,F$5,FALSE)</f>
        <v>#NAME?</v>
      </c>
    </row>
    <row r="40" spans="1:6">
      <c r="A40">
        <f t="shared" si="1"/>
        <v>3.2000000000000015</v>
      </c>
      <c r="B40" t="e">
        <f ca="1">[1]!NF_DIST($A40,$B$3,$E$3,B$5,FALSE)</f>
        <v>#NAME?</v>
      </c>
      <c r="C40" t="e">
        <f ca="1">[1]!NF_DIST($A40,$B$3,$E$3,C$5,FALSE)</f>
        <v>#NAME?</v>
      </c>
      <c r="D40" t="e">
        <f ca="1">[1]!NF_DIST($A40,$B$3,$E$3,D$5,FALSE)</f>
        <v>#NAME?</v>
      </c>
      <c r="E40" t="e">
        <f ca="1">[1]!NF_DIST($A40,$B$3,$E$3,E$5,FALSE)</f>
        <v>#NAME?</v>
      </c>
      <c r="F40" t="e">
        <f ca="1">[1]!NF_DIST($A40,$B$3,$E$3,F$5,FALSE)</f>
        <v>#NAME?</v>
      </c>
    </row>
    <row r="41" spans="1:6">
      <c r="A41">
        <f t="shared" si="1"/>
        <v>3.3000000000000016</v>
      </c>
      <c r="B41" t="e">
        <f ca="1">[1]!NF_DIST($A41,$B$3,$E$3,B$5,FALSE)</f>
        <v>#NAME?</v>
      </c>
      <c r="C41" t="e">
        <f ca="1">[1]!NF_DIST($A41,$B$3,$E$3,C$5,FALSE)</f>
        <v>#NAME?</v>
      </c>
      <c r="D41" t="e">
        <f ca="1">[1]!NF_DIST($A41,$B$3,$E$3,D$5,FALSE)</f>
        <v>#NAME?</v>
      </c>
      <c r="E41" t="e">
        <f ca="1">[1]!NF_DIST($A41,$B$3,$E$3,E$5,FALSE)</f>
        <v>#NAME?</v>
      </c>
      <c r="F41" t="e">
        <f ca="1">[1]!NF_DIST($A41,$B$3,$E$3,F$5,FALSE)</f>
        <v>#NAME?</v>
      </c>
    </row>
    <row r="42" spans="1:6">
      <c r="A42">
        <f t="shared" si="1"/>
        <v>3.4000000000000017</v>
      </c>
      <c r="B42" t="e">
        <f ca="1">[1]!NF_DIST($A42,$B$3,$E$3,B$5,FALSE)</f>
        <v>#NAME?</v>
      </c>
      <c r="C42" t="e">
        <f ca="1">[1]!NF_DIST($A42,$B$3,$E$3,C$5,FALSE)</f>
        <v>#NAME?</v>
      </c>
      <c r="D42" t="e">
        <f ca="1">[1]!NF_DIST($A42,$B$3,$E$3,D$5,FALSE)</f>
        <v>#NAME?</v>
      </c>
      <c r="E42" t="e">
        <f ca="1">[1]!NF_DIST($A42,$B$3,$E$3,E$5,FALSE)</f>
        <v>#NAME?</v>
      </c>
      <c r="F42" t="e">
        <f ca="1">[1]!NF_DIST($A42,$B$3,$E$3,F$5,FALSE)</f>
        <v>#NAME?</v>
      </c>
    </row>
    <row r="43" spans="1:6">
      <c r="A43">
        <f t="shared" si="1"/>
        <v>3.5000000000000018</v>
      </c>
      <c r="B43" t="e">
        <f ca="1">[1]!NF_DIST($A43,$B$3,$E$3,B$5,FALSE)</f>
        <v>#NAME?</v>
      </c>
      <c r="C43" t="e">
        <f ca="1">[1]!NF_DIST($A43,$B$3,$E$3,C$5,FALSE)</f>
        <v>#NAME?</v>
      </c>
      <c r="D43" t="e">
        <f ca="1">[1]!NF_DIST($A43,$B$3,$E$3,D$5,FALSE)</f>
        <v>#NAME?</v>
      </c>
      <c r="E43" t="e">
        <f ca="1">[1]!NF_DIST($A43,$B$3,$E$3,E$5,FALSE)</f>
        <v>#NAME?</v>
      </c>
      <c r="F43" t="e">
        <f ca="1">[1]!NF_DIST($A43,$B$3,$E$3,F$5,FALSE)</f>
        <v>#NAME?</v>
      </c>
    </row>
    <row r="44" spans="1:6">
      <c r="A44">
        <f t="shared" si="1"/>
        <v>3.6000000000000019</v>
      </c>
      <c r="B44" t="e">
        <f ca="1">[1]!NF_DIST($A44,$B$3,$E$3,B$5,FALSE)</f>
        <v>#NAME?</v>
      </c>
      <c r="C44" t="e">
        <f ca="1">[1]!NF_DIST($A44,$B$3,$E$3,C$5,FALSE)</f>
        <v>#NAME?</v>
      </c>
      <c r="D44" t="e">
        <f ca="1">[1]!NF_DIST($A44,$B$3,$E$3,D$5,FALSE)</f>
        <v>#NAME?</v>
      </c>
      <c r="E44" t="e">
        <f ca="1">[1]!NF_DIST($A44,$B$3,$E$3,E$5,FALSE)</f>
        <v>#NAME?</v>
      </c>
      <c r="F44" t="e">
        <f ca="1">[1]!NF_DIST($A44,$B$3,$E$3,F$5,FALSE)</f>
        <v>#NAME?</v>
      </c>
    </row>
    <row r="45" spans="1:6">
      <c r="A45">
        <f t="shared" si="1"/>
        <v>3.700000000000002</v>
      </c>
      <c r="B45" t="e">
        <f ca="1">[1]!NF_DIST($A45,$B$3,$E$3,B$5,FALSE)</f>
        <v>#NAME?</v>
      </c>
      <c r="C45" t="e">
        <f ca="1">[1]!NF_DIST($A45,$B$3,$E$3,C$5,FALSE)</f>
        <v>#NAME?</v>
      </c>
      <c r="D45" t="e">
        <f ca="1">[1]!NF_DIST($A45,$B$3,$E$3,D$5,FALSE)</f>
        <v>#NAME?</v>
      </c>
      <c r="E45" t="e">
        <f ca="1">[1]!NF_DIST($A45,$B$3,$E$3,E$5,FALSE)</f>
        <v>#NAME?</v>
      </c>
      <c r="F45" t="e">
        <f ca="1">[1]!NF_DIST($A45,$B$3,$E$3,F$5,FALSE)</f>
        <v>#NAME?</v>
      </c>
    </row>
    <row r="46" spans="1:6">
      <c r="A46">
        <f t="shared" si="1"/>
        <v>3.800000000000002</v>
      </c>
      <c r="B46" t="e">
        <f ca="1">[1]!NF_DIST($A46,$B$3,$E$3,B$5,FALSE)</f>
        <v>#NAME?</v>
      </c>
      <c r="C46" t="e">
        <f ca="1">[1]!NF_DIST($A46,$B$3,$E$3,C$5,FALSE)</f>
        <v>#NAME?</v>
      </c>
      <c r="D46" t="e">
        <f ca="1">[1]!NF_DIST($A46,$B$3,$E$3,D$5,FALSE)</f>
        <v>#NAME?</v>
      </c>
      <c r="E46" t="e">
        <f ca="1">[1]!NF_DIST($A46,$B$3,$E$3,E$5,FALSE)</f>
        <v>#NAME?</v>
      </c>
      <c r="F46" t="e">
        <f ca="1">[1]!NF_DIST($A46,$B$3,$E$3,F$5,FALSE)</f>
        <v>#NAME?</v>
      </c>
    </row>
    <row r="47" spans="1:6">
      <c r="A47">
        <f t="shared" si="1"/>
        <v>3.9000000000000021</v>
      </c>
      <c r="B47" t="e">
        <f ca="1">[1]!NF_DIST($A47,$B$3,$E$3,B$5,FALSE)</f>
        <v>#NAME?</v>
      </c>
      <c r="C47" t="e">
        <f ca="1">[1]!NF_DIST($A47,$B$3,$E$3,C$5,FALSE)</f>
        <v>#NAME?</v>
      </c>
      <c r="D47" t="e">
        <f ca="1">[1]!NF_DIST($A47,$B$3,$E$3,D$5,FALSE)</f>
        <v>#NAME?</v>
      </c>
      <c r="E47" t="e">
        <f ca="1">[1]!NF_DIST($A47,$B$3,$E$3,E$5,FALSE)</f>
        <v>#NAME?</v>
      </c>
      <c r="F47" t="e">
        <f ca="1">[1]!NF_DIST($A47,$B$3,$E$3,F$5,FALSE)</f>
        <v>#NAME?</v>
      </c>
    </row>
    <row r="48" spans="1:6">
      <c r="A48">
        <f t="shared" si="1"/>
        <v>4.0000000000000018</v>
      </c>
      <c r="B48" t="e">
        <f ca="1">[1]!NF_DIST($A48,$B$3,$E$3,B$5,FALSE)</f>
        <v>#NAME?</v>
      </c>
      <c r="C48" t="e">
        <f ca="1">[1]!NF_DIST($A48,$B$3,$E$3,C$5,FALSE)</f>
        <v>#NAME?</v>
      </c>
      <c r="D48" t="e">
        <f ca="1">[1]!NF_DIST($A48,$B$3,$E$3,D$5,FALSE)</f>
        <v>#NAME?</v>
      </c>
      <c r="E48" t="e">
        <f ca="1">[1]!NF_DIST($A48,$B$3,$E$3,E$5,FALSE)</f>
        <v>#NAME?</v>
      </c>
      <c r="F48" t="e">
        <f ca="1">[1]!NF_DIST($A48,$B$3,$E$3,F$5,FALSE)</f>
        <v>#NAME?</v>
      </c>
    </row>
    <row r="49" spans="1:6">
      <c r="A49">
        <f t="shared" si="1"/>
        <v>4.1000000000000014</v>
      </c>
      <c r="B49" t="e">
        <f ca="1">[1]!NF_DIST($A49,$B$3,$E$3,B$5,FALSE)</f>
        <v>#NAME?</v>
      </c>
      <c r="C49" t="e">
        <f ca="1">[1]!NF_DIST($A49,$B$3,$E$3,C$5,FALSE)</f>
        <v>#NAME?</v>
      </c>
      <c r="D49" t="e">
        <f ca="1">[1]!NF_DIST($A49,$B$3,$E$3,D$5,FALSE)</f>
        <v>#NAME?</v>
      </c>
      <c r="E49" t="e">
        <f ca="1">[1]!NF_DIST($A49,$B$3,$E$3,E$5,FALSE)</f>
        <v>#NAME?</v>
      </c>
      <c r="F49" t="e">
        <f ca="1">[1]!NF_DIST($A49,$B$3,$E$3,F$5,FALSE)</f>
        <v>#NAME?</v>
      </c>
    </row>
    <row r="50" spans="1:6">
      <c r="A50">
        <f t="shared" si="1"/>
        <v>4.2000000000000011</v>
      </c>
      <c r="B50" t="e">
        <f ca="1">[1]!NF_DIST($A50,$B$3,$E$3,B$5,FALSE)</f>
        <v>#NAME?</v>
      </c>
      <c r="C50" t="e">
        <f ca="1">[1]!NF_DIST($A50,$B$3,$E$3,C$5,FALSE)</f>
        <v>#NAME?</v>
      </c>
      <c r="D50" t="e">
        <f ca="1">[1]!NF_DIST($A50,$B$3,$E$3,D$5,FALSE)</f>
        <v>#NAME?</v>
      </c>
      <c r="E50" t="e">
        <f ca="1">[1]!NF_DIST($A50,$B$3,$E$3,E$5,FALSE)</f>
        <v>#NAME?</v>
      </c>
      <c r="F50" t="e">
        <f ca="1">[1]!NF_DIST($A50,$B$3,$E$3,F$5,FALSE)</f>
        <v>#NAME?</v>
      </c>
    </row>
    <row r="51" spans="1:6">
      <c r="A51">
        <f t="shared" si="1"/>
        <v>4.3000000000000007</v>
      </c>
      <c r="B51" t="e">
        <f ca="1">[1]!NF_DIST($A51,$B$3,$E$3,B$5,FALSE)</f>
        <v>#NAME?</v>
      </c>
      <c r="C51" t="e">
        <f ca="1">[1]!NF_DIST($A51,$B$3,$E$3,C$5,FALSE)</f>
        <v>#NAME?</v>
      </c>
      <c r="D51" t="e">
        <f ca="1">[1]!NF_DIST($A51,$B$3,$E$3,D$5,FALSE)</f>
        <v>#NAME?</v>
      </c>
      <c r="E51" t="e">
        <f ca="1">[1]!NF_DIST($A51,$B$3,$E$3,E$5,FALSE)</f>
        <v>#NAME?</v>
      </c>
      <c r="F51" t="e">
        <f ca="1">[1]!NF_DIST($A51,$B$3,$E$3,F$5,FALSE)</f>
        <v>#NAME?</v>
      </c>
    </row>
    <row r="52" spans="1:6">
      <c r="A52">
        <f t="shared" si="1"/>
        <v>4.4000000000000004</v>
      </c>
      <c r="B52" t="e">
        <f ca="1">[1]!NF_DIST($A52,$B$3,$E$3,B$5,FALSE)</f>
        <v>#NAME?</v>
      </c>
      <c r="C52" t="e">
        <f ca="1">[1]!NF_DIST($A52,$B$3,$E$3,C$5,FALSE)</f>
        <v>#NAME?</v>
      </c>
      <c r="D52" t="e">
        <f ca="1">[1]!NF_DIST($A52,$B$3,$E$3,D$5,FALSE)</f>
        <v>#NAME?</v>
      </c>
      <c r="E52" t="e">
        <f ca="1">[1]!NF_DIST($A52,$B$3,$E$3,E$5,FALSE)</f>
        <v>#NAME?</v>
      </c>
      <c r="F52" t="e">
        <f ca="1">[1]!NF_DIST($A52,$B$3,$E$3,F$5,FALSE)</f>
        <v>#NAME?</v>
      </c>
    </row>
    <row r="53" spans="1:6">
      <c r="A53">
        <f t="shared" si="1"/>
        <v>4.5</v>
      </c>
      <c r="B53" t="e">
        <f ca="1">[1]!NF_DIST($A53,$B$3,$E$3,B$5,FALSE)</f>
        <v>#NAME?</v>
      </c>
      <c r="C53" t="e">
        <f ca="1">[1]!NF_DIST($A53,$B$3,$E$3,C$5,FALSE)</f>
        <v>#NAME?</v>
      </c>
      <c r="D53" t="e">
        <f ca="1">[1]!NF_DIST($A53,$B$3,$E$3,D$5,FALSE)</f>
        <v>#NAME?</v>
      </c>
      <c r="E53" t="e">
        <f ca="1">[1]!NF_DIST($A53,$B$3,$E$3,E$5,FALSE)</f>
        <v>#NAME?</v>
      </c>
      <c r="F53" t="e">
        <f ca="1">[1]!NF_DIST($A53,$B$3,$E$3,F$5,FALSE)</f>
        <v>#NAME?</v>
      </c>
    </row>
    <row r="54" spans="1:6">
      <c r="A54">
        <f t="shared" si="1"/>
        <v>4.5999999999999996</v>
      </c>
      <c r="B54" t="e">
        <f ca="1">[1]!NF_DIST($A54,$B$3,$E$3,B$5,FALSE)</f>
        <v>#NAME?</v>
      </c>
      <c r="C54" t="e">
        <f ca="1">[1]!NF_DIST($A54,$B$3,$E$3,C$5,FALSE)</f>
        <v>#NAME?</v>
      </c>
      <c r="D54" t="e">
        <f ca="1">[1]!NF_DIST($A54,$B$3,$E$3,D$5,FALSE)</f>
        <v>#NAME?</v>
      </c>
      <c r="E54" t="e">
        <f ca="1">[1]!NF_DIST($A54,$B$3,$E$3,E$5,FALSE)</f>
        <v>#NAME?</v>
      </c>
      <c r="F54" t="e">
        <f ca="1">[1]!NF_DIST($A54,$B$3,$E$3,F$5,FALSE)</f>
        <v>#NAME?</v>
      </c>
    </row>
    <row r="55" spans="1:6">
      <c r="A55">
        <f t="shared" si="1"/>
        <v>4.6999999999999993</v>
      </c>
      <c r="B55" t="e">
        <f ca="1">[1]!NF_DIST($A55,$B$3,$E$3,B$5,FALSE)</f>
        <v>#NAME?</v>
      </c>
      <c r="C55" t="e">
        <f ca="1">[1]!NF_DIST($A55,$B$3,$E$3,C$5,FALSE)</f>
        <v>#NAME?</v>
      </c>
      <c r="D55" t="e">
        <f ca="1">[1]!NF_DIST($A55,$B$3,$E$3,D$5,FALSE)</f>
        <v>#NAME?</v>
      </c>
      <c r="E55" t="e">
        <f ca="1">[1]!NF_DIST($A55,$B$3,$E$3,E$5,FALSE)</f>
        <v>#NAME?</v>
      </c>
      <c r="F55" t="e">
        <f ca="1">[1]!NF_DIST($A55,$B$3,$E$3,F$5,FALSE)</f>
        <v>#NAME?</v>
      </c>
    </row>
    <row r="56" spans="1:6">
      <c r="A56">
        <f t="shared" si="1"/>
        <v>4.7999999999999989</v>
      </c>
      <c r="B56" t="e">
        <f ca="1">[1]!NF_DIST($A56,$B$3,$E$3,B$5,FALSE)</f>
        <v>#NAME?</v>
      </c>
      <c r="C56" t="e">
        <f ca="1">[1]!NF_DIST($A56,$B$3,$E$3,C$5,FALSE)</f>
        <v>#NAME?</v>
      </c>
      <c r="D56" t="e">
        <f ca="1">[1]!NF_DIST($A56,$B$3,$E$3,D$5,FALSE)</f>
        <v>#NAME?</v>
      </c>
      <c r="E56" t="e">
        <f ca="1">[1]!NF_DIST($A56,$B$3,$E$3,E$5,FALSE)</f>
        <v>#NAME?</v>
      </c>
      <c r="F56" t="e">
        <f ca="1">[1]!NF_DIST($A56,$B$3,$E$3,F$5,FALSE)</f>
        <v>#NAME?</v>
      </c>
    </row>
    <row r="57" spans="1:6">
      <c r="A57">
        <f t="shared" si="1"/>
        <v>4.8999999999999986</v>
      </c>
      <c r="B57" t="e">
        <f ca="1">[1]!NF_DIST($A57,$B$3,$E$3,B$5,FALSE)</f>
        <v>#NAME?</v>
      </c>
      <c r="C57" t="e">
        <f ca="1">[1]!NF_DIST($A57,$B$3,$E$3,C$5,FALSE)</f>
        <v>#NAME?</v>
      </c>
      <c r="D57" t="e">
        <f ca="1">[1]!NF_DIST($A57,$B$3,$E$3,D$5,FALSE)</f>
        <v>#NAME?</v>
      </c>
      <c r="E57" t="e">
        <f ca="1">[1]!NF_DIST($A57,$B$3,$E$3,E$5,FALSE)</f>
        <v>#NAME?</v>
      </c>
      <c r="F57" t="e">
        <f ca="1">[1]!NF_DIST($A57,$B$3,$E$3,F$5,FALSE)</f>
        <v>#NAME?</v>
      </c>
    </row>
    <row r="58" spans="1:6">
      <c r="A58">
        <f t="shared" si="1"/>
        <v>4.9999999999999982</v>
      </c>
      <c r="B58" t="e">
        <f ca="1">[1]!NF_DIST($A58,$B$3,$E$3,B$5,FALSE)</f>
        <v>#NAME?</v>
      </c>
      <c r="C58" t="e">
        <f ca="1">[1]!NF_DIST($A58,$B$3,$E$3,C$5,FALSE)</f>
        <v>#NAME?</v>
      </c>
      <c r="D58" t="e">
        <f ca="1">[1]!NF_DIST($A58,$B$3,$E$3,D$5,FALSE)</f>
        <v>#NAME?</v>
      </c>
      <c r="E58" t="e">
        <f ca="1">[1]!NF_DIST($A58,$B$3,$E$3,E$5,FALSE)</f>
        <v>#NAME?</v>
      </c>
      <c r="F58" t="e">
        <f ca="1">[1]!NF_DIST($A58,$B$3,$E$3,F$5,FALSE)</f>
        <v>#NAME?</v>
      </c>
    </row>
    <row r="59" spans="1:6">
      <c r="A59">
        <f t="shared" si="1"/>
        <v>5.0999999999999979</v>
      </c>
      <c r="B59" t="e">
        <f ca="1">[1]!NF_DIST($A59,$B$3,$E$3,B$5,FALSE)</f>
        <v>#NAME?</v>
      </c>
      <c r="C59" t="e">
        <f ca="1">[1]!NF_DIST($A59,$B$3,$E$3,C$5,FALSE)</f>
        <v>#NAME?</v>
      </c>
      <c r="D59" t="e">
        <f ca="1">[1]!NF_DIST($A59,$B$3,$E$3,D$5,FALSE)</f>
        <v>#NAME?</v>
      </c>
      <c r="E59" t="e">
        <f ca="1">[1]!NF_DIST($A59,$B$3,$E$3,E$5,FALSE)</f>
        <v>#NAME?</v>
      </c>
      <c r="F59" t="e">
        <f ca="1">[1]!NF_DIST($A59,$B$3,$E$3,F$5,FALSE)</f>
        <v>#NAME?</v>
      </c>
    </row>
    <row r="60" spans="1:6">
      <c r="A60">
        <f t="shared" si="1"/>
        <v>5.1999999999999975</v>
      </c>
      <c r="B60" t="e">
        <f ca="1">[1]!NF_DIST($A60,$B$3,$E$3,B$5,FALSE)</f>
        <v>#NAME?</v>
      </c>
      <c r="C60" t="e">
        <f ca="1">[1]!NF_DIST($A60,$B$3,$E$3,C$5,FALSE)</f>
        <v>#NAME?</v>
      </c>
      <c r="D60" t="e">
        <f ca="1">[1]!NF_DIST($A60,$B$3,$E$3,D$5,FALSE)</f>
        <v>#NAME?</v>
      </c>
      <c r="E60" t="e">
        <f ca="1">[1]!NF_DIST($A60,$B$3,$E$3,E$5,FALSE)</f>
        <v>#NAME?</v>
      </c>
      <c r="F60" t="e">
        <f ca="1">[1]!NF_DIST($A60,$B$3,$E$3,F$5,FALSE)</f>
        <v>#NAME?</v>
      </c>
    </row>
    <row r="61" spans="1:6">
      <c r="A61">
        <f t="shared" si="1"/>
        <v>5.2999999999999972</v>
      </c>
      <c r="B61" t="e">
        <f ca="1">[1]!NF_DIST($A61,$B$3,$E$3,B$5,FALSE)</f>
        <v>#NAME?</v>
      </c>
      <c r="C61" t="e">
        <f ca="1">[1]!NF_DIST($A61,$B$3,$E$3,C$5,FALSE)</f>
        <v>#NAME?</v>
      </c>
      <c r="D61" t="e">
        <f ca="1">[1]!NF_DIST($A61,$B$3,$E$3,D$5,FALSE)</f>
        <v>#NAME?</v>
      </c>
      <c r="E61" t="e">
        <f ca="1">[1]!NF_DIST($A61,$B$3,$E$3,E$5,FALSE)</f>
        <v>#NAME?</v>
      </c>
      <c r="F61" t="e">
        <f ca="1">[1]!NF_DIST($A61,$B$3,$E$3,F$5,FALSE)</f>
        <v>#NAME?</v>
      </c>
    </row>
    <row r="62" spans="1:6">
      <c r="A62">
        <f t="shared" si="1"/>
        <v>5.3999999999999968</v>
      </c>
      <c r="B62" t="e">
        <f ca="1">[1]!NF_DIST($A62,$B$3,$E$3,B$5,FALSE)</f>
        <v>#NAME?</v>
      </c>
      <c r="C62" t="e">
        <f ca="1">[1]!NF_DIST($A62,$B$3,$E$3,C$5,FALSE)</f>
        <v>#NAME?</v>
      </c>
      <c r="D62" t="e">
        <f ca="1">[1]!NF_DIST($A62,$B$3,$E$3,D$5,FALSE)</f>
        <v>#NAME?</v>
      </c>
      <c r="E62" t="e">
        <f ca="1">[1]!NF_DIST($A62,$B$3,$E$3,E$5,FALSE)</f>
        <v>#NAME?</v>
      </c>
      <c r="F62" t="e">
        <f ca="1">[1]!NF_DIST($A62,$B$3,$E$3,F$5,FALSE)</f>
        <v>#NAME?</v>
      </c>
    </row>
    <row r="63" spans="1:6">
      <c r="A63">
        <f t="shared" si="1"/>
        <v>5.4999999999999964</v>
      </c>
      <c r="B63" t="e">
        <f ca="1">[1]!NF_DIST($A63,$B$3,$E$3,B$5,FALSE)</f>
        <v>#NAME?</v>
      </c>
      <c r="C63" t="e">
        <f ca="1">[1]!NF_DIST($A63,$B$3,$E$3,C$5,FALSE)</f>
        <v>#NAME?</v>
      </c>
      <c r="D63" t="e">
        <f ca="1">[1]!NF_DIST($A63,$B$3,$E$3,D$5,FALSE)</f>
        <v>#NAME?</v>
      </c>
      <c r="E63" t="e">
        <f ca="1">[1]!NF_DIST($A63,$B$3,$E$3,E$5,FALSE)</f>
        <v>#NAME?</v>
      </c>
      <c r="F63" t="e">
        <f ca="1">[1]!NF_DIST($A63,$B$3,$E$3,F$5,FALSE)</f>
        <v>#NAME?</v>
      </c>
    </row>
    <row r="64" spans="1:6">
      <c r="A64">
        <f t="shared" si="1"/>
        <v>5.5999999999999961</v>
      </c>
      <c r="B64" t="e">
        <f ca="1">[1]!NF_DIST($A64,$B$3,$E$3,B$5,FALSE)</f>
        <v>#NAME?</v>
      </c>
      <c r="C64" t="e">
        <f ca="1">[1]!NF_DIST($A64,$B$3,$E$3,C$5,FALSE)</f>
        <v>#NAME?</v>
      </c>
      <c r="D64" t="e">
        <f ca="1">[1]!NF_DIST($A64,$B$3,$E$3,D$5,FALSE)</f>
        <v>#NAME?</v>
      </c>
      <c r="E64" t="e">
        <f ca="1">[1]!NF_DIST($A64,$B$3,$E$3,E$5,FALSE)</f>
        <v>#NAME?</v>
      </c>
      <c r="F64" t="e">
        <f ca="1">[1]!NF_DIST($A64,$B$3,$E$3,F$5,FALSE)</f>
        <v>#NAME?</v>
      </c>
    </row>
    <row r="65" spans="1:6">
      <c r="A65">
        <f t="shared" si="1"/>
        <v>5.6999999999999957</v>
      </c>
      <c r="B65" t="e">
        <f ca="1">[1]!NF_DIST($A65,$B$3,$E$3,B$5,FALSE)</f>
        <v>#NAME?</v>
      </c>
      <c r="C65" t="e">
        <f ca="1">[1]!NF_DIST($A65,$B$3,$E$3,C$5,FALSE)</f>
        <v>#NAME?</v>
      </c>
      <c r="D65" t="e">
        <f ca="1">[1]!NF_DIST($A65,$B$3,$E$3,D$5,FALSE)</f>
        <v>#NAME?</v>
      </c>
      <c r="E65" t="e">
        <f ca="1">[1]!NF_DIST($A65,$B$3,$E$3,E$5,FALSE)</f>
        <v>#NAME?</v>
      </c>
      <c r="F65" t="e">
        <f ca="1">[1]!NF_DIST($A65,$B$3,$E$3,F$5,FALSE)</f>
        <v>#NAME?</v>
      </c>
    </row>
    <row r="66" spans="1:6">
      <c r="A66">
        <f t="shared" si="1"/>
        <v>5.7999999999999954</v>
      </c>
      <c r="B66" t="e">
        <f ca="1">[1]!NF_DIST($A66,$B$3,$E$3,B$5,FALSE)</f>
        <v>#NAME?</v>
      </c>
      <c r="C66" t="e">
        <f ca="1">[1]!NF_DIST($A66,$B$3,$E$3,C$5,FALSE)</f>
        <v>#NAME?</v>
      </c>
      <c r="D66" t="e">
        <f ca="1">[1]!NF_DIST($A66,$B$3,$E$3,D$5,FALSE)</f>
        <v>#NAME?</v>
      </c>
      <c r="E66" t="e">
        <f ca="1">[1]!NF_DIST($A66,$B$3,$E$3,E$5,FALSE)</f>
        <v>#NAME?</v>
      </c>
      <c r="F66" t="e">
        <f ca="1">[1]!NF_DIST($A66,$B$3,$E$3,F$5,FALSE)</f>
        <v>#NAME?</v>
      </c>
    </row>
    <row r="67" spans="1:6">
      <c r="A67">
        <f t="shared" si="1"/>
        <v>5.899999999999995</v>
      </c>
      <c r="B67" t="e">
        <f ca="1">[1]!NF_DIST($A67,$B$3,$E$3,B$5,FALSE)</f>
        <v>#NAME?</v>
      </c>
      <c r="C67" t="e">
        <f ca="1">[1]!NF_DIST($A67,$B$3,$E$3,C$5,FALSE)</f>
        <v>#NAME?</v>
      </c>
      <c r="D67" t="e">
        <f ca="1">[1]!NF_DIST($A67,$B$3,$E$3,D$5,FALSE)</f>
        <v>#NAME?</v>
      </c>
      <c r="E67" t="e">
        <f ca="1">[1]!NF_DIST($A67,$B$3,$E$3,E$5,FALSE)</f>
        <v>#NAME?</v>
      </c>
      <c r="F67" t="e">
        <f ca="1">[1]!NF_DIST($A67,$B$3,$E$3,F$5,FALSE)</f>
        <v>#NAME?</v>
      </c>
    </row>
    <row r="68" spans="1:6">
      <c r="A68">
        <f t="shared" si="1"/>
        <v>5.9999999999999947</v>
      </c>
      <c r="B68" t="e">
        <f ca="1">[1]!NF_DIST($A68,$B$3,$E$3,B$5,FALSE)</f>
        <v>#NAME?</v>
      </c>
      <c r="C68" t="e">
        <f ca="1">[1]!NF_DIST($A68,$B$3,$E$3,C$5,FALSE)</f>
        <v>#NAME?</v>
      </c>
      <c r="D68" t="e">
        <f ca="1">[1]!NF_DIST($A68,$B$3,$E$3,D$5,FALSE)</f>
        <v>#NAME?</v>
      </c>
      <c r="E68" t="e">
        <f ca="1">[1]!NF_DIST($A68,$B$3,$E$3,E$5,FALSE)</f>
        <v>#NAME?</v>
      </c>
      <c r="F68" t="e">
        <f ca="1">[1]!NF_DIST($A68,$B$3,$E$3,F$5,FALSE)</f>
        <v>#NAME?</v>
      </c>
    </row>
    <row r="69" spans="1:6">
      <c r="A69">
        <f t="shared" si="1"/>
        <v>6.0999999999999943</v>
      </c>
      <c r="B69" t="e">
        <f ca="1">[1]!NF_DIST($A69,$B$3,$E$3,B$5,FALSE)</f>
        <v>#NAME?</v>
      </c>
      <c r="C69" t="e">
        <f ca="1">[1]!NF_DIST($A69,$B$3,$E$3,C$5,FALSE)</f>
        <v>#NAME?</v>
      </c>
      <c r="D69" t="e">
        <f ca="1">[1]!NF_DIST($A69,$B$3,$E$3,D$5,FALSE)</f>
        <v>#NAME?</v>
      </c>
      <c r="E69" t="e">
        <f ca="1">[1]!NF_DIST($A69,$B$3,$E$3,E$5,FALSE)</f>
        <v>#NAME?</v>
      </c>
      <c r="F69" t="e">
        <f ca="1">[1]!NF_DIST($A69,$B$3,$E$3,F$5,FALSE)</f>
        <v>#NAME?</v>
      </c>
    </row>
    <row r="70" spans="1:6">
      <c r="A70">
        <f t="shared" si="1"/>
        <v>6.199999999999994</v>
      </c>
      <c r="B70" t="e">
        <f ca="1">[1]!NF_DIST($A70,$B$3,$E$3,B$5,FALSE)</f>
        <v>#NAME?</v>
      </c>
      <c r="C70" t="e">
        <f ca="1">[1]!NF_DIST($A70,$B$3,$E$3,C$5,FALSE)</f>
        <v>#NAME?</v>
      </c>
      <c r="D70" t="e">
        <f ca="1">[1]!NF_DIST($A70,$B$3,$E$3,D$5,FALSE)</f>
        <v>#NAME?</v>
      </c>
      <c r="E70" t="e">
        <f ca="1">[1]!NF_DIST($A70,$B$3,$E$3,E$5,FALSE)</f>
        <v>#NAME?</v>
      </c>
      <c r="F70" t="e">
        <f ca="1">[1]!NF_DIST($A70,$B$3,$E$3,F$5,FALSE)</f>
        <v>#NAME?</v>
      </c>
    </row>
    <row r="71" spans="1:6">
      <c r="A71">
        <f t="shared" si="1"/>
        <v>6.2999999999999936</v>
      </c>
      <c r="B71" t="e">
        <f ca="1">[1]!NF_DIST($A71,$B$3,$E$3,B$5,FALSE)</f>
        <v>#NAME?</v>
      </c>
      <c r="C71" t="e">
        <f ca="1">[1]!NF_DIST($A71,$B$3,$E$3,C$5,FALSE)</f>
        <v>#NAME?</v>
      </c>
      <c r="D71" t="e">
        <f ca="1">[1]!NF_DIST($A71,$B$3,$E$3,D$5,FALSE)</f>
        <v>#NAME?</v>
      </c>
      <c r="E71" t="e">
        <f ca="1">[1]!NF_DIST($A71,$B$3,$E$3,E$5,FALSE)</f>
        <v>#NAME?</v>
      </c>
      <c r="F71" t="e">
        <f ca="1">[1]!NF_DIST($A71,$B$3,$E$3,F$5,FALSE)</f>
        <v>#NAME?</v>
      </c>
    </row>
    <row r="72" spans="1:6">
      <c r="A72">
        <f t="shared" si="1"/>
        <v>6.3999999999999932</v>
      </c>
      <c r="B72" t="e">
        <f ca="1">[1]!NF_DIST($A72,$B$3,$E$3,B$5,FALSE)</f>
        <v>#NAME?</v>
      </c>
      <c r="C72" t="e">
        <f ca="1">[1]!NF_DIST($A72,$B$3,$E$3,C$5,FALSE)</f>
        <v>#NAME?</v>
      </c>
      <c r="D72" t="e">
        <f ca="1">[1]!NF_DIST($A72,$B$3,$E$3,D$5,FALSE)</f>
        <v>#NAME?</v>
      </c>
      <c r="E72" t="e">
        <f ca="1">[1]!NF_DIST($A72,$B$3,$E$3,E$5,FALSE)</f>
        <v>#NAME?</v>
      </c>
      <c r="F72" t="e">
        <f ca="1">[1]!NF_DIST($A72,$B$3,$E$3,F$5,FALSE)</f>
        <v>#NAME?</v>
      </c>
    </row>
    <row r="73" spans="1:6">
      <c r="A73">
        <f t="shared" si="1"/>
        <v>6.4999999999999929</v>
      </c>
      <c r="B73" t="e">
        <f ca="1">[1]!NF_DIST($A73,$B$3,$E$3,B$5,FALSE)</f>
        <v>#NAME?</v>
      </c>
      <c r="C73" t="e">
        <f ca="1">[1]!NF_DIST($A73,$B$3,$E$3,C$5,FALSE)</f>
        <v>#NAME?</v>
      </c>
      <c r="D73" t="e">
        <f ca="1">[1]!NF_DIST($A73,$B$3,$E$3,D$5,FALSE)</f>
        <v>#NAME?</v>
      </c>
      <c r="E73" t="e">
        <f ca="1">[1]!NF_DIST($A73,$B$3,$E$3,E$5,FALSE)</f>
        <v>#NAME?</v>
      </c>
      <c r="F73" t="e">
        <f ca="1">[1]!NF_DIST($A73,$B$3,$E$3,F$5,FALSE)</f>
        <v>#NAME?</v>
      </c>
    </row>
    <row r="74" spans="1:6">
      <c r="A74">
        <f t="shared" si="1"/>
        <v>6.5999999999999925</v>
      </c>
      <c r="B74" t="e">
        <f ca="1">[1]!NF_DIST($A74,$B$3,$E$3,B$5,FALSE)</f>
        <v>#NAME?</v>
      </c>
      <c r="C74" t="e">
        <f ca="1">[1]!NF_DIST($A74,$B$3,$E$3,C$5,FALSE)</f>
        <v>#NAME?</v>
      </c>
      <c r="D74" t="e">
        <f ca="1">[1]!NF_DIST($A74,$B$3,$E$3,D$5,FALSE)</f>
        <v>#NAME?</v>
      </c>
      <c r="E74" t="e">
        <f ca="1">[1]!NF_DIST($A74,$B$3,$E$3,E$5,FALSE)</f>
        <v>#NAME?</v>
      </c>
      <c r="F74" t="e">
        <f ca="1">[1]!NF_DIST($A74,$B$3,$E$3,F$5,FALSE)</f>
        <v>#NAME?</v>
      </c>
    </row>
    <row r="75" spans="1:6">
      <c r="A75">
        <f t="shared" si="1"/>
        <v>6.6999999999999922</v>
      </c>
      <c r="B75" t="e">
        <f ca="1">[1]!NF_DIST($A75,$B$3,$E$3,B$5,FALSE)</f>
        <v>#NAME?</v>
      </c>
      <c r="C75" t="e">
        <f ca="1">[1]!NF_DIST($A75,$B$3,$E$3,C$5,FALSE)</f>
        <v>#NAME?</v>
      </c>
      <c r="D75" t="e">
        <f ca="1">[1]!NF_DIST($A75,$B$3,$E$3,D$5,FALSE)</f>
        <v>#NAME?</v>
      </c>
      <c r="E75" t="e">
        <f ca="1">[1]!NF_DIST($A75,$B$3,$E$3,E$5,FALSE)</f>
        <v>#NAME?</v>
      </c>
      <c r="F75" t="e">
        <f ca="1">[1]!NF_DIST($A75,$B$3,$E$3,F$5,FALSE)</f>
        <v>#NAME?</v>
      </c>
    </row>
    <row r="76" spans="1:6">
      <c r="A76">
        <f t="shared" si="1"/>
        <v>6.7999999999999918</v>
      </c>
      <c r="B76" t="e">
        <f ca="1">[1]!NF_DIST($A76,$B$3,$E$3,B$5,FALSE)</f>
        <v>#NAME?</v>
      </c>
      <c r="C76" t="e">
        <f ca="1">[1]!NF_DIST($A76,$B$3,$E$3,C$5,FALSE)</f>
        <v>#NAME?</v>
      </c>
      <c r="D76" t="e">
        <f ca="1">[1]!NF_DIST($A76,$B$3,$E$3,D$5,FALSE)</f>
        <v>#NAME?</v>
      </c>
      <c r="E76" t="e">
        <f ca="1">[1]!NF_DIST($A76,$B$3,$E$3,E$5,FALSE)</f>
        <v>#NAME?</v>
      </c>
      <c r="F76" t="e">
        <f ca="1">[1]!NF_DIST($A76,$B$3,$E$3,F$5,FALSE)</f>
        <v>#NAME?</v>
      </c>
    </row>
    <row r="77" spans="1:6">
      <c r="A77">
        <f t="shared" si="1"/>
        <v>6.8999999999999915</v>
      </c>
      <c r="B77" t="e">
        <f ca="1">[1]!NF_DIST($A77,$B$3,$E$3,B$5,FALSE)</f>
        <v>#NAME?</v>
      </c>
      <c r="C77" t="e">
        <f ca="1">[1]!NF_DIST($A77,$B$3,$E$3,C$5,FALSE)</f>
        <v>#NAME?</v>
      </c>
      <c r="D77" t="e">
        <f ca="1">[1]!NF_DIST($A77,$B$3,$E$3,D$5,FALSE)</f>
        <v>#NAME?</v>
      </c>
      <c r="E77" t="e">
        <f ca="1">[1]!NF_DIST($A77,$B$3,$E$3,E$5,FALSE)</f>
        <v>#NAME?</v>
      </c>
      <c r="F77" t="e">
        <f ca="1">[1]!NF_DIST($A77,$B$3,$E$3,F$5,FALSE)</f>
        <v>#NAME?</v>
      </c>
    </row>
    <row r="78" spans="1:6">
      <c r="A78">
        <f t="shared" si="1"/>
        <v>6.9999999999999911</v>
      </c>
      <c r="B78" t="e">
        <f ca="1">[1]!NF_DIST($A78,$B$3,$E$3,B$5,FALSE)</f>
        <v>#NAME?</v>
      </c>
      <c r="C78" t="e">
        <f ca="1">[1]!NF_DIST($A78,$B$3,$E$3,C$5,FALSE)</f>
        <v>#NAME?</v>
      </c>
      <c r="D78" t="e">
        <f ca="1">[1]!NF_DIST($A78,$B$3,$E$3,D$5,FALSE)</f>
        <v>#NAME?</v>
      </c>
      <c r="E78" t="e">
        <f ca="1">[1]!NF_DIST($A78,$B$3,$E$3,E$5,FALSE)</f>
        <v>#NAME?</v>
      </c>
      <c r="F78" t="e">
        <f ca="1">[1]!NF_DIST($A78,$B$3,$E$3,F$5,FALSE)</f>
        <v>#NAME?</v>
      </c>
    </row>
    <row r="79" spans="1:6">
      <c r="A79">
        <f t="shared" si="1"/>
        <v>7.0999999999999908</v>
      </c>
      <c r="B79" t="e">
        <f ca="1">[1]!NF_DIST($A79,$B$3,$E$3,B$5,FALSE)</f>
        <v>#NAME?</v>
      </c>
      <c r="C79" t="e">
        <f ca="1">[1]!NF_DIST($A79,$B$3,$E$3,C$5,FALSE)</f>
        <v>#NAME?</v>
      </c>
      <c r="D79" t="e">
        <f ca="1">[1]!NF_DIST($A79,$B$3,$E$3,D$5,FALSE)</f>
        <v>#NAME?</v>
      </c>
      <c r="E79" t="e">
        <f ca="1">[1]!NF_DIST($A79,$B$3,$E$3,E$5,FALSE)</f>
        <v>#NAME?</v>
      </c>
      <c r="F79" t="e">
        <f ca="1">[1]!NF_DIST($A79,$B$3,$E$3,F$5,FALSE)</f>
        <v>#NAME?</v>
      </c>
    </row>
    <row r="80" spans="1:6">
      <c r="A80">
        <f t="shared" si="1"/>
        <v>7.1999999999999904</v>
      </c>
      <c r="B80" t="e">
        <f ca="1">[1]!NF_DIST($A80,$B$3,$E$3,B$5,FALSE)</f>
        <v>#NAME?</v>
      </c>
      <c r="C80" t="e">
        <f ca="1">[1]!NF_DIST($A80,$B$3,$E$3,C$5,FALSE)</f>
        <v>#NAME?</v>
      </c>
      <c r="D80" t="e">
        <f ca="1">[1]!NF_DIST($A80,$B$3,$E$3,D$5,FALSE)</f>
        <v>#NAME?</v>
      </c>
      <c r="E80" t="e">
        <f ca="1">[1]!NF_DIST($A80,$B$3,$E$3,E$5,FALSE)</f>
        <v>#NAME?</v>
      </c>
      <c r="F80" t="e">
        <f ca="1">[1]!NF_DIST($A80,$B$3,$E$3,F$5,FALSE)</f>
        <v>#NAME?</v>
      </c>
    </row>
    <row r="81" spans="1:6">
      <c r="A81">
        <f t="shared" si="1"/>
        <v>7.2999999999999901</v>
      </c>
      <c r="B81" t="e">
        <f ca="1">[1]!NF_DIST($A81,$B$3,$E$3,B$5,FALSE)</f>
        <v>#NAME?</v>
      </c>
      <c r="C81" t="e">
        <f ca="1">[1]!NF_DIST($A81,$B$3,$E$3,C$5,FALSE)</f>
        <v>#NAME?</v>
      </c>
      <c r="D81" t="e">
        <f ca="1">[1]!NF_DIST($A81,$B$3,$E$3,D$5,FALSE)</f>
        <v>#NAME?</v>
      </c>
      <c r="E81" t="e">
        <f ca="1">[1]!NF_DIST($A81,$B$3,$E$3,E$5,FALSE)</f>
        <v>#NAME?</v>
      </c>
      <c r="F81" t="e">
        <f ca="1">[1]!NF_DIST($A81,$B$3,$E$3,F$5,FALSE)</f>
        <v>#NAME?</v>
      </c>
    </row>
    <row r="82" spans="1:6">
      <c r="A82">
        <f t="shared" si="1"/>
        <v>7.3999999999999897</v>
      </c>
      <c r="B82" t="e">
        <f ca="1">[1]!NF_DIST($A82,$B$3,$E$3,B$5,FALSE)</f>
        <v>#NAME?</v>
      </c>
      <c r="C82" t="e">
        <f ca="1">[1]!NF_DIST($A82,$B$3,$E$3,C$5,FALSE)</f>
        <v>#NAME?</v>
      </c>
      <c r="D82" t="e">
        <f ca="1">[1]!NF_DIST($A82,$B$3,$E$3,D$5,FALSE)</f>
        <v>#NAME?</v>
      </c>
      <c r="E82" t="e">
        <f ca="1">[1]!NF_DIST($A82,$B$3,$E$3,E$5,FALSE)</f>
        <v>#NAME?</v>
      </c>
      <c r="F82" t="e">
        <f ca="1">[1]!NF_DIST($A82,$B$3,$E$3,F$5,FALSE)</f>
        <v>#NAME?</v>
      </c>
    </row>
    <row r="83" spans="1:6">
      <c r="A83">
        <f t="shared" si="1"/>
        <v>7.4999999999999893</v>
      </c>
      <c r="B83" t="e">
        <f ca="1">[1]!NF_DIST($A83,$B$3,$E$3,B$5,FALSE)</f>
        <v>#NAME?</v>
      </c>
      <c r="C83" t="e">
        <f ca="1">[1]!NF_DIST($A83,$B$3,$E$3,C$5,FALSE)</f>
        <v>#NAME?</v>
      </c>
      <c r="D83" t="e">
        <f ca="1">[1]!NF_DIST($A83,$B$3,$E$3,D$5,FALSE)</f>
        <v>#NAME?</v>
      </c>
      <c r="E83" t="e">
        <f ca="1">[1]!NF_DIST($A83,$B$3,$E$3,E$5,FALSE)</f>
        <v>#NAME?</v>
      </c>
      <c r="F83" t="e">
        <f ca="1">[1]!NF_DIST($A83,$B$3,$E$3,F$5,FALSE)</f>
        <v>#NAME?</v>
      </c>
    </row>
    <row r="84" spans="1:6">
      <c r="A84">
        <f t="shared" si="1"/>
        <v>7.599999999999989</v>
      </c>
      <c r="B84" t="e">
        <f ca="1">[1]!NF_DIST($A84,$B$3,$E$3,B$5,FALSE)</f>
        <v>#NAME?</v>
      </c>
      <c r="C84" t="e">
        <f ca="1">[1]!NF_DIST($A84,$B$3,$E$3,C$5,FALSE)</f>
        <v>#NAME?</v>
      </c>
      <c r="D84" t="e">
        <f ca="1">[1]!NF_DIST($A84,$B$3,$E$3,D$5,FALSE)</f>
        <v>#NAME?</v>
      </c>
      <c r="E84" t="e">
        <f ca="1">[1]!NF_DIST($A84,$B$3,$E$3,E$5,FALSE)</f>
        <v>#NAME?</v>
      </c>
      <c r="F84" t="e">
        <f ca="1">[1]!NF_DIST($A84,$B$3,$E$3,F$5,FALSE)</f>
        <v>#NAME?</v>
      </c>
    </row>
    <row r="85" spans="1:6">
      <c r="A85">
        <f t="shared" si="1"/>
        <v>7.6999999999999886</v>
      </c>
      <c r="B85" t="e">
        <f ca="1">[1]!NF_DIST($A85,$B$3,$E$3,B$5,FALSE)</f>
        <v>#NAME?</v>
      </c>
      <c r="C85" t="e">
        <f ca="1">[1]!NF_DIST($A85,$B$3,$E$3,C$5,FALSE)</f>
        <v>#NAME?</v>
      </c>
      <c r="D85" t="e">
        <f ca="1">[1]!NF_DIST($A85,$B$3,$E$3,D$5,FALSE)</f>
        <v>#NAME?</v>
      </c>
      <c r="E85" t="e">
        <f ca="1">[1]!NF_DIST($A85,$B$3,$E$3,E$5,FALSE)</f>
        <v>#NAME?</v>
      </c>
      <c r="F85" t="e">
        <f ca="1">[1]!NF_DIST($A85,$B$3,$E$3,F$5,FALSE)</f>
        <v>#NAME?</v>
      </c>
    </row>
    <row r="86" spans="1:6">
      <c r="A86">
        <f t="shared" si="1"/>
        <v>7.7999999999999883</v>
      </c>
      <c r="B86" t="e">
        <f ca="1">[1]!NF_DIST($A86,$B$3,$E$3,B$5,FALSE)</f>
        <v>#NAME?</v>
      </c>
      <c r="C86" t="e">
        <f ca="1">[1]!NF_DIST($A86,$B$3,$E$3,C$5,FALSE)</f>
        <v>#NAME?</v>
      </c>
      <c r="D86" t="e">
        <f ca="1">[1]!NF_DIST($A86,$B$3,$E$3,D$5,FALSE)</f>
        <v>#NAME?</v>
      </c>
      <c r="E86" t="e">
        <f ca="1">[1]!NF_DIST($A86,$B$3,$E$3,E$5,FALSE)</f>
        <v>#NAME?</v>
      </c>
      <c r="F86" t="e">
        <f ca="1">[1]!NF_DIST($A86,$B$3,$E$3,F$5,FALSE)</f>
        <v>#NAME?</v>
      </c>
    </row>
    <row r="87" spans="1:6">
      <c r="A87">
        <f t="shared" si="1"/>
        <v>7.8999999999999879</v>
      </c>
      <c r="B87" t="e">
        <f ca="1">[1]!NF_DIST($A87,$B$3,$E$3,B$5,FALSE)</f>
        <v>#NAME?</v>
      </c>
      <c r="C87" t="e">
        <f ca="1">[1]!NF_DIST($A87,$B$3,$E$3,C$5,FALSE)</f>
        <v>#NAME?</v>
      </c>
      <c r="D87" t="e">
        <f ca="1">[1]!NF_DIST($A87,$B$3,$E$3,D$5,FALSE)</f>
        <v>#NAME?</v>
      </c>
      <c r="E87" t="e">
        <f ca="1">[1]!NF_DIST($A87,$B$3,$E$3,E$5,FALSE)</f>
        <v>#NAME?</v>
      </c>
      <c r="F87" t="e">
        <f ca="1">[1]!NF_DIST($A87,$B$3,$E$3,F$5,FALSE)</f>
        <v>#NAME?</v>
      </c>
    </row>
    <row r="88" spans="1:6">
      <c r="A88">
        <f t="shared" si="1"/>
        <v>7.9999999999999876</v>
      </c>
      <c r="B88" t="e">
        <f ca="1">[1]!NF_DIST($A88,$B$3,$E$3,B$5,FALSE)</f>
        <v>#NAME?</v>
      </c>
      <c r="C88" t="e">
        <f ca="1">[1]!NF_DIST($A88,$B$3,$E$3,C$5,FALSE)</f>
        <v>#NAME?</v>
      </c>
      <c r="D88" t="e">
        <f ca="1">[1]!NF_DIST($A88,$B$3,$E$3,D$5,FALSE)</f>
        <v>#NAME?</v>
      </c>
      <c r="E88" t="e">
        <f ca="1">[1]!NF_DIST($A88,$B$3,$E$3,E$5,FALSE)</f>
        <v>#NAME?</v>
      </c>
      <c r="F88" t="e">
        <f ca="1">[1]!NF_DIST($A88,$B$3,$E$3,F$5,FALSE)</f>
        <v>#NAME?</v>
      </c>
    </row>
    <row r="89" spans="1:6">
      <c r="A89">
        <f t="shared" si="1"/>
        <v>8.0999999999999872</v>
      </c>
      <c r="B89" t="e">
        <f ca="1">[1]!NF_DIST($A89,$B$3,$E$3,B$5,FALSE)</f>
        <v>#NAME?</v>
      </c>
      <c r="C89" t="e">
        <f ca="1">[1]!NF_DIST($A89,$B$3,$E$3,C$5,FALSE)</f>
        <v>#NAME?</v>
      </c>
      <c r="D89" t="e">
        <f ca="1">[1]!NF_DIST($A89,$B$3,$E$3,D$5,FALSE)</f>
        <v>#NAME?</v>
      </c>
      <c r="E89" t="e">
        <f ca="1">[1]!NF_DIST($A89,$B$3,$E$3,E$5,FALSE)</f>
        <v>#NAME?</v>
      </c>
      <c r="F89" t="e">
        <f ca="1">[1]!NF_DIST($A89,$B$3,$E$3,F$5,FALSE)</f>
        <v>#NAME?</v>
      </c>
    </row>
    <row r="90" spans="1:6">
      <c r="A90">
        <f t="shared" si="1"/>
        <v>8.1999999999999869</v>
      </c>
      <c r="B90" t="e">
        <f ca="1">[1]!NF_DIST($A90,$B$3,$E$3,B$5,FALSE)</f>
        <v>#NAME?</v>
      </c>
      <c r="C90" t="e">
        <f ca="1">[1]!NF_DIST($A90,$B$3,$E$3,C$5,FALSE)</f>
        <v>#NAME?</v>
      </c>
      <c r="D90" t="e">
        <f ca="1">[1]!NF_DIST($A90,$B$3,$E$3,D$5,FALSE)</f>
        <v>#NAME?</v>
      </c>
      <c r="E90" t="e">
        <f ca="1">[1]!NF_DIST($A90,$B$3,$E$3,E$5,FALSE)</f>
        <v>#NAME?</v>
      </c>
      <c r="F90" t="e">
        <f ca="1">[1]!NF_DIST($A90,$B$3,$E$3,F$5,FALSE)</f>
        <v>#NAME?</v>
      </c>
    </row>
    <row r="91" spans="1:6">
      <c r="A91">
        <f t="shared" si="1"/>
        <v>8.2999999999999865</v>
      </c>
      <c r="B91" t="e">
        <f ca="1">[1]!NF_DIST($A91,$B$3,$E$3,B$5,FALSE)</f>
        <v>#NAME?</v>
      </c>
      <c r="C91" t="e">
        <f ca="1">[1]!NF_DIST($A91,$B$3,$E$3,C$5,FALSE)</f>
        <v>#NAME?</v>
      </c>
      <c r="D91" t="e">
        <f ca="1">[1]!NF_DIST($A91,$B$3,$E$3,D$5,FALSE)</f>
        <v>#NAME?</v>
      </c>
      <c r="E91" t="e">
        <f ca="1">[1]!NF_DIST($A91,$B$3,$E$3,E$5,FALSE)</f>
        <v>#NAME?</v>
      </c>
      <c r="F91" t="e">
        <f ca="1">[1]!NF_DIST($A91,$B$3,$E$3,F$5,FALSE)</f>
        <v>#NAME?</v>
      </c>
    </row>
    <row r="92" spans="1:6">
      <c r="A92">
        <f t="shared" si="1"/>
        <v>8.3999999999999861</v>
      </c>
      <c r="B92" t="e">
        <f ca="1">[1]!NF_DIST($A92,$B$3,$E$3,B$5,FALSE)</f>
        <v>#NAME?</v>
      </c>
      <c r="C92" t="e">
        <f ca="1">[1]!NF_DIST($A92,$B$3,$E$3,C$5,FALSE)</f>
        <v>#NAME?</v>
      </c>
      <c r="D92" t="e">
        <f ca="1">[1]!NF_DIST($A92,$B$3,$E$3,D$5,FALSE)</f>
        <v>#NAME?</v>
      </c>
      <c r="E92" t="e">
        <f ca="1">[1]!NF_DIST($A92,$B$3,$E$3,E$5,FALSE)</f>
        <v>#NAME?</v>
      </c>
      <c r="F92" t="e">
        <f ca="1">[1]!NF_DIST($A92,$B$3,$E$3,F$5,FALSE)</f>
        <v>#NAME?</v>
      </c>
    </row>
    <row r="93" spans="1:6">
      <c r="A93">
        <f t="shared" si="1"/>
        <v>8.4999999999999858</v>
      </c>
      <c r="B93" t="e">
        <f ca="1">[1]!NF_DIST($A93,$B$3,$E$3,B$5,FALSE)</f>
        <v>#NAME?</v>
      </c>
      <c r="C93" t="e">
        <f ca="1">[1]!NF_DIST($A93,$B$3,$E$3,C$5,FALSE)</f>
        <v>#NAME?</v>
      </c>
      <c r="D93" t="e">
        <f ca="1">[1]!NF_DIST($A93,$B$3,$E$3,D$5,FALSE)</f>
        <v>#NAME?</v>
      </c>
      <c r="E93" t="e">
        <f ca="1">[1]!NF_DIST($A93,$B$3,$E$3,E$5,FALSE)</f>
        <v>#NAME?</v>
      </c>
      <c r="F93" t="e">
        <f ca="1">[1]!NF_DIST($A93,$B$3,$E$3,F$5,FALSE)</f>
        <v>#NAME?</v>
      </c>
    </row>
    <row r="94" spans="1:6">
      <c r="A94">
        <f t="shared" si="1"/>
        <v>8.5999999999999854</v>
      </c>
      <c r="B94" t="e">
        <f ca="1">[1]!NF_DIST($A94,$B$3,$E$3,B$5,FALSE)</f>
        <v>#NAME?</v>
      </c>
      <c r="C94" t="e">
        <f ca="1">[1]!NF_DIST($A94,$B$3,$E$3,C$5,FALSE)</f>
        <v>#NAME?</v>
      </c>
      <c r="D94" t="e">
        <f ca="1">[1]!NF_DIST($A94,$B$3,$E$3,D$5,FALSE)</f>
        <v>#NAME?</v>
      </c>
      <c r="E94" t="e">
        <f ca="1">[1]!NF_DIST($A94,$B$3,$E$3,E$5,FALSE)</f>
        <v>#NAME?</v>
      </c>
      <c r="F94" t="e">
        <f ca="1">[1]!NF_DIST($A94,$B$3,$E$3,F$5,FALSE)</f>
        <v>#NAME?</v>
      </c>
    </row>
    <row r="95" spans="1:6">
      <c r="A95">
        <f t="shared" si="1"/>
        <v>8.6999999999999851</v>
      </c>
      <c r="B95" t="e">
        <f ca="1">[1]!NF_DIST($A95,$B$3,$E$3,B$5,FALSE)</f>
        <v>#NAME?</v>
      </c>
      <c r="C95" t="e">
        <f ca="1">[1]!NF_DIST($A95,$B$3,$E$3,C$5,FALSE)</f>
        <v>#NAME?</v>
      </c>
      <c r="D95" t="e">
        <f ca="1">[1]!NF_DIST($A95,$B$3,$E$3,D$5,FALSE)</f>
        <v>#NAME?</v>
      </c>
      <c r="E95" t="e">
        <f ca="1">[1]!NF_DIST($A95,$B$3,$E$3,E$5,FALSE)</f>
        <v>#NAME?</v>
      </c>
      <c r="F95" t="e">
        <f ca="1">[1]!NF_DIST($A95,$B$3,$E$3,F$5,FALSE)</f>
        <v>#NAME?</v>
      </c>
    </row>
    <row r="96" spans="1:6">
      <c r="A96">
        <f t="shared" si="1"/>
        <v>8.7999999999999847</v>
      </c>
      <c r="B96" t="e">
        <f ca="1">[1]!NF_DIST($A96,$B$3,$E$3,B$5,FALSE)</f>
        <v>#NAME?</v>
      </c>
      <c r="C96" t="e">
        <f ca="1">[1]!NF_DIST($A96,$B$3,$E$3,C$5,FALSE)</f>
        <v>#NAME?</v>
      </c>
      <c r="D96" t="e">
        <f ca="1">[1]!NF_DIST($A96,$B$3,$E$3,D$5,FALSE)</f>
        <v>#NAME?</v>
      </c>
      <c r="E96" t="e">
        <f ca="1">[1]!NF_DIST($A96,$B$3,$E$3,E$5,FALSE)</f>
        <v>#NAME?</v>
      </c>
      <c r="F96" t="e">
        <f ca="1">[1]!NF_DIST($A96,$B$3,$E$3,F$5,FALSE)</f>
        <v>#NAME?</v>
      </c>
    </row>
    <row r="97" spans="1:6">
      <c r="A97">
        <f t="shared" si="1"/>
        <v>8.8999999999999844</v>
      </c>
      <c r="B97" t="e">
        <f ca="1">[1]!NF_DIST($A97,$B$3,$E$3,B$5,FALSE)</f>
        <v>#NAME?</v>
      </c>
      <c r="C97" t="e">
        <f ca="1">[1]!NF_DIST($A97,$B$3,$E$3,C$5,FALSE)</f>
        <v>#NAME?</v>
      </c>
      <c r="D97" t="e">
        <f ca="1">[1]!NF_DIST($A97,$B$3,$E$3,D$5,FALSE)</f>
        <v>#NAME?</v>
      </c>
      <c r="E97" t="e">
        <f ca="1">[1]!NF_DIST($A97,$B$3,$E$3,E$5,FALSE)</f>
        <v>#NAME?</v>
      </c>
      <c r="F97" t="e">
        <f ca="1">[1]!NF_DIST($A97,$B$3,$E$3,F$5,FALSE)</f>
        <v>#NAME?</v>
      </c>
    </row>
    <row r="98" spans="1:6">
      <c r="A98">
        <f t="shared" si="1"/>
        <v>8.999999999999984</v>
      </c>
      <c r="B98" t="e">
        <f ca="1">[1]!NF_DIST($A98,$B$3,$E$3,B$5,FALSE)</f>
        <v>#NAME?</v>
      </c>
      <c r="C98" t="e">
        <f ca="1">[1]!NF_DIST($A98,$B$3,$E$3,C$5,FALSE)</f>
        <v>#NAME?</v>
      </c>
      <c r="D98" t="e">
        <f ca="1">[1]!NF_DIST($A98,$B$3,$E$3,D$5,FALSE)</f>
        <v>#NAME?</v>
      </c>
      <c r="E98" t="e">
        <f ca="1">[1]!NF_DIST($A98,$B$3,$E$3,E$5,FALSE)</f>
        <v>#NAME?</v>
      </c>
      <c r="F98" t="e">
        <f ca="1">[1]!NF_DIST($A98,$B$3,$E$3,F$5,FALSE)</f>
        <v>#NAME?</v>
      </c>
    </row>
    <row r="99" spans="1:6">
      <c r="A99">
        <f t="shared" si="1"/>
        <v>9.0999999999999837</v>
      </c>
      <c r="B99" t="e">
        <f ca="1">[1]!NF_DIST($A99,$B$3,$E$3,B$5,FALSE)</f>
        <v>#NAME?</v>
      </c>
      <c r="C99" t="e">
        <f ca="1">[1]!NF_DIST($A99,$B$3,$E$3,C$5,FALSE)</f>
        <v>#NAME?</v>
      </c>
      <c r="D99" t="e">
        <f ca="1">[1]!NF_DIST($A99,$B$3,$E$3,D$5,FALSE)</f>
        <v>#NAME?</v>
      </c>
      <c r="E99" t="e">
        <f ca="1">[1]!NF_DIST($A99,$B$3,$E$3,E$5,FALSE)</f>
        <v>#NAME?</v>
      </c>
      <c r="F99" t="e">
        <f ca="1">[1]!NF_DIST($A99,$B$3,$E$3,F$5,FALSE)</f>
        <v>#NAME?</v>
      </c>
    </row>
    <row r="100" spans="1:6">
      <c r="A100">
        <f t="shared" si="1"/>
        <v>9.1999999999999833</v>
      </c>
      <c r="B100" t="e">
        <f ca="1">[1]!NF_DIST($A100,$B$3,$E$3,B$5,FALSE)</f>
        <v>#NAME?</v>
      </c>
      <c r="C100" t="e">
        <f ca="1">[1]!NF_DIST($A100,$B$3,$E$3,C$5,FALSE)</f>
        <v>#NAME?</v>
      </c>
      <c r="D100" t="e">
        <f ca="1">[1]!NF_DIST($A100,$B$3,$E$3,D$5,FALSE)</f>
        <v>#NAME?</v>
      </c>
      <c r="E100" t="e">
        <f ca="1">[1]!NF_DIST($A100,$B$3,$E$3,E$5,FALSE)</f>
        <v>#NAME?</v>
      </c>
      <c r="F100" t="e">
        <f ca="1">[1]!NF_DIST($A100,$B$3,$E$3,F$5,FALSE)</f>
        <v>#NAME?</v>
      </c>
    </row>
    <row r="101" spans="1:6">
      <c r="A101">
        <f t="shared" si="1"/>
        <v>9.2999999999999829</v>
      </c>
      <c r="B101" t="e">
        <f ca="1">[1]!NF_DIST($A101,$B$3,$E$3,B$5,FALSE)</f>
        <v>#NAME?</v>
      </c>
      <c r="C101" t="e">
        <f ca="1">[1]!NF_DIST($A101,$B$3,$E$3,C$5,FALSE)</f>
        <v>#NAME?</v>
      </c>
      <c r="D101" t="e">
        <f ca="1">[1]!NF_DIST($A101,$B$3,$E$3,D$5,FALSE)</f>
        <v>#NAME?</v>
      </c>
      <c r="E101" t="e">
        <f ca="1">[1]!NF_DIST($A101,$B$3,$E$3,E$5,FALSE)</f>
        <v>#NAME?</v>
      </c>
      <c r="F101" t="e">
        <f ca="1">[1]!NF_DIST($A101,$B$3,$E$3,F$5,FALSE)</f>
        <v>#NAME?</v>
      </c>
    </row>
    <row r="102" spans="1:6">
      <c r="A102">
        <f t="shared" ref="A102:A109" si="2">A101+0.1</f>
        <v>9.3999999999999826</v>
      </c>
      <c r="B102" t="e">
        <f ca="1">[1]!NF_DIST($A102,$B$3,$E$3,B$5,FALSE)</f>
        <v>#NAME?</v>
      </c>
      <c r="C102" t="e">
        <f ca="1">[1]!NF_DIST($A102,$B$3,$E$3,C$5,FALSE)</f>
        <v>#NAME?</v>
      </c>
      <c r="D102" t="e">
        <f ca="1">[1]!NF_DIST($A102,$B$3,$E$3,D$5,FALSE)</f>
        <v>#NAME?</v>
      </c>
      <c r="E102" t="e">
        <f ca="1">[1]!NF_DIST($A102,$B$3,$E$3,E$5,FALSE)</f>
        <v>#NAME?</v>
      </c>
      <c r="F102" t="e">
        <f ca="1">[1]!NF_DIST($A102,$B$3,$E$3,F$5,FALSE)</f>
        <v>#NAME?</v>
      </c>
    </row>
    <row r="103" spans="1:6">
      <c r="A103">
        <f t="shared" si="2"/>
        <v>9.4999999999999822</v>
      </c>
      <c r="B103" t="e">
        <f ca="1">[1]!NF_DIST($A103,$B$3,$E$3,B$5,FALSE)</f>
        <v>#NAME?</v>
      </c>
      <c r="C103" t="e">
        <f ca="1">[1]!NF_DIST($A103,$B$3,$E$3,C$5,FALSE)</f>
        <v>#NAME?</v>
      </c>
      <c r="D103" t="e">
        <f ca="1">[1]!NF_DIST($A103,$B$3,$E$3,D$5,FALSE)</f>
        <v>#NAME?</v>
      </c>
      <c r="E103" t="e">
        <f ca="1">[1]!NF_DIST($A103,$B$3,$E$3,E$5,FALSE)</f>
        <v>#NAME?</v>
      </c>
      <c r="F103" t="e">
        <f ca="1">[1]!NF_DIST($A103,$B$3,$E$3,F$5,FALSE)</f>
        <v>#NAME?</v>
      </c>
    </row>
    <row r="104" spans="1:6">
      <c r="A104">
        <f t="shared" si="2"/>
        <v>9.5999999999999819</v>
      </c>
      <c r="B104" t="e">
        <f ca="1">[1]!NF_DIST($A104,$B$3,$E$3,B$5,FALSE)</f>
        <v>#NAME?</v>
      </c>
      <c r="C104" t="e">
        <f ca="1">[1]!NF_DIST($A104,$B$3,$E$3,C$5,FALSE)</f>
        <v>#NAME?</v>
      </c>
      <c r="D104" t="e">
        <f ca="1">[1]!NF_DIST($A104,$B$3,$E$3,D$5,FALSE)</f>
        <v>#NAME?</v>
      </c>
      <c r="E104" t="e">
        <f ca="1">[1]!NF_DIST($A104,$B$3,$E$3,E$5,FALSE)</f>
        <v>#NAME?</v>
      </c>
      <c r="F104" t="e">
        <f ca="1">[1]!NF_DIST($A104,$B$3,$E$3,F$5,FALSE)</f>
        <v>#NAME?</v>
      </c>
    </row>
    <row r="105" spans="1:6">
      <c r="A105">
        <f t="shared" si="2"/>
        <v>9.6999999999999815</v>
      </c>
      <c r="B105" t="e">
        <f ca="1">[1]!NF_DIST($A105,$B$3,$E$3,B$5,FALSE)</f>
        <v>#NAME?</v>
      </c>
      <c r="C105" t="e">
        <f ca="1">[1]!NF_DIST($A105,$B$3,$E$3,C$5,FALSE)</f>
        <v>#NAME?</v>
      </c>
      <c r="D105" t="e">
        <f ca="1">[1]!NF_DIST($A105,$B$3,$E$3,D$5,FALSE)</f>
        <v>#NAME?</v>
      </c>
      <c r="E105" t="e">
        <f ca="1">[1]!NF_DIST($A105,$B$3,$E$3,E$5,FALSE)</f>
        <v>#NAME?</v>
      </c>
      <c r="F105" t="e">
        <f ca="1">[1]!NF_DIST($A105,$B$3,$E$3,F$5,FALSE)</f>
        <v>#NAME?</v>
      </c>
    </row>
    <row r="106" spans="1:6">
      <c r="A106">
        <f t="shared" si="2"/>
        <v>9.7999999999999812</v>
      </c>
      <c r="B106" t="e">
        <f ca="1">[1]!NF_DIST($A106,$B$3,$E$3,B$5,FALSE)</f>
        <v>#NAME?</v>
      </c>
      <c r="C106" t="e">
        <f ca="1">[1]!NF_DIST($A106,$B$3,$E$3,C$5,FALSE)</f>
        <v>#NAME?</v>
      </c>
      <c r="D106" t="e">
        <f ca="1">[1]!NF_DIST($A106,$B$3,$E$3,D$5,FALSE)</f>
        <v>#NAME?</v>
      </c>
      <c r="E106" t="e">
        <f ca="1">[1]!NF_DIST($A106,$B$3,$E$3,E$5,FALSE)</f>
        <v>#NAME?</v>
      </c>
      <c r="F106" t="e">
        <f ca="1">[1]!NF_DIST($A106,$B$3,$E$3,F$5,FALSE)</f>
        <v>#NAME?</v>
      </c>
    </row>
    <row r="107" spans="1:6">
      <c r="A107">
        <f t="shared" si="2"/>
        <v>9.8999999999999808</v>
      </c>
      <c r="B107" t="e">
        <f ca="1">[1]!NF_DIST($A107,$B$3,$E$3,B$5,FALSE)</f>
        <v>#NAME?</v>
      </c>
      <c r="C107" t="e">
        <f ca="1">[1]!NF_DIST($A107,$B$3,$E$3,C$5,FALSE)</f>
        <v>#NAME?</v>
      </c>
      <c r="D107" t="e">
        <f ca="1">[1]!NF_DIST($A107,$B$3,$E$3,D$5,FALSE)</f>
        <v>#NAME?</v>
      </c>
      <c r="E107" t="e">
        <f ca="1">[1]!NF_DIST($A107,$B$3,$E$3,E$5,FALSE)</f>
        <v>#NAME?</v>
      </c>
      <c r="F107" t="e">
        <f ca="1">[1]!NF_DIST($A107,$B$3,$E$3,F$5,FALSE)</f>
        <v>#NAME?</v>
      </c>
    </row>
    <row r="108" spans="1:6">
      <c r="A108">
        <f t="shared" si="2"/>
        <v>9.9999999999999805</v>
      </c>
      <c r="B108" t="e">
        <f ca="1">[1]!NF_DIST($A108,$B$3,$E$3,B$5,FALSE)</f>
        <v>#NAME?</v>
      </c>
      <c r="C108" t="e">
        <f ca="1">[1]!NF_DIST($A108,$B$3,$E$3,C$5,FALSE)</f>
        <v>#NAME?</v>
      </c>
      <c r="D108" t="e">
        <f ca="1">[1]!NF_DIST($A108,$B$3,$E$3,D$5,FALSE)</f>
        <v>#NAME?</v>
      </c>
      <c r="E108" t="e">
        <f ca="1">[1]!NF_DIST($A108,$B$3,$E$3,E$5,FALSE)</f>
        <v>#NAME?</v>
      </c>
      <c r="F108" t="e">
        <f ca="1">[1]!NF_DIST($A108,$B$3,$E$3,F$5,FALSE)</f>
        <v>#NAME?</v>
      </c>
    </row>
    <row r="109" spans="1:6">
      <c r="A109">
        <f t="shared" si="2"/>
        <v>10.09999999999998</v>
      </c>
      <c r="B109" t="e">
        <f ca="1">[1]!NF_DIST($A109,$B$3,$E$3,B$5,FALSE)</f>
        <v>#NAME?</v>
      </c>
      <c r="C109" t="e">
        <f ca="1">[1]!NF_DIST($A109,$B$3,$E$3,C$5,FALSE)</f>
        <v>#NAME?</v>
      </c>
      <c r="D109" t="e">
        <f ca="1">[1]!NF_DIST($A109,$B$3,$E$3,D$5,FALSE)</f>
        <v>#NAME?</v>
      </c>
      <c r="E109" t="e">
        <f ca="1">[1]!NF_DIST($A109,$B$3,$E$3,E$5,FALSE)</f>
        <v>#NAME?</v>
      </c>
      <c r="F109" t="e">
        <f ca="1">[1]!NF_DIST($A109,$B$3,$E$3,F$5,FALSE)</f>
        <v>#NAME?</v>
      </c>
    </row>
  </sheetData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sheetPr codeName="Sheet335"/>
  <dimension ref="A1:X22"/>
  <sheetViews>
    <sheetView workbookViewId="0"/>
  </sheetViews>
  <sheetFormatPr defaultRowHeight="14.4"/>
  <cols>
    <col min="5" max="5" width="4.44140625" customWidth="1"/>
    <col min="6" max="6" width="16" customWidth="1"/>
    <col min="8" max="8" width="6.33203125" customWidth="1"/>
    <col min="18" max="18" width="4" customWidth="1"/>
    <col min="19" max="19" width="31.5546875" customWidth="1"/>
    <col min="23" max="23" width="4.109375" customWidth="1"/>
    <col min="24" max="24" width="29.44140625" customWidth="1"/>
  </cols>
  <sheetData>
    <row r="1" spans="1:24">
      <c r="A1" s="1" t="s">
        <v>3648</v>
      </c>
    </row>
    <row r="3" spans="1:24">
      <c r="A3" s="279" t="s">
        <v>139</v>
      </c>
      <c r="B3" s="279" t="s">
        <v>140</v>
      </c>
      <c r="C3" s="279" t="s">
        <v>150</v>
      </c>
      <c r="D3" s="279" t="s">
        <v>151</v>
      </c>
      <c r="F3" t="s">
        <v>878</v>
      </c>
      <c r="P3" t="s">
        <v>114</v>
      </c>
      <c r="U3" t="s">
        <v>1188</v>
      </c>
    </row>
    <row r="4" spans="1:24">
      <c r="A4" s="279">
        <v>51</v>
      </c>
      <c r="B4" s="279">
        <v>82</v>
      </c>
      <c r="C4" s="279">
        <v>79</v>
      </c>
      <c r="D4" s="279">
        <v>85</v>
      </c>
    </row>
    <row r="5" spans="1:24" ht="15" thickBot="1">
      <c r="A5" s="1351">
        <v>87</v>
      </c>
      <c r="B5" s="1351">
        <v>91</v>
      </c>
      <c r="C5" s="1351">
        <v>84</v>
      </c>
      <c r="D5" s="1351">
        <v>80</v>
      </c>
      <c r="F5" t="s">
        <v>879</v>
      </c>
      <c r="K5" t="s">
        <v>116</v>
      </c>
      <c r="L5">
        <v>0.05</v>
      </c>
      <c r="P5" s="492" t="s">
        <v>984</v>
      </c>
      <c r="Q5" s="1235">
        <f>H14</f>
        <v>3</v>
      </c>
      <c r="R5" s="8"/>
      <c r="S5" s="8" t="s">
        <v>3651</v>
      </c>
      <c r="U5" s="492" t="s">
        <v>984</v>
      </c>
      <c r="V5" s="1235">
        <f>V8-1</f>
        <v>3</v>
      </c>
      <c r="X5" t="s">
        <v>3664</v>
      </c>
    </row>
    <row r="6" spans="1:24" ht="15" thickTop="1">
      <c r="A6" s="1351">
        <v>50</v>
      </c>
      <c r="B6" s="1351">
        <v>92</v>
      </c>
      <c r="C6" s="1351">
        <v>74</v>
      </c>
      <c r="D6" s="1351">
        <v>65</v>
      </c>
      <c r="F6" s="1151" t="s">
        <v>222</v>
      </c>
      <c r="G6" s="1151" t="s">
        <v>88</v>
      </c>
      <c r="H6" s="1151" t="s">
        <v>87</v>
      </c>
      <c r="I6" s="1151" t="s">
        <v>76</v>
      </c>
      <c r="J6" s="1151" t="s">
        <v>223</v>
      </c>
      <c r="K6" s="1151" t="s">
        <v>578</v>
      </c>
      <c r="L6" s="1151" t="s">
        <v>183</v>
      </c>
      <c r="M6" s="1151" t="s">
        <v>744</v>
      </c>
      <c r="N6" s="1151" t="s">
        <v>745</v>
      </c>
      <c r="P6" s="65" t="s">
        <v>1214</v>
      </c>
      <c r="Q6" s="627">
        <f>H15</f>
        <v>28</v>
      </c>
      <c r="R6" s="8"/>
      <c r="S6" s="8" t="s">
        <v>3652</v>
      </c>
      <c r="U6" s="65" t="s">
        <v>1214</v>
      </c>
      <c r="V6" s="627">
        <f>V7-V8</f>
        <v>120.86610708920045</v>
      </c>
      <c r="X6" t="s">
        <v>3665</v>
      </c>
    </row>
    <row r="7" spans="1:24">
      <c r="A7" s="1351">
        <v>48</v>
      </c>
      <c r="B7" s="1351">
        <v>80</v>
      </c>
      <c r="C7" s="1351">
        <v>98</v>
      </c>
      <c r="D7" s="1351">
        <v>71</v>
      </c>
      <c r="F7" t="str">
        <f>A3</f>
        <v>Method 1</v>
      </c>
      <c r="G7">
        <f>COUNT(A4:A11)</f>
        <v>8</v>
      </c>
      <c r="H7">
        <f>SUM(A4:A11)</f>
        <v>483</v>
      </c>
      <c r="I7">
        <f>AVERAGE(A4:A11)</f>
        <v>60.375</v>
      </c>
      <c r="J7">
        <f>VAR(A4:A11)</f>
        <v>214.26785714285714</v>
      </c>
      <c r="K7">
        <f>DEVSQ(A4:A11)</f>
        <v>1499.875</v>
      </c>
      <c r="L7">
        <f>SQRT(I15/G7)</f>
        <v>4.7366471150864875</v>
      </c>
      <c r="M7">
        <f>I7-L7*TINV(L5,G7-1)</f>
        <v>49.174609360429493</v>
      </c>
      <c r="N7">
        <f>I7+L7*TINV(L5,G7-1)</f>
        <v>71.575390639570514</v>
      </c>
      <c r="P7" t="s">
        <v>3649</v>
      </c>
      <c r="Q7" s="627">
        <f>G14</f>
        <v>1645.34375</v>
      </c>
      <c r="R7" s="8"/>
      <c r="S7" s="8" t="s">
        <v>3653</v>
      </c>
      <c r="U7" t="s">
        <v>106</v>
      </c>
      <c r="V7" s="627">
        <v>124.86610708920045</v>
      </c>
    </row>
    <row r="8" spans="1:24">
      <c r="A8" s="1351">
        <v>79</v>
      </c>
      <c r="B8" s="1351">
        <v>52</v>
      </c>
      <c r="C8" s="1351">
        <v>63</v>
      </c>
      <c r="D8" s="1351">
        <v>67</v>
      </c>
      <c r="F8" t="str">
        <f>B3</f>
        <v>Method 2</v>
      </c>
      <c r="G8">
        <f>COUNT(B4:B11)</f>
        <v>8</v>
      </c>
      <c r="H8">
        <f>SUM(B4:B11)</f>
        <v>623</v>
      </c>
      <c r="I8">
        <f>AVERAGE(B4:B11)</f>
        <v>77.875</v>
      </c>
      <c r="J8">
        <f>VAR(B4:B11)</f>
        <v>157.55357142857142</v>
      </c>
      <c r="K8">
        <f>DEVSQ(B4:B11)</f>
        <v>1102.875</v>
      </c>
      <c r="L8">
        <f>SQRT(I15/G8)</f>
        <v>4.7366471150864875</v>
      </c>
      <c r="M8">
        <f>I8-L8*TINV(L5,G8-1)</f>
        <v>66.674609360429486</v>
      </c>
      <c r="N8">
        <f>I8+L8*TINV(L5,G8-1)</f>
        <v>89.075390639570514</v>
      </c>
      <c r="P8" t="s">
        <v>1216</v>
      </c>
      <c r="Q8" s="627">
        <f>I15</f>
        <v>179.48660714285714</v>
      </c>
      <c r="R8" s="8"/>
      <c r="S8" s="8" t="s">
        <v>3654</v>
      </c>
      <c r="U8" t="s">
        <v>169</v>
      </c>
      <c r="V8" s="627">
        <v>4</v>
      </c>
    </row>
    <row r="9" spans="1:24">
      <c r="A9" s="1351">
        <v>61</v>
      </c>
      <c r="B9" s="1351">
        <v>79</v>
      </c>
      <c r="C9" s="1351">
        <v>83</v>
      </c>
      <c r="D9" s="1351">
        <v>51</v>
      </c>
      <c r="F9" t="str">
        <f>C3</f>
        <v>Method 3</v>
      </c>
      <c r="G9">
        <f>COUNT(C4:C11)</f>
        <v>8</v>
      </c>
      <c r="H9">
        <f>SUM(C4:C11)</f>
        <v>624</v>
      </c>
      <c r="I9">
        <f>AVERAGE(C4:C11)</f>
        <v>78</v>
      </c>
      <c r="J9">
        <f>VAR(C4:C11)</f>
        <v>164.57142857142858</v>
      </c>
      <c r="K9">
        <f>DEVSQ(C4:C11)</f>
        <v>1152</v>
      </c>
      <c r="L9">
        <f>SQRT(I15/G9)</f>
        <v>4.7366471150864875</v>
      </c>
      <c r="M9">
        <f>I9-L9*TINV(L5,G9-1)</f>
        <v>66.799609360429486</v>
      </c>
      <c r="N9">
        <f>I9+L9*TINV(L5,G9-1)</f>
        <v>89.200390639570514</v>
      </c>
      <c r="P9" t="s">
        <v>106</v>
      </c>
      <c r="Q9" s="627">
        <f>Q6+Q5+1</f>
        <v>32</v>
      </c>
      <c r="R9" s="8"/>
      <c r="S9" s="8" t="s">
        <v>3655</v>
      </c>
      <c r="U9" s="492" t="s">
        <v>32</v>
      </c>
      <c r="V9" s="627">
        <v>0.3</v>
      </c>
    </row>
    <row r="10" spans="1:24">
      <c r="A10" s="1351">
        <v>53</v>
      </c>
      <c r="B10" s="1351">
        <v>73</v>
      </c>
      <c r="C10" s="1351">
        <v>85</v>
      </c>
      <c r="D10" s="1351">
        <v>63</v>
      </c>
      <c r="F10" t="str">
        <f>D3</f>
        <v>Method 4</v>
      </c>
      <c r="G10">
        <f>COUNT(D4:D11)</f>
        <v>8</v>
      </c>
      <c r="H10">
        <f>SUM(D4:D11)</f>
        <v>575</v>
      </c>
      <c r="I10">
        <f>AVERAGE(D4:D11)</f>
        <v>71.875</v>
      </c>
      <c r="J10">
        <f>VAR(D4:D11)</f>
        <v>181.55357142857142</v>
      </c>
      <c r="K10">
        <f>DEVSQ(D4:D11)</f>
        <v>1270.875</v>
      </c>
      <c r="L10">
        <f>SQRT(I15/G10)</f>
        <v>4.7366471150864875</v>
      </c>
      <c r="M10">
        <f>I10-L10*TINV(L5,G10-1)</f>
        <v>60.674609360429493</v>
      </c>
      <c r="N10">
        <f>I10+L10*TINV(L5,G10-1)</f>
        <v>83.075390639570514</v>
      </c>
      <c r="P10" t="s">
        <v>169</v>
      </c>
      <c r="Q10" s="627">
        <f>Q5+1</f>
        <v>4</v>
      </c>
      <c r="R10" s="8"/>
      <c r="S10" s="8" t="s">
        <v>3656</v>
      </c>
      <c r="U10" t="s">
        <v>1932</v>
      </c>
      <c r="V10" s="627">
        <f>V9*SQRT(V8/(V8-1))</f>
        <v>0.34641016151377541</v>
      </c>
      <c r="X10" t="s">
        <v>3666</v>
      </c>
    </row>
    <row r="11" spans="1:24">
      <c r="A11" s="1352">
        <v>54</v>
      </c>
      <c r="B11" s="1352">
        <v>74</v>
      </c>
      <c r="C11" s="1352">
        <v>58</v>
      </c>
      <c r="D11" s="1352">
        <v>93</v>
      </c>
      <c r="F11" s="1152"/>
      <c r="G11" s="1152"/>
      <c r="H11" s="1152"/>
      <c r="I11" s="1152"/>
      <c r="J11" s="1152"/>
      <c r="K11" s="1152"/>
      <c r="L11" s="1152"/>
      <c r="M11" s="1152"/>
      <c r="N11" s="1152"/>
      <c r="P11" s="492" t="s">
        <v>32</v>
      </c>
      <c r="Q11" s="627">
        <f>SQRT(Q7/(Q8*Q9))</f>
        <v>0.5352261324051284</v>
      </c>
      <c r="R11" s="8"/>
      <c r="S11" s="8" t="s">
        <v>3657</v>
      </c>
      <c r="U11" s="65" t="s">
        <v>1449</v>
      </c>
      <c r="V11" s="544">
        <f>V9^2*V7</f>
        <v>11.23794963802804</v>
      </c>
      <c r="X11" t="s">
        <v>3667</v>
      </c>
    </row>
    <row r="12" spans="1:24" ht="15" thickBot="1">
      <c r="F12" t="s">
        <v>695</v>
      </c>
      <c r="P12" t="s">
        <v>1932</v>
      </c>
      <c r="Q12" s="627">
        <f>Q11*SQRT(Q10/(Q10-1))</f>
        <v>0.61802590324284634</v>
      </c>
      <c r="R12" s="8"/>
      <c r="S12" s="8" t="s">
        <v>3658</v>
      </c>
      <c r="X12" t="s">
        <v>2031</v>
      </c>
    </row>
    <row r="13" spans="1:24" ht="15" thickTop="1">
      <c r="F13" s="1151" t="s">
        <v>880</v>
      </c>
      <c r="G13" s="1151" t="s">
        <v>578</v>
      </c>
      <c r="H13" s="1151" t="s">
        <v>186</v>
      </c>
      <c r="I13" s="1151" t="s">
        <v>641</v>
      </c>
      <c r="J13" s="1151" t="s">
        <v>388</v>
      </c>
      <c r="K13" s="1151" t="s">
        <v>881</v>
      </c>
      <c r="L13" s="1151" t="s">
        <v>888</v>
      </c>
      <c r="M13" s="1151" t="s">
        <v>1932</v>
      </c>
      <c r="N13" s="1151" t="s">
        <v>1933</v>
      </c>
      <c r="P13" s="65" t="s">
        <v>1449</v>
      </c>
      <c r="Q13" s="544">
        <f>Q11^2*Q9</f>
        <v>9.1669444098992656</v>
      </c>
      <c r="R13" s="8"/>
      <c r="S13" s="8" t="s">
        <v>3659</v>
      </c>
      <c r="U13" s="65" t="s">
        <v>157</v>
      </c>
      <c r="V13" s="1235">
        <f>L5</f>
        <v>0.05</v>
      </c>
      <c r="X13" t="s">
        <v>3660</v>
      </c>
    </row>
    <row r="14" spans="1:24">
      <c r="F14" t="s">
        <v>883</v>
      </c>
      <c r="G14">
        <f>G16-G15</f>
        <v>1645.34375</v>
      </c>
      <c r="H14">
        <f>COUNTA(F7:F10)-1</f>
        <v>3</v>
      </c>
      <c r="I14">
        <f>G14/H14</f>
        <v>548.44791666666663</v>
      </c>
      <c r="J14">
        <f>I14/I15</f>
        <v>3.0556481366330885</v>
      </c>
      <c r="K14">
        <f>FDIST(J14,H14,H15)</f>
        <v>4.4662597948147184E-2</v>
      </c>
      <c r="L14">
        <f>FINV(L5,H14,H15)</f>
        <v>2.9466852660172647</v>
      </c>
      <c r="M14">
        <f>SQRT(DEVSQ(I7:I10)/(I15*H14))</f>
        <v>0.61802590324284634</v>
      </c>
      <c r="N14">
        <f>(G16-H16*I15)/(G16+I15)</f>
        <v>0.16157815369416265</v>
      </c>
      <c r="S14" s="8" t="s">
        <v>2031</v>
      </c>
      <c r="U14" s="65" t="s">
        <v>647</v>
      </c>
      <c r="V14" s="627">
        <f>FINV(V13,V5,V6)</f>
        <v>2.6801675698502416</v>
      </c>
      <c r="X14" t="s">
        <v>3668</v>
      </c>
    </row>
    <row r="15" spans="1:24">
      <c r="F15" t="s">
        <v>884</v>
      </c>
      <c r="G15">
        <f>SUM(K7:K10)</f>
        <v>5025.625</v>
      </c>
      <c r="H15">
        <f>H16-H14</f>
        <v>28</v>
      </c>
      <c r="I15">
        <f>G15/H15</f>
        <v>179.48660714285714</v>
      </c>
      <c r="P15" s="65" t="s">
        <v>157</v>
      </c>
      <c r="Q15" s="1235">
        <f>L5</f>
        <v>0.05</v>
      </c>
      <c r="R15" s="8"/>
      <c r="S15" s="8" t="s">
        <v>3660</v>
      </c>
      <c r="U15" s="493" t="s">
        <v>1874</v>
      </c>
      <c r="V15" s="627" t="e">
        <f ca="1">[1]!NF_DIST(V14,V5,V6,V11,TRUE)</f>
        <v>#NAME?</v>
      </c>
      <c r="X15" t="s">
        <v>3669</v>
      </c>
    </row>
    <row r="16" spans="1:24">
      <c r="F16" s="1078" t="s">
        <v>12</v>
      </c>
      <c r="G16" s="1078">
        <f>DEVSQ(A4:D11)</f>
        <v>6670.96875</v>
      </c>
      <c r="H16" s="1078">
        <f>COUNT(A4:D11)-1</f>
        <v>31</v>
      </c>
      <c r="I16" s="1078">
        <f>G16/H16</f>
        <v>215.19254032258064</v>
      </c>
      <c r="J16" s="1078"/>
      <c r="K16" s="1078"/>
      <c r="L16" s="1078"/>
      <c r="M16" s="1078"/>
      <c r="N16" s="1078"/>
      <c r="P16" s="65" t="s">
        <v>647</v>
      </c>
      <c r="Q16" s="627">
        <f>FINV(Q15,Q5,Q6)</f>
        <v>2.9466852660172647</v>
      </c>
      <c r="R16" s="8"/>
      <c r="S16" s="8" t="s">
        <v>3661</v>
      </c>
      <c r="U16" s="493" t="s">
        <v>3488</v>
      </c>
      <c r="V16" s="544" t="e">
        <f ca="1">1-V15</f>
        <v>#NAME?</v>
      </c>
      <c r="X16" t="s">
        <v>3670</v>
      </c>
    </row>
    <row r="17" spans="16:24">
      <c r="P17" s="493" t="s">
        <v>1874</v>
      </c>
      <c r="Q17" s="627" t="e">
        <f ca="1">[1]!NF_DIST(Q16,Q5,Q6,Q13,TRUE)</f>
        <v>#NAME?</v>
      </c>
      <c r="R17" s="8"/>
      <c r="S17" s="8" t="s">
        <v>3662</v>
      </c>
    </row>
    <row r="18" spans="16:24">
      <c r="P18" s="493" t="s">
        <v>3488</v>
      </c>
      <c r="Q18" s="544" t="e">
        <f ca="1">1-Q17</f>
        <v>#NAME?</v>
      </c>
      <c r="R18" s="8"/>
      <c r="S18" s="8" t="s">
        <v>3663</v>
      </c>
      <c r="U18" t="s">
        <v>3494</v>
      </c>
      <c r="V18" s="756" t="e">
        <f ca="1">[1]!ANOVA1_SIZE(V9,V8)</f>
        <v>#NAME?</v>
      </c>
      <c r="X18" s="23" t="s">
        <v>3671</v>
      </c>
    </row>
    <row r="20" spans="16:24">
      <c r="P20" t="s">
        <v>3494</v>
      </c>
      <c r="Q20" s="1235" t="e">
        <f ca="1">[1]!ANOVA1_POWER(Q11,Q9,Q10)</f>
        <v>#NAME?</v>
      </c>
      <c r="S20" t="s">
        <v>3672</v>
      </c>
    </row>
    <row r="21" spans="16:24">
      <c r="Q21" s="627" t="e">
        <f ca="1">[1]!ANOVA1_POWER(Q12,Q9,Q10,2)</f>
        <v>#NAME?</v>
      </c>
      <c r="S21" t="s">
        <v>3673</v>
      </c>
    </row>
    <row r="22" spans="16:24">
      <c r="Q22" s="544" t="e">
        <f ca="1">[1]!ANOVA1_POWER(Q13,Q9,Q10,0)</f>
        <v>#NAME?</v>
      </c>
      <c r="S22" t="s">
        <v>3674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sheetPr codeName="Sheet334"/>
  <dimension ref="A1:L25"/>
  <sheetViews>
    <sheetView workbookViewId="0"/>
  </sheetViews>
  <sheetFormatPr defaultRowHeight="14.4"/>
  <cols>
    <col min="1" max="1" width="17.33203125" customWidth="1"/>
    <col min="4" max="4" width="10.88671875" customWidth="1"/>
    <col min="6" max="6" width="3.6640625" customWidth="1"/>
    <col min="7" max="7" width="22.33203125" customWidth="1"/>
    <col min="9" max="9" width="10.6640625" customWidth="1"/>
    <col min="11" max="11" width="3.44140625" customWidth="1"/>
    <col min="12" max="12" width="40.44140625" customWidth="1"/>
  </cols>
  <sheetData>
    <row r="1" spans="1:12">
      <c r="A1" s="1" t="s">
        <v>3625</v>
      </c>
    </row>
    <row r="3" spans="1:12">
      <c r="A3" s="25" t="s">
        <v>3604</v>
      </c>
      <c r="D3" t="s">
        <v>114</v>
      </c>
      <c r="E3" t="s">
        <v>3616</v>
      </c>
      <c r="I3" t="s">
        <v>114</v>
      </c>
      <c r="J3" t="s">
        <v>3606</v>
      </c>
    </row>
    <row r="4" spans="1:12">
      <c r="A4" s="1"/>
    </row>
    <row r="5" spans="1:12">
      <c r="A5" t="s">
        <v>291</v>
      </c>
      <c r="B5" s="1235">
        <v>50</v>
      </c>
      <c r="D5" t="s">
        <v>3629</v>
      </c>
      <c r="E5" s="1235">
        <f>B9</f>
        <v>2.25</v>
      </c>
      <c r="F5" s="8"/>
      <c r="G5" s="8"/>
      <c r="I5" t="s">
        <v>3631</v>
      </c>
      <c r="J5" s="1235">
        <v>1.5</v>
      </c>
    </row>
    <row r="6" spans="1:12">
      <c r="A6" t="s">
        <v>292</v>
      </c>
      <c r="B6" s="627">
        <v>60</v>
      </c>
      <c r="D6" t="s">
        <v>3630</v>
      </c>
      <c r="E6" s="627">
        <f>B10</f>
        <v>1.75</v>
      </c>
      <c r="F6" s="8"/>
      <c r="G6" s="8"/>
      <c r="I6" t="s">
        <v>3632</v>
      </c>
      <c r="J6" s="627">
        <v>1.2</v>
      </c>
    </row>
    <row r="7" spans="1:12">
      <c r="A7" t="s">
        <v>822</v>
      </c>
      <c r="B7" s="627">
        <f>B5-1</f>
        <v>49</v>
      </c>
      <c r="D7" s="65" t="s">
        <v>3624</v>
      </c>
      <c r="E7" s="627">
        <f>E5/E6</f>
        <v>1.2857142857142858</v>
      </c>
      <c r="F7" s="8"/>
      <c r="G7" s="1160" t="s">
        <v>3611</v>
      </c>
      <c r="I7" s="65" t="s">
        <v>3624</v>
      </c>
      <c r="J7" s="627">
        <f>J5^2/J6^2</f>
        <v>1.5625</v>
      </c>
      <c r="L7" s="1160" t="s">
        <v>3641</v>
      </c>
    </row>
    <row r="8" spans="1:12">
      <c r="A8" t="s">
        <v>823</v>
      </c>
      <c r="B8" s="627">
        <f>B6-1</f>
        <v>59</v>
      </c>
      <c r="D8" s="493" t="s">
        <v>291</v>
      </c>
      <c r="E8" s="627">
        <f>B5</f>
        <v>50</v>
      </c>
      <c r="F8" s="8"/>
      <c r="G8" s="1160"/>
      <c r="I8" s="493" t="s">
        <v>291</v>
      </c>
      <c r="J8" s="627">
        <f>B5</f>
        <v>50</v>
      </c>
    </row>
    <row r="9" spans="1:12">
      <c r="A9" t="s">
        <v>3629</v>
      </c>
      <c r="B9" s="627">
        <v>2.25</v>
      </c>
      <c r="D9" s="493" t="s">
        <v>292</v>
      </c>
      <c r="E9" s="627">
        <f>B6</f>
        <v>60</v>
      </c>
      <c r="G9" s="1160"/>
      <c r="I9" s="493" t="s">
        <v>292</v>
      </c>
      <c r="J9" s="627">
        <v>60</v>
      </c>
    </row>
    <row r="10" spans="1:12">
      <c r="A10" t="s">
        <v>3630</v>
      </c>
      <c r="B10" s="627">
        <v>1.75</v>
      </c>
      <c r="D10" s="493" t="s">
        <v>822</v>
      </c>
      <c r="E10" s="627">
        <f>E8-1</f>
        <v>49</v>
      </c>
      <c r="F10" s="8"/>
      <c r="G10" s="1160" t="s">
        <v>3612</v>
      </c>
      <c r="I10" s="493" t="s">
        <v>822</v>
      </c>
      <c r="J10" s="627">
        <f>J8-1</f>
        <v>49</v>
      </c>
      <c r="L10" s="1160" t="s">
        <v>3614</v>
      </c>
    </row>
    <row r="11" spans="1:12">
      <c r="A11" s="65" t="s">
        <v>157</v>
      </c>
      <c r="B11" s="627">
        <v>0.05</v>
      </c>
      <c r="D11" s="493" t="s">
        <v>823</v>
      </c>
      <c r="E11" s="627">
        <f>E9-1</f>
        <v>59</v>
      </c>
      <c r="G11" s="1160" t="s">
        <v>3637</v>
      </c>
      <c r="I11" s="493" t="s">
        <v>823</v>
      </c>
      <c r="J11" s="627">
        <f>J9-1</f>
        <v>59</v>
      </c>
      <c r="L11" s="1160" t="s">
        <v>3642</v>
      </c>
    </row>
    <row r="12" spans="1:12">
      <c r="A12" t="s">
        <v>28</v>
      </c>
      <c r="B12" s="627">
        <f>(B9/B7)/(B10/B8)</f>
        <v>1.5481049562682216</v>
      </c>
      <c r="D12" s="65" t="s">
        <v>157</v>
      </c>
      <c r="E12" s="627">
        <f>B11</f>
        <v>0.05</v>
      </c>
      <c r="F12" s="8"/>
      <c r="G12" s="1160"/>
      <c r="I12" s="65" t="s">
        <v>157</v>
      </c>
      <c r="J12" s="627">
        <f>B11</f>
        <v>0.05</v>
      </c>
    </row>
    <row r="13" spans="1:12">
      <c r="A13" t="s">
        <v>3633</v>
      </c>
      <c r="B13" s="627">
        <f>FDIST(B12,B7,B8)</f>
        <v>5.4318739287660317E-2</v>
      </c>
      <c r="D13" t="s">
        <v>888</v>
      </c>
      <c r="E13" s="627">
        <f>FINV(1-E12,E10,E11)</f>
        <v>0.63181371918759766</v>
      </c>
      <c r="G13" t="s">
        <v>3638</v>
      </c>
      <c r="I13" t="s">
        <v>3627</v>
      </c>
      <c r="J13" s="627">
        <f>FINV(1-J12/2,J10,J11)</f>
        <v>0.57788671864724417</v>
      </c>
      <c r="L13" s="1160" t="s">
        <v>3643</v>
      </c>
    </row>
    <row r="14" spans="1:12">
      <c r="A14" t="s">
        <v>948</v>
      </c>
      <c r="B14" s="699" t="str">
        <f>IF(B13&lt;B11,"yes","no")</f>
        <v>no</v>
      </c>
      <c r="D14" s="65" t="s">
        <v>1874</v>
      </c>
      <c r="E14" s="627">
        <f>FDIST(E7*E13,E10,E11)</f>
        <v>0.77196470814966911</v>
      </c>
      <c r="G14" t="s">
        <v>3639</v>
      </c>
      <c r="I14" t="s">
        <v>3628</v>
      </c>
      <c r="J14" s="627">
        <f>FINV(J12/2,J10,J11)</f>
        <v>1.7068671005661997</v>
      </c>
      <c r="L14" s="1160" t="s">
        <v>3644</v>
      </c>
    </row>
    <row r="15" spans="1:12">
      <c r="A15" t="s">
        <v>3634</v>
      </c>
      <c r="B15" s="544">
        <f>FINV(B11,B7,B8)</f>
        <v>1.5653954734084008</v>
      </c>
      <c r="D15" s="65" t="s">
        <v>3488</v>
      </c>
      <c r="E15" s="544">
        <f>1-E14</f>
        <v>0.22803529185033089</v>
      </c>
      <c r="G15" t="s">
        <v>3640</v>
      </c>
      <c r="I15" s="65" t="s">
        <v>1874</v>
      </c>
      <c r="J15" s="627">
        <f>FDIST(J7*J13,J10,J11)-FDIST(J7*J14,J10,J11)</f>
        <v>0.641380202832871</v>
      </c>
      <c r="L15" s="1160" t="s">
        <v>3645</v>
      </c>
    </row>
    <row r="16" spans="1:12">
      <c r="I16" s="65" t="s">
        <v>3488</v>
      </c>
      <c r="J16" s="544">
        <f>1-J15</f>
        <v>0.358619797167129</v>
      </c>
      <c r="L16" s="1160" t="s">
        <v>3646</v>
      </c>
    </row>
    <row r="17" spans="1:12">
      <c r="A17" t="s">
        <v>1910</v>
      </c>
    </row>
    <row r="19" spans="1:12">
      <c r="A19" t="s">
        <v>3635</v>
      </c>
      <c r="B19" s="542">
        <f>FINV(1-B11/2,B7,B8)</f>
        <v>0.57788671864724417</v>
      </c>
      <c r="I19" t="s">
        <v>1939</v>
      </c>
    </row>
    <row r="20" spans="1:12">
      <c r="A20" t="s">
        <v>3636</v>
      </c>
      <c r="B20" s="544">
        <f>FINV(B11/2,B7,B8)</f>
        <v>1.7068671005661997</v>
      </c>
    </row>
    <row r="21" spans="1:12">
      <c r="I21" t="s">
        <v>3617</v>
      </c>
      <c r="J21" s="1235" t="e">
        <f ca="1">[1]!VAR2_POWER(E7,E8,E9,1,E12)</f>
        <v>#NAME?</v>
      </c>
      <c r="L21" s="1160" t="s">
        <v>3699</v>
      </c>
    </row>
    <row r="22" spans="1:12">
      <c r="I22" t="s">
        <v>3618</v>
      </c>
      <c r="J22" s="544" t="e">
        <f ca="1">[1]!VAR2_POWER(J7,J8,J9)</f>
        <v>#NAME?</v>
      </c>
      <c r="L22" s="1160" t="s">
        <v>3700</v>
      </c>
    </row>
    <row r="23" spans="1:12">
      <c r="B23" s="8"/>
    </row>
    <row r="24" spans="1:12">
      <c r="B24" s="8"/>
      <c r="I24" t="s">
        <v>3617</v>
      </c>
      <c r="J24" s="1235" t="e">
        <f ca="1">[1]!VAR2_SIZE(E7,0.8,1)</f>
        <v>#NAME?</v>
      </c>
      <c r="L24" s="1160" t="s">
        <v>3701</v>
      </c>
    </row>
    <row r="25" spans="1:12">
      <c r="B25" s="8"/>
      <c r="I25" t="s">
        <v>3618</v>
      </c>
      <c r="J25" s="544" t="e">
        <f ca="1">[1]!VAR2_SIZE(J7)</f>
        <v>#NAME?</v>
      </c>
      <c r="L25" s="1160" t="s">
        <v>3702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389</vt:i4>
      </vt:variant>
    </vt:vector>
  </HeadingPairs>
  <TitlesOfParts>
    <vt:vector size="389" baseType="lpstr">
      <vt:lpstr>TOC0</vt:lpstr>
      <vt:lpstr>TOC</vt:lpstr>
      <vt:lpstr>Bar Chart</vt:lpstr>
      <vt:lpstr>Line Chart</vt:lpstr>
      <vt:lpstr>Line Chart 2</vt:lpstr>
      <vt:lpstr>Array Formula</vt:lpstr>
      <vt:lpstr>Array Function</vt:lpstr>
      <vt:lpstr>Sort Filter</vt:lpstr>
      <vt:lpstr>Seek</vt:lpstr>
      <vt:lpstr>Prob 0</vt:lpstr>
      <vt:lpstr>Prob 1</vt:lpstr>
      <vt:lpstr>Prob 2</vt:lpstr>
      <vt:lpstr>Central</vt:lpstr>
      <vt:lpstr>Geo Mean</vt:lpstr>
      <vt:lpstr>Var</vt:lpstr>
      <vt:lpstr>Combined</vt:lpstr>
      <vt:lpstr>SKEW</vt:lpstr>
      <vt:lpstr>Rank 0</vt:lpstr>
      <vt:lpstr>Rank 1</vt:lpstr>
      <vt:lpstr>Desc 1</vt:lpstr>
      <vt:lpstr>Desc 2</vt:lpstr>
      <vt:lpstr>Freq</vt:lpstr>
      <vt:lpstr>Freq 2</vt:lpstr>
      <vt:lpstr>Histogram</vt:lpstr>
      <vt:lpstr>Box Plot 1</vt:lpstr>
      <vt:lpstr>Box Plot 2</vt:lpstr>
      <vt:lpstr>Box Plot 3</vt:lpstr>
      <vt:lpstr>Reformat 1</vt:lpstr>
      <vt:lpstr>Reformat 2</vt:lpstr>
      <vt:lpstr>Power</vt:lpstr>
      <vt:lpstr>Normal 1</vt:lpstr>
      <vt:lpstr>Normal 2</vt:lpstr>
      <vt:lpstr>1 Sample Z 1</vt:lpstr>
      <vt:lpstr>1 Sample Z 2</vt:lpstr>
      <vt:lpstr>2 Sample Z</vt:lpstr>
      <vt:lpstr>Uniform Sample</vt:lpstr>
      <vt:lpstr>Poisson Sample</vt:lpstr>
      <vt:lpstr>Simulation 1</vt:lpstr>
      <vt:lpstr>Simulation 2</vt:lpstr>
      <vt:lpstr>Sampling 1</vt:lpstr>
      <vt:lpstr>Sampling 2</vt:lpstr>
      <vt:lpstr>Norm Power 1</vt:lpstr>
      <vt:lpstr>Norm Power 2</vt:lpstr>
      <vt:lpstr>Norm Power 3</vt:lpstr>
      <vt:lpstr>Norm Power 4</vt:lpstr>
      <vt:lpstr>Norm Power 5</vt:lpstr>
      <vt:lpstr>Outlier</vt:lpstr>
      <vt:lpstr>Grubbs</vt:lpstr>
      <vt:lpstr>ESD</vt:lpstr>
      <vt:lpstr>Binomial 1</vt:lpstr>
      <vt:lpstr>Binomial 2</vt:lpstr>
      <vt:lpstr>Binomial 3</vt:lpstr>
      <vt:lpstr>Prop</vt:lpstr>
      <vt:lpstr>NegBinom</vt:lpstr>
      <vt:lpstr>Hypgeom</vt:lpstr>
      <vt:lpstr>Beta</vt:lpstr>
      <vt:lpstr>Multinom</vt:lpstr>
      <vt:lpstr>Poisson 1</vt:lpstr>
      <vt:lpstr>Poisson 2</vt:lpstr>
      <vt:lpstr>Runs</vt:lpstr>
      <vt:lpstr>Bin Power 1</vt:lpstr>
      <vt:lpstr>Bin Power 2</vt:lpstr>
      <vt:lpstr>Bin Power 3</vt:lpstr>
      <vt:lpstr>Gamma</vt:lpstr>
      <vt:lpstr>Expon</vt:lpstr>
      <vt:lpstr>Uniform</vt:lpstr>
      <vt:lpstr>Weibull</vt:lpstr>
      <vt:lpstr>T Dist</vt:lpstr>
      <vt:lpstr>T Dist 2</vt:lpstr>
      <vt:lpstr>1 Sample T 1</vt:lpstr>
      <vt:lpstr>1 Sample T 2</vt:lpstr>
      <vt:lpstr>2 Sample T 1</vt:lpstr>
      <vt:lpstr>2 Sample T 2</vt:lpstr>
      <vt:lpstr>2 Sample T 3</vt:lpstr>
      <vt:lpstr>2P Sample T 1</vt:lpstr>
      <vt:lpstr>2P Sample T 2</vt:lpstr>
      <vt:lpstr>Chi-Sq</vt:lpstr>
      <vt:lpstr>1 Sample Var</vt:lpstr>
      <vt:lpstr>Good Fit 0</vt:lpstr>
      <vt:lpstr>Good Fit 1</vt:lpstr>
      <vt:lpstr>Good Fit 2</vt:lpstr>
      <vt:lpstr>Good Fit 3</vt:lpstr>
      <vt:lpstr>Chi-Sq 1</vt:lpstr>
      <vt:lpstr>Chi-Sq 2</vt:lpstr>
      <vt:lpstr>Chi-Sq 3</vt:lpstr>
      <vt:lpstr>Chi-Sq 4</vt:lpstr>
      <vt:lpstr>Fisher</vt:lpstr>
      <vt:lpstr>F Test</vt:lpstr>
      <vt:lpstr>Norm Histogram</vt:lpstr>
      <vt:lpstr>Norm QQ Plot 1</vt:lpstr>
      <vt:lpstr>Norm QQ Plot 2</vt:lpstr>
      <vt:lpstr>Norm Box Plot</vt:lpstr>
      <vt:lpstr>Log Trans</vt:lpstr>
      <vt:lpstr>Norm Chi-sq 1</vt:lpstr>
      <vt:lpstr>Norm Chi-sq 2</vt:lpstr>
      <vt:lpstr>KS 1</vt:lpstr>
      <vt:lpstr>KS 2</vt:lpstr>
      <vt:lpstr>KS 3</vt:lpstr>
      <vt:lpstr>KS 4</vt:lpstr>
      <vt:lpstr>SW 1</vt:lpstr>
      <vt:lpstr>SW 2</vt:lpstr>
      <vt:lpstr>SW 3</vt:lpstr>
      <vt:lpstr>SW 4</vt:lpstr>
      <vt:lpstr>Sign Test</vt:lpstr>
      <vt:lpstr>Moods</vt:lpstr>
      <vt:lpstr>Wilcoxon 1</vt:lpstr>
      <vt:lpstr>Wilcoxon 2</vt:lpstr>
      <vt:lpstr>Wilcoxon 3</vt:lpstr>
      <vt:lpstr>Wilcoxon 4</vt:lpstr>
      <vt:lpstr>Wil Exact</vt:lpstr>
      <vt:lpstr>Wil Exact 1</vt:lpstr>
      <vt:lpstr>Wil Exact 2</vt:lpstr>
      <vt:lpstr>Mann 1</vt:lpstr>
      <vt:lpstr>Mann 2</vt:lpstr>
      <vt:lpstr>Mann Exact</vt:lpstr>
      <vt:lpstr>Mann Exact 1</vt:lpstr>
      <vt:lpstr>Wilcox Pair 1</vt:lpstr>
      <vt:lpstr>Wilcox Pair 2</vt:lpstr>
      <vt:lpstr>Wilcox Pair 3</vt:lpstr>
      <vt:lpstr>Signed Rank</vt:lpstr>
      <vt:lpstr>Signed Rank 1</vt:lpstr>
      <vt:lpstr>Signed Rank 2</vt:lpstr>
      <vt:lpstr>McNemar</vt:lpstr>
      <vt:lpstr>Runs Test 0</vt:lpstr>
      <vt:lpstr>Runs Test 1</vt:lpstr>
      <vt:lpstr>Runs Test 2</vt:lpstr>
      <vt:lpstr>Resamp 1</vt:lpstr>
      <vt:lpstr>Resamp 2</vt:lpstr>
      <vt:lpstr>Resamp 3</vt:lpstr>
      <vt:lpstr>ANOVA 1</vt:lpstr>
      <vt:lpstr>ANOVA 2</vt:lpstr>
      <vt:lpstr>ANOVA 3</vt:lpstr>
      <vt:lpstr>ANOVA 4</vt:lpstr>
      <vt:lpstr>ANOVA 5</vt:lpstr>
      <vt:lpstr>ANOVA 6</vt:lpstr>
      <vt:lpstr>Contrast 1</vt:lpstr>
      <vt:lpstr>Contrast 2</vt:lpstr>
      <vt:lpstr>Contrast 3</vt:lpstr>
      <vt:lpstr>Tukey 1</vt:lpstr>
      <vt:lpstr>Tukey 2</vt:lpstr>
      <vt:lpstr>Tuk-Kra</vt:lpstr>
      <vt:lpstr>Gam-How</vt:lpstr>
      <vt:lpstr>REGWQ</vt:lpstr>
      <vt:lpstr>Scheffe</vt:lpstr>
      <vt:lpstr>Levene 1</vt:lpstr>
      <vt:lpstr>Levene 2</vt:lpstr>
      <vt:lpstr>Bartlett</vt:lpstr>
      <vt:lpstr>Log Transform</vt:lpstr>
      <vt:lpstr>Outliers</vt:lpstr>
      <vt:lpstr>Kruskal</vt:lpstr>
      <vt:lpstr>Brown F 1</vt:lpstr>
      <vt:lpstr>Brown F 2</vt:lpstr>
      <vt:lpstr>Welch 1</vt:lpstr>
      <vt:lpstr>Welch 1a</vt:lpstr>
      <vt:lpstr>Welch 2</vt:lpstr>
      <vt:lpstr>Moods 2</vt:lpstr>
      <vt:lpstr>ANOVA 2.1</vt:lpstr>
      <vt:lpstr>ANOVA 2.2</vt:lpstr>
      <vt:lpstr>ANOVA 2.2A</vt:lpstr>
      <vt:lpstr>ANOVA 2.3</vt:lpstr>
      <vt:lpstr>ANOVA 2.4</vt:lpstr>
      <vt:lpstr>ANOVA 3.1</vt:lpstr>
      <vt:lpstr>ANOVA 3.2</vt:lpstr>
      <vt:lpstr>ANOVA 3.2a</vt:lpstr>
      <vt:lpstr>ANOVA 3.3</vt:lpstr>
      <vt:lpstr>Contrasts 2.1</vt:lpstr>
      <vt:lpstr>Corr</vt:lpstr>
      <vt:lpstr>Corr Scatter</vt:lpstr>
      <vt:lpstr>Corr 0</vt:lpstr>
      <vt:lpstr>Corr 0a</vt:lpstr>
      <vt:lpstr>Corr 1</vt:lpstr>
      <vt:lpstr>Corr 1a</vt:lpstr>
      <vt:lpstr>Corr 2</vt:lpstr>
      <vt:lpstr>Corr 3</vt:lpstr>
      <vt:lpstr>Corr 4</vt:lpstr>
      <vt:lpstr>Corr 5</vt:lpstr>
      <vt:lpstr>Corr Power</vt:lpstr>
      <vt:lpstr>2 Corr</vt:lpstr>
      <vt:lpstr>2 Corr Dependent</vt:lpstr>
      <vt:lpstr>Corr and T</vt:lpstr>
      <vt:lpstr>Corr and Chi-sq</vt:lpstr>
      <vt:lpstr>Spearman Rho 1</vt:lpstr>
      <vt:lpstr>Spearman Rho 1a</vt:lpstr>
      <vt:lpstr>Spearman Rho 2</vt:lpstr>
      <vt:lpstr>Kendall's Tau</vt:lpstr>
      <vt:lpstr>Kendall Tau 1</vt:lpstr>
      <vt:lpstr>Kendall Tau 2</vt:lpstr>
      <vt:lpstr>Kendall Tau 3</vt:lpstr>
      <vt:lpstr>Reg 1</vt:lpstr>
      <vt:lpstr>Reg 2</vt:lpstr>
      <vt:lpstr>Reg 3</vt:lpstr>
      <vt:lpstr>Reg 4</vt:lpstr>
      <vt:lpstr>Reg 5</vt:lpstr>
      <vt:lpstr>Reg 6</vt:lpstr>
      <vt:lpstr>Exp Reg</vt:lpstr>
      <vt:lpstr>Pow Reg</vt:lpstr>
      <vt:lpstr>Reg T 1</vt:lpstr>
      <vt:lpstr>Reg T 1A</vt:lpstr>
      <vt:lpstr>Reg T 2</vt:lpstr>
      <vt:lpstr>Reg T 2A</vt:lpstr>
      <vt:lpstr>Mult Reg 1</vt:lpstr>
      <vt:lpstr>Mult Reg 2</vt:lpstr>
      <vt:lpstr>Mult Reg 2A</vt:lpstr>
      <vt:lpstr>Mult Reg 2B</vt:lpstr>
      <vt:lpstr>Mult Reg 3</vt:lpstr>
      <vt:lpstr>Mult Reg 4</vt:lpstr>
      <vt:lpstr>Mult 4A</vt:lpstr>
      <vt:lpstr>Mult Reg 5</vt:lpstr>
      <vt:lpstr>Mult Reg 5A</vt:lpstr>
      <vt:lpstr>Mult Reg 5B</vt:lpstr>
      <vt:lpstr>Mult Reg 5C</vt:lpstr>
      <vt:lpstr>Mult Reg 6</vt:lpstr>
      <vt:lpstr>Mult Reg 6A</vt:lpstr>
      <vt:lpstr>Mult Reg 6B</vt:lpstr>
      <vt:lpstr>Mult Reg 7</vt:lpstr>
      <vt:lpstr>Mult Reg 8</vt:lpstr>
      <vt:lpstr>Mult Reg 8a</vt:lpstr>
      <vt:lpstr>Poly Reg</vt:lpstr>
      <vt:lpstr>Poly Reg 1</vt:lpstr>
      <vt:lpstr>Poly Reg 2</vt:lpstr>
      <vt:lpstr>Log Reg</vt:lpstr>
      <vt:lpstr>Interaction Reg</vt:lpstr>
      <vt:lpstr>Reg Anova 1</vt:lpstr>
      <vt:lpstr>Reg Anova 2</vt:lpstr>
      <vt:lpstr>Reg Anova 3</vt:lpstr>
      <vt:lpstr>Reg Anova 4</vt:lpstr>
      <vt:lpstr>Reg Anova 5</vt:lpstr>
      <vt:lpstr>Reg An3.1</vt:lpstr>
      <vt:lpstr>Reg An3.2</vt:lpstr>
      <vt:lpstr>Res 1</vt:lpstr>
      <vt:lpstr>Res 2</vt:lpstr>
      <vt:lpstr>Res 3</vt:lpstr>
      <vt:lpstr>Cooks 1</vt:lpstr>
      <vt:lpstr>Cooks 2</vt:lpstr>
      <vt:lpstr>Durbin</vt:lpstr>
      <vt:lpstr>Collinearity</vt:lpstr>
      <vt:lpstr>VIF</vt:lpstr>
      <vt:lpstr>Logit 1</vt:lpstr>
      <vt:lpstr>Logit 2</vt:lpstr>
      <vt:lpstr>Logit 3</vt:lpstr>
      <vt:lpstr>Logit 3a</vt:lpstr>
      <vt:lpstr>Logit 4</vt:lpstr>
      <vt:lpstr>Logit 4a</vt:lpstr>
      <vt:lpstr>Logit 5</vt:lpstr>
      <vt:lpstr>Logit 5a</vt:lpstr>
      <vt:lpstr>Logit 6</vt:lpstr>
      <vt:lpstr>Logit 6a</vt:lpstr>
      <vt:lpstr>Hosmer</vt:lpstr>
      <vt:lpstr>MLogit 1</vt:lpstr>
      <vt:lpstr>MLogit 2</vt:lpstr>
      <vt:lpstr>MLogit 3</vt:lpstr>
      <vt:lpstr>MLogit 3a</vt:lpstr>
      <vt:lpstr>MLogit 4</vt:lpstr>
      <vt:lpstr>MLogit 5</vt:lpstr>
      <vt:lpstr>MLogit 6</vt:lpstr>
      <vt:lpstr>OLogit 1</vt:lpstr>
      <vt:lpstr>OLogit 2</vt:lpstr>
      <vt:lpstr>OLogit 3</vt:lpstr>
      <vt:lpstr>Log Lin 1.1</vt:lpstr>
      <vt:lpstr>Log Lin 1.2</vt:lpstr>
      <vt:lpstr>Log Lin 1.3</vt:lpstr>
      <vt:lpstr>Log Lin 1.4</vt:lpstr>
      <vt:lpstr>Log Lin 2.1</vt:lpstr>
      <vt:lpstr>Log Lin 2.2</vt:lpstr>
      <vt:lpstr>Log Lin 2.3</vt:lpstr>
      <vt:lpstr>Log Lin 2.4</vt:lpstr>
      <vt:lpstr>Log Lin 2.5</vt:lpstr>
      <vt:lpstr>Rand Anova</vt:lpstr>
      <vt:lpstr>Mixed</vt:lpstr>
      <vt:lpstr>Mixed 2</vt:lpstr>
      <vt:lpstr>Nested</vt:lpstr>
      <vt:lpstr>Nested 1 </vt:lpstr>
      <vt:lpstr>Nested 1a</vt:lpstr>
      <vt:lpstr>Nested 2</vt:lpstr>
      <vt:lpstr>ANOVA Match 1.1</vt:lpstr>
      <vt:lpstr>ANOVA Match 1.2</vt:lpstr>
      <vt:lpstr>ANOVA Match 1.3</vt:lpstr>
      <vt:lpstr>ANOVA Match 1.3a</vt:lpstr>
      <vt:lpstr>ANOVA Match 1.4</vt:lpstr>
      <vt:lpstr>ANOVA Match 1.5</vt:lpstr>
      <vt:lpstr>ANOVA Match 2.1</vt:lpstr>
      <vt:lpstr>ANOVA Match 2.2</vt:lpstr>
      <vt:lpstr>ANOVA Match 2.3</vt:lpstr>
      <vt:lpstr>ANOVA Match 2.3A</vt:lpstr>
      <vt:lpstr>ANOVA Match 2.3B</vt:lpstr>
      <vt:lpstr>ANOVA Match 2.4</vt:lpstr>
      <vt:lpstr>Friedman</vt:lpstr>
      <vt:lpstr>ANCOVA 1</vt:lpstr>
      <vt:lpstr>ANCOVA 2</vt:lpstr>
      <vt:lpstr>ANCOVA 3</vt:lpstr>
      <vt:lpstr>ANCOVA 4</vt:lpstr>
      <vt:lpstr>ANCOVA Contrasts</vt:lpstr>
      <vt:lpstr>Split-half</vt:lpstr>
      <vt:lpstr>Spli-half 1</vt:lpstr>
      <vt:lpstr>KRF20</vt:lpstr>
      <vt:lpstr>Cronbach</vt:lpstr>
      <vt:lpstr>Cronbach 1</vt:lpstr>
      <vt:lpstr>Cronbach 2</vt:lpstr>
      <vt:lpstr>Kappa</vt:lpstr>
      <vt:lpstr>Kappa 0</vt:lpstr>
      <vt:lpstr>Kappa 1</vt:lpstr>
      <vt:lpstr>ICC1</vt:lpstr>
      <vt:lpstr>ICC2</vt:lpstr>
      <vt:lpstr>ICC3</vt:lpstr>
      <vt:lpstr>Kendall W</vt:lpstr>
      <vt:lpstr>Kendall W 1</vt:lpstr>
      <vt:lpstr>Item</vt:lpstr>
      <vt:lpstr>Graph</vt:lpstr>
      <vt:lpstr>SUMIF</vt:lpstr>
      <vt:lpstr>Conversion 1</vt:lpstr>
      <vt:lpstr>Conversion 2</vt:lpstr>
      <vt:lpstr>Cat Code</vt:lpstr>
      <vt:lpstr>Table Lookup</vt:lpstr>
      <vt:lpstr>Chart s.e.</vt:lpstr>
      <vt:lpstr>Length</vt:lpstr>
      <vt:lpstr>Inverse</vt:lpstr>
      <vt:lpstr>Diag</vt:lpstr>
      <vt:lpstr>Det 1</vt:lpstr>
      <vt:lpstr>Det 2</vt:lpstr>
      <vt:lpstr>Cramer Rule</vt:lpstr>
      <vt:lpstr>Gauss Elim 1</vt:lpstr>
      <vt:lpstr>Gauss Elim 2</vt:lpstr>
      <vt:lpstr>Newton</vt:lpstr>
      <vt:lpstr>Goal Seek</vt:lpstr>
      <vt:lpstr>IPFP 2.1</vt:lpstr>
      <vt:lpstr>IPFP 2.2 </vt:lpstr>
      <vt:lpstr>IPFP 3.1</vt:lpstr>
      <vt:lpstr>IPFP 3.2</vt:lpstr>
      <vt:lpstr>T Power 1</vt:lpstr>
      <vt:lpstr>T Power 2</vt:lpstr>
      <vt:lpstr>T Power 3</vt:lpstr>
      <vt:lpstr>T Power 4</vt:lpstr>
      <vt:lpstr>T Power 5</vt:lpstr>
      <vt:lpstr>T Power 6</vt:lpstr>
      <vt:lpstr>Wilcoxon Table</vt:lpstr>
      <vt:lpstr>Mann Table</vt:lpstr>
      <vt:lpstr>Signed Rank Table</vt:lpstr>
      <vt:lpstr>Signed Rank Table Formatted</vt:lpstr>
      <vt:lpstr>Runs Table</vt:lpstr>
      <vt:lpstr>KS Table</vt:lpstr>
      <vt:lpstr>KS Table 1</vt:lpstr>
      <vt:lpstr>SW Table</vt:lpstr>
      <vt:lpstr>SW Table Formatted</vt:lpstr>
      <vt:lpstr>Stud. Q Table</vt:lpstr>
      <vt:lpstr>Stud. Q Table 2</vt:lpstr>
      <vt:lpstr>Sp Rho Table</vt:lpstr>
      <vt:lpstr>Ken Tau Table</vt:lpstr>
      <vt:lpstr>DW Table 1</vt:lpstr>
      <vt:lpstr>DW Table 2</vt:lpstr>
      <vt:lpstr>Count</vt:lpstr>
      <vt:lpstr>Reformat</vt:lpstr>
      <vt:lpstr>Sort</vt:lpstr>
      <vt:lpstr>Winsor</vt:lpstr>
      <vt:lpstr>Missing</vt:lpstr>
      <vt:lpstr>Extract</vt:lpstr>
      <vt:lpstr>Sort Rows</vt:lpstr>
      <vt:lpstr>Select Col</vt:lpstr>
      <vt:lpstr>Matrix</vt:lpstr>
      <vt:lpstr>Miss 1</vt:lpstr>
      <vt:lpstr>Miss 2</vt:lpstr>
      <vt:lpstr>Miss 3</vt:lpstr>
      <vt:lpstr>Miss 4</vt:lpstr>
      <vt:lpstr>MI 1</vt:lpstr>
      <vt:lpstr>MI 2</vt:lpstr>
      <vt:lpstr>MI 3a</vt:lpstr>
      <vt:lpstr>MI 3</vt:lpstr>
      <vt:lpstr>MI 4</vt:lpstr>
      <vt:lpstr>MI 5</vt:lpstr>
      <vt:lpstr>MI 6</vt:lpstr>
      <vt:lpstr>MI 7</vt:lpstr>
      <vt:lpstr>MI 8</vt:lpstr>
      <vt:lpstr>MI 8a</vt:lpstr>
      <vt:lpstr>MI 9</vt:lpstr>
      <vt:lpstr>MI 9a</vt:lpstr>
      <vt:lpstr>FIML 1</vt:lpstr>
      <vt:lpstr>FIML 2</vt:lpstr>
      <vt:lpstr>FIML 2a</vt:lpstr>
      <vt:lpstr>FIML 2b</vt:lpstr>
      <vt:lpstr>FIML 2c</vt:lpstr>
      <vt:lpstr>FIML 3</vt:lpstr>
      <vt:lpstr>FIML 3a</vt:lpstr>
      <vt:lpstr>FIML 3b</vt:lpstr>
      <vt:lpstr>NT 1</vt:lpstr>
      <vt:lpstr>NCHI 1</vt:lpstr>
      <vt:lpstr>NCHI 2</vt:lpstr>
      <vt:lpstr>NCHI 3</vt:lpstr>
      <vt:lpstr>NF 1</vt:lpstr>
      <vt:lpstr>NF 2</vt:lpstr>
      <vt:lpstr>NF 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savece</cp:lastModifiedBy>
  <cp:lastPrinted>2014-02-25T09:31:43Z</cp:lastPrinted>
  <dcterms:created xsi:type="dcterms:W3CDTF">2011-12-03T11:22:59Z</dcterms:created>
  <dcterms:modified xsi:type="dcterms:W3CDTF">2015-10-20T17:23:03Z</dcterms:modified>
</cp:coreProperties>
</file>